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drawings/drawing3.xml" ContentType="application/vnd.openxmlformats-officedocument.drawing+xml"/>
  <Override PartName="/xl/charts/chart1.xml" ContentType="application/vnd.openxmlformats-officedocument.drawingml.chart+xml"/>
  <Override PartName="/xl/drawings/drawing4.xml" ContentType="application/vnd.openxmlformats-officedocument.drawingml.chartshapes+xml"/>
  <Override PartName="/xl/charts/chart2.xml" ContentType="application/vnd.openxmlformats-officedocument.drawingml.chart+xml"/>
  <Override PartName="/xl/charts/chart3.xml" ContentType="application/vnd.openxmlformats-officedocument.drawingml.chart+xml"/>
  <Override PartName="/xl/drawings/drawing5.xml" ContentType="application/vnd.openxmlformats-officedocument.drawingml.chartshapes+xml"/>
  <Override PartName="/xl/charts/chart4.xml" ContentType="application/vnd.openxmlformats-officedocument.drawingml.chart+xml"/>
  <Override PartName="/xl/charts/chart5.xml" ContentType="application/vnd.openxmlformats-officedocument.drawingml.chart+xml"/>
  <Override PartName="/xl/drawings/drawing6.xml" ContentType="application/vnd.openxmlformats-officedocument.drawingml.chartshapes+xml"/>
  <Override PartName="/xl/drawings/drawing7.xml" ContentType="application/vnd.openxmlformats-officedocument.drawing+xml"/>
  <Override PartName="/xl/charts/chart6.xml" ContentType="application/vnd.openxmlformats-officedocument.drawingml.chart+xml"/>
  <Override PartName="/xl/drawings/drawing8.xml" ContentType="application/vnd.openxmlformats-officedocument.drawingml.chartshapes+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omments13.xml" ContentType="application/vnd.openxmlformats-officedocument.spreadsheetml.comments+xml"/>
  <Override PartName="/xl/comments14.xml" ContentType="application/vnd.openxmlformats-officedocument.spreadsheetml.comments+xml"/>
  <Override PartName="/xl/drawings/drawing9.xml" ContentType="application/vnd.openxmlformats-officedocument.drawing+xml"/>
  <Override PartName="/xl/comments15.xml" ContentType="application/vnd.openxmlformats-officedocument.spreadsheetml.comments+xml"/>
  <Override PartName="/xl/charts/chart11.xml" ContentType="application/vnd.openxmlformats-officedocument.drawingml.chart+xml"/>
  <Override PartName="/xl/drawings/drawing10.xml" ContentType="application/vnd.openxmlformats-officedocument.drawing+xml"/>
  <Override PartName="/xl/charts/chart12.xml" ContentType="application/vnd.openxmlformats-officedocument.drawingml.chart+xml"/>
  <Override PartName="/xl/charts/chart13.xml" ContentType="application/vnd.openxmlformats-officedocument.drawingml.chart+xml"/>
  <Override PartName="/xl/drawings/drawing11.xml" ContentType="application/vnd.openxmlformats-officedocument.drawing+xml"/>
  <Override PartName="/xl/charts/chart14.xml" ContentType="application/vnd.openxmlformats-officedocument.drawingml.chart+xml"/>
  <Override PartName="/xl/charts/chart15.xml" ContentType="application/vnd.openxmlformats-officedocument.drawingml.chart+xml"/>
  <Override PartName="/xl/comments16.xml" ContentType="application/vnd.openxmlformats-officedocument.spreadsheetml.comments+xml"/>
  <Override PartName="/xl/comments17.xml" ContentType="application/vnd.openxmlformats-officedocument.spreadsheetml.comments+xml"/>
  <Override PartName="/xl/drawings/drawing12.xml" ContentType="application/vnd.openxmlformats-officedocument.drawing+xml"/>
  <Override PartName="/xl/charts/chart16.xml" ContentType="application/vnd.openxmlformats-officedocument.drawingml.chart+xml"/>
  <Override PartName="/xl/comments18.xml" ContentType="application/vnd.openxmlformats-officedocument.spreadsheetml.comments+xml"/>
  <Override PartName="/xl/drawings/drawing13.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drawings/drawing14.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1"/>
  <workbookPr codeName="ThisWorkbook" defaultThemeVersion="124226"/>
  <mc:AlternateContent xmlns:mc="http://schemas.openxmlformats.org/markup-compatibility/2006">
    <mc:Choice Requires="x15">
      <x15ac:absPath xmlns:x15ac="http://schemas.microsoft.com/office/spreadsheetml/2010/11/ac" url="C:\Users\ircsluser\Documents\Ushani\Industry Hand Book\23.10.2023\"/>
    </mc:Choice>
  </mc:AlternateContent>
  <xr:revisionPtr revIDLastSave="1" documentId="11_913C4C44A8BF1018D51919FE25BC0EA88426B2C6" xr6:coauthVersionLast="47" xr6:coauthVersionMax="47" xr10:uidLastSave="{806D04CC-CD70-47F3-94FD-8711B37BA9AF}"/>
  <bookViews>
    <workbookView xWindow="0" yWindow="0" windowWidth="23040" windowHeight="8328" tabRatio="855" firstSheet="2" activeTab="24" xr2:uid="{00000000-000D-0000-FFFF-FFFF00000000}"/>
  </bookViews>
  <sheets>
    <sheet name="cover page" sheetId="117" r:id="rId1"/>
    <sheet name="General Notes" sheetId="90" r:id="rId2"/>
    <sheet name="List" sheetId="2" r:id="rId3"/>
    <sheet name="1. GWP - LT + GI  (Final) " sheetId="118" r:id="rId4"/>
    <sheet name="GWP - LT + GI " sheetId="4" state="hidden" r:id="rId5"/>
    <sheet name="2. GWP - LTIB " sheetId="100" r:id="rId6"/>
    <sheet name="3. GWP - GIB" sheetId="137" r:id="rId7"/>
    <sheet name="4. Industry Assets " sheetId="120" r:id="rId8"/>
    <sheet name="5. Fin Inst'n " sheetId="101" r:id="rId9"/>
    <sheet name="Total Assets" sheetId="9" state="hidden" r:id="rId10"/>
    <sheet name="6. SH Fund " sheetId="102" r:id="rId11"/>
    <sheet name="SH Funds" sheetId="11" state="hidden" r:id="rId12"/>
    <sheet name="7. Concentration of Assets-LTIB" sheetId="103" r:id="rId13"/>
    <sheet name="8. Assets Con-Company-wise LTI " sheetId="104" r:id="rId14"/>
    <sheet name="9. Concentration Assets - G " sheetId="138" r:id="rId15"/>
    <sheet name="10.Concen Assets-Companywis " sheetId="139" r:id="rId16"/>
    <sheet name="11. Balance Sheet - 2022-LI " sheetId="106" r:id="rId17"/>
    <sheet name="12. Balance Sheet - 2021-LI" sheetId="105" r:id="rId18"/>
    <sheet name="13. Income St.- 2022 - LI " sheetId="108" r:id="rId19"/>
    <sheet name="14. Income St.- 2021 - LI" sheetId="107" r:id="rId20"/>
    <sheet name="15. BS 2022 GI " sheetId="140" r:id="rId21"/>
    <sheet name="16. BS 2021 GI" sheetId="141" r:id="rId22"/>
    <sheet name="17. P &amp; L - GI - 2022" sheetId="142" r:id="rId23"/>
    <sheet name="18.P &amp; L - GI 2021 " sheetId="143" r:id="rId24"/>
    <sheet name="19. TAC LI " sheetId="109" r:id="rId25"/>
    <sheet name="20. RCR LI " sheetId="110" r:id="rId26"/>
    <sheet name="21. TAC" sheetId="127" r:id="rId27"/>
    <sheet name="22. RCR" sheetId="128" r:id="rId28"/>
    <sheet name="23. Solvency LI  " sheetId="111" r:id="rId29"/>
    <sheet name="24.  Solvency  GI " sheetId="129" r:id="rId30"/>
    <sheet name="25. GWP Class&amp; Com Wise-GI " sheetId="130" r:id="rId31"/>
    <sheet name="26. Combined Ratio" sheetId="131" r:id="rId32"/>
    <sheet name="27. Earned premium-GIB" sheetId="132" r:id="rId33"/>
    <sheet name="28. Claims Incurred-GIB" sheetId="133" r:id="rId34"/>
    <sheet name="29. Combined Ratio-Com wise GI" sheetId="37" r:id="rId35"/>
    <sheet name="30. Retention final " sheetId="98" r:id="rId36"/>
    <sheet name="31. Reinsurance Premium" sheetId="134" r:id="rId37"/>
    <sheet name="32. Branches, Emp, Agents" sheetId="135" r:id="rId38"/>
    <sheet name="Branches-Emp-Agents" sheetId="41" state="hidden" r:id="rId39"/>
    <sheet name="GWP-LTIB (Final)" sheetId="42" state="hidden" r:id="rId40"/>
    <sheet name="33. New Policies LI (Final) " sheetId="112" r:id="rId41"/>
    <sheet name="Investment Income LI  (Final)" sheetId="46" state="hidden" r:id="rId42"/>
    <sheet name="Investment Income LI " sheetId="47" state="hidden" r:id="rId43"/>
    <sheet name="LI - Solvency" sheetId="48" state="hidden" r:id="rId44"/>
    <sheet name="GWP-GIB (Final)" sheetId="49" state="hidden" r:id="rId45"/>
    <sheet name="P &amp; L - GI - 2012 " sheetId="50" state="hidden" r:id="rId46"/>
    <sheet name="AR6&amp;7 Support I" sheetId="51" state="hidden" r:id="rId47"/>
    <sheet name="GWP - Class wise - GI" sheetId="52" state="hidden" r:id="rId48"/>
    <sheet name="GWP Class &amp; Com Wise-GI (Final)" sheetId="53" state="hidden" r:id="rId49"/>
    <sheet name="Comb Ratio" sheetId="54" state="hidden" r:id="rId50"/>
    <sheet name="Earned Premium-GIB (Final)" sheetId="55" state="hidden" r:id="rId51"/>
    <sheet name="Claims Incurred - GIB (Final)" sheetId="56" state="hidden" r:id="rId52"/>
    <sheet name="Retention" sheetId="57" state="hidden" r:id="rId53"/>
    <sheet name="Reinsurance Premium (Final)" sheetId="58" state="hidden" r:id="rId54"/>
    <sheet name="Invest Income GI - 2011" sheetId="59" state="hidden" r:id="rId55"/>
    <sheet name="GI - Solvency" sheetId="60" state="hidden" r:id="rId56"/>
    <sheet name="GWP - Dist Chan - GI" sheetId="61" state="hidden" r:id="rId57"/>
    <sheet name="34. Inforced Policies LI " sheetId="113" r:id="rId58"/>
    <sheet name="35. New Business " sheetId="114" r:id="rId59"/>
    <sheet name="New Busi LT" sheetId="64" state="hidden" r:id="rId60"/>
    <sheet name="GWP - Dist Chan - LI" sheetId="65" state="hidden" r:id="rId61"/>
    <sheet name="SRCC &amp; TC 2011 &amp; 12" sheetId="66" state="hidden" r:id="rId62"/>
    <sheet name="Co Ins Outward" sheetId="67" state="hidden" r:id="rId63"/>
    <sheet name="Expenses 2008&amp;09 GI" sheetId="68" state="hidden" r:id="rId64"/>
    <sheet name="AR 6&amp;7 Support III" sheetId="69" state="hidden" r:id="rId65"/>
    <sheet name="T13(i) -Motor Policies" sheetId="70" state="hidden" r:id="rId66"/>
    <sheet name="List of tables" sheetId="71" state="hidden" r:id="rId67"/>
    <sheet name="New - LT" sheetId="72" state="hidden" r:id="rId68"/>
    <sheet name="AR - Table 1" sheetId="73" state="hidden" r:id="rId69"/>
    <sheet name="AR Table 8 &amp; Chart 9" sheetId="74" state="hidden" r:id="rId70"/>
    <sheet name="LI - laps new  (2)" sheetId="75" state="hidden" r:id="rId71"/>
    <sheet name="37. Num of Life Benefits Paid" sheetId="116" r:id="rId72"/>
    <sheet name="36. Life Benefits Rs.'000" sheetId="115" r:id="rId73"/>
    <sheet name="Life Benifits Rs.'000" sheetId="77" state="hidden" r:id="rId74"/>
    <sheet name="# of Life Benifits Paid" sheetId="79" state="hidden" r:id="rId75"/>
    <sheet name="T13 -GI Policies " sheetId="80" state="hidden" r:id="rId76"/>
    <sheet name="New GI" sheetId="81" state="hidden" r:id="rId77"/>
    <sheet name="T14 (i) -GI Sum Insu" sheetId="82" state="hidden" r:id="rId78"/>
    <sheet name="T14As % of National Income" sheetId="83" state="hidden" r:id="rId79"/>
    <sheet name="Sheet1" sheetId="84" state="hidden" r:id="rId80"/>
    <sheet name="Ratios" sheetId="85" state="hidden" r:id="rId81"/>
    <sheet name="Sheet2" sheetId="86" state="hidden" r:id="rId82"/>
    <sheet name="AR table 6 &amp; Chart 7 (2)" sheetId="87" state="hidden" r:id="rId83"/>
    <sheet name="38. Abbreviations" sheetId="88" r:id="rId84"/>
  </sheets>
  <externalReferences>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 r:id="rId129"/>
    <externalReference r:id="rId130"/>
    <externalReference r:id="rId131"/>
    <externalReference r:id="rId132"/>
    <externalReference r:id="rId133"/>
    <externalReference r:id="rId134"/>
    <externalReference r:id="rId135"/>
    <externalReference r:id="rId136"/>
    <externalReference r:id="rId137"/>
    <externalReference r:id="rId138"/>
    <externalReference r:id="rId139"/>
    <externalReference r:id="rId140"/>
  </externalReferences>
  <definedNames>
    <definedName name="_xlnm._FilterDatabase" localSheetId="15" hidden="1">'10.Concen Assets-Companywis '!$B$2:$K$16</definedName>
    <definedName name="_xlnm._FilterDatabase" localSheetId="20" hidden="1">'15. BS 2022 GI '!$J$1:$N$753</definedName>
    <definedName name="_xlnm._FilterDatabase" localSheetId="58" hidden="1">'35. New Business '!$D$2:$H$328</definedName>
    <definedName name="_xlnm.Print_Area" localSheetId="74">'# of Life Benifits Paid'!$A$1:$H$145</definedName>
    <definedName name="_xlnm.Print_Area" localSheetId="3">'1. GWP - LT + GI  (Final) '!$A$1:$G$36</definedName>
    <definedName name="_xlnm.Print_Area" localSheetId="15">'10.Concen Assets-Companywis '!$A$1:$J$38</definedName>
    <definedName name="_xlnm.Print_Area" localSheetId="16">'11. Balance Sheet - 2022-LI '!$A$1:$N$951</definedName>
    <definedName name="_xlnm.Print_Area" localSheetId="17">'12. Balance Sheet - 2021-LI'!$A$1:$N$902</definedName>
    <definedName name="_xlnm.Print_Area" localSheetId="18">'13. Income St.- 2022 - LI '!$A$1:$M$875</definedName>
    <definedName name="_xlnm.Print_Area" localSheetId="19">'14. Income St.- 2021 - LI'!$A$1:$M$828</definedName>
    <definedName name="_xlnm.Print_Area" localSheetId="20">'15. BS 2022 GI '!$A$1:$H$751</definedName>
    <definedName name="_xlnm.Print_Area" localSheetId="21">'16. BS 2021 GI'!$A$1:$G$748</definedName>
    <definedName name="_xlnm.Print_Area" localSheetId="22">'17. P &amp; L - GI - 2022'!$A$1:$K$584</definedName>
    <definedName name="_xlnm.Print_Area" localSheetId="23">'18.P &amp; L - GI 2021 '!$A$1:$K$571</definedName>
    <definedName name="_xlnm.Print_Area" localSheetId="24">'19. TAC LI '!$B$2:$H$29</definedName>
    <definedName name="_xlnm.Print_Area" localSheetId="25">'20. RCR LI '!$B$2:$J$46</definedName>
    <definedName name="_xlnm.Print_Area" localSheetId="26">'21. TAC'!$A$1:$G$26</definedName>
    <definedName name="_xlnm.Print_Area" localSheetId="27">'22. RCR'!$A$1:$J$40</definedName>
    <definedName name="_xlnm.Print_Area" localSheetId="28">'23. Solvency LI  '!$B$2:$J$26</definedName>
    <definedName name="_xlnm.Print_Area" localSheetId="29">'24.  Solvency  GI '!$A$1:$H$24</definedName>
    <definedName name="_xlnm.Print_Area" localSheetId="30">'25. GWP Class&amp; Com Wise-GI '!$A$1:$I$105</definedName>
    <definedName name="_xlnm.Print_Area" localSheetId="31">'26. Combined Ratio'!$A$1:$J$63</definedName>
    <definedName name="_xlnm.Print_Area" localSheetId="32">'27. Earned premium-GIB'!$A$1:$H$121</definedName>
    <definedName name="_xlnm.Print_Area" localSheetId="33">'28. Claims Incurred-GIB'!$A$1:$H$124</definedName>
    <definedName name="_xlnm.Print_Area" localSheetId="34">'29. Combined Ratio-Com wise GI'!$B$2:$I$25</definedName>
    <definedName name="_xlnm.Print_Area" localSheetId="6">'3. GWP - GIB'!$A$1:$L$25</definedName>
    <definedName name="_xlnm.Print_Area" localSheetId="35">'30. Retention final '!$A$1:$I$48</definedName>
    <definedName name="_xlnm.Print_Area" localSheetId="36">'31. Reinsurance Premium'!$A$1:$H$125</definedName>
    <definedName name="_xlnm.Print_Area" localSheetId="37">'32. Branches, Emp, Agents'!$A$1:$N$478</definedName>
    <definedName name="_xlnm.Print_Area" localSheetId="40">'33. New Policies LI (Final) '!$A$1:$G$24</definedName>
    <definedName name="_xlnm.Print_Area" localSheetId="57">'34. Inforced Policies LI '!$A$1:$G$23</definedName>
    <definedName name="_xlnm.Print_Area" localSheetId="58">'35. New Business '!$A$1:$H$144</definedName>
    <definedName name="_xlnm.Print_Area" localSheetId="72">'36. Life Benefits Rs.''000'!$A$1:$J$175</definedName>
    <definedName name="_xlnm.Print_Area" localSheetId="83">'38. Abbreviations'!$A$1:$C$35</definedName>
    <definedName name="_xlnm.Print_Area" localSheetId="7">'4. Industry Assets '!$A$1:$L$36</definedName>
    <definedName name="_xlnm.Print_Area" localSheetId="8">'5. Fin Inst''n '!$A$1:$M$17</definedName>
    <definedName name="_xlnm.Print_Area" localSheetId="10">'6. SH Fund '!$A$1:$J$39</definedName>
    <definedName name="_xlnm.Print_Area" localSheetId="12">'7. Concentration of Assets-LTIB'!$A$1:$F$18</definedName>
    <definedName name="_xlnm.Print_Area" localSheetId="13">'8. Assets Con-Company-wise LTI '!$A$1:$K$42</definedName>
    <definedName name="_xlnm.Print_Area" localSheetId="14">'9. Concentration Assets - G '!$A$1:$F$21</definedName>
    <definedName name="_xlnm.Print_Area" localSheetId="82">'AR table 6 &amp; Chart 7 (2)'!$A$1:$V$28</definedName>
    <definedName name="_xlnm.Print_Area" localSheetId="46">'AR6&amp;7 Support I'!$A$13:$V$77</definedName>
    <definedName name="_xlnm.Print_Area" localSheetId="62">'Co Ins Outward'!$A$1:$H$51</definedName>
    <definedName name="_xlnm.Print_Area" localSheetId="49">'Comb Ratio'!$A$1:$G$43</definedName>
    <definedName name="_xlnm.Print_Area" localSheetId="0">'cover page'!$A$1:$N$42</definedName>
    <definedName name="_xlnm.Print_Area" localSheetId="50">'Earned Premium-GIB (Final)'!$A$13:$V$57</definedName>
    <definedName name="_xlnm.Print_Area" localSheetId="1">'General Notes'!$A$1:$D$16</definedName>
    <definedName name="_xlnm.Print_Area" localSheetId="47">'GWP - Class wise - GI'!$A$1:$G$38</definedName>
    <definedName name="_xlnm.Print_Area" localSheetId="56">'GWP - Dist Chan - GI'!$A$12:$F$244</definedName>
    <definedName name="_xlnm.Print_Area" localSheetId="60">'GWP - Dist Chan - LI'!$A$1:$F$205</definedName>
    <definedName name="_xlnm.Print_Area" localSheetId="48">'GWP Class &amp; Com Wise-GI (Final)'!$A$13:$V$57</definedName>
    <definedName name="_xlnm.Print_Area" localSheetId="44">'GWP-GIB (Final)'!$C$1:$AV$136</definedName>
    <definedName name="_xlnm.Print_Area" localSheetId="42">'Investment Income LI '!$A$1:$G$31</definedName>
    <definedName name="_xlnm.Print_Area" localSheetId="41">'Investment Income LI  (Final)'!$A$1:$G$33</definedName>
    <definedName name="_xlnm.Print_Area" localSheetId="73">'Life Benifits Rs.''000'!$A$1:$I$145</definedName>
    <definedName name="_xlnm.Print_Area" localSheetId="2">List!$A$2:$C$42</definedName>
    <definedName name="_xlnm.Print_Area" localSheetId="59">'New Busi LT'!$B$1:$K$172</definedName>
    <definedName name="_xlnm.Print_Area" localSheetId="45">'P &amp; L - GI - 2012 '!$A$2:$H$594</definedName>
    <definedName name="_xlnm.Print_Area" localSheetId="52">Retention!$A$1:$H$47</definedName>
    <definedName name="_xlnm.Print_Area" localSheetId="11">'SH Funds'!$A$1:$K$32</definedName>
    <definedName name="_xlnm.Print_Area" localSheetId="61">'SRCC &amp; TC 2011 &amp; 12'!$A$1:$H$55</definedName>
    <definedName name="_xlnm.Print_Area" localSheetId="9">'Total Assets'!$A$1:$M$28</definedName>
    <definedName name="_xlnm.Print_Titles" localSheetId="74">'# of Life Benifits Paid'!$2:$2</definedName>
    <definedName name="_xlnm.Print_Titles" localSheetId="38">'Branches-Emp-Agents'!$2:$2</definedName>
    <definedName name="_xlnm.Print_Titles" localSheetId="55">'GI - Solvency'!$1:$1</definedName>
    <definedName name="_xlnm.Print_Titles" localSheetId="43">'LI - Solvency'!$1:$1</definedName>
    <definedName name="_xlnm.Print_Titles" localSheetId="73">'Life Benifits Rs.''000'!$2:$2</definedName>
    <definedName name="_xlnm.Print_Titles" localSheetId="59">'New Busi LT'!$2:$2</definedName>
    <definedName name="_xlnm.Print_Titles" localSheetId="45">'P &amp; L - GI - 2012 '!$2:$2</definedName>
    <definedName name="Z_2ACFE167_4169_43A6_9AB2_59D5A2DA2DB4_.wvu.Cols" localSheetId="74" hidden="1">'# of Life Benifits Paid'!$A:$B</definedName>
    <definedName name="Z_2ACFE167_4169_43A6_9AB2_59D5A2DA2DB4_.wvu.Cols" localSheetId="5" hidden="1">'2. GWP - LTIB '!#REF!,'2. GWP - LTIB '!#REF!,'2. GWP - LTIB '!#REF!,'2. GWP - LTIB '!$Q:$Q</definedName>
    <definedName name="Z_2ACFE167_4169_43A6_9AB2_59D5A2DA2DB4_.wvu.Cols" localSheetId="29" hidden="1">'24.  Solvency  GI '!$J:$K</definedName>
    <definedName name="Z_2ACFE167_4169_43A6_9AB2_59D5A2DA2DB4_.wvu.Cols" localSheetId="31" hidden="1">'26. Combined Ratio'!#REF!</definedName>
    <definedName name="Z_2ACFE167_4169_43A6_9AB2_59D5A2DA2DB4_.wvu.Cols" localSheetId="35" hidden="1">'30. Retention final '!#REF!</definedName>
    <definedName name="Z_2ACFE167_4169_43A6_9AB2_59D5A2DA2DB4_.wvu.Cols" localSheetId="57" hidden="1">'34. Inforced Policies LI '!#REF!</definedName>
    <definedName name="Z_2ACFE167_4169_43A6_9AB2_59D5A2DA2DB4_.wvu.Cols" localSheetId="8" hidden="1">'5. Fin Inst''n '!#REF!</definedName>
    <definedName name="Z_2ACFE167_4169_43A6_9AB2_59D5A2DA2DB4_.wvu.Cols" localSheetId="68" hidden="1">'AR - Table 1'!$C:$D</definedName>
    <definedName name="Z_2ACFE167_4169_43A6_9AB2_59D5A2DA2DB4_.wvu.Cols" localSheetId="82" hidden="1">'AR table 6 &amp; Chart 7 (2)'!$C:$C</definedName>
    <definedName name="Z_2ACFE167_4169_43A6_9AB2_59D5A2DA2DB4_.wvu.Cols" localSheetId="49" hidden="1">'Comb Ratio'!$C:$C</definedName>
    <definedName name="Z_2ACFE167_4169_43A6_9AB2_59D5A2DA2DB4_.wvu.Cols" localSheetId="47" hidden="1">'GWP - Class wise - GI'!$C:$C</definedName>
    <definedName name="Z_2ACFE167_4169_43A6_9AB2_59D5A2DA2DB4_.wvu.Cols" localSheetId="44" hidden="1">'GWP-GIB (Final)'!$C:$E,'GWP-GIB (Final)'!$G:$H,'GWP-GIB (Final)'!$AE:$AE</definedName>
    <definedName name="Z_2ACFE167_4169_43A6_9AB2_59D5A2DA2DB4_.wvu.Cols" localSheetId="39" hidden="1">'GWP-LTIB (Final)'!$C:$E,'GWP-LTIB (Final)'!$G:$H,'GWP-LTIB (Final)'!$V:$V,'GWP-LTIB (Final)'!$AG:$AH</definedName>
    <definedName name="Z_2ACFE167_4169_43A6_9AB2_59D5A2DA2DB4_.wvu.Cols" localSheetId="54" hidden="1">'Invest Income GI - 2011'!$A:$B,'Invest Income GI - 2011'!$I:$K</definedName>
    <definedName name="Z_2ACFE167_4169_43A6_9AB2_59D5A2DA2DB4_.wvu.Cols" localSheetId="73" hidden="1">'Life Benifits Rs.''000'!$A:$B</definedName>
    <definedName name="Z_2ACFE167_4169_43A6_9AB2_59D5A2DA2DB4_.wvu.Cols" localSheetId="52" hidden="1">Retention!$C:$D</definedName>
    <definedName name="Z_2ACFE167_4169_43A6_9AB2_59D5A2DA2DB4_.wvu.Cols" localSheetId="11" hidden="1">'SH Funds'!$B:$B</definedName>
    <definedName name="Z_2ACFE167_4169_43A6_9AB2_59D5A2DA2DB4_.wvu.Cols" localSheetId="9" hidden="1">'Total Assets'!$B:$B</definedName>
    <definedName name="Z_2ACFE167_4169_43A6_9AB2_59D5A2DA2DB4_.wvu.PrintArea" localSheetId="74" hidden="1">'# of Life Benifits Paid'!$A$1:$H$145</definedName>
    <definedName name="Z_2ACFE167_4169_43A6_9AB2_59D5A2DA2DB4_.wvu.PrintArea" localSheetId="15" hidden="1">'10.Concen Assets-Companywis '!$A$1:$L$42</definedName>
    <definedName name="Z_2ACFE167_4169_43A6_9AB2_59D5A2DA2DB4_.wvu.PrintArea" localSheetId="22" hidden="1">'17. P &amp; L - GI - 2022'!$A$1:$K$602</definedName>
    <definedName name="Z_2ACFE167_4169_43A6_9AB2_59D5A2DA2DB4_.wvu.PrintArea" localSheetId="5" hidden="1">'2. GWP - LTIB '!$A$1:$D$28</definedName>
    <definedName name="Z_2ACFE167_4169_43A6_9AB2_59D5A2DA2DB4_.wvu.PrintArea" localSheetId="30" hidden="1">'25. GWP Class&amp; Com Wise-GI '!$B$154:$I$182</definedName>
    <definedName name="Z_2ACFE167_4169_43A6_9AB2_59D5A2DA2DB4_.wvu.PrintArea" localSheetId="31" hidden="1">'26. Combined Ratio'!$A$1:$G$53</definedName>
    <definedName name="Z_2ACFE167_4169_43A6_9AB2_59D5A2DA2DB4_.wvu.PrintArea" localSheetId="32" hidden="1">'27. Earned premium-GIB'!$A$124:$J$177</definedName>
    <definedName name="Z_2ACFE167_4169_43A6_9AB2_59D5A2DA2DB4_.wvu.PrintArea" localSheetId="33" hidden="1">'28. Claims Incurred-GIB'!$A$151:$H$154</definedName>
    <definedName name="Z_2ACFE167_4169_43A6_9AB2_59D5A2DA2DB4_.wvu.PrintArea" localSheetId="6" hidden="1">'3. GWP - GIB'!$A$1:$B$27</definedName>
    <definedName name="Z_2ACFE167_4169_43A6_9AB2_59D5A2DA2DB4_.wvu.PrintArea" localSheetId="36" hidden="1">'31. Reinsurance Premium'!$B$1:$I$177</definedName>
    <definedName name="Z_2ACFE167_4169_43A6_9AB2_59D5A2DA2DB4_.wvu.PrintArea" localSheetId="40" hidden="1">'33. New Policies LI (Final) '!$A$2:$B$26</definedName>
    <definedName name="Z_2ACFE167_4169_43A6_9AB2_59D5A2DA2DB4_.wvu.PrintArea" localSheetId="57" hidden="1">'34. Inforced Policies LI '!$B$1:$B$40</definedName>
    <definedName name="Z_2ACFE167_4169_43A6_9AB2_59D5A2DA2DB4_.wvu.PrintArea" localSheetId="72" hidden="1">'36. Life Benefits Rs.''000'!$A$164:$E$165</definedName>
    <definedName name="Z_2ACFE167_4169_43A6_9AB2_59D5A2DA2DB4_.wvu.PrintArea" localSheetId="83" hidden="1">'38. Abbreviations'!$A$1:$E$42</definedName>
    <definedName name="Z_2ACFE167_4169_43A6_9AB2_59D5A2DA2DB4_.wvu.PrintArea" localSheetId="8" hidden="1">'5. Fin Inst''n '!$A$1:$B$21</definedName>
    <definedName name="Z_2ACFE167_4169_43A6_9AB2_59D5A2DA2DB4_.wvu.PrintArea" localSheetId="10" hidden="1">'6. SH Fund '!$B$2:$B$44</definedName>
    <definedName name="Z_2ACFE167_4169_43A6_9AB2_59D5A2DA2DB4_.wvu.PrintArea" localSheetId="12" hidden="1">'7. Concentration of Assets-LTIB'!$A$1:$F$62</definedName>
    <definedName name="Z_2ACFE167_4169_43A6_9AB2_59D5A2DA2DB4_.wvu.PrintArea" localSheetId="13" hidden="1">'8. Assets Con-Company-wise LTI '!$A$1:$N$49</definedName>
    <definedName name="Z_2ACFE167_4169_43A6_9AB2_59D5A2DA2DB4_.wvu.PrintArea" localSheetId="14" hidden="1">'9. Concentration Assets - G '!$B$2:$C$50</definedName>
    <definedName name="Z_2ACFE167_4169_43A6_9AB2_59D5A2DA2DB4_.wvu.PrintArea" localSheetId="82" hidden="1">'AR table 6 &amp; Chart 7 (2)'!$A$1:$V$28</definedName>
    <definedName name="Z_2ACFE167_4169_43A6_9AB2_59D5A2DA2DB4_.wvu.PrintArea" localSheetId="46" hidden="1">'AR6&amp;7 Support I'!$A$13:$V$77</definedName>
    <definedName name="Z_2ACFE167_4169_43A6_9AB2_59D5A2DA2DB4_.wvu.PrintArea" localSheetId="62" hidden="1">'Co Ins Outward'!$A$1:$H$51</definedName>
    <definedName name="Z_2ACFE167_4169_43A6_9AB2_59D5A2DA2DB4_.wvu.PrintArea" localSheetId="49" hidden="1">'Comb Ratio'!$A$1:$G$43</definedName>
    <definedName name="Z_2ACFE167_4169_43A6_9AB2_59D5A2DA2DB4_.wvu.PrintArea" localSheetId="50" hidden="1">'Earned Premium-GIB (Final)'!$A$13:$V$57</definedName>
    <definedName name="Z_2ACFE167_4169_43A6_9AB2_59D5A2DA2DB4_.wvu.PrintArea" localSheetId="47" hidden="1">'GWP - Class wise - GI'!$A$1:$G$38</definedName>
    <definedName name="Z_2ACFE167_4169_43A6_9AB2_59D5A2DA2DB4_.wvu.PrintArea" localSheetId="56" hidden="1">'GWP - Dist Chan - GI'!$A$12:$F$244</definedName>
    <definedName name="Z_2ACFE167_4169_43A6_9AB2_59D5A2DA2DB4_.wvu.PrintArea" localSheetId="60" hidden="1">'GWP - Dist Chan - LI'!$A$1:$F$205</definedName>
    <definedName name="Z_2ACFE167_4169_43A6_9AB2_59D5A2DA2DB4_.wvu.PrintArea" localSheetId="48" hidden="1">'GWP Class &amp; Com Wise-GI (Final)'!$A$13:$V$57</definedName>
    <definedName name="Z_2ACFE167_4169_43A6_9AB2_59D5A2DA2DB4_.wvu.PrintArea" localSheetId="44" hidden="1">'GWP-GIB (Final)'!$C$1:$AV$136</definedName>
    <definedName name="Z_2ACFE167_4169_43A6_9AB2_59D5A2DA2DB4_.wvu.PrintArea" localSheetId="42" hidden="1">'Investment Income LI '!$A$1:$G$31</definedName>
    <definedName name="Z_2ACFE167_4169_43A6_9AB2_59D5A2DA2DB4_.wvu.PrintArea" localSheetId="41" hidden="1">'Investment Income LI  (Final)'!$A$1:$G$33</definedName>
    <definedName name="Z_2ACFE167_4169_43A6_9AB2_59D5A2DA2DB4_.wvu.PrintArea" localSheetId="73" hidden="1">'Life Benifits Rs.''000'!$A$1:$I$145</definedName>
    <definedName name="Z_2ACFE167_4169_43A6_9AB2_59D5A2DA2DB4_.wvu.PrintArea" localSheetId="2" hidden="1">List!$A$2:$C$50</definedName>
    <definedName name="Z_2ACFE167_4169_43A6_9AB2_59D5A2DA2DB4_.wvu.PrintArea" localSheetId="59" hidden="1">'New Busi LT'!$B$1:$K$172</definedName>
    <definedName name="Z_2ACFE167_4169_43A6_9AB2_59D5A2DA2DB4_.wvu.PrintArea" localSheetId="45" hidden="1">'P &amp; L - GI - 2012 '!$A$2:$H$594</definedName>
    <definedName name="Z_2ACFE167_4169_43A6_9AB2_59D5A2DA2DB4_.wvu.PrintArea" localSheetId="52" hidden="1">Retention!$A$1:$H$47</definedName>
    <definedName name="Z_2ACFE167_4169_43A6_9AB2_59D5A2DA2DB4_.wvu.PrintArea" localSheetId="11" hidden="1">'SH Funds'!$A$1:$K$32</definedName>
    <definedName name="Z_2ACFE167_4169_43A6_9AB2_59D5A2DA2DB4_.wvu.PrintArea" localSheetId="61" hidden="1">'SRCC &amp; TC 2011 &amp; 12'!$A$1:$H$55</definedName>
    <definedName name="Z_2ACFE167_4169_43A6_9AB2_59D5A2DA2DB4_.wvu.PrintArea" localSheetId="9" hidden="1">'Total Assets'!$A$1:$M$28</definedName>
    <definedName name="Z_2ACFE167_4169_43A6_9AB2_59D5A2DA2DB4_.wvu.PrintTitles" localSheetId="74" hidden="1">'# of Life Benifits Paid'!$2:$2</definedName>
    <definedName name="Z_2ACFE167_4169_43A6_9AB2_59D5A2DA2DB4_.wvu.PrintTitles" localSheetId="15" hidden="1">'10.Concen Assets-Companywis '!$2:$2</definedName>
    <definedName name="Z_2ACFE167_4169_43A6_9AB2_59D5A2DA2DB4_.wvu.PrintTitles" localSheetId="13" hidden="1">'8. Assets Con-Company-wise LTI '!$2:$2</definedName>
    <definedName name="Z_2ACFE167_4169_43A6_9AB2_59D5A2DA2DB4_.wvu.PrintTitles" localSheetId="38" hidden="1">'Branches-Emp-Agents'!$2:$2</definedName>
    <definedName name="Z_2ACFE167_4169_43A6_9AB2_59D5A2DA2DB4_.wvu.PrintTitles" localSheetId="55" hidden="1">'GI - Solvency'!$1:$1</definedName>
    <definedName name="Z_2ACFE167_4169_43A6_9AB2_59D5A2DA2DB4_.wvu.PrintTitles" localSheetId="43" hidden="1">'LI - Solvency'!$1:$1</definedName>
    <definedName name="Z_2ACFE167_4169_43A6_9AB2_59D5A2DA2DB4_.wvu.PrintTitles" localSheetId="73" hidden="1">'Life Benifits Rs.''000'!$2:$2</definedName>
    <definedName name="Z_2ACFE167_4169_43A6_9AB2_59D5A2DA2DB4_.wvu.PrintTitles" localSheetId="59" hidden="1">'New Busi LT'!$2:$2</definedName>
    <definedName name="Z_2ACFE167_4169_43A6_9AB2_59D5A2DA2DB4_.wvu.PrintTitles" localSheetId="45" hidden="1">'P &amp; L - GI - 2012 '!$2:$2</definedName>
    <definedName name="Z_2ACFE167_4169_43A6_9AB2_59D5A2DA2DB4_.wvu.Rows" localSheetId="6" hidden="1">'3. GWP - GIB'!$40:$54,'3. GWP - GIB'!$61:$117</definedName>
    <definedName name="Z_2ACFE167_4169_43A6_9AB2_59D5A2DA2DB4_.wvu.Rows" localSheetId="36" hidden="1">'31. Reinsurance Premium'!$149:$149</definedName>
    <definedName name="Z_2ACFE167_4169_43A6_9AB2_59D5A2DA2DB4_.wvu.Rows" localSheetId="40" hidden="1">'33. New Policies LI (Final) '!$1:$1,'33. New Policies LI (Final) '!#REF!</definedName>
    <definedName name="Z_2ACFE167_4169_43A6_9AB2_59D5A2DA2DB4_.wvu.Rows" localSheetId="57" hidden="1">'34. Inforced Policies LI '!#REF!</definedName>
    <definedName name="Z_2ACFE167_4169_43A6_9AB2_59D5A2DA2DB4_.wvu.Rows" localSheetId="12" hidden="1">'7. Concentration of Assets-LTIB'!#REF!,'7. Concentration of Assets-LTIB'!#REF!,'7. Concentration of Assets-LTIB'!#REF!,'7. Concentration of Assets-LTIB'!$20:$30</definedName>
    <definedName name="Z_2ACFE167_4169_43A6_9AB2_59D5A2DA2DB4_.wvu.Rows" localSheetId="13" hidden="1">'8. Assets Con-Company-wise LTI '!$45:$45</definedName>
    <definedName name="Z_2ACFE167_4169_43A6_9AB2_59D5A2DA2DB4_.wvu.Rows" localSheetId="47" hidden="1">'GWP - Class wise - GI'!$44:$61</definedName>
    <definedName name="Z_2ACFE167_4169_43A6_9AB2_59D5A2DA2DB4_.wvu.Rows" localSheetId="42" hidden="1">'Investment Income LI '!$32:$44</definedName>
    <definedName name="Z_2ACFE167_4169_43A6_9AB2_59D5A2DA2DB4_.wvu.Rows" localSheetId="43" hidden="1">'LI - Solvency'!$9:$9</definedName>
    <definedName name="Z_2ACFE167_4169_43A6_9AB2_59D5A2DA2DB4_.wvu.Rows" localSheetId="52" hidden="1">Retention!$48:$63</definedName>
    <definedName name="Z_46F31544_8E6F_41C5_8628_1D6EE074AF15_.wvu.Cols" localSheetId="74" hidden="1">'# of Life Benifits Paid'!$A:$B</definedName>
    <definedName name="Z_46F31544_8E6F_41C5_8628_1D6EE074AF15_.wvu.Cols" localSheetId="5" hidden="1">'2. GWP - LTIB '!#REF!,'2. GWP - LTIB '!#REF!,'2. GWP - LTIB '!#REF!,'2. GWP - LTIB '!$Q:$Q</definedName>
    <definedName name="Z_46F31544_8E6F_41C5_8628_1D6EE074AF15_.wvu.Cols" localSheetId="6" hidden="1">'3. GWP - GIB'!#REF!</definedName>
    <definedName name="Z_46F31544_8E6F_41C5_8628_1D6EE074AF15_.wvu.Cols" localSheetId="57" hidden="1">'34. Inforced Policies LI '!#REF!</definedName>
    <definedName name="Z_46F31544_8E6F_41C5_8628_1D6EE074AF15_.wvu.Cols" localSheetId="8" hidden="1">'5. Fin Inst''n '!#REF!</definedName>
    <definedName name="Z_46F31544_8E6F_41C5_8628_1D6EE074AF15_.wvu.Cols" localSheetId="68" hidden="1">'AR - Table 1'!$C:$D</definedName>
    <definedName name="Z_46F31544_8E6F_41C5_8628_1D6EE074AF15_.wvu.Cols" localSheetId="82" hidden="1">'AR table 6 &amp; Chart 7 (2)'!$C:$C</definedName>
    <definedName name="Z_46F31544_8E6F_41C5_8628_1D6EE074AF15_.wvu.Cols" localSheetId="49" hidden="1">'Comb Ratio'!$C:$C</definedName>
    <definedName name="Z_46F31544_8E6F_41C5_8628_1D6EE074AF15_.wvu.Cols" localSheetId="47" hidden="1">'GWP - Class wise - GI'!$C:$C</definedName>
    <definedName name="Z_46F31544_8E6F_41C5_8628_1D6EE074AF15_.wvu.Cols" localSheetId="44" hidden="1">'GWP-GIB (Final)'!$C:$E,'GWP-GIB (Final)'!$G:$H,'GWP-GIB (Final)'!$AE:$AE</definedName>
    <definedName name="Z_46F31544_8E6F_41C5_8628_1D6EE074AF15_.wvu.Cols" localSheetId="39" hidden="1">'GWP-LTIB (Final)'!$C:$E,'GWP-LTIB (Final)'!$G:$H,'GWP-LTIB (Final)'!$V:$V,'GWP-LTIB (Final)'!$AG:$AH</definedName>
    <definedName name="Z_46F31544_8E6F_41C5_8628_1D6EE074AF15_.wvu.Cols" localSheetId="54" hidden="1">'Invest Income GI - 2011'!$A:$B,'Invest Income GI - 2011'!$I:$K</definedName>
    <definedName name="Z_46F31544_8E6F_41C5_8628_1D6EE074AF15_.wvu.Cols" localSheetId="73" hidden="1">'Life Benifits Rs.''000'!$A:$B</definedName>
    <definedName name="Z_46F31544_8E6F_41C5_8628_1D6EE074AF15_.wvu.Cols" localSheetId="52" hidden="1">Retention!$C:$D</definedName>
    <definedName name="Z_46F31544_8E6F_41C5_8628_1D6EE074AF15_.wvu.Cols" localSheetId="11" hidden="1">'SH Funds'!$B:$B</definedName>
    <definedName name="Z_46F31544_8E6F_41C5_8628_1D6EE074AF15_.wvu.Cols" localSheetId="9" hidden="1">'Total Assets'!$B:$B</definedName>
    <definedName name="Z_46F31544_8E6F_41C5_8628_1D6EE074AF15_.wvu.PrintArea" localSheetId="74" hidden="1">'# of Life Benifits Paid'!$A$1:$H$145</definedName>
    <definedName name="Z_46F31544_8E6F_41C5_8628_1D6EE074AF15_.wvu.PrintArea" localSheetId="15" hidden="1">'10.Concen Assets-Companywis '!$A$1:$L$41</definedName>
    <definedName name="Z_46F31544_8E6F_41C5_8628_1D6EE074AF15_.wvu.PrintArea" localSheetId="5" hidden="1">'2. GWP - LTIB '!$A$1:$D$28</definedName>
    <definedName name="Z_46F31544_8E6F_41C5_8628_1D6EE074AF15_.wvu.PrintArea" localSheetId="30" hidden="1">'25. GWP Class&amp; Com Wise-GI '!$B$154:$I$182</definedName>
    <definedName name="Z_46F31544_8E6F_41C5_8628_1D6EE074AF15_.wvu.PrintArea" localSheetId="32" hidden="1">'27. Earned premium-GIB'!$A$124:$J$177</definedName>
    <definedName name="Z_46F31544_8E6F_41C5_8628_1D6EE074AF15_.wvu.PrintArea" localSheetId="33" hidden="1">'28. Claims Incurred-GIB'!$A$151:$H$154</definedName>
    <definedName name="Z_46F31544_8E6F_41C5_8628_1D6EE074AF15_.wvu.PrintArea" localSheetId="6" hidden="1">'3. GWP - GIB'!$A$1:$B$27</definedName>
    <definedName name="Z_46F31544_8E6F_41C5_8628_1D6EE074AF15_.wvu.PrintArea" localSheetId="36" hidden="1">'31. Reinsurance Premium'!$B$1:$I$177</definedName>
    <definedName name="Z_46F31544_8E6F_41C5_8628_1D6EE074AF15_.wvu.PrintArea" localSheetId="40" hidden="1">'33. New Policies LI (Final) '!$A$2:$B$26</definedName>
    <definedName name="Z_46F31544_8E6F_41C5_8628_1D6EE074AF15_.wvu.PrintArea" localSheetId="57" hidden="1">'34. Inforced Policies LI '!$B$1:$B$40</definedName>
    <definedName name="Z_46F31544_8E6F_41C5_8628_1D6EE074AF15_.wvu.PrintArea" localSheetId="83" hidden="1">'38. Abbreviations'!$A$1:$E$42</definedName>
    <definedName name="Z_46F31544_8E6F_41C5_8628_1D6EE074AF15_.wvu.PrintArea" localSheetId="8" hidden="1">'5. Fin Inst''n '!$A$1:$B$21</definedName>
    <definedName name="Z_46F31544_8E6F_41C5_8628_1D6EE074AF15_.wvu.PrintArea" localSheetId="12" hidden="1">'7. Concentration of Assets-LTIB'!$A$1:$F$62</definedName>
    <definedName name="Z_46F31544_8E6F_41C5_8628_1D6EE074AF15_.wvu.PrintArea" localSheetId="13" hidden="1">'8. Assets Con-Company-wise LTI '!$A$1:$N$49</definedName>
    <definedName name="Z_46F31544_8E6F_41C5_8628_1D6EE074AF15_.wvu.PrintArea" localSheetId="14" hidden="1">'9. Concentration Assets - G '!$B$2:$C$50</definedName>
    <definedName name="Z_46F31544_8E6F_41C5_8628_1D6EE074AF15_.wvu.PrintArea" localSheetId="82" hidden="1">'AR table 6 &amp; Chart 7 (2)'!$A$1:$V$28</definedName>
    <definedName name="Z_46F31544_8E6F_41C5_8628_1D6EE074AF15_.wvu.PrintArea" localSheetId="46" hidden="1">'AR6&amp;7 Support I'!$A$13:$V$77</definedName>
    <definedName name="Z_46F31544_8E6F_41C5_8628_1D6EE074AF15_.wvu.PrintArea" localSheetId="62" hidden="1">'Co Ins Outward'!$A$1:$H$51</definedName>
    <definedName name="Z_46F31544_8E6F_41C5_8628_1D6EE074AF15_.wvu.PrintArea" localSheetId="49" hidden="1">'Comb Ratio'!$A$1:$G$43</definedName>
    <definedName name="Z_46F31544_8E6F_41C5_8628_1D6EE074AF15_.wvu.PrintArea" localSheetId="50" hidden="1">'Earned Premium-GIB (Final)'!$A$13:$V$57</definedName>
    <definedName name="Z_46F31544_8E6F_41C5_8628_1D6EE074AF15_.wvu.PrintArea" localSheetId="47" hidden="1">'GWP - Class wise - GI'!$A$1:$G$38</definedName>
    <definedName name="Z_46F31544_8E6F_41C5_8628_1D6EE074AF15_.wvu.PrintArea" localSheetId="56" hidden="1">'GWP - Dist Chan - GI'!$A$12:$F$244</definedName>
    <definedName name="Z_46F31544_8E6F_41C5_8628_1D6EE074AF15_.wvu.PrintArea" localSheetId="60" hidden="1">'GWP - Dist Chan - LI'!$A$1:$F$205</definedName>
    <definedName name="Z_46F31544_8E6F_41C5_8628_1D6EE074AF15_.wvu.PrintArea" localSheetId="48" hidden="1">'GWP Class &amp; Com Wise-GI (Final)'!$A$13:$V$57</definedName>
    <definedName name="Z_46F31544_8E6F_41C5_8628_1D6EE074AF15_.wvu.PrintArea" localSheetId="44" hidden="1">'GWP-GIB (Final)'!$C$1:$AV$136</definedName>
    <definedName name="Z_46F31544_8E6F_41C5_8628_1D6EE074AF15_.wvu.PrintArea" localSheetId="42" hidden="1">'Investment Income LI '!$A$1:$G$31</definedName>
    <definedName name="Z_46F31544_8E6F_41C5_8628_1D6EE074AF15_.wvu.PrintArea" localSheetId="41" hidden="1">'Investment Income LI  (Final)'!$A$1:$G$33</definedName>
    <definedName name="Z_46F31544_8E6F_41C5_8628_1D6EE074AF15_.wvu.PrintArea" localSheetId="73" hidden="1">'Life Benifits Rs.''000'!$A$1:$I$145</definedName>
    <definedName name="Z_46F31544_8E6F_41C5_8628_1D6EE074AF15_.wvu.PrintArea" localSheetId="2" hidden="1">List!$A$2:$C$50</definedName>
    <definedName name="Z_46F31544_8E6F_41C5_8628_1D6EE074AF15_.wvu.PrintArea" localSheetId="59" hidden="1">'New Busi LT'!$B$1:$K$172</definedName>
    <definedName name="Z_46F31544_8E6F_41C5_8628_1D6EE074AF15_.wvu.PrintArea" localSheetId="45" hidden="1">'P &amp; L - GI - 2012 '!$A$2:$H$594</definedName>
    <definedName name="Z_46F31544_8E6F_41C5_8628_1D6EE074AF15_.wvu.PrintArea" localSheetId="52" hidden="1">Retention!$A$1:$H$47</definedName>
    <definedName name="Z_46F31544_8E6F_41C5_8628_1D6EE074AF15_.wvu.PrintArea" localSheetId="11" hidden="1">'SH Funds'!$A$1:$K$32</definedName>
    <definedName name="Z_46F31544_8E6F_41C5_8628_1D6EE074AF15_.wvu.PrintArea" localSheetId="61" hidden="1">'SRCC &amp; TC 2011 &amp; 12'!$A$1:$H$55</definedName>
    <definedName name="Z_46F31544_8E6F_41C5_8628_1D6EE074AF15_.wvu.PrintArea" localSheetId="9" hidden="1">'Total Assets'!$A$1:$M$28</definedName>
    <definedName name="Z_46F31544_8E6F_41C5_8628_1D6EE074AF15_.wvu.PrintTitles" localSheetId="74" hidden="1">'# of Life Benifits Paid'!$2:$2</definedName>
    <definedName name="Z_46F31544_8E6F_41C5_8628_1D6EE074AF15_.wvu.PrintTitles" localSheetId="15" hidden="1">'10.Concen Assets-Companywis '!$2:$2</definedName>
    <definedName name="Z_46F31544_8E6F_41C5_8628_1D6EE074AF15_.wvu.PrintTitles" localSheetId="13" hidden="1">'8. Assets Con-Company-wise LTI '!$2:$2</definedName>
    <definedName name="Z_46F31544_8E6F_41C5_8628_1D6EE074AF15_.wvu.PrintTitles" localSheetId="38" hidden="1">'Branches-Emp-Agents'!$2:$2</definedName>
    <definedName name="Z_46F31544_8E6F_41C5_8628_1D6EE074AF15_.wvu.PrintTitles" localSheetId="55" hidden="1">'GI - Solvency'!$1:$1</definedName>
    <definedName name="Z_46F31544_8E6F_41C5_8628_1D6EE074AF15_.wvu.PrintTitles" localSheetId="43" hidden="1">'LI - Solvency'!$1:$1</definedName>
    <definedName name="Z_46F31544_8E6F_41C5_8628_1D6EE074AF15_.wvu.PrintTitles" localSheetId="73" hidden="1">'Life Benifits Rs.''000'!$2:$2</definedName>
    <definedName name="Z_46F31544_8E6F_41C5_8628_1D6EE074AF15_.wvu.PrintTitles" localSheetId="59" hidden="1">'New Busi LT'!$2:$2</definedName>
    <definedName name="Z_46F31544_8E6F_41C5_8628_1D6EE074AF15_.wvu.PrintTitles" localSheetId="45" hidden="1">'P &amp; L - GI - 2012 '!$2:$2</definedName>
    <definedName name="Z_46F31544_8E6F_41C5_8628_1D6EE074AF15_.wvu.Rows" localSheetId="6" hidden="1">'3. GWP - GIB'!$40:$54,'3. GWP - GIB'!$61:$117</definedName>
    <definedName name="Z_46F31544_8E6F_41C5_8628_1D6EE074AF15_.wvu.Rows" localSheetId="36" hidden="1">'31. Reinsurance Premium'!$149:$149</definedName>
    <definedName name="Z_46F31544_8E6F_41C5_8628_1D6EE074AF15_.wvu.Rows" localSheetId="40" hidden="1">'33. New Policies LI (Final) '!$1:$1,'33. New Policies LI (Final) '!#REF!</definedName>
    <definedName name="Z_46F31544_8E6F_41C5_8628_1D6EE074AF15_.wvu.Rows" localSheetId="57" hidden="1">'34. Inforced Policies LI '!#REF!</definedName>
    <definedName name="Z_46F31544_8E6F_41C5_8628_1D6EE074AF15_.wvu.Rows" localSheetId="12" hidden="1">'7. Concentration of Assets-LTIB'!#REF!,'7. Concentration of Assets-LTIB'!#REF!,'7. Concentration of Assets-LTIB'!#REF!,'7. Concentration of Assets-LTIB'!$20:$30</definedName>
    <definedName name="Z_46F31544_8E6F_41C5_8628_1D6EE074AF15_.wvu.Rows" localSheetId="13" hidden="1">'8. Assets Con-Company-wise LTI '!$45:$45</definedName>
    <definedName name="Z_46F31544_8E6F_41C5_8628_1D6EE074AF15_.wvu.Rows" localSheetId="47" hidden="1">'GWP - Class wise - GI'!$44:$61</definedName>
    <definedName name="Z_46F31544_8E6F_41C5_8628_1D6EE074AF15_.wvu.Rows" localSheetId="42" hidden="1">'Investment Income LI '!$32:$44</definedName>
    <definedName name="Z_46F31544_8E6F_41C5_8628_1D6EE074AF15_.wvu.Rows" localSheetId="43" hidden="1">'LI - Solvency'!$9:$9</definedName>
    <definedName name="Z_46F31544_8E6F_41C5_8628_1D6EE074AF15_.wvu.Rows" localSheetId="52" hidden="1">Retention!$48:$63</definedName>
    <definedName name="Z_5E394B0B_7867_4722_9497_A93AB2A9A773_.wvu.Cols" localSheetId="74" hidden="1">'# of Life Benifits Paid'!$A:$B</definedName>
    <definedName name="Z_5E394B0B_7867_4722_9497_A93AB2A9A773_.wvu.Cols" localSheetId="21" hidden="1">'16. BS 2021 GI'!#REF!</definedName>
    <definedName name="Z_5E394B0B_7867_4722_9497_A93AB2A9A773_.wvu.Cols" localSheetId="5" hidden="1">'2. GWP - LTIB '!#REF!,'2. GWP - LTIB '!$Q:$Q</definedName>
    <definedName name="Z_5E394B0B_7867_4722_9497_A93AB2A9A773_.wvu.Cols" localSheetId="29" hidden="1">'24.  Solvency  GI '!$J:$K</definedName>
    <definedName name="Z_5E394B0B_7867_4722_9497_A93AB2A9A773_.wvu.Cols" localSheetId="57" hidden="1">'34. Inforced Policies LI '!#REF!</definedName>
    <definedName name="Z_5E394B0B_7867_4722_9497_A93AB2A9A773_.wvu.Cols" localSheetId="68" hidden="1">'AR - Table 1'!$C:$D</definedName>
    <definedName name="Z_5E394B0B_7867_4722_9497_A93AB2A9A773_.wvu.Cols" localSheetId="82" hidden="1">'AR table 6 &amp; Chart 7 (2)'!$C:$C</definedName>
    <definedName name="Z_5E394B0B_7867_4722_9497_A93AB2A9A773_.wvu.Cols" localSheetId="49" hidden="1">'Comb Ratio'!$C:$C</definedName>
    <definedName name="Z_5E394B0B_7867_4722_9497_A93AB2A9A773_.wvu.Cols" localSheetId="47" hidden="1">'GWP - Class wise - GI'!$C:$C</definedName>
    <definedName name="Z_5E394B0B_7867_4722_9497_A93AB2A9A773_.wvu.Cols" localSheetId="44" hidden="1">'GWP-GIB (Final)'!$C:$E,'GWP-GIB (Final)'!$G:$H,'GWP-GIB (Final)'!$AE:$AE</definedName>
    <definedName name="Z_5E394B0B_7867_4722_9497_A93AB2A9A773_.wvu.Cols" localSheetId="39" hidden="1">'GWP-LTIB (Final)'!$C:$E,'GWP-LTIB (Final)'!$G:$H,'GWP-LTIB (Final)'!$V:$V,'GWP-LTIB (Final)'!$AG:$AH</definedName>
    <definedName name="Z_5E394B0B_7867_4722_9497_A93AB2A9A773_.wvu.Cols" localSheetId="54" hidden="1">'Invest Income GI - 2011'!$A:$B,'Invest Income GI - 2011'!$I:$K</definedName>
    <definedName name="Z_5E394B0B_7867_4722_9497_A93AB2A9A773_.wvu.Cols" localSheetId="73" hidden="1">'Life Benifits Rs.''000'!$A:$B</definedName>
    <definedName name="Z_5E394B0B_7867_4722_9497_A93AB2A9A773_.wvu.Cols" localSheetId="52" hidden="1">Retention!$C:$D</definedName>
    <definedName name="Z_5E394B0B_7867_4722_9497_A93AB2A9A773_.wvu.Cols" localSheetId="11" hidden="1">'SH Funds'!$B:$B</definedName>
    <definedName name="Z_5E394B0B_7867_4722_9497_A93AB2A9A773_.wvu.Cols" localSheetId="9" hidden="1">'Total Assets'!$B:$B</definedName>
    <definedName name="Z_5E394B0B_7867_4722_9497_A93AB2A9A773_.wvu.PrintArea" localSheetId="74" hidden="1">'# of Life Benifits Paid'!$A$1:$H$145</definedName>
    <definedName name="Z_5E394B0B_7867_4722_9497_A93AB2A9A773_.wvu.PrintArea" localSheetId="3" hidden="1">'1. GWP - LT + GI  (Final) '!$A$1:$G$36</definedName>
    <definedName name="Z_5E394B0B_7867_4722_9497_A93AB2A9A773_.wvu.PrintArea" localSheetId="15" hidden="1">'10.Concen Assets-Companywis '!$B$22:$J$34</definedName>
    <definedName name="Z_5E394B0B_7867_4722_9497_A93AB2A9A773_.wvu.PrintArea" localSheetId="16" hidden="1">'11. Balance Sheet - 2022-LI '!$B$1:$Q$50</definedName>
    <definedName name="Z_5E394B0B_7867_4722_9497_A93AB2A9A773_.wvu.PrintArea" localSheetId="17" hidden="1">'12. Balance Sheet - 2021-LI'!$B$1:$M$824</definedName>
    <definedName name="Z_5E394B0B_7867_4722_9497_A93AB2A9A773_.wvu.PrintArea" localSheetId="20" hidden="1">'15. BS 2022 GI '!$C$1:$H$48</definedName>
    <definedName name="Z_5E394B0B_7867_4722_9497_A93AB2A9A773_.wvu.PrintArea" localSheetId="22" hidden="1">'17. P &amp; L - GI - 2022'!$B$399:$K$431</definedName>
    <definedName name="Z_5E394B0B_7867_4722_9497_A93AB2A9A773_.wvu.PrintArea" localSheetId="23" hidden="1">'18.P &amp; L - GI 2021 '!$B$386:$K$417</definedName>
    <definedName name="Z_5E394B0B_7867_4722_9497_A93AB2A9A773_.wvu.PrintArea" localSheetId="5" hidden="1">'2. GWP - LTIB '!$A$1:$D$28</definedName>
    <definedName name="Z_5E394B0B_7867_4722_9497_A93AB2A9A773_.wvu.PrintArea" localSheetId="28" hidden="1">'23. Solvency LI  '!$A$2:$J$27</definedName>
    <definedName name="Z_5E394B0B_7867_4722_9497_A93AB2A9A773_.wvu.PrintArea" localSheetId="29" hidden="1">'24.  Solvency  GI '!$A$2:$K$21</definedName>
    <definedName name="Z_5E394B0B_7867_4722_9497_A93AB2A9A773_.wvu.PrintArea" localSheetId="30" hidden="1">'25. GWP Class&amp; Com Wise-GI '!$B$156:$I$180</definedName>
    <definedName name="Z_5E394B0B_7867_4722_9497_A93AB2A9A773_.wvu.PrintArea" localSheetId="31" hidden="1">'26. Combined Ratio'!$B$2:$G$53</definedName>
    <definedName name="Z_5E394B0B_7867_4722_9497_A93AB2A9A773_.wvu.PrintArea" localSheetId="32" hidden="1">'27. Earned premium-GIB'!$B$148:$H$169</definedName>
    <definedName name="Z_5E394B0B_7867_4722_9497_A93AB2A9A773_.wvu.PrintArea" localSheetId="33" hidden="1">'28. Claims Incurred-GIB'!$B$1:$H$151</definedName>
    <definedName name="Z_5E394B0B_7867_4722_9497_A93AB2A9A773_.wvu.PrintArea" localSheetId="6" hidden="1">'3. GWP - GIB'!$A$1:$G$27</definedName>
    <definedName name="Z_5E394B0B_7867_4722_9497_A93AB2A9A773_.wvu.PrintArea" localSheetId="35" hidden="1">'30. Retention final '!$B$2:$G$50</definedName>
    <definedName name="Z_5E394B0B_7867_4722_9497_A93AB2A9A773_.wvu.PrintArea" localSheetId="36" hidden="1">'31. Reinsurance Premium'!$B$1:$H$175</definedName>
    <definedName name="Z_5E394B0B_7867_4722_9497_A93AB2A9A773_.wvu.PrintArea" localSheetId="37" hidden="1">'32. Branches, Emp, Agents'!$B$325:$N$436</definedName>
    <definedName name="Z_5E394B0B_7867_4722_9497_A93AB2A9A773_.wvu.PrintArea" localSheetId="40" hidden="1">'33. New Policies LI (Final) '!$A$2:$C$26</definedName>
    <definedName name="Z_5E394B0B_7867_4722_9497_A93AB2A9A773_.wvu.PrintArea" localSheetId="57" hidden="1">'34. Inforced Policies LI '!$B$1:$C$40</definedName>
    <definedName name="Z_5E394B0B_7867_4722_9497_A93AB2A9A773_.wvu.PrintArea" localSheetId="72" hidden="1">'36. Life Benefits Rs.''000'!$A$164:$E$165</definedName>
    <definedName name="Z_5E394B0B_7867_4722_9497_A93AB2A9A773_.wvu.PrintArea" localSheetId="83" hidden="1">'38. Abbreviations'!$A$1:$E$42</definedName>
    <definedName name="Z_5E394B0B_7867_4722_9497_A93AB2A9A773_.wvu.PrintArea" localSheetId="10" hidden="1">'6. SH Fund '!$B$2:$B$44</definedName>
    <definedName name="Z_5E394B0B_7867_4722_9497_A93AB2A9A773_.wvu.PrintArea" localSheetId="12" hidden="1">'7. Concentration of Assets-LTIB'!$A$1:$F$62</definedName>
    <definedName name="Z_5E394B0B_7867_4722_9497_A93AB2A9A773_.wvu.PrintArea" localSheetId="13" hidden="1">'8. Assets Con-Company-wise LTI '!$A$1:$N$49</definedName>
    <definedName name="Z_5E394B0B_7867_4722_9497_A93AB2A9A773_.wvu.PrintArea" localSheetId="14" hidden="1">'9. Concentration Assets - G '!$A$2:$D$23</definedName>
    <definedName name="Z_5E394B0B_7867_4722_9497_A93AB2A9A773_.wvu.PrintArea" localSheetId="82" hidden="1">'AR table 6 &amp; Chart 7 (2)'!$A$1:$V$28</definedName>
    <definedName name="Z_5E394B0B_7867_4722_9497_A93AB2A9A773_.wvu.PrintArea" localSheetId="46" hidden="1">'AR6&amp;7 Support I'!$A$13:$V$77</definedName>
    <definedName name="Z_5E394B0B_7867_4722_9497_A93AB2A9A773_.wvu.PrintArea" localSheetId="62" hidden="1">'Co Ins Outward'!$A$1:$H$51</definedName>
    <definedName name="Z_5E394B0B_7867_4722_9497_A93AB2A9A773_.wvu.PrintArea" localSheetId="49" hidden="1">'Comb Ratio'!$A$1:$G$43</definedName>
    <definedName name="Z_5E394B0B_7867_4722_9497_A93AB2A9A773_.wvu.PrintArea" localSheetId="50" hidden="1">'Earned Premium-GIB (Final)'!$A$13:$V$57</definedName>
    <definedName name="Z_5E394B0B_7867_4722_9497_A93AB2A9A773_.wvu.PrintArea" localSheetId="47" hidden="1">'GWP - Class wise - GI'!$A$1:$G$38</definedName>
    <definedName name="Z_5E394B0B_7867_4722_9497_A93AB2A9A773_.wvu.PrintArea" localSheetId="56" hidden="1">'GWP - Dist Chan - GI'!$A$12:$F$244</definedName>
    <definedName name="Z_5E394B0B_7867_4722_9497_A93AB2A9A773_.wvu.PrintArea" localSheetId="60" hidden="1">'GWP - Dist Chan - LI'!$A$1:$F$205</definedName>
    <definedName name="Z_5E394B0B_7867_4722_9497_A93AB2A9A773_.wvu.PrintArea" localSheetId="48" hidden="1">'GWP Class &amp; Com Wise-GI (Final)'!$A$13:$V$57</definedName>
    <definedName name="Z_5E394B0B_7867_4722_9497_A93AB2A9A773_.wvu.PrintArea" localSheetId="44" hidden="1">'GWP-GIB (Final)'!$C$1:$AV$136</definedName>
    <definedName name="Z_5E394B0B_7867_4722_9497_A93AB2A9A773_.wvu.PrintArea" localSheetId="42" hidden="1">'Investment Income LI '!$A$1:$G$31</definedName>
    <definedName name="Z_5E394B0B_7867_4722_9497_A93AB2A9A773_.wvu.PrintArea" localSheetId="41" hidden="1">'Investment Income LI  (Final)'!$A$1:$G$33</definedName>
    <definedName name="Z_5E394B0B_7867_4722_9497_A93AB2A9A773_.wvu.PrintArea" localSheetId="73" hidden="1">'Life Benifits Rs.''000'!$A$1:$I$145</definedName>
    <definedName name="Z_5E394B0B_7867_4722_9497_A93AB2A9A773_.wvu.PrintArea" localSheetId="2" hidden="1">List!$A$2:$C$50</definedName>
    <definedName name="Z_5E394B0B_7867_4722_9497_A93AB2A9A773_.wvu.PrintArea" localSheetId="59" hidden="1">'New Busi LT'!$B$1:$K$172</definedName>
    <definedName name="Z_5E394B0B_7867_4722_9497_A93AB2A9A773_.wvu.PrintArea" localSheetId="45" hidden="1">'P &amp; L - GI - 2012 '!$A$2:$H$594</definedName>
    <definedName name="Z_5E394B0B_7867_4722_9497_A93AB2A9A773_.wvu.PrintArea" localSheetId="52" hidden="1">Retention!$A$1:$H$47</definedName>
    <definedName name="Z_5E394B0B_7867_4722_9497_A93AB2A9A773_.wvu.PrintArea" localSheetId="11" hidden="1">'SH Funds'!$A$1:$K$32</definedName>
    <definedName name="Z_5E394B0B_7867_4722_9497_A93AB2A9A773_.wvu.PrintArea" localSheetId="61" hidden="1">'SRCC &amp; TC 2011 &amp; 12'!$A$1:$H$55</definedName>
    <definedName name="Z_5E394B0B_7867_4722_9497_A93AB2A9A773_.wvu.PrintArea" localSheetId="9" hidden="1">'Total Assets'!$A$1:$M$28</definedName>
    <definedName name="Z_5E394B0B_7867_4722_9497_A93AB2A9A773_.wvu.PrintTitles" localSheetId="74" hidden="1">'# of Life Benifits Paid'!$2:$2</definedName>
    <definedName name="Z_5E394B0B_7867_4722_9497_A93AB2A9A773_.wvu.PrintTitles" localSheetId="13" hidden="1">'8. Assets Con-Company-wise LTI '!$2:$2</definedName>
    <definedName name="Z_5E394B0B_7867_4722_9497_A93AB2A9A773_.wvu.PrintTitles" localSheetId="38" hidden="1">'Branches-Emp-Agents'!$2:$2</definedName>
    <definedName name="Z_5E394B0B_7867_4722_9497_A93AB2A9A773_.wvu.PrintTitles" localSheetId="55" hidden="1">'GI - Solvency'!$1:$1</definedName>
    <definedName name="Z_5E394B0B_7867_4722_9497_A93AB2A9A773_.wvu.PrintTitles" localSheetId="43" hidden="1">'LI - Solvency'!$1:$1</definedName>
    <definedName name="Z_5E394B0B_7867_4722_9497_A93AB2A9A773_.wvu.PrintTitles" localSheetId="73" hidden="1">'Life Benifits Rs.''000'!$2:$2</definedName>
    <definedName name="Z_5E394B0B_7867_4722_9497_A93AB2A9A773_.wvu.PrintTitles" localSheetId="59" hidden="1">'New Busi LT'!$2:$2</definedName>
    <definedName name="Z_5E394B0B_7867_4722_9497_A93AB2A9A773_.wvu.PrintTitles" localSheetId="45" hidden="1">'P &amp; L - GI - 2012 '!$2:$2</definedName>
    <definedName name="Z_5E394B0B_7867_4722_9497_A93AB2A9A773_.wvu.Rows" localSheetId="20" hidden="1">'15. BS 2022 GI '!$607:$607</definedName>
    <definedName name="Z_5E394B0B_7867_4722_9497_A93AB2A9A773_.wvu.Rows" localSheetId="21" hidden="1">'16. BS 2021 GI'!#REF!</definedName>
    <definedName name="Z_5E394B0B_7867_4722_9497_A93AB2A9A773_.wvu.Rows" localSheetId="6" hidden="1">'3. GWP - GIB'!#REF!,'3. GWP - GIB'!$40:$54,'3. GWP - GIB'!$61:$117</definedName>
    <definedName name="Z_5E394B0B_7867_4722_9497_A93AB2A9A773_.wvu.Rows" localSheetId="40" hidden="1">'33. New Policies LI (Final) '!$1:$1,'33. New Policies LI (Final) '!#REF!</definedName>
    <definedName name="Z_5E394B0B_7867_4722_9497_A93AB2A9A773_.wvu.Rows" localSheetId="57" hidden="1">'34. Inforced Policies LI '!#REF!</definedName>
    <definedName name="Z_5E394B0B_7867_4722_9497_A93AB2A9A773_.wvu.Rows" localSheetId="13" hidden="1">'8. Assets Con-Company-wise LTI '!$45:$45</definedName>
    <definedName name="Z_5E394B0B_7867_4722_9497_A93AB2A9A773_.wvu.Rows" localSheetId="47" hidden="1">'GWP - Class wise - GI'!$44:$61</definedName>
    <definedName name="Z_5E394B0B_7867_4722_9497_A93AB2A9A773_.wvu.Rows" localSheetId="42" hidden="1">'Investment Income LI '!$32:$44</definedName>
    <definedName name="Z_5E394B0B_7867_4722_9497_A93AB2A9A773_.wvu.Rows" localSheetId="43" hidden="1">'LI - Solvency'!$9:$9</definedName>
    <definedName name="Z_5E394B0B_7867_4722_9497_A93AB2A9A773_.wvu.Rows" localSheetId="52" hidden="1">Retention!$48:$63</definedName>
    <definedName name="Z_8A2AFBA4_BC0D_47DB_BC87_22A66B6E47A0_.wvu.Cols" localSheetId="28" hidden="1">'23. Solvency LI  '!#REF!</definedName>
    <definedName name="Z_8A2AFBA4_BC0D_47DB_BC87_22A66B6E47A0_.wvu.Cols" localSheetId="29" hidden="1">'24.  Solvency  GI '!$J:$K</definedName>
    <definedName name="Z_8A2AFBA4_BC0D_47DB_BC87_22A66B6E47A0_.wvu.Cols" localSheetId="31" hidden="1">'26. Combined Ratio'!#REF!</definedName>
    <definedName name="Z_8A2AFBA4_BC0D_47DB_BC87_22A66B6E47A0_.wvu.Cols" localSheetId="35" hidden="1">'30. Retention final '!#REF!</definedName>
    <definedName name="Z_8A2AFBA4_BC0D_47DB_BC87_22A66B6E47A0_.wvu.Cols" localSheetId="7" hidden="1">'4. Industry Assets '!#REF!</definedName>
    <definedName name="Z_8A2AFBA4_BC0D_47DB_BC87_22A66B6E47A0_.wvu.Cols" localSheetId="10" hidden="1">'6. SH Fund '!#REF!</definedName>
    <definedName name="Z_8A2AFBA4_BC0D_47DB_BC87_22A66B6E47A0_.wvu.PrintArea" localSheetId="28" hidden="1">'23. Solvency LI  '!$A$2:$J$27</definedName>
    <definedName name="Z_8A2AFBA4_BC0D_47DB_BC87_22A66B6E47A0_.wvu.PrintArea" localSheetId="31" hidden="1">'26. Combined Ratio'!$A$1:$T$51</definedName>
    <definedName name="Z_8A2AFBA4_BC0D_47DB_BC87_22A66B6E47A0_.wvu.PrintArea" localSheetId="37" hidden="1">'32. Branches, Emp, Agents'!$B$1:$O$289</definedName>
    <definedName name="Z_8A2AFBA4_BC0D_47DB_BC87_22A66B6E47A0_.wvu.PrintArea" localSheetId="72" hidden="1">'36. Life Benefits Rs.''000'!$A$164:$E$165</definedName>
    <definedName name="Z_8A2AFBA4_BC0D_47DB_BC87_22A66B6E47A0_.wvu.PrintArea" localSheetId="7" hidden="1">'4. Industry Assets '!#REF!</definedName>
    <definedName name="Z_8A2AFBA4_BC0D_47DB_BC87_22A66B6E47A0_.wvu.PrintArea" localSheetId="10" hidden="1">'6. SH Fund '!#REF!</definedName>
    <definedName name="Z_8A2AFBA4_BC0D_47DB_BC87_22A66B6E47A0_.wvu.Rows" localSheetId="28" hidden="1">'23. Solvency LI  '!#REF!</definedName>
    <definedName name="Z_8A2AFBA4_BC0D_47DB_BC87_22A66B6E47A0_.wvu.Rows" localSheetId="58" hidden="1">'35. New Business '!$19:$26,'35. New Business '!$53:$53,'35. New Business '!$89:$89,'35. New Business '!$111:$112,'35. New Business '!#REF!,'35. New Business '!$139:$141,'35. New Business '!$155:$158,'35. New Business '!$172:$175,'35. New Business '!$189:$192,'35. New Business '!$206:$209,'35. New Business '!$223:$226,'35. New Business '!$240:$243,'35. New Business '!$257:$260,'35. New Business '!$274:$277,'35. New Business '!$291:$294,'35. New Business '!$308:$311,'35. New Business '!$325:$328</definedName>
    <definedName name="Z_967E0446_E234_427F_8E57_7FE287052E2E_.wvu.Cols" localSheetId="74" hidden="1">'# of Life Benifits Paid'!$A:$B</definedName>
    <definedName name="Z_967E0446_E234_427F_8E57_7FE287052E2E_.wvu.Cols" localSheetId="5" hidden="1">'2. GWP - LTIB '!#REF!,'2. GWP - LTIB '!#REF!,'2. GWP - LTIB '!#REF!,'2. GWP - LTIB '!$Q:$Q</definedName>
    <definedName name="Z_967E0446_E234_427F_8E57_7FE287052E2E_.wvu.Cols" localSheetId="29" hidden="1">'24.  Solvency  GI '!$J:$K</definedName>
    <definedName name="Z_967E0446_E234_427F_8E57_7FE287052E2E_.wvu.Cols" localSheetId="31" hidden="1">'26. Combined Ratio'!#REF!</definedName>
    <definedName name="Z_967E0446_E234_427F_8E57_7FE287052E2E_.wvu.Cols" localSheetId="35" hidden="1">'30. Retention final '!#REF!</definedName>
    <definedName name="Z_967E0446_E234_427F_8E57_7FE287052E2E_.wvu.Cols" localSheetId="57" hidden="1">'34. Inforced Policies LI '!#REF!</definedName>
    <definedName name="Z_967E0446_E234_427F_8E57_7FE287052E2E_.wvu.Cols" localSheetId="8" hidden="1">'5. Fin Inst''n '!#REF!</definedName>
    <definedName name="Z_967E0446_E234_427F_8E57_7FE287052E2E_.wvu.Cols" localSheetId="68" hidden="1">'AR - Table 1'!$C:$D</definedName>
    <definedName name="Z_967E0446_E234_427F_8E57_7FE287052E2E_.wvu.Cols" localSheetId="82" hidden="1">'AR table 6 &amp; Chart 7 (2)'!$C:$C</definedName>
    <definedName name="Z_967E0446_E234_427F_8E57_7FE287052E2E_.wvu.Cols" localSheetId="49" hidden="1">'Comb Ratio'!$C:$C</definedName>
    <definedName name="Z_967E0446_E234_427F_8E57_7FE287052E2E_.wvu.Cols" localSheetId="47" hidden="1">'GWP - Class wise - GI'!$C:$C</definedName>
    <definedName name="Z_967E0446_E234_427F_8E57_7FE287052E2E_.wvu.Cols" localSheetId="44" hidden="1">'GWP-GIB (Final)'!$C:$E,'GWP-GIB (Final)'!$G:$H,'GWP-GIB (Final)'!$AE:$AE</definedName>
    <definedName name="Z_967E0446_E234_427F_8E57_7FE287052E2E_.wvu.Cols" localSheetId="39" hidden="1">'GWP-LTIB (Final)'!$C:$E,'GWP-LTIB (Final)'!$G:$H,'GWP-LTIB (Final)'!$V:$V,'GWP-LTIB (Final)'!$AG:$AH</definedName>
    <definedName name="Z_967E0446_E234_427F_8E57_7FE287052E2E_.wvu.Cols" localSheetId="54" hidden="1">'Invest Income GI - 2011'!$A:$B,'Invest Income GI - 2011'!$I:$K</definedName>
    <definedName name="Z_967E0446_E234_427F_8E57_7FE287052E2E_.wvu.Cols" localSheetId="73" hidden="1">'Life Benifits Rs.''000'!$A:$B</definedName>
    <definedName name="Z_967E0446_E234_427F_8E57_7FE287052E2E_.wvu.Cols" localSheetId="52" hidden="1">Retention!$C:$D</definedName>
    <definedName name="Z_967E0446_E234_427F_8E57_7FE287052E2E_.wvu.Cols" localSheetId="11" hidden="1">'SH Funds'!$B:$B</definedName>
    <definedName name="Z_967E0446_E234_427F_8E57_7FE287052E2E_.wvu.Cols" localSheetId="9" hidden="1">'Total Assets'!$B:$B</definedName>
    <definedName name="Z_967E0446_E234_427F_8E57_7FE287052E2E_.wvu.PrintArea" localSheetId="74" hidden="1">'# of Life Benifits Paid'!$A$1:$H$145</definedName>
    <definedName name="Z_967E0446_E234_427F_8E57_7FE287052E2E_.wvu.PrintArea" localSheetId="15" hidden="1">'10.Concen Assets-Companywis '!$A$1:$L$42</definedName>
    <definedName name="Z_967E0446_E234_427F_8E57_7FE287052E2E_.wvu.PrintArea" localSheetId="22" hidden="1">'17. P &amp; L - GI - 2022'!$A$1:$K$602</definedName>
    <definedName name="Z_967E0446_E234_427F_8E57_7FE287052E2E_.wvu.PrintArea" localSheetId="5" hidden="1">'2. GWP - LTIB '!$A$1:$D$28</definedName>
    <definedName name="Z_967E0446_E234_427F_8E57_7FE287052E2E_.wvu.PrintArea" localSheetId="30" hidden="1">'25. GWP Class&amp; Com Wise-GI '!$B$154:$I$182</definedName>
    <definedName name="Z_967E0446_E234_427F_8E57_7FE287052E2E_.wvu.PrintArea" localSheetId="31" hidden="1">'26. Combined Ratio'!$A$1:$G$53</definedName>
    <definedName name="Z_967E0446_E234_427F_8E57_7FE287052E2E_.wvu.PrintArea" localSheetId="32" hidden="1">'27. Earned premium-GIB'!$A$124:$J$177</definedName>
    <definedName name="Z_967E0446_E234_427F_8E57_7FE287052E2E_.wvu.PrintArea" localSheetId="33" hidden="1">'28. Claims Incurred-GIB'!$A$151:$H$154</definedName>
    <definedName name="Z_967E0446_E234_427F_8E57_7FE287052E2E_.wvu.PrintArea" localSheetId="6" hidden="1">'3. GWP - GIB'!$A$1:$B$27</definedName>
    <definedName name="Z_967E0446_E234_427F_8E57_7FE287052E2E_.wvu.PrintArea" localSheetId="36" hidden="1">'31. Reinsurance Premium'!$B$1:$I$177</definedName>
    <definedName name="Z_967E0446_E234_427F_8E57_7FE287052E2E_.wvu.PrintArea" localSheetId="40" hidden="1">'33. New Policies LI (Final) '!$A$2:$B$26</definedName>
    <definedName name="Z_967E0446_E234_427F_8E57_7FE287052E2E_.wvu.PrintArea" localSheetId="57" hidden="1">'34. Inforced Policies LI '!$B$1:$B$40</definedName>
    <definedName name="Z_967E0446_E234_427F_8E57_7FE287052E2E_.wvu.PrintArea" localSheetId="72" hidden="1">'36. Life Benefits Rs.''000'!$A$164:$E$165</definedName>
    <definedName name="Z_967E0446_E234_427F_8E57_7FE287052E2E_.wvu.PrintArea" localSheetId="83" hidden="1">'38. Abbreviations'!$A$1:$E$42</definedName>
    <definedName name="Z_967E0446_E234_427F_8E57_7FE287052E2E_.wvu.PrintArea" localSheetId="8" hidden="1">'5. Fin Inst''n '!$A$1:$B$21</definedName>
    <definedName name="Z_967E0446_E234_427F_8E57_7FE287052E2E_.wvu.PrintArea" localSheetId="10" hidden="1">'6. SH Fund '!$B$2:$B$44</definedName>
    <definedName name="Z_967E0446_E234_427F_8E57_7FE287052E2E_.wvu.PrintArea" localSheetId="12" hidden="1">'7. Concentration of Assets-LTIB'!$A$1:$F$62</definedName>
    <definedName name="Z_967E0446_E234_427F_8E57_7FE287052E2E_.wvu.PrintArea" localSheetId="13" hidden="1">'8. Assets Con-Company-wise LTI '!$A$1:$N$49</definedName>
    <definedName name="Z_967E0446_E234_427F_8E57_7FE287052E2E_.wvu.PrintArea" localSheetId="14" hidden="1">'9. Concentration Assets - G '!$B$2:$C$50</definedName>
    <definedName name="Z_967E0446_E234_427F_8E57_7FE287052E2E_.wvu.PrintArea" localSheetId="82" hidden="1">'AR table 6 &amp; Chart 7 (2)'!$A$1:$V$28</definedName>
    <definedName name="Z_967E0446_E234_427F_8E57_7FE287052E2E_.wvu.PrintArea" localSheetId="46" hidden="1">'AR6&amp;7 Support I'!$A$13:$V$77</definedName>
    <definedName name="Z_967E0446_E234_427F_8E57_7FE287052E2E_.wvu.PrintArea" localSheetId="62" hidden="1">'Co Ins Outward'!$A$1:$H$51</definedName>
    <definedName name="Z_967E0446_E234_427F_8E57_7FE287052E2E_.wvu.PrintArea" localSheetId="49" hidden="1">'Comb Ratio'!$A$1:$G$43</definedName>
    <definedName name="Z_967E0446_E234_427F_8E57_7FE287052E2E_.wvu.PrintArea" localSheetId="50" hidden="1">'Earned Premium-GIB (Final)'!$A$13:$V$57</definedName>
    <definedName name="Z_967E0446_E234_427F_8E57_7FE287052E2E_.wvu.PrintArea" localSheetId="47" hidden="1">'GWP - Class wise - GI'!$A$1:$G$38</definedName>
    <definedName name="Z_967E0446_E234_427F_8E57_7FE287052E2E_.wvu.PrintArea" localSheetId="56" hidden="1">'GWP - Dist Chan - GI'!$A$12:$F$244</definedName>
    <definedName name="Z_967E0446_E234_427F_8E57_7FE287052E2E_.wvu.PrintArea" localSheetId="60" hidden="1">'GWP - Dist Chan - LI'!$A$1:$F$205</definedName>
    <definedName name="Z_967E0446_E234_427F_8E57_7FE287052E2E_.wvu.PrintArea" localSheetId="48" hidden="1">'GWP Class &amp; Com Wise-GI (Final)'!$A$13:$V$57</definedName>
    <definedName name="Z_967E0446_E234_427F_8E57_7FE287052E2E_.wvu.PrintArea" localSheetId="44" hidden="1">'GWP-GIB (Final)'!$C$1:$AV$136</definedName>
    <definedName name="Z_967E0446_E234_427F_8E57_7FE287052E2E_.wvu.PrintArea" localSheetId="42" hidden="1">'Investment Income LI '!$A$1:$G$31</definedName>
    <definedName name="Z_967E0446_E234_427F_8E57_7FE287052E2E_.wvu.PrintArea" localSheetId="41" hidden="1">'Investment Income LI  (Final)'!$A$1:$G$33</definedName>
    <definedName name="Z_967E0446_E234_427F_8E57_7FE287052E2E_.wvu.PrintArea" localSheetId="73" hidden="1">'Life Benifits Rs.''000'!$A$1:$I$145</definedName>
    <definedName name="Z_967E0446_E234_427F_8E57_7FE287052E2E_.wvu.PrintArea" localSheetId="2" hidden="1">List!$A$2:$C$50</definedName>
    <definedName name="Z_967E0446_E234_427F_8E57_7FE287052E2E_.wvu.PrintArea" localSheetId="59" hidden="1">'New Busi LT'!$B$1:$K$172</definedName>
    <definedName name="Z_967E0446_E234_427F_8E57_7FE287052E2E_.wvu.PrintArea" localSheetId="45" hidden="1">'P &amp; L - GI - 2012 '!$A$2:$H$594</definedName>
    <definedName name="Z_967E0446_E234_427F_8E57_7FE287052E2E_.wvu.PrintArea" localSheetId="52" hidden="1">Retention!$A$1:$H$47</definedName>
    <definedName name="Z_967E0446_E234_427F_8E57_7FE287052E2E_.wvu.PrintArea" localSheetId="11" hidden="1">'SH Funds'!$A$1:$K$32</definedName>
    <definedName name="Z_967E0446_E234_427F_8E57_7FE287052E2E_.wvu.PrintArea" localSheetId="61" hidden="1">'SRCC &amp; TC 2011 &amp; 12'!$A$1:$H$55</definedName>
    <definedName name="Z_967E0446_E234_427F_8E57_7FE287052E2E_.wvu.PrintArea" localSheetId="9" hidden="1">'Total Assets'!$A$1:$M$28</definedName>
    <definedName name="Z_967E0446_E234_427F_8E57_7FE287052E2E_.wvu.PrintTitles" localSheetId="74" hidden="1">'# of Life Benifits Paid'!$2:$2</definedName>
    <definedName name="Z_967E0446_E234_427F_8E57_7FE287052E2E_.wvu.PrintTitles" localSheetId="15" hidden="1">'10.Concen Assets-Companywis '!$2:$2</definedName>
    <definedName name="Z_967E0446_E234_427F_8E57_7FE287052E2E_.wvu.PrintTitles" localSheetId="13" hidden="1">'8. Assets Con-Company-wise LTI '!$2:$2</definedName>
    <definedName name="Z_967E0446_E234_427F_8E57_7FE287052E2E_.wvu.PrintTitles" localSheetId="38" hidden="1">'Branches-Emp-Agents'!$2:$2</definedName>
    <definedName name="Z_967E0446_E234_427F_8E57_7FE287052E2E_.wvu.PrintTitles" localSheetId="55" hidden="1">'GI - Solvency'!$1:$1</definedName>
    <definedName name="Z_967E0446_E234_427F_8E57_7FE287052E2E_.wvu.PrintTitles" localSheetId="43" hidden="1">'LI - Solvency'!$1:$1</definedName>
    <definedName name="Z_967E0446_E234_427F_8E57_7FE287052E2E_.wvu.PrintTitles" localSheetId="73" hidden="1">'Life Benifits Rs.''000'!$2:$2</definedName>
    <definedName name="Z_967E0446_E234_427F_8E57_7FE287052E2E_.wvu.PrintTitles" localSheetId="59" hidden="1">'New Busi LT'!$2:$2</definedName>
    <definedName name="Z_967E0446_E234_427F_8E57_7FE287052E2E_.wvu.PrintTitles" localSheetId="45" hidden="1">'P &amp; L - GI - 2012 '!$2:$2</definedName>
    <definedName name="Z_967E0446_E234_427F_8E57_7FE287052E2E_.wvu.Rows" localSheetId="6" hidden="1">'3. GWP - GIB'!$40:$54,'3. GWP - GIB'!$61:$117</definedName>
    <definedName name="Z_967E0446_E234_427F_8E57_7FE287052E2E_.wvu.Rows" localSheetId="36" hidden="1">'31. Reinsurance Premium'!$149:$149</definedName>
    <definedName name="Z_967E0446_E234_427F_8E57_7FE287052E2E_.wvu.Rows" localSheetId="40" hidden="1">'33. New Policies LI (Final) '!$1:$1,'33. New Policies LI (Final) '!#REF!</definedName>
    <definedName name="Z_967E0446_E234_427F_8E57_7FE287052E2E_.wvu.Rows" localSheetId="57" hidden="1">'34. Inforced Policies LI '!#REF!</definedName>
    <definedName name="Z_967E0446_E234_427F_8E57_7FE287052E2E_.wvu.Rows" localSheetId="12" hidden="1">'7. Concentration of Assets-LTIB'!#REF!,'7. Concentration of Assets-LTIB'!#REF!,'7. Concentration of Assets-LTIB'!#REF!,'7. Concentration of Assets-LTIB'!$20:$30</definedName>
    <definedName name="Z_967E0446_E234_427F_8E57_7FE287052E2E_.wvu.Rows" localSheetId="13" hidden="1">'8. Assets Con-Company-wise LTI '!$45:$45</definedName>
    <definedName name="Z_967E0446_E234_427F_8E57_7FE287052E2E_.wvu.Rows" localSheetId="47" hidden="1">'GWP - Class wise - GI'!$44:$61</definedName>
    <definedName name="Z_967E0446_E234_427F_8E57_7FE287052E2E_.wvu.Rows" localSheetId="42" hidden="1">'Investment Income LI '!$32:$44</definedName>
    <definedName name="Z_967E0446_E234_427F_8E57_7FE287052E2E_.wvu.Rows" localSheetId="43" hidden="1">'LI - Solvency'!$9:$9</definedName>
    <definedName name="Z_967E0446_E234_427F_8E57_7FE287052E2E_.wvu.Rows" localSheetId="52" hidden="1">Retention!$48:$63</definedName>
    <definedName name="Z_B1E1B596_A9A1_411D_A882_A48CB025B978_.wvu.Cols" localSheetId="74" hidden="1">'# of Life Benifits Paid'!$A:$B</definedName>
    <definedName name="Z_B1E1B596_A9A1_411D_A882_A48CB025B978_.wvu.Cols" localSheetId="20" hidden="1">'15. BS 2022 GI '!$D:$D</definedName>
    <definedName name="Z_B1E1B596_A9A1_411D_A882_A48CB025B978_.wvu.Cols" localSheetId="5" hidden="1">'2. GWP - LTIB '!#REF!,'2. GWP - LTIB '!$Q:$Q</definedName>
    <definedName name="Z_B1E1B596_A9A1_411D_A882_A48CB025B978_.wvu.Cols" localSheetId="29" hidden="1">'24.  Solvency  GI '!$J:$K</definedName>
    <definedName name="Z_B1E1B596_A9A1_411D_A882_A48CB025B978_.wvu.Cols" localSheetId="57" hidden="1">'34. Inforced Policies LI '!#REF!</definedName>
    <definedName name="Z_B1E1B596_A9A1_411D_A882_A48CB025B978_.wvu.Cols" localSheetId="72" hidden="1">'36. Life Benefits Rs.''000'!#REF!</definedName>
    <definedName name="Z_B1E1B596_A9A1_411D_A882_A48CB025B978_.wvu.Cols" localSheetId="7" hidden="1">'4. Industry Assets '!#REF!</definedName>
    <definedName name="Z_B1E1B596_A9A1_411D_A882_A48CB025B978_.wvu.Cols" localSheetId="68" hidden="1">'AR - Table 1'!$C:$D</definedName>
    <definedName name="Z_B1E1B596_A9A1_411D_A882_A48CB025B978_.wvu.Cols" localSheetId="82" hidden="1">'AR table 6 &amp; Chart 7 (2)'!$C:$C</definedName>
    <definedName name="Z_B1E1B596_A9A1_411D_A882_A48CB025B978_.wvu.Cols" localSheetId="49" hidden="1">'Comb Ratio'!$C:$C</definedName>
    <definedName name="Z_B1E1B596_A9A1_411D_A882_A48CB025B978_.wvu.Cols" localSheetId="47" hidden="1">'GWP - Class wise - GI'!$C:$C</definedName>
    <definedName name="Z_B1E1B596_A9A1_411D_A882_A48CB025B978_.wvu.Cols" localSheetId="44" hidden="1">'GWP-GIB (Final)'!$C:$E,'GWP-GIB (Final)'!$G:$H,'GWP-GIB (Final)'!$AE:$AE</definedName>
    <definedName name="Z_B1E1B596_A9A1_411D_A882_A48CB025B978_.wvu.Cols" localSheetId="39" hidden="1">'GWP-LTIB (Final)'!$C:$E,'GWP-LTIB (Final)'!$G:$H,'GWP-LTIB (Final)'!$V:$V,'GWP-LTIB (Final)'!$AG:$AH</definedName>
    <definedName name="Z_B1E1B596_A9A1_411D_A882_A48CB025B978_.wvu.Cols" localSheetId="54" hidden="1">'Invest Income GI - 2011'!$A:$B,'Invest Income GI - 2011'!$I:$K</definedName>
    <definedName name="Z_B1E1B596_A9A1_411D_A882_A48CB025B978_.wvu.Cols" localSheetId="73" hidden="1">'Life Benifits Rs.''000'!$A:$B</definedName>
    <definedName name="Z_B1E1B596_A9A1_411D_A882_A48CB025B978_.wvu.Cols" localSheetId="52" hidden="1">Retention!$C:$D</definedName>
    <definedName name="Z_B1E1B596_A9A1_411D_A882_A48CB025B978_.wvu.Cols" localSheetId="11" hidden="1">'SH Funds'!$B:$B</definedName>
    <definedName name="Z_B1E1B596_A9A1_411D_A882_A48CB025B978_.wvu.Cols" localSheetId="9" hidden="1">'Total Assets'!$B:$B</definedName>
    <definedName name="Z_B1E1B596_A9A1_411D_A882_A48CB025B978_.wvu.PrintArea" localSheetId="74" hidden="1">'# of Life Benifits Paid'!$A$1:$H$145</definedName>
    <definedName name="Z_B1E1B596_A9A1_411D_A882_A48CB025B978_.wvu.PrintArea" localSheetId="3" hidden="1">'1. GWP - LT + GI  (Final) '!$B$2:$G$36</definedName>
    <definedName name="Z_B1E1B596_A9A1_411D_A882_A48CB025B978_.wvu.PrintArea" localSheetId="15" hidden="1">'10.Concen Assets-Companywis '!$A$1:$L$39</definedName>
    <definedName name="Z_B1E1B596_A9A1_411D_A882_A48CB025B978_.wvu.PrintArea" localSheetId="16" hidden="1">'11. Balance Sheet - 2022-LI '!$B$2:$M$818</definedName>
    <definedName name="Z_B1E1B596_A9A1_411D_A882_A48CB025B978_.wvu.PrintArea" localSheetId="17" hidden="1">'12. Balance Sheet - 2021-LI'!$B$1:$M$824</definedName>
    <definedName name="Z_B1E1B596_A9A1_411D_A882_A48CB025B978_.wvu.PrintArea" localSheetId="18" hidden="1">'13. Income St.- 2022 - LI '!$C$3:$I$783</definedName>
    <definedName name="Z_B1E1B596_A9A1_411D_A882_A48CB025B978_.wvu.PrintArea" localSheetId="19" hidden="1">'14. Income St.- 2021 - LI'!$C$1:$I$781</definedName>
    <definedName name="Z_B1E1B596_A9A1_411D_A882_A48CB025B978_.wvu.PrintArea" localSheetId="22" hidden="1">'17. P &amp; L - GI - 2022'!$A$1:$K$602</definedName>
    <definedName name="Z_B1E1B596_A9A1_411D_A882_A48CB025B978_.wvu.PrintArea" localSheetId="24" hidden="1">'19. TAC LI '!$B$1:$G$30</definedName>
    <definedName name="Z_B1E1B596_A9A1_411D_A882_A48CB025B978_.wvu.PrintArea" localSheetId="5" hidden="1">'2. GWP - LTIB '!$B$2:$D$28</definedName>
    <definedName name="Z_B1E1B596_A9A1_411D_A882_A48CB025B978_.wvu.PrintArea" localSheetId="25" hidden="1">'20. RCR LI '!$B$1:$J$49</definedName>
    <definedName name="Z_B1E1B596_A9A1_411D_A882_A48CB025B978_.wvu.PrintArea" localSheetId="28" hidden="1">'23. Solvency LI  '!$A$2:$J$27</definedName>
    <definedName name="Z_B1E1B596_A9A1_411D_A882_A48CB025B978_.wvu.PrintArea" localSheetId="30" hidden="1">'25. GWP Class&amp; Com Wise-GI '!$A$1:$I$182</definedName>
    <definedName name="Z_B1E1B596_A9A1_411D_A882_A48CB025B978_.wvu.PrintArea" localSheetId="31" hidden="1">'26. Combined Ratio'!$A$1:$G$53</definedName>
    <definedName name="Z_B1E1B596_A9A1_411D_A882_A48CB025B978_.wvu.PrintArea" localSheetId="32" hidden="1">'27. Earned premium-GIB'!$A$124:$H$177</definedName>
    <definedName name="Z_B1E1B596_A9A1_411D_A882_A48CB025B978_.wvu.PrintArea" localSheetId="33" hidden="1">'28. Claims Incurred-GIB'!$A$1:$H$154</definedName>
    <definedName name="Z_B1E1B596_A9A1_411D_A882_A48CB025B978_.wvu.PrintArea" localSheetId="6" hidden="1">'3. GWP - GIB'!$A$1:$F$27</definedName>
    <definedName name="Z_B1E1B596_A9A1_411D_A882_A48CB025B978_.wvu.PrintArea" localSheetId="36" hidden="1">'31. Reinsurance Premium'!$B$1:$H$195</definedName>
    <definedName name="Z_B1E1B596_A9A1_411D_A882_A48CB025B978_.wvu.PrintArea" localSheetId="37" hidden="1">'32. Branches, Emp, Agents'!$B$1:$O$289</definedName>
    <definedName name="Z_B1E1B596_A9A1_411D_A882_A48CB025B978_.wvu.PrintArea" localSheetId="40" hidden="1">'33. New Policies LI (Final) '!$A$2:$C$26</definedName>
    <definedName name="Z_B1E1B596_A9A1_411D_A882_A48CB025B978_.wvu.PrintArea" localSheetId="57" hidden="1">'34. Inforced Policies LI '!$B$1:$C$39</definedName>
    <definedName name="Z_B1E1B596_A9A1_411D_A882_A48CB025B978_.wvu.PrintArea" localSheetId="58" hidden="1">'35. New Business '!$B$2:$H$133</definedName>
    <definedName name="Z_B1E1B596_A9A1_411D_A882_A48CB025B978_.wvu.PrintArea" localSheetId="72" hidden="1">'36. Life Benefits Rs.''000'!$A$1:$E$166</definedName>
    <definedName name="Z_B1E1B596_A9A1_411D_A882_A48CB025B978_.wvu.PrintArea" localSheetId="71" hidden="1">'37. Num of Life Benefits Paid'!$A$1:$C$177</definedName>
    <definedName name="Z_B1E1B596_A9A1_411D_A882_A48CB025B978_.wvu.PrintArea" localSheetId="83" hidden="1">'38. Abbreviations'!$B$2:$D$34</definedName>
    <definedName name="Z_B1E1B596_A9A1_411D_A882_A48CB025B978_.wvu.PrintArea" localSheetId="7" hidden="1">'4. Industry Assets '!$A$1:$I$42</definedName>
    <definedName name="Z_B1E1B596_A9A1_411D_A882_A48CB025B978_.wvu.PrintArea" localSheetId="8" hidden="1">'5. Fin Inst''n '!$A$1:$B$16</definedName>
    <definedName name="Z_B1E1B596_A9A1_411D_A882_A48CB025B978_.wvu.PrintArea" localSheetId="10" hidden="1">'6. SH Fund '!$B$2:$D$43</definedName>
    <definedName name="Z_B1E1B596_A9A1_411D_A882_A48CB025B978_.wvu.PrintArea" localSheetId="12" hidden="1">'7. Concentration of Assets-LTIB'!$A$1:$F$62</definedName>
    <definedName name="Z_B1E1B596_A9A1_411D_A882_A48CB025B978_.wvu.PrintArea" localSheetId="13" hidden="1">'8. Assets Con-Company-wise LTI '!$A$1:$L$49</definedName>
    <definedName name="Z_B1E1B596_A9A1_411D_A882_A48CB025B978_.wvu.PrintArea" localSheetId="14" hidden="1">'9. Concentration Assets - G '!$A$2:$B$23</definedName>
    <definedName name="Z_B1E1B596_A9A1_411D_A882_A48CB025B978_.wvu.PrintArea" localSheetId="82" hidden="1">'AR table 6 &amp; Chart 7 (2)'!$A$1:$V$28</definedName>
    <definedName name="Z_B1E1B596_A9A1_411D_A882_A48CB025B978_.wvu.PrintArea" localSheetId="46" hidden="1">'AR6&amp;7 Support I'!$A$13:$V$77</definedName>
    <definedName name="Z_B1E1B596_A9A1_411D_A882_A48CB025B978_.wvu.PrintArea" localSheetId="62" hidden="1">'Co Ins Outward'!$A$1:$H$51</definedName>
    <definedName name="Z_B1E1B596_A9A1_411D_A882_A48CB025B978_.wvu.PrintArea" localSheetId="49" hidden="1">'Comb Ratio'!$A$1:$G$43</definedName>
    <definedName name="Z_B1E1B596_A9A1_411D_A882_A48CB025B978_.wvu.PrintArea" localSheetId="50" hidden="1">'Earned Premium-GIB (Final)'!$A$13:$V$57</definedName>
    <definedName name="Z_B1E1B596_A9A1_411D_A882_A48CB025B978_.wvu.PrintArea" localSheetId="47" hidden="1">'GWP - Class wise - GI'!$A$1:$G$38</definedName>
    <definedName name="Z_B1E1B596_A9A1_411D_A882_A48CB025B978_.wvu.PrintArea" localSheetId="56" hidden="1">'GWP - Dist Chan - GI'!$A$12:$F$244</definedName>
    <definedName name="Z_B1E1B596_A9A1_411D_A882_A48CB025B978_.wvu.PrintArea" localSheetId="60" hidden="1">'GWP - Dist Chan - LI'!$A$1:$F$205</definedName>
    <definedName name="Z_B1E1B596_A9A1_411D_A882_A48CB025B978_.wvu.PrintArea" localSheetId="48" hidden="1">'GWP Class &amp; Com Wise-GI (Final)'!$A$13:$V$57</definedName>
    <definedName name="Z_B1E1B596_A9A1_411D_A882_A48CB025B978_.wvu.PrintArea" localSheetId="44" hidden="1">'GWP-GIB (Final)'!$C$1:$AV$136</definedName>
    <definedName name="Z_B1E1B596_A9A1_411D_A882_A48CB025B978_.wvu.PrintArea" localSheetId="42" hidden="1">'Investment Income LI '!$A$1:$G$31</definedName>
    <definedName name="Z_B1E1B596_A9A1_411D_A882_A48CB025B978_.wvu.PrintArea" localSheetId="41" hidden="1">'Investment Income LI  (Final)'!$A$1:$G$33</definedName>
    <definedName name="Z_B1E1B596_A9A1_411D_A882_A48CB025B978_.wvu.PrintArea" localSheetId="73" hidden="1">'Life Benifits Rs.''000'!$A$1:$I$145</definedName>
    <definedName name="Z_B1E1B596_A9A1_411D_A882_A48CB025B978_.wvu.PrintArea" localSheetId="2" hidden="1">List!$A$2:$C$50</definedName>
    <definedName name="Z_B1E1B596_A9A1_411D_A882_A48CB025B978_.wvu.PrintArea" localSheetId="59" hidden="1">'New Busi LT'!$B$1:$K$172</definedName>
    <definedName name="Z_B1E1B596_A9A1_411D_A882_A48CB025B978_.wvu.PrintArea" localSheetId="45" hidden="1">'P &amp; L - GI - 2012 '!$A$2:$H$594</definedName>
    <definedName name="Z_B1E1B596_A9A1_411D_A882_A48CB025B978_.wvu.PrintArea" localSheetId="52" hidden="1">Retention!$A$1:$H$47</definedName>
    <definedName name="Z_B1E1B596_A9A1_411D_A882_A48CB025B978_.wvu.PrintArea" localSheetId="11" hidden="1">'SH Funds'!$A$1:$K$32</definedName>
    <definedName name="Z_B1E1B596_A9A1_411D_A882_A48CB025B978_.wvu.PrintArea" localSheetId="61" hidden="1">'SRCC &amp; TC 2011 &amp; 12'!$A$1:$H$55</definedName>
    <definedName name="Z_B1E1B596_A9A1_411D_A882_A48CB025B978_.wvu.PrintArea" localSheetId="9" hidden="1">'Total Assets'!$A$1:$M$28</definedName>
    <definedName name="Z_B1E1B596_A9A1_411D_A882_A48CB025B978_.wvu.PrintTitles" localSheetId="74" hidden="1">'# of Life Benifits Paid'!$2:$2</definedName>
    <definedName name="Z_B1E1B596_A9A1_411D_A882_A48CB025B978_.wvu.PrintTitles" localSheetId="13" hidden="1">'8. Assets Con-Company-wise LTI '!$2:$2</definedName>
    <definedName name="Z_B1E1B596_A9A1_411D_A882_A48CB025B978_.wvu.PrintTitles" localSheetId="38" hidden="1">'Branches-Emp-Agents'!$2:$2</definedName>
    <definedName name="Z_B1E1B596_A9A1_411D_A882_A48CB025B978_.wvu.PrintTitles" localSheetId="55" hidden="1">'GI - Solvency'!$1:$1</definedName>
    <definedName name="Z_B1E1B596_A9A1_411D_A882_A48CB025B978_.wvu.PrintTitles" localSheetId="43" hidden="1">'LI - Solvency'!$1:$1</definedName>
    <definedName name="Z_B1E1B596_A9A1_411D_A882_A48CB025B978_.wvu.PrintTitles" localSheetId="73" hidden="1">'Life Benifits Rs.''000'!$2:$2</definedName>
    <definedName name="Z_B1E1B596_A9A1_411D_A882_A48CB025B978_.wvu.PrintTitles" localSheetId="59" hidden="1">'New Busi LT'!$2:$2</definedName>
    <definedName name="Z_B1E1B596_A9A1_411D_A882_A48CB025B978_.wvu.PrintTitles" localSheetId="45" hidden="1">'P &amp; L - GI - 2012 '!$2:$2</definedName>
    <definedName name="Z_B1E1B596_A9A1_411D_A882_A48CB025B978_.wvu.Rows" localSheetId="20" hidden="1">'15. BS 2022 GI '!$607:$607</definedName>
    <definedName name="Z_B1E1B596_A9A1_411D_A882_A48CB025B978_.wvu.Rows" localSheetId="21" hidden="1">'16. BS 2021 GI'!#REF!</definedName>
    <definedName name="Z_B1E1B596_A9A1_411D_A882_A48CB025B978_.wvu.Rows" localSheetId="6" hidden="1">'3. GWP - GIB'!#REF!,'3. GWP - GIB'!$40:$54,'3. GWP - GIB'!$61:$117</definedName>
    <definedName name="Z_B1E1B596_A9A1_411D_A882_A48CB025B978_.wvu.Rows" localSheetId="40" hidden="1">'33. New Policies LI (Final) '!$1:$1,'33. New Policies LI (Final) '!#REF!</definedName>
    <definedName name="Z_B1E1B596_A9A1_411D_A882_A48CB025B978_.wvu.Rows" localSheetId="57" hidden="1">'34. Inforced Policies LI '!#REF!</definedName>
    <definedName name="Z_B1E1B596_A9A1_411D_A882_A48CB025B978_.wvu.Rows" localSheetId="13" hidden="1">'8. Assets Con-Company-wise LTI '!#REF!,'8. Assets Con-Company-wise LTI '!#REF!,'8. Assets Con-Company-wise LTI '!#REF!,'8. Assets Con-Company-wise LTI '!#REF!,'8. Assets Con-Company-wise LTI '!#REF!,'8. Assets Con-Company-wise LTI '!#REF!,'8. Assets Con-Company-wise LTI '!$45:$45</definedName>
    <definedName name="Z_B1E1B596_A9A1_411D_A882_A48CB025B978_.wvu.Rows" localSheetId="47" hidden="1">'GWP - Class wise - GI'!$44:$61</definedName>
    <definedName name="Z_B1E1B596_A9A1_411D_A882_A48CB025B978_.wvu.Rows" localSheetId="42" hidden="1">'Investment Income LI '!$32:$44</definedName>
    <definedName name="Z_B1E1B596_A9A1_411D_A882_A48CB025B978_.wvu.Rows" localSheetId="43" hidden="1">'LI - Solvency'!$9:$9</definedName>
    <definedName name="Z_B1E1B596_A9A1_411D_A882_A48CB025B978_.wvu.Rows" localSheetId="52" hidden="1">Retention!$48:$63</definedName>
    <definedName name="Z_B2E1A0C6_5BA1_4CF1_B412_16D81FCDF11F_.wvu.Cols" localSheetId="74" hidden="1">'# of Life Benifits Paid'!$A:$B</definedName>
    <definedName name="Z_B2E1A0C6_5BA1_4CF1_B412_16D81FCDF11F_.wvu.Cols" localSheetId="5" hidden="1">'2. GWP - LTIB '!#REF!,'2. GWP - LTIB '!#REF!,'2. GWP - LTIB '!#REF!,'2. GWP - LTIB '!$Q:$Q</definedName>
    <definedName name="Z_B2E1A0C6_5BA1_4CF1_B412_16D81FCDF11F_.wvu.Cols" localSheetId="29" hidden="1">'24.  Solvency  GI '!$J:$K</definedName>
    <definedName name="Z_B2E1A0C6_5BA1_4CF1_B412_16D81FCDF11F_.wvu.Cols" localSheetId="31" hidden="1">'26. Combined Ratio'!#REF!</definedName>
    <definedName name="Z_B2E1A0C6_5BA1_4CF1_B412_16D81FCDF11F_.wvu.Cols" localSheetId="35" hidden="1">'30. Retention final '!#REF!</definedName>
    <definedName name="Z_B2E1A0C6_5BA1_4CF1_B412_16D81FCDF11F_.wvu.Cols" localSheetId="57" hidden="1">'34. Inforced Policies LI '!#REF!</definedName>
    <definedName name="Z_B2E1A0C6_5BA1_4CF1_B412_16D81FCDF11F_.wvu.Cols" localSheetId="8" hidden="1">'5. Fin Inst''n '!#REF!</definedName>
    <definedName name="Z_B2E1A0C6_5BA1_4CF1_B412_16D81FCDF11F_.wvu.Cols" localSheetId="68" hidden="1">'AR - Table 1'!$C:$D</definedName>
    <definedName name="Z_B2E1A0C6_5BA1_4CF1_B412_16D81FCDF11F_.wvu.Cols" localSheetId="82" hidden="1">'AR table 6 &amp; Chart 7 (2)'!$C:$C</definedName>
    <definedName name="Z_B2E1A0C6_5BA1_4CF1_B412_16D81FCDF11F_.wvu.Cols" localSheetId="49" hidden="1">'Comb Ratio'!$C:$C</definedName>
    <definedName name="Z_B2E1A0C6_5BA1_4CF1_B412_16D81FCDF11F_.wvu.Cols" localSheetId="47" hidden="1">'GWP - Class wise - GI'!$C:$C</definedName>
    <definedName name="Z_B2E1A0C6_5BA1_4CF1_B412_16D81FCDF11F_.wvu.Cols" localSheetId="44" hidden="1">'GWP-GIB (Final)'!$C:$E,'GWP-GIB (Final)'!$G:$H,'GWP-GIB (Final)'!$AE:$AE</definedName>
    <definedName name="Z_B2E1A0C6_5BA1_4CF1_B412_16D81FCDF11F_.wvu.Cols" localSheetId="39" hidden="1">'GWP-LTIB (Final)'!$C:$E,'GWP-LTIB (Final)'!$G:$H,'GWP-LTIB (Final)'!$V:$V,'GWP-LTIB (Final)'!$AG:$AH</definedName>
    <definedName name="Z_B2E1A0C6_5BA1_4CF1_B412_16D81FCDF11F_.wvu.Cols" localSheetId="54" hidden="1">'Invest Income GI - 2011'!$A:$B,'Invest Income GI - 2011'!$I:$K</definedName>
    <definedName name="Z_B2E1A0C6_5BA1_4CF1_B412_16D81FCDF11F_.wvu.Cols" localSheetId="73" hidden="1">'Life Benifits Rs.''000'!$A:$B</definedName>
    <definedName name="Z_B2E1A0C6_5BA1_4CF1_B412_16D81FCDF11F_.wvu.Cols" localSheetId="52" hidden="1">Retention!$C:$D</definedName>
    <definedName name="Z_B2E1A0C6_5BA1_4CF1_B412_16D81FCDF11F_.wvu.Cols" localSheetId="11" hidden="1">'SH Funds'!$B:$B</definedName>
    <definedName name="Z_B2E1A0C6_5BA1_4CF1_B412_16D81FCDF11F_.wvu.Cols" localSheetId="9" hidden="1">'Total Assets'!$B:$B</definedName>
    <definedName name="Z_B2E1A0C6_5BA1_4CF1_B412_16D81FCDF11F_.wvu.PrintArea" localSheetId="74" hidden="1">'# of Life Benifits Paid'!$A$1:$H$145</definedName>
    <definedName name="Z_B2E1A0C6_5BA1_4CF1_B412_16D81FCDF11F_.wvu.PrintArea" localSheetId="15" hidden="1">'10.Concen Assets-Companywis '!$A$1:$L$42</definedName>
    <definedName name="Z_B2E1A0C6_5BA1_4CF1_B412_16D81FCDF11F_.wvu.PrintArea" localSheetId="22" hidden="1">'17. P &amp; L - GI - 2022'!$A$4:$K$602</definedName>
    <definedName name="Z_B2E1A0C6_5BA1_4CF1_B412_16D81FCDF11F_.wvu.PrintArea" localSheetId="5" hidden="1">'2. GWP - LTIB '!$A$1:$D$28</definedName>
    <definedName name="Z_B2E1A0C6_5BA1_4CF1_B412_16D81FCDF11F_.wvu.PrintArea" localSheetId="30" hidden="1">'25. GWP Class&amp; Com Wise-GI '!$B$154:$I$182</definedName>
    <definedName name="Z_B2E1A0C6_5BA1_4CF1_B412_16D81FCDF11F_.wvu.PrintArea" localSheetId="31" hidden="1">'26. Combined Ratio'!$A$1:$T$51</definedName>
    <definedName name="Z_B2E1A0C6_5BA1_4CF1_B412_16D81FCDF11F_.wvu.PrintArea" localSheetId="32" hidden="1">'27. Earned premium-GIB'!$A$124:$J$177</definedName>
    <definedName name="Z_B2E1A0C6_5BA1_4CF1_B412_16D81FCDF11F_.wvu.PrintArea" localSheetId="33" hidden="1">'28. Claims Incurred-GIB'!$A$151:$H$154</definedName>
    <definedName name="Z_B2E1A0C6_5BA1_4CF1_B412_16D81FCDF11F_.wvu.PrintArea" localSheetId="6" hidden="1">'3. GWP - GIB'!$A$1:$B$27</definedName>
    <definedName name="Z_B2E1A0C6_5BA1_4CF1_B412_16D81FCDF11F_.wvu.PrintArea" localSheetId="36" hidden="1">'31. Reinsurance Premium'!$B$1:$I$177</definedName>
    <definedName name="Z_B2E1A0C6_5BA1_4CF1_B412_16D81FCDF11F_.wvu.PrintArea" localSheetId="40" hidden="1">'33. New Policies LI (Final) '!$A$2:$B$26</definedName>
    <definedName name="Z_B2E1A0C6_5BA1_4CF1_B412_16D81FCDF11F_.wvu.PrintArea" localSheetId="57" hidden="1">'34. Inforced Policies LI '!$B$1:$B$40</definedName>
    <definedName name="Z_B2E1A0C6_5BA1_4CF1_B412_16D81FCDF11F_.wvu.PrintArea" localSheetId="72" hidden="1">'36. Life Benefits Rs.''000'!$A$164:$E$165</definedName>
    <definedName name="Z_B2E1A0C6_5BA1_4CF1_B412_16D81FCDF11F_.wvu.PrintArea" localSheetId="83" hidden="1">'38. Abbreviations'!$A$1:$E$42</definedName>
    <definedName name="Z_B2E1A0C6_5BA1_4CF1_B412_16D81FCDF11F_.wvu.PrintArea" localSheetId="8" hidden="1">'5. Fin Inst''n '!$A$1:$B$21</definedName>
    <definedName name="Z_B2E1A0C6_5BA1_4CF1_B412_16D81FCDF11F_.wvu.PrintArea" localSheetId="10" hidden="1">'6. SH Fund '!$B$2:$B$44</definedName>
    <definedName name="Z_B2E1A0C6_5BA1_4CF1_B412_16D81FCDF11F_.wvu.PrintArea" localSheetId="12" hidden="1">'7. Concentration of Assets-LTIB'!$A$1:$F$62</definedName>
    <definedName name="Z_B2E1A0C6_5BA1_4CF1_B412_16D81FCDF11F_.wvu.PrintArea" localSheetId="13" hidden="1">'8. Assets Con-Company-wise LTI '!$A$1:$N$49</definedName>
    <definedName name="Z_B2E1A0C6_5BA1_4CF1_B412_16D81FCDF11F_.wvu.PrintArea" localSheetId="14" hidden="1">'9. Concentration Assets - G '!$B$2:$C$50</definedName>
    <definedName name="Z_B2E1A0C6_5BA1_4CF1_B412_16D81FCDF11F_.wvu.PrintArea" localSheetId="82" hidden="1">'AR table 6 &amp; Chart 7 (2)'!$A$1:$V$28</definedName>
    <definedName name="Z_B2E1A0C6_5BA1_4CF1_B412_16D81FCDF11F_.wvu.PrintArea" localSheetId="46" hidden="1">'AR6&amp;7 Support I'!$A$13:$V$77</definedName>
    <definedName name="Z_B2E1A0C6_5BA1_4CF1_B412_16D81FCDF11F_.wvu.PrintArea" localSheetId="62" hidden="1">'Co Ins Outward'!$A$1:$H$51</definedName>
    <definedName name="Z_B2E1A0C6_5BA1_4CF1_B412_16D81FCDF11F_.wvu.PrintArea" localSheetId="49" hidden="1">'Comb Ratio'!$A$1:$G$43</definedName>
    <definedName name="Z_B2E1A0C6_5BA1_4CF1_B412_16D81FCDF11F_.wvu.PrintArea" localSheetId="50" hidden="1">'Earned Premium-GIB (Final)'!$A$13:$V$57</definedName>
    <definedName name="Z_B2E1A0C6_5BA1_4CF1_B412_16D81FCDF11F_.wvu.PrintArea" localSheetId="47" hidden="1">'GWP - Class wise - GI'!$A$1:$G$38</definedName>
    <definedName name="Z_B2E1A0C6_5BA1_4CF1_B412_16D81FCDF11F_.wvu.PrintArea" localSheetId="56" hidden="1">'GWP - Dist Chan - GI'!$A$12:$F$244</definedName>
    <definedName name="Z_B2E1A0C6_5BA1_4CF1_B412_16D81FCDF11F_.wvu.PrintArea" localSheetId="60" hidden="1">'GWP - Dist Chan - LI'!$A$1:$F$205</definedName>
    <definedName name="Z_B2E1A0C6_5BA1_4CF1_B412_16D81FCDF11F_.wvu.PrintArea" localSheetId="48" hidden="1">'GWP Class &amp; Com Wise-GI (Final)'!$A$13:$V$57</definedName>
    <definedName name="Z_B2E1A0C6_5BA1_4CF1_B412_16D81FCDF11F_.wvu.PrintArea" localSheetId="44" hidden="1">'GWP-GIB (Final)'!$C$1:$AV$136</definedName>
    <definedName name="Z_B2E1A0C6_5BA1_4CF1_B412_16D81FCDF11F_.wvu.PrintArea" localSheetId="42" hidden="1">'Investment Income LI '!$A$1:$G$31</definedName>
    <definedName name="Z_B2E1A0C6_5BA1_4CF1_B412_16D81FCDF11F_.wvu.PrintArea" localSheetId="41" hidden="1">'Investment Income LI  (Final)'!$A$1:$G$33</definedName>
    <definedName name="Z_B2E1A0C6_5BA1_4CF1_B412_16D81FCDF11F_.wvu.PrintArea" localSheetId="73" hidden="1">'Life Benifits Rs.''000'!$A$1:$I$145</definedName>
    <definedName name="Z_B2E1A0C6_5BA1_4CF1_B412_16D81FCDF11F_.wvu.PrintArea" localSheetId="2" hidden="1">List!$A$2:$C$50</definedName>
    <definedName name="Z_B2E1A0C6_5BA1_4CF1_B412_16D81FCDF11F_.wvu.PrintArea" localSheetId="59" hidden="1">'New Busi LT'!$B$1:$K$172</definedName>
    <definedName name="Z_B2E1A0C6_5BA1_4CF1_B412_16D81FCDF11F_.wvu.PrintArea" localSheetId="45" hidden="1">'P &amp; L - GI - 2012 '!$A$2:$H$594</definedName>
    <definedName name="Z_B2E1A0C6_5BA1_4CF1_B412_16D81FCDF11F_.wvu.PrintArea" localSheetId="52" hidden="1">Retention!$A$1:$H$47</definedName>
    <definedName name="Z_B2E1A0C6_5BA1_4CF1_B412_16D81FCDF11F_.wvu.PrintArea" localSheetId="11" hidden="1">'SH Funds'!$A$1:$K$32</definedName>
    <definedName name="Z_B2E1A0C6_5BA1_4CF1_B412_16D81FCDF11F_.wvu.PrintArea" localSheetId="61" hidden="1">'SRCC &amp; TC 2011 &amp; 12'!$A$1:$H$55</definedName>
    <definedName name="Z_B2E1A0C6_5BA1_4CF1_B412_16D81FCDF11F_.wvu.PrintArea" localSheetId="9" hidden="1">'Total Assets'!$A$1:$M$28</definedName>
    <definedName name="Z_B2E1A0C6_5BA1_4CF1_B412_16D81FCDF11F_.wvu.PrintTitles" localSheetId="74" hidden="1">'# of Life Benifits Paid'!$2:$2</definedName>
    <definedName name="Z_B2E1A0C6_5BA1_4CF1_B412_16D81FCDF11F_.wvu.PrintTitles" localSheetId="15" hidden="1">'10.Concen Assets-Companywis '!$2:$2</definedName>
    <definedName name="Z_B2E1A0C6_5BA1_4CF1_B412_16D81FCDF11F_.wvu.PrintTitles" localSheetId="13" hidden="1">'8. Assets Con-Company-wise LTI '!$2:$2</definedName>
    <definedName name="Z_B2E1A0C6_5BA1_4CF1_B412_16D81FCDF11F_.wvu.PrintTitles" localSheetId="38" hidden="1">'Branches-Emp-Agents'!$2:$2</definedName>
    <definedName name="Z_B2E1A0C6_5BA1_4CF1_B412_16D81FCDF11F_.wvu.PrintTitles" localSheetId="55" hidden="1">'GI - Solvency'!$1:$1</definedName>
    <definedName name="Z_B2E1A0C6_5BA1_4CF1_B412_16D81FCDF11F_.wvu.PrintTitles" localSheetId="43" hidden="1">'LI - Solvency'!$1:$1</definedName>
    <definedName name="Z_B2E1A0C6_5BA1_4CF1_B412_16D81FCDF11F_.wvu.PrintTitles" localSheetId="73" hidden="1">'Life Benifits Rs.''000'!$2:$2</definedName>
    <definedName name="Z_B2E1A0C6_5BA1_4CF1_B412_16D81FCDF11F_.wvu.PrintTitles" localSheetId="59" hidden="1">'New Busi LT'!$2:$2</definedName>
    <definedName name="Z_B2E1A0C6_5BA1_4CF1_B412_16D81FCDF11F_.wvu.PrintTitles" localSheetId="45" hidden="1">'P &amp; L - GI - 2012 '!$2:$2</definedName>
    <definedName name="Z_B2E1A0C6_5BA1_4CF1_B412_16D81FCDF11F_.wvu.Rows" localSheetId="6" hidden="1">'3. GWP - GIB'!$40:$54,'3. GWP - GIB'!$61:$117</definedName>
    <definedName name="Z_B2E1A0C6_5BA1_4CF1_B412_16D81FCDF11F_.wvu.Rows" localSheetId="36" hidden="1">'31. Reinsurance Premium'!$149:$149</definedName>
    <definedName name="Z_B2E1A0C6_5BA1_4CF1_B412_16D81FCDF11F_.wvu.Rows" localSheetId="40" hidden="1">'33. New Policies LI (Final) '!$1:$1,'33. New Policies LI (Final) '!#REF!</definedName>
    <definedName name="Z_B2E1A0C6_5BA1_4CF1_B412_16D81FCDF11F_.wvu.Rows" localSheetId="57" hidden="1">'34. Inforced Policies LI '!#REF!</definedName>
    <definedName name="Z_B2E1A0C6_5BA1_4CF1_B412_16D81FCDF11F_.wvu.Rows" localSheetId="12" hidden="1">'7. Concentration of Assets-LTIB'!#REF!,'7. Concentration of Assets-LTIB'!#REF!,'7. Concentration of Assets-LTIB'!#REF!,'7. Concentration of Assets-LTIB'!$20:$30</definedName>
    <definedName name="Z_B2E1A0C6_5BA1_4CF1_B412_16D81FCDF11F_.wvu.Rows" localSheetId="13" hidden="1">'8. Assets Con-Company-wise LTI '!$45:$45</definedName>
    <definedName name="Z_B2E1A0C6_5BA1_4CF1_B412_16D81FCDF11F_.wvu.Rows" localSheetId="47" hidden="1">'GWP - Class wise - GI'!$44:$61</definedName>
    <definedName name="Z_B2E1A0C6_5BA1_4CF1_B412_16D81FCDF11F_.wvu.Rows" localSheetId="42" hidden="1">'Investment Income LI '!$32:$44</definedName>
    <definedName name="Z_B2E1A0C6_5BA1_4CF1_B412_16D81FCDF11F_.wvu.Rows" localSheetId="43" hidden="1">'LI - Solvency'!$9:$9</definedName>
    <definedName name="Z_B2E1A0C6_5BA1_4CF1_B412_16D81FCDF11F_.wvu.Rows" localSheetId="52" hidden="1">Retention!$48:$63</definedName>
    <definedName name="Z_B4A67912_05A8_4D20_958A_E8812294BB39_.wvu.PrintArea" localSheetId="40" hidden="1">'33. New Policies LI (Final) '!#REF!</definedName>
    <definedName name="Z_B4A67912_05A8_4D20_958A_E8812294BB39_.wvu.PrintArea" localSheetId="57" hidden="1">'34. Inforced Policies LI '!#REF!</definedName>
    <definedName name="Z_B4A67912_05A8_4D20_958A_E8812294BB39_.wvu.PrintArea" localSheetId="8" hidden="1">'5. Fin Inst''n '!#REF!</definedName>
    <definedName name="Z_CEBD2831_4C30_417E_804F_59BB3DFB519D_.wvu.Cols" localSheetId="28" hidden="1">'23. Solvency LI  '!#REF!</definedName>
    <definedName name="Z_CEBD2831_4C30_417E_804F_59BB3DFB519D_.wvu.Cols" localSheetId="29" hidden="1">'24.  Solvency  GI '!$J:$K</definedName>
    <definedName name="Z_CEBD2831_4C30_417E_804F_59BB3DFB519D_.wvu.Cols" localSheetId="31" hidden="1">'26. Combined Ratio'!#REF!</definedName>
    <definedName name="Z_CEBD2831_4C30_417E_804F_59BB3DFB519D_.wvu.Cols" localSheetId="35" hidden="1">'30. Retention final '!#REF!</definedName>
    <definedName name="Z_CEBD2831_4C30_417E_804F_59BB3DFB519D_.wvu.Cols" localSheetId="7" hidden="1">'4. Industry Assets '!#REF!,'4. Industry Assets '!#REF!</definedName>
    <definedName name="Z_CEBD2831_4C30_417E_804F_59BB3DFB519D_.wvu.Cols" localSheetId="10" hidden="1">'6. SH Fund '!#REF!</definedName>
    <definedName name="Z_CEBD2831_4C30_417E_804F_59BB3DFB519D_.wvu.PrintArea" localSheetId="28" hidden="1">'23. Solvency LI  '!$A$2:$J$27</definedName>
    <definedName name="Z_CEBD2831_4C30_417E_804F_59BB3DFB519D_.wvu.PrintArea" localSheetId="31" hidden="1">'26. Combined Ratio'!$A$1:$T$51</definedName>
    <definedName name="Z_CEBD2831_4C30_417E_804F_59BB3DFB519D_.wvu.PrintArea" localSheetId="37" hidden="1">'32. Branches, Emp, Agents'!$B$1:$O$289</definedName>
    <definedName name="Z_CEBD2831_4C30_417E_804F_59BB3DFB519D_.wvu.PrintArea" localSheetId="7" hidden="1">'4. Industry Assets '!$B$1:$C$33</definedName>
    <definedName name="Z_CEBD2831_4C30_417E_804F_59BB3DFB519D_.wvu.Rows" localSheetId="28" hidden="1">'23. Solvency LI  '!#REF!</definedName>
    <definedName name="Z_CEBD2831_4C30_417E_804F_59BB3DFB519D_.wvu.Rows" localSheetId="58" hidden="1">'35. New Business '!$19:$26,'35. New Business '!$53:$53,'35. New Business '!$89:$89,'35. New Business '!$111:$112,'35. New Business '!#REF!,'35. New Business '!$139:$141,'35. New Business '!$155:$158,'35. New Business '!$172:$175,'35. New Business '!$189:$192,'35. New Business '!$206:$209,'35. New Business '!$223:$226,'35. New Business '!$240:$243,'35. New Business '!$257:$260,'35. New Business '!$274:$277,'35. New Business '!$291:$294,'35. New Business '!$308:$311,'35. New Business '!$325:$328</definedName>
    <definedName name="Z_E82B35BE_4719_4C53_A9EF_1CC6F153A6F3_.wvu.Cols" localSheetId="74" hidden="1">'# of Life Benifits Paid'!$A:$B</definedName>
    <definedName name="Z_E82B35BE_4719_4C53_A9EF_1CC6F153A6F3_.wvu.Cols" localSheetId="5" hidden="1">'2. GWP - LTIB '!#REF!,'2. GWP - LTIB '!#REF!,'2. GWP - LTIB '!$Q:$Q</definedName>
    <definedName name="Z_E82B35BE_4719_4C53_A9EF_1CC6F153A6F3_.wvu.Cols" localSheetId="6" hidden="1">'3. GWP - GIB'!#REF!,'3. GWP - GIB'!#REF!</definedName>
    <definedName name="Z_E82B35BE_4719_4C53_A9EF_1CC6F153A6F3_.wvu.Cols" localSheetId="57" hidden="1">'34. Inforced Policies LI '!#REF!</definedName>
    <definedName name="Z_E82B35BE_4719_4C53_A9EF_1CC6F153A6F3_.wvu.Cols" localSheetId="8" hidden="1">'5. Fin Inst''n '!#REF!</definedName>
    <definedName name="Z_E82B35BE_4719_4C53_A9EF_1CC6F153A6F3_.wvu.Cols" localSheetId="68" hidden="1">'AR - Table 1'!$C:$D</definedName>
    <definedName name="Z_E82B35BE_4719_4C53_A9EF_1CC6F153A6F3_.wvu.Cols" localSheetId="82" hidden="1">'AR table 6 &amp; Chart 7 (2)'!$C:$C</definedName>
    <definedName name="Z_E82B35BE_4719_4C53_A9EF_1CC6F153A6F3_.wvu.Cols" localSheetId="49" hidden="1">'Comb Ratio'!$C:$C</definedName>
    <definedName name="Z_E82B35BE_4719_4C53_A9EF_1CC6F153A6F3_.wvu.Cols" localSheetId="47" hidden="1">'GWP - Class wise - GI'!#REF!</definedName>
    <definedName name="Z_E82B35BE_4719_4C53_A9EF_1CC6F153A6F3_.wvu.Cols" localSheetId="54" hidden="1">'Invest Income GI - 2011'!$A:$B,'Invest Income GI - 2011'!$I:$K</definedName>
    <definedName name="Z_E82B35BE_4719_4C53_A9EF_1CC6F153A6F3_.wvu.Cols" localSheetId="73" hidden="1">'Life Benifits Rs.''000'!$A:$B</definedName>
    <definedName name="Z_E82B35BE_4719_4C53_A9EF_1CC6F153A6F3_.wvu.Cols" localSheetId="52" hidden="1">Retention!$C:$C</definedName>
    <definedName name="Z_E82B35BE_4719_4C53_A9EF_1CC6F153A6F3_.wvu.Cols" localSheetId="11" hidden="1">'SH Funds'!$B:$B</definedName>
    <definedName name="Z_E82B35BE_4719_4C53_A9EF_1CC6F153A6F3_.wvu.Cols" localSheetId="9" hidden="1">'Total Assets'!$B:$B</definedName>
    <definedName name="Z_E82B35BE_4719_4C53_A9EF_1CC6F153A6F3_.wvu.PrintArea" localSheetId="74" hidden="1">'# of Life Benifits Paid'!$A$1:$H$145</definedName>
    <definedName name="Z_E82B35BE_4719_4C53_A9EF_1CC6F153A6F3_.wvu.PrintArea" localSheetId="5" hidden="1">'2. GWP - LTIB '!$A$1:$B$27</definedName>
    <definedName name="Z_E82B35BE_4719_4C53_A9EF_1CC6F153A6F3_.wvu.PrintArea" localSheetId="30" hidden="1">'25. GWP Class&amp; Com Wise-GI '!$B$154:$I$182</definedName>
    <definedName name="Z_E82B35BE_4719_4C53_A9EF_1CC6F153A6F3_.wvu.PrintArea" localSheetId="6" hidden="1">'3. GWP - GIB'!$B$1:$B$27</definedName>
    <definedName name="Z_E82B35BE_4719_4C53_A9EF_1CC6F153A6F3_.wvu.PrintArea" localSheetId="36" hidden="1">'31. Reinsurance Premium'!$B$1:$H$196</definedName>
    <definedName name="Z_E82B35BE_4719_4C53_A9EF_1CC6F153A6F3_.wvu.PrintArea" localSheetId="40" hidden="1">'33. New Policies LI (Final) '!$A$1:$B$21</definedName>
    <definedName name="Z_E82B35BE_4719_4C53_A9EF_1CC6F153A6F3_.wvu.PrintArea" localSheetId="57" hidden="1">'34. Inforced Policies LI '!$A$1:$B$21</definedName>
    <definedName name="Z_E82B35BE_4719_4C53_A9EF_1CC6F153A6F3_.wvu.PrintArea" localSheetId="12" hidden="1">'7. Concentration of Assets-LTIB'!$A$2:$D$20</definedName>
    <definedName name="Z_E82B35BE_4719_4C53_A9EF_1CC6F153A6F3_.wvu.PrintArea" localSheetId="13" hidden="1">'8. Assets Con-Company-wise LTI '!$A$2:$J$44</definedName>
    <definedName name="Z_E82B35BE_4719_4C53_A9EF_1CC6F153A6F3_.wvu.PrintArea" localSheetId="14" hidden="1">'9. Concentration Assets - G '!$A$2:$B$23</definedName>
    <definedName name="Z_E82B35BE_4719_4C53_A9EF_1CC6F153A6F3_.wvu.PrintArea" localSheetId="82" hidden="1">'AR table 6 &amp; Chart 7 (2)'!$A$1:$V$28</definedName>
    <definedName name="Z_E82B35BE_4719_4C53_A9EF_1CC6F153A6F3_.wvu.PrintArea" localSheetId="62" hidden="1">'Co Ins Outward'!$A$1:$H$51</definedName>
    <definedName name="Z_E82B35BE_4719_4C53_A9EF_1CC6F153A6F3_.wvu.PrintArea" localSheetId="49" hidden="1">'Comb Ratio'!$A$1:$G$43</definedName>
    <definedName name="Z_E82B35BE_4719_4C53_A9EF_1CC6F153A6F3_.wvu.PrintArea" localSheetId="47" hidden="1">'GWP - Class wise - GI'!$A$1:$G$38</definedName>
    <definedName name="Z_E82B35BE_4719_4C53_A9EF_1CC6F153A6F3_.wvu.PrintArea" localSheetId="56" hidden="1">'GWP - Dist Chan - GI'!$A$12:$F$244</definedName>
    <definedName name="Z_E82B35BE_4719_4C53_A9EF_1CC6F153A6F3_.wvu.PrintArea" localSheetId="60" hidden="1">'GWP - Dist Chan - LI'!$A$1:$F$205</definedName>
    <definedName name="Z_E82B35BE_4719_4C53_A9EF_1CC6F153A6F3_.wvu.PrintArea" localSheetId="42" hidden="1">'Investment Income LI '!$A$1:$G$31</definedName>
    <definedName name="Z_E82B35BE_4719_4C53_A9EF_1CC6F153A6F3_.wvu.PrintArea" localSheetId="73" hidden="1">'Life Benifits Rs.''000'!$A$1:$I$145</definedName>
    <definedName name="Z_E82B35BE_4719_4C53_A9EF_1CC6F153A6F3_.wvu.PrintArea" localSheetId="2" hidden="1">List!$A$2:$B$50</definedName>
    <definedName name="Z_E82B35BE_4719_4C53_A9EF_1CC6F153A6F3_.wvu.PrintArea" localSheetId="59" hidden="1">'New Busi LT'!$B$1:$K$172</definedName>
    <definedName name="Z_E82B35BE_4719_4C53_A9EF_1CC6F153A6F3_.wvu.PrintArea" localSheetId="45" hidden="1">'P &amp; L - GI - 2012 '!$A$2:$H$594</definedName>
    <definedName name="Z_E82B35BE_4719_4C53_A9EF_1CC6F153A6F3_.wvu.PrintArea" localSheetId="52" hidden="1">Retention!$A$1:$H$47</definedName>
    <definedName name="Z_E82B35BE_4719_4C53_A9EF_1CC6F153A6F3_.wvu.PrintArea" localSheetId="11" hidden="1">'SH Funds'!$A$1:$K$32</definedName>
    <definedName name="Z_E82B35BE_4719_4C53_A9EF_1CC6F153A6F3_.wvu.PrintArea" localSheetId="61" hidden="1">'SRCC &amp; TC 2011 &amp; 12'!$A$1:$H$55</definedName>
    <definedName name="Z_E82B35BE_4719_4C53_A9EF_1CC6F153A6F3_.wvu.PrintArea" localSheetId="9" hidden="1">'Total Assets'!$A$1:$M$28</definedName>
    <definedName name="Z_E82B35BE_4719_4C53_A9EF_1CC6F153A6F3_.wvu.PrintTitles" localSheetId="74" hidden="1">'# of Life Benifits Paid'!$2:$2</definedName>
    <definedName name="Z_E82B35BE_4719_4C53_A9EF_1CC6F153A6F3_.wvu.PrintTitles" localSheetId="13" hidden="1">'8. Assets Con-Company-wise LTI '!$B:$B,'8. Assets Con-Company-wise LTI '!#REF!</definedName>
    <definedName name="Z_E82B35BE_4719_4C53_A9EF_1CC6F153A6F3_.wvu.PrintTitles" localSheetId="38" hidden="1">'Branches-Emp-Agents'!$2:$2</definedName>
    <definedName name="Z_E82B35BE_4719_4C53_A9EF_1CC6F153A6F3_.wvu.PrintTitles" localSheetId="55" hidden="1">'GI - Solvency'!$1:$1</definedName>
    <definedName name="Z_E82B35BE_4719_4C53_A9EF_1CC6F153A6F3_.wvu.PrintTitles" localSheetId="43" hidden="1">'LI - Solvency'!$1:$1</definedName>
    <definedName name="Z_E82B35BE_4719_4C53_A9EF_1CC6F153A6F3_.wvu.PrintTitles" localSheetId="73" hidden="1">'Life Benifits Rs.''000'!$2:$2</definedName>
    <definedName name="Z_E82B35BE_4719_4C53_A9EF_1CC6F153A6F3_.wvu.PrintTitles" localSheetId="59" hidden="1">'New Busi LT'!$2:$2</definedName>
    <definedName name="Z_E82B35BE_4719_4C53_A9EF_1CC6F153A6F3_.wvu.PrintTitles" localSheetId="45" hidden="1">'P &amp; L - GI - 2012 '!$2:$2</definedName>
    <definedName name="Z_E82B35BE_4719_4C53_A9EF_1CC6F153A6F3_.wvu.Rows" localSheetId="6" hidden="1">'3. GWP - GIB'!$40:$54,'3. GWP - GIB'!$61:$117</definedName>
    <definedName name="Z_E82B35BE_4719_4C53_A9EF_1CC6F153A6F3_.wvu.Rows" localSheetId="40" hidden="1">'33. New Policies LI (Final) '!$1:$1,'33. New Policies LI (Final) '!#REF!</definedName>
    <definedName name="Z_E82B35BE_4719_4C53_A9EF_1CC6F153A6F3_.wvu.Rows" localSheetId="57" hidden="1">'34. Inforced Policies LI '!#REF!</definedName>
    <definedName name="Z_E82B35BE_4719_4C53_A9EF_1CC6F153A6F3_.wvu.Rows" localSheetId="12" hidden="1">'7. Concentration of Assets-LTIB'!#REF!</definedName>
    <definedName name="Z_E82B35BE_4719_4C53_A9EF_1CC6F153A6F3_.wvu.Rows" localSheetId="14" hidden="1">'9. Concentration Assets - G '!#REF!</definedName>
    <definedName name="Z_E82B35BE_4719_4C53_A9EF_1CC6F153A6F3_.wvu.Rows" localSheetId="47" hidden="1">'GWP - Class wise - GI'!$44:$61</definedName>
    <definedName name="Z_E82B35BE_4719_4C53_A9EF_1CC6F153A6F3_.wvu.Rows" localSheetId="42" hidden="1">'Investment Income LI '!$32:$44</definedName>
    <definedName name="Z_E82B35BE_4719_4C53_A9EF_1CC6F153A6F3_.wvu.Rows" localSheetId="43" hidden="1">'LI - Solvency'!$9:$9</definedName>
    <definedName name="Z_E82B35BE_4719_4C53_A9EF_1CC6F153A6F3_.wvu.Rows" localSheetId="52" hidden="1">Retention!$48:$63</definedName>
    <definedName name="Z_F66B1C5E_2E3D_4890_AA4B_3A6E976CA29E_.wvu.Cols" localSheetId="7" hidden="1">'4. Industry Assets '!#REF!</definedName>
    <definedName name="Z_F66B1C5E_2E3D_4890_AA4B_3A6E976CA29E_.wvu.PrintArea" localSheetId="37" hidden="1">'32. Branches, Emp, Agents'!$B$1:$O$289</definedName>
    <definedName name="Z_F66B1C5E_2E3D_4890_AA4B_3A6E976CA29E_.wvu.PrintArea" localSheetId="7" hidden="1">'4. Industry Assets '!#REF!</definedName>
    <definedName name="Z_F7C0CA98_A3B8_42B1_9940_E27294444C95_.wvu.Cols" localSheetId="29" hidden="1">'24.  Solvency  GI '!$J:$K</definedName>
    <definedName name="Z_F7C0CA98_A3B8_42B1_9940_E27294444C95_.wvu.PrintArea" localSheetId="28" hidden="1">'23. Solvency LI  '!$A$2:$J$27</definedName>
    <definedName name="Z_F7C0CA98_A3B8_42B1_9940_E27294444C95_.wvu.PrintArea" localSheetId="7" hidden="1">'4. Industry Assets '!#REF!</definedName>
    <definedName name="Z_F7C0CA98_A3B8_42B1_9940_E27294444C95_.wvu.Rows" localSheetId="28" hidden="1">'23. Solvency LI  '!#REF!</definedName>
    <definedName name="Z_F7C0CA98_A3B8_42B1_9940_E27294444C95_.wvu.Rows" localSheetId="29" hidden="1">'24.  Solvency  GI '!#REF!</definedName>
  </definedNames>
  <calcPr calcId="191028"/>
  <customWorkbookViews>
    <customWorkbookView name="shashini - Personal View" guid="{2ACFE167-4169-43A6-9AB2-59D5A2DA2DB4}" mergeInterval="0" personalView="1" maximized="1" xWindow="1" yWindow="1" windowWidth="1362" windowHeight="496" activeSheetId="17" showComments="commIndAndComment"/>
    <customWorkbookView name="shanika - Personal View" guid="{967E0446-E234-427F-8E57-7FE287052E2E}" mergeInterval="0" personalView="1" maximized="1" xWindow="1" yWindow="1" windowWidth="1316" windowHeight="462" tabRatio="974" activeSheetId="76" showComments="commIndAndComment"/>
    <customWorkbookView name="Microsoft - Personal View" guid="{B2E1A0C6-5BA1-4CF1-B412-16D81FCDF11F}" mergeInterval="0" personalView="1" maximized="1" xWindow="-8" yWindow="-8" windowWidth="1382" windowHeight="744" tabRatio="974" activeSheetId="25"/>
    <customWorkbookView name="Aruna Danthanarayana - Personal View" guid="{46F31544-8E6F-41C5-8628-1D6EE074AF15}" mergeInterval="0" personalView="1" maximized="1" xWindow="-8" yWindow="-8" windowWidth="1382" windowHeight="744" tabRatio="974" activeSheetId="6"/>
    <customWorkbookView name="  - Personal View" guid="{D020F570-D9CD-4C16-921E-7638848CF929}" mergeInterval="0" personalView="1" maximized="1" xWindow="1" yWindow="1" windowWidth="1280" windowHeight="761" activeSheetId="5"/>
    <customWorkbookView name="upendra - Personal View" guid="{F66B1C5E-2E3D-4890-AA4B-3A6E976CA29E}" mergeInterval="0" personalView="1" maximized="1" xWindow="1" yWindow="1" windowWidth="1020" windowHeight="505" activeSheetId="45"/>
    <customWorkbookView name="chamarie - Personal View" guid="{C4538C36-F6A2-4603-9311-8D97FB7695CB}" mergeInterval="0" personalView="1" maximized="1" xWindow="1" yWindow="1" windowWidth="1020" windowHeight="505" activeSheetId="5"/>
    <customWorkbookView name="sarika - Personal View" guid="{3199A5C7-1303-43ED-A74D-8C27C3B99779}" mergeInterval="0" personalView="1" maximized="1" xWindow="1" yWindow="1" windowWidth="1280" windowHeight="762" activeSheetId="74"/>
    <customWorkbookView name="decika - Personal View" guid="{B8318771-9061-42D8-AFEA-0FF27D639C94}" mergeInterval="0" personalView="1" maximized="1" xWindow="1" yWindow="1" windowWidth="1024" windowHeight="505" activeSheetId="54"/>
    <customWorkbookView name="Asanka - Personal View" guid="{F7C0CA98-A3B8-42B1-9940-E27294444C95}" mergeInterval="0" personalView="1" maximized="1" xWindow="1" yWindow="1" windowWidth="1020" windowHeight="505" activeSheetId="5"/>
    <customWorkbookView name="chathuri - Personal View" guid="{B4A67912-05A8-4D20-958A-E8812294BB39}" mergeInterval="0" personalView="1" maximized="1" xWindow="1" yWindow="1" windowWidth="1280" windowHeight="762" activeSheetId="8"/>
    <customWorkbookView name="kapila - Personal View" guid="{E82B35BE-4719-4C53-A9EF-1CC6F153A6F3}" mergeInterval="0" personalView="1" maximized="1" xWindow="1" yWindow="1" windowWidth="1276" windowHeight="804" tabRatio="858" activeSheetId="41"/>
    <customWorkbookView name="thilini - Personal View" guid="{B1E1B596-A9A1-411D-A882-A48CB025B978}" mergeInterval="0" personalView="1" xWindow="22" yWindow="17" windowWidth="1231" windowHeight="512" tabRatio="953" activeSheetId="22" showComments="commIndAndComment"/>
    <customWorkbookView name="hasini - Personal View" guid="{5E394B0B-7867-4722-9497-A93AB2A9A773}" mergeInterval="0" personalView="1" maximized="1" xWindow="1" yWindow="1" windowWidth="1276" windowHeight="752" tabRatio="953" activeSheetId="2"/>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8" i="137" l="1"/>
  <c r="H9" i="137"/>
  <c r="H10" i="137"/>
  <c r="H11" i="137"/>
  <c r="H12" i="137"/>
  <c r="H13" i="137"/>
  <c r="H14" i="137"/>
  <c r="H15" i="137"/>
  <c r="H16" i="137"/>
  <c r="H17" i="137"/>
  <c r="H18" i="137"/>
  <c r="H19" i="137"/>
  <c r="H20" i="137"/>
  <c r="H7" i="137"/>
  <c r="H21" i="137" s="1"/>
  <c r="F11" i="137"/>
  <c r="F8" i="137"/>
  <c r="F9" i="137"/>
  <c r="F10" i="137"/>
  <c r="F12" i="137"/>
  <c r="F13" i="137"/>
  <c r="F14" i="137"/>
  <c r="F15" i="137"/>
  <c r="F16" i="137"/>
  <c r="F17" i="137"/>
  <c r="F18" i="137"/>
  <c r="F19" i="137"/>
  <c r="F20" i="137"/>
  <c r="F7" i="137"/>
  <c r="F21" i="137" s="1"/>
  <c r="O26" i="100"/>
  <c r="C23" i="100"/>
  <c r="D8" i="100" l="1"/>
  <c r="D9" i="100"/>
  <c r="D10" i="100"/>
  <c r="D11" i="100"/>
  <c r="D13" i="100"/>
  <c r="D14" i="100"/>
  <c r="D15" i="100"/>
  <c r="D16" i="100"/>
  <c r="D17" i="100"/>
  <c r="D18" i="100"/>
  <c r="D19" i="100"/>
  <c r="D20" i="100"/>
  <c r="D21" i="100"/>
  <c r="D22" i="100"/>
  <c r="D7" i="100"/>
  <c r="G22" i="137"/>
  <c r="K21" i="137" l="1"/>
  <c r="I181" i="105"/>
  <c r="L8" i="137" l="1"/>
  <c r="L9" i="137"/>
  <c r="L10" i="137"/>
  <c r="L11" i="137"/>
  <c r="L12" i="137"/>
  <c r="L13" i="137"/>
  <c r="L14" i="137"/>
  <c r="L15" i="137"/>
  <c r="L16" i="137"/>
  <c r="L17" i="137"/>
  <c r="L18" i="137"/>
  <c r="L19" i="137"/>
  <c r="L20" i="137"/>
  <c r="L7" i="137"/>
  <c r="L21" i="137" s="1"/>
  <c r="J26" i="139"/>
  <c r="C15" i="103" l="1"/>
  <c r="D7" i="103" l="1"/>
  <c r="D8" i="103"/>
  <c r="D9" i="103"/>
  <c r="D10" i="103"/>
  <c r="D11" i="103"/>
  <c r="D12" i="103"/>
  <c r="D13" i="103"/>
  <c r="D14" i="103"/>
  <c r="D6" i="103"/>
  <c r="K26" i="120" l="1"/>
  <c r="D34" i="118" l="1"/>
  <c r="G34" i="106"/>
  <c r="F45" i="106"/>
  <c r="H34" i="106"/>
  <c r="H943" i="106"/>
  <c r="G27" i="118" l="1"/>
  <c r="G28" i="118"/>
  <c r="G30" i="118"/>
  <c r="G31" i="118"/>
  <c r="G26" i="118"/>
  <c r="G25" i="118"/>
  <c r="G24" i="118"/>
  <c r="G20" i="118"/>
  <c r="G17" i="118"/>
  <c r="G13" i="118"/>
  <c r="G10" i="118"/>
  <c r="G14" i="118"/>
  <c r="G18" i="118"/>
  <c r="G7" i="118"/>
  <c r="G34" i="118" s="1"/>
  <c r="D397" i="141"/>
  <c r="E19" i="129" l="1"/>
  <c r="M393" i="107"/>
  <c r="I393" i="107"/>
  <c r="D393" i="107"/>
  <c r="H31" i="133" l="1"/>
  <c r="G45" i="133"/>
  <c r="C45" i="133"/>
  <c r="I23" i="37"/>
  <c r="H23" i="37"/>
  <c r="H8" i="37"/>
  <c r="H9" i="37"/>
  <c r="I18" i="37"/>
  <c r="H18" i="37"/>
  <c r="C19" i="128" l="1"/>
  <c r="K27" i="143"/>
  <c r="K22" i="143"/>
  <c r="K16" i="143"/>
  <c r="I16" i="143"/>
  <c r="E22" i="107" l="1"/>
  <c r="F19" i="106" l="1"/>
  <c r="E17" i="138"/>
  <c r="H28" i="102"/>
  <c r="I28" i="102" s="1"/>
  <c r="H34" i="102"/>
  <c r="I34" i="102" s="1"/>
  <c r="E33" i="120"/>
  <c r="D33" i="120"/>
  <c r="C33" i="120"/>
  <c r="F7" i="138" l="1"/>
  <c r="F8" i="138"/>
  <c r="F9" i="138"/>
  <c r="F10" i="138"/>
  <c r="F11" i="138"/>
  <c r="F12" i="138"/>
  <c r="F13" i="138"/>
  <c r="F14" i="138"/>
  <c r="F15" i="138"/>
  <c r="F16" i="138"/>
  <c r="F6" i="138"/>
  <c r="H37" i="87"/>
  <c r="F37" i="87"/>
  <c r="H30" i="87"/>
  <c r="G30" i="87"/>
  <c r="F30" i="87"/>
  <c r="H18" i="87"/>
  <c r="G18" i="87"/>
  <c r="F18" i="87"/>
  <c r="E18" i="87"/>
  <c r="D18" i="87"/>
  <c r="C18" i="87"/>
  <c r="H17" i="87"/>
  <c r="G17" i="87"/>
  <c r="F17" i="87"/>
  <c r="E17" i="87"/>
  <c r="D17" i="87"/>
  <c r="C17" i="87"/>
  <c r="H16" i="87"/>
  <c r="G16" i="87"/>
  <c r="F16" i="87"/>
  <c r="E16" i="87"/>
  <c r="D16" i="87"/>
  <c r="C16" i="87"/>
  <c r="H15" i="87"/>
  <c r="G15" i="87"/>
  <c r="F15" i="87"/>
  <c r="E15" i="87"/>
  <c r="D15" i="87"/>
  <c r="C15" i="87"/>
  <c r="H10" i="87"/>
  <c r="G10" i="87"/>
  <c r="F10" i="87"/>
  <c r="E10" i="87"/>
  <c r="D10" i="87"/>
  <c r="C10" i="87"/>
  <c r="H9" i="87"/>
  <c r="G9" i="87"/>
  <c r="F9" i="87"/>
  <c r="E9" i="87"/>
  <c r="D9" i="87"/>
  <c r="C9" i="87"/>
  <c r="H8" i="87"/>
  <c r="G8" i="87"/>
  <c r="F8" i="87"/>
  <c r="E8" i="87"/>
  <c r="D8" i="87"/>
  <c r="C8" i="87"/>
  <c r="H7" i="87"/>
  <c r="H11" i="87" s="1"/>
  <c r="G7" i="87"/>
  <c r="G11" i="87" s="1"/>
  <c r="F7" i="87"/>
  <c r="F11" i="87" s="1"/>
  <c r="E7" i="87"/>
  <c r="E11" i="87" s="1"/>
  <c r="D7" i="87"/>
  <c r="D11" i="87" s="1"/>
  <c r="C7" i="87"/>
  <c r="C11" i="87" s="1"/>
  <c r="G8" i="86"/>
  <c r="D8" i="86"/>
  <c r="G7" i="86"/>
  <c r="D7" i="86"/>
  <c r="B5" i="86"/>
  <c r="F4" i="86"/>
  <c r="E4" i="86"/>
  <c r="G4" i="86" s="1"/>
  <c r="C4" i="86"/>
  <c r="B4" i="86"/>
  <c r="D4" i="86" s="1"/>
  <c r="B69" i="85"/>
  <c r="C61" i="85"/>
  <c r="B61" i="85"/>
  <c r="H61" i="85" s="1"/>
  <c r="C60" i="85"/>
  <c r="B60" i="85"/>
  <c r="H60" i="85" s="1"/>
  <c r="H59" i="85"/>
  <c r="C59" i="85"/>
  <c r="B59" i="85"/>
  <c r="C51" i="85"/>
  <c r="B51" i="85"/>
  <c r="C50" i="85"/>
  <c r="B50" i="85"/>
  <c r="B49" i="85" s="1"/>
  <c r="C49" i="85"/>
  <c r="C46" i="85"/>
  <c r="B46" i="85"/>
  <c r="B42" i="85"/>
  <c r="B64" i="85" s="1"/>
  <c r="C29" i="85"/>
  <c r="B29" i="85"/>
  <c r="B43" i="85" s="1"/>
  <c r="C28" i="85"/>
  <c r="B28" i="85"/>
  <c r="C27" i="85"/>
  <c r="B27" i="85"/>
  <c r="C25" i="85"/>
  <c r="C70" i="85" s="1"/>
  <c r="C24" i="85"/>
  <c r="C32" i="85" s="1"/>
  <c r="B24" i="85"/>
  <c r="B32" i="85" s="1"/>
  <c r="C23" i="85"/>
  <c r="E17" i="85"/>
  <c r="C15" i="85"/>
  <c r="C19" i="85" s="1"/>
  <c r="C7" i="85"/>
  <c r="C6" i="85"/>
  <c r="C5" i="85"/>
  <c r="F6" i="84"/>
  <c r="E6" i="84"/>
  <c r="C6" i="84"/>
  <c r="B6" i="84"/>
  <c r="F5" i="84"/>
  <c r="E5" i="84"/>
  <c r="C5" i="84"/>
  <c r="B5" i="84"/>
  <c r="C10" i="83"/>
  <c r="E10" i="83" s="1"/>
  <c r="B10" i="83"/>
  <c r="C9" i="83"/>
  <c r="E9" i="83" s="1"/>
  <c r="B9" i="83"/>
  <c r="C8" i="83"/>
  <c r="E8" i="83" s="1"/>
  <c r="B8" i="83"/>
  <c r="C7" i="83"/>
  <c r="E7" i="83" s="1"/>
  <c r="B7" i="83"/>
  <c r="C6" i="83"/>
  <c r="E6" i="83" s="1"/>
  <c r="B6" i="83"/>
  <c r="T129" i="82"/>
  <c r="E146" i="82" s="1"/>
  <c r="S129" i="82"/>
  <c r="D146" i="82" s="1"/>
  <c r="R129" i="82"/>
  <c r="C146" i="82" s="1"/>
  <c r="Q129" i="82"/>
  <c r="E145" i="82" s="1"/>
  <c r="P129" i="82"/>
  <c r="D145" i="82" s="1"/>
  <c r="O129" i="82"/>
  <c r="C145" i="82" s="1"/>
  <c r="N129" i="82"/>
  <c r="E144" i="82" s="1"/>
  <c r="M129" i="82"/>
  <c r="D144" i="82" s="1"/>
  <c r="L129" i="82"/>
  <c r="C144" i="82" s="1"/>
  <c r="K129" i="82"/>
  <c r="E143" i="82" s="1"/>
  <c r="J129" i="82"/>
  <c r="D143" i="82" s="1"/>
  <c r="I129" i="82"/>
  <c r="C143" i="82" s="1"/>
  <c r="H129" i="82"/>
  <c r="E142" i="82" s="1"/>
  <c r="E147" i="82" s="1"/>
  <c r="C16" i="83" s="1"/>
  <c r="E16" i="83" s="1"/>
  <c r="G129" i="82"/>
  <c r="D142" i="82" s="1"/>
  <c r="D147" i="82" s="1"/>
  <c r="F129" i="82"/>
  <c r="C142" i="82" s="1"/>
  <c r="C147" i="82" s="1"/>
  <c r="E128" i="82"/>
  <c r="D128" i="82"/>
  <c r="C128" i="82"/>
  <c r="E127" i="82"/>
  <c r="D127" i="82"/>
  <c r="C127" i="82"/>
  <c r="E126" i="82"/>
  <c r="D126" i="82"/>
  <c r="C126" i="82"/>
  <c r="E125" i="82"/>
  <c r="D125" i="82"/>
  <c r="C125" i="82"/>
  <c r="E124" i="82"/>
  <c r="D124" i="82"/>
  <c r="C124" i="82"/>
  <c r="E123" i="82"/>
  <c r="D123" i="82"/>
  <c r="C123" i="82"/>
  <c r="E122" i="82"/>
  <c r="D122" i="82"/>
  <c r="C122" i="82"/>
  <c r="E121" i="82"/>
  <c r="D121" i="82"/>
  <c r="C121" i="82"/>
  <c r="E120" i="82"/>
  <c r="D120" i="82"/>
  <c r="C120" i="82"/>
  <c r="E119" i="82"/>
  <c r="D119" i="82"/>
  <c r="C119" i="82"/>
  <c r="E118" i="82"/>
  <c r="D118" i="82"/>
  <c r="C118" i="82"/>
  <c r="E117" i="82"/>
  <c r="D117" i="82"/>
  <c r="C117" i="82"/>
  <c r="E116" i="82"/>
  <c r="D116" i="82"/>
  <c r="C116" i="82"/>
  <c r="E115" i="82"/>
  <c r="D115" i="82"/>
  <c r="C115" i="82"/>
  <c r="E114" i="82"/>
  <c r="D114" i="82"/>
  <c r="C114" i="82"/>
  <c r="E113" i="82"/>
  <c r="D113" i="82"/>
  <c r="C113" i="82"/>
  <c r="E112" i="82"/>
  <c r="D112" i="82"/>
  <c r="C112" i="82"/>
  <c r="E111" i="82"/>
  <c r="D111" i="82"/>
  <c r="C111" i="82"/>
  <c r="E110" i="82"/>
  <c r="E129" i="82" s="1"/>
  <c r="D110" i="82"/>
  <c r="D129" i="82" s="1"/>
  <c r="C110" i="82"/>
  <c r="C129" i="82" s="1"/>
  <c r="T103" i="82"/>
  <c r="H146" i="82" s="1"/>
  <c r="S103" i="82"/>
  <c r="G146" i="82" s="1"/>
  <c r="R103" i="82"/>
  <c r="F146" i="82" s="1"/>
  <c r="Q103" i="82"/>
  <c r="H145" i="82" s="1"/>
  <c r="P103" i="82"/>
  <c r="G145" i="82" s="1"/>
  <c r="O103" i="82"/>
  <c r="F145" i="82" s="1"/>
  <c r="N103" i="82"/>
  <c r="H144" i="82" s="1"/>
  <c r="M103" i="82"/>
  <c r="G144" i="82" s="1"/>
  <c r="L103" i="82"/>
  <c r="F144" i="82" s="1"/>
  <c r="K103" i="82"/>
  <c r="H143" i="82" s="1"/>
  <c r="J103" i="82"/>
  <c r="G143" i="82" s="1"/>
  <c r="I103" i="82"/>
  <c r="F143" i="82" s="1"/>
  <c r="H103" i="82"/>
  <c r="H142" i="82" s="1"/>
  <c r="H147" i="82" s="1"/>
  <c r="C17" i="83" s="1"/>
  <c r="E17" i="83" s="1"/>
  <c r="G103" i="82"/>
  <c r="G142" i="82" s="1"/>
  <c r="G147" i="82" s="1"/>
  <c r="F103" i="82"/>
  <c r="F142" i="82" s="1"/>
  <c r="F147" i="82" s="1"/>
  <c r="E102" i="82"/>
  <c r="D102" i="82"/>
  <c r="C102" i="82"/>
  <c r="E101" i="82"/>
  <c r="D101" i="82"/>
  <c r="C101" i="82"/>
  <c r="E100" i="82"/>
  <c r="D100" i="82"/>
  <c r="C100" i="82"/>
  <c r="E99" i="82"/>
  <c r="D99" i="82"/>
  <c r="C99" i="82"/>
  <c r="E98" i="82"/>
  <c r="D98" i="82"/>
  <c r="C98" i="82"/>
  <c r="E97" i="82"/>
  <c r="D97" i="82"/>
  <c r="C97" i="82"/>
  <c r="E96" i="82"/>
  <c r="D96" i="82"/>
  <c r="C96" i="82"/>
  <c r="E95" i="82"/>
  <c r="D95" i="82"/>
  <c r="C95" i="82"/>
  <c r="E94" i="82"/>
  <c r="D94" i="82"/>
  <c r="C94" i="82"/>
  <c r="E93" i="82"/>
  <c r="D93" i="82"/>
  <c r="C93" i="82"/>
  <c r="E92" i="82"/>
  <c r="D92" i="82"/>
  <c r="C92" i="82"/>
  <c r="E91" i="82"/>
  <c r="D91" i="82"/>
  <c r="C91" i="82"/>
  <c r="E90" i="82"/>
  <c r="D90" i="82"/>
  <c r="C90" i="82"/>
  <c r="E89" i="82"/>
  <c r="D89" i="82"/>
  <c r="C89" i="82"/>
  <c r="E88" i="82"/>
  <c r="D88" i="82"/>
  <c r="C88" i="82"/>
  <c r="E87" i="82"/>
  <c r="D87" i="82"/>
  <c r="C87" i="82"/>
  <c r="E86" i="82"/>
  <c r="D86" i="82"/>
  <c r="C86" i="82"/>
  <c r="E85" i="82"/>
  <c r="D85" i="82"/>
  <c r="C85" i="82"/>
  <c r="E84" i="82"/>
  <c r="E103" i="82" s="1"/>
  <c r="D84" i="82"/>
  <c r="D103" i="82" s="1"/>
  <c r="C84" i="82"/>
  <c r="C103" i="82" s="1"/>
  <c r="T77" i="82"/>
  <c r="K146" i="82" s="1"/>
  <c r="S77" i="82"/>
  <c r="J146" i="82" s="1"/>
  <c r="R77" i="82"/>
  <c r="I146" i="82" s="1"/>
  <c r="Q77" i="82"/>
  <c r="K145" i="82" s="1"/>
  <c r="P77" i="82"/>
  <c r="J145" i="82" s="1"/>
  <c r="O77" i="82"/>
  <c r="I145" i="82" s="1"/>
  <c r="N77" i="82"/>
  <c r="K144" i="82" s="1"/>
  <c r="M77" i="82"/>
  <c r="J144" i="82" s="1"/>
  <c r="L77" i="82"/>
  <c r="I144" i="82" s="1"/>
  <c r="K77" i="82"/>
  <c r="K143" i="82" s="1"/>
  <c r="J77" i="82"/>
  <c r="J143" i="82" s="1"/>
  <c r="I77" i="82"/>
  <c r="I143" i="82" s="1"/>
  <c r="H77" i="82"/>
  <c r="K142" i="82" s="1"/>
  <c r="K147" i="82" s="1"/>
  <c r="C18" i="83" s="1"/>
  <c r="E18" i="83" s="1"/>
  <c r="G77" i="82"/>
  <c r="J142" i="82" s="1"/>
  <c r="J147" i="82" s="1"/>
  <c r="F77" i="82"/>
  <c r="I142" i="82" s="1"/>
  <c r="I147" i="82" s="1"/>
  <c r="E76" i="82"/>
  <c r="D76" i="82"/>
  <c r="C76" i="82"/>
  <c r="E75" i="82"/>
  <c r="D75" i="82"/>
  <c r="C75" i="82"/>
  <c r="E74" i="82"/>
  <c r="D74" i="82"/>
  <c r="C74" i="82"/>
  <c r="E73" i="82"/>
  <c r="D73" i="82"/>
  <c r="C73" i="82"/>
  <c r="E72" i="82"/>
  <c r="D72" i="82"/>
  <c r="C72" i="82"/>
  <c r="E71" i="82"/>
  <c r="D71" i="82"/>
  <c r="C71" i="82"/>
  <c r="E70" i="82"/>
  <c r="D70" i="82"/>
  <c r="C70" i="82"/>
  <c r="E69" i="82"/>
  <c r="D69" i="82"/>
  <c r="C69" i="82"/>
  <c r="E68" i="82"/>
  <c r="D68" i="82"/>
  <c r="C68" i="82"/>
  <c r="E67" i="82"/>
  <c r="D67" i="82"/>
  <c r="C67" i="82"/>
  <c r="E66" i="82"/>
  <c r="D66" i="82"/>
  <c r="C66" i="82"/>
  <c r="E65" i="82"/>
  <c r="D65" i="82"/>
  <c r="C65" i="82"/>
  <c r="E64" i="82"/>
  <c r="D64" i="82"/>
  <c r="C64" i="82"/>
  <c r="E63" i="82"/>
  <c r="D63" i="82"/>
  <c r="C63" i="82"/>
  <c r="E62" i="82"/>
  <c r="D62" i="82"/>
  <c r="C62" i="82"/>
  <c r="E61" i="82"/>
  <c r="D61" i="82"/>
  <c r="C61" i="82"/>
  <c r="E60" i="82"/>
  <c r="D60" i="82"/>
  <c r="C60" i="82"/>
  <c r="E59" i="82"/>
  <c r="D59" i="82"/>
  <c r="C59" i="82"/>
  <c r="E58" i="82"/>
  <c r="E77" i="82" s="1"/>
  <c r="D58" i="82"/>
  <c r="D77" i="82" s="1"/>
  <c r="C58" i="82"/>
  <c r="C77" i="82" s="1"/>
  <c r="T51" i="82"/>
  <c r="N146" i="82" s="1"/>
  <c r="S51" i="82"/>
  <c r="M146" i="82" s="1"/>
  <c r="R51" i="82"/>
  <c r="L146" i="82" s="1"/>
  <c r="Q51" i="82"/>
  <c r="N145" i="82" s="1"/>
  <c r="P51" i="82"/>
  <c r="M145" i="82" s="1"/>
  <c r="O51" i="82"/>
  <c r="L145" i="82" s="1"/>
  <c r="N51" i="82"/>
  <c r="N144" i="82" s="1"/>
  <c r="M51" i="82"/>
  <c r="M144" i="82" s="1"/>
  <c r="L51" i="82"/>
  <c r="L144" i="82" s="1"/>
  <c r="K51" i="82"/>
  <c r="N143" i="82" s="1"/>
  <c r="J51" i="82"/>
  <c r="M143" i="82" s="1"/>
  <c r="I51" i="82"/>
  <c r="L143" i="82" s="1"/>
  <c r="H51" i="82"/>
  <c r="N142" i="82" s="1"/>
  <c r="N147" i="82" s="1"/>
  <c r="C19" i="83" s="1"/>
  <c r="E19" i="83" s="1"/>
  <c r="G51" i="82"/>
  <c r="M142" i="82" s="1"/>
  <c r="M147" i="82" s="1"/>
  <c r="F51" i="82"/>
  <c r="L142" i="82" s="1"/>
  <c r="L147" i="82" s="1"/>
  <c r="E50" i="82"/>
  <c r="D50" i="82"/>
  <c r="C50" i="82"/>
  <c r="E49" i="82"/>
  <c r="D49" i="82"/>
  <c r="C49" i="82"/>
  <c r="E48" i="82"/>
  <c r="D48" i="82"/>
  <c r="C48" i="82"/>
  <c r="E47" i="82"/>
  <c r="D47" i="82"/>
  <c r="C47" i="82"/>
  <c r="E46" i="82"/>
  <c r="D46" i="82"/>
  <c r="C46" i="82"/>
  <c r="E45" i="82"/>
  <c r="D45" i="82"/>
  <c r="C45" i="82"/>
  <c r="E44" i="82"/>
  <c r="D44" i="82"/>
  <c r="C44" i="82"/>
  <c r="E43" i="82"/>
  <c r="D43" i="82"/>
  <c r="C43" i="82"/>
  <c r="E42" i="82"/>
  <c r="D42" i="82"/>
  <c r="C42" i="82"/>
  <c r="E41" i="82"/>
  <c r="D41" i="82"/>
  <c r="C41" i="82"/>
  <c r="E40" i="82"/>
  <c r="D40" i="82"/>
  <c r="C40" i="82"/>
  <c r="E39" i="82"/>
  <c r="D39" i="82"/>
  <c r="C39" i="82"/>
  <c r="E38" i="82"/>
  <c r="D38" i="82"/>
  <c r="C38" i="82"/>
  <c r="E37" i="82"/>
  <c r="D37" i="82"/>
  <c r="C37" i="82"/>
  <c r="E36" i="82"/>
  <c r="D36" i="82"/>
  <c r="C36" i="82"/>
  <c r="E35" i="82"/>
  <c r="D35" i="82"/>
  <c r="C35" i="82"/>
  <c r="E34" i="82"/>
  <c r="D34" i="82"/>
  <c r="C34" i="82"/>
  <c r="E33" i="82"/>
  <c r="D33" i="82"/>
  <c r="C33" i="82"/>
  <c r="E32" i="82"/>
  <c r="E51" i="82" s="1"/>
  <c r="D32" i="82"/>
  <c r="D51" i="82" s="1"/>
  <c r="C32" i="82"/>
  <c r="C51" i="82" s="1"/>
  <c r="T25" i="82"/>
  <c r="Q146" i="82" s="1"/>
  <c r="S25" i="82"/>
  <c r="P146" i="82" s="1"/>
  <c r="R25" i="82"/>
  <c r="O146" i="82" s="1"/>
  <c r="Q25" i="82"/>
  <c r="Q145" i="82" s="1"/>
  <c r="P25" i="82"/>
  <c r="P145" i="82" s="1"/>
  <c r="O25" i="82"/>
  <c r="O145" i="82" s="1"/>
  <c r="N25" i="82"/>
  <c r="Q144" i="82" s="1"/>
  <c r="M25" i="82"/>
  <c r="P144" i="82" s="1"/>
  <c r="L25" i="82"/>
  <c r="O144" i="82" s="1"/>
  <c r="K25" i="82"/>
  <c r="Q143" i="82" s="1"/>
  <c r="J25" i="82"/>
  <c r="P143" i="82" s="1"/>
  <c r="I25" i="82"/>
  <c r="O143" i="82" s="1"/>
  <c r="H25" i="82"/>
  <c r="Q142" i="82" s="1"/>
  <c r="Q147" i="82" s="1"/>
  <c r="C20" i="83" s="1"/>
  <c r="E20" i="83" s="1"/>
  <c r="G25" i="82"/>
  <c r="P142" i="82" s="1"/>
  <c r="P147" i="82" s="1"/>
  <c r="F25" i="82"/>
  <c r="O142" i="82" s="1"/>
  <c r="O147" i="82" s="1"/>
  <c r="E24" i="82"/>
  <c r="D24" i="82"/>
  <c r="C24" i="82"/>
  <c r="E23" i="82"/>
  <c r="D23" i="82"/>
  <c r="C23" i="82"/>
  <c r="E22" i="82"/>
  <c r="D22" i="82"/>
  <c r="C22" i="82"/>
  <c r="E21" i="82"/>
  <c r="D21" i="82"/>
  <c r="C21" i="82"/>
  <c r="E20" i="82"/>
  <c r="D20" i="82"/>
  <c r="C20" i="82"/>
  <c r="E19" i="82"/>
  <c r="D19" i="82"/>
  <c r="C19" i="82"/>
  <c r="E18" i="82"/>
  <c r="D18" i="82"/>
  <c r="C18" i="82"/>
  <c r="E17" i="82"/>
  <c r="D17" i="82"/>
  <c r="C17" i="82"/>
  <c r="E16" i="82"/>
  <c r="D16" i="82"/>
  <c r="C16" i="82"/>
  <c r="E15" i="82"/>
  <c r="D15" i="82"/>
  <c r="C15" i="82"/>
  <c r="E14" i="82"/>
  <c r="D14" i="82"/>
  <c r="C14" i="82"/>
  <c r="E13" i="82"/>
  <c r="D13" i="82"/>
  <c r="C13" i="82"/>
  <c r="E12" i="82"/>
  <c r="D12" i="82"/>
  <c r="C12" i="82"/>
  <c r="E11" i="82"/>
  <c r="D11" i="82"/>
  <c r="C11" i="82"/>
  <c r="E10" i="82"/>
  <c r="D10" i="82"/>
  <c r="C10" i="82"/>
  <c r="E9" i="82"/>
  <c r="D9" i="82"/>
  <c r="C9" i="82"/>
  <c r="E8" i="82"/>
  <c r="D8" i="82"/>
  <c r="C8" i="82"/>
  <c r="E7" i="82"/>
  <c r="D7" i="82"/>
  <c r="C7" i="82"/>
  <c r="E6" i="82"/>
  <c r="E25" i="82" s="1"/>
  <c r="D6" i="82"/>
  <c r="D25" i="82" s="1"/>
  <c r="C6" i="82"/>
  <c r="C25" i="82" s="1"/>
  <c r="G22" i="81"/>
  <c r="F22" i="81"/>
  <c r="D22" i="81"/>
  <c r="C22" i="81"/>
  <c r="G21" i="81"/>
  <c r="F21" i="81"/>
  <c r="D21" i="81"/>
  <c r="C21" i="81"/>
  <c r="G20" i="81"/>
  <c r="F20" i="81"/>
  <c r="D20" i="81"/>
  <c r="C20" i="81"/>
  <c r="G19" i="81"/>
  <c r="F19" i="81"/>
  <c r="D19" i="81"/>
  <c r="C19" i="81"/>
  <c r="G18" i="81"/>
  <c r="F18" i="81"/>
  <c r="D18" i="81"/>
  <c r="C18" i="81"/>
  <c r="G17" i="81"/>
  <c r="F17" i="81"/>
  <c r="D17" i="81"/>
  <c r="C17" i="81"/>
  <c r="G16" i="81"/>
  <c r="F16" i="81"/>
  <c r="D16" i="81"/>
  <c r="C16" i="81"/>
  <c r="G15" i="81"/>
  <c r="F15" i="81"/>
  <c r="D15" i="81"/>
  <c r="C15" i="81"/>
  <c r="G14" i="81"/>
  <c r="F14" i="81"/>
  <c r="D14" i="81"/>
  <c r="C14" i="81"/>
  <c r="G13" i="81"/>
  <c r="F13" i="81"/>
  <c r="D13" i="81"/>
  <c r="C13" i="81"/>
  <c r="G12" i="81"/>
  <c r="F12" i="81"/>
  <c r="D12" i="81"/>
  <c r="C12" i="81"/>
  <c r="G11" i="81"/>
  <c r="F11" i="81"/>
  <c r="D11" i="81"/>
  <c r="C11" i="81"/>
  <c r="G10" i="81"/>
  <c r="F10" i="81"/>
  <c r="D10" i="81"/>
  <c r="C10" i="81"/>
  <c r="G9" i="81"/>
  <c r="F9" i="81"/>
  <c r="D9" i="81"/>
  <c r="C9" i="81"/>
  <c r="G8" i="81"/>
  <c r="F8" i="81"/>
  <c r="D8" i="81"/>
  <c r="C8" i="81"/>
  <c r="G7" i="81"/>
  <c r="F7" i="81"/>
  <c r="D7" i="81"/>
  <c r="C7" i="81"/>
  <c r="G6" i="81"/>
  <c r="F6" i="81"/>
  <c r="D6" i="81"/>
  <c r="C6" i="81"/>
  <c r="G5" i="81"/>
  <c r="F5" i="81"/>
  <c r="F23" i="81" s="1"/>
  <c r="D5" i="81"/>
  <c r="C5" i="81"/>
  <c r="C23" i="81" s="1"/>
  <c r="T153" i="80"/>
  <c r="E163" i="80" s="1"/>
  <c r="S153" i="80"/>
  <c r="D163" i="80" s="1"/>
  <c r="R153" i="80"/>
  <c r="C163" i="80" s="1"/>
  <c r="Q153" i="80"/>
  <c r="E162" i="80" s="1"/>
  <c r="P153" i="80"/>
  <c r="D162" i="80" s="1"/>
  <c r="O153" i="80"/>
  <c r="C162" i="80" s="1"/>
  <c r="N153" i="80"/>
  <c r="E161" i="80" s="1"/>
  <c r="M153" i="80"/>
  <c r="D161" i="80" s="1"/>
  <c r="L153" i="80"/>
  <c r="C161" i="80" s="1"/>
  <c r="K153" i="80"/>
  <c r="E160" i="80" s="1"/>
  <c r="J153" i="80"/>
  <c r="D160" i="80" s="1"/>
  <c r="I153" i="80"/>
  <c r="C160" i="80" s="1"/>
  <c r="H153" i="80"/>
  <c r="E159" i="80" s="1"/>
  <c r="E164" i="80" s="1"/>
  <c r="C171" i="80" s="1"/>
  <c r="G153" i="80"/>
  <c r="D159" i="80" s="1"/>
  <c r="D164" i="80" s="1"/>
  <c r="C170" i="80" s="1"/>
  <c r="F153" i="80"/>
  <c r="C159" i="80" s="1"/>
  <c r="C164" i="80" s="1"/>
  <c r="C169" i="80" s="1"/>
  <c r="E152" i="80"/>
  <c r="D152" i="80"/>
  <c r="C152" i="80"/>
  <c r="E151" i="80"/>
  <c r="D151" i="80"/>
  <c r="C151" i="80"/>
  <c r="E150" i="80"/>
  <c r="D150" i="80"/>
  <c r="C150" i="80"/>
  <c r="E149" i="80"/>
  <c r="D149" i="80"/>
  <c r="C149" i="80"/>
  <c r="E148" i="80"/>
  <c r="D148" i="80"/>
  <c r="C148" i="80"/>
  <c r="E147" i="80"/>
  <c r="D147" i="80"/>
  <c r="C147" i="80"/>
  <c r="E146" i="80"/>
  <c r="D146" i="80"/>
  <c r="C146" i="80"/>
  <c r="E145" i="80"/>
  <c r="D145" i="80"/>
  <c r="C145" i="80"/>
  <c r="E144" i="80"/>
  <c r="D144" i="80"/>
  <c r="C144" i="80"/>
  <c r="E143" i="80"/>
  <c r="D143" i="80"/>
  <c r="C143" i="80"/>
  <c r="E142" i="80"/>
  <c r="D142" i="80"/>
  <c r="C142" i="80"/>
  <c r="E141" i="80"/>
  <c r="D141" i="80"/>
  <c r="C141" i="80"/>
  <c r="E140" i="80"/>
  <c r="D140" i="80"/>
  <c r="C140" i="80"/>
  <c r="E139" i="80"/>
  <c r="D139" i="80"/>
  <c r="C139" i="80"/>
  <c r="E138" i="80"/>
  <c r="D138" i="80"/>
  <c r="C138" i="80"/>
  <c r="E137" i="80"/>
  <c r="D137" i="80"/>
  <c r="C137" i="80"/>
  <c r="E136" i="80"/>
  <c r="D136" i="80"/>
  <c r="C136" i="80"/>
  <c r="E135" i="80"/>
  <c r="D135" i="80"/>
  <c r="C135" i="80"/>
  <c r="E134" i="80"/>
  <c r="E153" i="80" s="1"/>
  <c r="B16" i="83" s="1"/>
  <c r="D134" i="80"/>
  <c r="D153" i="80" s="1"/>
  <c r="C134" i="80"/>
  <c r="C153" i="80" s="1"/>
  <c r="T127" i="80"/>
  <c r="H163" i="80" s="1"/>
  <c r="S127" i="80"/>
  <c r="G163" i="80" s="1"/>
  <c r="R127" i="80"/>
  <c r="F163" i="80" s="1"/>
  <c r="Q127" i="80"/>
  <c r="H162" i="80" s="1"/>
  <c r="P127" i="80"/>
  <c r="G162" i="80" s="1"/>
  <c r="O127" i="80"/>
  <c r="F162" i="80" s="1"/>
  <c r="N127" i="80"/>
  <c r="H161" i="80" s="1"/>
  <c r="M127" i="80"/>
  <c r="G161" i="80" s="1"/>
  <c r="L127" i="80"/>
  <c r="F161" i="80" s="1"/>
  <c r="K127" i="80"/>
  <c r="H160" i="80" s="1"/>
  <c r="J127" i="80"/>
  <c r="G160" i="80" s="1"/>
  <c r="I127" i="80"/>
  <c r="F160" i="80" s="1"/>
  <c r="H127" i="80"/>
  <c r="H159" i="80" s="1"/>
  <c r="H164" i="80" s="1"/>
  <c r="D171" i="80" s="1"/>
  <c r="G127" i="80"/>
  <c r="G159" i="80" s="1"/>
  <c r="G164" i="80" s="1"/>
  <c r="D170" i="80" s="1"/>
  <c r="F127" i="80"/>
  <c r="F159" i="80" s="1"/>
  <c r="F164" i="80" s="1"/>
  <c r="D169" i="80" s="1"/>
  <c r="E126" i="80"/>
  <c r="D126" i="80"/>
  <c r="C126" i="80"/>
  <c r="E125" i="80"/>
  <c r="D125" i="80"/>
  <c r="C125" i="80"/>
  <c r="E124" i="80"/>
  <c r="D124" i="80"/>
  <c r="C124" i="80"/>
  <c r="E123" i="80"/>
  <c r="D123" i="80"/>
  <c r="C123" i="80"/>
  <c r="E122" i="80"/>
  <c r="D122" i="80"/>
  <c r="C122" i="80"/>
  <c r="E121" i="80"/>
  <c r="D121" i="80"/>
  <c r="C121" i="80"/>
  <c r="E120" i="80"/>
  <c r="D120" i="80"/>
  <c r="C120" i="80"/>
  <c r="E119" i="80"/>
  <c r="D119" i="80"/>
  <c r="C119" i="80"/>
  <c r="E118" i="80"/>
  <c r="D118" i="80"/>
  <c r="C118" i="80"/>
  <c r="E117" i="80"/>
  <c r="D117" i="80"/>
  <c r="C117" i="80"/>
  <c r="E116" i="80"/>
  <c r="D116" i="80"/>
  <c r="C116" i="80"/>
  <c r="E115" i="80"/>
  <c r="D115" i="80"/>
  <c r="C115" i="80"/>
  <c r="E114" i="80"/>
  <c r="D114" i="80"/>
  <c r="C114" i="80"/>
  <c r="E113" i="80"/>
  <c r="D113" i="80"/>
  <c r="C113" i="80"/>
  <c r="E112" i="80"/>
  <c r="D112" i="80"/>
  <c r="C112" i="80"/>
  <c r="E111" i="80"/>
  <c r="D111" i="80"/>
  <c r="C111" i="80"/>
  <c r="E110" i="80"/>
  <c r="D110" i="80"/>
  <c r="C110" i="80"/>
  <c r="E109" i="80"/>
  <c r="D109" i="80"/>
  <c r="C109" i="80"/>
  <c r="E108" i="80"/>
  <c r="E127" i="80" s="1"/>
  <c r="B17" i="83" s="1"/>
  <c r="D108" i="80"/>
  <c r="D127" i="80" s="1"/>
  <c r="C108" i="80"/>
  <c r="C127" i="80" s="1"/>
  <c r="T101" i="80"/>
  <c r="K163" i="80" s="1"/>
  <c r="S101" i="80"/>
  <c r="J163" i="80" s="1"/>
  <c r="R101" i="80"/>
  <c r="I163" i="80" s="1"/>
  <c r="Q101" i="80"/>
  <c r="K162" i="80" s="1"/>
  <c r="P101" i="80"/>
  <c r="J162" i="80" s="1"/>
  <c r="O101" i="80"/>
  <c r="I162" i="80" s="1"/>
  <c r="N101" i="80"/>
  <c r="K161" i="80" s="1"/>
  <c r="M101" i="80"/>
  <c r="J161" i="80" s="1"/>
  <c r="L101" i="80"/>
  <c r="I161" i="80" s="1"/>
  <c r="K101" i="80"/>
  <c r="K160" i="80" s="1"/>
  <c r="J101" i="80"/>
  <c r="J160" i="80" s="1"/>
  <c r="I101" i="80"/>
  <c r="I160" i="80" s="1"/>
  <c r="H101" i="80"/>
  <c r="K159" i="80" s="1"/>
  <c r="K164" i="80" s="1"/>
  <c r="E171" i="80" s="1"/>
  <c r="G101" i="80"/>
  <c r="J159" i="80" s="1"/>
  <c r="J164" i="80" s="1"/>
  <c r="E170" i="80" s="1"/>
  <c r="F101" i="80"/>
  <c r="I159" i="80" s="1"/>
  <c r="I164" i="80" s="1"/>
  <c r="E169" i="80" s="1"/>
  <c r="E100" i="80"/>
  <c r="D100" i="80"/>
  <c r="C100" i="80"/>
  <c r="E99" i="80"/>
  <c r="D99" i="80"/>
  <c r="C99" i="80"/>
  <c r="E98" i="80"/>
  <c r="D98" i="80"/>
  <c r="C98" i="80"/>
  <c r="E97" i="80"/>
  <c r="D97" i="80"/>
  <c r="C97" i="80"/>
  <c r="E96" i="80"/>
  <c r="D96" i="80"/>
  <c r="C96" i="80"/>
  <c r="E95" i="80"/>
  <c r="D95" i="80"/>
  <c r="C95" i="80"/>
  <c r="E94" i="80"/>
  <c r="D94" i="80"/>
  <c r="C94" i="80"/>
  <c r="E93" i="80"/>
  <c r="D93" i="80"/>
  <c r="C93" i="80"/>
  <c r="E92" i="80"/>
  <c r="D92" i="80"/>
  <c r="C92" i="80"/>
  <c r="E91" i="80"/>
  <c r="D91" i="80"/>
  <c r="C91" i="80"/>
  <c r="E90" i="80"/>
  <c r="D90" i="80"/>
  <c r="C90" i="80"/>
  <c r="E89" i="80"/>
  <c r="D89" i="80"/>
  <c r="C89" i="80"/>
  <c r="E88" i="80"/>
  <c r="D88" i="80"/>
  <c r="C88" i="80"/>
  <c r="E87" i="80"/>
  <c r="D87" i="80"/>
  <c r="C87" i="80"/>
  <c r="E86" i="80"/>
  <c r="D86" i="80"/>
  <c r="C86" i="80"/>
  <c r="E85" i="80"/>
  <c r="D85" i="80"/>
  <c r="C85" i="80"/>
  <c r="E84" i="80"/>
  <c r="D84" i="80"/>
  <c r="C84" i="80"/>
  <c r="E83" i="80"/>
  <c r="D83" i="80"/>
  <c r="C83" i="80"/>
  <c r="E82" i="80"/>
  <c r="E101" i="80" s="1"/>
  <c r="B18" i="83" s="1"/>
  <c r="D82" i="80"/>
  <c r="D101" i="80" s="1"/>
  <c r="C82" i="80"/>
  <c r="C101" i="80" s="1"/>
  <c r="T75" i="80"/>
  <c r="N163" i="80" s="1"/>
  <c r="S75" i="80"/>
  <c r="M163" i="80" s="1"/>
  <c r="R75" i="80"/>
  <c r="L163" i="80" s="1"/>
  <c r="Q75" i="80"/>
  <c r="N162" i="80" s="1"/>
  <c r="P75" i="80"/>
  <c r="M162" i="80" s="1"/>
  <c r="O75" i="80"/>
  <c r="L162" i="80" s="1"/>
  <c r="N75" i="80"/>
  <c r="N161" i="80" s="1"/>
  <c r="M75" i="80"/>
  <c r="M161" i="80" s="1"/>
  <c r="L75" i="80"/>
  <c r="L161" i="80" s="1"/>
  <c r="K75" i="80"/>
  <c r="N160" i="80" s="1"/>
  <c r="J75" i="80"/>
  <c r="M160" i="80" s="1"/>
  <c r="I75" i="80"/>
  <c r="L160" i="80" s="1"/>
  <c r="H75" i="80"/>
  <c r="N159" i="80" s="1"/>
  <c r="N164" i="80" s="1"/>
  <c r="F171" i="80" s="1"/>
  <c r="G75" i="80"/>
  <c r="M159" i="80" s="1"/>
  <c r="M164" i="80" s="1"/>
  <c r="F170" i="80" s="1"/>
  <c r="F75" i="80"/>
  <c r="L159" i="80" s="1"/>
  <c r="L164" i="80" s="1"/>
  <c r="F169" i="80" s="1"/>
  <c r="E74" i="80"/>
  <c r="D74" i="80"/>
  <c r="C74" i="80"/>
  <c r="E73" i="80"/>
  <c r="D73" i="80"/>
  <c r="C73" i="80"/>
  <c r="E72" i="80"/>
  <c r="D72" i="80"/>
  <c r="C72" i="80"/>
  <c r="E71" i="80"/>
  <c r="D71" i="80"/>
  <c r="C71" i="80"/>
  <c r="E70" i="80"/>
  <c r="D70" i="80"/>
  <c r="C70" i="80"/>
  <c r="E69" i="80"/>
  <c r="D69" i="80"/>
  <c r="C69" i="80"/>
  <c r="E68" i="80"/>
  <c r="D68" i="80"/>
  <c r="C68" i="80"/>
  <c r="E67" i="80"/>
  <c r="D67" i="80"/>
  <c r="C67" i="80"/>
  <c r="E66" i="80"/>
  <c r="D66" i="80"/>
  <c r="C66" i="80"/>
  <c r="E65" i="80"/>
  <c r="D65" i="80"/>
  <c r="C65" i="80"/>
  <c r="E64" i="80"/>
  <c r="D64" i="80"/>
  <c r="C64" i="80"/>
  <c r="E63" i="80"/>
  <c r="D63" i="80"/>
  <c r="C63" i="80"/>
  <c r="E62" i="80"/>
  <c r="D62" i="80"/>
  <c r="C62" i="80"/>
  <c r="E61" i="80"/>
  <c r="D61" i="80"/>
  <c r="C61" i="80"/>
  <c r="E60" i="80"/>
  <c r="D60" i="80"/>
  <c r="C60" i="80"/>
  <c r="E59" i="80"/>
  <c r="D59" i="80"/>
  <c r="C59" i="80"/>
  <c r="E58" i="80"/>
  <c r="D58" i="80"/>
  <c r="C58" i="80"/>
  <c r="E57" i="80"/>
  <c r="D57" i="80"/>
  <c r="C57" i="80"/>
  <c r="E56" i="80"/>
  <c r="E75" i="80" s="1"/>
  <c r="B19" i="83" s="1"/>
  <c r="D56" i="80"/>
  <c r="D75" i="80" s="1"/>
  <c r="C56" i="80"/>
  <c r="C75" i="80" s="1"/>
  <c r="E48" i="80"/>
  <c r="D48" i="80"/>
  <c r="C48" i="80"/>
  <c r="N47" i="80"/>
  <c r="L47" i="80"/>
  <c r="K47" i="80"/>
  <c r="I47" i="80"/>
  <c r="H47" i="80"/>
  <c r="F47" i="80"/>
  <c r="E47" i="80"/>
  <c r="D47" i="80"/>
  <c r="C47" i="80"/>
  <c r="T46" i="80"/>
  <c r="S46" i="80"/>
  <c r="R46" i="80"/>
  <c r="Q46" i="80"/>
  <c r="P46" i="80"/>
  <c r="O46" i="80"/>
  <c r="N46" i="80"/>
  <c r="M46" i="80"/>
  <c r="L46" i="80"/>
  <c r="K46" i="80"/>
  <c r="J46" i="80"/>
  <c r="I46" i="80"/>
  <c r="H46" i="80"/>
  <c r="G46" i="80"/>
  <c r="F46" i="80"/>
  <c r="E46" i="80"/>
  <c r="D46" i="80"/>
  <c r="C46" i="80"/>
  <c r="T45" i="80"/>
  <c r="S45" i="80"/>
  <c r="R45" i="80"/>
  <c r="Q45" i="80"/>
  <c r="P45" i="80"/>
  <c r="O45" i="80"/>
  <c r="N45" i="80"/>
  <c r="M45" i="80"/>
  <c r="L45" i="80"/>
  <c r="H45" i="80"/>
  <c r="G45" i="80"/>
  <c r="F45" i="80"/>
  <c r="E45" i="80"/>
  <c r="D45" i="80"/>
  <c r="C45" i="80"/>
  <c r="T44" i="80"/>
  <c r="S44" i="80"/>
  <c r="R44" i="80"/>
  <c r="Q44" i="80"/>
  <c r="P44" i="80"/>
  <c r="O44" i="80"/>
  <c r="N44" i="80"/>
  <c r="M44" i="80"/>
  <c r="L44" i="80"/>
  <c r="K44" i="80"/>
  <c r="J44" i="80"/>
  <c r="I44" i="80"/>
  <c r="H44" i="80"/>
  <c r="G44" i="80"/>
  <c r="F44" i="80"/>
  <c r="E44" i="80"/>
  <c r="D44" i="80"/>
  <c r="C44" i="80"/>
  <c r="T43" i="80"/>
  <c r="S43" i="80"/>
  <c r="R43" i="80"/>
  <c r="Q43" i="80"/>
  <c r="P43" i="80"/>
  <c r="O43" i="80"/>
  <c r="N43" i="80"/>
  <c r="M43" i="80"/>
  <c r="L43" i="80"/>
  <c r="K43" i="80"/>
  <c r="I43" i="80"/>
  <c r="H43" i="80"/>
  <c r="G43" i="80"/>
  <c r="F43" i="80"/>
  <c r="E43" i="80"/>
  <c r="D43" i="80"/>
  <c r="C43" i="80"/>
  <c r="T42" i="80"/>
  <c r="S42" i="80"/>
  <c r="R42" i="80"/>
  <c r="N42" i="80"/>
  <c r="M42" i="80"/>
  <c r="L42" i="80"/>
  <c r="K42" i="80"/>
  <c r="J42" i="80"/>
  <c r="I42" i="80"/>
  <c r="H42" i="80"/>
  <c r="G42" i="80"/>
  <c r="F42" i="80"/>
  <c r="E42" i="80"/>
  <c r="D42" i="80"/>
  <c r="C42" i="80"/>
  <c r="N41" i="80"/>
  <c r="L41" i="80"/>
  <c r="E41" i="80"/>
  <c r="D41" i="80"/>
  <c r="C41" i="80"/>
  <c r="T40" i="80"/>
  <c r="S40" i="80"/>
  <c r="R40" i="80"/>
  <c r="K40" i="80"/>
  <c r="J40" i="80"/>
  <c r="I40" i="80"/>
  <c r="G40" i="80"/>
  <c r="F40" i="80"/>
  <c r="E40" i="80"/>
  <c r="D40" i="80"/>
  <c r="C40" i="80"/>
  <c r="T39" i="80"/>
  <c r="S39" i="80"/>
  <c r="R39" i="80"/>
  <c r="Q39" i="80"/>
  <c r="P39" i="80"/>
  <c r="O39" i="80"/>
  <c r="N39" i="80"/>
  <c r="M39" i="80"/>
  <c r="L39" i="80"/>
  <c r="K39" i="80"/>
  <c r="J39" i="80"/>
  <c r="I39" i="80"/>
  <c r="H39" i="80"/>
  <c r="G39" i="80"/>
  <c r="F39" i="80"/>
  <c r="E39" i="80"/>
  <c r="D39" i="80"/>
  <c r="C39" i="80"/>
  <c r="E38" i="80"/>
  <c r="D38" i="80"/>
  <c r="C38" i="80"/>
  <c r="T37" i="80"/>
  <c r="S37" i="80"/>
  <c r="R37" i="80"/>
  <c r="Q37" i="80"/>
  <c r="P37" i="80"/>
  <c r="O37" i="80"/>
  <c r="N37" i="80"/>
  <c r="M37" i="80"/>
  <c r="L37" i="80"/>
  <c r="K37" i="80"/>
  <c r="J37" i="80"/>
  <c r="I37" i="80"/>
  <c r="H37" i="80"/>
  <c r="G37" i="80"/>
  <c r="F37" i="80"/>
  <c r="E37" i="80"/>
  <c r="D37" i="80"/>
  <c r="C37" i="80"/>
  <c r="T36" i="80"/>
  <c r="S36" i="80"/>
  <c r="R36" i="80"/>
  <c r="Q36" i="80"/>
  <c r="P36" i="80"/>
  <c r="O36" i="80"/>
  <c r="N36" i="80"/>
  <c r="M36" i="80"/>
  <c r="L36" i="80"/>
  <c r="K36" i="80"/>
  <c r="J36" i="80"/>
  <c r="I36" i="80"/>
  <c r="H36" i="80"/>
  <c r="G36" i="80"/>
  <c r="F36" i="80"/>
  <c r="E36" i="80"/>
  <c r="D36" i="80"/>
  <c r="C36" i="80"/>
  <c r="T35" i="80"/>
  <c r="S35" i="80"/>
  <c r="R35" i="80"/>
  <c r="Q35" i="80"/>
  <c r="P35" i="80"/>
  <c r="O35" i="80"/>
  <c r="N35" i="80"/>
  <c r="M35" i="80"/>
  <c r="L35" i="80"/>
  <c r="K35" i="80"/>
  <c r="J35" i="80"/>
  <c r="I35" i="80"/>
  <c r="H35" i="80"/>
  <c r="G35" i="80"/>
  <c r="F35" i="80"/>
  <c r="E35" i="80"/>
  <c r="D35" i="80"/>
  <c r="C35" i="80"/>
  <c r="T34" i="80"/>
  <c r="S34" i="80"/>
  <c r="R34" i="80"/>
  <c r="Q34" i="80"/>
  <c r="P34" i="80"/>
  <c r="O34" i="80"/>
  <c r="N34" i="80"/>
  <c r="M34" i="80"/>
  <c r="L34" i="80"/>
  <c r="K34" i="80"/>
  <c r="J34" i="80"/>
  <c r="I34" i="80"/>
  <c r="H34" i="80"/>
  <c r="G34" i="80"/>
  <c r="F34" i="80"/>
  <c r="E34" i="80"/>
  <c r="D34" i="80"/>
  <c r="C34" i="80"/>
  <c r="T33" i="80"/>
  <c r="S33" i="80"/>
  <c r="R33" i="80"/>
  <c r="Q33" i="80"/>
  <c r="P33" i="80"/>
  <c r="O33" i="80"/>
  <c r="N33" i="80"/>
  <c r="M33" i="80"/>
  <c r="L33" i="80"/>
  <c r="K33" i="80"/>
  <c r="J33" i="80"/>
  <c r="I33" i="80"/>
  <c r="H33" i="80"/>
  <c r="G33" i="80"/>
  <c r="F33" i="80"/>
  <c r="E33" i="80"/>
  <c r="D33" i="80"/>
  <c r="C33" i="80"/>
  <c r="T32" i="80"/>
  <c r="S32" i="80"/>
  <c r="R32" i="80"/>
  <c r="Q32" i="80"/>
  <c r="P32" i="80"/>
  <c r="O32" i="80"/>
  <c r="N32" i="80"/>
  <c r="M32" i="80"/>
  <c r="L32" i="80"/>
  <c r="K32" i="80"/>
  <c r="J32" i="80"/>
  <c r="I32" i="80"/>
  <c r="H32" i="80"/>
  <c r="G32" i="80"/>
  <c r="F32" i="80"/>
  <c r="E32" i="80"/>
  <c r="D32" i="80"/>
  <c r="C32" i="80"/>
  <c r="T31" i="80"/>
  <c r="S31" i="80"/>
  <c r="R31" i="80"/>
  <c r="Q31" i="80"/>
  <c r="P31" i="80"/>
  <c r="O31" i="80"/>
  <c r="N31" i="80"/>
  <c r="M31" i="80"/>
  <c r="L31" i="80"/>
  <c r="K31" i="80"/>
  <c r="J31" i="80"/>
  <c r="I31" i="80"/>
  <c r="H31" i="80"/>
  <c r="G31" i="80"/>
  <c r="F31" i="80"/>
  <c r="E31" i="80"/>
  <c r="D31" i="80"/>
  <c r="C31" i="80"/>
  <c r="T30" i="80"/>
  <c r="T49" i="80" s="1"/>
  <c r="Q163" i="80" s="1"/>
  <c r="S30" i="80"/>
  <c r="S49" i="80" s="1"/>
  <c r="P163" i="80" s="1"/>
  <c r="R30" i="80"/>
  <c r="R49" i="80" s="1"/>
  <c r="O163" i="80" s="1"/>
  <c r="Q30" i="80"/>
  <c r="Q49" i="80" s="1"/>
  <c r="Q162" i="80" s="1"/>
  <c r="P30" i="80"/>
  <c r="P49" i="80" s="1"/>
  <c r="P162" i="80" s="1"/>
  <c r="O30" i="80"/>
  <c r="O49" i="80" s="1"/>
  <c r="O162" i="80" s="1"/>
  <c r="N30" i="80"/>
  <c r="N49" i="80" s="1"/>
  <c r="Q161" i="80" s="1"/>
  <c r="M30" i="80"/>
  <c r="M49" i="80" s="1"/>
  <c r="P161" i="80" s="1"/>
  <c r="L30" i="80"/>
  <c r="L49" i="80" s="1"/>
  <c r="O161" i="80" s="1"/>
  <c r="K30" i="80"/>
  <c r="K49" i="80" s="1"/>
  <c r="Q160" i="80" s="1"/>
  <c r="J30" i="80"/>
  <c r="J49" i="80" s="1"/>
  <c r="P160" i="80" s="1"/>
  <c r="I30" i="80"/>
  <c r="I49" i="80" s="1"/>
  <c r="O160" i="80" s="1"/>
  <c r="H30" i="80"/>
  <c r="H49" i="80" s="1"/>
  <c r="Q159" i="80" s="1"/>
  <c r="Q164" i="80" s="1"/>
  <c r="G171" i="80" s="1"/>
  <c r="G30" i="80"/>
  <c r="G49" i="80" s="1"/>
  <c r="P159" i="80" s="1"/>
  <c r="P164" i="80" s="1"/>
  <c r="G170" i="80" s="1"/>
  <c r="F30" i="80"/>
  <c r="F49" i="80" s="1"/>
  <c r="O159" i="80" s="1"/>
  <c r="O164" i="80" s="1"/>
  <c r="G169" i="80" s="1"/>
  <c r="E30" i="80"/>
  <c r="E49" i="80" s="1"/>
  <c r="B20" i="83" s="1"/>
  <c r="D30" i="80"/>
  <c r="D49" i="80" s="1"/>
  <c r="C30" i="80"/>
  <c r="C49" i="80" s="1"/>
  <c r="E24" i="80"/>
  <c r="D24" i="80"/>
  <c r="C24" i="80"/>
  <c r="T23" i="80"/>
  <c r="R23" i="80"/>
  <c r="Q23" i="80"/>
  <c r="O23" i="80"/>
  <c r="N23" i="80"/>
  <c r="M23" i="80"/>
  <c r="L23" i="80"/>
  <c r="K23" i="80"/>
  <c r="J23" i="80"/>
  <c r="I23" i="80"/>
  <c r="H23" i="80"/>
  <c r="G23" i="80"/>
  <c r="F23" i="80"/>
  <c r="E23" i="80"/>
  <c r="D23" i="80"/>
  <c r="C23" i="80"/>
  <c r="T22" i="80"/>
  <c r="S22" i="80"/>
  <c r="R22" i="80"/>
  <c r="Q22" i="80"/>
  <c r="P22" i="80"/>
  <c r="O22" i="80"/>
  <c r="N22" i="80"/>
  <c r="M22" i="80"/>
  <c r="L22" i="80"/>
  <c r="K22" i="80"/>
  <c r="J22" i="80"/>
  <c r="I22" i="80"/>
  <c r="H22" i="80"/>
  <c r="G22" i="80"/>
  <c r="F22" i="80"/>
  <c r="E22" i="80"/>
  <c r="D22" i="80"/>
  <c r="C22" i="80"/>
  <c r="T21" i="80"/>
  <c r="S21" i="80"/>
  <c r="R21" i="80"/>
  <c r="Q21" i="80"/>
  <c r="P21" i="80"/>
  <c r="O21" i="80"/>
  <c r="N21" i="80"/>
  <c r="M21" i="80"/>
  <c r="L21" i="80"/>
  <c r="H21" i="80"/>
  <c r="G21" i="80"/>
  <c r="F21" i="80"/>
  <c r="E21" i="80"/>
  <c r="D21" i="80"/>
  <c r="C21" i="80"/>
  <c r="T20" i="80"/>
  <c r="S20" i="80"/>
  <c r="R20" i="80"/>
  <c r="Q20" i="80"/>
  <c r="P20" i="80"/>
  <c r="O20" i="80"/>
  <c r="N20" i="80"/>
  <c r="M20" i="80"/>
  <c r="L20" i="80"/>
  <c r="K20" i="80"/>
  <c r="J20" i="80"/>
  <c r="I20" i="80"/>
  <c r="H20" i="80"/>
  <c r="G20" i="80"/>
  <c r="F20" i="80"/>
  <c r="E20" i="80"/>
  <c r="D20" i="80"/>
  <c r="C20" i="80"/>
  <c r="T19" i="80"/>
  <c r="S19" i="80"/>
  <c r="R19" i="80"/>
  <c r="Q19" i="80"/>
  <c r="P19" i="80"/>
  <c r="O19" i="80"/>
  <c r="N19" i="80"/>
  <c r="M19" i="80"/>
  <c r="L19" i="80"/>
  <c r="K19" i="80"/>
  <c r="I19" i="80"/>
  <c r="H19" i="80"/>
  <c r="G19" i="80"/>
  <c r="F19" i="80"/>
  <c r="E19" i="80"/>
  <c r="D19" i="80"/>
  <c r="C19" i="80"/>
  <c r="T18" i="80"/>
  <c r="S18" i="80"/>
  <c r="R18" i="80"/>
  <c r="O18" i="80"/>
  <c r="N18" i="80"/>
  <c r="M18" i="80"/>
  <c r="L18" i="80"/>
  <c r="K18" i="80"/>
  <c r="J18" i="80"/>
  <c r="I18" i="80"/>
  <c r="H18" i="80"/>
  <c r="G18" i="80"/>
  <c r="F18" i="80"/>
  <c r="E18" i="80"/>
  <c r="D18" i="80"/>
  <c r="C18" i="80"/>
  <c r="T17" i="80"/>
  <c r="R17" i="80"/>
  <c r="Q17" i="80"/>
  <c r="O17" i="80"/>
  <c r="N17" i="80"/>
  <c r="M17" i="80"/>
  <c r="L17" i="80"/>
  <c r="K17" i="80"/>
  <c r="I17" i="80"/>
  <c r="H17" i="80"/>
  <c r="F17" i="80"/>
  <c r="E17" i="80"/>
  <c r="D17" i="80"/>
  <c r="C17" i="80"/>
  <c r="T16" i="80"/>
  <c r="S16" i="80"/>
  <c r="R16" i="80"/>
  <c r="N16" i="80"/>
  <c r="M16" i="80"/>
  <c r="L16" i="80"/>
  <c r="K16" i="80"/>
  <c r="J16" i="80"/>
  <c r="I16" i="80"/>
  <c r="H16" i="80"/>
  <c r="G16" i="80"/>
  <c r="F16" i="80"/>
  <c r="E16" i="80"/>
  <c r="D16" i="80"/>
  <c r="C16" i="80"/>
  <c r="T15" i="80"/>
  <c r="S15" i="80"/>
  <c r="R15" i="80"/>
  <c r="Q15" i="80"/>
  <c r="P15" i="80"/>
  <c r="O15" i="80"/>
  <c r="N15" i="80"/>
  <c r="M15" i="80"/>
  <c r="L15" i="80"/>
  <c r="K15" i="80"/>
  <c r="J15" i="80"/>
  <c r="I15" i="80"/>
  <c r="H15" i="80"/>
  <c r="G15" i="80"/>
  <c r="F15" i="80"/>
  <c r="E15" i="80"/>
  <c r="D15" i="80"/>
  <c r="C15" i="80"/>
  <c r="E14" i="80"/>
  <c r="D14" i="80"/>
  <c r="C14" i="80"/>
  <c r="T13" i="80"/>
  <c r="S13" i="80"/>
  <c r="R13" i="80"/>
  <c r="Q13" i="80"/>
  <c r="P13" i="80"/>
  <c r="O13" i="80"/>
  <c r="N13" i="80"/>
  <c r="M13" i="80"/>
  <c r="L13" i="80"/>
  <c r="K13" i="80"/>
  <c r="J13" i="80"/>
  <c r="I13" i="80"/>
  <c r="H13" i="80"/>
  <c r="G13" i="80"/>
  <c r="F13" i="80"/>
  <c r="E13" i="80"/>
  <c r="D13" i="80"/>
  <c r="C13" i="80"/>
  <c r="T12" i="80"/>
  <c r="S12" i="80"/>
  <c r="R12" i="80"/>
  <c r="Q12" i="80"/>
  <c r="P12" i="80"/>
  <c r="O12" i="80"/>
  <c r="N12" i="80"/>
  <c r="M12" i="80"/>
  <c r="L12" i="80"/>
  <c r="K12" i="80"/>
  <c r="J12" i="80"/>
  <c r="I12" i="80"/>
  <c r="H12" i="80"/>
  <c r="G12" i="80"/>
  <c r="F12" i="80"/>
  <c r="E12" i="80"/>
  <c r="D12" i="80"/>
  <c r="C12" i="80"/>
  <c r="T11" i="80"/>
  <c r="S11" i="80"/>
  <c r="R11" i="80"/>
  <c r="Q11" i="80"/>
  <c r="P11" i="80"/>
  <c r="O11" i="80"/>
  <c r="N11" i="80"/>
  <c r="M11" i="80"/>
  <c r="L11" i="80"/>
  <c r="K11" i="80"/>
  <c r="J11" i="80"/>
  <c r="I11" i="80"/>
  <c r="H11" i="80"/>
  <c r="G11" i="80"/>
  <c r="F11" i="80"/>
  <c r="E11" i="80"/>
  <c r="D11" i="80"/>
  <c r="C11" i="80"/>
  <c r="S10" i="80"/>
  <c r="R10" i="80"/>
  <c r="P10" i="80"/>
  <c r="O10" i="80"/>
  <c r="M10" i="80"/>
  <c r="L10" i="80"/>
  <c r="J10" i="80"/>
  <c r="I10" i="80"/>
  <c r="G10" i="80"/>
  <c r="F10" i="80"/>
  <c r="E10" i="80"/>
  <c r="D10" i="80"/>
  <c r="C10" i="80"/>
  <c r="T9" i="80"/>
  <c r="S9" i="80"/>
  <c r="R9" i="80"/>
  <c r="Q9" i="80"/>
  <c r="P9" i="80"/>
  <c r="O9" i="80"/>
  <c r="N9" i="80"/>
  <c r="M9" i="80"/>
  <c r="L9" i="80"/>
  <c r="K9" i="80"/>
  <c r="J9" i="80"/>
  <c r="I9" i="80"/>
  <c r="H9" i="80"/>
  <c r="G9" i="80"/>
  <c r="F9" i="80"/>
  <c r="E9" i="80"/>
  <c r="D9" i="80"/>
  <c r="C9" i="80"/>
  <c r="T8" i="80"/>
  <c r="S8" i="80"/>
  <c r="R8" i="80"/>
  <c r="Q8" i="80"/>
  <c r="P8" i="80"/>
  <c r="O8" i="80"/>
  <c r="N8" i="80"/>
  <c r="M8" i="80"/>
  <c r="L8" i="80"/>
  <c r="K8" i="80"/>
  <c r="J8" i="80"/>
  <c r="I8" i="80"/>
  <c r="H8" i="80"/>
  <c r="G8" i="80"/>
  <c r="F8" i="80"/>
  <c r="E8" i="80"/>
  <c r="D8" i="80"/>
  <c r="C8" i="80"/>
  <c r="T7" i="80"/>
  <c r="S7" i="80"/>
  <c r="R7" i="80"/>
  <c r="Q7" i="80"/>
  <c r="P7" i="80"/>
  <c r="O7" i="80"/>
  <c r="N7" i="80"/>
  <c r="M7" i="80"/>
  <c r="L7" i="80"/>
  <c r="K7" i="80"/>
  <c r="J7" i="80"/>
  <c r="I7" i="80"/>
  <c r="H7" i="80"/>
  <c r="G7" i="80"/>
  <c r="F7" i="80"/>
  <c r="E7" i="80"/>
  <c r="D7" i="80"/>
  <c r="C7" i="80"/>
  <c r="T6" i="80"/>
  <c r="T25" i="80" s="1"/>
  <c r="S6" i="80"/>
  <c r="S25" i="80" s="1"/>
  <c r="R6" i="80"/>
  <c r="R25" i="80" s="1"/>
  <c r="Q6" i="80"/>
  <c r="Q25" i="80" s="1"/>
  <c r="P6" i="80"/>
  <c r="P25" i="80" s="1"/>
  <c r="O6" i="80"/>
  <c r="O25" i="80" s="1"/>
  <c r="N6" i="80"/>
  <c r="N25" i="80" s="1"/>
  <c r="M6" i="80"/>
  <c r="M25" i="80" s="1"/>
  <c r="L6" i="80"/>
  <c r="L25" i="80" s="1"/>
  <c r="K6" i="80"/>
  <c r="K25" i="80" s="1"/>
  <c r="J6" i="80"/>
  <c r="J25" i="80" s="1"/>
  <c r="I6" i="80"/>
  <c r="I25" i="80" s="1"/>
  <c r="H6" i="80"/>
  <c r="H25" i="80" s="1"/>
  <c r="G6" i="80"/>
  <c r="G25" i="80" s="1"/>
  <c r="F6" i="80"/>
  <c r="F25" i="80" s="1"/>
  <c r="E6" i="80"/>
  <c r="E25" i="80" s="1"/>
  <c r="D6" i="80"/>
  <c r="D25" i="80" s="1"/>
  <c r="C6" i="80"/>
  <c r="C25" i="80" s="1"/>
  <c r="I145" i="79"/>
  <c r="H145" i="79"/>
  <c r="G145" i="79"/>
  <c r="F145" i="79"/>
  <c r="E145" i="79"/>
  <c r="I136" i="79"/>
  <c r="H136" i="79"/>
  <c r="G136" i="79"/>
  <c r="F136" i="79"/>
  <c r="E136" i="79"/>
  <c r="I127" i="79"/>
  <c r="H127" i="79"/>
  <c r="G127" i="79"/>
  <c r="F127" i="79"/>
  <c r="E127" i="79"/>
  <c r="I118" i="79"/>
  <c r="H118" i="79"/>
  <c r="G118" i="79"/>
  <c r="F118" i="79"/>
  <c r="E118" i="79"/>
  <c r="I109" i="79"/>
  <c r="H109" i="79"/>
  <c r="G109" i="79"/>
  <c r="F109" i="79"/>
  <c r="E109" i="79"/>
  <c r="I100" i="79"/>
  <c r="H100" i="79"/>
  <c r="G100" i="79"/>
  <c r="F100" i="79"/>
  <c r="E100" i="79"/>
  <c r="I91" i="79"/>
  <c r="H91" i="79"/>
  <c r="G91" i="79"/>
  <c r="F91" i="79"/>
  <c r="E91" i="79"/>
  <c r="I82" i="79"/>
  <c r="H82" i="79"/>
  <c r="G82" i="79"/>
  <c r="F82" i="79"/>
  <c r="E82" i="79"/>
  <c r="I73" i="79"/>
  <c r="H73" i="79"/>
  <c r="G73" i="79"/>
  <c r="F73" i="79"/>
  <c r="E73" i="79"/>
  <c r="I64" i="79"/>
  <c r="H64" i="79"/>
  <c r="G64" i="79"/>
  <c r="F64" i="79"/>
  <c r="E64" i="79"/>
  <c r="I55" i="79"/>
  <c r="H55" i="79"/>
  <c r="G55" i="79"/>
  <c r="F55" i="79"/>
  <c r="E55" i="79"/>
  <c r="I46" i="79"/>
  <c r="H46" i="79"/>
  <c r="G46" i="79"/>
  <c r="F46" i="79"/>
  <c r="E46" i="79"/>
  <c r="I37" i="79"/>
  <c r="H37" i="79"/>
  <c r="G37" i="79"/>
  <c r="F37" i="79"/>
  <c r="E37" i="79"/>
  <c r="I28" i="79"/>
  <c r="H28" i="79"/>
  <c r="G28" i="79"/>
  <c r="F28" i="79"/>
  <c r="E28" i="79"/>
  <c r="I19" i="79"/>
  <c r="H19" i="79"/>
  <c r="G19" i="79"/>
  <c r="F19" i="79"/>
  <c r="E19" i="79"/>
  <c r="I10" i="79"/>
  <c r="H10" i="79"/>
  <c r="G10" i="79"/>
  <c r="F10" i="79"/>
  <c r="E10" i="79"/>
  <c r="I145" i="77"/>
  <c r="H145" i="77"/>
  <c r="G145" i="77"/>
  <c r="F145" i="77"/>
  <c r="E145" i="77"/>
  <c r="I136" i="77"/>
  <c r="H136" i="77"/>
  <c r="G136" i="77"/>
  <c r="F136" i="77"/>
  <c r="E136" i="77"/>
  <c r="I127" i="77"/>
  <c r="H127" i="77"/>
  <c r="G127" i="77"/>
  <c r="F127" i="77"/>
  <c r="E127" i="77"/>
  <c r="I118" i="77"/>
  <c r="H118" i="77"/>
  <c r="G118" i="77"/>
  <c r="F118" i="77"/>
  <c r="E118" i="77"/>
  <c r="I109" i="77"/>
  <c r="H109" i="77"/>
  <c r="G109" i="77"/>
  <c r="F109" i="77"/>
  <c r="E109" i="77"/>
  <c r="H100" i="77"/>
  <c r="I95" i="77"/>
  <c r="I100" i="77" s="1"/>
  <c r="G95" i="77"/>
  <c r="G100" i="77" s="1"/>
  <c r="F95" i="77"/>
  <c r="F100" i="77" s="1"/>
  <c r="E95" i="77"/>
  <c r="E100" i="77" s="1"/>
  <c r="I91" i="77"/>
  <c r="H91" i="77"/>
  <c r="G91" i="77"/>
  <c r="F91" i="77"/>
  <c r="E91" i="77"/>
  <c r="I82" i="77"/>
  <c r="H82" i="77"/>
  <c r="G82" i="77"/>
  <c r="F82" i="77"/>
  <c r="E82" i="77"/>
  <c r="I72" i="77"/>
  <c r="I73" i="77" s="1"/>
  <c r="H72" i="77"/>
  <c r="H73" i="77" s="1"/>
  <c r="G72" i="77"/>
  <c r="G73" i="77" s="1"/>
  <c r="F72" i="77"/>
  <c r="F73" i="77" s="1"/>
  <c r="E72" i="77"/>
  <c r="E73" i="77" s="1"/>
  <c r="I64" i="77"/>
  <c r="H64" i="77"/>
  <c r="G64" i="77"/>
  <c r="F64" i="77"/>
  <c r="E64" i="77"/>
  <c r="I55" i="77"/>
  <c r="H55" i="77"/>
  <c r="G55" i="77"/>
  <c r="F55" i="77"/>
  <c r="E55" i="77"/>
  <c r="I46" i="77"/>
  <c r="H46" i="77"/>
  <c r="G46" i="77"/>
  <c r="F46" i="77"/>
  <c r="E46" i="77"/>
  <c r="I36" i="77"/>
  <c r="I37" i="77" s="1"/>
  <c r="H36" i="77"/>
  <c r="H37" i="77" s="1"/>
  <c r="G36" i="77"/>
  <c r="G37" i="77" s="1"/>
  <c r="F36" i="77"/>
  <c r="F37" i="77" s="1"/>
  <c r="E36" i="77"/>
  <c r="E37" i="77" s="1"/>
  <c r="I28" i="77"/>
  <c r="H28" i="77"/>
  <c r="G28" i="77"/>
  <c r="F28" i="77"/>
  <c r="E28" i="77"/>
  <c r="I19" i="77"/>
  <c r="H19" i="77"/>
  <c r="G19" i="77"/>
  <c r="F19" i="77"/>
  <c r="E19" i="77"/>
  <c r="I10" i="77"/>
  <c r="H10" i="77"/>
  <c r="G10" i="77"/>
  <c r="F10" i="77"/>
  <c r="E10" i="77"/>
  <c r="I174" i="115"/>
  <c r="G174" i="115"/>
  <c r="F174" i="115"/>
  <c r="E174" i="115"/>
  <c r="D174" i="115"/>
  <c r="C174" i="115"/>
  <c r="I164" i="115"/>
  <c r="G164" i="115"/>
  <c r="F164" i="115"/>
  <c r="E164" i="115"/>
  <c r="D164" i="115"/>
  <c r="C164" i="115"/>
  <c r="I155" i="115"/>
  <c r="G155" i="115"/>
  <c r="F155" i="115"/>
  <c r="E155" i="115"/>
  <c r="D155" i="115"/>
  <c r="C155" i="115"/>
  <c r="I146" i="115"/>
  <c r="H146" i="115"/>
  <c r="G146" i="115"/>
  <c r="F146" i="115"/>
  <c r="E146" i="115"/>
  <c r="D146" i="115"/>
  <c r="C146" i="115"/>
  <c r="I136" i="115"/>
  <c r="H136" i="115"/>
  <c r="G136" i="115"/>
  <c r="F136" i="115"/>
  <c r="E136" i="115"/>
  <c r="D136" i="115"/>
  <c r="C136" i="115"/>
  <c r="I126" i="115"/>
  <c r="G126" i="115"/>
  <c r="F126" i="115"/>
  <c r="E126" i="115"/>
  <c r="D126" i="115"/>
  <c r="C126" i="115"/>
  <c r="I114" i="115"/>
  <c r="G114" i="115"/>
  <c r="F114" i="115"/>
  <c r="E114" i="115"/>
  <c r="D114" i="115"/>
  <c r="C114" i="115"/>
  <c r="I105" i="115"/>
  <c r="H105" i="115"/>
  <c r="G105" i="115"/>
  <c r="F105" i="115"/>
  <c r="E105" i="115"/>
  <c r="D105" i="115"/>
  <c r="C105" i="115"/>
  <c r="I95" i="115"/>
  <c r="H95" i="115"/>
  <c r="D95" i="115"/>
  <c r="C95" i="115"/>
  <c r="G94" i="115"/>
  <c r="F94" i="115"/>
  <c r="E94" i="115"/>
  <c r="G93" i="115"/>
  <c r="F93" i="115"/>
  <c r="E93" i="115"/>
  <c r="F91" i="115"/>
  <c r="E91" i="115"/>
  <c r="G90" i="115"/>
  <c r="G95" i="115" s="1"/>
  <c r="F90" i="115"/>
  <c r="F95" i="115" s="1"/>
  <c r="E90" i="115"/>
  <c r="E95" i="115" s="1"/>
  <c r="I85" i="115"/>
  <c r="H85" i="115"/>
  <c r="G85" i="115"/>
  <c r="F85" i="115"/>
  <c r="E85" i="115"/>
  <c r="D85" i="115"/>
  <c r="C85" i="115"/>
  <c r="I73" i="115"/>
  <c r="H73" i="115"/>
  <c r="G73" i="115"/>
  <c r="F73" i="115"/>
  <c r="E73" i="115"/>
  <c r="D73" i="115"/>
  <c r="C73" i="115"/>
  <c r="I63" i="115"/>
  <c r="G63" i="115"/>
  <c r="F63" i="115"/>
  <c r="E63" i="115"/>
  <c r="D63" i="115"/>
  <c r="C63" i="115"/>
  <c r="I53" i="115"/>
  <c r="H53" i="115"/>
  <c r="G53" i="115"/>
  <c r="F53" i="115"/>
  <c r="E53" i="115"/>
  <c r="D53" i="115"/>
  <c r="C53" i="115"/>
  <c r="I43" i="115"/>
  <c r="H43" i="115"/>
  <c r="G43" i="115"/>
  <c r="F43" i="115"/>
  <c r="E43" i="115"/>
  <c r="D43" i="115"/>
  <c r="C43" i="115"/>
  <c r="I31" i="115"/>
  <c r="G31" i="115"/>
  <c r="F31" i="115"/>
  <c r="E31" i="115"/>
  <c r="D31" i="115"/>
  <c r="C31" i="115"/>
  <c r="I21" i="115"/>
  <c r="G21" i="115"/>
  <c r="F21" i="115"/>
  <c r="E21" i="115"/>
  <c r="D21" i="115"/>
  <c r="C21" i="115"/>
  <c r="I10" i="115"/>
  <c r="H10" i="115"/>
  <c r="G10" i="115"/>
  <c r="F10" i="115"/>
  <c r="E10" i="115"/>
  <c r="I9" i="115"/>
  <c r="H9" i="115"/>
  <c r="G9" i="115"/>
  <c r="F9" i="115"/>
  <c r="E9" i="115"/>
  <c r="D9" i="115"/>
  <c r="C9" i="115"/>
  <c r="I8" i="115"/>
  <c r="H8" i="115"/>
  <c r="G8" i="115"/>
  <c r="F8" i="115"/>
  <c r="E8" i="115"/>
  <c r="D8" i="115"/>
  <c r="C8" i="115"/>
  <c r="I7" i="115"/>
  <c r="H7" i="115"/>
  <c r="G7" i="115"/>
  <c r="F7" i="115"/>
  <c r="E7" i="115"/>
  <c r="D7" i="115"/>
  <c r="C7" i="115"/>
  <c r="I6" i="115"/>
  <c r="I11" i="115" s="1"/>
  <c r="H6" i="115"/>
  <c r="H11" i="115" s="1"/>
  <c r="G6" i="115"/>
  <c r="G11" i="115" s="1"/>
  <c r="F6" i="115"/>
  <c r="F11" i="115" s="1"/>
  <c r="E6" i="115"/>
  <c r="E11" i="115" s="1"/>
  <c r="D6" i="115"/>
  <c r="D11" i="115" s="1"/>
  <c r="C6" i="115"/>
  <c r="C11" i="115" s="1"/>
  <c r="G187" i="116"/>
  <c r="E187" i="116"/>
  <c r="D187" i="116"/>
  <c r="C187" i="116"/>
  <c r="G177" i="116"/>
  <c r="F177" i="116"/>
  <c r="E177" i="116"/>
  <c r="D177" i="116"/>
  <c r="C177" i="116"/>
  <c r="G167" i="116"/>
  <c r="F167" i="116"/>
  <c r="E167" i="116"/>
  <c r="D167" i="116"/>
  <c r="C167" i="116"/>
  <c r="G156" i="116"/>
  <c r="F156" i="116"/>
  <c r="E156" i="116"/>
  <c r="D156" i="116"/>
  <c r="C156" i="116"/>
  <c r="G146" i="116"/>
  <c r="F146" i="116"/>
  <c r="E146" i="116"/>
  <c r="D146" i="116"/>
  <c r="C146" i="116"/>
  <c r="G133" i="116"/>
  <c r="F133" i="116"/>
  <c r="E133" i="116"/>
  <c r="D133" i="116"/>
  <c r="C133" i="116"/>
  <c r="G122" i="116"/>
  <c r="F122" i="116"/>
  <c r="E122" i="116"/>
  <c r="D122" i="116"/>
  <c r="C122" i="116"/>
  <c r="G112" i="116"/>
  <c r="F112" i="116"/>
  <c r="E112" i="116"/>
  <c r="D112" i="116"/>
  <c r="C112" i="116"/>
  <c r="G99" i="116"/>
  <c r="D99" i="116"/>
  <c r="E98" i="116"/>
  <c r="C98" i="116"/>
  <c r="E97" i="116"/>
  <c r="C97" i="116"/>
  <c r="E95" i="116"/>
  <c r="C95" i="116"/>
  <c r="E94" i="116"/>
  <c r="E99" i="116" s="1"/>
  <c r="C94" i="116"/>
  <c r="C99" i="116" s="1"/>
  <c r="G89" i="116"/>
  <c r="E89" i="116"/>
  <c r="D89" i="116"/>
  <c r="C89" i="116"/>
  <c r="G78" i="116"/>
  <c r="E78" i="116"/>
  <c r="D78" i="116"/>
  <c r="C78" i="116"/>
  <c r="G65" i="116"/>
  <c r="E65" i="116"/>
  <c r="D65" i="116"/>
  <c r="C65" i="116"/>
  <c r="G55" i="116"/>
  <c r="E55" i="116"/>
  <c r="D55" i="116"/>
  <c r="C55" i="116"/>
  <c r="G45" i="116"/>
  <c r="F45" i="116"/>
  <c r="E45" i="116"/>
  <c r="D45" i="116"/>
  <c r="C45" i="116"/>
  <c r="G32" i="116"/>
  <c r="F32" i="116"/>
  <c r="E32" i="116"/>
  <c r="D32" i="116"/>
  <c r="C32" i="116"/>
  <c r="G22" i="116"/>
  <c r="F22" i="116"/>
  <c r="E22" i="116"/>
  <c r="D22" i="116"/>
  <c r="C22" i="116"/>
  <c r="G10" i="116"/>
  <c r="F10" i="116"/>
  <c r="E10" i="116"/>
  <c r="D10" i="116"/>
  <c r="C10" i="116"/>
  <c r="G9" i="116"/>
  <c r="F9" i="116"/>
  <c r="E9" i="116"/>
  <c r="D9" i="116"/>
  <c r="C9" i="116"/>
  <c r="G8" i="116"/>
  <c r="F8" i="116"/>
  <c r="E8" i="116"/>
  <c r="D8" i="116"/>
  <c r="C8" i="116"/>
  <c r="G7" i="116"/>
  <c r="F7" i="116"/>
  <c r="E7" i="116"/>
  <c r="D7" i="116"/>
  <c r="C7" i="116"/>
  <c r="G6" i="116"/>
  <c r="G11" i="116" s="1"/>
  <c r="F6" i="116"/>
  <c r="F11" i="116" s="1"/>
  <c r="E6" i="116"/>
  <c r="E11" i="116" s="1"/>
  <c r="D6" i="116"/>
  <c r="D11" i="116" s="1"/>
  <c r="C6" i="116"/>
  <c r="C11" i="116" s="1"/>
  <c r="J145" i="75"/>
  <c r="J144" i="75"/>
  <c r="J143" i="75"/>
  <c r="J142" i="75"/>
  <c r="J141" i="75"/>
  <c r="J136" i="75"/>
  <c r="J135" i="75"/>
  <c r="J134" i="75"/>
  <c r="J133" i="75"/>
  <c r="J132" i="75"/>
  <c r="J118" i="75"/>
  <c r="J117" i="75"/>
  <c r="J116" i="75"/>
  <c r="J115" i="75"/>
  <c r="J114" i="75"/>
  <c r="J109" i="75"/>
  <c r="J108" i="75"/>
  <c r="J107" i="75"/>
  <c r="J106" i="75"/>
  <c r="J105" i="75"/>
  <c r="J100" i="75"/>
  <c r="J99" i="75"/>
  <c r="J98" i="75"/>
  <c r="J97" i="75"/>
  <c r="J96" i="75"/>
  <c r="J46" i="75"/>
  <c r="C37" i="75"/>
  <c r="J37" i="75" s="1"/>
  <c r="C36" i="75"/>
  <c r="J36" i="75" s="1"/>
  <c r="C35" i="75"/>
  <c r="J35" i="75" s="1"/>
  <c r="C34" i="75"/>
  <c r="J34" i="75" s="1"/>
  <c r="C33" i="75"/>
  <c r="J33" i="75" s="1"/>
  <c r="M10" i="75"/>
  <c r="L10" i="75"/>
  <c r="K10" i="75"/>
  <c r="I10" i="75"/>
  <c r="H10" i="75"/>
  <c r="G10" i="75"/>
  <c r="F10" i="75"/>
  <c r="E10" i="75"/>
  <c r="D10" i="75"/>
  <c r="C10" i="75"/>
  <c r="J10" i="75" s="1"/>
  <c r="M9" i="75"/>
  <c r="L9" i="75"/>
  <c r="K9" i="75"/>
  <c r="I9" i="75"/>
  <c r="H9" i="75"/>
  <c r="G9" i="75"/>
  <c r="F9" i="75"/>
  <c r="E9" i="75"/>
  <c r="D9" i="75"/>
  <c r="C9" i="75"/>
  <c r="J9" i="75" s="1"/>
  <c r="M8" i="75"/>
  <c r="L8" i="75"/>
  <c r="P8" i="75" s="1"/>
  <c r="K8" i="75"/>
  <c r="I8" i="75"/>
  <c r="H8" i="75"/>
  <c r="G8" i="75"/>
  <c r="F8" i="75"/>
  <c r="E8" i="75"/>
  <c r="D8" i="75"/>
  <c r="C8" i="75"/>
  <c r="J8" i="75" s="1"/>
  <c r="O8" i="75" s="1"/>
  <c r="P7" i="75"/>
  <c r="O7" i="75"/>
  <c r="M7" i="75"/>
  <c r="L7" i="75"/>
  <c r="P9" i="75" s="1"/>
  <c r="K7" i="75"/>
  <c r="I7" i="75"/>
  <c r="H7" i="75"/>
  <c r="G7" i="75"/>
  <c r="F7" i="75"/>
  <c r="E7" i="75"/>
  <c r="D7" i="75"/>
  <c r="C7" i="75"/>
  <c r="J7" i="75" s="1"/>
  <c r="O9" i="75" s="1"/>
  <c r="P6" i="75"/>
  <c r="O6" i="75"/>
  <c r="M6" i="75"/>
  <c r="L6" i="75"/>
  <c r="P10" i="75" s="1"/>
  <c r="K6" i="75"/>
  <c r="I6" i="75"/>
  <c r="H6" i="75"/>
  <c r="G6" i="75"/>
  <c r="F6" i="75"/>
  <c r="E6" i="75"/>
  <c r="D6" i="75"/>
  <c r="C6" i="75"/>
  <c r="J6" i="75" s="1"/>
  <c r="O10" i="75" s="1"/>
  <c r="K43" i="74"/>
  <c r="E41" i="74"/>
  <c r="K27" i="74"/>
  <c r="J27" i="74"/>
  <c r="I27" i="74"/>
  <c r="L27" i="74" s="1"/>
  <c r="F27" i="74"/>
  <c r="E27" i="74"/>
  <c r="D27" i="74"/>
  <c r="G27" i="74" s="1"/>
  <c r="K26" i="74"/>
  <c r="J26" i="74"/>
  <c r="I26" i="74"/>
  <c r="L26" i="74" s="1"/>
  <c r="F26" i="74"/>
  <c r="E26" i="74"/>
  <c r="D26" i="74"/>
  <c r="G26" i="74" s="1"/>
  <c r="K25" i="74"/>
  <c r="J25" i="74"/>
  <c r="I25" i="74"/>
  <c r="L25" i="74" s="1"/>
  <c r="F25" i="74"/>
  <c r="E25" i="74"/>
  <c r="D25" i="74"/>
  <c r="G25" i="74" s="1"/>
  <c r="K24" i="74"/>
  <c r="J24" i="74"/>
  <c r="I24" i="74"/>
  <c r="L24" i="74" s="1"/>
  <c r="F24" i="74"/>
  <c r="E24" i="74"/>
  <c r="D24" i="74"/>
  <c r="G24" i="74" s="1"/>
  <c r="K23" i="74"/>
  <c r="J23" i="74"/>
  <c r="I23" i="74"/>
  <c r="L23" i="74" s="1"/>
  <c r="F23" i="74"/>
  <c r="E23" i="74"/>
  <c r="D23" i="74"/>
  <c r="G23" i="74" s="1"/>
  <c r="K22" i="74"/>
  <c r="J22" i="74"/>
  <c r="I22" i="74"/>
  <c r="L22" i="74" s="1"/>
  <c r="F22" i="74"/>
  <c r="E22" i="74"/>
  <c r="D22" i="74"/>
  <c r="G22" i="74" s="1"/>
  <c r="K21" i="74"/>
  <c r="J21" i="74"/>
  <c r="I21" i="74"/>
  <c r="L21" i="74" s="1"/>
  <c r="F21" i="74"/>
  <c r="E21" i="74"/>
  <c r="D21" i="74"/>
  <c r="G21" i="74" s="1"/>
  <c r="K20" i="74"/>
  <c r="J20" i="74"/>
  <c r="I20" i="74"/>
  <c r="L20" i="74" s="1"/>
  <c r="F20" i="74"/>
  <c r="E20" i="74"/>
  <c r="D20" i="74"/>
  <c r="G20" i="74" s="1"/>
  <c r="K19" i="74"/>
  <c r="J19" i="74"/>
  <c r="I19" i="74"/>
  <c r="L19" i="74" s="1"/>
  <c r="F19" i="74"/>
  <c r="E19" i="74"/>
  <c r="D19" i="74"/>
  <c r="G19" i="74" s="1"/>
  <c r="K18" i="74"/>
  <c r="J18" i="74"/>
  <c r="I18" i="74"/>
  <c r="L18" i="74" s="1"/>
  <c r="F18" i="74"/>
  <c r="E18" i="74"/>
  <c r="D18" i="74"/>
  <c r="G18" i="74" s="1"/>
  <c r="K17" i="74"/>
  <c r="J17" i="74"/>
  <c r="I17" i="74"/>
  <c r="L17" i="74" s="1"/>
  <c r="F17" i="74"/>
  <c r="E17" i="74"/>
  <c r="D17" i="74"/>
  <c r="G17" i="74" s="1"/>
  <c r="K16" i="74"/>
  <c r="J16" i="74"/>
  <c r="I16" i="74"/>
  <c r="L16" i="74" s="1"/>
  <c r="F16" i="74"/>
  <c r="E16" i="74"/>
  <c r="D16" i="74"/>
  <c r="G16" i="74" s="1"/>
  <c r="K15" i="74"/>
  <c r="J15" i="74"/>
  <c r="I15" i="74"/>
  <c r="L15" i="74" s="1"/>
  <c r="F15" i="74"/>
  <c r="E15" i="74"/>
  <c r="D15" i="74"/>
  <c r="G15" i="74" s="1"/>
  <c r="K14" i="74"/>
  <c r="J14" i="74"/>
  <c r="I14" i="74"/>
  <c r="L14" i="74" s="1"/>
  <c r="F14" i="74"/>
  <c r="E14" i="74"/>
  <c r="D14" i="74"/>
  <c r="G14" i="74" s="1"/>
  <c r="K13" i="74"/>
  <c r="J13" i="74"/>
  <c r="I13" i="74"/>
  <c r="L13" i="74" s="1"/>
  <c r="F13" i="74"/>
  <c r="E13" i="74"/>
  <c r="D13" i="74"/>
  <c r="G13" i="74" s="1"/>
  <c r="K12" i="74"/>
  <c r="J12" i="74"/>
  <c r="I12" i="74"/>
  <c r="L12" i="74" s="1"/>
  <c r="F12" i="74"/>
  <c r="E12" i="74"/>
  <c r="D12" i="74"/>
  <c r="G12" i="74" s="1"/>
  <c r="K11" i="74"/>
  <c r="J11" i="74"/>
  <c r="I11" i="74"/>
  <c r="L11" i="74" s="1"/>
  <c r="F11" i="74"/>
  <c r="E11" i="74"/>
  <c r="D11" i="74"/>
  <c r="G11" i="74" s="1"/>
  <c r="K10" i="74"/>
  <c r="J10" i="74"/>
  <c r="I10" i="74"/>
  <c r="L10" i="74" s="1"/>
  <c r="F10" i="74"/>
  <c r="E10" i="74"/>
  <c r="D10" i="74"/>
  <c r="G10" i="74" s="1"/>
  <c r="Q9" i="74"/>
  <c r="P9" i="74"/>
  <c r="O9" i="74"/>
  <c r="K9" i="74"/>
  <c r="J9" i="74"/>
  <c r="I9" i="74"/>
  <c r="L9" i="74" s="1"/>
  <c r="F9" i="74"/>
  <c r="E9" i="74"/>
  <c r="D9" i="74"/>
  <c r="G9" i="74" s="1"/>
  <c r="R8" i="74"/>
  <c r="K8" i="74"/>
  <c r="J8" i="74"/>
  <c r="I8" i="74"/>
  <c r="L8" i="74" s="1"/>
  <c r="F8" i="74"/>
  <c r="E8" i="74"/>
  <c r="D8" i="74"/>
  <c r="G8" i="74" s="1"/>
  <c r="R7" i="74"/>
  <c r="K7" i="74"/>
  <c r="K28" i="74" s="1"/>
  <c r="T7" i="74" s="1"/>
  <c r="J7" i="74"/>
  <c r="J28" i="74" s="1"/>
  <c r="I7" i="74"/>
  <c r="F7" i="74"/>
  <c r="F28" i="74" s="1"/>
  <c r="S7" i="74" s="1"/>
  <c r="E7" i="74"/>
  <c r="E28" i="74" s="1"/>
  <c r="D7" i="74"/>
  <c r="C8" i="73"/>
  <c r="C11" i="73" s="1"/>
  <c r="I7" i="73"/>
  <c r="I13" i="73" s="1"/>
  <c r="H7" i="73"/>
  <c r="H13" i="73" s="1"/>
  <c r="G7" i="73"/>
  <c r="G13" i="73" s="1"/>
  <c r="F7" i="73"/>
  <c r="F13" i="73" s="1"/>
  <c r="E7" i="73"/>
  <c r="E13" i="73" s="1"/>
  <c r="D7" i="73"/>
  <c r="D13" i="73" s="1"/>
  <c r="I6" i="73"/>
  <c r="H6" i="73"/>
  <c r="G6" i="73"/>
  <c r="F6" i="73"/>
  <c r="E6" i="73"/>
  <c r="D6" i="73"/>
  <c r="G19" i="72"/>
  <c r="F19" i="72"/>
  <c r="D19" i="72"/>
  <c r="C19" i="72"/>
  <c r="G18" i="72"/>
  <c r="F18" i="72"/>
  <c r="D18" i="72"/>
  <c r="C18" i="72"/>
  <c r="G17" i="72"/>
  <c r="F17" i="72"/>
  <c r="D17" i="72"/>
  <c r="C17" i="72"/>
  <c r="G16" i="72"/>
  <c r="F16" i="72"/>
  <c r="D16" i="72"/>
  <c r="C16" i="72"/>
  <c r="G15" i="72"/>
  <c r="F15" i="72"/>
  <c r="D15" i="72"/>
  <c r="C15" i="72"/>
  <c r="G14" i="72"/>
  <c r="F14" i="72"/>
  <c r="D14" i="72"/>
  <c r="C14" i="72"/>
  <c r="G13" i="72"/>
  <c r="F13" i="72"/>
  <c r="D13" i="72"/>
  <c r="C13" i="72"/>
  <c r="G12" i="72"/>
  <c r="F12" i="72"/>
  <c r="D12" i="72"/>
  <c r="C12" i="72"/>
  <c r="G11" i="72"/>
  <c r="F11" i="72"/>
  <c r="D11" i="72"/>
  <c r="C11" i="72"/>
  <c r="G10" i="72"/>
  <c r="F10" i="72"/>
  <c r="D10" i="72"/>
  <c r="C10" i="72"/>
  <c r="G9" i="72"/>
  <c r="F9" i="72"/>
  <c r="D9" i="72"/>
  <c r="C9" i="72"/>
  <c r="G8" i="72"/>
  <c r="F8" i="72"/>
  <c r="D8" i="72"/>
  <c r="C8" i="72"/>
  <c r="G7" i="72"/>
  <c r="F7" i="72"/>
  <c r="D7" i="72"/>
  <c r="C7" i="72"/>
  <c r="G6" i="72"/>
  <c r="F6" i="72"/>
  <c r="D6" i="72"/>
  <c r="C6" i="72"/>
  <c r="G5" i="72"/>
  <c r="F5" i="72"/>
  <c r="F20" i="72" s="1"/>
  <c r="J43" i="74" s="1"/>
  <c r="K44" i="74" s="1"/>
  <c r="D5" i="72"/>
  <c r="C5" i="72"/>
  <c r="C20" i="72" s="1"/>
  <c r="D41" i="74" s="1"/>
  <c r="E42" i="74" s="1"/>
  <c r="D167" i="70"/>
  <c r="C167" i="70"/>
  <c r="D141" i="70"/>
  <c r="C141" i="70"/>
  <c r="D115" i="70"/>
  <c r="C115" i="70"/>
  <c r="D89" i="70"/>
  <c r="C89" i="70"/>
  <c r="E63" i="70"/>
  <c r="C63" i="70"/>
  <c r="D56" i="70"/>
  <c r="D55" i="70"/>
  <c r="D63" i="70" s="1"/>
  <c r="E36" i="70"/>
  <c r="D33" i="70"/>
  <c r="D29" i="70"/>
  <c r="C29" i="70"/>
  <c r="D28" i="70"/>
  <c r="D36" i="70" s="1"/>
  <c r="C28" i="70"/>
  <c r="C36" i="70" s="1"/>
  <c r="G10" i="70"/>
  <c r="D10" i="70"/>
  <c r="C10" i="70"/>
  <c r="G9" i="70"/>
  <c r="D9" i="70"/>
  <c r="C9" i="70"/>
  <c r="G8" i="70"/>
  <c r="F8" i="70"/>
  <c r="E8" i="70"/>
  <c r="D8" i="70"/>
  <c r="C8" i="70"/>
  <c r="G7" i="70"/>
  <c r="F7" i="70"/>
  <c r="E7" i="70"/>
  <c r="D7" i="70"/>
  <c r="C7" i="70"/>
  <c r="G6" i="70"/>
  <c r="F6" i="70"/>
  <c r="E6" i="70"/>
  <c r="D6" i="70"/>
  <c r="C6" i="70"/>
  <c r="G5" i="70"/>
  <c r="F5" i="70"/>
  <c r="E5" i="70"/>
  <c r="D5" i="70"/>
  <c r="C5" i="70"/>
  <c r="E157" i="69"/>
  <c r="D157" i="69"/>
  <c r="E149" i="69"/>
  <c r="D149" i="69"/>
  <c r="E141" i="69"/>
  <c r="D141" i="69"/>
  <c r="E133" i="69"/>
  <c r="D133" i="69"/>
  <c r="E125" i="69"/>
  <c r="D125" i="69"/>
  <c r="E117" i="69"/>
  <c r="D117" i="69"/>
  <c r="E109" i="69"/>
  <c r="D109" i="69"/>
  <c r="E101" i="69"/>
  <c r="D101" i="69"/>
  <c r="E93" i="69"/>
  <c r="D93" i="69"/>
  <c r="E85" i="69"/>
  <c r="D85" i="69"/>
  <c r="E77" i="69"/>
  <c r="D77" i="69"/>
  <c r="E69" i="69"/>
  <c r="D69" i="69"/>
  <c r="E61" i="69"/>
  <c r="D61" i="69"/>
  <c r="E53" i="69"/>
  <c r="D53" i="69"/>
  <c r="E45" i="69"/>
  <c r="D45" i="69"/>
  <c r="E37" i="69"/>
  <c r="D37" i="69"/>
  <c r="E28" i="69"/>
  <c r="D28" i="69"/>
  <c r="E20" i="69"/>
  <c r="D20" i="69"/>
  <c r="E10" i="69"/>
  <c r="D10" i="69"/>
  <c r="E9" i="69"/>
  <c r="D9" i="69"/>
  <c r="E8" i="69"/>
  <c r="D8" i="69"/>
  <c r="E7" i="69"/>
  <c r="D7" i="69"/>
  <c r="E6" i="69"/>
  <c r="E11" i="69" s="1"/>
  <c r="D30" i="87" s="1"/>
  <c r="D6" i="69"/>
  <c r="D11" i="69" s="1"/>
  <c r="E30" i="87" s="1"/>
  <c r="F192" i="68"/>
  <c r="E192" i="68"/>
  <c r="F182" i="68"/>
  <c r="E182" i="68"/>
  <c r="F172" i="68"/>
  <c r="E172" i="68"/>
  <c r="F162" i="68"/>
  <c r="E162" i="68"/>
  <c r="F152" i="68"/>
  <c r="E152" i="68"/>
  <c r="E139" i="68"/>
  <c r="F137" i="68"/>
  <c r="F142" i="68" s="1"/>
  <c r="E137" i="68"/>
  <c r="E142" i="68" s="1"/>
  <c r="F132" i="68"/>
  <c r="E132" i="68"/>
  <c r="F122" i="68"/>
  <c r="E122" i="68"/>
  <c r="F112" i="68"/>
  <c r="E112" i="68"/>
  <c r="F102" i="68"/>
  <c r="E102" i="68"/>
  <c r="F92" i="68"/>
  <c r="E92" i="68"/>
  <c r="F82" i="68"/>
  <c r="E82" i="68"/>
  <c r="F72" i="68"/>
  <c r="E72" i="68"/>
  <c r="F62" i="68"/>
  <c r="E62" i="68"/>
  <c r="F52" i="68"/>
  <c r="E52" i="68"/>
  <c r="F42" i="68"/>
  <c r="E42" i="68"/>
  <c r="F32" i="68"/>
  <c r="E32" i="68"/>
  <c r="F22" i="68"/>
  <c r="E22" i="68"/>
  <c r="F10" i="68"/>
  <c r="E10" i="68"/>
  <c r="F9" i="68"/>
  <c r="E9" i="68"/>
  <c r="F8" i="68"/>
  <c r="E8" i="68"/>
  <c r="F7" i="68"/>
  <c r="E7" i="68"/>
  <c r="F6" i="68"/>
  <c r="F11" i="68" s="1"/>
  <c r="E6" i="68"/>
  <c r="E11" i="68" s="1"/>
  <c r="H50" i="67"/>
  <c r="H49" i="67"/>
  <c r="H48" i="67"/>
  <c r="G47" i="67"/>
  <c r="C47" i="67"/>
  <c r="H47" i="67" s="1"/>
  <c r="C46" i="67"/>
  <c r="H46" i="67" s="1"/>
  <c r="H45" i="67"/>
  <c r="H44" i="67"/>
  <c r="H43" i="67"/>
  <c r="H42" i="67"/>
  <c r="H41" i="67"/>
  <c r="H40" i="67"/>
  <c r="G39" i="67"/>
  <c r="F39" i="67"/>
  <c r="E39" i="67"/>
  <c r="D39" i="67"/>
  <c r="C39" i="67"/>
  <c r="H39" i="67" s="1"/>
  <c r="G38" i="67"/>
  <c r="F38" i="67"/>
  <c r="F51" i="67" s="1"/>
  <c r="C38" i="67"/>
  <c r="H38" i="67" s="1"/>
  <c r="H37" i="67"/>
  <c r="G36" i="67"/>
  <c r="E36" i="67"/>
  <c r="E51" i="67" s="1"/>
  <c r="D36" i="67"/>
  <c r="C36" i="67"/>
  <c r="H36" i="67" s="1"/>
  <c r="G35" i="67"/>
  <c r="C35" i="67"/>
  <c r="H35" i="67" s="1"/>
  <c r="G34" i="67"/>
  <c r="C34" i="67"/>
  <c r="H34" i="67" s="1"/>
  <c r="G33" i="67"/>
  <c r="G51" i="67" s="1"/>
  <c r="D33" i="67"/>
  <c r="D51" i="67" s="1"/>
  <c r="C33" i="67"/>
  <c r="H25" i="67"/>
  <c r="H24" i="67"/>
  <c r="H23" i="67"/>
  <c r="H22" i="67"/>
  <c r="H21" i="67"/>
  <c r="C20" i="67"/>
  <c r="H20" i="67" s="1"/>
  <c r="H19" i="67"/>
  <c r="H18" i="67"/>
  <c r="H17" i="67"/>
  <c r="H16" i="67"/>
  <c r="E15" i="67"/>
  <c r="C15" i="67"/>
  <c r="H15" i="67" s="1"/>
  <c r="G14" i="67"/>
  <c r="E14" i="67"/>
  <c r="D14" i="67"/>
  <c r="C14" i="67"/>
  <c r="H14" i="67" s="1"/>
  <c r="G13" i="67"/>
  <c r="F13" i="67"/>
  <c r="F26" i="67" s="1"/>
  <c r="D13" i="67"/>
  <c r="C13" i="67"/>
  <c r="H13" i="67" s="1"/>
  <c r="H12" i="67"/>
  <c r="G11" i="67"/>
  <c r="D11" i="67"/>
  <c r="C11" i="67"/>
  <c r="H11" i="67" s="1"/>
  <c r="G10" i="67"/>
  <c r="E10" i="67"/>
  <c r="E26" i="67" s="1"/>
  <c r="D10" i="67"/>
  <c r="C10" i="67"/>
  <c r="H10" i="67" s="1"/>
  <c r="G9" i="67"/>
  <c r="G26" i="67" s="1"/>
  <c r="D9" i="67"/>
  <c r="D26" i="67" s="1"/>
  <c r="C9" i="67"/>
  <c r="H8" i="67"/>
  <c r="H58" i="66"/>
  <c r="G55" i="66"/>
  <c r="F55" i="66"/>
  <c r="E55" i="66"/>
  <c r="D55" i="66"/>
  <c r="C55" i="66"/>
  <c r="H55" i="66" s="1"/>
  <c r="H54" i="66"/>
  <c r="H53" i="66"/>
  <c r="I50" i="67" s="1"/>
  <c r="H52" i="66"/>
  <c r="I49" i="67" s="1"/>
  <c r="H51" i="66"/>
  <c r="I48" i="67" s="1"/>
  <c r="H50" i="66"/>
  <c r="I47" i="67" s="1"/>
  <c r="H49" i="66"/>
  <c r="I46" i="67" s="1"/>
  <c r="H48" i="66"/>
  <c r="I45" i="67" s="1"/>
  <c r="H47" i="66"/>
  <c r="H46" i="66"/>
  <c r="I44" i="67" s="1"/>
  <c r="H45" i="66"/>
  <c r="I43" i="67" s="1"/>
  <c r="H44" i="66"/>
  <c r="I42" i="67" s="1"/>
  <c r="H43" i="66"/>
  <c r="I41" i="67" s="1"/>
  <c r="H42" i="66"/>
  <c r="I40" i="67" s="1"/>
  <c r="H41" i="66"/>
  <c r="I39" i="67" s="1"/>
  <c r="H40" i="66"/>
  <c r="I38" i="67" s="1"/>
  <c r="H39" i="66"/>
  <c r="I37" i="67" s="1"/>
  <c r="H38" i="66"/>
  <c r="I36" i="67" s="1"/>
  <c r="H37" i="66"/>
  <c r="I35" i="67" s="1"/>
  <c r="H36" i="66"/>
  <c r="I34" i="67" s="1"/>
  <c r="H35" i="66"/>
  <c r="I33" i="67" s="1"/>
  <c r="G28" i="66"/>
  <c r="F28" i="66"/>
  <c r="E28" i="66"/>
  <c r="D28" i="66"/>
  <c r="C28" i="66"/>
  <c r="H28" i="66" s="1"/>
  <c r="I26" i="67" s="1"/>
  <c r="H27" i="66"/>
  <c r="H26" i="66"/>
  <c r="I25" i="67" s="1"/>
  <c r="H25" i="66"/>
  <c r="I24" i="67" s="1"/>
  <c r="H24" i="66"/>
  <c r="I23" i="67" s="1"/>
  <c r="H23" i="66"/>
  <c r="H22" i="66"/>
  <c r="I21" i="67" s="1"/>
  <c r="H21" i="66"/>
  <c r="I20" i="67" s="1"/>
  <c r="H20" i="66"/>
  <c r="H19" i="66"/>
  <c r="I19" i="67" s="1"/>
  <c r="H18" i="66"/>
  <c r="I18" i="67" s="1"/>
  <c r="H17" i="66"/>
  <c r="I17" i="67" s="1"/>
  <c r="H16" i="66"/>
  <c r="I16" i="67" s="1"/>
  <c r="H15" i="66"/>
  <c r="I15" i="67" s="1"/>
  <c r="H14" i="66"/>
  <c r="H13" i="66"/>
  <c r="I13" i="67" s="1"/>
  <c r="H12" i="66"/>
  <c r="I12" i="67" s="1"/>
  <c r="H11" i="66"/>
  <c r="I11" i="67" s="1"/>
  <c r="H10" i="66"/>
  <c r="I10" i="67" s="1"/>
  <c r="H9" i="66"/>
  <c r="I9" i="67" s="1"/>
  <c r="H8" i="66"/>
  <c r="I8" i="67" s="1"/>
  <c r="F205" i="65"/>
  <c r="E205" i="65"/>
  <c r="D205" i="65"/>
  <c r="C205" i="65"/>
  <c r="B205" i="65"/>
  <c r="F196" i="65"/>
  <c r="E196" i="65"/>
  <c r="D196" i="65"/>
  <c r="C196" i="65"/>
  <c r="B193" i="65"/>
  <c r="B191" i="65"/>
  <c r="B196" i="65" s="1"/>
  <c r="F187" i="65"/>
  <c r="E187" i="65"/>
  <c r="D187" i="65"/>
  <c r="C187" i="65"/>
  <c r="B187" i="65"/>
  <c r="F178" i="65"/>
  <c r="E178" i="65"/>
  <c r="D178" i="65"/>
  <c r="C178" i="65"/>
  <c r="B178" i="65"/>
  <c r="F169" i="65"/>
  <c r="E169" i="65"/>
  <c r="D169" i="65"/>
  <c r="C169" i="65"/>
  <c r="B169" i="65"/>
  <c r="F160" i="65"/>
  <c r="E160" i="65"/>
  <c r="D160" i="65"/>
  <c r="C160" i="65"/>
  <c r="B160" i="65"/>
  <c r="F151" i="65"/>
  <c r="E151" i="65"/>
  <c r="D151" i="65"/>
  <c r="C151" i="65"/>
  <c r="B151" i="65"/>
  <c r="F142" i="65"/>
  <c r="E142" i="65"/>
  <c r="D142" i="65"/>
  <c r="C142" i="65"/>
  <c r="B142" i="65"/>
  <c r="F133" i="65"/>
  <c r="E133" i="65"/>
  <c r="D133" i="65"/>
  <c r="C133" i="65"/>
  <c r="B133" i="65"/>
  <c r="F124" i="65"/>
  <c r="E124" i="65"/>
  <c r="D124" i="65"/>
  <c r="C124" i="65"/>
  <c r="B124" i="65"/>
  <c r="F115" i="65"/>
  <c r="E115" i="65"/>
  <c r="D115" i="65"/>
  <c r="C115" i="65"/>
  <c r="B115" i="65"/>
  <c r="F106" i="65"/>
  <c r="E106" i="65"/>
  <c r="D106" i="65"/>
  <c r="C106" i="65"/>
  <c r="B106" i="65"/>
  <c r="F97" i="65"/>
  <c r="E97" i="65"/>
  <c r="D97" i="65"/>
  <c r="C97" i="65"/>
  <c r="B97" i="65"/>
  <c r="F88" i="65"/>
  <c r="E88" i="65"/>
  <c r="D88" i="65"/>
  <c r="C88" i="65"/>
  <c r="B88" i="65"/>
  <c r="F79" i="65"/>
  <c r="E79" i="65"/>
  <c r="D79" i="65"/>
  <c r="C79" i="65"/>
  <c r="B79" i="65"/>
  <c r="F70" i="65"/>
  <c r="E70" i="65"/>
  <c r="D70" i="65"/>
  <c r="C70" i="65"/>
  <c r="B70" i="65"/>
  <c r="F61" i="65"/>
  <c r="E61" i="65"/>
  <c r="D61" i="65"/>
  <c r="C61" i="65"/>
  <c r="B61" i="65"/>
  <c r="F52" i="65"/>
  <c r="E52" i="65"/>
  <c r="D52" i="65"/>
  <c r="C52" i="65"/>
  <c r="B52" i="65"/>
  <c r="F43" i="65"/>
  <c r="E43" i="65"/>
  <c r="D43" i="65"/>
  <c r="C43" i="65"/>
  <c r="B43" i="65"/>
  <c r="F34" i="65"/>
  <c r="E34" i="65"/>
  <c r="D34" i="65"/>
  <c r="C34" i="65"/>
  <c r="B34" i="65"/>
  <c r="F23" i="65"/>
  <c r="E23" i="65"/>
  <c r="D23" i="65"/>
  <c r="C23" i="65"/>
  <c r="B23" i="65"/>
  <c r="F21" i="65"/>
  <c r="E21" i="65"/>
  <c r="D21" i="65"/>
  <c r="C21" i="65"/>
  <c r="B21" i="65"/>
  <c r="F20" i="65"/>
  <c r="E20" i="65"/>
  <c r="D20" i="65"/>
  <c r="C20" i="65"/>
  <c r="B20" i="65"/>
  <c r="F19" i="65"/>
  <c r="E19" i="65"/>
  <c r="D19" i="65"/>
  <c r="C19" i="65"/>
  <c r="B19" i="65"/>
  <c r="F18" i="65"/>
  <c r="E18" i="65"/>
  <c r="D18" i="65"/>
  <c r="C18" i="65"/>
  <c r="B18" i="65"/>
  <c r="F17" i="65"/>
  <c r="F22" i="65" s="1"/>
  <c r="F24" i="65" s="1"/>
  <c r="E17" i="65"/>
  <c r="E22" i="65" s="1"/>
  <c r="E24" i="65" s="1"/>
  <c r="D17" i="65"/>
  <c r="D22" i="65" s="1"/>
  <c r="D24" i="65" s="1"/>
  <c r="C17" i="65"/>
  <c r="C22" i="65" s="1"/>
  <c r="C24" i="65" s="1"/>
  <c r="B17" i="65"/>
  <c r="B22" i="65" s="1"/>
  <c r="B24" i="65" s="1"/>
  <c r="F9" i="65"/>
  <c r="E9" i="65"/>
  <c r="D9" i="65"/>
  <c r="C9" i="65"/>
  <c r="B9" i="65"/>
  <c r="F8" i="65"/>
  <c r="E8" i="65"/>
  <c r="D8" i="65"/>
  <c r="C8" i="65"/>
  <c r="B8" i="65"/>
  <c r="F7" i="65"/>
  <c r="E7" i="65"/>
  <c r="D7" i="65"/>
  <c r="C7" i="65"/>
  <c r="B7" i="65"/>
  <c r="F6" i="65"/>
  <c r="E6" i="65"/>
  <c r="D6" i="65"/>
  <c r="C6" i="65"/>
  <c r="B6" i="65"/>
  <c r="F5" i="65"/>
  <c r="F10" i="65" s="1"/>
  <c r="E5" i="65"/>
  <c r="E10" i="65" s="1"/>
  <c r="D5" i="65"/>
  <c r="D10" i="65" s="1"/>
  <c r="C5" i="65"/>
  <c r="C10" i="65" s="1"/>
  <c r="B5" i="65"/>
  <c r="B10" i="65" s="1"/>
  <c r="K170" i="64"/>
  <c r="K169" i="64"/>
  <c r="K168" i="64"/>
  <c r="K167" i="64"/>
  <c r="K166" i="64"/>
  <c r="K165" i="64"/>
  <c r="K159" i="64"/>
  <c r="K158" i="64"/>
  <c r="K157" i="64"/>
  <c r="K156" i="64"/>
  <c r="K155" i="64"/>
  <c r="K154" i="64"/>
  <c r="K148" i="64"/>
  <c r="K147" i="64"/>
  <c r="K146" i="64"/>
  <c r="K145" i="64"/>
  <c r="K144" i="64"/>
  <c r="K143" i="64"/>
  <c r="K137" i="64"/>
  <c r="K136" i="64"/>
  <c r="K135" i="64"/>
  <c r="K134" i="64"/>
  <c r="K133" i="64"/>
  <c r="K126" i="64"/>
  <c r="K125" i="64"/>
  <c r="K124" i="64"/>
  <c r="K123" i="64"/>
  <c r="K122" i="64"/>
  <c r="K121" i="64"/>
  <c r="K115" i="64"/>
  <c r="K114" i="64"/>
  <c r="K113" i="64"/>
  <c r="K112" i="64"/>
  <c r="K111" i="64"/>
  <c r="K110" i="64"/>
  <c r="K104" i="64"/>
  <c r="K103" i="64"/>
  <c r="K102" i="64"/>
  <c r="K101" i="64"/>
  <c r="K100" i="64"/>
  <c r="K93" i="64"/>
  <c r="K92" i="64"/>
  <c r="K91" i="64"/>
  <c r="K90" i="64"/>
  <c r="K89" i="64"/>
  <c r="K88" i="64"/>
  <c r="K82" i="64"/>
  <c r="K81" i="64"/>
  <c r="K80" i="64"/>
  <c r="K79" i="64"/>
  <c r="K78" i="64"/>
  <c r="K77" i="64"/>
  <c r="K71" i="64"/>
  <c r="K70" i="64"/>
  <c r="K69" i="64"/>
  <c r="K68" i="64"/>
  <c r="K67" i="64"/>
  <c r="K66" i="64"/>
  <c r="K60" i="64"/>
  <c r="K59" i="64"/>
  <c r="K58" i="64"/>
  <c r="K57" i="64"/>
  <c r="K56" i="64"/>
  <c r="K50" i="64"/>
  <c r="K49" i="64"/>
  <c r="K48" i="64"/>
  <c r="K47" i="64"/>
  <c r="K46" i="64"/>
  <c r="K40" i="64"/>
  <c r="K39" i="64"/>
  <c r="K38" i="64"/>
  <c r="K37" i="64"/>
  <c r="K36" i="64"/>
  <c r="K30" i="64"/>
  <c r="K29" i="64"/>
  <c r="K28" i="64"/>
  <c r="K27" i="64"/>
  <c r="K26" i="64"/>
  <c r="K20" i="64"/>
  <c r="K19" i="64"/>
  <c r="K18" i="64"/>
  <c r="K17" i="64"/>
  <c r="K16" i="64"/>
  <c r="K10" i="64"/>
  <c r="K9" i="64"/>
  <c r="K8" i="64"/>
  <c r="K7" i="64"/>
  <c r="K6" i="64"/>
  <c r="H139" i="114"/>
  <c r="H132" i="114"/>
  <c r="H131" i="114"/>
  <c r="H125" i="114"/>
  <c r="H124" i="114"/>
  <c r="H118" i="114"/>
  <c r="H117" i="114"/>
  <c r="H111" i="114"/>
  <c r="H110" i="114"/>
  <c r="H94" i="114"/>
  <c r="H93" i="114"/>
  <c r="H86" i="114"/>
  <c r="H85" i="114"/>
  <c r="H78" i="114"/>
  <c r="H77" i="114"/>
  <c r="H68" i="114"/>
  <c r="H67" i="114"/>
  <c r="H60" i="114"/>
  <c r="H59" i="114"/>
  <c r="H9" i="114"/>
  <c r="G9" i="114"/>
  <c r="F9" i="114"/>
  <c r="E9" i="114"/>
  <c r="D9" i="114"/>
  <c r="C9" i="114"/>
  <c r="H8" i="114"/>
  <c r="G8" i="114"/>
  <c r="F8" i="114"/>
  <c r="E8" i="114"/>
  <c r="D8" i="114"/>
  <c r="C8" i="114"/>
  <c r="G21" i="113"/>
  <c r="F21" i="113"/>
  <c r="D21" i="113"/>
  <c r="E13" i="113"/>
  <c r="E21" i="113" s="1"/>
  <c r="C13" i="113"/>
  <c r="C21" i="113" s="1"/>
  <c r="F244" i="61"/>
  <c r="E244" i="61"/>
  <c r="D244" i="61"/>
  <c r="C244" i="61"/>
  <c r="B244" i="61"/>
  <c r="F234" i="61"/>
  <c r="F233" i="61"/>
  <c r="E233" i="61"/>
  <c r="D233" i="61"/>
  <c r="C233" i="61"/>
  <c r="B233" i="61"/>
  <c r="F223" i="61"/>
  <c r="E223" i="61"/>
  <c r="D223" i="61"/>
  <c r="C223" i="61"/>
  <c r="B223" i="61"/>
  <c r="F222" i="61"/>
  <c r="F224" i="61" s="1"/>
  <c r="E222" i="61"/>
  <c r="E224" i="61" s="1"/>
  <c r="D222" i="61"/>
  <c r="D224" i="61" s="1"/>
  <c r="C222" i="61"/>
  <c r="C224" i="61" s="1"/>
  <c r="B222" i="61"/>
  <c r="B224" i="61" s="1"/>
  <c r="F212" i="61"/>
  <c r="B212" i="61"/>
  <c r="F211" i="61"/>
  <c r="F213" i="61" s="1"/>
  <c r="E211" i="61"/>
  <c r="E213" i="61" s="1"/>
  <c r="D211" i="61"/>
  <c r="D213" i="61" s="1"/>
  <c r="C211" i="61"/>
  <c r="C213" i="61" s="1"/>
  <c r="B211" i="61"/>
  <c r="B213" i="61" s="1"/>
  <c r="F201" i="61"/>
  <c r="E201" i="61"/>
  <c r="D201" i="61"/>
  <c r="C201" i="61"/>
  <c r="B201" i="61"/>
  <c r="F200" i="61"/>
  <c r="F202" i="61" s="1"/>
  <c r="E200" i="61"/>
  <c r="E202" i="61" s="1"/>
  <c r="D200" i="61"/>
  <c r="D202" i="61" s="1"/>
  <c r="C200" i="61"/>
  <c r="C202" i="61" s="1"/>
  <c r="B200" i="61"/>
  <c r="B202" i="61" s="1"/>
  <c r="F190" i="61"/>
  <c r="E190" i="61"/>
  <c r="C190" i="61"/>
  <c r="B190" i="61"/>
  <c r="F189" i="61"/>
  <c r="F191" i="61" s="1"/>
  <c r="E189" i="61"/>
  <c r="E191" i="61" s="1"/>
  <c r="D189" i="61"/>
  <c r="D191" i="61" s="1"/>
  <c r="C189" i="61"/>
  <c r="C191" i="61" s="1"/>
  <c r="B189" i="61"/>
  <c r="B191" i="61" s="1"/>
  <c r="F179" i="61"/>
  <c r="E179" i="61"/>
  <c r="D179" i="61"/>
  <c r="C179" i="61"/>
  <c r="B179" i="61"/>
  <c r="F178" i="61"/>
  <c r="F180" i="61" s="1"/>
  <c r="E178" i="61"/>
  <c r="E180" i="61" s="1"/>
  <c r="D178" i="61"/>
  <c r="D180" i="61" s="1"/>
  <c r="C178" i="61"/>
  <c r="C180" i="61" s="1"/>
  <c r="B178" i="61"/>
  <c r="B180" i="61" s="1"/>
  <c r="F168" i="61"/>
  <c r="B168" i="61"/>
  <c r="F167" i="61"/>
  <c r="F169" i="61" s="1"/>
  <c r="E167" i="61"/>
  <c r="E169" i="61" s="1"/>
  <c r="D167" i="61"/>
  <c r="D169" i="61" s="1"/>
  <c r="C167" i="61"/>
  <c r="C169" i="61" s="1"/>
  <c r="B167" i="61"/>
  <c r="B169" i="61" s="1"/>
  <c r="F156" i="61"/>
  <c r="F158" i="61" s="1"/>
  <c r="E156" i="61"/>
  <c r="E158" i="61" s="1"/>
  <c r="D156" i="61"/>
  <c r="D158" i="61" s="1"/>
  <c r="C156" i="61"/>
  <c r="C158" i="61" s="1"/>
  <c r="B156" i="61"/>
  <c r="F146" i="61"/>
  <c r="E146" i="61"/>
  <c r="D146" i="61"/>
  <c r="C146" i="61"/>
  <c r="B146" i="61"/>
  <c r="F145" i="61"/>
  <c r="F147" i="61" s="1"/>
  <c r="E145" i="61"/>
  <c r="E147" i="61" s="1"/>
  <c r="D145" i="61"/>
  <c r="D147" i="61" s="1"/>
  <c r="C145" i="61"/>
  <c r="C147" i="61" s="1"/>
  <c r="B145" i="61"/>
  <c r="B147" i="61" s="1"/>
  <c r="F135" i="61"/>
  <c r="E135" i="61"/>
  <c r="D135" i="61"/>
  <c r="C135" i="61"/>
  <c r="B135" i="61"/>
  <c r="F134" i="61"/>
  <c r="F136" i="61" s="1"/>
  <c r="E134" i="61"/>
  <c r="E136" i="61" s="1"/>
  <c r="D134" i="61"/>
  <c r="D136" i="61" s="1"/>
  <c r="C134" i="61"/>
  <c r="C136" i="61" s="1"/>
  <c r="B134" i="61"/>
  <c r="B136" i="61" s="1"/>
  <c r="F124" i="61"/>
  <c r="E124" i="61"/>
  <c r="D124" i="61"/>
  <c r="C124" i="61"/>
  <c r="B124" i="61"/>
  <c r="F123" i="61"/>
  <c r="F125" i="61" s="1"/>
  <c r="E123" i="61"/>
  <c r="E125" i="61" s="1"/>
  <c r="D123" i="61"/>
  <c r="D125" i="61" s="1"/>
  <c r="C123" i="61"/>
  <c r="C125" i="61" s="1"/>
  <c r="B123" i="61"/>
  <c r="B125" i="61" s="1"/>
  <c r="F113" i="61"/>
  <c r="E113" i="61"/>
  <c r="D113" i="61"/>
  <c r="C113" i="61"/>
  <c r="B113" i="61"/>
  <c r="F112" i="61"/>
  <c r="F114" i="61" s="1"/>
  <c r="E112" i="61"/>
  <c r="E114" i="61" s="1"/>
  <c r="D112" i="61"/>
  <c r="D114" i="61" s="1"/>
  <c r="C112" i="61"/>
  <c r="C114" i="61" s="1"/>
  <c r="B112" i="61"/>
  <c r="B114" i="61" s="1"/>
  <c r="F102" i="61"/>
  <c r="E102" i="61"/>
  <c r="D102" i="61"/>
  <c r="C102" i="61"/>
  <c r="B102" i="61"/>
  <c r="F101" i="61"/>
  <c r="F103" i="61" s="1"/>
  <c r="E101" i="61"/>
  <c r="E103" i="61" s="1"/>
  <c r="D101" i="61"/>
  <c r="D103" i="61" s="1"/>
  <c r="C101" i="61"/>
  <c r="C103" i="61" s="1"/>
  <c r="B101" i="61"/>
  <c r="B103" i="61" s="1"/>
  <c r="C91" i="61"/>
  <c r="B91" i="61"/>
  <c r="F90" i="61"/>
  <c r="F92" i="61" s="1"/>
  <c r="E90" i="61"/>
  <c r="E92" i="61" s="1"/>
  <c r="D90" i="61"/>
  <c r="D92" i="61" s="1"/>
  <c r="C90" i="61"/>
  <c r="C92" i="61" s="1"/>
  <c r="B90" i="61"/>
  <c r="B92" i="61" s="1"/>
  <c r="F80" i="61"/>
  <c r="E80" i="61"/>
  <c r="D80" i="61"/>
  <c r="C80" i="61"/>
  <c r="B80" i="61"/>
  <c r="F79" i="61"/>
  <c r="F81" i="61" s="1"/>
  <c r="E79" i="61"/>
  <c r="E81" i="61" s="1"/>
  <c r="D79" i="61"/>
  <c r="D81" i="61" s="1"/>
  <c r="C79" i="61"/>
  <c r="C81" i="61" s="1"/>
  <c r="B79" i="61"/>
  <c r="B81" i="61" s="1"/>
  <c r="F69" i="61"/>
  <c r="E69" i="61"/>
  <c r="D69" i="61"/>
  <c r="C69" i="61"/>
  <c r="B69" i="61"/>
  <c r="F68" i="61"/>
  <c r="F70" i="61" s="1"/>
  <c r="E68" i="61"/>
  <c r="E70" i="61" s="1"/>
  <c r="D68" i="61"/>
  <c r="D70" i="61" s="1"/>
  <c r="C68" i="61"/>
  <c r="C70" i="61" s="1"/>
  <c r="B68" i="61"/>
  <c r="B70" i="61" s="1"/>
  <c r="F58" i="61"/>
  <c r="E58" i="61"/>
  <c r="D58" i="61"/>
  <c r="C58" i="61"/>
  <c r="B58" i="61"/>
  <c r="F57" i="61"/>
  <c r="F59" i="61" s="1"/>
  <c r="E57" i="61"/>
  <c r="E59" i="61" s="1"/>
  <c r="D57" i="61"/>
  <c r="D59" i="61" s="1"/>
  <c r="C57" i="61"/>
  <c r="C59" i="61" s="1"/>
  <c r="B57" i="61"/>
  <c r="B59" i="61" s="1"/>
  <c r="F47" i="61"/>
  <c r="E47" i="61"/>
  <c r="D47" i="61"/>
  <c r="C47" i="61"/>
  <c r="B47" i="61"/>
  <c r="F46" i="61"/>
  <c r="F48" i="61" s="1"/>
  <c r="E46" i="61"/>
  <c r="E48" i="61" s="1"/>
  <c r="D46" i="61"/>
  <c r="D48" i="61" s="1"/>
  <c r="C46" i="61"/>
  <c r="C48" i="61" s="1"/>
  <c r="B46" i="61"/>
  <c r="B48" i="61" s="1"/>
  <c r="F36" i="61"/>
  <c r="E36" i="61"/>
  <c r="D36" i="61"/>
  <c r="C36" i="61"/>
  <c r="B36" i="61"/>
  <c r="F35" i="61"/>
  <c r="F37" i="61" s="1"/>
  <c r="E35" i="61"/>
  <c r="E37" i="61" s="1"/>
  <c r="D35" i="61"/>
  <c r="D37" i="61" s="1"/>
  <c r="C35" i="61"/>
  <c r="C37" i="61" s="1"/>
  <c r="B35" i="61"/>
  <c r="B37" i="61" s="1"/>
  <c r="F22" i="61"/>
  <c r="E22" i="61"/>
  <c r="D22" i="61"/>
  <c r="C22" i="61"/>
  <c r="B22" i="61"/>
  <c r="F20" i="61"/>
  <c r="E20" i="61"/>
  <c r="D20" i="61"/>
  <c r="C20" i="61"/>
  <c r="B20" i="61"/>
  <c r="F19" i="61"/>
  <c r="E19" i="61"/>
  <c r="D19" i="61"/>
  <c r="C19" i="61"/>
  <c r="B19" i="61"/>
  <c r="F18" i="61"/>
  <c r="E18" i="61"/>
  <c r="D18" i="61"/>
  <c r="C18" i="61"/>
  <c r="B18" i="61"/>
  <c r="F17" i="61"/>
  <c r="E17" i="61"/>
  <c r="D17" i="61"/>
  <c r="C17" i="61"/>
  <c r="B17" i="61"/>
  <c r="F16" i="61"/>
  <c r="F21" i="61" s="1"/>
  <c r="F23" i="61" s="1"/>
  <c r="E16" i="61"/>
  <c r="E21" i="61" s="1"/>
  <c r="E23" i="61" s="1"/>
  <c r="D16" i="61"/>
  <c r="D21" i="61" s="1"/>
  <c r="D23" i="61" s="1"/>
  <c r="C16" i="61"/>
  <c r="C21" i="61" s="1"/>
  <c r="C23" i="61" s="1"/>
  <c r="B16" i="61"/>
  <c r="B21" i="61" s="1"/>
  <c r="B23" i="61" s="1"/>
  <c r="F9" i="61"/>
  <c r="E9" i="61"/>
  <c r="D9" i="61"/>
  <c r="C9" i="61"/>
  <c r="B9" i="61"/>
  <c r="F8" i="61"/>
  <c r="E8" i="61"/>
  <c r="D8" i="61"/>
  <c r="C8" i="61"/>
  <c r="B8" i="61"/>
  <c r="F7" i="61"/>
  <c r="E7" i="61"/>
  <c r="D7" i="61"/>
  <c r="C7" i="61"/>
  <c r="B7" i="61"/>
  <c r="F6" i="61"/>
  <c r="F10" i="61" s="1"/>
  <c r="E6" i="61"/>
  <c r="E10" i="61" s="1"/>
  <c r="D6" i="61"/>
  <c r="D10" i="61" s="1"/>
  <c r="C6" i="61"/>
  <c r="C10" i="61" s="1"/>
  <c r="B6" i="61"/>
  <c r="B10" i="61" s="1"/>
  <c r="H180" i="60"/>
  <c r="G180" i="60"/>
  <c r="F180" i="60"/>
  <c r="E180" i="60"/>
  <c r="D180" i="60"/>
  <c r="C180" i="60"/>
  <c r="H175" i="60"/>
  <c r="G175" i="60"/>
  <c r="F175" i="60"/>
  <c r="E175" i="60"/>
  <c r="D175" i="60"/>
  <c r="C175" i="60"/>
  <c r="H170" i="60"/>
  <c r="G170" i="60"/>
  <c r="F170" i="60"/>
  <c r="E170" i="60"/>
  <c r="D170" i="60"/>
  <c r="C170" i="60"/>
  <c r="H165" i="60"/>
  <c r="G165" i="60"/>
  <c r="F165" i="60"/>
  <c r="E165" i="60"/>
  <c r="D165" i="60"/>
  <c r="C165" i="60"/>
  <c r="H160" i="60"/>
  <c r="G160" i="60"/>
  <c r="E160" i="60"/>
  <c r="D160" i="60"/>
  <c r="C160" i="60"/>
  <c r="H155" i="60"/>
  <c r="G155" i="60"/>
  <c r="F155" i="60"/>
  <c r="F158" i="60" s="1"/>
  <c r="F160" i="60" s="1"/>
  <c r="E155" i="60"/>
  <c r="D155" i="60"/>
  <c r="C155" i="60"/>
  <c r="H150" i="60"/>
  <c r="G150" i="60"/>
  <c r="F150" i="60"/>
  <c r="E150" i="60"/>
  <c r="H145" i="60"/>
  <c r="G145" i="60"/>
  <c r="F145" i="60"/>
  <c r="E145" i="60"/>
  <c r="H140" i="60"/>
  <c r="H135" i="60"/>
  <c r="G135" i="60"/>
  <c r="G138" i="60" s="1"/>
  <c r="G140" i="60" s="1"/>
  <c r="F135" i="60"/>
  <c r="F138" i="60" s="1"/>
  <c r="F140" i="60" s="1"/>
  <c r="H130" i="60"/>
  <c r="C130" i="60"/>
  <c r="H125" i="60"/>
  <c r="G125" i="60"/>
  <c r="G128" i="60" s="1"/>
  <c r="G130" i="60" s="1"/>
  <c r="F125" i="60"/>
  <c r="F128" i="60" s="1"/>
  <c r="F130" i="60" s="1"/>
  <c r="E125" i="60"/>
  <c r="E128" i="60" s="1"/>
  <c r="E130" i="60" s="1"/>
  <c r="D125" i="60"/>
  <c r="D128" i="60" s="1"/>
  <c r="D130" i="60" s="1"/>
  <c r="C125" i="60"/>
  <c r="H120" i="60"/>
  <c r="G120" i="60"/>
  <c r="F120" i="60"/>
  <c r="H115" i="60"/>
  <c r="G115" i="60"/>
  <c r="F115" i="60"/>
  <c r="H110" i="60"/>
  <c r="G109" i="60"/>
  <c r="F109" i="60"/>
  <c r="E109" i="60"/>
  <c r="D109" i="60"/>
  <c r="C109" i="60"/>
  <c r="G108" i="60"/>
  <c r="G110" i="60" s="1"/>
  <c r="F108" i="60"/>
  <c r="F110" i="60" s="1"/>
  <c r="E108" i="60"/>
  <c r="E110" i="60" s="1"/>
  <c r="D108" i="60"/>
  <c r="D110" i="60" s="1"/>
  <c r="C108" i="60"/>
  <c r="C110" i="60" s="1"/>
  <c r="G107" i="60"/>
  <c r="F107" i="60"/>
  <c r="E107" i="60"/>
  <c r="D107" i="60"/>
  <c r="C107" i="60"/>
  <c r="G106" i="60"/>
  <c r="F106" i="60"/>
  <c r="E106" i="60"/>
  <c r="D106" i="60"/>
  <c r="C106" i="60"/>
  <c r="H105" i="60"/>
  <c r="G105" i="60"/>
  <c r="F105" i="60"/>
  <c r="E105" i="60"/>
  <c r="D105" i="60"/>
  <c r="C105" i="60"/>
  <c r="G104" i="60"/>
  <c r="F104" i="60"/>
  <c r="E104" i="60"/>
  <c r="D104" i="60"/>
  <c r="C104" i="60"/>
  <c r="H100" i="60"/>
  <c r="G100" i="60"/>
  <c r="F100" i="60"/>
  <c r="E100" i="60"/>
  <c r="D100" i="60"/>
  <c r="H95" i="60"/>
  <c r="G95" i="60"/>
  <c r="F95" i="60"/>
  <c r="E95" i="60"/>
  <c r="D95" i="60"/>
  <c r="C95" i="60"/>
  <c r="C98" i="60" s="1"/>
  <c r="C100" i="60" s="1"/>
  <c r="H90" i="60"/>
  <c r="G90" i="60"/>
  <c r="F90" i="60"/>
  <c r="E90" i="60"/>
  <c r="D90" i="60"/>
  <c r="C90" i="60"/>
  <c r="H85" i="60"/>
  <c r="G85" i="60"/>
  <c r="F85" i="60"/>
  <c r="E85" i="60"/>
  <c r="D85" i="60"/>
  <c r="C85" i="60"/>
  <c r="H80" i="60"/>
  <c r="G80" i="60"/>
  <c r="F80" i="60"/>
  <c r="E80" i="60"/>
  <c r="H75" i="60"/>
  <c r="G75" i="60"/>
  <c r="F75" i="60"/>
  <c r="E75" i="60"/>
  <c r="D75" i="60"/>
  <c r="C75" i="60"/>
  <c r="H70" i="60"/>
  <c r="H65" i="60"/>
  <c r="G65" i="60"/>
  <c r="G68" i="60" s="1"/>
  <c r="G70" i="60" s="1"/>
  <c r="F65" i="60"/>
  <c r="F68" i="60" s="1"/>
  <c r="F70" i="60" s="1"/>
  <c r="E65" i="60"/>
  <c r="E68" i="60" s="1"/>
  <c r="E70" i="60" s="1"/>
  <c r="D65" i="60"/>
  <c r="D68" i="60" s="1"/>
  <c r="D70" i="60" s="1"/>
  <c r="C65" i="60"/>
  <c r="C68" i="60" s="1"/>
  <c r="C70" i="60" s="1"/>
  <c r="H60" i="60"/>
  <c r="G60" i="60"/>
  <c r="F60" i="60"/>
  <c r="E60" i="60"/>
  <c r="D60" i="60"/>
  <c r="C60" i="60"/>
  <c r="H55" i="60"/>
  <c r="G55" i="60"/>
  <c r="F55" i="60"/>
  <c r="E55" i="60"/>
  <c r="D55" i="60"/>
  <c r="C55" i="60"/>
  <c r="H50" i="60"/>
  <c r="G50" i="60"/>
  <c r="F50" i="60"/>
  <c r="E50" i="60"/>
  <c r="D50" i="60"/>
  <c r="C50" i="60"/>
  <c r="H45" i="60"/>
  <c r="G45" i="60"/>
  <c r="F45" i="60"/>
  <c r="E45" i="60"/>
  <c r="D45" i="60"/>
  <c r="C45" i="60"/>
  <c r="H40" i="60"/>
  <c r="G40" i="60"/>
  <c r="F40" i="60"/>
  <c r="E40" i="60"/>
  <c r="D40" i="60"/>
  <c r="C40" i="60"/>
  <c r="H35" i="60"/>
  <c r="G35" i="60"/>
  <c r="F35" i="60"/>
  <c r="E35" i="60"/>
  <c r="D35" i="60"/>
  <c r="C35" i="60"/>
  <c r="H30" i="60"/>
  <c r="G30" i="60"/>
  <c r="F30" i="60"/>
  <c r="E30" i="60"/>
  <c r="D30" i="60"/>
  <c r="C30" i="60"/>
  <c r="H25" i="60"/>
  <c r="G25" i="60"/>
  <c r="F25" i="60"/>
  <c r="E25" i="60"/>
  <c r="D25" i="60"/>
  <c r="C25" i="60"/>
  <c r="H20" i="60"/>
  <c r="G20" i="60"/>
  <c r="F20" i="60"/>
  <c r="E20" i="60"/>
  <c r="D20" i="60"/>
  <c r="C20" i="60"/>
  <c r="H15" i="60"/>
  <c r="G15" i="60"/>
  <c r="F15" i="60"/>
  <c r="E15" i="60"/>
  <c r="D15" i="60"/>
  <c r="C15" i="60"/>
  <c r="H10" i="60"/>
  <c r="G10" i="60"/>
  <c r="F10" i="60"/>
  <c r="E10" i="60"/>
  <c r="D10" i="60"/>
  <c r="C10" i="60"/>
  <c r="H5" i="60"/>
  <c r="G5" i="60"/>
  <c r="F5" i="60"/>
  <c r="E5" i="60"/>
  <c r="D5" i="60"/>
  <c r="C5" i="60"/>
  <c r="E420" i="59"/>
  <c r="E398" i="59"/>
  <c r="E376" i="59"/>
  <c r="E354" i="59"/>
  <c r="E327" i="59"/>
  <c r="E316" i="59"/>
  <c r="E332" i="59" s="1"/>
  <c r="E310" i="59"/>
  <c r="E266" i="59"/>
  <c r="E241" i="59"/>
  <c r="E228" i="59"/>
  <c r="E244" i="59" s="1"/>
  <c r="E200" i="59"/>
  <c r="E178" i="59"/>
  <c r="E156" i="59"/>
  <c r="E134" i="59"/>
  <c r="E112" i="59"/>
  <c r="E90" i="59"/>
  <c r="E68" i="59"/>
  <c r="E46" i="59"/>
  <c r="F25" i="59"/>
  <c r="F22" i="59"/>
  <c r="E22" i="59"/>
  <c r="G22" i="59" s="1"/>
  <c r="F21" i="59"/>
  <c r="E21" i="59"/>
  <c r="G21" i="59" s="1"/>
  <c r="F20" i="59"/>
  <c r="E20" i="59"/>
  <c r="G20" i="59" s="1"/>
  <c r="F19" i="59"/>
  <c r="E19" i="59"/>
  <c r="G19" i="59" s="1"/>
  <c r="F18" i="59"/>
  <c r="E18" i="59"/>
  <c r="G18" i="59" s="1"/>
  <c r="F17" i="59"/>
  <c r="E17" i="59"/>
  <c r="G17" i="59" s="1"/>
  <c r="F16" i="59"/>
  <c r="E16" i="59"/>
  <c r="G16" i="59" s="1"/>
  <c r="F15" i="59"/>
  <c r="E15" i="59"/>
  <c r="G15" i="59" s="1"/>
  <c r="F14" i="59"/>
  <c r="E14" i="59"/>
  <c r="G14" i="59" s="1"/>
  <c r="F13" i="59"/>
  <c r="E13" i="59"/>
  <c r="G13" i="59" s="1"/>
  <c r="F12" i="59"/>
  <c r="E12" i="59"/>
  <c r="G12" i="59" s="1"/>
  <c r="F11" i="59"/>
  <c r="E11" i="59"/>
  <c r="G11" i="59" s="1"/>
  <c r="F10" i="59"/>
  <c r="E10" i="59"/>
  <c r="G10" i="59" s="1"/>
  <c r="J9" i="59"/>
  <c r="F9" i="59"/>
  <c r="E9" i="59"/>
  <c r="G9" i="59" s="1"/>
  <c r="J8" i="59"/>
  <c r="F8" i="59"/>
  <c r="E8" i="59"/>
  <c r="G8" i="59" s="1"/>
  <c r="J7" i="59"/>
  <c r="F7" i="59"/>
  <c r="E7" i="59"/>
  <c r="G7" i="59" s="1"/>
  <c r="J6" i="59"/>
  <c r="F6" i="59"/>
  <c r="E6" i="59"/>
  <c r="G6" i="59" s="1"/>
  <c r="J5" i="59"/>
  <c r="F5" i="59"/>
  <c r="E5" i="59"/>
  <c r="G5" i="59" s="1"/>
  <c r="F4" i="59"/>
  <c r="F23" i="59" s="1"/>
  <c r="E4" i="59"/>
  <c r="W58" i="58"/>
  <c r="U58" i="58"/>
  <c r="T58" i="58"/>
  <c r="S58" i="58"/>
  <c r="R58" i="58"/>
  <c r="Q58" i="58"/>
  <c r="P58" i="58"/>
  <c r="O58" i="58"/>
  <c r="N58" i="58"/>
  <c r="M58" i="58"/>
  <c r="L58" i="58"/>
  <c r="K58" i="58"/>
  <c r="J58" i="58"/>
  <c r="I58" i="58"/>
  <c r="H58" i="58"/>
  <c r="G58" i="58"/>
  <c r="F58" i="58"/>
  <c r="E58" i="58"/>
  <c r="D58" i="58"/>
  <c r="C58" i="58"/>
  <c r="B58" i="58"/>
  <c r="V57" i="58"/>
  <c r="V56" i="58"/>
  <c r="V55" i="58"/>
  <c r="V54" i="58"/>
  <c r="V53" i="58"/>
  <c r="V58" i="58" s="1"/>
  <c r="X58" i="58" s="1"/>
  <c r="W47" i="58"/>
  <c r="U47" i="58"/>
  <c r="T47" i="58"/>
  <c r="S47" i="58"/>
  <c r="R47" i="58"/>
  <c r="Q47" i="58"/>
  <c r="P47" i="58"/>
  <c r="O47" i="58"/>
  <c r="N47" i="58"/>
  <c r="M47" i="58"/>
  <c r="L47" i="58"/>
  <c r="K47" i="58"/>
  <c r="J47" i="58"/>
  <c r="I47" i="58"/>
  <c r="H47" i="58"/>
  <c r="G47" i="58"/>
  <c r="F47" i="58"/>
  <c r="E47" i="58"/>
  <c r="D47" i="58"/>
  <c r="C47" i="58"/>
  <c r="B47" i="58"/>
  <c r="V46" i="58"/>
  <c r="V45" i="58"/>
  <c r="V44" i="58"/>
  <c r="V43" i="58"/>
  <c r="V42" i="58"/>
  <c r="V47" i="58" s="1"/>
  <c r="X47" i="58" s="1"/>
  <c r="V24" i="58"/>
  <c r="T24" i="58"/>
  <c r="S24" i="58"/>
  <c r="R24" i="58"/>
  <c r="Q24" i="58"/>
  <c r="P24" i="58"/>
  <c r="N24" i="58"/>
  <c r="M24" i="58"/>
  <c r="L24" i="58"/>
  <c r="K24" i="58"/>
  <c r="J24" i="58"/>
  <c r="I24" i="58"/>
  <c r="H24" i="58"/>
  <c r="G24" i="58"/>
  <c r="F24" i="58"/>
  <c r="E24" i="58"/>
  <c r="D24" i="58"/>
  <c r="C24" i="58"/>
  <c r="B24" i="58"/>
  <c r="W23" i="58"/>
  <c r="U23" i="58"/>
  <c r="U25" i="58" s="1"/>
  <c r="O23" i="58"/>
  <c r="O25" i="58" s="1"/>
  <c r="J23" i="58"/>
  <c r="T22" i="58"/>
  <c r="S22" i="58"/>
  <c r="R22" i="58"/>
  <c r="Q22" i="58"/>
  <c r="P22" i="58"/>
  <c r="N22" i="58"/>
  <c r="M22" i="58"/>
  <c r="L22" i="58"/>
  <c r="K22" i="58"/>
  <c r="I22" i="58"/>
  <c r="H22" i="58"/>
  <c r="G22" i="58"/>
  <c r="F22" i="58"/>
  <c r="E22" i="58"/>
  <c r="D22" i="58"/>
  <c r="C22" i="58"/>
  <c r="B22" i="58"/>
  <c r="V22" i="58" s="1"/>
  <c r="T21" i="58"/>
  <c r="S21" i="58"/>
  <c r="R21" i="58"/>
  <c r="Q21" i="58"/>
  <c r="P21" i="58"/>
  <c r="N21" i="58"/>
  <c r="M21" i="58"/>
  <c r="L21" i="58"/>
  <c r="K21" i="58"/>
  <c r="I21" i="58"/>
  <c r="H21" i="58"/>
  <c r="G21" i="58"/>
  <c r="F21" i="58"/>
  <c r="E21" i="58"/>
  <c r="D21" i="58"/>
  <c r="C21" i="58"/>
  <c r="B21" i="58"/>
  <c r="V21" i="58" s="1"/>
  <c r="T20" i="58"/>
  <c r="S20" i="58"/>
  <c r="R20" i="58"/>
  <c r="Q20" i="58"/>
  <c r="P20" i="58"/>
  <c r="N20" i="58"/>
  <c r="M20" i="58"/>
  <c r="L20" i="58"/>
  <c r="K20" i="58"/>
  <c r="I20" i="58"/>
  <c r="H20" i="58"/>
  <c r="G20" i="58"/>
  <c r="F20" i="58"/>
  <c r="E20" i="58"/>
  <c r="D20" i="58"/>
  <c r="C20" i="58"/>
  <c r="B20" i="58"/>
  <c r="V20" i="58" s="1"/>
  <c r="T19" i="58"/>
  <c r="S19" i="58"/>
  <c r="R19" i="58"/>
  <c r="Q19" i="58"/>
  <c r="P19" i="58"/>
  <c r="N19" i="58"/>
  <c r="M19" i="58"/>
  <c r="L19" i="58"/>
  <c r="K19" i="58"/>
  <c r="I19" i="58"/>
  <c r="H19" i="58"/>
  <c r="G19" i="58"/>
  <c r="F19" i="58"/>
  <c r="E19" i="58"/>
  <c r="D19" i="58"/>
  <c r="C19" i="58"/>
  <c r="B19" i="58"/>
  <c r="V19" i="58" s="1"/>
  <c r="T18" i="58"/>
  <c r="T23" i="58" s="1"/>
  <c r="T25" i="58" s="1"/>
  <c r="S18" i="58"/>
  <c r="S23" i="58" s="1"/>
  <c r="S25" i="58" s="1"/>
  <c r="R18" i="58"/>
  <c r="R23" i="58" s="1"/>
  <c r="R25" i="58" s="1"/>
  <c r="Q18" i="58"/>
  <c r="Q23" i="58" s="1"/>
  <c r="Q25" i="58" s="1"/>
  <c r="P18" i="58"/>
  <c r="P23" i="58" s="1"/>
  <c r="P25" i="58" s="1"/>
  <c r="N18" i="58"/>
  <c r="N23" i="58" s="1"/>
  <c r="N25" i="58" s="1"/>
  <c r="M18" i="58"/>
  <c r="M23" i="58" s="1"/>
  <c r="M25" i="58" s="1"/>
  <c r="L18" i="58"/>
  <c r="L23" i="58" s="1"/>
  <c r="L25" i="58" s="1"/>
  <c r="K18" i="58"/>
  <c r="K23" i="58" s="1"/>
  <c r="K25" i="58" s="1"/>
  <c r="I18" i="58"/>
  <c r="I23" i="58" s="1"/>
  <c r="I25" i="58" s="1"/>
  <c r="H18" i="58"/>
  <c r="H23" i="58" s="1"/>
  <c r="H25" i="58" s="1"/>
  <c r="G18" i="58"/>
  <c r="G23" i="58" s="1"/>
  <c r="G25" i="58" s="1"/>
  <c r="F18" i="58"/>
  <c r="F23" i="58" s="1"/>
  <c r="F25" i="58" s="1"/>
  <c r="E18" i="58"/>
  <c r="E23" i="58" s="1"/>
  <c r="E25" i="58" s="1"/>
  <c r="D18" i="58"/>
  <c r="D23" i="58" s="1"/>
  <c r="D25" i="58" s="1"/>
  <c r="C18" i="58"/>
  <c r="B18" i="58"/>
  <c r="B23" i="58" s="1"/>
  <c r="B25" i="58" s="1"/>
  <c r="V13" i="58"/>
  <c r="U13" i="58"/>
  <c r="T13" i="58"/>
  <c r="S13" i="58"/>
  <c r="R13" i="58"/>
  <c r="Q13" i="58"/>
  <c r="P13" i="58"/>
  <c r="O13" i="58"/>
  <c r="N13" i="58"/>
  <c r="M13" i="58"/>
  <c r="L13" i="58"/>
  <c r="K13" i="58"/>
  <c r="J13" i="58"/>
  <c r="I13" i="58"/>
  <c r="H13" i="58"/>
  <c r="G13" i="58"/>
  <c r="F13" i="58"/>
  <c r="E13" i="58"/>
  <c r="D13" i="58"/>
  <c r="C13" i="58"/>
  <c r="B13" i="58"/>
  <c r="W12" i="58"/>
  <c r="U12" i="58"/>
  <c r="O12" i="58"/>
  <c r="J12" i="58"/>
  <c r="T11" i="58"/>
  <c r="S11" i="58"/>
  <c r="R11" i="58"/>
  <c r="Q11" i="58"/>
  <c r="P11" i="58"/>
  <c r="N11" i="58"/>
  <c r="M11" i="58"/>
  <c r="L11" i="58"/>
  <c r="K11" i="58"/>
  <c r="I11" i="58"/>
  <c r="H11" i="58"/>
  <c r="G11" i="58"/>
  <c r="F11" i="58"/>
  <c r="E11" i="58"/>
  <c r="D11" i="58"/>
  <c r="C11" i="58"/>
  <c r="B11" i="58"/>
  <c r="V11" i="58" s="1"/>
  <c r="T10" i="58"/>
  <c r="S10" i="58"/>
  <c r="R10" i="58"/>
  <c r="Q10" i="58"/>
  <c r="P10" i="58"/>
  <c r="N10" i="58"/>
  <c r="M10" i="58"/>
  <c r="L10" i="58"/>
  <c r="K10" i="58"/>
  <c r="I10" i="58"/>
  <c r="H10" i="58"/>
  <c r="G10" i="58"/>
  <c r="F10" i="58"/>
  <c r="E10" i="58"/>
  <c r="D10" i="58"/>
  <c r="C10" i="58"/>
  <c r="B10" i="58"/>
  <c r="V10" i="58" s="1"/>
  <c r="T9" i="58"/>
  <c r="S9" i="58"/>
  <c r="R9" i="58"/>
  <c r="Q9" i="58"/>
  <c r="P9" i="58"/>
  <c r="N9" i="58"/>
  <c r="M9" i="58"/>
  <c r="L9" i="58"/>
  <c r="K9" i="58"/>
  <c r="I9" i="58"/>
  <c r="H9" i="58"/>
  <c r="G9" i="58"/>
  <c r="F9" i="58"/>
  <c r="E9" i="58"/>
  <c r="D9" i="58"/>
  <c r="C9" i="58"/>
  <c r="B9" i="58"/>
  <c r="V9" i="58" s="1"/>
  <c r="T8" i="58"/>
  <c r="S8" i="58"/>
  <c r="R8" i="58"/>
  <c r="Q8" i="58"/>
  <c r="P8" i="58"/>
  <c r="N8" i="58"/>
  <c r="M8" i="58"/>
  <c r="L8" i="58"/>
  <c r="K8" i="58"/>
  <c r="I8" i="58"/>
  <c r="H8" i="58"/>
  <c r="G8" i="58"/>
  <c r="F8" i="58"/>
  <c r="E8" i="58"/>
  <c r="D8" i="58"/>
  <c r="C8" i="58"/>
  <c r="B8" i="58"/>
  <c r="V8" i="58" s="1"/>
  <c r="T7" i="58"/>
  <c r="T12" i="58" s="1"/>
  <c r="T14" i="58" s="1"/>
  <c r="S7" i="58"/>
  <c r="S12" i="58" s="1"/>
  <c r="S14" i="58" s="1"/>
  <c r="R7" i="58"/>
  <c r="R12" i="58" s="1"/>
  <c r="R14" i="58" s="1"/>
  <c r="Q7" i="58"/>
  <c r="Q12" i="58" s="1"/>
  <c r="Q14" i="58" s="1"/>
  <c r="P7" i="58"/>
  <c r="P12" i="58" s="1"/>
  <c r="P14" i="58" s="1"/>
  <c r="N7" i="58"/>
  <c r="N12" i="58" s="1"/>
  <c r="N14" i="58" s="1"/>
  <c r="M7" i="58"/>
  <c r="M12" i="58" s="1"/>
  <c r="M14" i="58" s="1"/>
  <c r="L7" i="58"/>
  <c r="L12" i="58" s="1"/>
  <c r="L14" i="58" s="1"/>
  <c r="K7" i="58"/>
  <c r="K12" i="58" s="1"/>
  <c r="K14" i="58" s="1"/>
  <c r="I7" i="58"/>
  <c r="I12" i="58" s="1"/>
  <c r="I14" i="58" s="1"/>
  <c r="H7" i="58"/>
  <c r="H12" i="58" s="1"/>
  <c r="H14" i="58" s="1"/>
  <c r="G7" i="58"/>
  <c r="G12" i="58" s="1"/>
  <c r="G14" i="58" s="1"/>
  <c r="F7" i="58"/>
  <c r="F12" i="58" s="1"/>
  <c r="F14" i="58" s="1"/>
  <c r="E7" i="58"/>
  <c r="E12" i="58" s="1"/>
  <c r="E14" i="58" s="1"/>
  <c r="D7" i="58"/>
  <c r="D12" i="58" s="1"/>
  <c r="D14" i="58" s="1"/>
  <c r="C7" i="58"/>
  <c r="C12" i="58" s="1"/>
  <c r="C14" i="58" s="1"/>
  <c r="B7" i="58"/>
  <c r="B12" i="58" s="1"/>
  <c r="B14" i="58" s="1"/>
  <c r="I34" i="57"/>
  <c r="H34" i="57"/>
  <c r="G34" i="57"/>
  <c r="F34" i="57"/>
  <c r="E34" i="57"/>
  <c r="D34" i="57"/>
  <c r="I33" i="57"/>
  <c r="H33" i="57"/>
  <c r="G33" i="57"/>
  <c r="F33" i="57"/>
  <c r="E33" i="57"/>
  <c r="D33" i="57"/>
  <c r="I32" i="57"/>
  <c r="H32" i="57"/>
  <c r="G32" i="57"/>
  <c r="F32" i="57"/>
  <c r="E32" i="57"/>
  <c r="D32" i="57"/>
  <c r="I31" i="57"/>
  <c r="H31" i="57"/>
  <c r="G31" i="57"/>
  <c r="F31" i="57"/>
  <c r="E31" i="57"/>
  <c r="D31" i="57"/>
  <c r="I27" i="57"/>
  <c r="H27" i="57"/>
  <c r="G27" i="57"/>
  <c r="F27" i="57"/>
  <c r="E27" i="57"/>
  <c r="D27" i="57"/>
  <c r="I19" i="57"/>
  <c r="H19" i="57"/>
  <c r="H52" i="57" s="1"/>
  <c r="G19" i="57"/>
  <c r="G52" i="57" s="1"/>
  <c r="F19" i="57"/>
  <c r="F52" i="57" s="1"/>
  <c r="E19" i="57"/>
  <c r="E52" i="57" s="1"/>
  <c r="D19" i="57"/>
  <c r="D52" i="57" s="1"/>
  <c r="C18" i="57"/>
  <c r="C17" i="57"/>
  <c r="C16" i="57"/>
  <c r="C15" i="57"/>
  <c r="C19" i="57" s="1"/>
  <c r="C52" i="57" s="1"/>
  <c r="I11" i="57"/>
  <c r="H11" i="57"/>
  <c r="G11" i="57"/>
  <c r="C18" i="85" s="1"/>
  <c r="F11" i="57"/>
  <c r="E11" i="57"/>
  <c r="D11" i="57"/>
  <c r="C10" i="57"/>
  <c r="C26" i="57" s="1"/>
  <c r="C34" i="57" s="1"/>
  <c r="C9" i="57"/>
  <c r="C25" i="57" s="1"/>
  <c r="C33" i="57" s="1"/>
  <c r="C8" i="57"/>
  <c r="C24" i="57" s="1"/>
  <c r="C32" i="57" s="1"/>
  <c r="C7" i="57"/>
  <c r="W55" i="56"/>
  <c r="U55" i="56"/>
  <c r="T55" i="56"/>
  <c r="S55" i="56"/>
  <c r="R55" i="56"/>
  <c r="Q55" i="56"/>
  <c r="P55" i="56"/>
  <c r="O55" i="56"/>
  <c r="N55" i="56"/>
  <c r="M55" i="56"/>
  <c r="L55" i="56"/>
  <c r="K55" i="56"/>
  <c r="J55" i="56"/>
  <c r="I55" i="56"/>
  <c r="H55" i="56"/>
  <c r="G55" i="56"/>
  <c r="F55" i="56"/>
  <c r="E55" i="56"/>
  <c r="D55" i="56"/>
  <c r="C55" i="56"/>
  <c r="B55" i="56"/>
  <c r="V54" i="56"/>
  <c r="V53" i="56"/>
  <c r="V52" i="56"/>
  <c r="V51" i="56"/>
  <c r="V50" i="56"/>
  <c r="V55" i="56" s="1"/>
  <c r="X55" i="56" s="1"/>
  <c r="W44" i="56"/>
  <c r="U44" i="56"/>
  <c r="T44" i="56"/>
  <c r="S44" i="56"/>
  <c r="R44" i="56"/>
  <c r="Q44" i="56"/>
  <c r="P44" i="56"/>
  <c r="O44" i="56"/>
  <c r="N44" i="56"/>
  <c r="M44" i="56"/>
  <c r="L44" i="56"/>
  <c r="K44" i="56"/>
  <c r="J44" i="56"/>
  <c r="I44" i="56"/>
  <c r="H44" i="56"/>
  <c r="G44" i="56"/>
  <c r="F44" i="56"/>
  <c r="E44" i="56"/>
  <c r="D44" i="56"/>
  <c r="C44" i="56"/>
  <c r="B44" i="56"/>
  <c r="V43" i="56"/>
  <c r="V42" i="56"/>
  <c r="V41" i="56"/>
  <c r="V40" i="56"/>
  <c r="V39" i="56"/>
  <c r="V44" i="56" s="1"/>
  <c r="X44" i="56" s="1"/>
  <c r="L34" i="56"/>
  <c r="W33" i="56"/>
  <c r="W35" i="56" s="1"/>
  <c r="U33" i="56"/>
  <c r="T33" i="56"/>
  <c r="S33" i="56"/>
  <c r="R33" i="56"/>
  <c r="Q33" i="56"/>
  <c r="P33" i="56"/>
  <c r="O33" i="56"/>
  <c r="N33" i="56"/>
  <c r="M33" i="56"/>
  <c r="L33" i="56"/>
  <c r="K33" i="56"/>
  <c r="J33" i="56"/>
  <c r="I33" i="56"/>
  <c r="H33" i="56"/>
  <c r="G33" i="56"/>
  <c r="F33" i="56"/>
  <c r="E33" i="56"/>
  <c r="D33" i="56"/>
  <c r="C33" i="56"/>
  <c r="B33" i="56"/>
  <c r="V32" i="56"/>
  <c r="V31" i="56"/>
  <c r="V30" i="56"/>
  <c r="V29" i="56"/>
  <c r="V28" i="56"/>
  <c r="V33" i="56" s="1"/>
  <c r="X33" i="56" s="1"/>
  <c r="W22" i="56"/>
  <c r="U22" i="56"/>
  <c r="T22" i="56"/>
  <c r="O22" i="56"/>
  <c r="J22" i="56"/>
  <c r="S21" i="56"/>
  <c r="R21" i="56"/>
  <c r="Q21" i="56"/>
  <c r="P21" i="56"/>
  <c r="N21" i="56"/>
  <c r="M21" i="56"/>
  <c r="L21" i="56"/>
  <c r="K21" i="56"/>
  <c r="I21" i="56"/>
  <c r="H21" i="56"/>
  <c r="G21" i="56"/>
  <c r="F21" i="56"/>
  <c r="E21" i="56"/>
  <c r="D21" i="56"/>
  <c r="C21" i="56"/>
  <c r="B21" i="56"/>
  <c r="V21" i="56" s="1"/>
  <c r="S20" i="56"/>
  <c r="Q20" i="56"/>
  <c r="M20" i="56"/>
  <c r="K20" i="56"/>
  <c r="H20" i="56"/>
  <c r="G20" i="56"/>
  <c r="F20" i="56"/>
  <c r="E20" i="56"/>
  <c r="D20" i="56"/>
  <c r="C20" i="56"/>
  <c r="B20" i="56"/>
  <c r="V20" i="56" s="1"/>
  <c r="S19" i="56"/>
  <c r="R19" i="56"/>
  <c r="Q19" i="56"/>
  <c r="P19" i="56"/>
  <c r="N19" i="56"/>
  <c r="M19" i="56"/>
  <c r="L19" i="56"/>
  <c r="K19" i="56"/>
  <c r="I19" i="56"/>
  <c r="H19" i="56"/>
  <c r="G19" i="56"/>
  <c r="F19" i="56"/>
  <c r="E19" i="56"/>
  <c r="D19" i="56"/>
  <c r="C19" i="56"/>
  <c r="B19" i="56"/>
  <c r="V19" i="56" s="1"/>
  <c r="S18" i="56"/>
  <c r="Q18" i="56"/>
  <c r="P18" i="56"/>
  <c r="N18" i="56"/>
  <c r="M18" i="56"/>
  <c r="L18" i="56"/>
  <c r="K18" i="56"/>
  <c r="I18" i="56"/>
  <c r="H18" i="56"/>
  <c r="G18" i="56"/>
  <c r="F18" i="56"/>
  <c r="E18" i="56"/>
  <c r="D18" i="56"/>
  <c r="C18" i="56"/>
  <c r="B18" i="56"/>
  <c r="V18" i="56" s="1"/>
  <c r="S17" i="56"/>
  <c r="S22" i="56" s="1"/>
  <c r="R17" i="56"/>
  <c r="R22" i="56" s="1"/>
  <c r="Q17" i="56"/>
  <c r="Q22" i="56" s="1"/>
  <c r="P17" i="56"/>
  <c r="P22" i="56" s="1"/>
  <c r="N17" i="56"/>
  <c r="N22" i="56" s="1"/>
  <c r="M17" i="56"/>
  <c r="M22" i="56" s="1"/>
  <c r="L17" i="56"/>
  <c r="L22" i="56" s="1"/>
  <c r="K17" i="56"/>
  <c r="K22" i="56" s="1"/>
  <c r="I17" i="56"/>
  <c r="I22" i="56" s="1"/>
  <c r="H17" i="56"/>
  <c r="H22" i="56" s="1"/>
  <c r="G17" i="56"/>
  <c r="G22" i="56" s="1"/>
  <c r="F17" i="56"/>
  <c r="F22" i="56" s="1"/>
  <c r="E17" i="56"/>
  <c r="E22" i="56" s="1"/>
  <c r="D17" i="56"/>
  <c r="D22" i="56" s="1"/>
  <c r="C17" i="56"/>
  <c r="C22" i="56" s="1"/>
  <c r="B17" i="56"/>
  <c r="V17" i="56" s="1"/>
  <c r="V22" i="56" s="1"/>
  <c r="X22" i="56" s="1"/>
  <c r="W11" i="56"/>
  <c r="U11" i="56"/>
  <c r="O11" i="56"/>
  <c r="J11" i="56"/>
  <c r="T10" i="56"/>
  <c r="S10" i="56"/>
  <c r="R10" i="56"/>
  <c r="Q10" i="56"/>
  <c r="P10" i="56"/>
  <c r="N10" i="56"/>
  <c r="M10" i="56"/>
  <c r="L10" i="56"/>
  <c r="K10" i="56"/>
  <c r="I10" i="56"/>
  <c r="H10" i="56"/>
  <c r="G10" i="56"/>
  <c r="F10" i="56"/>
  <c r="E10" i="56"/>
  <c r="D10" i="56"/>
  <c r="C10" i="56"/>
  <c r="B10" i="56"/>
  <c r="V10" i="56" s="1"/>
  <c r="S9" i="56"/>
  <c r="R9" i="56"/>
  <c r="Q9" i="56"/>
  <c r="M9" i="56"/>
  <c r="K9" i="56"/>
  <c r="H9" i="56"/>
  <c r="G9" i="56"/>
  <c r="F9" i="56"/>
  <c r="E9" i="56"/>
  <c r="D9" i="56"/>
  <c r="C9" i="56"/>
  <c r="B9" i="56"/>
  <c r="V9" i="56" s="1"/>
  <c r="T8" i="56"/>
  <c r="S8" i="56"/>
  <c r="R8" i="56"/>
  <c r="Q8" i="56"/>
  <c r="P8" i="56"/>
  <c r="N8" i="56"/>
  <c r="M8" i="56"/>
  <c r="L8" i="56"/>
  <c r="K8" i="56"/>
  <c r="I8" i="56"/>
  <c r="H8" i="56"/>
  <c r="G8" i="56"/>
  <c r="F8" i="56"/>
  <c r="E8" i="56"/>
  <c r="D8" i="56"/>
  <c r="C8" i="56"/>
  <c r="B8" i="56"/>
  <c r="V8" i="56" s="1"/>
  <c r="T7" i="56"/>
  <c r="S7" i="56"/>
  <c r="Q7" i="56"/>
  <c r="P7" i="56"/>
  <c r="N7" i="56"/>
  <c r="M7" i="56"/>
  <c r="L7" i="56"/>
  <c r="K7" i="56"/>
  <c r="I7" i="56"/>
  <c r="H7" i="56"/>
  <c r="G7" i="56"/>
  <c r="F7" i="56"/>
  <c r="E7" i="56"/>
  <c r="D7" i="56"/>
  <c r="C7" i="56"/>
  <c r="B7" i="56"/>
  <c r="V7" i="56" s="1"/>
  <c r="T6" i="56"/>
  <c r="T11" i="56" s="1"/>
  <c r="S6" i="56"/>
  <c r="S11" i="56" s="1"/>
  <c r="R6" i="56"/>
  <c r="R11" i="56" s="1"/>
  <c r="Q6" i="56"/>
  <c r="Q11" i="56" s="1"/>
  <c r="P6" i="56"/>
  <c r="P11" i="56" s="1"/>
  <c r="N6" i="56"/>
  <c r="N11" i="56" s="1"/>
  <c r="M6" i="56"/>
  <c r="M11" i="56" s="1"/>
  <c r="L6" i="56"/>
  <c r="L11" i="56" s="1"/>
  <c r="K6" i="56"/>
  <c r="K11" i="56" s="1"/>
  <c r="I6" i="56"/>
  <c r="I11" i="56" s="1"/>
  <c r="H6" i="56"/>
  <c r="H11" i="56" s="1"/>
  <c r="G6" i="56"/>
  <c r="G11" i="56" s="1"/>
  <c r="F6" i="56"/>
  <c r="F11" i="56" s="1"/>
  <c r="E6" i="56"/>
  <c r="E11" i="56" s="1"/>
  <c r="D6" i="56"/>
  <c r="D11" i="56" s="1"/>
  <c r="C6" i="56"/>
  <c r="C11" i="56" s="1"/>
  <c r="B6" i="56"/>
  <c r="V6" i="56" s="1"/>
  <c r="W55" i="55"/>
  <c r="U55" i="55"/>
  <c r="T55" i="55"/>
  <c r="S55" i="55"/>
  <c r="R55" i="55"/>
  <c r="Q55" i="55"/>
  <c r="P55" i="55"/>
  <c r="O55" i="55"/>
  <c r="N55" i="55"/>
  <c r="M55" i="55"/>
  <c r="L55" i="55"/>
  <c r="K55" i="55"/>
  <c r="J55" i="55"/>
  <c r="I55" i="55"/>
  <c r="H55" i="55"/>
  <c r="G55" i="55"/>
  <c r="F55" i="55"/>
  <c r="E55" i="55"/>
  <c r="D55" i="55"/>
  <c r="C55" i="55"/>
  <c r="B55" i="55"/>
  <c r="V54" i="55"/>
  <c r="V53" i="55"/>
  <c r="V52" i="55"/>
  <c r="V51" i="55"/>
  <c r="V50" i="55"/>
  <c r="V55" i="55" s="1"/>
  <c r="X55" i="55" s="1"/>
  <c r="W44" i="55"/>
  <c r="U44" i="55"/>
  <c r="T44" i="55"/>
  <c r="S44" i="55"/>
  <c r="R44" i="55"/>
  <c r="Q44" i="55"/>
  <c r="P44" i="55"/>
  <c r="O44" i="55"/>
  <c r="N44" i="55"/>
  <c r="M44" i="55"/>
  <c r="L44" i="55"/>
  <c r="K44" i="55"/>
  <c r="J44" i="55"/>
  <c r="I44" i="55"/>
  <c r="H44" i="55"/>
  <c r="G44" i="55"/>
  <c r="F44" i="55"/>
  <c r="E44" i="55"/>
  <c r="D44" i="55"/>
  <c r="C44" i="55"/>
  <c r="B44" i="55"/>
  <c r="V43" i="55"/>
  <c r="V42" i="55"/>
  <c r="V41" i="55"/>
  <c r="V40" i="55"/>
  <c r="V39" i="55"/>
  <c r="V44" i="55" s="1"/>
  <c r="X44" i="55" s="1"/>
  <c r="W33" i="55"/>
  <c r="U33" i="55"/>
  <c r="T33" i="55"/>
  <c r="S33" i="55"/>
  <c r="R33" i="55"/>
  <c r="Q33" i="55"/>
  <c r="P33" i="55"/>
  <c r="O33" i="55"/>
  <c r="N33" i="55"/>
  <c r="M33" i="55"/>
  <c r="L33" i="55"/>
  <c r="K33" i="55"/>
  <c r="J33" i="55"/>
  <c r="I33" i="55"/>
  <c r="H33" i="55"/>
  <c r="G33" i="55"/>
  <c r="F33" i="55"/>
  <c r="E33" i="55"/>
  <c r="D33" i="55"/>
  <c r="C33" i="55"/>
  <c r="B33" i="55"/>
  <c r="V32" i="55"/>
  <c r="V31" i="55"/>
  <c r="V30" i="55"/>
  <c r="V29" i="55"/>
  <c r="V28" i="55"/>
  <c r="V33" i="55" s="1"/>
  <c r="X33" i="55" s="1"/>
  <c r="W22" i="55"/>
  <c r="U22" i="55"/>
  <c r="O22" i="55"/>
  <c r="J22" i="55"/>
  <c r="T21" i="55"/>
  <c r="S21" i="55"/>
  <c r="R21" i="55"/>
  <c r="Q21" i="55"/>
  <c r="P21" i="55"/>
  <c r="N21" i="55"/>
  <c r="M21" i="55"/>
  <c r="L21" i="55"/>
  <c r="K21" i="55"/>
  <c r="I21" i="55"/>
  <c r="H21" i="55"/>
  <c r="G21" i="55"/>
  <c r="F21" i="55"/>
  <c r="E21" i="55"/>
  <c r="D21" i="55"/>
  <c r="C21" i="55"/>
  <c r="B21" i="55"/>
  <c r="V21" i="55" s="1"/>
  <c r="T20" i="55"/>
  <c r="S20" i="55"/>
  <c r="R20" i="55"/>
  <c r="Q20" i="55"/>
  <c r="M20" i="55"/>
  <c r="K20" i="55"/>
  <c r="H20" i="55"/>
  <c r="G20" i="55"/>
  <c r="F20" i="55"/>
  <c r="E20" i="55"/>
  <c r="D20" i="55"/>
  <c r="C20" i="55"/>
  <c r="B20" i="55"/>
  <c r="V20" i="55" s="1"/>
  <c r="T19" i="55"/>
  <c r="S19" i="55"/>
  <c r="R19" i="55"/>
  <c r="Q19" i="55"/>
  <c r="P19" i="55"/>
  <c r="N19" i="55"/>
  <c r="M19" i="55"/>
  <c r="L19" i="55"/>
  <c r="K19" i="55"/>
  <c r="I19" i="55"/>
  <c r="H19" i="55"/>
  <c r="G19" i="55"/>
  <c r="F19" i="55"/>
  <c r="E19" i="55"/>
  <c r="D19" i="55"/>
  <c r="C19" i="55"/>
  <c r="B19" i="55"/>
  <c r="V19" i="55" s="1"/>
  <c r="T18" i="55"/>
  <c r="S18" i="55"/>
  <c r="R18" i="55"/>
  <c r="Q18" i="55"/>
  <c r="P18" i="55"/>
  <c r="N18" i="55"/>
  <c r="M18" i="55"/>
  <c r="L18" i="55"/>
  <c r="K18" i="55"/>
  <c r="I18" i="55"/>
  <c r="H18" i="55"/>
  <c r="G18" i="55"/>
  <c r="F18" i="55"/>
  <c r="E18" i="55"/>
  <c r="D18" i="55"/>
  <c r="C18" i="55"/>
  <c r="B18" i="55"/>
  <c r="V18" i="55" s="1"/>
  <c r="T17" i="55"/>
  <c r="T22" i="55" s="1"/>
  <c r="S17" i="55"/>
  <c r="S22" i="55" s="1"/>
  <c r="R17" i="55"/>
  <c r="R22" i="55" s="1"/>
  <c r="Q17" i="55"/>
  <c r="Q22" i="55" s="1"/>
  <c r="P17" i="55"/>
  <c r="P22" i="55" s="1"/>
  <c r="N17" i="55"/>
  <c r="N22" i="55" s="1"/>
  <c r="M17" i="55"/>
  <c r="M22" i="55" s="1"/>
  <c r="L17" i="55"/>
  <c r="L22" i="55" s="1"/>
  <c r="K17" i="55"/>
  <c r="K22" i="55" s="1"/>
  <c r="I17" i="55"/>
  <c r="I22" i="55" s="1"/>
  <c r="H17" i="55"/>
  <c r="H22" i="55" s="1"/>
  <c r="G17" i="55"/>
  <c r="G22" i="55" s="1"/>
  <c r="F17" i="55"/>
  <c r="F22" i="55" s="1"/>
  <c r="E17" i="55"/>
  <c r="E22" i="55" s="1"/>
  <c r="D17" i="55"/>
  <c r="D22" i="55" s="1"/>
  <c r="C17" i="55"/>
  <c r="C22" i="55" s="1"/>
  <c r="B17" i="55"/>
  <c r="V17" i="55" s="1"/>
  <c r="W11" i="55"/>
  <c r="U11" i="55"/>
  <c r="O11" i="55"/>
  <c r="J11" i="55"/>
  <c r="T10" i="55"/>
  <c r="S10" i="55"/>
  <c r="R10" i="55"/>
  <c r="Q10" i="55"/>
  <c r="P10" i="55"/>
  <c r="N10" i="55"/>
  <c r="M10" i="55"/>
  <c r="L10" i="55"/>
  <c r="K10" i="55"/>
  <c r="I10" i="55"/>
  <c r="H10" i="55"/>
  <c r="G10" i="55"/>
  <c r="F10" i="55"/>
  <c r="E10" i="55"/>
  <c r="D10" i="55"/>
  <c r="C10" i="55"/>
  <c r="B10" i="55"/>
  <c r="V10" i="55" s="1"/>
  <c r="S9" i="55"/>
  <c r="R9" i="55"/>
  <c r="Q9" i="55"/>
  <c r="M9" i="55"/>
  <c r="K9" i="55"/>
  <c r="H9" i="55"/>
  <c r="G9" i="55"/>
  <c r="F9" i="55"/>
  <c r="E9" i="55"/>
  <c r="D9" i="55"/>
  <c r="C9" i="55"/>
  <c r="B9" i="55"/>
  <c r="V9" i="55" s="1"/>
  <c r="T8" i="55"/>
  <c r="S8" i="55"/>
  <c r="R8" i="55"/>
  <c r="Q8" i="55"/>
  <c r="P8" i="55"/>
  <c r="N8" i="55"/>
  <c r="M8" i="55"/>
  <c r="L8" i="55"/>
  <c r="K8" i="55"/>
  <c r="I8" i="55"/>
  <c r="H8" i="55"/>
  <c r="G8" i="55"/>
  <c r="F8" i="55"/>
  <c r="E8" i="55"/>
  <c r="D8" i="55"/>
  <c r="C8" i="55"/>
  <c r="B8" i="55"/>
  <c r="V8" i="55" s="1"/>
  <c r="T7" i="55"/>
  <c r="S7" i="55"/>
  <c r="Q7" i="55"/>
  <c r="P7" i="55"/>
  <c r="N7" i="55"/>
  <c r="M7" i="55"/>
  <c r="L7" i="55"/>
  <c r="K7" i="55"/>
  <c r="I7" i="55"/>
  <c r="H7" i="55"/>
  <c r="G7" i="55"/>
  <c r="B7" i="55"/>
  <c r="T6" i="55"/>
  <c r="T11" i="55" s="1"/>
  <c r="S6" i="55"/>
  <c r="S11" i="55" s="1"/>
  <c r="R6" i="55"/>
  <c r="R11" i="55" s="1"/>
  <c r="Q6" i="55"/>
  <c r="Q11" i="55" s="1"/>
  <c r="P6" i="55"/>
  <c r="P11" i="55" s="1"/>
  <c r="N6" i="55"/>
  <c r="N11" i="55" s="1"/>
  <c r="M6" i="55"/>
  <c r="M11" i="55" s="1"/>
  <c r="L6" i="55"/>
  <c r="L11" i="55" s="1"/>
  <c r="K6" i="55"/>
  <c r="K11" i="55" s="1"/>
  <c r="I6" i="55"/>
  <c r="I11" i="55" s="1"/>
  <c r="H6" i="55"/>
  <c r="H11" i="55" s="1"/>
  <c r="G6" i="55"/>
  <c r="G11" i="55" s="1"/>
  <c r="F6" i="55"/>
  <c r="F11" i="55" s="1"/>
  <c r="E6" i="55"/>
  <c r="E11" i="55" s="1"/>
  <c r="D6" i="55"/>
  <c r="D11" i="55" s="1"/>
  <c r="C6" i="55"/>
  <c r="C11" i="55" s="1"/>
  <c r="B6" i="55"/>
  <c r="V6" i="55" s="1"/>
  <c r="H26" i="54"/>
  <c r="G26" i="54"/>
  <c r="F26" i="54"/>
  <c r="E26" i="54"/>
  <c r="D26" i="54"/>
  <c r="H25" i="54"/>
  <c r="G25" i="54"/>
  <c r="F25" i="54"/>
  <c r="E25" i="54"/>
  <c r="D25" i="54"/>
  <c r="H24" i="54"/>
  <c r="G24" i="54"/>
  <c r="F24" i="54"/>
  <c r="E24" i="54"/>
  <c r="D24" i="54"/>
  <c r="H23" i="54"/>
  <c r="G23" i="54"/>
  <c r="F23" i="54"/>
  <c r="E23" i="54"/>
  <c r="D23" i="54"/>
  <c r="H19" i="54"/>
  <c r="G19" i="54"/>
  <c r="F19" i="54"/>
  <c r="E19" i="54"/>
  <c r="D19" i="54"/>
  <c r="C18" i="54"/>
  <c r="C17" i="54"/>
  <c r="C16" i="54"/>
  <c r="C15" i="54"/>
  <c r="H11" i="54"/>
  <c r="H31" i="54" s="1"/>
  <c r="G11" i="54"/>
  <c r="G31" i="54" s="1"/>
  <c r="F11" i="54"/>
  <c r="E11" i="54"/>
  <c r="E31" i="54" s="1"/>
  <c r="D11" i="54"/>
  <c r="D31" i="54" s="1"/>
  <c r="C10" i="54"/>
  <c r="C9" i="54"/>
  <c r="C8" i="54"/>
  <c r="C7" i="54"/>
  <c r="C11" i="54" s="1"/>
  <c r="W55" i="53"/>
  <c r="U55" i="53"/>
  <c r="T55" i="53"/>
  <c r="S55" i="53"/>
  <c r="R55" i="53"/>
  <c r="Q55" i="53"/>
  <c r="P55" i="53"/>
  <c r="O55" i="53"/>
  <c r="N55" i="53"/>
  <c r="M55" i="53"/>
  <c r="L55" i="53"/>
  <c r="K55" i="53"/>
  <c r="J55" i="53"/>
  <c r="I55" i="53"/>
  <c r="H55" i="53"/>
  <c r="G55" i="53"/>
  <c r="F55" i="53"/>
  <c r="E55" i="53"/>
  <c r="D55" i="53"/>
  <c r="C55" i="53"/>
  <c r="B55" i="53"/>
  <c r="V54" i="53"/>
  <c r="V53" i="53"/>
  <c r="V52" i="53"/>
  <c r="V51" i="53"/>
  <c r="V50" i="53"/>
  <c r="V55" i="53" s="1"/>
  <c r="X55" i="53" s="1"/>
  <c r="W44" i="53"/>
  <c r="U44" i="53"/>
  <c r="T44" i="53"/>
  <c r="S44" i="53"/>
  <c r="R44" i="53"/>
  <c r="Q44" i="53"/>
  <c r="P44" i="53"/>
  <c r="O44" i="53"/>
  <c r="N44" i="53"/>
  <c r="M44" i="53"/>
  <c r="L44" i="53"/>
  <c r="K44" i="53"/>
  <c r="J44" i="53"/>
  <c r="I44" i="53"/>
  <c r="H44" i="53"/>
  <c r="G44" i="53"/>
  <c r="F44" i="53"/>
  <c r="E44" i="53"/>
  <c r="D44" i="53"/>
  <c r="C44" i="53"/>
  <c r="B44" i="53"/>
  <c r="V43" i="53"/>
  <c r="V42" i="53"/>
  <c r="V41" i="53"/>
  <c r="V40" i="53"/>
  <c r="V39" i="53"/>
  <c r="V44" i="53" s="1"/>
  <c r="X44" i="53" s="1"/>
  <c r="W33" i="53"/>
  <c r="U33" i="53"/>
  <c r="T33" i="53"/>
  <c r="S33" i="53"/>
  <c r="R33" i="53"/>
  <c r="Q33" i="53"/>
  <c r="P33" i="53"/>
  <c r="O33" i="53"/>
  <c r="N33" i="53"/>
  <c r="M33" i="53"/>
  <c r="L33" i="53"/>
  <c r="K33" i="53"/>
  <c r="J33" i="53"/>
  <c r="I33" i="53"/>
  <c r="H33" i="53"/>
  <c r="G33" i="53"/>
  <c r="F33" i="53"/>
  <c r="E33" i="53"/>
  <c r="D33" i="53"/>
  <c r="C33" i="53"/>
  <c r="B33" i="53"/>
  <c r="V32" i="53"/>
  <c r="V31" i="53"/>
  <c r="V30" i="53"/>
  <c r="V29" i="53"/>
  <c r="V28" i="53"/>
  <c r="V33" i="53" s="1"/>
  <c r="X33" i="53" s="1"/>
  <c r="W22" i="53"/>
  <c r="U22" i="53"/>
  <c r="O22" i="53"/>
  <c r="J22" i="53"/>
  <c r="T21" i="53"/>
  <c r="S21" i="53"/>
  <c r="R21" i="53"/>
  <c r="Q21" i="53"/>
  <c r="P21" i="53"/>
  <c r="N21" i="53"/>
  <c r="M21" i="53"/>
  <c r="L21" i="53"/>
  <c r="K21" i="53"/>
  <c r="I21" i="53"/>
  <c r="H21" i="53"/>
  <c r="G21" i="53"/>
  <c r="F21" i="53"/>
  <c r="E21" i="53"/>
  <c r="D21" i="53"/>
  <c r="C21" i="53"/>
  <c r="B21" i="53"/>
  <c r="V21" i="53" s="1"/>
  <c r="T20" i="53"/>
  <c r="S20" i="53"/>
  <c r="R20" i="53"/>
  <c r="Q20" i="53"/>
  <c r="M20" i="53"/>
  <c r="K20" i="53"/>
  <c r="H20" i="53"/>
  <c r="G20" i="53"/>
  <c r="F20" i="53"/>
  <c r="E20" i="53"/>
  <c r="D20" i="53"/>
  <c r="C20" i="53"/>
  <c r="B20" i="53"/>
  <c r="V20" i="53" s="1"/>
  <c r="T19" i="53"/>
  <c r="S19" i="53"/>
  <c r="R19" i="53"/>
  <c r="Q19" i="53"/>
  <c r="P19" i="53"/>
  <c r="N19" i="53"/>
  <c r="M19" i="53"/>
  <c r="L19" i="53"/>
  <c r="K19" i="53"/>
  <c r="I19" i="53"/>
  <c r="H19" i="53"/>
  <c r="G19" i="53"/>
  <c r="F19" i="53"/>
  <c r="E19" i="53"/>
  <c r="D19" i="53"/>
  <c r="C19" i="53"/>
  <c r="B19" i="53"/>
  <c r="V19" i="53" s="1"/>
  <c r="T18" i="53"/>
  <c r="S18" i="53"/>
  <c r="R18" i="53"/>
  <c r="Q18" i="53"/>
  <c r="P18" i="53"/>
  <c r="N18" i="53"/>
  <c r="M18" i="53"/>
  <c r="L18" i="53"/>
  <c r="K18" i="53"/>
  <c r="I18" i="53"/>
  <c r="H18" i="53"/>
  <c r="G18" i="53"/>
  <c r="F18" i="53"/>
  <c r="E18" i="53"/>
  <c r="D18" i="53"/>
  <c r="C18" i="53"/>
  <c r="B18" i="53"/>
  <c r="V18" i="53" s="1"/>
  <c r="T17" i="53"/>
  <c r="T22" i="53" s="1"/>
  <c r="S17" i="53"/>
  <c r="S22" i="53" s="1"/>
  <c r="R17" i="53"/>
  <c r="R22" i="53" s="1"/>
  <c r="Q17" i="53"/>
  <c r="Q22" i="53" s="1"/>
  <c r="P17" i="53"/>
  <c r="P22" i="53" s="1"/>
  <c r="N17" i="53"/>
  <c r="N22" i="53" s="1"/>
  <c r="M17" i="53"/>
  <c r="M22" i="53" s="1"/>
  <c r="L17" i="53"/>
  <c r="L22" i="53" s="1"/>
  <c r="K17" i="53"/>
  <c r="K22" i="53" s="1"/>
  <c r="I17" i="53"/>
  <c r="I22" i="53" s="1"/>
  <c r="H17" i="53"/>
  <c r="H22" i="53" s="1"/>
  <c r="G17" i="53"/>
  <c r="G22" i="53" s="1"/>
  <c r="F17" i="53"/>
  <c r="F22" i="53" s="1"/>
  <c r="E17" i="53"/>
  <c r="E22" i="53" s="1"/>
  <c r="D17" i="53"/>
  <c r="D22" i="53" s="1"/>
  <c r="C17" i="53"/>
  <c r="C22" i="53" s="1"/>
  <c r="B17" i="53"/>
  <c r="B22" i="53" s="1"/>
  <c r="W11" i="53"/>
  <c r="U11" i="53"/>
  <c r="O11" i="53"/>
  <c r="J11" i="53"/>
  <c r="T10" i="53"/>
  <c r="S10" i="53"/>
  <c r="R10" i="53"/>
  <c r="Q10" i="53"/>
  <c r="P10" i="53"/>
  <c r="N10" i="53"/>
  <c r="M10" i="53"/>
  <c r="L10" i="53"/>
  <c r="K10" i="53"/>
  <c r="I10" i="53"/>
  <c r="H10" i="53"/>
  <c r="G10" i="53"/>
  <c r="F10" i="53"/>
  <c r="E10" i="53"/>
  <c r="D10" i="53"/>
  <c r="C10" i="53"/>
  <c r="B10" i="53"/>
  <c r="V10" i="53" s="1"/>
  <c r="S9" i="53"/>
  <c r="R9" i="53"/>
  <c r="Q9" i="53"/>
  <c r="M9" i="53"/>
  <c r="K9" i="53"/>
  <c r="H9" i="53"/>
  <c r="G9" i="53"/>
  <c r="F9" i="53"/>
  <c r="E9" i="53"/>
  <c r="D9" i="53"/>
  <c r="C9" i="53"/>
  <c r="B9" i="53"/>
  <c r="V9" i="53" s="1"/>
  <c r="T8" i="53"/>
  <c r="S8" i="53"/>
  <c r="R8" i="53"/>
  <c r="Q8" i="53"/>
  <c r="P8" i="53"/>
  <c r="N8" i="53"/>
  <c r="M8" i="53"/>
  <c r="L8" i="53"/>
  <c r="K8" i="53"/>
  <c r="I8" i="53"/>
  <c r="H8" i="53"/>
  <c r="G8" i="53"/>
  <c r="F8" i="53"/>
  <c r="E8" i="53"/>
  <c r="D8" i="53"/>
  <c r="C8" i="53"/>
  <c r="B8" i="53"/>
  <c r="V8" i="53" s="1"/>
  <c r="T7" i="53"/>
  <c r="S7" i="53"/>
  <c r="Q7" i="53"/>
  <c r="P7" i="53"/>
  <c r="N7" i="53"/>
  <c r="M7" i="53"/>
  <c r="L7" i="53"/>
  <c r="K7" i="53"/>
  <c r="I7" i="53"/>
  <c r="H7" i="53"/>
  <c r="G7" i="53"/>
  <c r="F7" i="53"/>
  <c r="E7" i="53"/>
  <c r="D7" i="53"/>
  <c r="C7" i="53"/>
  <c r="B7" i="53"/>
  <c r="V7" i="53" s="1"/>
  <c r="T6" i="53"/>
  <c r="T11" i="53" s="1"/>
  <c r="S6" i="53"/>
  <c r="S11" i="53" s="1"/>
  <c r="R6" i="53"/>
  <c r="R11" i="53" s="1"/>
  <c r="Q6" i="53"/>
  <c r="Q11" i="53" s="1"/>
  <c r="P6" i="53"/>
  <c r="P11" i="53" s="1"/>
  <c r="N6" i="53"/>
  <c r="N11" i="53" s="1"/>
  <c r="M6" i="53"/>
  <c r="M11" i="53" s="1"/>
  <c r="L6" i="53"/>
  <c r="L11" i="53" s="1"/>
  <c r="K6" i="53"/>
  <c r="K11" i="53" s="1"/>
  <c r="I6" i="53"/>
  <c r="I11" i="53" s="1"/>
  <c r="H6" i="53"/>
  <c r="H11" i="53" s="1"/>
  <c r="G6" i="53"/>
  <c r="G11" i="53" s="1"/>
  <c r="F6" i="53"/>
  <c r="F11" i="53" s="1"/>
  <c r="E6" i="53"/>
  <c r="E11" i="53" s="1"/>
  <c r="D6" i="53"/>
  <c r="D11" i="53" s="1"/>
  <c r="C6" i="53"/>
  <c r="C11" i="53" s="1"/>
  <c r="B6" i="53"/>
  <c r="V6" i="53" s="1"/>
  <c r="F54" i="52"/>
  <c r="E54" i="52"/>
  <c r="D54" i="52"/>
  <c r="H18" i="52"/>
  <c r="G18" i="52"/>
  <c r="F18" i="52"/>
  <c r="E18" i="52"/>
  <c r="D18" i="52"/>
  <c r="H17" i="52"/>
  <c r="G17" i="52"/>
  <c r="F17" i="52"/>
  <c r="E17" i="52"/>
  <c r="D17" i="52"/>
  <c r="H16" i="52"/>
  <c r="G16" i="52"/>
  <c r="F16" i="52"/>
  <c r="E16" i="52"/>
  <c r="D16" i="52"/>
  <c r="H15" i="52"/>
  <c r="H19" i="52" s="1"/>
  <c r="H29" i="52" s="1"/>
  <c r="G15" i="52"/>
  <c r="G19" i="52" s="1"/>
  <c r="G29" i="52" s="1"/>
  <c r="F15" i="52"/>
  <c r="F19" i="52" s="1"/>
  <c r="F29" i="52" s="1"/>
  <c r="E15" i="52"/>
  <c r="E19" i="52" s="1"/>
  <c r="E29" i="52" s="1"/>
  <c r="D15" i="52"/>
  <c r="D19" i="52" s="1"/>
  <c r="D29" i="52" s="1"/>
  <c r="H11" i="52"/>
  <c r="G11" i="52"/>
  <c r="F11" i="52"/>
  <c r="E11" i="52"/>
  <c r="D11" i="52"/>
  <c r="C11" i="52"/>
  <c r="W77" i="51"/>
  <c r="U77" i="51"/>
  <c r="T77" i="51"/>
  <c r="S77" i="51"/>
  <c r="R77" i="51"/>
  <c r="Q77" i="51"/>
  <c r="P77" i="51"/>
  <c r="O77" i="51"/>
  <c r="N77" i="51"/>
  <c r="M77" i="51"/>
  <c r="L77" i="51"/>
  <c r="K77" i="51"/>
  <c r="J77" i="51"/>
  <c r="I77" i="51"/>
  <c r="H77" i="51"/>
  <c r="G77" i="51"/>
  <c r="F77" i="51"/>
  <c r="E77" i="51"/>
  <c r="D77" i="51"/>
  <c r="C77" i="51"/>
  <c r="B77" i="51"/>
  <c r="V76" i="51"/>
  <c r="V75" i="51"/>
  <c r="V74" i="51"/>
  <c r="V73" i="51"/>
  <c r="V72" i="51"/>
  <c r="V77" i="51" s="1"/>
  <c r="X77" i="51" s="1"/>
  <c r="W66" i="51"/>
  <c r="U66" i="51"/>
  <c r="T66" i="51"/>
  <c r="S66" i="51"/>
  <c r="R66" i="51"/>
  <c r="Q66" i="51"/>
  <c r="P66" i="51"/>
  <c r="O66" i="51"/>
  <c r="N66" i="51"/>
  <c r="M66" i="51"/>
  <c r="L66" i="51"/>
  <c r="K66" i="51"/>
  <c r="J66" i="51"/>
  <c r="I66" i="51"/>
  <c r="H66" i="51"/>
  <c r="G66" i="51"/>
  <c r="F66" i="51"/>
  <c r="E66" i="51"/>
  <c r="D66" i="51"/>
  <c r="C66" i="51"/>
  <c r="B66" i="51"/>
  <c r="V65" i="51"/>
  <c r="V64" i="51"/>
  <c r="V63" i="51"/>
  <c r="V62" i="51"/>
  <c r="V61" i="51"/>
  <c r="V66" i="51" s="1"/>
  <c r="X66" i="51" s="1"/>
  <c r="W55" i="51"/>
  <c r="U55" i="51"/>
  <c r="T55" i="51"/>
  <c r="S55" i="51"/>
  <c r="R55" i="51"/>
  <c r="Q55" i="51"/>
  <c r="P55" i="51"/>
  <c r="O55" i="51"/>
  <c r="N55" i="51"/>
  <c r="M55" i="51"/>
  <c r="L55" i="51"/>
  <c r="K55" i="51"/>
  <c r="J55" i="51"/>
  <c r="I55" i="51"/>
  <c r="H55" i="51"/>
  <c r="G55" i="51"/>
  <c r="F55" i="51"/>
  <c r="E55" i="51"/>
  <c r="D55" i="51"/>
  <c r="C55" i="51"/>
  <c r="B55" i="51"/>
  <c r="V54" i="51"/>
  <c r="V53" i="51"/>
  <c r="V52" i="51"/>
  <c r="V51" i="51"/>
  <c r="V50" i="51"/>
  <c r="V55" i="51" s="1"/>
  <c r="X55" i="51" s="1"/>
  <c r="W44" i="51"/>
  <c r="U44" i="51"/>
  <c r="T44" i="51"/>
  <c r="S44" i="51"/>
  <c r="R44" i="51"/>
  <c r="Q44" i="51"/>
  <c r="P44" i="51"/>
  <c r="O44" i="51"/>
  <c r="N44" i="51"/>
  <c r="M44" i="51"/>
  <c r="L44" i="51"/>
  <c r="K44" i="51"/>
  <c r="J44" i="51"/>
  <c r="I44" i="51"/>
  <c r="H44" i="51"/>
  <c r="G44" i="51"/>
  <c r="F44" i="51"/>
  <c r="E44" i="51"/>
  <c r="D44" i="51"/>
  <c r="C44" i="51"/>
  <c r="B44" i="51"/>
  <c r="V43" i="51"/>
  <c r="V42" i="51"/>
  <c r="V41" i="51"/>
  <c r="V40" i="51"/>
  <c r="V39" i="51"/>
  <c r="V44" i="51" s="1"/>
  <c r="X44" i="51" s="1"/>
  <c r="W33" i="51"/>
  <c r="U33" i="51"/>
  <c r="T33" i="51"/>
  <c r="S33" i="51"/>
  <c r="R33" i="51"/>
  <c r="Q33" i="51"/>
  <c r="P33" i="51"/>
  <c r="O33" i="51"/>
  <c r="N33" i="51"/>
  <c r="M33" i="51"/>
  <c r="L33" i="51"/>
  <c r="K33" i="51"/>
  <c r="J33" i="51"/>
  <c r="I33" i="51"/>
  <c r="H33" i="51"/>
  <c r="G33" i="51"/>
  <c r="F33" i="51"/>
  <c r="E33" i="51"/>
  <c r="D33" i="51"/>
  <c r="C33" i="51"/>
  <c r="B33" i="51"/>
  <c r="V32" i="51"/>
  <c r="V31" i="51"/>
  <c r="V30" i="51"/>
  <c r="V29" i="51"/>
  <c r="V28" i="51"/>
  <c r="V33" i="51" s="1"/>
  <c r="X33" i="51" s="1"/>
  <c r="W22" i="51"/>
  <c r="U22" i="51"/>
  <c r="O22" i="51"/>
  <c r="J22" i="51"/>
  <c r="T21" i="51"/>
  <c r="S21" i="51"/>
  <c r="R21" i="51"/>
  <c r="Q21" i="51"/>
  <c r="P21" i="51"/>
  <c r="N21" i="51"/>
  <c r="M21" i="51"/>
  <c r="L21" i="51"/>
  <c r="K21" i="51"/>
  <c r="I21" i="51"/>
  <c r="H21" i="51"/>
  <c r="G21" i="51"/>
  <c r="F21" i="51"/>
  <c r="E21" i="51"/>
  <c r="D21" i="51"/>
  <c r="C21" i="51"/>
  <c r="B21" i="51"/>
  <c r="V21" i="51" s="1"/>
  <c r="T20" i="51"/>
  <c r="S20" i="51"/>
  <c r="R20" i="51"/>
  <c r="Q20" i="51"/>
  <c r="M20" i="51"/>
  <c r="K20" i="51"/>
  <c r="H20" i="51"/>
  <c r="G20" i="51"/>
  <c r="F20" i="51"/>
  <c r="E20" i="51"/>
  <c r="D20" i="51"/>
  <c r="C20" i="51"/>
  <c r="B20" i="51"/>
  <c r="V20" i="51" s="1"/>
  <c r="T19" i="51"/>
  <c r="S19" i="51"/>
  <c r="R19" i="51"/>
  <c r="Q19" i="51"/>
  <c r="P19" i="51"/>
  <c r="N19" i="51"/>
  <c r="M19" i="51"/>
  <c r="L19" i="51"/>
  <c r="K19" i="51"/>
  <c r="I19" i="51"/>
  <c r="H19" i="51"/>
  <c r="G19" i="51"/>
  <c r="F19" i="51"/>
  <c r="E19" i="51"/>
  <c r="D19" i="51"/>
  <c r="C19" i="51"/>
  <c r="B19" i="51"/>
  <c r="V19" i="51" s="1"/>
  <c r="T18" i="51"/>
  <c r="S18" i="51"/>
  <c r="R18" i="51"/>
  <c r="Q18" i="51"/>
  <c r="P18" i="51"/>
  <c r="N18" i="51"/>
  <c r="M18" i="51"/>
  <c r="L18" i="51"/>
  <c r="K18" i="51"/>
  <c r="I18" i="51"/>
  <c r="H18" i="51"/>
  <c r="G18" i="51"/>
  <c r="F18" i="51"/>
  <c r="E18" i="51"/>
  <c r="D18" i="51"/>
  <c r="C18" i="51"/>
  <c r="B18" i="51"/>
  <c r="V18" i="51" s="1"/>
  <c r="T17" i="51"/>
  <c r="T22" i="51" s="1"/>
  <c r="S17" i="51"/>
  <c r="S22" i="51" s="1"/>
  <c r="R17" i="51"/>
  <c r="R22" i="51" s="1"/>
  <c r="Q17" i="51"/>
  <c r="Q22" i="51" s="1"/>
  <c r="P17" i="51"/>
  <c r="P22" i="51" s="1"/>
  <c r="N17" i="51"/>
  <c r="N22" i="51" s="1"/>
  <c r="M17" i="51"/>
  <c r="M22" i="51" s="1"/>
  <c r="L17" i="51"/>
  <c r="L22" i="51" s="1"/>
  <c r="K17" i="51"/>
  <c r="K22" i="51" s="1"/>
  <c r="I17" i="51"/>
  <c r="I22" i="51" s="1"/>
  <c r="H17" i="51"/>
  <c r="H22" i="51" s="1"/>
  <c r="G17" i="51"/>
  <c r="G22" i="51" s="1"/>
  <c r="F17" i="51"/>
  <c r="F22" i="51" s="1"/>
  <c r="E17" i="51"/>
  <c r="E22" i="51" s="1"/>
  <c r="D17" i="51"/>
  <c r="D22" i="51" s="1"/>
  <c r="C17" i="51"/>
  <c r="C22" i="51" s="1"/>
  <c r="B17" i="51"/>
  <c r="B22" i="51" s="1"/>
  <c r="W11" i="51"/>
  <c r="U11" i="51"/>
  <c r="O11" i="51"/>
  <c r="J11" i="51"/>
  <c r="T10" i="51"/>
  <c r="S10" i="51"/>
  <c r="R10" i="51"/>
  <c r="Q10" i="51"/>
  <c r="P10" i="51"/>
  <c r="N10" i="51"/>
  <c r="M10" i="51"/>
  <c r="L10" i="51"/>
  <c r="K10" i="51"/>
  <c r="I10" i="51"/>
  <c r="H10" i="51"/>
  <c r="G10" i="51"/>
  <c r="F10" i="51"/>
  <c r="E10" i="51"/>
  <c r="D10" i="51"/>
  <c r="C10" i="51"/>
  <c r="B10" i="51"/>
  <c r="V10" i="51" s="1"/>
  <c r="S9" i="51"/>
  <c r="R9" i="51"/>
  <c r="Q9" i="51"/>
  <c r="M9" i="51"/>
  <c r="K9" i="51"/>
  <c r="H9" i="51"/>
  <c r="G9" i="51"/>
  <c r="F9" i="51"/>
  <c r="E9" i="51"/>
  <c r="D9" i="51"/>
  <c r="C9" i="51"/>
  <c r="B9" i="51"/>
  <c r="V9" i="51" s="1"/>
  <c r="T8" i="51"/>
  <c r="S8" i="51"/>
  <c r="R8" i="51"/>
  <c r="Q8" i="51"/>
  <c r="P8" i="51"/>
  <c r="N8" i="51"/>
  <c r="M8" i="51"/>
  <c r="L8" i="51"/>
  <c r="K8" i="51"/>
  <c r="I8" i="51"/>
  <c r="H8" i="51"/>
  <c r="G8" i="51"/>
  <c r="F8" i="51"/>
  <c r="E8" i="51"/>
  <c r="D8" i="51"/>
  <c r="C8" i="51"/>
  <c r="B8" i="51"/>
  <c r="V8" i="51" s="1"/>
  <c r="T7" i="51"/>
  <c r="S7" i="51"/>
  <c r="Q7" i="51"/>
  <c r="P7" i="51"/>
  <c r="N7" i="51"/>
  <c r="M7" i="51"/>
  <c r="L7" i="51"/>
  <c r="K7" i="51"/>
  <c r="I7" i="51"/>
  <c r="H7" i="51"/>
  <c r="G7" i="51"/>
  <c r="F7" i="51"/>
  <c r="E7" i="51"/>
  <c r="D7" i="51"/>
  <c r="C7" i="51"/>
  <c r="B7" i="51"/>
  <c r="V7" i="51" s="1"/>
  <c r="T6" i="51"/>
  <c r="T11" i="51" s="1"/>
  <c r="S6" i="51"/>
  <c r="S11" i="51" s="1"/>
  <c r="R6" i="51"/>
  <c r="R11" i="51" s="1"/>
  <c r="Q6" i="51"/>
  <c r="Q11" i="51" s="1"/>
  <c r="P6" i="51"/>
  <c r="P11" i="51" s="1"/>
  <c r="N6" i="51"/>
  <c r="N11" i="51" s="1"/>
  <c r="M6" i="51"/>
  <c r="M11" i="51" s="1"/>
  <c r="L6" i="51"/>
  <c r="L11" i="51" s="1"/>
  <c r="K6" i="51"/>
  <c r="K11" i="51" s="1"/>
  <c r="I6" i="51"/>
  <c r="I11" i="51" s="1"/>
  <c r="H6" i="51"/>
  <c r="H11" i="51" s="1"/>
  <c r="G6" i="51"/>
  <c r="G11" i="51" s="1"/>
  <c r="F6" i="51"/>
  <c r="F11" i="51" s="1"/>
  <c r="E6" i="51"/>
  <c r="E11" i="51" s="1"/>
  <c r="D6" i="51"/>
  <c r="D11" i="51" s="1"/>
  <c r="C6" i="51"/>
  <c r="C11" i="51" s="1"/>
  <c r="B6" i="51"/>
  <c r="V6" i="51" s="1"/>
  <c r="V11" i="51" s="1"/>
  <c r="X11" i="51" s="1"/>
  <c r="H593" i="50"/>
  <c r="H591" i="50"/>
  <c r="H589" i="50"/>
  <c r="H588" i="50"/>
  <c r="H587" i="50"/>
  <c r="H584" i="50"/>
  <c r="H583" i="50"/>
  <c r="H582" i="50"/>
  <c r="H580" i="50"/>
  <c r="H579" i="50"/>
  <c r="H578" i="50"/>
  <c r="H577" i="50"/>
  <c r="H576" i="50"/>
  <c r="H574" i="50"/>
  <c r="G573" i="50"/>
  <c r="G575" i="50" s="1"/>
  <c r="G581" i="50" s="1"/>
  <c r="G590" i="50" s="1"/>
  <c r="G592" i="50" s="1"/>
  <c r="G594" i="50" s="1"/>
  <c r="F573" i="50"/>
  <c r="F575" i="50" s="1"/>
  <c r="F581" i="50" s="1"/>
  <c r="F590" i="50" s="1"/>
  <c r="F592" i="50" s="1"/>
  <c r="F594" i="50" s="1"/>
  <c r="E573" i="50"/>
  <c r="E575" i="50" s="1"/>
  <c r="E581" i="50" s="1"/>
  <c r="E590" i="50" s="1"/>
  <c r="E592" i="50" s="1"/>
  <c r="E594" i="50" s="1"/>
  <c r="D573" i="50"/>
  <c r="D575" i="50" s="1"/>
  <c r="D581" i="50" s="1"/>
  <c r="D590" i="50" s="1"/>
  <c r="D592" i="50" s="1"/>
  <c r="D594" i="50" s="1"/>
  <c r="C573" i="50"/>
  <c r="H572" i="50"/>
  <c r="H571" i="50"/>
  <c r="H570" i="50"/>
  <c r="H569" i="50"/>
  <c r="H560" i="50"/>
  <c r="H558" i="50"/>
  <c r="H550" i="50"/>
  <c r="H549" i="50"/>
  <c r="H547" i="50"/>
  <c r="H546" i="50"/>
  <c r="H545" i="50"/>
  <c r="H544" i="50"/>
  <c r="H543" i="50"/>
  <c r="H541" i="50"/>
  <c r="G540" i="50"/>
  <c r="G542" i="50" s="1"/>
  <c r="G548" i="50" s="1"/>
  <c r="G557" i="50" s="1"/>
  <c r="G559" i="50" s="1"/>
  <c r="G561" i="50" s="1"/>
  <c r="F540" i="50"/>
  <c r="F542" i="50" s="1"/>
  <c r="F548" i="50" s="1"/>
  <c r="F557" i="50" s="1"/>
  <c r="F559" i="50" s="1"/>
  <c r="F561" i="50" s="1"/>
  <c r="E540" i="50"/>
  <c r="E542" i="50" s="1"/>
  <c r="E548" i="50" s="1"/>
  <c r="E557" i="50" s="1"/>
  <c r="E559" i="50" s="1"/>
  <c r="E561" i="50" s="1"/>
  <c r="D540" i="50"/>
  <c r="D542" i="50" s="1"/>
  <c r="D548" i="50" s="1"/>
  <c r="D557" i="50" s="1"/>
  <c r="D559" i="50" s="1"/>
  <c r="D561" i="50" s="1"/>
  <c r="C540" i="50"/>
  <c r="H539" i="50"/>
  <c r="H538" i="50"/>
  <c r="H537" i="50"/>
  <c r="H536" i="50"/>
  <c r="H527" i="50"/>
  <c r="H525" i="50"/>
  <c r="H523" i="50"/>
  <c r="H522" i="50"/>
  <c r="H521" i="50"/>
  <c r="H520" i="50"/>
  <c r="H519" i="50"/>
  <c r="H518" i="50"/>
  <c r="H517" i="50"/>
  <c r="H516" i="50"/>
  <c r="H514" i="50"/>
  <c r="H513" i="50"/>
  <c r="H512" i="50"/>
  <c r="H511" i="50"/>
  <c r="H510" i="50"/>
  <c r="H508" i="50"/>
  <c r="G507" i="50"/>
  <c r="G509" i="50" s="1"/>
  <c r="G515" i="50" s="1"/>
  <c r="G524" i="50" s="1"/>
  <c r="G526" i="50" s="1"/>
  <c r="G528" i="50" s="1"/>
  <c r="F507" i="50"/>
  <c r="F509" i="50" s="1"/>
  <c r="F515" i="50" s="1"/>
  <c r="F524" i="50" s="1"/>
  <c r="F526" i="50" s="1"/>
  <c r="F528" i="50" s="1"/>
  <c r="E507" i="50"/>
  <c r="E509" i="50" s="1"/>
  <c r="E515" i="50" s="1"/>
  <c r="E524" i="50" s="1"/>
  <c r="E526" i="50" s="1"/>
  <c r="E528" i="50" s="1"/>
  <c r="D507" i="50"/>
  <c r="D509" i="50" s="1"/>
  <c r="D515" i="50" s="1"/>
  <c r="D524" i="50" s="1"/>
  <c r="D526" i="50" s="1"/>
  <c r="D528" i="50" s="1"/>
  <c r="C507" i="50"/>
  <c r="H506" i="50"/>
  <c r="H505" i="50"/>
  <c r="H504" i="50"/>
  <c r="H503" i="50"/>
  <c r="H494" i="50"/>
  <c r="H492" i="50"/>
  <c r="H490" i="50"/>
  <c r="H489" i="50"/>
  <c r="H488" i="50"/>
  <c r="H487" i="50"/>
  <c r="H486" i="50"/>
  <c r="H485" i="50"/>
  <c r="H484" i="50"/>
  <c r="H483" i="50"/>
  <c r="H481" i="50"/>
  <c r="H480" i="50"/>
  <c r="H479" i="50"/>
  <c r="H478" i="50"/>
  <c r="H477" i="50"/>
  <c r="H475" i="50"/>
  <c r="G474" i="50"/>
  <c r="G476" i="50" s="1"/>
  <c r="G482" i="50" s="1"/>
  <c r="G491" i="50" s="1"/>
  <c r="G493" i="50" s="1"/>
  <c r="G495" i="50" s="1"/>
  <c r="F474" i="50"/>
  <c r="F476" i="50" s="1"/>
  <c r="F482" i="50" s="1"/>
  <c r="F491" i="50" s="1"/>
  <c r="F493" i="50" s="1"/>
  <c r="F495" i="50" s="1"/>
  <c r="E474" i="50"/>
  <c r="E476" i="50" s="1"/>
  <c r="E482" i="50" s="1"/>
  <c r="E491" i="50" s="1"/>
  <c r="E493" i="50" s="1"/>
  <c r="E495" i="50" s="1"/>
  <c r="D474" i="50"/>
  <c r="D476" i="50" s="1"/>
  <c r="D482" i="50" s="1"/>
  <c r="D491" i="50" s="1"/>
  <c r="D493" i="50" s="1"/>
  <c r="D495" i="50" s="1"/>
  <c r="C474" i="50"/>
  <c r="H473" i="50"/>
  <c r="H472" i="50"/>
  <c r="H471" i="50"/>
  <c r="H470" i="50"/>
  <c r="H461" i="50"/>
  <c r="H459" i="50"/>
  <c r="H457" i="50"/>
  <c r="H456" i="50"/>
  <c r="H455" i="50"/>
  <c r="H454" i="50"/>
  <c r="H453" i="50"/>
  <c r="H452" i="50"/>
  <c r="H451" i="50"/>
  <c r="H450" i="50"/>
  <c r="H448" i="50"/>
  <c r="H447" i="50"/>
  <c r="H446" i="50"/>
  <c r="H445" i="50"/>
  <c r="H444" i="50"/>
  <c r="H442" i="50"/>
  <c r="F441" i="50"/>
  <c r="F443" i="50" s="1"/>
  <c r="F449" i="50" s="1"/>
  <c r="F458" i="50" s="1"/>
  <c r="F460" i="50" s="1"/>
  <c r="F462" i="50" s="1"/>
  <c r="E441" i="50"/>
  <c r="E443" i="50" s="1"/>
  <c r="E449" i="50" s="1"/>
  <c r="E458" i="50" s="1"/>
  <c r="E460" i="50" s="1"/>
  <c r="E462" i="50" s="1"/>
  <c r="G440" i="50"/>
  <c r="G441" i="50" s="1"/>
  <c r="G443" i="50" s="1"/>
  <c r="G449" i="50" s="1"/>
  <c r="G458" i="50" s="1"/>
  <c r="G460" i="50" s="1"/>
  <c r="G462" i="50" s="1"/>
  <c r="D440" i="50"/>
  <c r="D441" i="50" s="1"/>
  <c r="D443" i="50" s="1"/>
  <c r="D449" i="50" s="1"/>
  <c r="D458" i="50" s="1"/>
  <c r="D460" i="50" s="1"/>
  <c r="D462" i="50" s="1"/>
  <c r="C440" i="50"/>
  <c r="H439" i="50"/>
  <c r="H438" i="50"/>
  <c r="H437" i="50"/>
  <c r="H428" i="50"/>
  <c r="H426" i="50"/>
  <c r="H424" i="50"/>
  <c r="H423" i="50"/>
  <c r="H422" i="50"/>
  <c r="H421" i="50"/>
  <c r="H420" i="50"/>
  <c r="H419" i="50"/>
  <c r="H418" i="50"/>
  <c r="H417" i="50"/>
  <c r="G415" i="50"/>
  <c r="E415" i="50"/>
  <c r="H415" i="50" s="1"/>
  <c r="G414" i="50"/>
  <c r="H414" i="50" s="1"/>
  <c r="H413" i="50"/>
  <c r="H412" i="50"/>
  <c r="H411" i="50"/>
  <c r="H409" i="50"/>
  <c r="G408" i="50"/>
  <c r="G410" i="50" s="1"/>
  <c r="G416" i="50" s="1"/>
  <c r="G425" i="50" s="1"/>
  <c r="G427" i="50" s="1"/>
  <c r="G429" i="50" s="1"/>
  <c r="F408" i="50"/>
  <c r="F410" i="50" s="1"/>
  <c r="F416" i="50" s="1"/>
  <c r="F425" i="50" s="1"/>
  <c r="F427" i="50" s="1"/>
  <c r="F429" i="50" s="1"/>
  <c r="E408" i="50"/>
  <c r="E410" i="50" s="1"/>
  <c r="E416" i="50" s="1"/>
  <c r="E425" i="50" s="1"/>
  <c r="E427" i="50" s="1"/>
  <c r="E429" i="50" s="1"/>
  <c r="D408" i="50"/>
  <c r="D410" i="50" s="1"/>
  <c r="D416" i="50" s="1"/>
  <c r="D425" i="50" s="1"/>
  <c r="D427" i="50" s="1"/>
  <c r="D429" i="50" s="1"/>
  <c r="C408" i="50"/>
  <c r="H407" i="50"/>
  <c r="H406" i="50"/>
  <c r="H405" i="50"/>
  <c r="H404" i="50"/>
  <c r="H395" i="50"/>
  <c r="H393" i="50"/>
  <c r="H391" i="50"/>
  <c r="H390" i="50"/>
  <c r="H389" i="50"/>
  <c r="H388" i="50"/>
  <c r="H387" i="50"/>
  <c r="H386" i="50"/>
  <c r="H385" i="50"/>
  <c r="H384" i="50"/>
  <c r="H382" i="50"/>
  <c r="H381" i="50"/>
  <c r="H380" i="50"/>
  <c r="H379" i="50"/>
  <c r="H378" i="50"/>
  <c r="H376" i="50"/>
  <c r="G375" i="50"/>
  <c r="G377" i="50" s="1"/>
  <c r="G383" i="50" s="1"/>
  <c r="G392" i="50" s="1"/>
  <c r="G394" i="50" s="1"/>
  <c r="G396" i="50" s="1"/>
  <c r="F375" i="50"/>
  <c r="F377" i="50" s="1"/>
  <c r="F383" i="50" s="1"/>
  <c r="F392" i="50" s="1"/>
  <c r="F394" i="50" s="1"/>
  <c r="F396" i="50" s="1"/>
  <c r="E375" i="50"/>
  <c r="E377" i="50" s="1"/>
  <c r="E383" i="50" s="1"/>
  <c r="E392" i="50" s="1"/>
  <c r="E394" i="50" s="1"/>
  <c r="E396" i="50" s="1"/>
  <c r="D375" i="50"/>
  <c r="D377" i="50" s="1"/>
  <c r="D383" i="50" s="1"/>
  <c r="D392" i="50" s="1"/>
  <c r="D394" i="50" s="1"/>
  <c r="D396" i="50" s="1"/>
  <c r="C375" i="50"/>
  <c r="H374" i="50"/>
  <c r="H373" i="50"/>
  <c r="H372" i="50"/>
  <c r="H371" i="50"/>
  <c r="H362" i="50"/>
  <c r="H360" i="50"/>
  <c r="H358" i="50"/>
  <c r="H356" i="50"/>
  <c r="H352" i="50"/>
  <c r="H351" i="50"/>
  <c r="H349" i="50"/>
  <c r="H348" i="50"/>
  <c r="H347" i="50"/>
  <c r="H346" i="50"/>
  <c r="H345" i="50"/>
  <c r="H343" i="50"/>
  <c r="G342" i="50"/>
  <c r="G344" i="50" s="1"/>
  <c r="G350" i="50" s="1"/>
  <c r="G359" i="50" s="1"/>
  <c r="G361" i="50" s="1"/>
  <c r="G363" i="50" s="1"/>
  <c r="F342" i="50"/>
  <c r="F344" i="50" s="1"/>
  <c r="F350" i="50" s="1"/>
  <c r="F359" i="50" s="1"/>
  <c r="F361" i="50" s="1"/>
  <c r="F363" i="50" s="1"/>
  <c r="E342" i="50"/>
  <c r="E344" i="50" s="1"/>
  <c r="E350" i="50" s="1"/>
  <c r="E359" i="50" s="1"/>
  <c r="E361" i="50" s="1"/>
  <c r="E363" i="50" s="1"/>
  <c r="D342" i="50"/>
  <c r="D344" i="50" s="1"/>
  <c r="D350" i="50" s="1"/>
  <c r="D359" i="50" s="1"/>
  <c r="D361" i="50" s="1"/>
  <c r="D363" i="50" s="1"/>
  <c r="C342" i="50"/>
  <c r="H341" i="50"/>
  <c r="H340" i="50"/>
  <c r="H339" i="50"/>
  <c r="H338" i="50"/>
  <c r="H329" i="50"/>
  <c r="H327" i="50"/>
  <c r="H319" i="50"/>
  <c r="H318" i="50"/>
  <c r="H316" i="50"/>
  <c r="H315" i="50"/>
  <c r="H314" i="50"/>
  <c r="H313" i="50"/>
  <c r="H312" i="50"/>
  <c r="H310" i="50"/>
  <c r="G309" i="50"/>
  <c r="G311" i="50" s="1"/>
  <c r="G317" i="50" s="1"/>
  <c r="G326" i="50" s="1"/>
  <c r="G328" i="50" s="1"/>
  <c r="G330" i="50" s="1"/>
  <c r="F309" i="50"/>
  <c r="F311" i="50" s="1"/>
  <c r="F317" i="50" s="1"/>
  <c r="F326" i="50" s="1"/>
  <c r="F328" i="50" s="1"/>
  <c r="F330" i="50" s="1"/>
  <c r="E309" i="50"/>
  <c r="E311" i="50" s="1"/>
  <c r="E317" i="50" s="1"/>
  <c r="E326" i="50" s="1"/>
  <c r="E328" i="50" s="1"/>
  <c r="E330" i="50" s="1"/>
  <c r="D309" i="50"/>
  <c r="D311" i="50" s="1"/>
  <c r="D317" i="50" s="1"/>
  <c r="D326" i="50" s="1"/>
  <c r="D328" i="50" s="1"/>
  <c r="D330" i="50" s="1"/>
  <c r="C309" i="50"/>
  <c r="H308" i="50"/>
  <c r="H307" i="50"/>
  <c r="H306" i="50"/>
  <c r="H305" i="50"/>
  <c r="H296" i="50"/>
  <c r="H294" i="50"/>
  <c r="H292" i="50"/>
  <c r="H291" i="50"/>
  <c r="H290" i="50"/>
  <c r="H289" i="50"/>
  <c r="H288" i="50"/>
  <c r="H287" i="50"/>
  <c r="H286" i="50"/>
  <c r="H285" i="50"/>
  <c r="H283" i="50"/>
  <c r="H282" i="50"/>
  <c r="H281" i="50"/>
  <c r="H280" i="50"/>
  <c r="H279" i="50"/>
  <c r="H277" i="50"/>
  <c r="G276" i="50"/>
  <c r="G278" i="50" s="1"/>
  <c r="G284" i="50" s="1"/>
  <c r="G293" i="50" s="1"/>
  <c r="G295" i="50" s="1"/>
  <c r="G297" i="50" s="1"/>
  <c r="F276" i="50"/>
  <c r="F278" i="50" s="1"/>
  <c r="F284" i="50" s="1"/>
  <c r="F293" i="50" s="1"/>
  <c r="F295" i="50" s="1"/>
  <c r="F297" i="50" s="1"/>
  <c r="E276" i="50"/>
  <c r="E278" i="50" s="1"/>
  <c r="E284" i="50" s="1"/>
  <c r="E293" i="50" s="1"/>
  <c r="E295" i="50" s="1"/>
  <c r="E297" i="50" s="1"/>
  <c r="D276" i="50"/>
  <c r="D278" i="50" s="1"/>
  <c r="D284" i="50" s="1"/>
  <c r="D293" i="50" s="1"/>
  <c r="D295" i="50" s="1"/>
  <c r="D297" i="50" s="1"/>
  <c r="C276" i="50"/>
  <c r="H275" i="50"/>
  <c r="H274" i="50"/>
  <c r="H273" i="50"/>
  <c r="H272" i="50"/>
  <c r="H263" i="50"/>
  <c r="H261" i="50"/>
  <c r="H259" i="50"/>
  <c r="H258" i="50"/>
  <c r="H257" i="50"/>
  <c r="H256" i="50"/>
  <c r="H255" i="50"/>
  <c r="H254" i="50"/>
  <c r="H253" i="50"/>
  <c r="H252" i="50"/>
  <c r="H250" i="50"/>
  <c r="H249" i="50"/>
  <c r="H248" i="50"/>
  <c r="H247" i="50"/>
  <c r="H246" i="50"/>
  <c r="H244" i="50"/>
  <c r="G243" i="50"/>
  <c r="G245" i="50" s="1"/>
  <c r="G251" i="50" s="1"/>
  <c r="G260" i="50" s="1"/>
  <c r="G262" i="50" s="1"/>
  <c r="G264" i="50" s="1"/>
  <c r="F243" i="50"/>
  <c r="F245" i="50" s="1"/>
  <c r="F251" i="50" s="1"/>
  <c r="F260" i="50" s="1"/>
  <c r="F262" i="50" s="1"/>
  <c r="F264" i="50" s="1"/>
  <c r="E243" i="50"/>
  <c r="E245" i="50" s="1"/>
  <c r="E251" i="50" s="1"/>
  <c r="E260" i="50" s="1"/>
  <c r="E262" i="50" s="1"/>
  <c r="E264" i="50" s="1"/>
  <c r="D243" i="50"/>
  <c r="D245" i="50" s="1"/>
  <c r="D251" i="50" s="1"/>
  <c r="D260" i="50" s="1"/>
  <c r="D262" i="50" s="1"/>
  <c r="D264" i="50" s="1"/>
  <c r="C243" i="50"/>
  <c r="H242" i="50"/>
  <c r="H241" i="50"/>
  <c r="H240" i="50"/>
  <c r="H239" i="50"/>
  <c r="H230" i="50"/>
  <c r="H228" i="50"/>
  <c r="H224" i="50"/>
  <c r="H219" i="50"/>
  <c r="H217" i="50"/>
  <c r="H216" i="50"/>
  <c r="H215" i="50"/>
  <c r="H214" i="50"/>
  <c r="H213" i="50"/>
  <c r="H211" i="50"/>
  <c r="G209" i="50"/>
  <c r="G210" i="50" s="1"/>
  <c r="G212" i="50" s="1"/>
  <c r="G218" i="50" s="1"/>
  <c r="G227" i="50" s="1"/>
  <c r="G229" i="50" s="1"/>
  <c r="G231" i="50" s="1"/>
  <c r="F209" i="50"/>
  <c r="F210" i="50" s="1"/>
  <c r="F212" i="50" s="1"/>
  <c r="F218" i="50" s="1"/>
  <c r="F227" i="50" s="1"/>
  <c r="F229" i="50" s="1"/>
  <c r="F231" i="50" s="1"/>
  <c r="E209" i="50"/>
  <c r="E210" i="50" s="1"/>
  <c r="E212" i="50" s="1"/>
  <c r="E218" i="50" s="1"/>
  <c r="E227" i="50" s="1"/>
  <c r="E229" i="50" s="1"/>
  <c r="E231" i="50" s="1"/>
  <c r="D209" i="50"/>
  <c r="D210" i="50" s="1"/>
  <c r="D212" i="50" s="1"/>
  <c r="D218" i="50" s="1"/>
  <c r="D227" i="50" s="1"/>
  <c r="D229" i="50" s="1"/>
  <c r="D231" i="50" s="1"/>
  <c r="C209" i="50"/>
  <c r="H208" i="50"/>
  <c r="H207" i="50"/>
  <c r="H206" i="50"/>
  <c r="H197" i="50"/>
  <c r="H195" i="50"/>
  <c r="H193" i="50"/>
  <c r="H192" i="50"/>
  <c r="H191" i="50"/>
  <c r="H190" i="50"/>
  <c r="H189" i="50"/>
  <c r="H188" i="50"/>
  <c r="H187" i="50"/>
  <c r="H186" i="50"/>
  <c r="H184" i="50"/>
  <c r="H183" i="50"/>
  <c r="H182" i="50"/>
  <c r="H181" i="50"/>
  <c r="H180" i="50"/>
  <c r="H178" i="50"/>
  <c r="G177" i="50"/>
  <c r="G179" i="50" s="1"/>
  <c r="G185" i="50" s="1"/>
  <c r="G194" i="50" s="1"/>
  <c r="G196" i="50" s="1"/>
  <c r="G198" i="50" s="1"/>
  <c r="F177" i="50"/>
  <c r="F179" i="50" s="1"/>
  <c r="F185" i="50" s="1"/>
  <c r="F194" i="50" s="1"/>
  <c r="F196" i="50" s="1"/>
  <c r="F198" i="50" s="1"/>
  <c r="E177" i="50"/>
  <c r="E179" i="50" s="1"/>
  <c r="E185" i="50" s="1"/>
  <c r="E194" i="50" s="1"/>
  <c r="E196" i="50" s="1"/>
  <c r="E198" i="50" s="1"/>
  <c r="D177" i="50"/>
  <c r="D179" i="50" s="1"/>
  <c r="D185" i="50" s="1"/>
  <c r="D194" i="50" s="1"/>
  <c r="D196" i="50" s="1"/>
  <c r="D198" i="50" s="1"/>
  <c r="C177" i="50"/>
  <c r="C179" i="50" s="1"/>
  <c r="C185" i="50" s="1"/>
  <c r="C194" i="50" s="1"/>
  <c r="C196" i="50" s="1"/>
  <c r="C198" i="50" s="1"/>
  <c r="H176" i="50"/>
  <c r="H175" i="50"/>
  <c r="H174" i="50"/>
  <c r="H173" i="50"/>
  <c r="H177" i="50" s="1"/>
  <c r="H179" i="50" s="1"/>
  <c r="H185" i="50" s="1"/>
  <c r="H194" i="50" s="1"/>
  <c r="H196" i="50" s="1"/>
  <c r="H198" i="50" s="1"/>
  <c r="H171" i="50"/>
  <c r="H164" i="50"/>
  <c r="H162" i="50"/>
  <c r="H158" i="50"/>
  <c r="H154" i="50"/>
  <c r="H153" i="50"/>
  <c r="H151" i="50"/>
  <c r="H150" i="50"/>
  <c r="H149" i="50"/>
  <c r="H148" i="50"/>
  <c r="H147" i="50"/>
  <c r="H145" i="50"/>
  <c r="G144" i="50"/>
  <c r="G146" i="50" s="1"/>
  <c r="G152" i="50" s="1"/>
  <c r="G161" i="50" s="1"/>
  <c r="G163" i="50" s="1"/>
  <c r="G165" i="50" s="1"/>
  <c r="F144" i="50"/>
  <c r="F146" i="50" s="1"/>
  <c r="F152" i="50" s="1"/>
  <c r="F161" i="50" s="1"/>
  <c r="F163" i="50" s="1"/>
  <c r="F165" i="50" s="1"/>
  <c r="E144" i="50"/>
  <c r="E146" i="50" s="1"/>
  <c r="E152" i="50" s="1"/>
  <c r="E161" i="50" s="1"/>
  <c r="E163" i="50" s="1"/>
  <c r="E165" i="50" s="1"/>
  <c r="D144" i="50"/>
  <c r="D146" i="50" s="1"/>
  <c r="D152" i="50" s="1"/>
  <c r="D161" i="50" s="1"/>
  <c r="D163" i="50" s="1"/>
  <c r="D165" i="50" s="1"/>
  <c r="C144" i="50"/>
  <c r="H143" i="50"/>
  <c r="H142" i="50"/>
  <c r="H141" i="50"/>
  <c r="H140" i="50"/>
  <c r="H131" i="50"/>
  <c r="H129" i="50"/>
  <c r="H127" i="50"/>
  <c r="H126" i="50"/>
  <c r="H125" i="50"/>
  <c r="H124" i="50"/>
  <c r="H123" i="50"/>
  <c r="H122" i="50"/>
  <c r="H121" i="50"/>
  <c r="H120" i="50"/>
  <c r="H118" i="50"/>
  <c r="H117" i="50"/>
  <c r="H116" i="50"/>
  <c r="H115" i="50"/>
  <c r="H114" i="50"/>
  <c r="H112" i="50"/>
  <c r="G111" i="50"/>
  <c r="G113" i="50" s="1"/>
  <c r="G119" i="50" s="1"/>
  <c r="G128" i="50" s="1"/>
  <c r="G130" i="50" s="1"/>
  <c r="G132" i="50" s="1"/>
  <c r="F111" i="50"/>
  <c r="F113" i="50" s="1"/>
  <c r="F119" i="50" s="1"/>
  <c r="F128" i="50" s="1"/>
  <c r="F130" i="50" s="1"/>
  <c r="F132" i="50" s="1"/>
  <c r="E111" i="50"/>
  <c r="E113" i="50" s="1"/>
  <c r="E119" i="50" s="1"/>
  <c r="E128" i="50" s="1"/>
  <c r="E130" i="50" s="1"/>
  <c r="E132" i="50" s="1"/>
  <c r="D111" i="50"/>
  <c r="D113" i="50" s="1"/>
  <c r="D119" i="50" s="1"/>
  <c r="D128" i="50" s="1"/>
  <c r="D130" i="50" s="1"/>
  <c r="D132" i="50" s="1"/>
  <c r="C111" i="50"/>
  <c r="H110" i="50"/>
  <c r="H109" i="50"/>
  <c r="H108" i="50"/>
  <c r="H107" i="50"/>
  <c r="H98" i="50"/>
  <c r="H96" i="50"/>
  <c r="H94" i="50"/>
  <c r="H93" i="50"/>
  <c r="H92" i="50"/>
  <c r="H91" i="50"/>
  <c r="H90" i="50"/>
  <c r="H89" i="50"/>
  <c r="H88" i="50"/>
  <c r="H87" i="50"/>
  <c r="H85" i="50"/>
  <c r="H84" i="50"/>
  <c r="H83" i="50"/>
  <c r="H82" i="50"/>
  <c r="H81" i="50"/>
  <c r="H79" i="50"/>
  <c r="G78" i="50"/>
  <c r="G80" i="50" s="1"/>
  <c r="G86" i="50" s="1"/>
  <c r="G95" i="50" s="1"/>
  <c r="G97" i="50" s="1"/>
  <c r="G99" i="50" s="1"/>
  <c r="F78" i="50"/>
  <c r="F80" i="50" s="1"/>
  <c r="F86" i="50" s="1"/>
  <c r="F95" i="50" s="1"/>
  <c r="F97" i="50" s="1"/>
  <c r="F99" i="50" s="1"/>
  <c r="E78" i="50"/>
  <c r="E80" i="50" s="1"/>
  <c r="E86" i="50" s="1"/>
  <c r="E95" i="50" s="1"/>
  <c r="E97" i="50" s="1"/>
  <c r="E99" i="50" s="1"/>
  <c r="D78" i="50"/>
  <c r="D80" i="50" s="1"/>
  <c r="D86" i="50" s="1"/>
  <c r="D95" i="50" s="1"/>
  <c r="D97" i="50" s="1"/>
  <c r="D99" i="50" s="1"/>
  <c r="C78" i="50"/>
  <c r="H77" i="50"/>
  <c r="H76" i="50"/>
  <c r="H75" i="50"/>
  <c r="H74" i="50"/>
  <c r="H65" i="50"/>
  <c r="H63" i="50"/>
  <c r="H61" i="50"/>
  <c r="H60" i="50"/>
  <c r="H59" i="50"/>
  <c r="H58" i="50"/>
  <c r="H56" i="50"/>
  <c r="H55" i="50"/>
  <c r="H54" i="50"/>
  <c r="H52" i="50"/>
  <c r="H51" i="50"/>
  <c r="H50" i="50"/>
  <c r="H49" i="50"/>
  <c r="H48" i="50"/>
  <c r="H46" i="50"/>
  <c r="G45" i="50"/>
  <c r="G47" i="50" s="1"/>
  <c r="G53" i="50" s="1"/>
  <c r="G62" i="50" s="1"/>
  <c r="G64" i="50" s="1"/>
  <c r="G66" i="50" s="1"/>
  <c r="F45" i="50"/>
  <c r="F47" i="50" s="1"/>
  <c r="F53" i="50" s="1"/>
  <c r="F62" i="50" s="1"/>
  <c r="F64" i="50" s="1"/>
  <c r="F66" i="50" s="1"/>
  <c r="E45" i="50"/>
  <c r="E47" i="50" s="1"/>
  <c r="E53" i="50" s="1"/>
  <c r="E62" i="50" s="1"/>
  <c r="E64" i="50" s="1"/>
  <c r="E66" i="50" s="1"/>
  <c r="D45" i="50"/>
  <c r="D47" i="50" s="1"/>
  <c r="D53" i="50" s="1"/>
  <c r="D62" i="50" s="1"/>
  <c r="D64" i="50" s="1"/>
  <c r="D66" i="50" s="1"/>
  <c r="C45" i="50"/>
  <c r="C47" i="50" s="1"/>
  <c r="C53" i="50" s="1"/>
  <c r="C62" i="50" s="1"/>
  <c r="C64" i="50" s="1"/>
  <c r="C66" i="50" s="1"/>
  <c r="H44" i="50"/>
  <c r="H43" i="50"/>
  <c r="H42" i="50"/>
  <c r="H41" i="50"/>
  <c r="H45" i="50" s="1"/>
  <c r="H47" i="50" s="1"/>
  <c r="H53" i="50" s="1"/>
  <c r="H62" i="50" s="1"/>
  <c r="H64" i="50" s="1"/>
  <c r="H66" i="50" s="1"/>
  <c r="H39" i="50"/>
  <c r="H19" i="50"/>
  <c r="H18" i="50"/>
  <c r="H17" i="50"/>
  <c r="G12" i="50"/>
  <c r="G14" i="50" s="1"/>
  <c r="G20" i="50" s="1"/>
  <c r="F12" i="50"/>
  <c r="F14" i="50" s="1"/>
  <c r="F20" i="50" s="1"/>
  <c r="E12" i="50"/>
  <c r="E14" i="50" s="1"/>
  <c r="E20" i="50" s="1"/>
  <c r="D12" i="50"/>
  <c r="D14" i="50" s="1"/>
  <c r="D20" i="50" s="1"/>
  <c r="C12" i="50"/>
  <c r="C14" i="50" s="1"/>
  <c r="C20" i="50" s="1"/>
  <c r="H11" i="50"/>
  <c r="H10" i="50"/>
  <c r="H9" i="50"/>
  <c r="H8" i="50"/>
  <c r="H12" i="50" s="1"/>
  <c r="H14" i="50" s="1"/>
  <c r="H20" i="50" s="1"/>
  <c r="H29" i="50" s="1"/>
  <c r="H31" i="50" s="1"/>
  <c r="H33" i="50" s="1"/>
  <c r="C110" i="49"/>
  <c r="K109" i="49"/>
  <c r="J109" i="49"/>
  <c r="I109" i="49"/>
  <c r="G109" i="49"/>
  <c r="D109" i="49"/>
  <c r="K108" i="49"/>
  <c r="J108" i="49"/>
  <c r="I108" i="49"/>
  <c r="G108" i="49"/>
  <c r="D108" i="49"/>
  <c r="K107" i="49"/>
  <c r="J107" i="49"/>
  <c r="I107" i="49"/>
  <c r="G107" i="49"/>
  <c r="K106" i="49"/>
  <c r="J106" i="49"/>
  <c r="I106" i="49"/>
  <c r="G106" i="49"/>
  <c r="D106" i="49"/>
  <c r="K105" i="49"/>
  <c r="J105" i="49"/>
  <c r="I105" i="49"/>
  <c r="G105" i="49"/>
  <c r="D105" i="49"/>
  <c r="K104" i="49"/>
  <c r="J104" i="49"/>
  <c r="I104" i="49"/>
  <c r="G104" i="49"/>
  <c r="D104" i="49"/>
  <c r="K103" i="49"/>
  <c r="J103" i="49"/>
  <c r="I103" i="49"/>
  <c r="G103" i="49"/>
  <c r="D103" i="49"/>
  <c r="K102" i="49"/>
  <c r="J102" i="49"/>
  <c r="I102" i="49"/>
  <c r="G102" i="49"/>
  <c r="D102" i="49"/>
  <c r="K101" i="49"/>
  <c r="J101" i="49"/>
  <c r="I101" i="49"/>
  <c r="G101" i="49"/>
  <c r="D101" i="49"/>
  <c r="K100" i="49"/>
  <c r="J100" i="49"/>
  <c r="I100" i="49"/>
  <c r="G100" i="49"/>
  <c r="D100" i="49"/>
  <c r="K99" i="49"/>
  <c r="J99" i="49"/>
  <c r="I99" i="49"/>
  <c r="G99" i="49"/>
  <c r="D99" i="49"/>
  <c r="M98" i="49"/>
  <c r="L98" i="49"/>
  <c r="K98" i="49"/>
  <c r="J98" i="49"/>
  <c r="I98" i="49"/>
  <c r="G98" i="49"/>
  <c r="D98" i="49"/>
  <c r="K97" i="49"/>
  <c r="J97" i="49"/>
  <c r="I97" i="49"/>
  <c r="G97" i="49"/>
  <c r="D97" i="49"/>
  <c r="K96" i="49"/>
  <c r="J96" i="49"/>
  <c r="I96" i="49"/>
  <c r="G96" i="49"/>
  <c r="D96" i="49"/>
  <c r="K95" i="49"/>
  <c r="J95" i="49"/>
  <c r="I95" i="49"/>
  <c r="G95" i="49"/>
  <c r="D95" i="49"/>
  <c r="K94" i="49"/>
  <c r="J94" i="49"/>
  <c r="I94" i="49"/>
  <c r="G94" i="49"/>
  <c r="D94" i="49"/>
  <c r="K93" i="49"/>
  <c r="J93" i="49"/>
  <c r="I93" i="49"/>
  <c r="G93" i="49"/>
  <c r="D93" i="49"/>
  <c r="K92" i="49"/>
  <c r="J92" i="49"/>
  <c r="I92" i="49"/>
  <c r="G92" i="49"/>
  <c r="D92" i="49"/>
  <c r="K49" i="49"/>
  <c r="G49" i="49"/>
  <c r="Q29" i="49"/>
  <c r="O29" i="49"/>
  <c r="M29" i="49"/>
  <c r="K29" i="49"/>
  <c r="M26" i="49"/>
  <c r="K26" i="49"/>
  <c r="I26" i="49"/>
  <c r="G26" i="49"/>
  <c r="Q25" i="49"/>
  <c r="O25" i="49"/>
  <c r="N25" i="49"/>
  <c r="L25" i="49"/>
  <c r="J25" i="49"/>
  <c r="H25" i="49"/>
  <c r="Q24" i="49"/>
  <c r="M108" i="49" s="1"/>
  <c r="O24" i="49"/>
  <c r="L108" i="49" s="1"/>
  <c r="N24" i="49"/>
  <c r="L24" i="49"/>
  <c r="J24" i="49"/>
  <c r="H24" i="49"/>
  <c r="Q23" i="49"/>
  <c r="O23" i="49"/>
  <c r="L107" i="49" s="1"/>
  <c r="N23" i="49"/>
  <c r="L23" i="49"/>
  <c r="J23" i="49"/>
  <c r="H23" i="49"/>
  <c r="D23" i="49"/>
  <c r="D26" i="49" s="1"/>
  <c r="E11" i="49" s="1"/>
  <c r="Q22" i="49"/>
  <c r="AB13" i="49" s="1"/>
  <c r="O22" i="49"/>
  <c r="N22" i="49"/>
  <c r="L22" i="49"/>
  <c r="J22" i="49"/>
  <c r="H22" i="49"/>
  <c r="Q21" i="49"/>
  <c r="M105" i="49" s="1"/>
  <c r="O21" i="49"/>
  <c r="L105" i="49" s="1"/>
  <c r="N21" i="49"/>
  <c r="L21" i="49"/>
  <c r="J21" i="49"/>
  <c r="H21" i="49"/>
  <c r="Q20" i="49"/>
  <c r="O20" i="49"/>
  <c r="N20" i="49"/>
  <c r="L20" i="49"/>
  <c r="J20" i="49"/>
  <c r="H20" i="49"/>
  <c r="Q19" i="49"/>
  <c r="O19" i="49"/>
  <c r="L103" i="49" s="1"/>
  <c r="N19" i="49"/>
  <c r="L19" i="49"/>
  <c r="J19" i="49"/>
  <c r="H19" i="49"/>
  <c r="Q18" i="49"/>
  <c r="O18" i="49"/>
  <c r="N18" i="49"/>
  <c r="L18" i="49"/>
  <c r="J18" i="49"/>
  <c r="H18" i="49"/>
  <c r="Q17" i="49"/>
  <c r="M101" i="49" s="1"/>
  <c r="O17" i="49"/>
  <c r="L101" i="49" s="1"/>
  <c r="N17" i="49"/>
  <c r="L17" i="49"/>
  <c r="J17" i="49"/>
  <c r="H17" i="49"/>
  <c r="Q16" i="49"/>
  <c r="O16" i="49"/>
  <c r="L100" i="49" s="1"/>
  <c r="N16" i="49"/>
  <c r="L16" i="49"/>
  <c r="J16" i="49"/>
  <c r="H16" i="49"/>
  <c r="Q15" i="49"/>
  <c r="M99" i="49" s="1"/>
  <c r="O15" i="49"/>
  <c r="L99" i="49" s="1"/>
  <c r="N15" i="49"/>
  <c r="L15" i="49"/>
  <c r="J15" i="49"/>
  <c r="H15" i="49"/>
  <c r="Z14" i="49"/>
  <c r="Y14" i="49"/>
  <c r="X14" i="49"/>
  <c r="W14" i="49"/>
  <c r="V14" i="49"/>
  <c r="N14" i="49"/>
  <c r="L14" i="49"/>
  <c r="J14" i="49"/>
  <c r="H14" i="49"/>
  <c r="Z13" i="49"/>
  <c r="AK13" i="49" s="1"/>
  <c r="Y13" i="49"/>
  <c r="AJ13" i="49" s="1"/>
  <c r="Q13" i="49"/>
  <c r="M97" i="49" s="1"/>
  <c r="O13" i="49"/>
  <c r="L97" i="49" s="1"/>
  <c r="N13" i="49"/>
  <c r="L13" i="49"/>
  <c r="J13" i="49"/>
  <c r="H13" i="49"/>
  <c r="AA12" i="49"/>
  <c r="Z12" i="49"/>
  <c r="AK12" i="49" s="1"/>
  <c r="Y12" i="49"/>
  <c r="AJ12" i="49" s="1"/>
  <c r="X12" i="49"/>
  <c r="AI12" i="49" s="1"/>
  <c r="W12" i="49"/>
  <c r="AG12" i="49" s="1"/>
  <c r="T12" i="49"/>
  <c r="V12" i="49" s="1"/>
  <c r="Q12" i="49"/>
  <c r="O12" i="49"/>
  <c r="N12" i="49"/>
  <c r="L12" i="49"/>
  <c r="J12" i="49"/>
  <c r="H12" i="49"/>
  <c r="AB11" i="49"/>
  <c r="AA11" i="49"/>
  <c r="Z11" i="49"/>
  <c r="AK11" i="49" s="1"/>
  <c r="Y11" i="49"/>
  <c r="AJ11" i="49" s="1"/>
  <c r="X11" i="49"/>
  <c r="AI11" i="49" s="1"/>
  <c r="W11" i="49"/>
  <c r="AG11" i="49" s="1"/>
  <c r="T11" i="49"/>
  <c r="V11" i="49" s="1"/>
  <c r="AE11" i="49" s="1"/>
  <c r="Q11" i="49"/>
  <c r="M95" i="49" s="1"/>
  <c r="O11" i="49"/>
  <c r="L95" i="49" s="1"/>
  <c r="N11" i="49"/>
  <c r="L11" i="49"/>
  <c r="J11" i="49"/>
  <c r="H11" i="49"/>
  <c r="AH10" i="49"/>
  <c r="AB10" i="49"/>
  <c r="AA10" i="49"/>
  <c r="Z10" i="49"/>
  <c r="AK10" i="49" s="1"/>
  <c r="Y10" i="49"/>
  <c r="AJ10" i="49" s="1"/>
  <c r="X10" i="49"/>
  <c r="AI10" i="49" s="1"/>
  <c r="W10" i="49"/>
  <c r="AG10" i="49" s="1"/>
  <c r="V10" i="49"/>
  <c r="Q10" i="49"/>
  <c r="M94" i="49" s="1"/>
  <c r="O10" i="49"/>
  <c r="L94" i="49" s="1"/>
  <c r="N10" i="49"/>
  <c r="L10" i="49"/>
  <c r="J10" i="49"/>
  <c r="H10" i="49"/>
  <c r="AB9" i="49"/>
  <c r="AA9" i="49"/>
  <c r="Z9" i="49"/>
  <c r="AK9" i="49" s="1"/>
  <c r="AK14" i="49" s="1"/>
  <c r="Y9" i="49"/>
  <c r="AJ9" i="49" s="1"/>
  <c r="AJ14" i="49" s="1"/>
  <c r="X9" i="49"/>
  <c r="AI9" i="49" s="1"/>
  <c r="AI14" i="49" s="1"/>
  <c r="W9" i="49"/>
  <c r="AG9" i="49" s="1"/>
  <c r="V9" i="49"/>
  <c r="Q9" i="49"/>
  <c r="M93" i="49" s="1"/>
  <c r="O9" i="49"/>
  <c r="L93" i="49" s="1"/>
  <c r="N9" i="49"/>
  <c r="L9" i="49"/>
  <c r="J9" i="49"/>
  <c r="H9" i="49"/>
  <c r="E9" i="49"/>
  <c r="Q8" i="49"/>
  <c r="O8" i="49"/>
  <c r="AA14" i="49" s="1"/>
  <c r="N8" i="49"/>
  <c r="N26" i="49" s="1"/>
  <c r="L8" i="49"/>
  <c r="L26" i="49" s="1"/>
  <c r="J8" i="49"/>
  <c r="J26" i="49" s="1"/>
  <c r="H8" i="49"/>
  <c r="H26" i="49" s="1"/>
  <c r="G187" i="48"/>
  <c r="F187" i="48"/>
  <c r="E187" i="48"/>
  <c r="D187" i="48"/>
  <c r="C187" i="48"/>
  <c r="G182" i="48"/>
  <c r="G185" i="48" s="1"/>
  <c r="G188" i="48" s="1"/>
  <c r="F182" i="48"/>
  <c r="F185" i="48" s="1"/>
  <c r="F188" i="48" s="1"/>
  <c r="E182" i="48"/>
  <c r="E185" i="48" s="1"/>
  <c r="E188" i="48" s="1"/>
  <c r="D182" i="48"/>
  <c r="D185" i="48" s="1"/>
  <c r="D188" i="48" s="1"/>
  <c r="C182" i="48"/>
  <c r="C185" i="48" s="1"/>
  <c r="C188" i="48" s="1"/>
  <c r="G176" i="48"/>
  <c r="F176" i="48"/>
  <c r="E176" i="48"/>
  <c r="D176" i="48"/>
  <c r="C176" i="48"/>
  <c r="G171" i="48"/>
  <c r="G174" i="48" s="1"/>
  <c r="G177" i="48" s="1"/>
  <c r="F171" i="48"/>
  <c r="F174" i="48" s="1"/>
  <c r="F177" i="48" s="1"/>
  <c r="E171" i="48"/>
  <c r="E174" i="48" s="1"/>
  <c r="E177" i="48" s="1"/>
  <c r="D171" i="48"/>
  <c r="D174" i="48" s="1"/>
  <c r="D177" i="48" s="1"/>
  <c r="C171" i="48"/>
  <c r="C174" i="48" s="1"/>
  <c r="C177" i="48" s="1"/>
  <c r="G165" i="48"/>
  <c r="F165" i="48"/>
  <c r="E165" i="48"/>
  <c r="D165" i="48"/>
  <c r="C165" i="48"/>
  <c r="G160" i="48"/>
  <c r="G163" i="48" s="1"/>
  <c r="G166" i="48" s="1"/>
  <c r="F160" i="48"/>
  <c r="F163" i="48" s="1"/>
  <c r="F166" i="48" s="1"/>
  <c r="E160" i="48"/>
  <c r="E163" i="48" s="1"/>
  <c r="E166" i="48" s="1"/>
  <c r="D160" i="48"/>
  <c r="D163" i="48" s="1"/>
  <c r="D166" i="48" s="1"/>
  <c r="C160" i="48"/>
  <c r="C163" i="48" s="1"/>
  <c r="C166" i="48" s="1"/>
  <c r="G154" i="48"/>
  <c r="F154" i="48"/>
  <c r="E154" i="48"/>
  <c r="D154" i="48"/>
  <c r="C154" i="48"/>
  <c r="G149" i="48"/>
  <c r="G152" i="48" s="1"/>
  <c r="G155" i="48" s="1"/>
  <c r="F149" i="48"/>
  <c r="F152" i="48" s="1"/>
  <c r="F155" i="48" s="1"/>
  <c r="E149" i="48"/>
  <c r="E152" i="48" s="1"/>
  <c r="E155" i="48" s="1"/>
  <c r="D149" i="48"/>
  <c r="D152" i="48" s="1"/>
  <c r="D155" i="48" s="1"/>
  <c r="C149" i="48"/>
  <c r="C152" i="48" s="1"/>
  <c r="C155" i="48" s="1"/>
  <c r="G143" i="48"/>
  <c r="F143" i="48"/>
  <c r="E143" i="48"/>
  <c r="D143" i="48"/>
  <c r="C143" i="48"/>
  <c r="G138" i="48"/>
  <c r="G141" i="48" s="1"/>
  <c r="G144" i="48" s="1"/>
  <c r="F138" i="48"/>
  <c r="F141" i="48" s="1"/>
  <c r="F144" i="48" s="1"/>
  <c r="E138" i="48"/>
  <c r="E141" i="48" s="1"/>
  <c r="E144" i="48" s="1"/>
  <c r="D138" i="48"/>
  <c r="D141" i="48" s="1"/>
  <c r="D144" i="48" s="1"/>
  <c r="C138" i="48"/>
  <c r="C141" i="48" s="1"/>
  <c r="C144" i="48" s="1"/>
  <c r="G132" i="48"/>
  <c r="H130" i="48"/>
  <c r="F129" i="48"/>
  <c r="E129" i="48"/>
  <c r="F128" i="48"/>
  <c r="F132" i="48" s="1"/>
  <c r="E128" i="48"/>
  <c r="E132" i="48" s="1"/>
  <c r="G127" i="48"/>
  <c r="G130" i="48" s="1"/>
  <c r="G133" i="48" s="1"/>
  <c r="F127" i="48"/>
  <c r="E127" i="48"/>
  <c r="F126" i="48"/>
  <c r="F130" i="48" s="1"/>
  <c r="F133" i="48" s="1"/>
  <c r="E126" i="48"/>
  <c r="E130" i="48" s="1"/>
  <c r="E133" i="48" s="1"/>
  <c r="G116" i="48"/>
  <c r="G119" i="48" s="1"/>
  <c r="F116" i="48"/>
  <c r="F119" i="48" s="1"/>
  <c r="E116" i="48"/>
  <c r="E119" i="48" s="1"/>
  <c r="D116" i="48"/>
  <c r="D119" i="48" s="1"/>
  <c r="C116" i="48"/>
  <c r="C119" i="48" s="1"/>
  <c r="G110" i="48"/>
  <c r="F110" i="48"/>
  <c r="E110" i="48"/>
  <c r="D110" i="48"/>
  <c r="C110" i="48"/>
  <c r="G105" i="48"/>
  <c r="G108" i="48" s="1"/>
  <c r="G111" i="48" s="1"/>
  <c r="F105" i="48"/>
  <c r="F108" i="48" s="1"/>
  <c r="F111" i="48" s="1"/>
  <c r="E105" i="48"/>
  <c r="E108" i="48" s="1"/>
  <c r="E111" i="48" s="1"/>
  <c r="D105" i="48"/>
  <c r="D108" i="48" s="1"/>
  <c r="D111" i="48" s="1"/>
  <c r="C105" i="48"/>
  <c r="C108" i="48" s="1"/>
  <c r="C111" i="48" s="1"/>
  <c r="G99" i="48"/>
  <c r="F99" i="48"/>
  <c r="E99" i="48"/>
  <c r="D99" i="48"/>
  <c r="C99" i="48"/>
  <c r="G94" i="48"/>
  <c r="G97" i="48" s="1"/>
  <c r="G100" i="48" s="1"/>
  <c r="F94" i="48"/>
  <c r="F97" i="48" s="1"/>
  <c r="F100" i="48" s="1"/>
  <c r="E94" i="48"/>
  <c r="E97" i="48" s="1"/>
  <c r="E100" i="48" s="1"/>
  <c r="D94" i="48"/>
  <c r="D97" i="48" s="1"/>
  <c r="D100" i="48" s="1"/>
  <c r="C94" i="48"/>
  <c r="C97" i="48" s="1"/>
  <c r="C100" i="48" s="1"/>
  <c r="G88" i="48"/>
  <c r="F88" i="48"/>
  <c r="E88" i="48"/>
  <c r="D88" i="48"/>
  <c r="C88" i="48"/>
  <c r="G83" i="48"/>
  <c r="G86" i="48" s="1"/>
  <c r="G89" i="48" s="1"/>
  <c r="F83" i="48"/>
  <c r="F86" i="48" s="1"/>
  <c r="F89" i="48" s="1"/>
  <c r="E83" i="48"/>
  <c r="E86" i="48" s="1"/>
  <c r="E89" i="48" s="1"/>
  <c r="D83" i="48"/>
  <c r="D86" i="48" s="1"/>
  <c r="D89" i="48" s="1"/>
  <c r="C83" i="48"/>
  <c r="C86" i="48" s="1"/>
  <c r="C89" i="48" s="1"/>
  <c r="G77" i="48"/>
  <c r="F77" i="48"/>
  <c r="E77" i="48"/>
  <c r="D74" i="48"/>
  <c r="C74" i="48"/>
  <c r="D73" i="48"/>
  <c r="D77" i="48" s="1"/>
  <c r="C73" i="48"/>
  <c r="C77" i="48" s="1"/>
  <c r="G72" i="48"/>
  <c r="G75" i="48" s="1"/>
  <c r="G78" i="48" s="1"/>
  <c r="F72" i="48"/>
  <c r="F75" i="48" s="1"/>
  <c r="F78" i="48" s="1"/>
  <c r="E72" i="48"/>
  <c r="E75" i="48" s="1"/>
  <c r="E78" i="48" s="1"/>
  <c r="D72" i="48"/>
  <c r="D75" i="48" s="1"/>
  <c r="D78" i="48" s="1"/>
  <c r="C72" i="48"/>
  <c r="C75" i="48" s="1"/>
  <c r="C78" i="48" s="1"/>
  <c r="G66" i="48"/>
  <c r="F66" i="48"/>
  <c r="E66" i="48"/>
  <c r="D66" i="48"/>
  <c r="C66" i="48"/>
  <c r="G61" i="48"/>
  <c r="G64" i="48" s="1"/>
  <c r="G67" i="48" s="1"/>
  <c r="F61" i="48"/>
  <c r="F64" i="48" s="1"/>
  <c r="F67" i="48" s="1"/>
  <c r="E61" i="48"/>
  <c r="E64" i="48" s="1"/>
  <c r="E67" i="48" s="1"/>
  <c r="D61" i="48"/>
  <c r="D64" i="48" s="1"/>
  <c r="D67" i="48" s="1"/>
  <c r="C61" i="48"/>
  <c r="C64" i="48" s="1"/>
  <c r="C67" i="48" s="1"/>
  <c r="G54" i="48"/>
  <c r="G55" i="48" s="1"/>
  <c r="F54" i="48"/>
  <c r="E54" i="48"/>
  <c r="E55" i="48" s="1"/>
  <c r="F52" i="48"/>
  <c r="F51" i="48"/>
  <c r="F55" i="48" s="1"/>
  <c r="G50" i="48"/>
  <c r="G53" i="48" s="1"/>
  <c r="G56" i="48" s="1"/>
  <c r="F50" i="48"/>
  <c r="E50" i="48"/>
  <c r="E53" i="48" s="1"/>
  <c r="F49" i="48"/>
  <c r="F53" i="48" s="1"/>
  <c r="F56" i="48" s="1"/>
  <c r="G44" i="48"/>
  <c r="F44" i="48"/>
  <c r="E44" i="48"/>
  <c r="D44" i="48"/>
  <c r="C44" i="48"/>
  <c r="G39" i="48"/>
  <c r="G42" i="48" s="1"/>
  <c r="G45" i="48" s="1"/>
  <c r="F39" i="48"/>
  <c r="F42" i="48" s="1"/>
  <c r="F45" i="48" s="1"/>
  <c r="E39" i="48"/>
  <c r="E42" i="48" s="1"/>
  <c r="E45" i="48" s="1"/>
  <c r="D39" i="48"/>
  <c r="D42" i="48" s="1"/>
  <c r="D45" i="48" s="1"/>
  <c r="C39" i="48"/>
  <c r="C42" i="48" s="1"/>
  <c r="C45" i="48" s="1"/>
  <c r="G33" i="48"/>
  <c r="F33" i="48"/>
  <c r="E33" i="48"/>
  <c r="D33" i="48"/>
  <c r="C33" i="48"/>
  <c r="G28" i="48"/>
  <c r="G31" i="48" s="1"/>
  <c r="G34" i="48" s="1"/>
  <c r="F28" i="48"/>
  <c r="F31" i="48" s="1"/>
  <c r="F34" i="48" s="1"/>
  <c r="E28" i="48"/>
  <c r="E31" i="48" s="1"/>
  <c r="E34" i="48" s="1"/>
  <c r="D28" i="48"/>
  <c r="D31" i="48" s="1"/>
  <c r="D34" i="48" s="1"/>
  <c r="C28" i="48"/>
  <c r="C31" i="48" s="1"/>
  <c r="C34" i="48" s="1"/>
  <c r="G22" i="48"/>
  <c r="F22" i="48"/>
  <c r="E22" i="48"/>
  <c r="D22" i="48"/>
  <c r="C22" i="48"/>
  <c r="G17" i="48"/>
  <c r="G20" i="48" s="1"/>
  <c r="G23" i="48" s="1"/>
  <c r="F17" i="48"/>
  <c r="F20" i="48" s="1"/>
  <c r="F23" i="48" s="1"/>
  <c r="E17" i="48"/>
  <c r="E20" i="48" s="1"/>
  <c r="E23" i="48" s="1"/>
  <c r="D17" i="48"/>
  <c r="D20" i="48" s="1"/>
  <c r="D23" i="48" s="1"/>
  <c r="C17" i="48"/>
  <c r="C20" i="48" s="1"/>
  <c r="C23" i="48" s="1"/>
  <c r="G11" i="48"/>
  <c r="F11" i="48"/>
  <c r="B7" i="85" s="1"/>
  <c r="E11" i="48"/>
  <c r="D11" i="48"/>
  <c r="C11" i="48"/>
  <c r="G5" i="48"/>
  <c r="G8" i="48" s="1"/>
  <c r="G12" i="48" s="1"/>
  <c r="F5" i="48"/>
  <c r="F8" i="48" s="1"/>
  <c r="E5" i="48"/>
  <c r="E8" i="48" s="1"/>
  <c r="E12" i="48" s="1"/>
  <c r="D5" i="48"/>
  <c r="D8" i="48" s="1"/>
  <c r="D12" i="48" s="1"/>
  <c r="C5" i="48"/>
  <c r="C8" i="48" s="1"/>
  <c r="C12" i="48" s="1"/>
  <c r="D41" i="47"/>
  <c r="C41" i="47"/>
  <c r="F41" i="47" s="1"/>
  <c r="B41" i="47"/>
  <c r="E41" i="47" s="1"/>
  <c r="D40" i="47"/>
  <c r="C40" i="47"/>
  <c r="F40" i="47" s="1"/>
  <c r="B40" i="47"/>
  <c r="E40" i="47" s="1"/>
  <c r="D39" i="47"/>
  <c r="C39" i="47"/>
  <c r="F39" i="47" s="1"/>
  <c r="B39" i="47"/>
  <c r="E39" i="47" s="1"/>
  <c r="D38" i="47"/>
  <c r="C38" i="47"/>
  <c r="F38" i="47" s="1"/>
  <c r="B38" i="47"/>
  <c r="E38" i="47" s="1"/>
  <c r="D37" i="47"/>
  <c r="C37" i="47"/>
  <c r="F37" i="47" s="1"/>
  <c r="B37" i="47"/>
  <c r="E37" i="47" s="1"/>
  <c r="D36" i="47"/>
  <c r="C36" i="47"/>
  <c r="F36" i="47" s="1"/>
  <c r="B36" i="47"/>
  <c r="E36" i="47" s="1"/>
  <c r="D35" i="47"/>
  <c r="C35" i="47"/>
  <c r="F35" i="47" s="1"/>
  <c r="B35" i="47"/>
  <c r="E35" i="47" s="1"/>
  <c r="D34" i="47"/>
  <c r="C34" i="47"/>
  <c r="F34" i="47" s="1"/>
  <c r="B34" i="47"/>
  <c r="E34" i="47" s="1"/>
  <c r="D33" i="47"/>
  <c r="D42" i="47" s="1"/>
  <c r="C33" i="47"/>
  <c r="B33" i="47"/>
  <c r="E33" i="47" s="1"/>
  <c r="E42" i="47" s="1"/>
  <c r="E27" i="47"/>
  <c r="B27" i="47"/>
  <c r="F26" i="47"/>
  <c r="C26" i="47"/>
  <c r="G25" i="47"/>
  <c r="D25" i="47"/>
  <c r="G24" i="47"/>
  <c r="D24" i="47"/>
  <c r="G23" i="47"/>
  <c r="D23" i="47"/>
  <c r="G22" i="47"/>
  <c r="D22" i="47"/>
  <c r="E19" i="47"/>
  <c r="G19" i="47" s="1"/>
  <c r="B19" i="47"/>
  <c r="D19" i="47" s="1"/>
  <c r="G18" i="47"/>
  <c r="B18" i="47"/>
  <c r="D18" i="47" s="1"/>
  <c r="B17" i="47"/>
  <c r="B16" i="47"/>
  <c r="B15" i="47"/>
  <c r="B14" i="47"/>
  <c r="B13" i="47" s="1"/>
  <c r="D13" i="47" s="1"/>
  <c r="E13" i="47"/>
  <c r="G13" i="47" s="1"/>
  <c r="E10" i="47"/>
  <c r="G10" i="47" s="1"/>
  <c r="B10" i="47"/>
  <c r="D10" i="47" s="1"/>
  <c r="B9" i="47"/>
  <c r="B8" i="47"/>
  <c r="B7" i="47"/>
  <c r="E6" i="47"/>
  <c r="B44" i="46"/>
  <c r="D43" i="46"/>
  <c r="C43" i="46"/>
  <c r="D42" i="46"/>
  <c r="C42" i="46"/>
  <c r="D41" i="46"/>
  <c r="C41" i="46"/>
  <c r="D40" i="46"/>
  <c r="C40" i="46"/>
  <c r="D39" i="46"/>
  <c r="C39" i="46"/>
  <c r="D38" i="46"/>
  <c r="C38" i="46"/>
  <c r="D37" i="46"/>
  <c r="C37" i="46"/>
  <c r="D36" i="46"/>
  <c r="C36" i="46"/>
  <c r="D35" i="46"/>
  <c r="D44" i="46" s="1"/>
  <c r="C35" i="46"/>
  <c r="E27" i="46"/>
  <c r="B27" i="46"/>
  <c r="E25" i="46"/>
  <c r="B25" i="46"/>
  <c r="E24" i="46"/>
  <c r="B24" i="46"/>
  <c r="E23" i="46"/>
  <c r="B23" i="46"/>
  <c r="E22" i="46"/>
  <c r="B22" i="46"/>
  <c r="E21" i="46"/>
  <c r="B21" i="46"/>
  <c r="E20" i="46"/>
  <c r="B20" i="46"/>
  <c r="B19" i="46" s="1"/>
  <c r="E19" i="46"/>
  <c r="E18" i="46"/>
  <c r="B18" i="46"/>
  <c r="E17" i="46"/>
  <c r="B17" i="46"/>
  <c r="E16" i="46"/>
  <c r="B16" i="46"/>
  <c r="E15" i="46"/>
  <c r="B15" i="46"/>
  <c r="E14" i="46"/>
  <c r="E13" i="46" s="1"/>
  <c r="B14" i="46"/>
  <c r="E12" i="46"/>
  <c r="B12" i="46"/>
  <c r="E11" i="46"/>
  <c r="B11" i="46"/>
  <c r="B10" i="46"/>
  <c r="E9" i="46"/>
  <c r="B9" i="46"/>
  <c r="E8" i="46"/>
  <c r="B8" i="46"/>
  <c r="E7" i="46"/>
  <c r="E6" i="46" s="1"/>
  <c r="B7" i="46"/>
  <c r="B6" i="46"/>
  <c r="G21" i="112"/>
  <c r="F21" i="112"/>
  <c r="E21" i="112"/>
  <c r="D21" i="112"/>
  <c r="C21" i="112"/>
  <c r="K131" i="42"/>
  <c r="J131" i="42"/>
  <c r="J133" i="42" s="1"/>
  <c r="J134" i="42" s="1"/>
  <c r="C87" i="42"/>
  <c r="J86" i="42"/>
  <c r="I86" i="42"/>
  <c r="H86" i="42"/>
  <c r="G86" i="42"/>
  <c r="D86" i="42"/>
  <c r="J85" i="42"/>
  <c r="I85" i="42"/>
  <c r="H85" i="42"/>
  <c r="G85" i="42"/>
  <c r="D85" i="42"/>
  <c r="J84" i="42"/>
  <c r="I84" i="42"/>
  <c r="H84" i="42"/>
  <c r="G84" i="42"/>
  <c r="D84" i="42"/>
  <c r="J83" i="42"/>
  <c r="I83" i="42"/>
  <c r="H83" i="42"/>
  <c r="G83" i="42"/>
  <c r="D83" i="42"/>
  <c r="J82" i="42"/>
  <c r="I82" i="42"/>
  <c r="H82" i="42"/>
  <c r="G82" i="42"/>
  <c r="D82" i="42"/>
  <c r="J81" i="42"/>
  <c r="I81" i="42"/>
  <c r="H81" i="42"/>
  <c r="G81" i="42"/>
  <c r="D81" i="42"/>
  <c r="J80" i="42"/>
  <c r="I80" i="42"/>
  <c r="H80" i="42"/>
  <c r="G80" i="42"/>
  <c r="D80" i="42"/>
  <c r="J79" i="42"/>
  <c r="I79" i="42"/>
  <c r="H79" i="42"/>
  <c r="G79" i="42"/>
  <c r="D79" i="42"/>
  <c r="J78" i="42"/>
  <c r="I78" i="42"/>
  <c r="H78" i="42"/>
  <c r="G78" i="42"/>
  <c r="D78" i="42"/>
  <c r="J77" i="42"/>
  <c r="I77" i="42"/>
  <c r="H77" i="42"/>
  <c r="G77" i="42"/>
  <c r="D77" i="42"/>
  <c r="J76" i="42"/>
  <c r="I76" i="42"/>
  <c r="H76" i="42"/>
  <c r="G76" i="42"/>
  <c r="D76" i="42"/>
  <c r="J75" i="42"/>
  <c r="I75" i="42"/>
  <c r="H75" i="42"/>
  <c r="G75" i="42"/>
  <c r="D75" i="42"/>
  <c r="J74" i="42"/>
  <c r="I74" i="42"/>
  <c r="H74" i="42"/>
  <c r="G74" i="42"/>
  <c r="D74" i="42"/>
  <c r="J73" i="42"/>
  <c r="I73" i="42"/>
  <c r="H73" i="42"/>
  <c r="G73" i="42"/>
  <c r="D73" i="42"/>
  <c r="J72" i="42"/>
  <c r="I72" i="42"/>
  <c r="H72" i="42"/>
  <c r="G72" i="42"/>
  <c r="G87" i="42" s="1"/>
  <c r="D72" i="42"/>
  <c r="K29" i="42"/>
  <c r="G29" i="42"/>
  <c r="M22" i="42"/>
  <c r="K22" i="42"/>
  <c r="I22" i="42"/>
  <c r="G22" i="42"/>
  <c r="D22" i="42"/>
  <c r="Q21" i="42"/>
  <c r="O21" i="42"/>
  <c r="K86" i="42" s="1"/>
  <c r="N21" i="42"/>
  <c r="L21" i="42"/>
  <c r="J21" i="42"/>
  <c r="H21" i="42"/>
  <c r="E21" i="42"/>
  <c r="Q20" i="42"/>
  <c r="O20" i="42"/>
  <c r="K84" i="42" s="1"/>
  <c r="N20" i="42"/>
  <c r="L20" i="42"/>
  <c r="J20" i="42"/>
  <c r="H20" i="42"/>
  <c r="E20" i="42"/>
  <c r="Q19" i="42"/>
  <c r="O19" i="42"/>
  <c r="K85" i="42" s="1"/>
  <c r="N19" i="42"/>
  <c r="L19" i="42"/>
  <c r="J19" i="42"/>
  <c r="H19" i="42"/>
  <c r="E19" i="42"/>
  <c r="Q18" i="42"/>
  <c r="O18" i="42"/>
  <c r="K83" i="42" s="1"/>
  <c r="N18" i="42"/>
  <c r="L18" i="42"/>
  <c r="J18" i="42"/>
  <c r="H18" i="42"/>
  <c r="E18" i="42"/>
  <c r="Q17" i="42"/>
  <c r="O17" i="42"/>
  <c r="K82" i="42" s="1"/>
  <c r="N17" i="42"/>
  <c r="L17" i="42"/>
  <c r="J17" i="42"/>
  <c r="H17" i="42"/>
  <c r="E17" i="42"/>
  <c r="Q16" i="42"/>
  <c r="O16" i="42"/>
  <c r="K81" i="42" s="1"/>
  <c r="N16" i="42"/>
  <c r="L16" i="42"/>
  <c r="J16" i="42"/>
  <c r="H16" i="42"/>
  <c r="E16" i="42"/>
  <c r="Q15" i="42"/>
  <c r="L80" i="42" s="1"/>
  <c r="O15" i="42"/>
  <c r="K80" i="42" s="1"/>
  <c r="N15" i="42"/>
  <c r="L15" i="42"/>
  <c r="J15" i="42"/>
  <c r="H15" i="42"/>
  <c r="E15" i="42"/>
  <c r="Q14" i="42"/>
  <c r="L79" i="42" s="1"/>
  <c r="O14" i="42"/>
  <c r="K79" i="42" s="1"/>
  <c r="N14" i="42"/>
  <c r="L14" i="42"/>
  <c r="J14" i="42"/>
  <c r="H14" i="42"/>
  <c r="E14" i="42"/>
  <c r="Q13" i="42"/>
  <c r="O13" i="42"/>
  <c r="K78" i="42" s="1"/>
  <c r="N13" i="42"/>
  <c r="L13" i="42"/>
  <c r="J13" i="42"/>
  <c r="H13" i="42"/>
  <c r="E13" i="42"/>
  <c r="AE12" i="42"/>
  <c r="AC12" i="42"/>
  <c r="AB12" i="42"/>
  <c r="AA12" i="42"/>
  <c r="Z12" i="42"/>
  <c r="Y12" i="42"/>
  <c r="X12" i="42"/>
  <c r="AJ14" i="42" s="1"/>
  <c r="Q12" i="42"/>
  <c r="O12" i="42"/>
  <c r="K77" i="42" s="1"/>
  <c r="N12" i="42"/>
  <c r="L12" i="42"/>
  <c r="J12" i="42"/>
  <c r="H12" i="42"/>
  <c r="E12" i="42"/>
  <c r="AC11" i="42"/>
  <c r="AN11" i="42" s="1"/>
  <c r="AB11" i="42"/>
  <c r="AM11" i="42" s="1"/>
  <c r="AA11" i="42"/>
  <c r="AL11" i="42" s="1"/>
  <c r="Y11" i="42"/>
  <c r="AK11" i="42" s="1"/>
  <c r="X11" i="42"/>
  <c r="Q11" i="42"/>
  <c r="O11" i="42"/>
  <c r="K72" i="42" s="1"/>
  <c r="N11" i="42"/>
  <c r="L11" i="42"/>
  <c r="J11" i="42"/>
  <c r="H11" i="42"/>
  <c r="E11" i="42"/>
  <c r="AE10" i="42"/>
  <c r="AD10" i="42"/>
  <c r="AC10" i="42"/>
  <c r="AB10" i="42"/>
  <c r="AA10" i="42"/>
  <c r="Z10" i="42"/>
  <c r="Y10" i="42"/>
  <c r="X10" i="42"/>
  <c r="AJ10" i="42" s="1"/>
  <c r="Q10" i="42"/>
  <c r="L73" i="42" s="1"/>
  <c r="O10" i="42"/>
  <c r="S10" i="42" s="1"/>
  <c r="N10" i="42"/>
  <c r="L10" i="42"/>
  <c r="J10" i="42"/>
  <c r="E10" i="42"/>
  <c r="AE9" i="42"/>
  <c r="AD9" i="42"/>
  <c r="AC9" i="42"/>
  <c r="AB9" i="42"/>
  <c r="AA9" i="42"/>
  <c r="Z9" i="42"/>
  <c r="Y9" i="42"/>
  <c r="X9" i="42"/>
  <c r="Q9" i="42"/>
  <c r="O9" i="42"/>
  <c r="K76" i="42" s="1"/>
  <c r="N9" i="42"/>
  <c r="L9" i="42"/>
  <c r="J9" i="42"/>
  <c r="H9" i="42"/>
  <c r="E9" i="42"/>
  <c r="AN8" i="42"/>
  <c r="AM8" i="42"/>
  <c r="AL8" i="42"/>
  <c r="AK8" i="42"/>
  <c r="AJ8" i="42"/>
  <c r="AC8" i="42"/>
  <c r="AB8" i="42"/>
  <c r="AA8" i="42"/>
  <c r="Z8" i="42"/>
  <c r="Y8" i="42"/>
  <c r="X8" i="42"/>
  <c r="AJ9" i="42" s="1"/>
  <c r="Q8" i="42"/>
  <c r="O8" i="42"/>
  <c r="K74" i="42" s="1"/>
  <c r="N8" i="42"/>
  <c r="L8" i="42"/>
  <c r="J8" i="42"/>
  <c r="H8" i="42"/>
  <c r="E8" i="42"/>
  <c r="AC7" i="42"/>
  <c r="AB7" i="42"/>
  <c r="AA7" i="42"/>
  <c r="Z7" i="42"/>
  <c r="Y7" i="42"/>
  <c r="X7" i="42"/>
  <c r="AJ7" i="42" s="1"/>
  <c r="Q7" i="42"/>
  <c r="O7" i="42"/>
  <c r="AD8" i="42" s="1"/>
  <c r="N7" i="42"/>
  <c r="N22" i="42" s="1"/>
  <c r="L7" i="42"/>
  <c r="L22" i="42" s="1"/>
  <c r="J7" i="42"/>
  <c r="J22" i="42" s="1"/>
  <c r="H7" i="42"/>
  <c r="H22" i="42" s="1"/>
  <c r="E7" i="42"/>
  <c r="E22" i="42" s="1"/>
  <c r="O312" i="41"/>
  <c r="N312" i="41"/>
  <c r="M312" i="41"/>
  <c r="J312" i="41"/>
  <c r="I312" i="41"/>
  <c r="H312" i="41"/>
  <c r="F312" i="41"/>
  <c r="E312" i="41"/>
  <c r="D312" i="41"/>
  <c r="P311" i="41"/>
  <c r="L311" i="41"/>
  <c r="G311" i="41"/>
  <c r="P310" i="41"/>
  <c r="L310" i="41"/>
  <c r="G310" i="41"/>
  <c r="P309" i="41"/>
  <c r="L309" i="41"/>
  <c r="G309" i="41"/>
  <c r="P308" i="41"/>
  <c r="L308" i="41"/>
  <c r="G308" i="41"/>
  <c r="P307" i="41"/>
  <c r="L307" i="41"/>
  <c r="G307" i="41"/>
  <c r="P306" i="41"/>
  <c r="L306" i="41"/>
  <c r="G306" i="41"/>
  <c r="P305" i="41"/>
  <c r="L305" i="41"/>
  <c r="G305" i="41"/>
  <c r="P304" i="41"/>
  <c r="L304" i="41"/>
  <c r="G304" i="41"/>
  <c r="P303" i="41"/>
  <c r="P312" i="41" s="1"/>
  <c r="L303" i="41"/>
  <c r="L312" i="41" s="1"/>
  <c r="G303" i="41"/>
  <c r="G312" i="41" s="1"/>
  <c r="O299" i="41"/>
  <c r="N299" i="41"/>
  <c r="M299" i="41"/>
  <c r="J299" i="41"/>
  <c r="I299" i="41"/>
  <c r="H299" i="41"/>
  <c r="F299" i="41"/>
  <c r="E299" i="41"/>
  <c r="D299" i="41"/>
  <c r="P298" i="41"/>
  <c r="L298" i="41"/>
  <c r="G298" i="41"/>
  <c r="P297" i="41"/>
  <c r="L297" i="41"/>
  <c r="G297" i="41"/>
  <c r="P296" i="41"/>
  <c r="L296" i="41"/>
  <c r="G296" i="41"/>
  <c r="P295" i="41"/>
  <c r="L295" i="41"/>
  <c r="G295" i="41"/>
  <c r="P294" i="41"/>
  <c r="L294" i="41"/>
  <c r="G294" i="41"/>
  <c r="P293" i="41"/>
  <c r="L293" i="41"/>
  <c r="G293" i="41"/>
  <c r="P292" i="41"/>
  <c r="L292" i="41"/>
  <c r="G292" i="41"/>
  <c r="P291" i="41"/>
  <c r="L291" i="41"/>
  <c r="G291" i="41"/>
  <c r="P290" i="41"/>
  <c r="P299" i="41" s="1"/>
  <c r="L290" i="41"/>
  <c r="L299" i="41" s="1"/>
  <c r="G290" i="41"/>
  <c r="G299" i="41" s="1"/>
  <c r="O286" i="41"/>
  <c r="N286" i="41"/>
  <c r="M286" i="41"/>
  <c r="J286" i="41"/>
  <c r="I286" i="41"/>
  <c r="H286" i="41"/>
  <c r="F286" i="41"/>
  <c r="E286" i="41"/>
  <c r="D286" i="41"/>
  <c r="P285" i="41"/>
  <c r="L285" i="41"/>
  <c r="G285" i="41"/>
  <c r="P284" i="41"/>
  <c r="L284" i="41"/>
  <c r="G284" i="41"/>
  <c r="P283" i="41"/>
  <c r="L283" i="41"/>
  <c r="G283" i="41"/>
  <c r="P282" i="41"/>
  <c r="L282" i="41"/>
  <c r="G282" i="41"/>
  <c r="P281" i="41"/>
  <c r="L281" i="41"/>
  <c r="G281" i="41"/>
  <c r="P280" i="41"/>
  <c r="L280" i="41"/>
  <c r="G280" i="41"/>
  <c r="P279" i="41"/>
  <c r="L279" i="41"/>
  <c r="G279" i="41"/>
  <c r="P278" i="41"/>
  <c r="L278" i="41"/>
  <c r="G278" i="41"/>
  <c r="P277" i="41"/>
  <c r="P286" i="41" s="1"/>
  <c r="L277" i="41"/>
  <c r="L286" i="41" s="1"/>
  <c r="G277" i="41"/>
  <c r="G286" i="41" s="1"/>
  <c r="O273" i="41"/>
  <c r="N273" i="41"/>
  <c r="M273" i="41"/>
  <c r="J273" i="41"/>
  <c r="I273" i="41"/>
  <c r="H273" i="41"/>
  <c r="F273" i="41"/>
  <c r="E273" i="41"/>
  <c r="D273" i="41"/>
  <c r="P272" i="41"/>
  <c r="L272" i="41"/>
  <c r="G272" i="41"/>
  <c r="P271" i="41"/>
  <c r="L271" i="41"/>
  <c r="G271" i="41"/>
  <c r="P270" i="41"/>
  <c r="L270" i="41"/>
  <c r="G270" i="41"/>
  <c r="P269" i="41"/>
  <c r="L269" i="41"/>
  <c r="G269" i="41"/>
  <c r="P268" i="41"/>
  <c r="L268" i="41"/>
  <c r="G268" i="41"/>
  <c r="P267" i="41"/>
  <c r="L267" i="41"/>
  <c r="G267" i="41"/>
  <c r="P266" i="41"/>
  <c r="L266" i="41"/>
  <c r="G266" i="41"/>
  <c r="P265" i="41"/>
  <c r="L265" i="41"/>
  <c r="G265" i="41"/>
  <c r="P264" i="41"/>
  <c r="P273" i="41" s="1"/>
  <c r="L264" i="41"/>
  <c r="L273" i="41" s="1"/>
  <c r="G264" i="41"/>
  <c r="G273" i="41" s="1"/>
  <c r="O260" i="41"/>
  <c r="N260" i="41"/>
  <c r="M260" i="41"/>
  <c r="J260" i="41"/>
  <c r="I260" i="41"/>
  <c r="H260" i="41"/>
  <c r="F260" i="41"/>
  <c r="E260" i="41"/>
  <c r="D260" i="41"/>
  <c r="P259" i="41"/>
  <c r="L259" i="41"/>
  <c r="G259" i="41"/>
  <c r="P258" i="41"/>
  <c r="L258" i="41"/>
  <c r="G258" i="41"/>
  <c r="P257" i="41"/>
  <c r="L257" i="41"/>
  <c r="G257" i="41"/>
  <c r="P256" i="41"/>
  <c r="L256" i="41"/>
  <c r="G256" i="41"/>
  <c r="P255" i="41"/>
  <c r="L255" i="41"/>
  <c r="G255" i="41"/>
  <c r="P254" i="41"/>
  <c r="L254" i="41"/>
  <c r="G254" i="41"/>
  <c r="P253" i="41"/>
  <c r="L253" i="41"/>
  <c r="G253" i="41"/>
  <c r="P252" i="41"/>
  <c r="L252" i="41"/>
  <c r="G252" i="41"/>
  <c r="P251" i="41"/>
  <c r="P260" i="41" s="1"/>
  <c r="L251" i="41"/>
  <c r="L260" i="41" s="1"/>
  <c r="G251" i="41"/>
  <c r="G260" i="41" s="1"/>
  <c r="P247" i="41"/>
  <c r="O247" i="41"/>
  <c r="N247" i="41"/>
  <c r="M247" i="41"/>
  <c r="L247" i="41"/>
  <c r="J247" i="41"/>
  <c r="I247" i="41"/>
  <c r="H247" i="41"/>
  <c r="G247" i="41"/>
  <c r="F247" i="41"/>
  <c r="E247" i="41"/>
  <c r="D247" i="41"/>
  <c r="L233" i="41"/>
  <c r="L232" i="41"/>
  <c r="L231" i="41"/>
  <c r="L230" i="41"/>
  <c r="L229" i="41"/>
  <c r="L228" i="41"/>
  <c r="L227" i="41"/>
  <c r="L226" i="41"/>
  <c r="L225" i="41"/>
  <c r="L234" i="41" s="1"/>
  <c r="O221" i="41"/>
  <c r="N221" i="41"/>
  <c r="M221" i="41"/>
  <c r="L221" i="41"/>
  <c r="J221" i="41"/>
  <c r="I221" i="41"/>
  <c r="H221" i="41"/>
  <c r="G221" i="41"/>
  <c r="F221" i="41"/>
  <c r="E221" i="41"/>
  <c r="D221" i="41"/>
  <c r="P220" i="41"/>
  <c r="P219" i="41"/>
  <c r="P218" i="41"/>
  <c r="P217" i="41"/>
  <c r="P216" i="41"/>
  <c r="P215" i="41"/>
  <c r="P214" i="41"/>
  <c r="P213" i="41"/>
  <c r="P212" i="41"/>
  <c r="P221" i="41" s="1"/>
  <c r="O208" i="41"/>
  <c r="N208" i="41"/>
  <c r="M208" i="41"/>
  <c r="K208" i="41"/>
  <c r="J208" i="41"/>
  <c r="I208" i="41"/>
  <c r="H208" i="41"/>
  <c r="L208" i="41" s="1"/>
  <c r="F208" i="41"/>
  <c r="E208" i="41"/>
  <c r="D208" i="41"/>
  <c r="P207" i="41"/>
  <c r="L207" i="41"/>
  <c r="G207" i="41"/>
  <c r="P206" i="41"/>
  <c r="L206" i="41"/>
  <c r="G206" i="41"/>
  <c r="P205" i="41"/>
  <c r="L205" i="41"/>
  <c r="G205" i="41"/>
  <c r="P204" i="41"/>
  <c r="L204" i="41"/>
  <c r="G204" i="41"/>
  <c r="P203" i="41"/>
  <c r="L203" i="41"/>
  <c r="G203" i="41"/>
  <c r="P202" i="41"/>
  <c r="L202" i="41"/>
  <c r="G202" i="41"/>
  <c r="P201" i="41"/>
  <c r="L201" i="41"/>
  <c r="G201" i="41"/>
  <c r="P200" i="41"/>
  <c r="L200" i="41"/>
  <c r="G200" i="41"/>
  <c r="P199" i="41"/>
  <c r="P208" i="41" s="1"/>
  <c r="L199" i="41"/>
  <c r="G199" i="41"/>
  <c r="G208" i="41" s="1"/>
  <c r="O195" i="41"/>
  <c r="N195" i="41"/>
  <c r="M195" i="41"/>
  <c r="J195" i="41"/>
  <c r="I195" i="41"/>
  <c r="H195" i="41"/>
  <c r="F195" i="41"/>
  <c r="E195" i="41"/>
  <c r="D195" i="41"/>
  <c r="P194" i="41"/>
  <c r="L194" i="41"/>
  <c r="G194" i="41"/>
  <c r="P193" i="41"/>
  <c r="L193" i="41"/>
  <c r="G193" i="41"/>
  <c r="P192" i="41"/>
  <c r="L192" i="41"/>
  <c r="G192" i="41"/>
  <c r="P191" i="41"/>
  <c r="L191" i="41"/>
  <c r="G191" i="41"/>
  <c r="P190" i="41"/>
  <c r="L190" i="41"/>
  <c r="G190" i="41"/>
  <c r="P189" i="41"/>
  <c r="L189" i="41"/>
  <c r="G189" i="41"/>
  <c r="P188" i="41"/>
  <c r="L188" i="41"/>
  <c r="G188" i="41"/>
  <c r="P187" i="41"/>
  <c r="L187" i="41"/>
  <c r="G187" i="41"/>
  <c r="P186" i="41"/>
  <c r="P195" i="41" s="1"/>
  <c r="L186" i="41"/>
  <c r="L195" i="41" s="1"/>
  <c r="G186" i="41"/>
  <c r="G195" i="41" s="1"/>
  <c r="O182" i="41"/>
  <c r="N182" i="41"/>
  <c r="M182" i="41"/>
  <c r="J182" i="41"/>
  <c r="I182" i="41"/>
  <c r="H182" i="41"/>
  <c r="F182" i="41"/>
  <c r="E182" i="41"/>
  <c r="D182" i="41"/>
  <c r="P181" i="41"/>
  <c r="L181" i="41"/>
  <c r="G181" i="41"/>
  <c r="P180" i="41"/>
  <c r="L180" i="41"/>
  <c r="G180" i="41"/>
  <c r="P179" i="41"/>
  <c r="L179" i="41"/>
  <c r="G179" i="41"/>
  <c r="P178" i="41"/>
  <c r="L178" i="41"/>
  <c r="G178" i="41"/>
  <c r="P177" i="41"/>
  <c r="L177" i="41"/>
  <c r="G177" i="41"/>
  <c r="P176" i="41"/>
  <c r="L176" i="41"/>
  <c r="G176" i="41"/>
  <c r="P175" i="41"/>
  <c r="L175" i="41"/>
  <c r="G175" i="41"/>
  <c r="P174" i="41"/>
  <c r="L174" i="41"/>
  <c r="G174" i="41"/>
  <c r="P173" i="41"/>
  <c r="P182" i="41" s="1"/>
  <c r="L173" i="41"/>
  <c r="L182" i="41" s="1"/>
  <c r="G173" i="41"/>
  <c r="G182" i="41" s="1"/>
  <c r="O169" i="41"/>
  <c r="N169" i="41"/>
  <c r="M169" i="41"/>
  <c r="J169" i="41"/>
  <c r="I169" i="41"/>
  <c r="H169" i="41"/>
  <c r="G169" i="41"/>
  <c r="F169" i="41"/>
  <c r="E169" i="41"/>
  <c r="D169" i="41"/>
  <c r="P168" i="41"/>
  <c r="L168" i="41"/>
  <c r="P167" i="41"/>
  <c r="L167" i="41"/>
  <c r="P166" i="41"/>
  <c r="L166" i="41"/>
  <c r="P165" i="41"/>
  <c r="L165" i="41"/>
  <c r="P164" i="41"/>
  <c r="L164" i="41"/>
  <c r="P163" i="41"/>
  <c r="L163" i="41"/>
  <c r="P162" i="41"/>
  <c r="L162" i="41"/>
  <c r="P161" i="41"/>
  <c r="L161" i="41"/>
  <c r="P160" i="41"/>
  <c r="P169" i="41" s="1"/>
  <c r="L160" i="41"/>
  <c r="L169" i="41" s="1"/>
  <c r="O156" i="41"/>
  <c r="N156" i="41"/>
  <c r="M156" i="41"/>
  <c r="J156" i="41"/>
  <c r="I156" i="41"/>
  <c r="H156" i="41"/>
  <c r="F156" i="41"/>
  <c r="E156" i="41"/>
  <c r="D156" i="41"/>
  <c r="P155" i="41"/>
  <c r="L155" i="41"/>
  <c r="G155" i="41"/>
  <c r="P154" i="41"/>
  <c r="L154" i="41"/>
  <c r="G154" i="41"/>
  <c r="P153" i="41"/>
  <c r="L153" i="41"/>
  <c r="G153" i="41"/>
  <c r="P152" i="41"/>
  <c r="L152" i="41"/>
  <c r="G152" i="41"/>
  <c r="P151" i="41"/>
  <c r="L151" i="41"/>
  <c r="G151" i="41"/>
  <c r="P150" i="41"/>
  <c r="L150" i="41"/>
  <c r="G150" i="41"/>
  <c r="P149" i="41"/>
  <c r="L149" i="41"/>
  <c r="G149" i="41"/>
  <c r="P148" i="41"/>
  <c r="L148" i="41"/>
  <c r="G148" i="41"/>
  <c r="P147" i="41"/>
  <c r="P156" i="41" s="1"/>
  <c r="L147" i="41"/>
  <c r="L156" i="41" s="1"/>
  <c r="G147" i="41"/>
  <c r="G156" i="41" s="1"/>
  <c r="O143" i="41"/>
  <c r="N143" i="41"/>
  <c r="M143" i="41"/>
  <c r="J143" i="41"/>
  <c r="I143" i="41"/>
  <c r="H143" i="41"/>
  <c r="F143" i="41"/>
  <c r="E143" i="41"/>
  <c r="D143" i="41"/>
  <c r="P142" i="41"/>
  <c r="L142" i="41"/>
  <c r="G142" i="41"/>
  <c r="P141" i="41"/>
  <c r="L141" i="41"/>
  <c r="G141" i="41"/>
  <c r="P140" i="41"/>
  <c r="L140" i="41"/>
  <c r="G140" i="41"/>
  <c r="P139" i="41"/>
  <c r="L139" i="41"/>
  <c r="G139" i="41"/>
  <c r="P138" i="41"/>
  <c r="L138" i="41"/>
  <c r="G138" i="41"/>
  <c r="P137" i="41"/>
  <c r="L137" i="41"/>
  <c r="G137" i="41"/>
  <c r="P136" i="41"/>
  <c r="L136" i="41"/>
  <c r="G136" i="41"/>
  <c r="P135" i="41"/>
  <c r="L135" i="41"/>
  <c r="G135" i="41"/>
  <c r="P134" i="41"/>
  <c r="P143" i="41" s="1"/>
  <c r="L134" i="41"/>
  <c r="L143" i="41" s="1"/>
  <c r="G134" i="41"/>
  <c r="G143" i="41" s="1"/>
  <c r="O130" i="41"/>
  <c r="N130" i="41"/>
  <c r="M130" i="41"/>
  <c r="J130" i="41"/>
  <c r="I130" i="41"/>
  <c r="H130" i="41"/>
  <c r="F130" i="41"/>
  <c r="E130" i="41"/>
  <c r="D130" i="41"/>
  <c r="P129" i="41"/>
  <c r="L129" i="41"/>
  <c r="G129" i="41"/>
  <c r="P128" i="41"/>
  <c r="L128" i="41"/>
  <c r="G128" i="41"/>
  <c r="P127" i="41"/>
  <c r="L127" i="41"/>
  <c r="G127" i="41"/>
  <c r="P126" i="41"/>
  <c r="L126" i="41"/>
  <c r="G126" i="41"/>
  <c r="P125" i="41"/>
  <c r="L125" i="41"/>
  <c r="G125" i="41"/>
  <c r="P124" i="41"/>
  <c r="L124" i="41"/>
  <c r="G124" i="41"/>
  <c r="P123" i="41"/>
  <c r="L123" i="41"/>
  <c r="G123" i="41"/>
  <c r="P122" i="41"/>
  <c r="L122" i="41"/>
  <c r="G122" i="41"/>
  <c r="P121" i="41"/>
  <c r="P130" i="41" s="1"/>
  <c r="L121" i="41"/>
  <c r="L130" i="41" s="1"/>
  <c r="G121" i="41"/>
  <c r="G130" i="41" s="1"/>
  <c r="O117" i="41"/>
  <c r="N117" i="41"/>
  <c r="M117" i="41"/>
  <c r="J117" i="41"/>
  <c r="I117" i="41"/>
  <c r="H117" i="41"/>
  <c r="F117" i="41"/>
  <c r="E117" i="41"/>
  <c r="D117" i="41"/>
  <c r="P116" i="41"/>
  <c r="L116" i="41"/>
  <c r="G116" i="41"/>
  <c r="P115" i="41"/>
  <c r="L115" i="41"/>
  <c r="G115" i="41"/>
  <c r="P114" i="41"/>
  <c r="L114" i="41"/>
  <c r="G114" i="41"/>
  <c r="P113" i="41"/>
  <c r="L113" i="41"/>
  <c r="G113" i="41"/>
  <c r="P112" i="41"/>
  <c r="L112" i="41"/>
  <c r="G112" i="41"/>
  <c r="P111" i="41"/>
  <c r="L111" i="41"/>
  <c r="G111" i="41"/>
  <c r="P110" i="41"/>
  <c r="L110" i="41"/>
  <c r="G110" i="41"/>
  <c r="P109" i="41"/>
  <c r="L109" i="41"/>
  <c r="G109" i="41"/>
  <c r="P108" i="41"/>
  <c r="P117" i="41" s="1"/>
  <c r="L108" i="41"/>
  <c r="L117" i="41" s="1"/>
  <c r="G108" i="41"/>
  <c r="G117" i="41" s="1"/>
  <c r="O104" i="41"/>
  <c r="N104" i="41"/>
  <c r="M104" i="41"/>
  <c r="J104" i="41"/>
  <c r="I104" i="41"/>
  <c r="H104" i="41"/>
  <c r="F104" i="41"/>
  <c r="E104" i="41"/>
  <c r="D104" i="41"/>
  <c r="P103" i="41"/>
  <c r="L103" i="41"/>
  <c r="G103" i="41"/>
  <c r="P102" i="41"/>
  <c r="L102" i="41"/>
  <c r="G102" i="41"/>
  <c r="P101" i="41"/>
  <c r="L101" i="41"/>
  <c r="G101" i="41"/>
  <c r="P100" i="41"/>
  <c r="L100" i="41"/>
  <c r="G100" i="41"/>
  <c r="P99" i="41"/>
  <c r="L99" i="41"/>
  <c r="G99" i="41"/>
  <c r="P98" i="41"/>
  <c r="L98" i="41"/>
  <c r="G98" i="41"/>
  <c r="P97" i="41"/>
  <c r="L97" i="41"/>
  <c r="G97" i="41"/>
  <c r="P96" i="41"/>
  <c r="L96" i="41"/>
  <c r="G96" i="41"/>
  <c r="P95" i="41"/>
  <c r="P104" i="41" s="1"/>
  <c r="L95" i="41"/>
  <c r="L104" i="41" s="1"/>
  <c r="G95" i="41"/>
  <c r="G104" i="41" s="1"/>
  <c r="O91" i="41"/>
  <c r="N91" i="41"/>
  <c r="M91" i="41"/>
  <c r="J91" i="41"/>
  <c r="I91" i="41"/>
  <c r="F91" i="41"/>
  <c r="E91" i="41"/>
  <c r="D91" i="41"/>
  <c r="P90" i="41"/>
  <c r="H90" i="41"/>
  <c r="G90" i="41"/>
  <c r="P89" i="41"/>
  <c r="L89" i="41"/>
  <c r="G89" i="41"/>
  <c r="P88" i="41"/>
  <c r="L88" i="41"/>
  <c r="G88" i="41"/>
  <c r="P87" i="41"/>
  <c r="L87" i="41"/>
  <c r="G87" i="41"/>
  <c r="P86" i="41"/>
  <c r="L86" i="41"/>
  <c r="G86" i="41"/>
  <c r="P85" i="41"/>
  <c r="L85" i="41"/>
  <c r="G85" i="41"/>
  <c r="P84" i="41"/>
  <c r="L84" i="41"/>
  <c r="G84" i="41"/>
  <c r="P83" i="41"/>
  <c r="L83" i="41"/>
  <c r="G83" i="41"/>
  <c r="P82" i="41"/>
  <c r="P91" i="41" s="1"/>
  <c r="Q92" i="41" s="1"/>
  <c r="L82" i="41"/>
  <c r="G82" i="41"/>
  <c r="G91" i="41" s="1"/>
  <c r="O78" i="41"/>
  <c r="N78" i="41"/>
  <c r="M78" i="41"/>
  <c r="J78" i="41"/>
  <c r="I78" i="41"/>
  <c r="H78" i="41"/>
  <c r="F78" i="41"/>
  <c r="E78" i="41"/>
  <c r="D78" i="41"/>
  <c r="P77" i="41"/>
  <c r="L77" i="41"/>
  <c r="G77" i="41"/>
  <c r="P76" i="41"/>
  <c r="L76" i="41"/>
  <c r="G76" i="41"/>
  <c r="P75" i="41"/>
  <c r="L75" i="41"/>
  <c r="G75" i="41"/>
  <c r="P74" i="41"/>
  <c r="L74" i="41"/>
  <c r="G74" i="41"/>
  <c r="P73" i="41"/>
  <c r="L73" i="41"/>
  <c r="G73" i="41"/>
  <c r="P72" i="41"/>
  <c r="L72" i="41"/>
  <c r="G72" i="41"/>
  <c r="P71" i="41"/>
  <c r="L71" i="41"/>
  <c r="G71" i="41"/>
  <c r="P70" i="41"/>
  <c r="L70" i="41"/>
  <c r="G70" i="41"/>
  <c r="P69" i="41"/>
  <c r="P78" i="41" s="1"/>
  <c r="L69" i="41"/>
  <c r="L78" i="41" s="1"/>
  <c r="G69" i="41"/>
  <c r="G78" i="41" s="1"/>
  <c r="O65" i="41"/>
  <c r="N65" i="41"/>
  <c r="M65" i="41"/>
  <c r="J65" i="41"/>
  <c r="P64" i="41"/>
  <c r="L64" i="41"/>
  <c r="P63" i="41"/>
  <c r="L63" i="41"/>
  <c r="P62" i="41"/>
  <c r="L62" i="41"/>
  <c r="P61" i="41"/>
  <c r="L61" i="41"/>
  <c r="P60" i="41"/>
  <c r="L60" i="41"/>
  <c r="P59" i="41"/>
  <c r="L59" i="41"/>
  <c r="P58" i="41"/>
  <c r="L58" i="41"/>
  <c r="P57" i="41"/>
  <c r="L57" i="41"/>
  <c r="P56" i="41"/>
  <c r="P65" i="41" s="1"/>
  <c r="L56" i="41"/>
  <c r="L65" i="41" s="1"/>
  <c r="O52" i="41"/>
  <c r="N52" i="41"/>
  <c r="M52" i="41"/>
  <c r="J52" i="41"/>
  <c r="I52" i="41"/>
  <c r="H52" i="41"/>
  <c r="F52" i="41"/>
  <c r="E52" i="41"/>
  <c r="D52" i="41"/>
  <c r="P51" i="41"/>
  <c r="L51" i="41"/>
  <c r="G51" i="41"/>
  <c r="P50" i="41"/>
  <c r="L50" i="41"/>
  <c r="G50" i="41"/>
  <c r="P49" i="41"/>
  <c r="L49" i="41"/>
  <c r="G49" i="41"/>
  <c r="P48" i="41"/>
  <c r="L48" i="41"/>
  <c r="G48" i="41"/>
  <c r="P47" i="41"/>
  <c r="L47" i="41"/>
  <c r="G47" i="41"/>
  <c r="P46" i="41"/>
  <c r="L46" i="41"/>
  <c r="G46" i="41"/>
  <c r="P45" i="41"/>
  <c r="L45" i="41"/>
  <c r="G45" i="41"/>
  <c r="P44" i="41"/>
  <c r="L44" i="41"/>
  <c r="G44" i="41"/>
  <c r="P43" i="41"/>
  <c r="P52" i="41" s="1"/>
  <c r="L43" i="41"/>
  <c r="L52" i="41" s="1"/>
  <c r="G43" i="41"/>
  <c r="G52" i="41" s="1"/>
  <c r="O38" i="41"/>
  <c r="N38" i="41"/>
  <c r="M38" i="41"/>
  <c r="J38" i="41"/>
  <c r="I38" i="41"/>
  <c r="H38" i="41"/>
  <c r="F38" i="41"/>
  <c r="E38" i="41"/>
  <c r="D38" i="41"/>
  <c r="P37" i="41"/>
  <c r="L37" i="41"/>
  <c r="G37" i="41"/>
  <c r="P36" i="41"/>
  <c r="L36" i="41"/>
  <c r="G36" i="41"/>
  <c r="P35" i="41"/>
  <c r="L35" i="41"/>
  <c r="G35" i="41"/>
  <c r="P34" i="41"/>
  <c r="L34" i="41"/>
  <c r="G34" i="41"/>
  <c r="P33" i="41"/>
  <c r="L33" i="41"/>
  <c r="G33" i="41"/>
  <c r="P32" i="41"/>
  <c r="L32" i="41"/>
  <c r="G32" i="41"/>
  <c r="P31" i="41"/>
  <c r="L31" i="41"/>
  <c r="G31" i="41"/>
  <c r="P30" i="41"/>
  <c r="L30" i="41"/>
  <c r="G30" i="41"/>
  <c r="P29" i="41"/>
  <c r="P38" i="41" s="1"/>
  <c r="L29" i="41"/>
  <c r="L38" i="41" s="1"/>
  <c r="G29" i="41"/>
  <c r="G38" i="41" s="1"/>
  <c r="O14" i="41"/>
  <c r="N14" i="41"/>
  <c r="M14" i="41"/>
  <c r="P14" i="41" s="1"/>
  <c r="J14" i="41"/>
  <c r="I14" i="41"/>
  <c r="H14" i="41"/>
  <c r="L14" i="41" s="1"/>
  <c r="F14" i="41"/>
  <c r="E14" i="41"/>
  <c r="D14" i="41"/>
  <c r="G14" i="41" s="1"/>
  <c r="O13" i="41"/>
  <c r="N13" i="41"/>
  <c r="M13" i="41"/>
  <c r="P13" i="41" s="1"/>
  <c r="J13" i="41"/>
  <c r="I13" i="41"/>
  <c r="H13" i="41"/>
  <c r="L13" i="41" s="1"/>
  <c r="F13" i="41"/>
  <c r="E13" i="41"/>
  <c r="D13" i="41"/>
  <c r="G13" i="41" s="1"/>
  <c r="O12" i="41"/>
  <c r="N12" i="41"/>
  <c r="M12" i="41"/>
  <c r="P12" i="41" s="1"/>
  <c r="J12" i="41"/>
  <c r="I12" i="41"/>
  <c r="H12" i="41"/>
  <c r="L12" i="41" s="1"/>
  <c r="F12" i="41"/>
  <c r="E12" i="41"/>
  <c r="D12" i="41"/>
  <c r="G12" i="41" s="1"/>
  <c r="O11" i="41"/>
  <c r="N11" i="41"/>
  <c r="M11" i="41"/>
  <c r="P11" i="41" s="1"/>
  <c r="J11" i="41"/>
  <c r="I11" i="41"/>
  <c r="H11" i="41"/>
  <c r="L11" i="41" s="1"/>
  <c r="F11" i="41"/>
  <c r="E11" i="41"/>
  <c r="D11" i="41"/>
  <c r="G11" i="41" s="1"/>
  <c r="S10" i="41"/>
  <c r="T10" i="41" s="1"/>
  <c r="O10" i="41"/>
  <c r="N10" i="41"/>
  <c r="M10" i="41"/>
  <c r="P10" i="41" s="1"/>
  <c r="J10" i="41"/>
  <c r="I10" i="41"/>
  <c r="H10" i="41"/>
  <c r="L10" i="41" s="1"/>
  <c r="F10" i="41"/>
  <c r="E10" i="41"/>
  <c r="D10" i="41"/>
  <c r="G10" i="41" s="1"/>
  <c r="S9" i="41"/>
  <c r="T9" i="41" s="1"/>
  <c r="O9" i="41"/>
  <c r="N9" i="41"/>
  <c r="M9" i="41"/>
  <c r="P9" i="41" s="1"/>
  <c r="J9" i="41"/>
  <c r="I9" i="41"/>
  <c r="H9" i="41"/>
  <c r="L9" i="41" s="1"/>
  <c r="F9" i="41"/>
  <c r="E9" i="41"/>
  <c r="D9" i="41"/>
  <c r="G9" i="41" s="1"/>
  <c r="S8" i="41"/>
  <c r="T8" i="41" s="1"/>
  <c r="O8" i="41"/>
  <c r="N8" i="41"/>
  <c r="M8" i="41"/>
  <c r="P8" i="41" s="1"/>
  <c r="J8" i="41"/>
  <c r="I8" i="41"/>
  <c r="H8" i="41"/>
  <c r="L8" i="41" s="1"/>
  <c r="F8" i="41"/>
  <c r="E8" i="41"/>
  <c r="D8" i="41"/>
  <c r="G8" i="41" s="1"/>
  <c r="S7" i="41"/>
  <c r="T7" i="41" s="1"/>
  <c r="O7" i="41"/>
  <c r="N7" i="41"/>
  <c r="M7" i="41"/>
  <c r="P7" i="41" s="1"/>
  <c r="J7" i="41"/>
  <c r="I7" i="41"/>
  <c r="H7" i="41"/>
  <c r="L7" i="41" s="1"/>
  <c r="F7" i="41"/>
  <c r="E7" i="41"/>
  <c r="D7" i="41"/>
  <c r="G7" i="41" s="1"/>
  <c r="S6" i="41"/>
  <c r="T6" i="41" s="1"/>
  <c r="O6" i="41"/>
  <c r="O15" i="41" s="1"/>
  <c r="N6" i="41"/>
  <c r="N15" i="41" s="1"/>
  <c r="M6" i="41"/>
  <c r="J6" i="41"/>
  <c r="J15" i="41" s="1"/>
  <c r="I6" i="41"/>
  <c r="I15" i="41" s="1"/>
  <c r="H6" i="41"/>
  <c r="F6" i="41"/>
  <c r="F15" i="41" s="1"/>
  <c r="E6" i="41"/>
  <c r="E15" i="41" s="1"/>
  <c r="D6" i="41"/>
  <c r="S5" i="41"/>
  <c r="N473" i="135"/>
  <c r="M473" i="135"/>
  <c r="L473" i="135"/>
  <c r="K473" i="135"/>
  <c r="J473" i="135"/>
  <c r="I473" i="135"/>
  <c r="H473" i="135"/>
  <c r="G473" i="135"/>
  <c r="F473" i="135"/>
  <c r="E473" i="135"/>
  <c r="D473" i="135"/>
  <c r="N451" i="135"/>
  <c r="M451" i="135"/>
  <c r="L451" i="135"/>
  <c r="K451" i="135"/>
  <c r="J451" i="135"/>
  <c r="I451" i="135"/>
  <c r="H451" i="135"/>
  <c r="G451" i="135"/>
  <c r="F451" i="135"/>
  <c r="E451" i="135"/>
  <c r="D451" i="135"/>
  <c r="N435" i="135"/>
  <c r="M435" i="135"/>
  <c r="L435" i="135"/>
  <c r="K435" i="135"/>
  <c r="J435" i="135"/>
  <c r="I435" i="135"/>
  <c r="H435" i="135"/>
  <c r="G435" i="135"/>
  <c r="F435" i="135"/>
  <c r="E435" i="135"/>
  <c r="N419" i="135"/>
  <c r="M419" i="135"/>
  <c r="L419" i="135"/>
  <c r="K419" i="135"/>
  <c r="J419" i="135"/>
  <c r="I419" i="135"/>
  <c r="H419" i="135"/>
  <c r="G419" i="135"/>
  <c r="F419" i="135"/>
  <c r="E419" i="135"/>
  <c r="C419" i="135"/>
  <c r="N402" i="135"/>
  <c r="M402" i="135"/>
  <c r="L402" i="135"/>
  <c r="K402" i="135"/>
  <c r="J402" i="135"/>
  <c r="I402" i="135"/>
  <c r="H402" i="135"/>
  <c r="G402" i="135"/>
  <c r="F402" i="135"/>
  <c r="E402" i="135"/>
  <c r="D402" i="135"/>
  <c r="N386" i="135"/>
  <c r="K386" i="135"/>
  <c r="J386" i="135"/>
  <c r="G386" i="135"/>
  <c r="F386" i="135"/>
  <c r="C386" i="135"/>
  <c r="N370" i="135"/>
  <c r="K370" i="135"/>
  <c r="J370" i="135"/>
  <c r="G370" i="135"/>
  <c r="F370" i="135"/>
  <c r="C370" i="135"/>
  <c r="N337" i="135"/>
  <c r="M337" i="135"/>
  <c r="L337" i="135"/>
  <c r="K337" i="135"/>
  <c r="J337" i="135"/>
  <c r="I337" i="135"/>
  <c r="H337" i="135"/>
  <c r="G337" i="135"/>
  <c r="F337" i="135"/>
  <c r="E337" i="135"/>
  <c r="N321" i="135"/>
  <c r="M321" i="135"/>
  <c r="L321" i="135"/>
  <c r="K321" i="135"/>
  <c r="J321" i="135"/>
  <c r="I321" i="135"/>
  <c r="H321" i="135"/>
  <c r="G321" i="135"/>
  <c r="F321" i="135"/>
  <c r="E321" i="135"/>
  <c r="D321" i="135"/>
  <c r="N304" i="135"/>
  <c r="M304" i="135"/>
  <c r="L304" i="135"/>
  <c r="K304" i="135"/>
  <c r="J304" i="135"/>
  <c r="I304" i="135"/>
  <c r="H304" i="135"/>
  <c r="G304" i="135"/>
  <c r="F304" i="135"/>
  <c r="E304" i="135"/>
  <c r="D304" i="135"/>
  <c r="C304" i="135"/>
  <c r="N288" i="135"/>
  <c r="M288" i="135"/>
  <c r="L288" i="135"/>
  <c r="K288" i="135"/>
  <c r="J288" i="135"/>
  <c r="I288" i="135"/>
  <c r="H288" i="135"/>
  <c r="G288" i="135"/>
  <c r="F288" i="135"/>
  <c r="E288" i="135"/>
  <c r="D288" i="135"/>
  <c r="N270" i="135"/>
  <c r="M270" i="135"/>
  <c r="L270" i="135"/>
  <c r="K270" i="135"/>
  <c r="J270" i="135"/>
  <c r="I270" i="135"/>
  <c r="H270" i="135"/>
  <c r="G270" i="135"/>
  <c r="F270" i="135"/>
  <c r="E270" i="135"/>
  <c r="D270" i="135"/>
  <c r="N254" i="135"/>
  <c r="M254" i="135"/>
  <c r="L254" i="135"/>
  <c r="K254" i="135"/>
  <c r="J254" i="135"/>
  <c r="I254" i="135"/>
  <c r="H254" i="135"/>
  <c r="G254" i="135"/>
  <c r="F254" i="135"/>
  <c r="E254" i="135"/>
  <c r="D254" i="135"/>
  <c r="C254" i="135"/>
  <c r="N238" i="135"/>
  <c r="M238" i="135"/>
  <c r="L238" i="135"/>
  <c r="K238" i="135"/>
  <c r="J238" i="135"/>
  <c r="I238" i="135"/>
  <c r="H238" i="135"/>
  <c r="G238" i="135"/>
  <c r="F238" i="135"/>
  <c r="E238" i="135"/>
  <c r="D238" i="135"/>
  <c r="C238" i="135"/>
  <c r="N221" i="135"/>
  <c r="L221" i="135"/>
  <c r="J221" i="135"/>
  <c r="H221" i="135"/>
  <c r="F221" i="135"/>
  <c r="D221" i="135"/>
  <c r="N205" i="135"/>
  <c r="K205" i="135"/>
  <c r="J205" i="135"/>
  <c r="G205" i="135"/>
  <c r="F205" i="135"/>
  <c r="C205" i="135"/>
  <c r="N189" i="135"/>
  <c r="K189" i="135"/>
  <c r="J189" i="135"/>
  <c r="G189" i="135"/>
  <c r="F189" i="135"/>
  <c r="C189" i="135"/>
  <c r="N172" i="135"/>
  <c r="L172" i="135"/>
  <c r="J172" i="135"/>
  <c r="H172" i="135"/>
  <c r="F172" i="135"/>
  <c r="D172" i="135"/>
  <c r="N156" i="135"/>
  <c r="M156" i="135"/>
  <c r="L156" i="135"/>
  <c r="K156" i="135"/>
  <c r="J156" i="135"/>
  <c r="I156" i="135"/>
  <c r="H156" i="135"/>
  <c r="G156" i="135"/>
  <c r="F156" i="135"/>
  <c r="E156" i="135"/>
  <c r="D156" i="135"/>
  <c r="C156" i="135"/>
  <c r="N140" i="135"/>
  <c r="M140" i="135"/>
  <c r="L140" i="135"/>
  <c r="K140" i="135"/>
  <c r="J140" i="135"/>
  <c r="I140" i="135"/>
  <c r="H140" i="135"/>
  <c r="G140" i="135"/>
  <c r="F140" i="135"/>
  <c r="E140" i="135"/>
  <c r="D140" i="135"/>
  <c r="C140" i="135"/>
  <c r="N123" i="135"/>
  <c r="L123" i="135"/>
  <c r="J123" i="135"/>
  <c r="H123" i="135"/>
  <c r="F123" i="135"/>
  <c r="D123" i="135"/>
  <c r="N108" i="135"/>
  <c r="L108" i="135"/>
  <c r="J108" i="135"/>
  <c r="H108" i="135"/>
  <c r="F108" i="135"/>
  <c r="D108" i="135"/>
  <c r="N93" i="135"/>
  <c r="L93" i="135"/>
  <c r="J93" i="135"/>
  <c r="H93" i="135"/>
  <c r="F93" i="135"/>
  <c r="D93" i="135"/>
  <c r="N77" i="135"/>
  <c r="M77" i="135"/>
  <c r="L77" i="135"/>
  <c r="K77" i="135"/>
  <c r="J77" i="135"/>
  <c r="I77" i="135"/>
  <c r="H77" i="135"/>
  <c r="G77" i="135"/>
  <c r="F77" i="135"/>
  <c r="E77" i="135"/>
  <c r="D77" i="135"/>
  <c r="C77" i="135"/>
  <c r="N62" i="135"/>
  <c r="L62" i="135"/>
  <c r="J62" i="135"/>
  <c r="H62" i="135"/>
  <c r="F62" i="135"/>
  <c r="D62" i="135"/>
  <c r="N47" i="135"/>
  <c r="M47" i="135"/>
  <c r="L47" i="135"/>
  <c r="K47" i="135"/>
  <c r="J47" i="135"/>
  <c r="I47" i="135"/>
  <c r="H47" i="135"/>
  <c r="G47" i="135"/>
  <c r="F47" i="135"/>
  <c r="E47" i="135"/>
  <c r="D47" i="135"/>
  <c r="C47" i="135"/>
  <c r="N31" i="135"/>
  <c r="M31" i="135"/>
  <c r="L31" i="135"/>
  <c r="K31" i="135"/>
  <c r="J31" i="135"/>
  <c r="I31" i="135"/>
  <c r="H31" i="135"/>
  <c r="G31" i="135"/>
  <c r="F31" i="135"/>
  <c r="E31" i="135"/>
  <c r="D31" i="135"/>
  <c r="C31" i="135"/>
  <c r="M15" i="135"/>
  <c r="L15" i="135"/>
  <c r="K15" i="135"/>
  <c r="N15" i="135" s="1"/>
  <c r="I15" i="135"/>
  <c r="H15" i="135"/>
  <c r="G15" i="135"/>
  <c r="J15" i="135" s="1"/>
  <c r="E15" i="135"/>
  <c r="D15" i="135"/>
  <c r="C15" i="135"/>
  <c r="F15" i="135" s="1"/>
  <c r="M14" i="135"/>
  <c r="L14" i="135"/>
  <c r="K14" i="135"/>
  <c r="N14" i="135" s="1"/>
  <c r="I14" i="135"/>
  <c r="H14" i="135"/>
  <c r="G14" i="135"/>
  <c r="J14" i="135" s="1"/>
  <c r="E14" i="135"/>
  <c r="D14" i="135"/>
  <c r="C14" i="135"/>
  <c r="F14" i="135" s="1"/>
  <c r="M13" i="135"/>
  <c r="L13" i="135"/>
  <c r="K13" i="135"/>
  <c r="N13" i="135" s="1"/>
  <c r="I13" i="135"/>
  <c r="H13" i="135"/>
  <c r="G13" i="135"/>
  <c r="J13" i="135" s="1"/>
  <c r="E13" i="135"/>
  <c r="D13" i="135"/>
  <c r="C13" i="135"/>
  <c r="F13" i="135" s="1"/>
  <c r="M12" i="135"/>
  <c r="L12" i="135"/>
  <c r="K12" i="135"/>
  <c r="N12" i="135" s="1"/>
  <c r="I12" i="135"/>
  <c r="H12" i="135"/>
  <c r="G12" i="135"/>
  <c r="J12" i="135" s="1"/>
  <c r="E12" i="135"/>
  <c r="D12" i="135"/>
  <c r="C12" i="135"/>
  <c r="F12" i="135" s="1"/>
  <c r="M11" i="135"/>
  <c r="L11" i="135"/>
  <c r="K11" i="135"/>
  <c r="N11" i="135" s="1"/>
  <c r="I11" i="135"/>
  <c r="H11" i="135"/>
  <c r="G11" i="135"/>
  <c r="J11" i="135" s="1"/>
  <c r="E11" i="135"/>
  <c r="D11" i="135"/>
  <c r="C11" i="135"/>
  <c r="F11" i="135" s="1"/>
  <c r="M10" i="135"/>
  <c r="L10" i="135"/>
  <c r="K10" i="135"/>
  <c r="N10" i="135" s="1"/>
  <c r="I10" i="135"/>
  <c r="H10" i="135"/>
  <c r="G10" i="135"/>
  <c r="J10" i="135" s="1"/>
  <c r="E10" i="135"/>
  <c r="D10" i="135"/>
  <c r="C10" i="135"/>
  <c r="F10" i="135" s="1"/>
  <c r="M9" i="135"/>
  <c r="L9" i="135"/>
  <c r="K9" i="135"/>
  <c r="N9" i="135" s="1"/>
  <c r="I9" i="135"/>
  <c r="H9" i="135"/>
  <c r="G9" i="135"/>
  <c r="J9" i="135" s="1"/>
  <c r="E9" i="135"/>
  <c r="D9" i="135"/>
  <c r="C9" i="135"/>
  <c r="F9" i="135" s="1"/>
  <c r="M8" i="135"/>
  <c r="L8" i="135"/>
  <c r="K8" i="135"/>
  <c r="N8" i="135" s="1"/>
  <c r="I8" i="135"/>
  <c r="H8" i="135"/>
  <c r="G8" i="135"/>
  <c r="J8" i="135" s="1"/>
  <c r="E8" i="135"/>
  <c r="D8" i="135"/>
  <c r="C8" i="135"/>
  <c r="F8" i="135" s="1"/>
  <c r="M7" i="135"/>
  <c r="M16" i="135" s="1"/>
  <c r="L7" i="135"/>
  <c r="L16" i="135" s="1"/>
  <c r="K7" i="135"/>
  <c r="K16" i="135" s="1"/>
  <c r="I7" i="135"/>
  <c r="I16" i="135" s="1"/>
  <c r="H7" i="135"/>
  <c r="H16" i="135" s="1"/>
  <c r="G7" i="135"/>
  <c r="E7" i="135"/>
  <c r="E16" i="135" s="1"/>
  <c r="D7" i="135"/>
  <c r="D16" i="135" s="1"/>
  <c r="C7" i="135"/>
  <c r="G121" i="134"/>
  <c r="G123" i="134" s="1"/>
  <c r="F121" i="134"/>
  <c r="F123" i="134" s="1"/>
  <c r="E121" i="134"/>
  <c r="E123" i="134" s="1"/>
  <c r="D121" i="134"/>
  <c r="D123" i="134" s="1"/>
  <c r="C121" i="134"/>
  <c r="C123" i="134" s="1"/>
  <c r="H120" i="134"/>
  <c r="H119" i="134"/>
  <c r="H118" i="134"/>
  <c r="H117" i="134"/>
  <c r="H116" i="134"/>
  <c r="H115" i="134"/>
  <c r="H114" i="134"/>
  <c r="H113" i="134"/>
  <c r="H112" i="134"/>
  <c r="H111" i="134"/>
  <c r="H110" i="134"/>
  <c r="H109" i="134"/>
  <c r="H108" i="134"/>
  <c r="H107" i="134"/>
  <c r="H121" i="134" s="1"/>
  <c r="H123" i="134" s="1"/>
  <c r="G96" i="134"/>
  <c r="G98" i="134" s="1"/>
  <c r="F96" i="134"/>
  <c r="F98" i="134" s="1"/>
  <c r="E96" i="134"/>
  <c r="E98" i="134" s="1"/>
  <c r="D96" i="134"/>
  <c r="D98" i="134" s="1"/>
  <c r="C96" i="134"/>
  <c r="C98" i="134" s="1"/>
  <c r="H95" i="134"/>
  <c r="H94" i="134"/>
  <c r="H93" i="134"/>
  <c r="H92" i="134"/>
  <c r="H91" i="134"/>
  <c r="H90" i="134"/>
  <c r="H89" i="134"/>
  <c r="H88" i="134"/>
  <c r="H87" i="134"/>
  <c r="H86" i="134"/>
  <c r="H85" i="134"/>
  <c r="H84" i="134"/>
  <c r="H83" i="134"/>
  <c r="H82" i="134"/>
  <c r="H96" i="134" s="1"/>
  <c r="H98" i="134" s="1"/>
  <c r="G72" i="134"/>
  <c r="G74" i="134" s="1"/>
  <c r="F72" i="134"/>
  <c r="F74" i="134" s="1"/>
  <c r="E72" i="134"/>
  <c r="E74" i="134" s="1"/>
  <c r="D72" i="134"/>
  <c r="D74" i="134" s="1"/>
  <c r="C72" i="134"/>
  <c r="C74" i="134" s="1"/>
  <c r="H71" i="134"/>
  <c r="H70" i="134"/>
  <c r="H69" i="134"/>
  <c r="H68" i="134"/>
  <c r="H67" i="134"/>
  <c r="H66" i="134"/>
  <c r="H65" i="134"/>
  <c r="H64" i="134"/>
  <c r="H63" i="134"/>
  <c r="H62" i="134"/>
  <c r="H61" i="134"/>
  <c r="H60" i="134"/>
  <c r="H59" i="134"/>
  <c r="H58" i="134"/>
  <c r="H72" i="134" s="1"/>
  <c r="H74" i="134" s="1"/>
  <c r="G47" i="134"/>
  <c r="G49" i="134" s="1"/>
  <c r="F47" i="134"/>
  <c r="F49" i="134" s="1"/>
  <c r="E47" i="134"/>
  <c r="E49" i="134" s="1"/>
  <c r="D47" i="134"/>
  <c r="D49" i="134" s="1"/>
  <c r="C47" i="134"/>
  <c r="C49" i="134" s="1"/>
  <c r="H46" i="134"/>
  <c r="H45" i="134"/>
  <c r="H44" i="134"/>
  <c r="H43" i="134"/>
  <c r="H42" i="134"/>
  <c r="H41" i="134"/>
  <c r="H40" i="134"/>
  <c r="H39" i="134"/>
  <c r="H38" i="134"/>
  <c r="H37" i="134"/>
  <c r="H36" i="134"/>
  <c r="H35" i="134"/>
  <c r="H34" i="134"/>
  <c r="H33" i="134"/>
  <c r="G23" i="134"/>
  <c r="G25" i="134" s="1"/>
  <c r="F23" i="134"/>
  <c r="F25" i="134" s="1"/>
  <c r="E23" i="134"/>
  <c r="E25" i="134" s="1"/>
  <c r="D23" i="134"/>
  <c r="D25" i="134" s="1"/>
  <c r="C23" i="134"/>
  <c r="C25" i="134" s="1"/>
  <c r="H22" i="134"/>
  <c r="H21" i="134"/>
  <c r="H20" i="134"/>
  <c r="H19" i="134"/>
  <c r="H18" i="134"/>
  <c r="H17" i="134"/>
  <c r="H16" i="134"/>
  <c r="H15" i="134"/>
  <c r="H14" i="134"/>
  <c r="H13" i="134"/>
  <c r="H12" i="134"/>
  <c r="H11" i="134"/>
  <c r="H10" i="134"/>
  <c r="H9" i="134"/>
  <c r="H23" i="134" s="1"/>
  <c r="H25" i="134" s="1"/>
  <c r="I33" i="98"/>
  <c r="I35" i="98" s="1"/>
  <c r="H33" i="98"/>
  <c r="G33" i="98"/>
  <c r="F33" i="98"/>
  <c r="F35" i="98" s="1"/>
  <c r="E33" i="98"/>
  <c r="E35" i="98" s="1"/>
  <c r="I22" i="98"/>
  <c r="I24" i="98" s="1"/>
  <c r="H22" i="98"/>
  <c r="H24" i="98" s="1"/>
  <c r="G22" i="98"/>
  <c r="G24" i="98" s="1"/>
  <c r="F22" i="98"/>
  <c r="F24" i="98" s="1"/>
  <c r="E22" i="98"/>
  <c r="E24" i="98" s="1"/>
  <c r="I11" i="98"/>
  <c r="I13" i="98" s="1"/>
  <c r="H11" i="98"/>
  <c r="H13" i="98" s="1"/>
  <c r="G11" i="98"/>
  <c r="G13" i="98" s="1"/>
  <c r="F11" i="98"/>
  <c r="F13" i="98" s="1"/>
  <c r="E11" i="98"/>
  <c r="E13" i="98" s="1"/>
  <c r="G120" i="133"/>
  <c r="G122" i="133" s="1"/>
  <c r="F120" i="133"/>
  <c r="F122" i="133" s="1"/>
  <c r="E120" i="133"/>
  <c r="E122" i="133" s="1"/>
  <c r="D120" i="133"/>
  <c r="D122" i="133" s="1"/>
  <c r="C120" i="133"/>
  <c r="H119" i="133"/>
  <c r="H118" i="133"/>
  <c r="H117" i="133"/>
  <c r="H116" i="133"/>
  <c r="H115" i="133"/>
  <c r="H114" i="133"/>
  <c r="H113" i="133"/>
  <c r="H112" i="133"/>
  <c r="H111" i="133"/>
  <c r="H110" i="133"/>
  <c r="H109" i="133"/>
  <c r="H108" i="133"/>
  <c r="H107" i="133"/>
  <c r="H106" i="133"/>
  <c r="G95" i="133"/>
  <c r="G97" i="133" s="1"/>
  <c r="F95" i="133"/>
  <c r="F97" i="133" s="1"/>
  <c r="E95" i="133"/>
  <c r="E97" i="133" s="1"/>
  <c r="D95" i="133"/>
  <c r="D97" i="133" s="1"/>
  <c r="C95" i="133"/>
  <c r="H94" i="133"/>
  <c r="H93" i="133"/>
  <c r="H92" i="133"/>
  <c r="H91" i="133"/>
  <c r="H90" i="133"/>
  <c r="H89" i="133"/>
  <c r="H88" i="133"/>
  <c r="H87" i="133"/>
  <c r="H86" i="133"/>
  <c r="H85" i="133"/>
  <c r="H84" i="133"/>
  <c r="H83" i="133"/>
  <c r="H82" i="133"/>
  <c r="H81" i="133"/>
  <c r="G70" i="133"/>
  <c r="G72" i="133" s="1"/>
  <c r="F70" i="133"/>
  <c r="F72" i="133" s="1"/>
  <c r="E70" i="133"/>
  <c r="E72" i="133" s="1"/>
  <c r="D70" i="133"/>
  <c r="D72" i="133" s="1"/>
  <c r="C70" i="133"/>
  <c r="H69" i="133"/>
  <c r="H68" i="133"/>
  <c r="H67" i="133"/>
  <c r="H66" i="133"/>
  <c r="H65" i="133"/>
  <c r="H64" i="133"/>
  <c r="H63" i="133"/>
  <c r="H62" i="133"/>
  <c r="H61" i="133"/>
  <c r="H60" i="133"/>
  <c r="H59" i="133"/>
  <c r="H58" i="133"/>
  <c r="H57" i="133"/>
  <c r="H56" i="133"/>
  <c r="G47" i="133"/>
  <c r="F45" i="133"/>
  <c r="F47" i="133" s="1"/>
  <c r="E45" i="133"/>
  <c r="E47" i="133" s="1"/>
  <c r="D45" i="133"/>
  <c r="C47" i="133"/>
  <c r="H44" i="133"/>
  <c r="H43" i="133"/>
  <c r="H42" i="133"/>
  <c r="H41" i="133"/>
  <c r="H40" i="133"/>
  <c r="H39" i="133"/>
  <c r="H38" i="133"/>
  <c r="H37" i="133"/>
  <c r="H36" i="133"/>
  <c r="H35" i="133"/>
  <c r="H34" i="133"/>
  <c r="H33" i="133"/>
  <c r="H32" i="133"/>
  <c r="G22" i="133"/>
  <c r="G24" i="133" s="1"/>
  <c r="F22" i="133"/>
  <c r="F24" i="133" s="1"/>
  <c r="E22" i="133"/>
  <c r="E24" i="133" s="1"/>
  <c r="D22" i="133"/>
  <c r="D24" i="133" s="1"/>
  <c r="C22" i="133"/>
  <c r="H21" i="133"/>
  <c r="H20" i="133"/>
  <c r="H19" i="133"/>
  <c r="H18" i="133"/>
  <c r="H17" i="133"/>
  <c r="H16" i="133"/>
  <c r="H15" i="133"/>
  <c r="H14" i="133"/>
  <c r="H13" i="133"/>
  <c r="H12" i="133"/>
  <c r="H11" i="133"/>
  <c r="H10" i="133"/>
  <c r="H9" i="133"/>
  <c r="H8" i="133"/>
  <c r="G117" i="132"/>
  <c r="G119" i="132" s="1"/>
  <c r="F117" i="132"/>
  <c r="F119" i="132" s="1"/>
  <c r="E117" i="132"/>
  <c r="E119" i="132" s="1"/>
  <c r="D117" i="132"/>
  <c r="D119" i="132" s="1"/>
  <c r="C117" i="132"/>
  <c r="H116" i="132"/>
  <c r="H115" i="132"/>
  <c r="H114" i="132"/>
  <c r="H113" i="132"/>
  <c r="H112" i="132"/>
  <c r="H111" i="132"/>
  <c r="H110" i="132"/>
  <c r="H109" i="132"/>
  <c r="H108" i="132"/>
  <c r="H107" i="132"/>
  <c r="H106" i="132"/>
  <c r="H105" i="132"/>
  <c r="H104" i="132"/>
  <c r="H103" i="132"/>
  <c r="G93" i="132"/>
  <c r="G95" i="132" s="1"/>
  <c r="F93" i="132"/>
  <c r="F95" i="132" s="1"/>
  <c r="E93" i="132"/>
  <c r="E95" i="132" s="1"/>
  <c r="D93" i="132"/>
  <c r="D95" i="132" s="1"/>
  <c r="C93" i="132"/>
  <c r="H92" i="132"/>
  <c r="H91" i="132"/>
  <c r="H90" i="132"/>
  <c r="H89" i="132"/>
  <c r="H88" i="132"/>
  <c r="H87" i="132"/>
  <c r="H86" i="132"/>
  <c r="H85" i="132"/>
  <c r="H84" i="132"/>
  <c r="H83" i="132"/>
  <c r="H82" i="132"/>
  <c r="H81" i="132"/>
  <c r="H80" i="132"/>
  <c r="H79" i="132"/>
  <c r="G69" i="132"/>
  <c r="G71" i="132" s="1"/>
  <c r="F69" i="132"/>
  <c r="F71" i="132" s="1"/>
  <c r="E69" i="132"/>
  <c r="E71" i="132" s="1"/>
  <c r="D69" i="132"/>
  <c r="D71" i="132" s="1"/>
  <c r="C69" i="132"/>
  <c r="H68" i="132"/>
  <c r="H67" i="132"/>
  <c r="H66" i="132"/>
  <c r="H65" i="132"/>
  <c r="H64" i="132"/>
  <c r="H63" i="132"/>
  <c r="H62" i="132"/>
  <c r="H61" i="132"/>
  <c r="H60" i="132"/>
  <c r="H59" i="132"/>
  <c r="H58" i="132"/>
  <c r="H57" i="132"/>
  <c r="H56" i="132"/>
  <c r="H55" i="132"/>
  <c r="G45" i="132"/>
  <c r="G47" i="132" s="1"/>
  <c r="F45" i="132"/>
  <c r="F47" i="132" s="1"/>
  <c r="E45" i="132"/>
  <c r="E47" i="132" s="1"/>
  <c r="D45" i="132"/>
  <c r="D47" i="132" s="1"/>
  <c r="C45" i="132"/>
  <c r="H44" i="132"/>
  <c r="H43" i="132"/>
  <c r="H42" i="132"/>
  <c r="H41" i="132"/>
  <c r="H40" i="132"/>
  <c r="H39" i="132"/>
  <c r="H38" i="132"/>
  <c r="H37" i="132"/>
  <c r="H36" i="132"/>
  <c r="H35" i="132"/>
  <c r="H34" i="132"/>
  <c r="H33" i="132"/>
  <c r="H32" i="132"/>
  <c r="H31" i="132"/>
  <c r="G22" i="132"/>
  <c r="G24" i="132" s="1"/>
  <c r="F22" i="132"/>
  <c r="F24" i="132" s="1"/>
  <c r="E22" i="132"/>
  <c r="E24" i="132" s="1"/>
  <c r="D22" i="132"/>
  <c r="D24" i="132" s="1"/>
  <c r="C22" i="132"/>
  <c r="H21" i="132"/>
  <c r="H20" i="132"/>
  <c r="H19" i="132"/>
  <c r="H18" i="132"/>
  <c r="H17" i="132"/>
  <c r="H16" i="132"/>
  <c r="H15" i="132"/>
  <c r="H14" i="132"/>
  <c r="H13" i="132"/>
  <c r="H12" i="132"/>
  <c r="H11" i="132"/>
  <c r="H10" i="132"/>
  <c r="H9" i="132"/>
  <c r="H8" i="132"/>
  <c r="I42" i="131"/>
  <c r="H42" i="131"/>
  <c r="G42" i="131"/>
  <c r="F42" i="131"/>
  <c r="E42" i="131"/>
  <c r="D42" i="131"/>
  <c r="C42" i="131"/>
  <c r="I23" i="131"/>
  <c r="H23" i="131"/>
  <c r="G23" i="131"/>
  <c r="F23" i="131"/>
  <c r="F25" i="131" s="1"/>
  <c r="E17" i="131"/>
  <c r="E28" i="131" s="1"/>
  <c r="E39" i="131" s="1"/>
  <c r="E45" i="131" s="1"/>
  <c r="E50" i="131" s="1"/>
  <c r="F14" i="131"/>
  <c r="I12" i="131"/>
  <c r="I14" i="131" s="1"/>
  <c r="H12" i="131"/>
  <c r="H14" i="131" s="1"/>
  <c r="G12" i="131"/>
  <c r="G14" i="131" s="1"/>
  <c r="H103" i="130"/>
  <c r="G103" i="130"/>
  <c r="F103" i="130"/>
  <c r="E103" i="130"/>
  <c r="D103" i="130"/>
  <c r="C103" i="130"/>
  <c r="I103" i="130" s="1"/>
  <c r="I102" i="130"/>
  <c r="I101" i="130"/>
  <c r="I100" i="130"/>
  <c r="I99" i="130"/>
  <c r="I98" i="130"/>
  <c r="I97" i="130"/>
  <c r="I96" i="130"/>
  <c r="I95" i="130"/>
  <c r="I94" i="130"/>
  <c r="I93" i="130"/>
  <c r="I92" i="130"/>
  <c r="I91" i="130"/>
  <c r="I90" i="130"/>
  <c r="I89" i="130"/>
  <c r="H82" i="130"/>
  <c r="G82" i="130"/>
  <c r="F82" i="130"/>
  <c r="E82" i="130"/>
  <c r="D82" i="130"/>
  <c r="C82" i="130"/>
  <c r="I82" i="130" s="1"/>
  <c r="I81" i="130"/>
  <c r="I80" i="130"/>
  <c r="I79" i="130"/>
  <c r="I78" i="130"/>
  <c r="I77" i="130"/>
  <c r="I76" i="130"/>
  <c r="I75" i="130"/>
  <c r="I74" i="130"/>
  <c r="I73" i="130"/>
  <c r="I72" i="130"/>
  <c r="I71" i="130"/>
  <c r="I70" i="130"/>
  <c r="I69" i="130"/>
  <c r="I68" i="130"/>
  <c r="H61" i="130"/>
  <c r="G61" i="130"/>
  <c r="F61" i="130"/>
  <c r="E61" i="130"/>
  <c r="D61" i="130"/>
  <c r="C61" i="130"/>
  <c r="I61" i="130" s="1"/>
  <c r="I60" i="130"/>
  <c r="I59" i="130"/>
  <c r="I58" i="130"/>
  <c r="I57" i="130"/>
  <c r="I56" i="130"/>
  <c r="I55" i="130"/>
  <c r="I54" i="130"/>
  <c r="I53" i="130"/>
  <c r="I52" i="130"/>
  <c r="I51" i="130"/>
  <c r="I50" i="130"/>
  <c r="I49" i="130"/>
  <c r="I48" i="130"/>
  <c r="I47" i="130"/>
  <c r="H40" i="130"/>
  <c r="G40" i="130"/>
  <c r="F40" i="130"/>
  <c r="E40" i="130"/>
  <c r="D40" i="130"/>
  <c r="C40" i="130"/>
  <c r="I40" i="130" s="1"/>
  <c r="I39" i="130"/>
  <c r="I38" i="130"/>
  <c r="I37" i="130"/>
  <c r="I36" i="130"/>
  <c r="I35" i="130"/>
  <c r="I34" i="130"/>
  <c r="I33" i="130"/>
  <c r="I32" i="130"/>
  <c r="I31" i="130"/>
  <c r="I30" i="130"/>
  <c r="I29" i="130"/>
  <c r="I28" i="130"/>
  <c r="I27" i="130"/>
  <c r="I26" i="130"/>
  <c r="H21" i="130"/>
  <c r="G21" i="130"/>
  <c r="F21" i="130"/>
  <c r="E21" i="130"/>
  <c r="D21" i="130"/>
  <c r="C21" i="130"/>
  <c r="I21" i="130" s="1"/>
  <c r="I20" i="130"/>
  <c r="I19" i="130"/>
  <c r="I18" i="130"/>
  <c r="I17" i="130"/>
  <c r="I16" i="130"/>
  <c r="I15" i="130"/>
  <c r="I14" i="130"/>
  <c r="I13" i="130"/>
  <c r="I12" i="130"/>
  <c r="I11" i="130"/>
  <c r="I10" i="130"/>
  <c r="I9" i="130"/>
  <c r="I8" i="130"/>
  <c r="I7" i="130"/>
  <c r="H19" i="129"/>
  <c r="G19" i="129"/>
  <c r="F19" i="129"/>
  <c r="D19" i="129"/>
  <c r="C19" i="129"/>
  <c r="J22" i="111"/>
  <c r="I22" i="111"/>
  <c r="H22" i="111"/>
  <c r="G22" i="111"/>
  <c r="E22" i="111"/>
  <c r="D22" i="111"/>
  <c r="C22" i="111"/>
  <c r="J37" i="128"/>
  <c r="I37" i="128"/>
  <c r="H37" i="128"/>
  <c r="G37" i="128"/>
  <c r="F37" i="128"/>
  <c r="E37" i="128"/>
  <c r="D37" i="128"/>
  <c r="C37" i="128"/>
  <c r="J19" i="128"/>
  <c r="I19" i="128"/>
  <c r="H19" i="128"/>
  <c r="G19" i="128"/>
  <c r="F19" i="128"/>
  <c r="E19" i="128"/>
  <c r="D19" i="128"/>
  <c r="G22" i="127"/>
  <c r="F22" i="127"/>
  <c r="E22" i="127"/>
  <c r="D22" i="127"/>
  <c r="C22" i="127"/>
  <c r="J42" i="110"/>
  <c r="I42" i="110"/>
  <c r="H42" i="110"/>
  <c r="G42" i="110"/>
  <c r="F42" i="110"/>
  <c r="E42" i="110"/>
  <c r="D42" i="110"/>
  <c r="C42" i="110"/>
  <c r="J21" i="110"/>
  <c r="I21" i="110"/>
  <c r="H21" i="110"/>
  <c r="G21" i="110"/>
  <c r="F21" i="110"/>
  <c r="E21" i="110"/>
  <c r="D21" i="110"/>
  <c r="C21" i="110"/>
  <c r="F24" i="109"/>
  <c r="E24" i="109"/>
  <c r="D24" i="109"/>
  <c r="G24" i="109" s="1"/>
  <c r="C24" i="109"/>
  <c r="I562" i="143"/>
  <c r="I555" i="143"/>
  <c r="H553" i="143"/>
  <c r="G553" i="143"/>
  <c r="F553" i="143"/>
  <c r="E553" i="143"/>
  <c r="D553" i="143"/>
  <c r="C553" i="143"/>
  <c r="I552" i="143"/>
  <c r="I551" i="143"/>
  <c r="I550" i="143"/>
  <c r="I549" i="143"/>
  <c r="I548" i="143"/>
  <c r="I547" i="143"/>
  <c r="I546" i="143"/>
  <c r="I545" i="143"/>
  <c r="I544" i="143"/>
  <c r="I543" i="143"/>
  <c r="I542" i="143"/>
  <c r="I541" i="143"/>
  <c r="I524" i="143"/>
  <c r="I517" i="143"/>
  <c r="I515" i="143"/>
  <c r="I527" i="143" s="1"/>
  <c r="I529" i="143" s="1"/>
  <c r="I531" i="143" s="1"/>
  <c r="I514" i="143"/>
  <c r="I513" i="143"/>
  <c r="I512" i="143"/>
  <c r="I511" i="143"/>
  <c r="I510" i="143"/>
  <c r="I509" i="143"/>
  <c r="I508" i="143"/>
  <c r="I507" i="143"/>
  <c r="I506" i="143"/>
  <c r="I505" i="143"/>
  <c r="I504" i="143"/>
  <c r="I503" i="143"/>
  <c r="I486" i="143"/>
  <c r="I479" i="143"/>
  <c r="H477" i="143"/>
  <c r="G477" i="143"/>
  <c r="F477" i="143"/>
  <c r="E477" i="143"/>
  <c r="D477" i="143"/>
  <c r="C477" i="143"/>
  <c r="I476" i="143"/>
  <c r="I475" i="143"/>
  <c r="I474" i="143"/>
  <c r="I473" i="143"/>
  <c r="I472" i="143"/>
  <c r="I471" i="143"/>
  <c r="I470" i="143"/>
  <c r="I469" i="143"/>
  <c r="I468" i="143"/>
  <c r="I467" i="143"/>
  <c r="I466" i="143"/>
  <c r="I465" i="143"/>
  <c r="I448" i="143"/>
  <c r="I441" i="143"/>
  <c r="I440" i="143"/>
  <c r="I439" i="143"/>
  <c r="I451" i="143" s="1"/>
  <c r="I453" i="143" s="1"/>
  <c r="I455" i="143" s="1"/>
  <c r="I438" i="143"/>
  <c r="I437" i="143"/>
  <c r="I436" i="143"/>
  <c r="I435" i="143"/>
  <c r="I434" i="143"/>
  <c r="I433" i="143"/>
  <c r="I432" i="143"/>
  <c r="I431" i="143"/>
  <c r="I430" i="143"/>
  <c r="I429" i="143"/>
  <c r="I428" i="143"/>
  <c r="I427" i="143"/>
  <c r="J416" i="143"/>
  <c r="J414" i="143"/>
  <c r="J411" i="143"/>
  <c r="J410" i="143"/>
  <c r="I410" i="143"/>
  <c r="H410" i="143"/>
  <c r="G410" i="143"/>
  <c r="F410" i="143"/>
  <c r="J408" i="143"/>
  <c r="J407" i="143"/>
  <c r="J406" i="143"/>
  <c r="J405" i="143"/>
  <c r="J404" i="143"/>
  <c r="J403" i="143"/>
  <c r="I403" i="143"/>
  <c r="H403" i="143"/>
  <c r="G403" i="143"/>
  <c r="F403" i="143"/>
  <c r="E403" i="143"/>
  <c r="D403" i="143"/>
  <c r="C403" i="143"/>
  <c r="J402" i="143"/>
  <c r="I401" i="143"/>
  <c r="I413" i="143" s="1"/>
  <c r="I415" i="143" s="1"/>
  <c r="I417" i="143" s="1"/>
  <c r="H401" i="143"/>
  <c r="G401" i="143"/>
  <c r="F401" i="143"/>
  <c r="E401" i="143"/>
  <c r="D401" i="143"/>
  <c r="C401" i="143"/>
  <c r="J400" i="143"/>
  <c r="J399" i="143"/>
  <c r="J398" i="143"/>
  <c r="J397" i="143"/>
  <c r="J396" i="143"/>
  <c r="J394" i="143"/>
  <c r="J393" i="143"/>
  <c r="J395" i="143" s="1"/>
  <c r="J401" i="143" s="1"/>
  <c r="J413" i="143" s="1"/>
  <c r="J415" i="143" s="1"/>
  <c r="J417" i="143" s="1"/>
  <c r="J392" i="143"/>
  <c r="J391" i="143"/>
  <c r="J390" i="143"/>
  <c r="J389" i="143"/>
  <c r="I372" i="143"/>
  <c r="I365" i="143"/>
  <c r="I363" i="143"/>
  <c r="I375" i="143" s="1"/>
  <c r="I377" i="143" s="1"/>
  <c r="I379" i="143" s="1"/>
  <c r="I362" i="143"/>
  <c r="I361" i="143"/>
  <c r="I360" i="143"/>
  <c r="I359" i="143"/>
  <c r="I358" i="143"/>
  <c r="I357" i="143"/>
  <c r="I356" i="143"/>
  <c r="I355" i="143"/>
  <c r="I354" i="143"/>
  <c r="I353" i="143"/>
  <c r="I352" i="143"/>
  <c r="I351" i="143"/>
  <c r="I334" i="143"/>
  <c r="I327" i="143"/>
  <c r="H325" i="143"/>
  <c r="G325" i="143"/>
  <c r="F325" i="143"/>
  <c r="E325" i="143"/>
  <c r="D325" i="143"/>
  <c r="C325" i="143"/>
  <c r="I324" i="143"/>
  <c r="I323" i="143"/>
  <c r="I322" i="143"/>
  <c r="I321" i="143"/>
  <c r="I320" i="143"/>
  <c r="I319" i="143"/>
  <c r="I317" i="143"/>
  <c r="I316" i="143"/>
  <c r="I315" i="143"/>
  <c r="I314" i="143"/>
  <c r="I313" i="143"/>
  <c r="I295" i="143"/>
  <c r="I288" i="143"/>
  <c r="H286" i="143"/>
  <c r="G286" i="143"/>
  <c r="F286" i="143"/>
  <c r="E286" i="143"/>
  <c r="D286" i="143"/>
  <c r="C286" i="143"/>
  <c r="I285" i="143"/>
  <c r="I284" i="143"/>
  <c r="I283" i="143"/>
  <c r="I282" i="143"/>
  <c r="I281" i="143"/>
  <c r="I280" i="143"/>
  <c r="I279" i="143"/>
  <c r="I278" i="143"/>
  <c r="I277" i="143"/>
  <c r="I276" i="143"/>
  <c r="I275" i="143"/>
  <c r="I274" i="143"/>
  <c r="I257" i="143"/>
  <c r="I250" i="143"/>
  <c r="H248" i="143"/>
  <c r="G248" i="143"/>
  <c r="F248" i="143"/>
  <c r="E248" i="143"/>
  <c r="D248" i="143"/>
  <c r="C248" i="143"/>
  <c r="I247" i="143"/>
  <c r="I246" i="143"/>
  <c r="I245" i="143"/>
  <c r="I244" i="143"/>
  <c r="I243" i="143"/>
  <c r="I242" i="143"/>
  <c r="I241" i="143"/>
  <c r="I240" i="143"/>
  <c r="I239" i="143"/>
  <c r="I238" i="143"/>
  <c r="I237" i="143"/>
  <c r="I236" i="143"/>
  <c r="I219" i="143"/>
  <c r="I212" i="143"/>
  <c r="H210" i="143"/>
  <c r="G210" i="143"/>
  <c r="F210" i="143"/>
  <c r="E210" i="143"/>
  <c r="D210" i="143"/>
  <c r="C210" i="143"/>
  <c r="I209" i="143"/>
  <c r="I208" i="143"/>
  <c r="I207" i="143"/>
  <c r="I206" i="143"/>
  <c r="I205" i="143"/>
  <c r="I204" i="143"/>
  <c r="I203" i="143"/>
  <c r="I202" i="143"/>
  <c r="I201" i="143"/>
  <c r="I200" i="143"/>
  <c r="I199" i="143"/>
  <c r="I198" i="143"/>
  <c r="I181" i="143"/>
  <c r="I174" i="143"/>
  <c r="H172" i="143"/>
  <c r="G172" i="143"/>
  <c r="F172" i="143"/>
  <c r="E172" i="143"/>
  <c r="D172" i="143"/>
  <c r="C172" i="143"/>
  <c r="I171" i="143"/>
  <c r="I170" i="143"/>
  <c r="I169" i="143"/>
  <c r="H168" i="143"/>
  <c r="G168" i="143"/>
  <c r="F168" i="143"/>
  <c r="E168" i="143"/>
  <c r="D168" i="143"/>
  <c r="C168" i="143"/>
  <c r="I167" i="143"/>
  <c r="I166" i="143"/>
  <c r="I165" i="143"/>
  <c r="I164" i="143"/>
  <c r="I163" i="143"/>
  <c r="I162" i="143"/>
  <c r="I161" i="143"/>
  <c r="I160" i="143"/>
  <c r="I143" i="143"/>
  <c r="I136" i="143"/>
  <c r="H134" i="143"/>
  <c r="G134" i="143"/>
  <c r="F134" i="143"/>
  <c r="E134" i="143"/>
  <c r="D134" i="143"/>
  <c r="C134" i="143"/>
  <c r="I133" i="143"/>
  <c r="I132" i="143"/>
  <c r="I131" i="143"/>
  <c r="I130" i="143"/>
  <c r="I129" i="143"/>
  <c r="I128" i="143"/>
  <c r="I127" i="143"/>
  <c r="I126" i="143"/>
  <c r="I125" i="143"/>
  <c r="I124" i="143"/>
  <c r="I123" i="143"/>
  <c r="I122" i="143"/>
  <c r="I105" i="143"/>
  <c r="I98" i="143"/>
  <c r="I96" i="143"/>
  <c r="I108" i="143" s="1"/>
  <c r="I110" i="143" s="1"/>
  <c r="I112" i="143" s="1"/>
  <c r="I67" i="143"/>
  <c r="I60" i="143"/>
  <c r="J22" i="143" s="1"/>
  <c r="I58" i="143"/>
  <c r="I70" i="143" s="1"/>
  <c r="I72" i="143" s="1"/>
  <c r="I74" i="143" s="1"/>
  <c r="I57" i="143"/>
  <c r="I56" i="143"/>
  <c r="I55" i="143"/>
  <c r="I54" i="143"/>
  <c r="I53" i="143"/>
  <c r="I52" i="143"/>
  <c r="I51" i="143"/>
  <c r="I50" i="143"/>
  <c r="I49" i="143"/>
  <c r="I48" i="143"/>
  <c r="I47" i="143"/>
  <c r="I46" i="143"/>
  <c r="K36" i="143"/>
  <c r="K35" i="143"/>
  <c r="J35" i="143"/>
  <c r="K34" i="143"/>
  <c r="K33" i="143"/>
  <c r="J33" i="143"/>
  <c r="K32" i="143"/>
  <c r="K31" i="143"/>
  <c r="J31" i="143"/>
  <c r="K30" i="143"/>
  <c r="J30" i="143"/>
  <c r="K28" i="143"/>
  <c r="J27" i="143"/>
  <c r="J26" i="143"/>
  <c r="K25" i="143"/>
  <c r="J25" i="143"/>
  <c r="K24" i="143"/>
  <c r="J24" i="143"/>
  <c r="J23" i="143"/>
  <c r="K21" i="143"/>
  <c r="J21" i="143"/>
  <c r="K20" i="143"/>
  <c r="I20" i="143"/>
  <c r="H20" i="143"/>
  <c r="G20" i="143"/>
  <c r="F20" i="143"/>
  <c r="E20" i="143"/>
  <c r="D20" i="143"/>
  <c r="C20" i="143"/>
  <c r="J20" i="143" s="1"/>
  <c r="K19" i="143"/>
  <c r="I19" i="143"/>
  <c r="H19" i="143"/>
  <c r="G19" i="143"/>
  <c r="F19" i="143"/>
  <c r="E19" i="143"/>
  <c r="D19" i="143"/>
  <c r="C19" i="143"/>
  <c r="J19" i="143" s="1"/>
  <c r="K18" i="143"/>
  <c r="I18" i="143"/>
  <c r="H18" i="143"/>
  <c r="G18" i="143"/>
  <c r="F18" i="143"/>
  <c r="E18" i="143"/>
  <c r="D18" i="143"/>
  <c r="C18" i="143"/>
  <c r="J18" i="143" s="1"/>
  <c r="K17" i="143"/>
  <c r="I17" i="143"/>
  <c r="H17" i="143"/>
  <c r="G17" i="143"/>
  <c r="F17" i="143"/>
  <c r="E17" i="143"/>
  <c r="D17" i="143"/>
  <c r="C17" i="143"/>
  <c r="J17" i="143" s="1"/>
  <c r="H16" i="143"/>
  <c r="G16" i="143"/>
  <c r="F16" i="143"/>
  <c r="E16" i="143"/>
  <c r="D16" i="143"/>
  <c r="C16" i="143"/>
  <c r="J16" i="143" s="1"/>
  <c r="K15" i="143"/>
  <c r="I15" i="143"/>
  <c r="H15" i="143"/>
  <c r="G15" i="143"/>
  <c r="F15" i="143"/>
  <c r="E15" i="143"/>
  <c r="D15" i="143"/>
  <c r="C15" i="143"/>
  <c r="J15" i="143" s="1"/>
  <c r="K14" i="143"/>
  <c r="I14" i="143"/>
  <c r="H14" i="143"/>
  <c r="G14" i="143"/>
  <c r="F14" i="143"/>
  <c r="E14" i="143"/>
  <c r="D14" i="143"/>
  <c r="C14" i="143"/>
  <c r="J14" i="143" s="1"/>
  <c r="K13" i="143"/>
  <c r="I13" i="143"/>
  <c r="H13" i="143"/>
  <c r="G13" i="143"/>
  <c r="F13" i="143"/>
  <c r="E13" i="143"/>
  <c r="D13" i="143"/>
  <c r="C13" i="143"/>
  <c r="J13" i="143" s="1"/>
  <c r="K12" i="143"/>
  <c r="I12" i="143"/>
  <c r="H12" i="143"/>
  <c r="G12" i="143"/>
  <c r="F12" i="143"/>
  <c r="E12" i="143"/>
  <c r="D12" i="143"/>
  <c r="C12" i="143"/>
  <c r="J12" i="143" s="1"/>
  <c r="K11" i="143"/>
  <c r="I11" i="143"/>
  <c r="H11" i="143"/>
  <c r="G11" i="143"/>
  <c r="F11" i="143"/>
  <c r="E11" i="143"/>
  <c r="D11" i="143"/>
  <c r="C11" i="143"/>
  <c r="J11" i="143" s="1"/>
  <c r="K10" i="143"/>
  <c r="I10" i="143"/>
  <c r="H10" i="143"/>
  <c r="G10" i="143"/>
  <c r="F10" i="143"/>
  <c r="E10" i="143"/>
  <c r="D10" i="143"/>
  <c r="C10" i="143"/>
  <c r="J10" i="143" s="1"/>
  <c r="K9" i="143"/>
  <c r="I9" i="143"/>
  <c r="H9" i="143"/>
  <c r="G9" i="143"/>
  <c r="F9" i="143"/>
  <c r="E9" i="143"/>
  <c r="D9" i="143"/>
  <c r="C9" i="143"/>
  <c r="J9" i="143" s="1"/>
  <c r="K8" i="143"/>
  <c r="I8" i="143"/>
  <c r="H8" i="143"/>
  <c r="G8" i="143"/>
  <c r="F8" i="143"/>
  <c r="E8" i="143"/>
  <c r="D8" i="143"/>
  <c r="C8" i="143"/>
  <c r="J8" i="143" s="1"/>
  <c r="I575" i="142"/>
  <c r="I568" i="142"/>
  <c r="I565" i="142"/>
  <c r="I564" i="142"/>
  <c r="I563" i="142"/>
  <c r="I562" i="142"/>
  <c r="I559" i="142"/>
  <c r="I557" i="142"/>
  <c r="I556" i="142"/>
  <c r="I555" i="142"/>
  <c r="I554" i="142"/>
  <c r="I558" i="142" s="1"/>
  <c r="I560" i="142" s="1"/>
  <c r="I566" i="142" s="1"/>
  <c r="I578" i="142" s="1"/>
  <c r="I580" i="142" s="1"/>
  <c r="I582" i="142" s="1"/>
  <c r="I537" i="142"/>
  <c r="I530" i="142"/>
  <c r="I526" i="142"/>
  <c r="I525" i="142"/>
  <c r="I524" i="142"/>
  <c r="I521" i="142"/>
  <c r="I519" i="142"/>
  <c r="I518" i="142"/>
  <c r="I517" i="142"/>
  <c r="I516" i="142"/>
  <c r="I520" i="142" s="1"/>
  <c r="I522" i="142" s="1"/>
  <c r="I528" i="142" s="1"/>
  <c r="I540" i="142" s="1"/>
  <c r="I542" i="142" s="1"/>
  <c r="I544" i="142" s="1"/>
  <c r="I499" i="142"/>
  <c r="I492" i="142"/>
  <c r="I488" i="142"/>
  <c r="I487" i="142"/>
  <c r="I486" i="142"/>
  <c r="I483" i="142"/>
  <c r="I481" i="142"/>
  <c r="I480" i="142"/>
  <c r="I479" i="142"/>
  <c r="I478" i="142"/>
  <c r="I482" i="142" s="1"/>
  <c r="I484" i="142" s="1"/>
  <c r="I490" i="142" s="1"/>
  <c r="I502" i="142" s="1"/>
  <c r="I504" i="142" s="1"/>
  <c r="I506" i="142" s="1"/>
  <c r="I461" i="142"/>
  <c r="I454" i="142"/>
  <c r="I451" i="142"/>
  <c r="I450" i="142"/>
  <c r="I449" i="142"/>
  <c r="I448" i="142"/>
  <c r="I445" i="142"/>
  <c r="I443" i="142"/>
  <c r="I442" i="142"/>
  <c r="I441" i="142"/>
  <c r="I440" i="142"/>
  <c r="I444" i="142" s="1"/>
  <c r="I446" i="142" s="1"/>
  <c r="I452" i="142" s="1"/>
  <c r="I464" i="142" s="1"/>
  <c r="I466" i="142" s="1"/>
  <c r="I468" i="142" s="1"/>
  <c r="J427" i="142"/>
  <c r="J424" i="142"/>
  <c r="J423" i="142"/>
  <c r="J421" i="142"/>
  <c r="J420" i="142"/>
  <c r="J419" i="142"/>
  <c r="J418" i="142"/>
  <c r="J417" i="142"/>
  <c r="J416" i="142"/>
  <c r="J413" i="142"/>
  <c r="J412" i="142"/>
  <c r="J411" i="142"/>
  <c r="J410" i="142"/>
  <c r="E410" i="142"/>
  <c r="J407" i="142"/>
  <c r="E406" i="142"/>
  <c r="E408" i="142" s="1"/>
  <c r="J405" i="142"/>
  <c r="J404" i="142"/>
  <c r="J403" i="142"/>
  <c r="J402" i="142"/>
  <c r="J406" i="142" s="1"/>
  <c r="I385" i="142"/>
  <c r="I378" i="142"/>
  <c r="I375" i="142"/>
  <c r="I374" i="142"/>
  <c r="I373" i="142"/>
  <c r="I372" i="142"/>
  <c r="I369" i="142"/>
  <c r="I367" i="142"/>
  <c r="I366" i="142"/>
  <c r="I365" i="142"/>
  <c r="I364" i="142"/>
  <c r="I368" i="142" s="1"/>
  <c r="I370" i="142" s="1"/>
  <c r="I376" i="142" s="1"/>
  <c r="I388" i="142" s="1"/>
  <c r="I390" i="142" s="1"/>
  <c r="I392" i="142" s="1"/>
  <c r="I337" i="142"/>
  <c r="I336" i="142"/>
  <c r="I335" i="142"/>
  <c r="I334" i="142"/>
  <c r="I331" i="142"/>
  <c r="I329" i="142"/>
  <c r="I328" i="142"/>
  <c r="I327" i="142"/>
  <c r="I326" i="142"/>
  <c r="I330" i="142" s="1"/>
  <c r="I332" i="142" s="1"/>
  <c r="I338" i="142" s="1"/>
  <c r="I309" i="142"/>
  <c r="I299" i="142"/>
  <c r="I298" i="142"/>
  <c r="I297" i="142"/>
  <c r="I296" i="142"/>
  <c r="I293" i="142"/>
  <c r="I291" i="142"/>
  <c r="I290" i="142"/>
  <c r="I289" i="142"/>
  <c r="I288" i="142"/>
  <c r="I292" i="142" s="1"/>
  <c r="I294" i="142" s="1"/>
  <c r="I300" i="142" s="1"/>
  <c r="I312" i="142" s="1"/>
  <c r="I314" i="142" s="1"/>
  <c r="I316" i="142" s="1"/>
  <c r="I268" i="142"/>
  <c r="I261" i="142"/>
  <c r="I258" i="142"/>
  <c r="I257" i="142"/>
  <c r="I256" i="142"/>
  <c r="I255" i="142"/>
  <c r="I252" i="142"/>
  <c r="I250" i="142"/>
  <c r="I249" i="142"/>
  <c r="I248" i="142"/>
  <c r="I247" i="142"/>
  <c r="I251" i="142" s="1"/>
  <c r="I253" i="142" s="1"/>
  <c r="I259" i="142" s="1"/>
  <c r="I271" i="142" s="1"/>
  <c r="I273" i="142" s="1"/>
  <c r="I275" i="142" s="1"/>
  <c r="I225" i="142"/>
  <c r="I218" i="142"/>
  <c r="I215" i="142"/>
  <c r="I214" i="142"/>
  <c r="I213" i="142"/>
  <c r="I212" i="142"/>
  <c r="I209" i="142"/>
  <c r="I208" i="142"/>
  <c r="I210" i="142" s="1"/>
  <c r="I216" i="142" s="1"/>
  <c r="I228" i="142" s="1"/>
  <c r="I230" i="142" s="1"/>
  <c r="I232" i="142" s="1"/>
  <c r="I207" i="142"/>
  <c r="I206" i="142"/>
  <c r="I205" i="142"/>
  <c r="I204" i="142"/>
  <c r="I181" i="142"/>
  <c r="I174" i="142"/>
  <c r="I170" i="142"/>
  <c r="I169" i="142"/>
  <c r="I168" i="142"/>
  <c r="I165" i="142"/>
  <c r="I163" i="142"/>
  <c r="I162" i="142"/>
  <c r="I161" i="142"/>
  <c r="I160" i="142"/>
  <c r="I164" i="142" s="1"/>
  <c r="I166" i="142" s="1"/>
  <c r="I172" i="142" s="1"/>
  <c r="I184" i="142" s="1"/>
  <c r="I186" i="142" s="1"/>
  <c r="I188" i="142" s="1"/>
  <c r="I143" i="142"/>
  <c r="I136" i="142"/>
  <c r="H134" i="142"/>
  <c r="G134" i="142"/>
  <c r="F134" i="142"/>
  <c r="E134" i="142"/>
  <c r="D134" i="142"/>
  <c r="C134" i="142"/>
  <c r="I133" i="142"/>
  <c r="I132" i="142"/>
  <c r="I131" i="142"/>
  <c r="I130" i="142"/>
  <c r="I127" i="142"/>
  <c r="I125" i="142"/>
  <c r="I124" i="142"/>
  <c r="I123" i="142"/>
  <c r="I122" i="142"/>
  <c r="I126" i="142" s="1"/>
  <c r="I128" i="142" s="1"/>
  <c r="I134" i="142" s="1"/>
  <c r="I146" i="142" s="1"/>
  <c r="I148" i="142" s="1"/>
  <c r="I150" i="142" s="1"/>
  <c r="I98" i="142"/>
  <c r="I94" i="142"/>
  <c r="I93" i="142"/>
  <c r="I92" i="142"/>
  <c r="I89" i="142"/>
  <c r="I87" i="142"/>
  <c r="I86" i="142"/>
  <c r="I85" i="142"/>
  <c r="I84" i="142"/>
  <c r="I88" i="142" s="1"/>
  <c r="I90" i="142" s="1"/>
  <c r="I96" i="142" s="1"/>
  <c r="I108" i="142" s="1"/>
  <c r="I110" i="142" s="1"/>
  <c r="I112" i="142" s="1"/>
  <c r="I60" i="142"/>
  <c r="I58" i="142"/>
  <c r="I70" i="142" s="1"/>
  <c r="I72" i="142" s="1"/>
  <c r="I74" i="142" s="1"/>
  <c r="K57" i="142"/>
  <c r="I57" i="142"/>
  <c r="K36" i="142"/>
  <c r="K35" i="142"/>
  <c r="J35" i="142"/>
  <c r="K34" i="142"/>
  <c r="K33" i="142"/>
  <c r="J33" i="142"/>
  <c r="K31" i="142"/>
  <c r="J31" i="142"/>
  <c r="K30" i="142"/>
  <c r="J30" i="142"/>
  <c r="K29" i="142"/>
  <c r="J29" i="142"/>
  <c r="K28" i="142"/>
  <c r="J27" i="142"/>
  <c r="J26" i="142"/>
  <c r="J25" i="142"/>
  <c r="J24" i="142"/>
  <c r="J23" i="142"/>
  <c r="J22" i="142"/>
  <c r="K21" i="142"/>
  <c r="K19" i="142"/>
  <c r="I19" i="142"/>
  <c r="H19" i="142"/>
  <c r="G19" i="142"/>
  <c r="F19" i="142"/>
  <c r="E19" i="142"/>
  <c r="D19" i="142"/>
  <c r="C19" i="142"/>
  <c r="J19" i="142" s="1"/>
  <c r="K18" i="142"/>
  <c r="I18" i="142"/>
  <c r="H18" i="142"/>
  <c r="G18" i="142"/>
  <c r="F18" i="142"/>
  <c r="E18" i="142"/>
  <c r="D18" i="142"/>
  <c r="C18" i="142"/>
  <c r="J18" i="142" s="1"/>
  <c r="K17" i="142"/>
  <c r="I17" i="142"/>
  <c r="H17" i="142"/>
  <c r="G17" i="142"/>
  <c r="F17" i="142"/>
  <c r="E17" i="142"/>
  <c r="D17" i="142"/>
  <c r="C17" i="142"/>
  <c r="J17" i="142" s="1"/>
  <c r="K16" i="142"/>
  <c r="J16" i="142"/>
  <c r="I16" i="142"/>
  <c r="H16" i="142"/>
  <c r="G16" i="142"/>
  <c r="F16" i="142"/>
  <c r="E16" i="142"/>
  <c r="D16" i="142"/>
  <c r="C16" i="142"/>
  <c r="K15" i="142"/>
  <c r="I15" i="142"/>
  <c r="C15" i="142"/>
  <c r="K13" i="142"/>
  <c r="I13" i="142"/>
  <c r="H13" i="142"/>
  <c r="G13" i="142"/>
  <c r="F13" i="142"/>
  <c r="E13" i="142"/>
  <c r="D13" i="142"/>
  <c r="C13" i="142"/>
  <c r="J13" i="142" s="1"/>
  <c r="K11" i="142"/>
  <c r="I11" i="142"/>
  <c r="H11" i="142"/>
  <c r="G11" i="142"/>
  <c r="F11" i="142"/>
  <c r="E11" i="142"/>
  <c r="D11" i="142"/>
  <c r="C11" i="142"/>
  <c r="J11" i="142" s="1"/>
  <c r="K10" i="142"/>
  <c r="I10" i="142"/>
  <c r="H10" i="142"/>
  <c r="G10" i="142"/>
  <c r="F10" i="142"/>
  <c r="E10" i="142"/>
  <c r="D10" i="142"/>
  <c r="C10" i="142"/>
  <c r="J10" i="142" s="1"/>
  <c r="K9" i="142"/>
  <c r="I9" i="142"/>
  <c r="H9" i="142"/>
  <c r="G9" i="142"/>
  <c r="F9" i="142"/>
  <c r="E9" i="142"/>
  <c r="D9" i="142"/>
  <c r="C9" i="142"/>
  <c r="J9" i="142" s="1"/>
  <c r="K8" i="142"/>
  <c r="K12" i="142" s="1"/>
  <c r="K14" i="142" s="1"/>
  <c r="K20" i="142" s="1"/>
  <c r="K32" i="142" s="1"/>
  <c r="I8" i="142"/>
  <c r="I12" i="142" s="1"/>
  <c r="I14" i="142" s="1"/>
  <c r="I20" i="142" s="1"/>
  <c r="H8" i="142"/>
  <c r="H12" i="142" s="1"/>
  <c r="H14" i="142" s="1"/>
  <c r="H20" i="142" s="1"/>
  <c r="G8" i="142"/>
  <c r="G12" i="142" s="1"/>
  <c r="G14" i="142" s="1"/>
  <c r="G20" i="142" s="1"/>
  <c r="F8" i="142"/>
  <c r="F12" i="142" s="1"/>
  <c r="F14" i="142" s="1"/>
  <c r="F20" i="142" s="1"/>
  <c r="E8" i="142"/>
  <c r="E12" i="142" s="1"/>
  <c r="E14" i="142" s="1"/>
  <c r="E20" i="142" s="1"/>
  <c r="D8" i="142"/>
  <c r="D12" i="142" s="1"/>
  <c r="D14" i="142" s="1"/>
  <c r="D20" i="142" s="1"/>
  <c r="C8" i="142"/>
  <c r="F548" i="141"/>
  <c r="F547" i="141"/>
  <c r="F546" i="141"/>
  <c r="F545" i="141"/>
  <c r="F544" i="141"/>
  <c r="F543" i="141"/>
  <c r="F542" i="141"/>
  <c r="F541" i="141"/>
  <c r="F540" i="141"/>
  <c r="F539" i="141"/>
  <c r="F538" i="141"/>
  <c r="F537" i="141"/>
  <c r="F536" i="141"/>
  <c r="F535" i="141"/>
  <c r="F534" i="141"/>
  <c r="F533" i="141"/>
  <c r="F532" i="141"/>
  <c r="F531" i="141"/>
  <c r="F530" i="141"/>
  <c r="F529" i="141"/>
  <c r="F528" i="141"/>
  <c r="F527" i="141"/>
  <c r="F526" i="141"/>
  <c r="F525" i="141"/>
  <c r="F524" i="141"/>
  <c r="F523" i="141"/>
  <c r="F522" i="141"/>
  <c r="F521" i="141"/>
  <c r="F520" i="141"/>
  <c r="F519" i="141"/>
  <c r="F518" i="141"/>
  <c r="F517" i="141"/>
  <c r="F516" i="141"/>
  <c r="F515" i="141"/>
  <c r="F514" i="141"/>
  <c r="D147" i="141"/>
  <c r="D141" i="141"/>
  <c r="D148" i="141" s="1"/>
  <c r="D121" i="141"/>
  <c r="D132" i="141" s="1"/>
  <c r="E47" i="141"/>
  <c r="E46" i="141"/>
  <c r="F46" i="141" s="1"/>
  <c r="E45" i="141"/>
  <c r="F45" i="141" s="1"/>
  <c r="E44" i="141"/>
  <c r="F44" i="141" s="1"/>
  <c r="E43" i="141"/>
  <c r="F43" i="141" s="1"/>
  <c r="E42" i="141"/>
  <c r="F42" i="141" s="1"/>
  <c r="E40" i="141"/>
  <c r="F40" i="141" s="1"/>
  <c r="E39" i="141"/>
  <c r="F39" i="141" s="1"/>
  <c r="E38" i="141"/>
  <c r="F38" i="141" s="1"/>
  <c r="E37" i="141"/>
  <c r="F37" i="141" s="1"/>
  <c r="E36" i="141"/>
  <c r="F36" i="141" s="1"/>
  <c r="E35" i="141"/>
  <c r="E34" i="141"/>
  <c r="F34" i="141" s="1"/>
  <c r="E33" i="141"/>
  <c r="E31" i="141"/>
  <c r="F31" i="141" s="1"/>
  <c r="E30" i="141"/>
  <c r="F30" i="141" s="1"/>
  <c r="E29" i="141"/>
  <c r="F29" i="141" s="1"/>
  <c r="E28" i="141"/>
  <c r="F28" i="141" s="1"/>
  <c r="E27" i="141"/>
  <c r="F27" i="141" s="1"/>
  <c r="E26" i="141"/>
  <c r="F26" i="141" s="1"/>
  <c r="E25" i="141"/>
  <c r="F25" i="141" s="1"/>
  <c r="E24" i="141"/>
  <c r="F24" i="141" s="1"/>
  <c r="E23" i="141"/>
  <c r="F23" i="141" s="1"/>
  <c r="E22" i="141"/>
  <c r="F22" i="141" s="1"/>
  <c r="E21" i="141"/>
  <c r="F21" i="141" s="1"/>
  <c r="G20" i="141"/>
  <c r="E20" i="141"/>
  <c r="F20" i="141" s="1"/>
  <c r="G19" i="141"/>
  <c r="E19" i="141"/>
  <c r="F19" i="141" s="1"/>
  <c r="G18" i="141"/>
  <c r="E18" i="141"/>
  <c r="F18" i="141" s="1"/>
  <c r="G17" i="141"/>
  <c r="E17" i="141"/>
  <c r="F17" i="141" s="1"/>
  <c r="G16" i="141"/>
  <c r="E16" i="141"/>
  <c r="F16" i="141" s="1"/>
  <c r="G15" i="141"/>
  <c r="E15" i="141"/>
  <c r="F15" i="141" s="1"/>
  <c r="G14" i="141"/>
  <c r="E14" i="141"/>
  <c r="F14" i="141" s="1"/>
  <c r="G13" i="141"/>
  <c r="E13" i="141"/>
  <c r="F13" i="141" s="1"/>
  <c r="E12" i="141"/>
  <c r="F12" i="141" s="1"/>
  <c r="G11" i="141"/>
  <c r="E11" i="141"/>
  <c r="F11" i="141" s="1"/>
  <c r="G10" i="141"/>
  <c r="E10" i="141"/>
  <c r="F10" i="141" s="1"/>
  <c r="G9" i="141"/>
  <c r="E9" i="141"/>
  <c r="F548" i="140"/>
  <c r="F547" i="140"/>
  <c r="F546" i="140"/>
  <c r="F541" i="140"/>
  <c r="F540" i="140"/>
  <c r="F539" i="140"/>
  <c r="F537" i="140"/>
  <c r="F536" i="140"/>
  <c r="F535" i="140"/>
  <c r="F532" i="140"/>
  <c r="F531" i="140"/>
  <c r="F530" i="140"/>
  <c r="F529" i="140"/>
  <c r="F528" i="140"/>
  <c r="F527" i="140"/>
  <c r="F524" i="140"/>
  <c r="F523" i="140"/>
  <c r="F522" i="140"/>
  <c r="F521" i="140"/>
  <c r="F513" i="140"/>
  <c r="F512" i="140"/>
  <c r="F510" i="140"/>
  <c r="D371" i="140"/>
  <c r="D347" i="140"/>
  <c r="D341" i="140"/>
  <c r="D348" i="140" s="1"/>
  <c r="D329" i="140"/>
  <c r="D321" i="140"/>
  <c r="F48" i="140"/>
  <c r="F47" i="140"/>
  <c r="F46" i="140"/>
  <c r="F45" i="140"/>
  <c r="F44" i="140"/>
  <c r="F43" i="140"/>
  <c r="F42" i="140"/>
  <c r="F41" i="140"/>
  <c r="F40" i="140"/>
  <c r="F39" i="140"/>
  <c r="F38" i="140"/>
  <c r="F37" i="140"/>
  <c r="F36" i="140"/>
  <c r="F35" i="140"/>
  <c r="F34" i="140"/>
  <c r="F33" i="140"/>
  <c r="F32" i="140"/>
  <c r="F31" i="140"/>
  <c r="F30" i="140"/>
  <c r="F29" i="140"/>
  <c r="F28" i="140"/>
  <c r="F27" i="140"/>
  <c r="F26" i="140"/>
  <c r="F25" i="140"/>
  <c r="F24" i="140"/>
  <c r="F23" i="140"/>
  <c r="F22" i="140"/>
  <c r="F21" i="140"/>
  <c r="G20" i="140"/>
  <c r="F20" i="140"/>
  <c r="G19" i="140"/>
  <c r="F19" i="140"/>
  <c r="G18" i="140"/>
  <c r="F18" i="140"/>
  <c r="G17" i="140"/>
  <c r="F17" i="140"/>
  <c r="G16" i="140"/>
  <c r="F16" i="140"/>
  <c r="G15" i="140"/>
  <c r="F15" i="140"/>
  <c r="G14" i="140"/>
  <c r="F14" i="140"/>
  <c r="G13" i="140"/>
  <c r="F13" i="140"/>
  <c r="G12" i="140"/>
  <c r="F12" i="140"/>
  <c r="G11" i="140"/>
  <c r="F11" i="140"/>
  <c r="G10" i="140"/>
  <c r="F10" i="140"/>
  <c r="G9" i="140"/>
  <c r="F9" i="140"/>
  <c r="M825" i="107"/>
  <c r="I825" i="107"/>
  <c r="D825" i="107"/>
  <c r="M824" i="107"/>
  <c r="I824" i="107"/>
  <c r="D824" i="107"/>
  <c r="M822" i="107"/>
  <c r="I822" i="107"/>
  <c r="D822" i="107"/>
  <c r="L821" i="107"/>
  <c r="K821" i="107"/>
  <c r="J821" i="107"/>
  <c r="H821" i="107"/>
  <c r="G821" i="107"/>
  <c r="F821" i="107"/>
  <c r="I821" i="107" s="1"/>
  <c r="E821" i="107"/>
  <c r="M820" i="107"/>
  <c r="I820" i="107"/>
  <c r="D820" i="107"/>
  <c r="M819" i="107"/>
  <c r="I819" i="107"/>
  <c r="D819" i="107"/>
  <c r="M818" i="107"/>
  <c r="I818" i="107"/>
  <c r="D818" i="107"/>
  <c r="M817" i="107"/>
  <c r="I817" i="107"/>
  <c r="D817" i="107"/>
  <c r="M816" i="107"/>
  <c r="I816" i="107"/>
  <c r="D816" i="107"/>
  <c r="M815" i="107"/>
  <c r="I815" i="107"/>
  <c r="D815" i="107"/>
  <c r="L814" i="107"/>
  <c r="K814" i="107"/>
  <c r="H814" i="107"/>
  <c r="G814" i="107"/>
  <c r="F814" i="107"/>
  <c r="I814" i="107" s="1"/>
  <c r="E814" i="107"/>
  <c r="M813" i="107"/>
  <c r="I813" i="107"/>
  <c r="D813" i="107"/>
  <c r="M812" i="107"/>
  <c r="I812" i="107"/>
  <c r="D812" i="107"/>
  <c r="M811" i="107"/>
  <c r="I811" i="107"/>
  <c r="D811" i="107"/>
  <c r="M810" i="107"/>
  <c r="I810" i="107"/>
  <c r="D810" i="107"/>
  <c r="M809" i="107"/>
  <c r="I809" i="107"/>
  <c r="D809" i="107"/>
  <c r="M808" i="107"/>
  <c r="I808" i="107"/>
  <c r="D808" i="107"/>
  <c r="I807" i="107"/>
  <c r="D807" i="107"/>
  <c r="M805" i="107"/>
  <c r="I805" i="107"/>
  <c r="D805" i="107"/>
  <c r="M804" i="107"/>
  <c r="I804" i="107"/>
  <c r="D804" i="107"/>
  <c r="M803" i="107"/>
  <c r="I803" i="107"/>
  <c r="D803" i="107"/>
  <c r="M802" i="107"/>
  <c r="I802" i="107"/>
  <c r="D802" i="107"/>
  <c r="M801" i="107"/>
  <c r="I801" i="107"/>
  <c r="D801" i="107"/>
  <c r="M800" i="107"/>
  <c r="I800" i="107"/>
  <c r="D800" i="107"/>
  <c r="M799" i="107"/>
  <c r="I799" i="107"/>
  <c r="D799" i="107"/>
  <c r="M798" i="107"/>
  <c r="I798" i="107"/>
  <c r="D798" i="107"/>
  <c r="L797" i="107"/>
  <c r="K797" i="107"/>
  <c r="J797" i="107"/>
  <c r="H797" i="107"/>
  <c r="G797" i="107"/>
  <c r="F797" i="107"/>
  <c r="I797" i="107" s="1"/>
  <c r="E797" i="107"/>
  <c r="M796" i="107"/>
  <c r="I796" i="107"/>
  <c r="D796" i="107"/>
  <c r="L795" i="107"/>
  <c r="K795" i="107"/>
  <c r="K806" i="107" s="1"/>
  <c r="K823" i="107" s="1"/>
  <c r="K826" i="107" s="1"/>
  <c r="J795" i="107"/>
  <c r="J806" i="107" s="1"/>
  <c r="J823" i="107" s="1"/>
  <c r="J826" i="107" s="1"/>
  <c r="H795" i="107"/>
  <c r="H806" i="107" s="1"/>
  <c r="H823" i="107" s="1"/>
  <c r="H826" i="107" s="1"/>
  <c r="G795" i="107"/>
  <c r="G806" i="107" s="1"/>
  <c r="G823" i="107" s="1"/>
  <c r="G826" i="107" s="1"/>
  <c r="F795" i="107"/>
  <c r="E795" i="107"/>
  <c r="E806" i="107" s="1"/>
  <c r="M794" i="107"/>
  <c r="I794" i="107"/>
  <c r="D794" i="107"/>
  <c r="M793" i="107"/>
  <c r="I793" i="107"/>
  <c r="D793" i="107"/>
  <c r="M792" i="107"/>
  <c r="I792" i="107"/>
  <c r="D792" i="107"/>
  <c r="M791" i="107"/>
  <c r="I791" i="107"/>
  <c r="D791" i="107"/>
  <c r="M790" i="107"/>
  <c r="I790" i="107"/>
  <c r="D790" i="107"/>
  <c r="M789" i="107"/>
  <c r="I789" i="107"/>
  <c r="D789" i="107"/>
  <c r="M777" i="107"/>
  <c r="I777" i="107"/>
  <c r="D777" i="107"/>
  <c r="M776" i="107"/>
  <c r="I776" i="107"/>
  <c r="D776" i="107"/>
  <c r="M774" i="107"/>
  <c r="I774" i="107"/>
  <c r="D774" i="107"/>
  <c r="L773" i="107"/>
  <c r="K773" i="107"/>
  <c r="J773" i="107"/>
  <c r="H773" i="107"/>
  <c r="G773" i="107"/>
  <c r="F773" i="107"/>
  <c r="I773" i="107" s="1"/>
  <c r="E773" i="107"/>
  <c r="M772" i="107"/>
  <c r="I772" i="107"/>
  <c r="D772" i="107"/>
  <c r="M771" i="107"/>
  <c r="I771" i="107"/>
  <c r="D771" i="107"/>
  <c r="M770" i="107"/>
  <c r="I770" i="107"/>
  <c r="D770" i="107"/>
  <c r="M769" i="107"/>
  <c r="I769" i="107"/>
  <c r="D769" i="107"/>
  <c r="M768" i="107"/>
  <c r="I768" i="107"/>
  <c r="D768" i="107"/>
  <c r="M767" i="107"/>
  <c r="I767" i="107"/>
  <c r="D767" i="107"/>
  <c r="L766" i="107"/>
  <c r="K766" i="107"/>
  <c r="J766" i="107"/>
  <c r="H766" i="107"/>
  <c r="G766" i="107"/>
  <c r="F766" i="107"/>
  <c r="I766" i="107" s="1"/>
  <c r="E766" i="107"/>
  <c r="M765" i="107"/>
  <c r="I765" i="107"/>
  <c r="D765" i="107"/>
  <c r="M764" i="107"/>
  <c r="I764" i="107"/>
  <c r="D764" i="107"/>
  <c r="M763" i="107"/>
  <c r="I763" i="107"/>
  <c r="D763" i="107"/>
  <c r="M762" i="107"/>
  <c r="I762" i="107"/>
  <c r="D762" i="107"/>
  <c r="M761" i="107"/>
  <c r="I761" i="107"/>
  <c r="D761" i="107"/>
  <c r="M760" i="107"/>
  <c r="I760" i="107"/>
  <c r="D760" i="107"/>
  <c r="I759" i="107"/>
  <c r="D759" i="107"/>
  <c r="M757" i="107"/>
  <c r="I757" i="107"/>
  <c r="D757" i="107"/>
  <c r="M756" i="107"/>
  <c r="I756" i="107"/>
  <c r="D756" i="107"/>
  <c r="M755" i="107"/>
  <c r="I755" i="107"/>
  <c r="D755" i="107"/>
  <c r="M754" i="107"/>
  <c r="I754" i="107"/>
  <c r="D754" i="107"/>
  <c r="M753" i="107"/>
  <c r="I753" i="107"/>
  <c r="D753" i="107"/>
  <c r="M752" i="107"/>
  <c r="I752" i="107"/>
  <c r="D752" i="107"/>
  <c r="M751" i="107"/>
  <c r="I751" i="107"/>
  <c r="D751" i="107"/>
  <c r="M750" i="107"/>
  <c r="I750" i="107"/>
  <c r="D750" i="107"/>
  <c r="L749" i="107"/>
  <c r="K749" i="107"/>
  <c r="J749" i="107"/>
  <c r="H749" i="107"/>
  <c r="G749" i="107"/>
  <c r="F749" i="107"/>
  <c r="I749" i="107" s="1"/>
  <c r="E749" i="107"/>
  <c r="M748" i="107"/>
  <c r="I748" i="107"/>
  <c r="D748" i="107"/>
  <c r="L747" i="107"/>
  <c r="K747" i="107"/>
  <c r="K758" i="107" s="1"/>
  <c r="K775" i="107" s="1"/>
  <c r="K778" i="107" s="1"/>
  <c r="J747" i="107"/>
  <c r="J758" i="107" s="1"/>
  <c r="J775" i="107" s="1"/>
  <c r="J778" i="107" s="1"/>
  <c r="H747" i="107"/>
  <c r="H758" i="107" s="1"/>
  <c r="H775" i="107" s="1"/>
  <c r="H778" i="107" s="1"/>
  <c r="G747" i="107"/>
  <c r="G758" i="107" s="1"/>
  <c r="G775" i="107" s="1"/>
  <c r="G778" i="107" s="1"/>
  <c r="F747" i="107"/>
  <c r="E747" i="107"/>
  <c r="E758" i="107" s="1"/>
  <c r="M746" i="107"/>
  <c r="I746" i="107"/>
  <c r="D746" i="107"/>
  <c r="M745" i="107"/>
  <c r="I745" i="107"/>
  <c r="D745" i="107"/>
  <c r="M744" i="107"/>
  <c r="I744" i="107"/>
  <c r="D744" i="107"/>
  <c r="M743" i="107"/>
  <c r="I743" i="107"/>
  <c r="D743" i="107"/>
  <c r="M742" i="107"/>
  <c r="I742" i="107"/>
  <c r="D742" i="107"/>
  <c r="M741" i="107"/>
  <c r="I741" i="107"/>
  <c r="D741" i="107"/>
  <c r="M729" i="107"/>
  <c r="I729" i="107"/>
  <c r="D729" i="107"/>
  <c r="M728" i="107"/>
  <c r="I728" i="107"/>
  <c r="D728" i="107"/>
  <c r="M726" i="107"/>
  <c r="I726" i="107"/>
  <c r="D726" i="107"/>
  <c r="L725" i="107"/>
  <c r="K725" i="107"/>
  <c r="J725" i="107"/>
  <c r="H725" i="107"/>
  <c r="G725" i="107"/>
  <c r="F725" i="107"/>
  <c r="I725" i="107" s="1"/>
  <c r="E725" i="107"/>
  <c r="M724" i="107"/>
  <c r="I724" i="107"/>
  <c r="D724" i="107"/>
  <c r="M723" i="107"/>
  <c r="I723" i="107"/>
  <c r="D723" i="107"/>
  <c r="M722" i="107"/>
  <c r="I722" i="107"/>
  <c r="D722" i="107"/>
  <c r="M721" i="107"/>
  <c r="I721" i="107"/>
  <c r="D721" i="107"/>
  <c r="M720" i="107"/>
  <c r="I720" i="107"/>
  <c r="D720" i="107"/>
  <c r="M719" i="107"/>
  <c r="I719" i="107"/>
  <c r="D719" i="107"/>
  <c r="L718" i="107"/>
  <c r="K718" i="107"/>
  <c r="J718" i="107"/>
  <c r="H718" i="107"/>
  <c r="G718" i="107"/>
  <c r="F718" i="107"/>
  <c r="I718" i="107" s="1"/>
  <c r="E718" i="107"/>
  <c r="M717" i="107"/>
  <c r="I717" i="107"/>
  <c r="D717" i="107"/>
  <c r="M716" i="107"/>
  <c r="I716" i="107"/>
  <c r="D716" i="107"/>
  <c r="M715" i="107"/>
  <c r="I715" i="107"/>
  <c r="D715" i="107"/>
  <c r="M714" i="107"/>
  <c r="I714" i="107"/>
  <c r="D714" i="107"/>
  <c r="M713" i="107"/>
  <c r="I713" i="107"/>
  <c r="D713" i="107"/>
  <c r="M712" i="107"/>
  <c r="I712" i="107"/>
  <c r="D712" i="107"/>
  <c r="I711" i="107"/>
  <c r="D711" i="107"/>
  <c r="M709" i="107"/>
  <c r="I709" i="107"/>
  <c r="D709" i="107"/>
  <c r="M708" i="107"/>
  <c r="I708" i="107"/>
  <c r="D708" i="107"/>
  <c r="M707" i="107"/>
  <c r="I707" i="107"/>
  <c r="D707" i="107"/>
  <c r="M706" i="107"/>
  <c r="I706" i="107"/>
  <c r="D706" i="107"/>
  <c r="M705" i="107"/>
  <c r="I705" i="107"/>
  <c r="D705" i="107"/>
  <c r="M704" i="107"/>
  <c r="I704" i="107"/>
  <c r="D704" i="107"/>
  <c r="M703" i="107"/>
  <c r="I703" i="107"/>
  <c r="D703" i="107"/>
  <c r="M702" i="107"/>
  <c r="I702" i="107"/>
  <c r="D702" i="107"/>
  <c r="L701" i="107"/>
  <c r="K701" i="107"/>
  <c r="J701" i="107"/>
  <c r="H701" i="107"/>
  <c r="G701" i="107"/>
  <c r="F701" i="107"/>
  <c r="I701" i="107" s="1"/>
  <c r="E701" i="107"/>
  <c r="M700" i="107"/>
  <c r="I700" i="107"/>
  <c r="D700" i="107"/>
  <c r="L699" i="107"/>
  <c r="K699" i="107"/>
  <c r="K710" i="107" s="1"/>
  <c r="K727" i="107" s="1"/>
  <c r="K730" i="107" s="1"/>
  <c r="J699" i="107"/>
  <c r="J710" i="107" s="1"/>
  <c r="J727" i="107" s="1"/>
  <c r="J730" i="107" s="1"/>
  <c r="H699" i="107"/>
  <c r="H710" i="107" s="1"/>
  <c r="H727" i="107" s="1"/>
  <c r="H730" i="107" s="1"/>
  <c r="G699" i="107"/>
  <c r="G710" i="107" s="1"/>
  <c r="G727" i="107" s="1"/>
  <c r="G730" i="107" s="1"/>
  <c r="F699" i="107"/>
  <c r="E699" i="107"/>
  <c r="E710" i="107" s="1"/>
  <c r="M698" i="107"/>
  <c r="I698" i="107"/>
  <c r="D698" i="107"/>
  <c r="M697" i="107"/>
  <c r="I697" i="107"/>
  <c r="D697" i="107"/>
  <c r="M696" i="107"/>
  <c r="I696" i="107"/>
  <c r="D696" i="107"/>
  <c r="M695" i="107"/>
  <c r="I695" i="107"/>
  <c r="D695" i="107"/>
  <c r="M694" i="107"/>
  <c r="I694" i="107"/>
  <c r="D694" i="107"/>
  <c r="M693" i="107"/>
  <c r="I693" i="107"/>
  <c r="D693" i="107"/>
  <c r="M682" i="107"/>
  <c r="I682" i="107"/>
  <c r="D682" i="107"/>
  <c r="M681" i="107"/>
  <c r="I681" i="107"/>
  <c r="D681" i="107"/>
  <c r="M679" i="107"/>
  <c r="I679" i="107"/>
  <c r="D679" i="107"/>
  <c r="L678" i="107"/>
  <c r="K678" i="107"/>
  <c r="J678" i="107"/>
  <c r="H678" i="107"/>
  <c r="G678" i="107"/>
  <c r="F678" i="107"/>
  <c r="I678" i="107" s="1"/>
  <c r="E678" i="107"/>
  <c r="M677" i="107"/>
  <c r="I677" i="107"/>
  <c r="D677" i="107"/>
  <c r="M676" i="107"/>
  <c r="I676" i="107"/>
  <c r="D676" i="107"/>
  <c r="M675" i="107"/>
  <c r="I675" i="107"/>
  <c r="D675" i="107"/>
  <c r="M674" i="107"/>
  <c r="I674" i="107"/>
  <c r="D674" i="107"/>
  <c r="M673" i="107"/>
  <c r="I673" i="107"/>
  <c r="D673" i="107"/>
  <c r="M672" i="107"/>
  <c r="I672" i="107"/>
  <c r="D672" i="107"/>
  <c r="L671" i="107"/>
  <c r="K671" i="107"/>
  <c r="J671" i="107"/>
  <c r="H671" i="107"/>
  <c r="G671" i="107"/>
  <c r="F671" i="107"/>
  <c r="I671" i="107" s="1"/>
  <c r="E671" i="107"/>
  <c r="M670" i="107"/>
  <c r="I670" i="107"/>
  <c r="D670" i="107"/>
  <c r="M669" i="107"/>
  <c r="I669" i="107"/>
  <c r="D669" i="107"/>
  <c r="M668" i="107"/>
  <c r="I668" i="107"/>
  <c r="D668" i="107"/>
  <c r="M667" i="107"/>
  <c r="I667" i="107"/>
  <c r="D667" i="107"/>
  <c r="M666" i="107"/>
  <c r="I666" i="107"/>
  <c r="D666" i="107"/>
  <c r="M665" i="107"/>
  <c r="I665" i="107"/>
  <c r="D665" i="107"/>
  <c r="I664" i="107"/>
  <c r="D664" i="107"/>
  <c r="M662" i="107"/>
  <c r="I662" i="107"/>
  <c r="D662" i="107"/>
  <c r="M661" i="107"/>
  <c r="I661" i="107"/>
  <c r="D661" i="107"/>
  <c r="M660" i="107"/>
  <c r="I660" i="107"/>
  <c r="D660" i="107"/>
  <c r="M659" i="107"/>
  <c r="I659" i="107"/>
  <c r="D659" i="107"/>
  <c r="M658" i="107"/>
  <c r="I658" i="107"/>
  <c r="D658" i="107"/>
  <c r="M657" i="107"/>
  <c r="I657" i="107"/>
  <c r="D657" i="107"/>
  <c r="M656" i="107"/>
  <c r="I656" i="107"/>
  <c r="D656" i="107"/>
  <c r="M655" i="107"/>
  <c r="I655" i="107"/>
  <c r="D655" i="107"/>
  <c r="L654" i="107"/>
  <c r="K654" i="107"/>
  <c r="J654" i="107"/>
  <c r="H654" i="107"/>
  <c r="G654" i="107"/>
  <c r="F654" i="107"/>
  <c r="I654" i="107" s="1"/>
  <c r="E654" i="107"/>
  <c r="M653" i="107"/>
  <c r="I653" i="107"/>
  <c r="D653" i="107"/>
  <c r="L652" i="107"/>
  <c r="K652" i="107"/>
  <c r="K663" i="107" s="1"/>
  <c r="K680" i="107" s="1"/>
  <c r="K683" i="107" s="1"/>
  <c r="J652" i="107"/>
  <c r="J663" i="107" s="1"/>
  <c r="J680" i="107" s="1"/>
  <c r="J683" i="107" s="1"/>
  <c r="H652" i="107"/>
  <c r="H663" i="107" s="1"/>
  <c r="H680" i="107" s="1"/>
  <c r="H683" i="107" s="1"/>
  <c r="G652" i="107"/>
  <c r="G663" i="107" s="1"/>
  <c r="G680" i="107" s="1"/>
  <c r="G683" i="107" s="1"/>
  <c r="F652" i="107"/>
  <c r="E652" i="107"/>
  <c r="E663" i="107" s="1"/>
  <c r="M651" i="107"/>
  <c r="I651" i="107"/>
  <c r="D651" i="107"/>
  <c r="M650" i="107"/>
  <c r="I650" i="107"/>
  <c r="D650" i="107"/>
  <c r="M649" i="107"/>
  <c r="I649" i="107"/>
  <c r="D649" i="107"/>
  <c r="M648" i="107"/>
  <c r="I648" i="107"/>
  <c r="D648" i="107"/>
  <c r="M647" i="107"/>
  <c r="I647" i="107"/>
  <c r="D647" i="107"/>
  <c r="M646" i="107"/>
  <c r="I646" i="107"/>
  <c r="D646" i="107"/>
  <c r="M633" i="107"/>
  <c r="I633" i="107"/>
  <c r="D633" i="107"/>
  <c r="M632" i="107"/>
  <c r="I632" i="107"/>
  <c r="D632" i="107"/>
  <c r="M630" i="107"/>
  <c r="I630" i="107"/>
  <c r="D630" i="107"/>
  <c r="L629" i="107"/>
  <c r="K629" i="107"/>
  <c r="J629" i="107"/>
  <c r="H629" i="107"/>
  <c r="G629" i="107"/>
  <c r="F629" i="107"/>
  <c r="I629" i="107" s="1"/>
  <c r="E629" i="107"/>
  <c r="M628" i="107"/>
  <c r="I628" i="107"/>
  <c r="D628" i="107"/>
  <c r="M627" i="107"/>
  <c r="I627" i="107"/>
  <c r="D627" i="107"/>
  <c r="M626" i="107"/>
  <c r="I626" i="107"/>
  <c r="D626" i="107"/>
  <c r="M625" i="107"/>
  <c r="I625" i="107"/>
  <c r="D625" i="107"/>
  <c r="M624" i="107"/>
  <c r="I624" i="107"/>
  <c r="D624" i="107"/>
  <c r="M623" i="107"/>
  <c r="I623" i="107"/>
  <c r="D623" i="107"/>
  <c r="L622" i="107"/>
  <c r="K622" i="107"/>
  <c r="J622" i="107"/>
  <c r="H622" i="107"/>
  <c r="G622" i="107"/>
  <c r="F622" i="107"/>
  <c r="I622" i="107" s="1"/>
  <c r="E622" i="107"/>
  <c r="M621" i="107"/>
  <c r="I621" i="107"/>
  <c r="D621" i="107"/>
  <c r="M620" i="107"/>
  <c r="I620" i="107"/>
  <c r="D620" i="107"/>
  <c r="M619" i="107"/>
  <c r="I619" i="107"/>
  <c r="D619" i="107"/>
  <c r="M618" i="107"/>
  <c r="I618" i="107"/>
  <c r="D618" i="107"/>
  <c r="M617" i="107"/>
  <c r="I617" i="107"/>
  <c r="D617" i="107"/>
  <c r="M616" i="107"/>
  <c r="I616" i="107"/>
  <c r="D616" i="107"/>
  <c r="I615" i="107"/>
  <c r="D615" i="107"/>
  <c r="M613" i="107"/>
  <c r="I613" i="107"/>
  <c r="D613" i="107"/>
  <c r="M612" i="107"/>
  <c r="I612" i="107"/>
  <c r="D612" i="107"/>
  <c r="M611" i="107"/>
  <c r="I611" i="107"/>
  <c r="D611" i="107"/>
  <c r="M610" i="107"/>
  <c r="I610" i="107"/>
  <c r="D610" i="107"/>
  <c r="M609" i="107"/>
  <c r="I609" i="107"/>
  <c r="D609" i="107"/>
  <c r="M608" i="107"/>
  <c r="I608" i="107"/>
  <c r="D608" i="107"/>
  <c r="M607" i="107"/>
  <c r="I607" i="107"/>
  <c r="D607" i="107"/>
  <c r="M606" i="107"/>
  <c r="I606" i="107"/>
  <c r="D606" i="107"/>
  <c r="L605" i="107"/>
  <c r="K605" i="107"/>
  <c r="J605" i="107"/>
  <c r="H605" i="107"/>
  <c r="G605" i="107"/>
  <c r="F605" i="107"/>
  <c r="I605" i="107" s="1"/>
  <c r="E605" i="107"/>
  <c r="M604" i="107"/>
  <c r="I604" i="107"/>
  <c r="D604" i="107"/>
  <c r="L603" i="107"/>
  <c r="K603" i="107"/>
  <c r="K614" i="107" s="1"/>
  <c r="K631" i="107" s="1"/>
  <c r="K634" i="107" s="1"/>
  <c r="J603" i="107"/>
  <c r="J614" i="107" s="1"/>
  <c r="J631" i="107" s="1"/>
  <c r="J634" i="107" s="1"/>
  <c r="H603" i="107"/>
  <c r="H614" i="107" s="1"/>
  <c r="H631" i="107" s="1"/>
  <c r="H634" i="107" s="1"/>
  <c r="G603" i="107"/>
  <c r="G614" i="107" s="1"/>
  <c r="G631" i="107" s="1"/>
  <c r="G634" i="107" s="1"/>
  <c r="F603" i="107"/>
  <c r="E603" i="107"/>
  <c r="E614" i="107" s="1"/>
  <c r="M602" i="107"/>
  <c r="I602" i="107"/>
  <c r="D602" i="107"/>
  <c r="M601" i="107"/>
  <c r="I601" i="107"/>
  <c r="D601" i="107"/>
  <c r="M600" i="107"/>
  <c r="I600" i="107"/>
  <c r="D600" i="107"/>
  <c r="M599" i="107"/>
  <c r="I599" i="107"/>
  <c r="D599" i="107"/>
  <c r="M598" i="107"/>
  <c r="I598" i="107"/>
  <c r="D598" i="107"/>
  <c r="M597" i="107"/>
  <c r="I597" i="107"/>
  <c r="D597" i="107"/>
  <c r="M585" i="107"/>
  <c r="I585" i="107"/>
  <c r="D585" i="107"/>
  <c r="M584" i="107"/>
  <c r="I584" i="107"/>
  <c r="D584" i="107"/>
  <c r="M582" i="107"/>
  <c r="I582" i="107"/>
  <c r="D582" i="107"/>
  <c r="L581" i="107"/>
  <c r="K581" i="107"/>
  <c r="J581" i="107"/>
  <c r="H581" i="107"/>
  <c r="G581" i="107"/>
  <c r="F581" i="107"/>
  <c r="I581" i="107" s="1"/>
  <c r="E581" i="107"/>
  <c r="M580" i="107"/>
  <c r="I580" i="107"/>
  <c r="D580" i="107"/>
  <c r="M579" i="107"/>
  <c r="I579" i="107"/>
  <c r="D579" i="107"/>
  <c r="M578" i="107"/>
  <c r="I578" i="107"/>
  <c r="D578" i="107"/>
  <c r="D581" i="107" s="1"/>
  <c r="M577" i="107"/>
  <c r="I577" i="107"/>
  <c r="D577" i="107"/>
  <c r="M576" i="107"/>
  <c r="G576" i="107"/>
  <c r="I576" i="107" s="1"/>
  <c r="D576" i="107"/>
  <c r="M575" i="107"/>
  <c r="I575" i="107"/>
  <c r="D575" i="107"/>
  <c r="L574" i="107"/>
  <c r="K574" i="107"/>
  <c r="J574" i="107"/>
  <c r="H574" i="107"/>
  <c r="G574" i="107"/>
  <c r="F574" i="107"/>
  <c r="I574" i="107" s="1"/>
  <c r="E574" i="107"/>
  <c r="M573" i="107"/>
  <c r="I573" i="107"/>
  <c r="D573" i="107"/>
  <c r="M572" i="107"/>
  <c r="I572" i="107"/>
  <c r="D572" i="107"/>
  <c r="M571" i="107"/>
  <c r="I571" i="107"/>
  <c r="D571" i="107"/>
  <c r="M570" i="107"/>
  <c r="I570" i="107"/>
  <c r="D570" i="107"/>
  <c r="M569" i="107"/>
  <c r="I569" i="107"/>
  <c r="D569" i="107"/>
  <c r="M568" i="107"/>
  <c r="I568" i="107"/>
  <c r="D568" i="107"/>
  <c r="I567" i="107"/>
  <c r="D567" i="107"/>
  <c r="M565" i="107"/>
  <c r="I565" i="107"/>
  <c r="D565" i="107"/>
  <c r="M564" i="107"/>
  <c r="I564" i="107"/>
  <c r="D564" i="107"/>
  <c r="M563" i="107"/>
  <c r="I563" i="107"/>
  <c r="D563" i="107"/>
  <c r="M562" i="107"/>
  <c r="I562" i="107"/>
  <c r="D562" i="107"/>
  <c r="M561" i="107"/>
  <c r="I561" i="107"/>
  <c r="D561" i="107"/>
  <c r="M560" i="107"/>
  <c r="I560" i="107"/>
  <c r="D560" i="107"/>
  <c r="M559" i="107"/>
  <c r="I559" i="107"/>
  <c r="D559" i="107"/>
  <c r="M558" i="107"/>
  <c r="I558" i="107"/>
  <c r="D558" i="107"/>
  <c r="L557" i="107"/>
  <c r="K557" i="107"/>
  <c r="J557" i="107"/>
  <c r="H557" i="107"/>
  <c r="G557" i="107"/>
  <c r="F557" i="107"/>
  <c r="I557" i="107" s="1"/>
  <c r="E557" i="107"/>
  <c r="D557" i="107"/>
  <c r="M556" i="107"/>
  <c r="I556" i="107"/>
  <c r="D556" i="107"/>
  <c r="L555" i="107"/>
  <c r="K555" i="107"/>
  <c r="K566" i="107" s="1"/>
  <c r="K583" i="107" s="1"/>
  <c r="K586" i="107" s="1"/>
  <c r="J555" i="107"/>
  <c r="J566" i="107" s="1"/>
  <c r="J583" i="107" s="1"/>
  <c r="J586" i="107" s="1"/>
  <c r="H555" i="107"/>
  <c r="H566" i="107" s="1"/>
  <c r="H583" i="107" s="1"/>
  <c r="H586" i="107" s="1"/>
  <c r="G555" i="107"/>
  <c r="G566" i="107" s="1"/>
  <c r="G583" i="107" s="1"/>
  <c r="G586" i="107" s="1"/>
  <c r="F555" i="107"/>
  <c r="E555" i="107"/>
  <c r="E566" i="107" s="1"/>
  <c r="E583" i="107" s="1"/>
  <c r="M554" i="107"/>
  <c r="I554" i="107"/>
  <c r="D554" i="107"/>
  <c r="M553" i="107"/>
  <c r="I553" i="107"/>
  <c r="D553" i="107"/>
  <c r="M552" i="107"/>
  <c r="I552" i="107"/>
  <c r="D552" i="107"/>
  <c r="M551" i="107"/>
  <c r="I551" i="107"/>
  <c r="D551" i="107"/>
  <c r="M550" i="107"/>
  <c r="I550" i="107"/>
  <c r="D550" i="107"/>
  <c r="M549" i="107"/>
  <c r="I549" i="107"/>
  <c r="D549" i="107"/>
  <c r="M537" i="107"/>
  <c r="I537" i="107"/>
  <c r="D537" i="107"/>
  <c r="M536" i="107"/>
  <c r="I536" i="107"/>
  <c r="D536" i="107"/>
  <c r="M534" i="107"/>
  <c r="I534" i="107"/>
  <c r="D534" i="107"/>
  <c r="L533" i="107"/>
  <c r="K533" i="107"/>
  <c r="J533" i="107"/>
  <c r="H533" i="107"/>
  <c r="G533" i="107"/>
  <c r="F533" i="107"/>
  <c r="I533" i="107" s="1"/>
  <c r="E533" i="107"/>
  <c r="M532" i="107"/>
  <c r="I532" i="107"/>
  <c r="D532" i="107"/>
  <c r="M531" i="107"/>
  <c r="I531" i="107"/>
  <c r="D531" i="107"/>
  <c r="M530" i="107"/>
  <c r="I530" i="107"/>
  <c r="D530" i="107"/>
  <c r="M529" i="107"/>
  <c r="I529" i="107"/>
  <c r="D529" i="107"/>
  <c r="M528" i="107"/>
  <c r="I528" i="107"/>
  <c r="D528" i="107"/>
  <c r="M527" i="107"/>
  <c r="I527" i="107"/>
  <c r="D527" i="107"/>
  <c r="L526" i="107"/>
  <c r="K526" i="107"/>
  <c r="J526" i="107"/>
  <c r="H526" i="107"/>
  <c r="G526" i="107"/>
  <c r="F526" i="107"/>
  <c r="I526" i="107" s="1"/>
  <c r="E526" i="107"/>
  <c r="M525" i="107"/>
  <c r="I525" i="107"/>
  <c r="D525" i="107"/>
  <c r="M524" i="107"/>
  <c r="I524" i="107"/>
  <c r="D524" i="107"/>
  <c r="M523" i="107"/>
  <c r="I523" i="107"/>
  <c r="D523" i="107"/>
  <c r="M522" i="107"/>
  <c r="I522" i="107"/>
  <c r="D522" i="107"/>
  <c r="M521" i="107"/>
  <c r="I521" i="107"/>
  <c r="D521" i="107"/>
  <c r="M520" i="107"/>
  <c r="I520" i="107"/>
  <c r="D520" i="107"/>
  <c r="I519" i="107"/>
  <c r="D519" i="107"/>
  <c r="M517" i="107"/>
  <c r="I517" i="107"/>
  <c r="D517" i="107"/>
  <c r="M516" i="107"/>
  <c r="I516" i="107"/>
  <c r="D516" i="107"/>
  <c r="M515" i="107"/>
  <c r="I515" i="107"/>
  <c r="D515" i="107"/>
  <c r="M514" i="107"/>
  <c r="I514" i="107"/>
  <c r="D514" i="107"/>
  <c r="M513" i="107"/>
  <c r="I513" i="107"/>
  <c r="D513" i="107"/>
  <c r="M512" i="107"/>
  <c r="I512" i="107"/>
  <c r="D512" i="107"/>
  <c r="M511" i="107"/>
  <c r="I511" i="107"/>
  <c r="D511" i="107"/>
  <c r="M510" i="107"/>
  <c r="I510" i="107"/>
  <c r="D510" i="107"/>
  <c r="L509" i="107"/>
  <c r="K509" i="107"/>
  <c r="J509" i="107"/>
  <c r="H509" i="107"/>
  <c r="G509" i="107"/>
  <c r="F509" i="107"/>
  <c r="I509" i="107" s="1"/>
  <c r="E509" i="107"/>
  <c r="M508" i="107"/>
  <c r="I508" i="107"/>
  <c r="D508" i="107"/>
  <c r="L507" i="107"/>
  <c r="K507" i="107"/>
  <c r="K518" i="107" s="1"/>
  <c r="K535" i="107" s="1"/>
  <c r="K538" i="107" s="1"/>
  <c r="J507" i="107"/>
  <c r="J518" i="107" s="1"/>
  <c r="J535" i="107" s="1"/>
  <c r="J538" i="107" s="1"/>
  <c r="H507" i="107"/>
  <c r="H518" i="107" s="1"/>
  <c r="H535" i="107" s="1"/>
  <c r="H538" i="107" s="1"/>
  <c r="G507" i="107"/>
  <c r="G518" i="107" s="1"/>
  <c r="G535" i="107" s="1"/>
  <c r="G538" i="107" s="1"/>
  <c r="F507" i="107"/>
  <c r="E507" i="107"/>
  <c r="E518" i="107" s="1"/>
  <c r="M506" i="107"/>
  <c r="I506" i="107"/>
  <c r="D506" i="107"/>
  <c r="M505" i="107"/>
  <c r="I505" i="107"/>
  <c r="D505" i="107"/>
  <c r="M504" i="107"/>
  <c r="I504" i="107"/>
  <c r="D504" i="107"/>
  <c r="M503" i="107"/>
  <c r="I503" i="107"/>
  <c r="D503" i="107"/>
  <c r="M502" i="107"/>
  <c r="I502" i="107"/>
  <c r="D502" i="107"/>
  <c r="M501" i="107"/>
  <c r="I501" i="107"/>
  <c r="D501" i="107"/>
  <c r="M489" i="107"/>
  <c r="I489" i="107"/>
  <c r="D489" i="107"/>
  <c r="M488" i="107"/>
  <c r="I488" i="107"/>
  <c r="D488" i="107"/>
  <c r="M486" i="107"/>
  <c r="I486" i="107"/>
  <c r="D486" i="107"/>
  <c r="L485" i="107"/>
  <c r="K485" i="107"/>
  <c r="J485" i="107"/>
  <c r="H485" i="107"/>
  <c r="G485" i="107"/>
  <c r="F485" i="107"/>
  <c r="I485" i="107" s="1"/>
  <c r="E485" i="107"/>
  <c r="M484" i="107"/>
  <c r="I484" i="107"/>
  <c r="D484" i="107"/>
  <c r="M483" i="107"/>
  <c r="I483" i="107"/>
  <c r="D483" i="107"/>
  <c r="M482" i="107"/>
  <c r="I482" i="107"/>
  <c r="D482" i="107"/>
  <c r="M481" i="107"/>
  <c r="I481" i="107"/>
  <c r="D481" i="107"/>
  <c r="M480" i="107"/>
  <c r="I480" i="107"/>
  <c r="D480" i="107"/>
  <c r="M479" i="107"/>
  <c r="I479" i="107"/>
  <c r="D479" i="107"/>
  <c r="L478" i="107"/>
  <c r="K478" i="107"/>
  <c r="J478" i="107"/>
  <c r="H478" i="107"/>
  <c r="G478" i="107"/>
  <c r="F478" i="107"/>
  <c r="I478" i="107" s="1"/>
  <c r="E478" i="107"/>
  <c r="M477" i="107"/>
  <c r="I477" i="107"/>
  <c r="D477" i="107"/>
  <c r="M476" i="107"/>
  <c r="I476" i="107"/>
  <c r="D476" i="107"/>
  <c r="M475" i="107"/>
  <c r="I475" i="107"/>
  <c r="D475" i="107"/>
  <c r="M474" i="107"/>
  <c r="I474" i="107"/>
  <c r="D474" i="107"/>
  <c r="M473" i="107"/>
  <c r="I473" i="107"/>
  <c r="D473" i="107"/>
  <c r="M472" i="107"/>
  <c r="I472" i="107"/>
  <c r="D472" i="107"/>
  <c r="I471" i="107"/>
  <c r="D471" i="107"/>
  <c r="M469" i="107"/>
  <c r="I469" i="107"/>
  <c r="D469" i="107"/>
  <c r="M468" i="107"/>
  <c r="I468" i="107"/>
  <c r="D468" i="107"/>
  <c r="M467" i="107"/>
  <c r="I467" i="107"/>
  <c r="D467" i="107"/>
  <c r="M466" i="107"/>
  <c r="I466" i="107"/>
  <c r="D466" i="107"/>
  <c r="M465" i="107"/>
  <c r="I465" i="107"/>
  <c r="D465" i="107"/>
  <c r="M464" i="107"/>
  <c r="I464" i="107"/>
  <c r="D464" i="107"/>
  <c r="M463" i="107"/>
  <c r="I463" i="107"/>
  <c r="D463" i="107"/>
  <c r="M462" i="107"/>
  <c r="I462" i="107"/>
  <c r="D462" i="107"/>
  <c r="L461" i="107"/>
  <c r="K461" i="107"/>
  <c r="J461" i="107"/>
  <c r="H461" i="107"/>
  <c r="G461" i="107"/>
  <c r="F461" i="107"/>
  <c r="I461" i="107" s="1"/>
  <c r="E461" i="107"/>
  <c r="M460" i="107"/>
  <c r="I460" i="107"/>
  <c r="D460" i="107"/>
  <c r="L459" i="107"/>
  <c r="K459" i="107"/>
  <c r="K470" i="107" s="1"/>
  <c r="K487" i="107" s="1"/>
  <c r="K490" i="107" s="1"/>
  <c r="J459" i="107"/>
  <c r="J470" i="107" s="1"/>
  <c r="J487" i="107" s="1"/>
  <c r="J490" i="107" s="1"/>
  <c r="H459" i="107"/>
  <c r="H470" i="107" s="1"/>
  <c r="H487" i="107" s="1"/>
  <c r="H490" i="107" s="1"/>
  <c r="G459" i="107"/>
  <c r="G470" i="107" s="1"/>
  <c r="G487" i="107" s="1"/>
  <c r="G490" i="107" s="1"/>
  <c r="F459" i="107"/>
  <c r="E459" i="107"/>
  <c r="E470" i="107" s="1"/>
  <c r="M458" i="107"/>
  <c r="I458" i="107"/>
  <c r="D458" i="107"/>
  <c r="M457" i="107"/>
  <c r="I457" i="107"/>
  <c r="D457" i="107"/>
  <c r="M456" i="107"/>
  <c r="I456" i="107"/>
  <c r="D456" i="107"/>
  <c r="M455" i="107"/>
  <c r="I455" i="107"/>
  <c r="D455" i="107"/>
  <c r="M454" i="107"/>
  <c r="I454" i="107"/>
  <c r="D454" i="107"/>
  <c r="M453" i="107"/>
  <c r="I453" i="107"/>
  <c r="D453" i="107"/>
  <c r="M441" i="107"/>
  <c r="I441" i="107"/>
  <c r="D441" i="107"/>
  <c r="M440" i="107"/>
  <c r="I440" i="107"/>
  <c r="D440" i="107"/>
  <c r="M438" i="107"/>
  <c r="I438" i="107"/>
  <c r="D438" i="107"/>
  <c r="L437" i="107"/>
  <c r="K437" i="107"/>
  <c r="J437" i="107"/>
  <c r="H437" i="107"/>
  <c r="G437" i="107"/>
  <c r="F437" i="107"/>
  <c r="I437" i="107" s="1"/>
  <c r="E437" i="107"/>
  <c r="M436" i="107"/>
  <c r="I436" i="107"/>
  <c r="D436" i="107"/>
  <c r="M435" i="107"/>
  <c r="I435" i="107"/>
  <c r="D435" i="107"/>
  <c r="M434" i="107"/>
  <c r="I434" i="107"/>
  <c r="D434" i="107"/>
  <c r="M433" i="107"/>
  <c r="I433" i="107"/>
  <c r="D433" i="107"/>
  <c r="M432" i="107"/>
  <c r="I432" i="107"/>
  <c r="D432" i="107"/>
  <c r="M431" i="107"/>
  <c r="I431" i="107"/>
  <c r="D431" i="107"/>
  <c r="L430" i="107"/>
  <c r="K430" i="107"/>
  <c r="J430" i="107"/>
  <c r="H430" i="107"/>
  <c r="G430" i="107"/>
  <c r="F430" i="107"/>
  <c r="I430" i="107" s="1"/>
  <c r="E430" i="107"/>
  <c r="M429" i="107"/>
  <c r="I429" i="107"/>
  <c r="D429" i="107"/>
  <c r="M428" i="107"/>
  <c r="I428" i="107"/>
  <c r="D428" i="107"/>
  <c r="M427" i="107"/>
  <c r="I427" i="107"/>
  <c r="D427" i="107"/>
  <c r="M426" i="107"/>
  <c r="I426" i="107"/>
  <c r="D426" i="107"/>
  <c r="M425" i="107"/>
  <c r="I425" i="107"/>
  <c r="D425" i="107"/>
  <c r="M424" i="107"/>
  <c r="I424" i="107"/>
  <c r="D424" i="107"/>
  <c r="I423" i="107"/>
  <c r="D423" i="107"/>
  <c r="M421" i="107"/>
  <c r="I421" i="107"/>
  <c r="D421" i="107"/>
  <c r="M420" i="107"/>
  <c r="I420" i="107"/>
  <c r="D420" i="107"/>
  <c r="M419" i="107"/>
  <c r="I419" i="107"/>
  <c r="D419" i="107"/>
  <c r="M418" i="107"/>
  <c r="I418" i="107"/>
  <c r="D418" i="107"/>
  <c r="M417" i="107"/>
  <c r="I417" i="107"/>
  <c r="D417" i="107"/>
  <c r="M416" i="107"/>
  <c r="I416" i="107"/>
  <c r="D416" i="107"/>
  <c r="M415" i="107"/>
  <c r="I415" i="107"/>
  <c r="D415" i="107"/>
  <c r="M414" i="107"/>
  <c r="I414" i="107"/>
  <c r="D414" i="107"/>
  <c r="L413" i="107"/>
  <c r="K413" i="107"/>
  <c r="J413" i="107"/>
  <c r="H413" i="107"/>
  <c r="G413" i="107"/>
  <c r="F413" i="107"/>
  <c r="I413" i="107" s="1"/>
  <c r="E413" i="107"/>
  <c r="M412" i="107"/>
  <c r="I412" i="107"/>
  <c r="D412" i="107"/>
  <c r="L411" i="107"/>
  <c r="K411" i="107"/>
  <c r="K422" i="107" s="1"/>
  <c r="K439" i="107" s="1"/>
  <c r="K442" i="107" s="1"/>
  <c r="J411" i="107"/>
  <c r="J422" i="107" s="1"/>
  <c r="J439" i="107" s="1"/>
  <c r="J442" i="107" s="1"/>
  <c r="H411" i="107"/>
  <c r="H422" i="107" s="1"/>
  <c r="H439" i="107" s="1"/>
  <c r="H442" i="107" s="1"/>
  <c r="G411" i="107"/>
  <c r="G422" i="107" s="1"/>
  <c r="G439" i="107" s="1"/>
  <c r="G442" i="107" s="1"/>
  <c r="F411" i="107"/>
  <c r="E411" i="107"/>
  <c r="E422" i="107" s="1"/>
  <c r="M410" i="107"/>
  <c r="I410" i="107"/>
  <c r="D410" i="107"/>
  <c r="M409" i="107"/>
  <c r="I409" i="107"/>
  <c r="D409" i="107"/>
  <c r="M408" i="107"/>
  <c r="I408" i="107"/>
  <c r="D408" i="107"/>
  <c r="M407" i="107"/>
  <c r="I407" i="107"/>
  <c r="D407" i="107"/>
  <c r="M406" i="107"/>
  <c r="I406" i="107"/>
  <c r="D406" i="107"/>
  <c r="M405" i="107"/>
  <c r="I405" i="107"/>
  <c r="D405" i="107"/>
  <c r="M392" i="107"/>
  <c r="I392" i="107"/>
  <c r="D392" i="107" s="1"/>
  <c r="M390" i="107"/>
  <c r="I390" i="107"/>
  <c r="D390" i="107"/>
  <c r="L389" i="107"/>
  <c r="K389" i="107"/>
  <c r="J389" i="107"/>
  <c r="H389" i="107"/>
  <c r="G389" i="107"/>
  <c r="F389" i="107"/>
  <c r="I389" i="107" s="1"/>
  <c r="E389" i="107"/>
  <c r="M388" i="107"/>
  <c r="I388" i="107"/>
  <c r="D388" i="107"/>
  <c r="M387" i="107"/>
  <c r="I387" i="107"/>
  <c r="D387" i="107"/>
  <c r="M386" i="107"/>
  <c r="I386" i="107"/>
  <c r="D386" i="107"/>
  <c r="M385" i="107"/>
  <c r="I385" i="107"/>
  <c r="D385" i="107"/>
  <c r="M384" i="107"/>
  <c r="I384" i="107"/>
  <c r="D384" i="107"/>
  <c r="M383" i="107"/>
  <c r="I383" i="107"/>
  <c r="D383" i="107"/>
  <c r="L382" i="107"/>
  <c r="K382" i="107"/>
  <c r="J382" i="107"/>
  <c r="H382" i="107"/>
  <c r="G382" i="107"/>
  <c r="F382" i="107"/>
  <c r="I382" i="107" s="1"/>
  <c r="E382" i="107"/>
  <c r="M381" i="107"/>
  <c r="I381" i="107"/>
  <c r="D381" i="107"/>
  <c r="M380" i="107"/>
  <c r="I380" i="107"/>
  <c r="D380" i="107"/>
  <c r="M379" i="107"/>
  <c r="I379" i="107"/>
  <c r="D379" i="107"/>
  <c r="M378" i="107"/>
  <c r="I378" i="107"/>
  <c r="D378" i="107"/>
  <c r="M377" i="107"/>
  <c r="I377" i="107"/>
  <c r="D377" i="107"/>
  <c r="M376" i="107"/>
  <c r="I376" i="107"/>
  <c r="D376" i="107"/>
  <c r="I375" i="107"/>
  <c r="D375" i="107"/>
  <c r="M373" i="107"/>
  <c r="I373" i="107"/>
  <c r="D373" i="107"/>
  <c r="M372" i="107"/>
  <c r="I372" i="107"/>
  <c r="D372" i="107"/>
  <c r="M371" i="107"/>
  <c r="D371" i="107"/>
  <c r="I370" i="107"/>
  <c r="D370" i="107"/>
  <c r="I369" i="107"/>
  <c r="D369" i="107"/>
  <c r="I368" i="107"/>
  <c r="D368" i="107"/>
  <c r="I367" i="107"/>
  <c r="D367" i="107"/>
  <c r="M366" i="107"/>
  <c r="H366" i="107"/>
  <c r="G366" i="107"/>
  <c r="F366" i="107"/>
  <c r="I366" i="107" s="1"/>
  <c r="E366" i="107"/>
  <c r="D366" i="107"/>
  <c r="M365" i="107"/>
  <c r="I365" i="107"/>
  <c r="D365" i="107"/>
  <c r="M364" i="107"/>
  <c r="I364" i="107"/>
  <c r="D364" i="107"/>
  <c r="M363" i="107"/>
  <c r="I363" i="107"/>
  <c r="D363" i="107"/>
  <c r="M362" i="107"/>
  <c r="I362" i="107"/>
  <c r="D362" i="107"/>
  <c r="L361" i="107"/>
  <c r="K361" i="107"/>
  <c r="J361" i="107"/>
  <c r="H361" i="107"/>
  <c r="G361" i="107"/>
  <c r="F361" i="107"/>
  <c r="I361" i="107" s="1"/>
  <c r="E361" i="107"/>
  <c r="M360" i="107"/>
  <c r="I360" i="107"/>
  <c r="D360" i="107"/>
  <c r="L359" i="107"/>
  <c r="K359" i="107"/>
  <c r="K374" i="107" s="1"/>
  <c r="K391" i="107" s="1"/>
  <c r="K394" i="107" s="1"/>
  <c r="J359" i="107"/>
  <c r="J374" i="107" s="1"/>
  <c r="J391" i="107" s="1"/>
  <c r="J394" i="107" s="1"/>
  <c r="H359" i="107"/>
  <c r="H374" i="107" s="1"/>
  <c r="H391" i="107" s="1"/>
  <c r="H394" i="107" s="1"/>
  <c r="G359" i="107"/>
  <c r="G374" i="107" s="1"/>
  <c r="G391" i="107" s="1"/>
  <c r="G394" i="107" s="1"/>
  <c r="F359" i="107"/>
  <c r="E359" i="107"/>
  <c r="E374" i="107" s="1"/>
  <c r="M358" i="107"/>
  <c r="I358" i="107"/>
  <c r="D358" i="107"/>
  <c r="M357" i="107"/>
  <c r="I357" i="107"/>
  <c r="D357" i="107"/>
  <c r="M356" i="107"/>
  <c r="I356" i="107"/>
  <c r="D356" i="107"/>
  <c r="M355" i="107"/>
  <c r="I355" i="107"/>
  <c r="D355" i="107"/>
  <c r="M354" i="107"/>
  <c r="I354" i="107"/>
  <c r="D354" i="107"/>
  <c r="M353" i="107"/>
  <c r="I353" i="107"/>
  <c r="D353" i="107"/>
  <c r="M340" i="107"/>
  <c r="I340" i="107"/>
  <c r="D340" i="107"/>
  <c r="M339" i="107"/>
  <c r="I339" i="107"/>
  <c r="D339" i="107"/>
  <c r="M337" i="107"/>
  <c r="I337" i="107"/>
  <c r="D337" i="107"/>
  <c r="L336" i="107"/>
  <c r="K336" i="107"/>
  <c r="J336" i="107"/>
  <c r="H336" i="107"/>
  <c r="G336" i="107"/>
  <c r="F336" i="107"/>
  <c r="I336" i="107" s="1"/>
  <c r="E336" i="107"/>
  <c r="M335" i="107"/>
  <c r="I335" i="107"/>
  <c r="D335" i="107"/>
  <c r="M334" i="107"/>
  <c r="I334" i="107"/>
  <c r="D334" i="107"/>
  <c r="M333" i="107"/>
  <c r="I333" i="107"/>
  <c r="D333" i="107"/>
  <c r="M332" i="107"/>
  <c r="I332" i="107"/>
  <c r="D332" i="107"/>
  <c r="M331" i="107"/>
  <c r="I331" i="107"/>
  <c r="D331" i="107"/>
  <c r="M330" i="107"/>
  <c r="I330" i="107"/>
  <c r="D330" i="107"/>
  <c r="L329" i="107"/>
  <c r="K329" i="107"/>
  <c r="J329" i="107"/>
  <c r="H329" i="107"/>
  <c r="G329" i="107"/>
  <c r="F329" i="107"/>
  <c r="I329" i="107" s="1"/>
  <c r="E329" i="107"/>
  <c r="M328" i="107"/>
  <c r="I328" i="107"/>
  <c r="D328" i="107"/>
  <c r="M327" i="107"/>
  <c r="I327" i="107"/>
  <c r="D327" i="107"/>
  <c r="M326" i="107"/>
  <c r="I326" i="107"/>
  <c r="D326" i="107"/>
  <c r="M325" i="107"/>
  <c r="I325" i="107"/>
  <c r="D325" i="107"/>
  <c r="M324" i="107"/>
  <c r="I324" i="107"/>
  <c r="D324" i="107"/>
  <c r="M323" i="107"/>
  <c r="I323" i="107"/>
  <c r="D323" i="107"/>
  <c r="I322" i="107"/>
  <c r="D322" i="107"/>
  <c r="M320" i="107"/>
  <c r="I320" i="107"/>
  <c r="D320" i="107"/>
  <c r="M319" i="107"/>
  <c r="I319" i="107"/>
  <c r="D319" i="107"/>
  <c r="M318" i="107"/>
  <c r="I318" i="107"/>
  <c r="D318" i="107"/>
  <c r="M317" i="107"/>
  <c r="I317" i="107"/>
  <c r="D317" i="107"/>
  <c r="M316" i="107"/>
  <c r="I316" i="107"/>
  <c r="D316" i="107"/>
  <c r="M315" i="107"/>
  <c r="I315" i="107"/>
  <c r="D315" i="107"/>
  <c r="M314" i="107"/>
  <c r="I314" i="107"/>
  <c r="D314" i="107"/>
  <c r="M313" i="107"/>
  <c r="I313" i="107"/>
  <c r="D313" i="107"/>
  <c r="L312" i="107"/>
  <c r="K312" i="107"/>
  <c r="J312" i="107"/>
  <c r="H312" i="107"/>
  <c r="G312" i="107"/>
  <c r="F312" i="107"/>
  <c r="I312" i="107" s="1"/>
  <c r="E312" i="107"/>
  <c r="M311" i="107"/>
  <c r="I311" i="107"/>
  <c r="D311" i="107"/>
  <c r="L310" i="107"/>
  <c r="K310" i="107"/>
  <c r="K321" i="107" s="1"/>
  <c r="K338" i="107" s="1"/>
  <c r="K341" i="107" s="1"/>
  <c r="J310" i="107"/>
  <c r="J321" i="107" s="1"/>
  <c r="J338" i="107" s="1"/>
  <c r="J341" i="107" s="1"/>
  <c r="H310" i="107"/>
  <c r="H321" i="107" s="1"/>
  <c r="H338" i="107" s="1"/>
  <c r="H341" i="107" s="1"/>
  <c r="G310" i="107"/>
  <c r="G321" i="107" s="1"/>
  <c r="G338" i="107" s="1"/>
  <c r="G341" i="107" s="1"/>
  <c r="F310" i="107"/>
  <c r="E310" i="107"/>
  <c r="E321" i="107" s="1"/>
  <c r="M309" i="107"/>
  <c r="I309" i="107"/>
  <c r="D309" i="107"/>
  <c r="M308" i="107"/>
  <c r="I308" i="107"/>
  <c r="D308" i="107"/>
  <c r="M307" i="107"/>
  <c r="I307" i="107"/>
  <c r="D307" i="107"/>
  <c r="M306" i="107"/>
  <c r="I306" i="107"/>
  <c r="D306" i="107"/>
  <c r="M305" i="107"/>
  <c r="I305" i="107"/>
  <c r="D305" i="107"/>
  <c r="M304" i="107"/>
  <c r="I304" i="107"/>
  <c r="D304" i="107"/>
  <c r="M290" i="107"/>
  <c r="I290" i="107"/>
  <c r="D290" i="107"/>
  <c r="M289" i="107"/>
  <c r="I289" i="107"/>
  <c r="D289" i="107"/>
  <c r="M287" i="107"/>
  <c r="I287" i="107"/>
  <c r="D287" i="107"/>
  <c r="L286" i="107"/>
  <c r="K286" i="107"/>
  <c r="J286" i="107"/>
  <c r="H286" i="107"/>
  <c r="G286" i="107"/>
  <c r="F286" i="107"/>
  <c r="I286" i="107" s="1"/>
  <c r="E286" i="107"/>
  <c r="M285" i="107"/>
  <c r="I285" i="107"/>
  <c r="D285" i="107"/>
  <c r="M284" i="107"/>
  <c r="I284" i="107"/>
  <c r="D284" i="107"/>
  <c r="M283" i="107"/>
  <c r="I283" i="107"/>
  <c r="D283" i="107"/>
  <c r="M282" i="107"/>
  <c r="I282" i="107"/>
  <c r="D282" i="107"/>
  <c r="M281" i="107"/>
  <c r="I281" i="107"/>
  <c r="D281" i="107"/>
  <c r="M280" i="107"/>
  <c r="I280" i="107"/>
  <c r="D280" i="107"/>
  <c r="L279" i="107"/>
  <c r="K279" i="107"/>
  <c r="J279" i="107"/>
  <c r="H279" i="107"/>
  <c r="G279" i="107"/>
  <c r="F279" i="107"/>
  <c r="I279" i="107" s="1"/>
  <c r="E279" i="107"/>
  <c r="M278" i="107"/>
  <c r="I278" i="107"/>
  <c r="D278" i="107"/>
  <c r="M277" i="107"/>
  <c r="I277" i="107"/>
  <c r="D277" i="107"/>
  <c r="M276" i="107"/>
  <c r="I276" i="107"/>
  <c r="D276" i="107"/>
  <c r="M275" i="107"/>
  <c r="I275" i="107"/>
  <c r="D275" i="107"/>
  <c r="M274" i="107"/>
  <c r="I274" i="107"/>
  <c r="D274" i="107"/>
  <c r="M273" i="107"/>
  <c r="I273" i="107"/>
  <c r="D273" i="107"/>
  <c r="I272" i="107"/>
  <c r="D272" i="107"/>
  <c r="M270" i="107"/>
  <c r="I270" i="107"/>
  <c r="D270" i="107"/>
  <c r="M269" i="107"/>
  <c r="I269" i="107"/>
  <c r="D269" i="107"/>
  <c r="M268" i="107"/>
  <c r="I268" i="107"/>
  <c r="D268" i="107"/>
  <c r="M267" i="107"/>
  <c r="I267" i="107"/>
  <c r="D267" i="107"/>
  <c r="M266" i="107"/>
  <c r="I266" i="107"/>
  <c r="D266" i="107"/>
  <c r="M265" i="107"/>
  <c r="I265" i="107"/>
  <c r="D265" i="107"/>
  <c r="M264" i="107"/>
  <c r="I264" i="107"/>
  <c r="D264" i="107"/>
  <c r="M263" i="107"/>
  <c r="I263" i="107"/>
  <c r="D263" i="107"/>
  <c r="L262" i="107"/>
  <c r="K262" i="107"/>
  <c r="J262" i="107"/>
  <c r="G262" i="107"/>
  <c r="F262" i="107"/>
  <c r="I262" i="107" s="1"/>
  <c r="E262" i="107"/>
  <c r="M261" i="107"/>
  <c r="I261" i="107"/>
  <c r="D261" i="107"/>
  <c r="L260" i="107"/>
  <c r="K260" i="107"/>
  <c r="K271" i="107" s="1"/>
  <c r="K288" i="107" s="1"/>
  <c r="K291" i="107" s="1"/>
  <c r="J260" i="107"/>
  <c r="J271" i="107" s="1"/>
  <c r="J288" i="107" s="1"/>
  <c r="J291" i="107" s="1"/>
  <c r="H260" i="107"/>
  <c r="H271" i="107" s="1"/>
  <c r="H288" i="107" s="1"/>
  <c r="H291" i="107" s="1"/>
  <c r="G260" i="107"/>
  <c r="G271" i="107" s="1"/>
  <c r="G288" i="107" s="1"/>
  <c r="G291" i="107" s="1"/>
  <c r="F260" i="107"/>
  <c r="E260" i="107"/>
  <c r="E271" i="107" s="1"/>
  <c r="M259" i="107"/>
  <c r="I259" i="107"/>
  <c r="D259" i="107"/>
  <c r="M258" i="107"/>
  <c r="I258" i="107"/>
  <c r="D258" i="107"/>
  <c r="M257" i="107"/>
  <c r="I257" i="107"/>
  <c r="D257" i="107"/>
  <c r="M256" i="107"/>
  <c r="I256" i="107"/>
  <c r="D256" i="107"/>
  <c r="M255" i="107"/>
  <c r="I255" i="107"/>
  <c r="D255" i="107"/>
  <c r="M254" i="107"/>
  <c r="I254" i="107"/>
  <c r="D254" i="107"/>
  <c r="M242" i="107"/>
  <c r="I242" i="107"/>
  <c r="D242" i="107"/>
  <c r="M241" i="107"/>
  <c r="I241" i="107"/>
  <c r="D241" i="107"/>
  <c r="M239" i="107"/>
  <c r="I239" i="107"/>
  <c r="D239" i="107"/>
  <c r="L238" i="107"/>
  <c r="K238" i="107"/>
  <c r="J238" i="107"/>
  <c r="H238" i="107"/>
  <c r="G238" i="107"/>
  <c r="F238" i="107"/>
  <c r="I238" i="107" s="1"/>
  <c r="E238" i="107"/>
  <c r="M237" i="107"/>
  <c r="I237" i="107"/>
  <c r="D237" i="107"/>
  <c r="M236" i="107"/>
  <c r="I236" i="107"/>
  <c r="D236" i="107"/>
  <c r="M235" i="107"/>
  <c r="I235" i="107"/>
  <c r="D235" i="107"/>
  <c r="M234" i="107"/>
  <c r="I234" i="107"/>
  <c r="D234" i="107"/>
  <c r="M233" i="107"/>
  <c r="I233" i="107"/>
  <c r="D233" i="107"/>
  <c r="M232" i="107"/>
  <c r="I232" i="107"/>
  <c r="D232" i="107"/>
  <c r="L231" i="107"/>
  <c r="K231" i="107"/>
  <c r="J231" i="107"/>
  <c r="H231" i="107"/>
  <c r="G231" i="107"/>
  <c r="F231" i="107"/>
  <c r="I231" i="107" s="1"/>
  <c r="E231" i="107"/>
  <c r="M230" i="107"/>
  <c r="I230" i="107"/>
  <c r="D230" i="107"/>
  <c r="M229" i="107"/>
  <c r="I229" i="107"/>
  <c r="D229" i="107"/>
  <c r="M228" i="107"/>
  <c r="I228" i="107"/>
  <c r="D228" i="107"/>
  <c r="M227" i="107"/>
  <c r="I227" i="107"/>
  <c r="D227" i="107"/>
  <c r="M226" i="107"/>
  <c r="I226" i="107"/>
  <c r="D226" i="107"/>
  <c r="M225" i="107"/>
  <c r="I225" i="107"/>
  <c r="D225" i="107"/>
  <c r="I224" i="107"/>
  <c r="D224" i="107"/>
  <c r="M222" i="107"/>
  <c r="I222" i="107"/>
  <c r="D222" i="107"/>
  <c r="M221" i="107"/>
  <c r="I221" i="107"/>
  <c r="D221" i="107"/>
  <c r="M220" i="107"/>
  <c r="I220" i="107"/>
  <c r="D220" i="107"/>
  <c r="M219" i="107"/>
  <c r="I219" i="107"/>
  <c r="D219" i="107"/>
  <c r="M218" i="107"/>
  <c r="I218" i="107"/>
  <c r="D218" i="107"/>
  <c r="L217" i="107"/>
  <c r="K217" i="107"/>
  <c r="J217" i="107"/>
  <c r="H217" i="107"/>
  <c r="G217" i="107"/>
  <c r="F217" i="107"/>
  <c r="I217" i="107" s="1"/>
  <c r="E217" i="107"/>
  <c r="M216" i="107"/>
  <c r="I216" i="107"/>
  <c r="D216" i="107"/>
  <c r="M215" i="107"/>
  <c r="I215" i="107"/>
  <c r="D215" i="107"/>
  <c r="M214" i="107"/>
  <c r="I214" i="107"/>
  <c r="D214" i="107"/>
  <c r="M213" i="107"/>
  <c r="I213" i="107"/>
  <c r="D213" i="107"/>
  <c r="L212" i="107"/>
  <c r="K212" i="107"/>
  <c r="J212" i="107"/>
  <c r="H212" i="107"/>
  <c r="G212" i="107"/>
  <c r="F212" i="107"/>
  <c r="I212" i="107" s="1"/>
  <c r="E212" i="107"/>
  <c r="M211" i="107"/>
  <c r="I211" i="107"/>
  <c r="D211" i="107"/>
  <c r="L210" i="107"/>
  <c r="K210" i="107"/>
  <c r="K223" i="107" s="1"/>
  <c r="K240" i="107" s="1"/>
  <c r="K243" i="107" s="1"/>
  <c r="J210" i="107"/>
  <c r="J223" i="107" s="1"/>
  <c r="J240" i="107" s="1"/>
  <c r="J243" i="107" s="1"/>
  <c r="H210" i="107"/>
  <c r="H223" i="107" s="1"/>
  <c r="H240" i="107" s="1"/>
  <c r="H243" i="107" s="1"/>
  <c r="G210" i="107"/>
  <c r="G223" i="107" s="1"/>
  <c r="G240" i="107" s="1"/>
  <c r="G243" i="107" s="1"/>
  <c r="F210" i="107"/>
  <c r="E210" i="107"/>
  <c r="E223" i="107" s="1"/>
  <c r="M209" i="107"/>
  <c r="I209" i="107"/>
  <c r="D209" i="107"/>
  <c r="M208" i="107"/>
  <c r="I208" i="107"/>
  <c r="D208" i="107"/>
  <c r="M207" i="107"/>
  <c r="I207" i="107"/>
  <c r="D207" i="107"/>
  <c r="M206" i="107"/>
  <c r="I206" i="107"/>
  <c r="D206" i="107"/>
  <c r="M205" i="107"/>
  <c r="I205" i="107"/>
  <c r="D205" i="107"/>
  <c r="M204" i="107"/>
  <c r="I204" i="107"/>
  <c r="D204" i="107"/>
  <c r="M192" i="107"/>
  <c r="I192" i="107"/>
  <c r="D192" i="107"/>
  <c r="M191" i="107"/>
  <c r="I191" i="107"/>
  <c r="D191" i="107"/>
  <c r="M189" i="107"/>
  <c r="I189" i="107"/>
  <c r="D189" i="107"/>
  <c r="L188" i="107"/>
  <c r="K188" i="107"/>
  <c r="J188" i="107"/>
  <c r="H188" i="107"/>
  <c r="G188" i="107"/>
  <c r="F188" i="107"/>
  <c r="I188" i="107" s="1"/>
  <c r="E188" i="107"/>
  <c r="M187" i="107"/>
  <c r="I187" i="107"/>
  <c r="D187" i="107"/>
  <c r="M186" i="107"/>
  <c r="I186" i="107"/>
  <c r="D186" i="107"/>
  <c r="M185" i="107"/>
  <c r="I185" i="107"/>
  <c r="D185" i="107"/>
  <c r="M184" i="107"/>
  <c r="I184" i="107"/>
  <c r="D184" i="107"/>
  <c r="M183" i="107"/>
  <c r="I183" i="107"/>
  <c r="D183" i="107"/>
  <c r="M182" i="107"/>
  <c r="I182" i="107"/>
  <c r="D182" i="107"/>
  <c r="L181" i="107"/>
  <c r="K181" i="107"/>
  <c r="J181" i="107"/>
  <c r="H181" i="107"/>
  <c r="G181" i="107"/>
  <c r="F181" i="107"/>
  <c r="I181" i="107" s="1"/>
  <c r="E181" i="107"/>
  <c r="M180" i="107"/>
  <c r="I180" i="107"/>
  <c r="D180" i="107"/>
  <c r="M179" i="107"/>
  <c r="I179" i="107"/>
  <c r="D179" i="107"/>
  <c r="M178" i="107"/>
  <c r="I178" i="107"/>
  <c r="D178" i="107"/>
  <c r="M177" i="107"/>
  <c r="I177" i="107"/>
  <c r="D177" i="107"/>
  <c r="M176" i="107"/>
  <c r="I176" i="107"/>
  <c r="D176" i="107"/>
  <c r="M175" i="107"/>
  <c r="I175" i="107"/>
  <c r="D175" i="107"/>
  <c r="I174" i="107"/>
  <c r="D174" i="107"/>
  <c r="M172" i="107"/>
  <c r="I172" i="107"/>
  <c r="D172" i="107"/>
  <c r="M171" i="107"/>
  <c r="I171" i="107"/>
  <c r="D171" i="107"/>
  <c r="M170" i="107"/>
  <c r="I170" i="107"/>
  <c r="D170" i="107"/>
  <c r="M169" i="107"/>
  <c r="I169" i="107"/>
  <c r="D169" i="107"/>
  <c r="M168" i="107"/>
  <c r="I168" i="107"/>
  <c r="D168" i="107"/>
  <c r="M167" i="107"/>
  <c r="I167" i="107"/>
  <c r="D167" i="107"/>
  <c r="M166" i="107"/>
  <c r="I166" i="107"/>
  <c r="D166" i="107"/>
  <c r="M165" i="107"/>
  <c r="I165" i="107"/>
  <c r="D165" i="107"/>
  <c r="L164" i="107"/>
  <c r="K164" i="107"/>
  <c r="J164" i="107"/>
  <c r="H164" i="107"/>
  <c r="G164" i="107"/>
  <c r="F164" i="107"/>
  <c r="I164" i="107" s="1"/>
  <c r="E164" i="107"/>
  <c r="M163" i="107"/>
  <c r="I163" i="107"/>
  <c r="D163" i="107"/>
  <c r="L162" i="107"/>
  <c r="K162" i="107"/>
  <c r="K173" i="107" s="1"/>
  <c r="K190" i="107" s="1"/>
  <c r="K193" i="107" s="1"/>
  <c r="J162" i="107"/>
  <c r="J173" i="107" s="1"/>
  <c r="J190" i="107" s="1"/>
  <c r="J193" i="107" s="1"/>
  <c r="H162" i="107"/>
  <c r="H173" i="107" s="1"/>
  <c r="H190" i="107" s="1"/>
  <c r="H193" i="107" s="1"/>
  <c r="G162" i="107"/>
  <c r="G173" i="107" s="1"/>
  <c r="G190" i="107" s="1"/>
  <c r="G193" i="107" s="1"/>
  <c r="F162" i="107"/>
  <c r="E162" i="107"/>
  <c r="E173" i="107" s="1"/>
  <c r="M161" i="107"/>
  <c r="I161" i="107"/>
  <c r="D161" i="107"/>
  <c r="M160" i="107"/>
  <c r="I160" i="107"/>
  <c r="D160" i="107"/>
  <c r="M159" i="107"/>
  <c r="I159" i="107"/>
  <c r="D159" i="107"/>
  <c r="M158" i="107"/>
  <c r="I158" i="107"/>
  <c r="D158" i="107"/>
  <c r="M157" i="107"/>
  <c r="I157" i="107"/>
  <c r="D157" i="107"/>
  <c r="M156" i="107"/>
  <c r="I156" i="107"/>
  <c r="D156" i="107"/>
  <c r="M143" i="107"/>
  <c r="I143" i="107"/>
  <c r="D143" i="107"/>
  <c r="M142" i="107"/>
  <c r="I142" i="107"/>
  <c r="D142" i="107"/>
  <c r="M140" i="107"/>
  <c r="I140" i="107"/>
  <c r="D140" i="107"/>
  <c r="L139" i="107"/>
  <c r="K139" i="107"/>
  <c r="J139" i="107"/>
  <c r="H139" i="107"/>
  <c r="G139" i="107"/>
  <c r="F139" i="107"/>
  <c r="I139" i="107" s="1"/>
  <c r="E139" i="107"/>
  <c r="M138" i="107"/>
  <c r="I138" i="107"/>
  <c r="D138" i="107"/>
  <c r="M137" i="107"/>
  <c r="I137" i="107"/>
  <c r="D137" i="107"/>
  <c r="M136" i="107"/>
  <c r="I136" i="107"/>
  <c r="D136" i="107"/>
  <c r="M135" i="107"/>
  <c r="I135" i="107"/>
  <c r="D135" i="107"/>
  <c r="M134" i="107"/>
  <c r="I134" i="107"/>
  <c r="D134" i="107"/>
  <c r="M133" i="107"/>
  <c r="I133" i="107"/>
  <c r="D133" i="107"/>
  <c r="L132" i="107"/>
  <c r="K132" i="107"/>
  <c r="J132" i="107"/>
  <c r="H132" i="107"/>
  <c r="G132" i="107"/>
  <c r="F132" i="107"/>
  <c r="I132" i="107" s="1"/>
  <c r="E132" i="107"/>
  <c r="M131" i="107"/>
  <c r="I131" i="107"/>
  <c r="D131" i="107"/>
  <c r="M130" i="107"/>
  <c r="I130" i="107"/>
  <c r="D130" i="107"/>
  <c r="M129" i="107"/>
  <c r="I129" i="107"/>
  <c r="D129" i="107"/>
  <c r="M128" i="107"/>
  <c r="I128" i="107"/>
  <c r="D128" i="107"/>
  <c r="M127" i="107"/>
  <c r="I127" i="107"/>
  <c r="D127" i="107"/>
  <c r="M126" i="107"/>
  <c r="I126" i="107"/>
  <c r="D126" i="107"/>
  <c r="I125" i="107"/>
  <c r="D125" i="107"/>
  <c r="M123" i="107"/>
  <c r="I123" i="107"/>
  <c r="D123" i="107"/>
  <c r="M122" i="107"/>
  <c r="I122" i="107"/>
  <c r="D122" i="107"/>
  <c r="M121" i="107"/>
  <c r="I121" i="107"/>
  <c r="D121" i="107"/>
  <c r="M120" i="107"/>
  <c r="I120" i="107"/>
  <c r="D120" i="107"/>
  <c r="M119" i="107"/>
  <c r="I119" i="107"/>
  <c r="D119" i="107"/>
  <c r="M118" i="107"/>
  <c r="I118" i="107"/>
  <c r="D118" i="107"/>
  <c r="M117" i="107"/>
  <c r="I117" i="107"/>
  <c r="D117" i="107"/>
  <c r="M116" i="107"/>
  <c r="I116" i="107"/>
  <c r="D116" i="107"/>
  <c r="L115" i="107"/>
  <c r="K115" i="107"/>
  <c r="J115" i="107"/>
  <c r="H115" i="107"/>
  <c r="G115" i="107"/>
  <c r="F115" i="107"/>
  <c r="I115" i="107" s="1"/>
  <c r="E115" i="107"/>
  <c r="M114" i="107"/>
  <c r="I114" i="107"/>
  <c r="D114" i="107"/>
  <c r="L113" i="107"/>
  <c r="K113" i="107"/>
  <c r="K124" i="107" s="1"/>
  <c r="K141" i="107" s="1"/>
  <c r="K144" i="107" s="1"/>
  <c r="J113" i="107"/>
  <c r="J124" i="107" s="1"/>
  <c r="J141" i="107" s="1"/>
  <c r="J144" i="107" s="1"/>
  <c r="H113" i="107"/>
  <c r="H124" i="107" s="1"/>
  <c r="H141" i="107" s="1"/>
  <c r="H144" i="107" s="1"/>
  <c r="G113" i="107"/>
  <c r="G124" i="107" s="1"/>
  <c r="G141" i="107" s="1"/>
  <c r="G144" i="107" s="1"/>
  <c r="F113" i="107"/>
  <c r="E113" i="107"/>
  <c r="E124" i="107" s="1"/>
  <c r="M112" i="107"/>
  <c r="I112" i="107"/>
  <c r="D112" i="107"/>
  <c r="M111" i="107"/>
  <c r="I111" i="107"/>
  <c r="D111" i="107"/>
  <c r="M110" i="107"/>
  <c r="I110" i="107"/>
  <c r="D110" i="107"/>
  <c r="M109" i="107"/>
  <c r="I109" i="107"/>
  <c r="D109" i="107"/>
  <c r="M108" i="107"/>
  <c r="I108" i="107"/>
  <c r="D108" i="107"/>
  <c r="M107" i="107"/>
  <c r="I107" i="107"/>
  <c r="D107" i="107"/>
  <c r="M95" i="107"/>
  <c r="I95" i="107"/>
  <c r="D95" i="107"/>
  <c r="M94" i="107"/>
  <c r="I94" i="107"/>
  <c r="D94" i="107"/>
  <c r="M92" i="107"/>
  <c r="I92" i="107"/>
  <c r="D92" i="107"/>
  <c r="L91" i="107"/>
  <c r="K91" i="107"/>
  <c r="J91" i="107"/>
  <c r="H91" i="107"/>
  <c r="G91" i="107"/>
  <c r="F91" i="107"/>
  <c r="I91" i="107" s="1"/>
  <c r="E91" i="107"/>
  <c r="M90" i="107"/>
  <c r="I90" i="107"/>
  <c r="D90" i="107"/>
  <c r="M89" i="107"/>
  <c r="I89" i="107"/>
  <c r="D89" i="107"/>
  <c r="M88" i="107"/>
  <c r="I88" i="107"/>
  <c r="D88" i="107"/>
  <c r="M87" i="107"/>
  <c r="I87" i="107"/>
  <c r="D87" i="107"/>
  <c r="M86" i="107"/>
  <c r="I86" i="107"/>
  <c r="D86" i="107"/>
  <c r="M85" i="107"/>
  <c r="I85" i="107"/>
  <c r="D85" i="107"/>
  <c r="L84" i="107"/>
  <c r="K84" i="107"/>
  <c r="J84" i="107"/>
  <c r="H84" i="107"/>
  <c r="G84" i="107"/>
  <c r="F84" i="107"/>
  <c r="I84" i="107" s="1"/>
  <c r="E84" i="107"/>
  <c r="M83" i="107"/>
  <c r="I83" i="107"/>
  <c r="D83" i="107"/>
  <c r="M82" i="107"/>
  <c r="I82" i="107"/>
  <c r="D82" i="107"/>
  <c r="M81" i="107"/>
  <c r="I81" i="107"/>
  <c r="D81" i="107"/>
  <c r="M80" i="107"/>
  <c r="I80" i="107"/>
  <c r="D80" i="107"/>
  <c r="M79" i="107"/>
  <c r="I79" i="107"/>
  <c r="D79" i="107"/>
  <c r="M78" i="107"/>
  <c r="I78" i="107"/>
  <c r="D78" i="107"/>
  <c r="I77" i="107"/>
  <c r="D77" i="107"/>
  <c r="M75" i="107"/>
  <c r="I75" i="107"/>
  <c r="D75" i="107"/>
  <c r="M74" i="107"/>
  <c r="I74" i="107"/>
  <c r="D74" i="107"/>
  <c r="M73" i="107"/>
  <c r="I73" i="107"/>
  <c r="D73" i="107"/>
  <c r="M72" i="107"/>
  <c r="H72" i="107"/>
  <c r="G72" i="107"/>
  <c r="F72" i="107"/>
  <c r="I72" i="107" s="1"/>
  <c r="E72" i="107"/>
  <c r="D72" i="107"/>
  <c r="M71" i="107"/>
  <c r="I71" i="107"/>
  <c r="D71" i="107"/>
  <c r="M70" i="107"/>
  <c r="I70" i="107"/>
  <c r="D70" i="107"/>
  <c r="M69" i="107"/>
  <c r="I69" i="107"/>
  <c r="D69" i="107"/>
  <c r="M68" i="107"/>
  <c r="I68" i="107"/>
  <c r="D68" i="107"/>
  <c r="L67" i="107"/>
  <c r="K67" i="107"/>
  <c r="J67" i="107"/>
  <c r="H67" i="107"/>
  <c r="G67" i="107"/>
  <c r="F67" i="107"/>
  <c r="I67" i="107" s="1"/>
  <c r="I20" i="107" s="1"/>
  <c r="E67" i="107"/>
  <c r="M66" i="107"/>
  <c r="I66" i="107"/>
  <c r="D66" i="107"/>
  <c r="L65" i="107"/>
  <c r="K65" i="107"/>
  <c r="K76" i="107" s="1"/>
  <c r="K93" i="107" s="1"/>
  <c r="K96" i="107" s="1"/>
  <c r="J65" i="107"/>
  <c r="J76" i="107" s="1"/>
  <c r="J93" i="107" s="1"/>
  <c r="J96" i="107" s="1"/>
  <c r="H65" i="107"/>
  <c r="H76" i="107" s="1"/>
  <c r="H93" i="107" s="1"/>
  <c r="H96" i="107" s="1"/>
  <c r="G65" i="107"/>
  <c r="G76" i="107" s="1"/>
  <c r="G93" i="107" s="1"/>
  <c r="G96" i="107" s="1"/>
  <c r="F65" i="107"/>
  <c r="E65" i="107"/>
  <c r="E76" i="107" s="1"/>
  <c r="M64" i="107"/>
  <c r="I64" i="107"/>
  <c r="D64" i="107"/>
  <c r="M63" i="107"/>
  <c r="I63" i="107"/>
  <c r="D63" i="107"/>
  <c r="M62" i="107"/>
  <c r="I62" i="107"/>
  <c r="D62" i="107"/>
  <c r="M61" i="107"/>
  <c r="I61" i="107"/>
  <c r="D61" i="107"/>
  <c r="M60" i="107"/>
  <c r="I60" i="107"/>
  <c r="D60" i="107"/>
  <c r="M59" i="107"/>
  <c r="I59" i="107"/>
  <c r="D59" i="107"/>
  <c r="K49" i="107"/>
  <c r="J49" i="107"/>
  <c r="H49" i="107"/>
  <c r="G49" i="107"/>
  <c r="M48" i="107"/>
  <c r="L48" i="107"/>
  <c r="K48" i="107"/>
  <c r="J48" i="107"/>
  <c r="I48" i="107"/>
  <c r="H48" i="107"/>
  <c r="G48" i="107"/>
  <c r="F48" i="107"/>
  <c r="E48" i="107"/>
  <c r="D48" i="107"/>
  <c r="M47" i="107"/>
  <c r="L47" i="107"/>
  <c r="K47" i="107"/>
  <c r="J47" i="107"/>
  <c r="H47" i="107"/>
  <c r="G47" i="107"/>
  <c r="F47" i="107"/>
  <c r="E47" i="107"/>
  <c r="K46" i="107"/>
  <c r="J46" i="107"/>
  <c r="H46" i="107"/>
  <c r="G46" i="107"/>
  <c r="M45" i="107"/>
  <c r="L45" i="107"/>
  <c r="K45" i="107"/>
  <c r="J45" i="107"/>
  <c r="I45" i="107"/>
  <c r="H45" i="107"/>
  <c r="G45" i="107"/>
  <c r="F45" i="107"/>
  <c r="E45" i="107"/>
  <c r="D45" i="107"/>
  <c r="L44" i="107"/>
  <c r="K44" i="107"/>
  <c r="J44" i="107"/>
  <c r="I44" i="107"/>
  <c r="H44" i="107"/>
  <c r="G44" i="107"/>
  <c r="F44" i="107"/>
  <c r="E44" i="107"/>
  <c r="M43" i="107"/>
  <c r="L43" i="107"/>
  <c r="K43" i="107"/>
  <c r="J43" i="107"/>
  <c r="I43" i="107"/>
  <c r="H43" i="107"/>
  <c r="G43" i="107"/>
  <c r="F43" i="107"/>
  <c r="E43" i="107"/>
  <c r="D43" i="107"/>
  <c r="M42" i="107"/>
  <c r="L42" i="107"/>
  <c r="K42" i="107"/>
  <c r="J42" i="107"/>
  <c r="I42" i="107"/>
  <c r="H42" i="107"/>
  <c r="G42" i="107"/>
  <c r="F42" i="107"/>
  <c r="E42" i="107"/>
  <c r="D42" i="107"/>
  <c r="M41" i="107"/>
  <c r="L41" i="107"/>
  <c r="K41" i="107"/>
  <c r="J41" i="107"/>
  <c r="I41" i="107"/>
  <c r="H41" i="107"/>
  <c r="G41" i="107"/>
  <c r="F41" i="107"/>
  <c r="E41" i="107"/>
  <c r="D41" i="107"/>
  <c r="M40" i="107"/>
  <c r="L40" i="107"/>
  <c r="K40" i="107"/>
  <c r="J40" i="107"/>
  <c r="I40" i="107"/>
  <c r="H40" i="107"/>
  <c r="G40" i="107"/>
  <c r="F40" i="107"/>
  <c r="E40" i="107"/>
  <c r="D40" i="107"/>
  <c r="M39" i="107"/>
  <c r="L39" i="107"/>
  <c r="K39" i="107"/>
  <c r="J39" i="107"/>
  <c r="I39" i="107"/>
  <c r="H39" i="107"/>
  <c r="G39" i="107"/>
  <c r="F39" i="107"/>
  <c r="E39" i="107"/>
  <c r="D39" i="107"/>
  <c r="M38" i="107"/>
  <c r="L38" i="107"/>
  <c r="K38" i="107"/>
  <c r="J38" i="107"/>
  <c r="I38" i="107"/>
  <c r="H38" i="107"/>
  <c r="G38" i="107"/>
  <c r="F38" i="107"/>
  <c r="E38" i="107"/>
  <c r="D38" i="107"/>
  <c r="L37" i="107"/>
  <c r="K37" i="107"/>
  <c r="J37" i="107"/>
  <c r="I37" i="107"/>
  <c r="H37" i="107"/>
  <c r="G37" i="107"/>
  <c r="F37" i="107"/>
  <c r="E37" i="107"/>
  <c r="M36" i="107"/>
  <c r="L36" i="107"/>
  <c r="K36" i="107"/>
  <c r="J36" i="107"/>
  <c r="I36" i="107"/>
  <c r="H36" i="107"/>
  <c r="G36" i="107"/>
  <c r="F36" i="107"/>
  <c r="E36" i="107"/>
  <c r="D36" i="107"/>
  <c r="M35" i="107"/>
  <c r="L35" i="107"/>
  <c r="K35" i="107"/>
  <c r="J35" i="107"/>
  <c r="I35" i="107"/>
  <c r="H35" i="107"/>
  <c r="G35" i="107"/>
  <c r="F35" i="107"/>
  <c r="E35" i="107"/>
  <c r="D35" i="107"/>
  <c r="M34" i="107"/>
  <c r="L34" i="107"/>
  <c r="K34" i="107"/>
  <c r="J34" i="107"/>
  <c r="I34" i="107"/>
  <c r="H34" i="107"/>
  <c r="G34" i="107"/>
  <c r="F34" i="107"/>
  <c r="E34" i="107"/>
  <c r="D34" i="107"/>
  <c r="M33" i="107"/>
  <c r="L33" i="107"/>
  <c r="K33" i="107"/>
  <c r="J33" i="107"/>
  <c r="I33" i="107"/>
  <c r="H33" i="107"/>
  <c r="G33" i="107"/>
  <c r="F33" i="107"/>
  <c r="E33" i="107"/>
  <c r="D33" i="107"/>
  <c r="M32" i="107"/>
  <c r="L32" i="107"/>
  <c r="K32" i="107"/>
  <c r="J32" i="107"/>
  <c r="I32" i="107"/>
  <c r="H32" i="107"/>
  <c r="G32" i="107"/>
  <c r="F32" i="107"/>
  <c r="E32" i="107"/>
  <c r="D32" i="107"/>
  <c r="M31" i="107"/>
  <c r="L31" i="107"/>
  <c r="K31" i="107"/>
  <c r="J31" i="107"/>
  <c r="I31" i="107"/>
  <c r="H31" i="107"/>
  <c r="G31" i="107"/>
  <c r="F31" i="107"/>
  <c r="E31" i="107"/>
  <c r="D31" i="107"/>
  <c r="M30" i="107"/>
  <c r="L30" i="107"/>
  <c r="K30" i="107"/>
  <c r="J30" i="107"/>
  <c r="I30" i="107"/>
  <c r="H30" i="107"/>
  <c r="G30" i="107"/>
  <c r="F30" i="107"/>
  <c r="E30" i="107"/>
  <c r="D30" i="107"/>
  <c r="K29" i="107"/>
  <c r="J29" i="107"/>
  <c r="H29" i="107"/>
  <c r="G29" i="107"/>
  <c r="E29" i="107"/>
  <c r="M28" i="107"/>
  <c r="L28" i="107"/>
  <c r="K28" i="107"/>
  <c r="J28" i="107"/>
  <c r="I28" i="107"/>
  <c r="H28" i="107"/>
  <c r="G28" i="107"/>
  <c r="F28" i="107"/>
  <c r="E28" i="107"/>
  <c r="D28" i="107"/>
  <c r="M27" i="107"/>
  <c r="L27" i="107"/>
  <c r="K27" i="107"/>
  <c r="J27" i="107"/>
  <c r="I27" i="107"/>
  <c r="H27" i="107"/>
  <c r="G27" i="107"/>
  <c r="F27" i="107"/>
  <c r="E27" i="107"/>
  <c r="D27" i="107"/>
  <c r="M26" i="107"/>
  <c r="L26" i="107"/>
  <c r="K26" i="107"/>
  <c r="J26" i="107"/>
  <c r="I26" i="107"/>
  <c r="H26" i="107"/>
  <c r="G26" i="107"/>
  <c r="F26" i="107"/>
  <c r="E26" i="107"/>
  <c r="D26" i="107"/>
  <c r="L25" i="107"/>
  <c r="K25" i="107"/>
  <c r="J25" i="107"/>
  <c r="I25" i="107"/>
  <c r="H25" i="107"/>
  <c r="G25" i="107"/>
  <c r="F25" i="107"/>
  <c r="E25" i="107"/>
  <c r="M24" i="107"/>
  <c r="L24" i="107"/>
  <c r="K24" i="107"/>
  <c r="J24" i="107"/>
  <c r="I24" i="107"/>
  <c r="H24" i="107"/>
  <c r="G24" i="107"/>
  <c r="F24" i="107"/>
  <c r="E24" i="107"/>
  <c r="D24" i="107"/>
  <c r="M23" i="107"/>
  <c r="L23" i="107"/>
  <c r="K23" i="107"/>
  <c r="J23" i="107"/>
  <c r="I23" i="107"/>
  <c r="H23" i="107"/>
  <c r="G23" i="107"/>
  <c r="F23" i="107"/>
  <c r="E23" i="107"/>
  <c r="D23" i="107"/>
  <c r="M22" i="107"/>
  <c r="L22" i="107"/>
  <c r="K22" i="107"/>
  <c r="J22" i="107"/>
  <c r="I22" i="107"/>
  <c r="H22" i="107"/>
  <c r="G22" i="107"/>
  <c r="F22" i="107"/>
  <c r="D22" i="107"/>
  <c r="M21" i="107"/>
  <c r="L21" i="107"/>
  <c r="K21" i="107"/>
  <c r="J21" i="107"/>
  <c r="I21" i="107"/>
  <c r="H21" i="107"/>
  <c r="G21" i="107"/>
  <c r="F21" i="107"/>
  <c r="E21" i="107"/>
  <c r="D21" i="107"/>
  <c r="L20" i="107"/>
  <c r="K20" i="107"/>
  <c r="J20" i="107"/>
  <c r="H20" i="107"/>
  <c r="G20" i="107"/>
  <c r="F20" i="107"/>
  <c r="E20" i="107"/>
  <c r="M19" i="107"/>
  <c r="L19" i="107"/>
  <c r="K19" i="107"/>
  <c r="J19" i="107"/>
  <c r="I19" i="107"/>
  <c r="H19" i="107"/>
  <c r="G19" i="107"/>
  <c r="F19" i="107"/>
  <c r="E19" i="107"/>
  <c r="D19" i="107"/>
  <c r="L18" i="107"/>
  <c r="K18" i="107"/>
  <c r="J18" i="107"/>
  <c r="H18" i="107"/>
  <c r="G18" i="107"/>
  <c r="F18" i="107"/>
  <c r="E18" i="107"/>
  <c r="M17" i="107"/>
  <c r="L17" i="107"/>
  <c r="K17" i="107"/>
  <c r="J17" i="107"/>
  <c r="I17" i="107"/>
  <c r="H17" i="107"/>
  <c r="G17" i="107"/>
  <c r="F17" i="107"/>
  <c r="E17" i="107"/>
  <c r="D17" i="107"/>
  <c r="M16" i="107"/>
  <c r="L16" i="107"/>
  <c r="K16" i="107"/>
  <c r="J16" i="107"/>
  <c r="I16" i="107"/>
  <c r="H16" i="107"/>
  <c r="G16" i="107"/>
  <c r="F16" i="107"/>
  <c r="E16" i="107"/>
  <c r="D16" i="107"/>
  <c r="M15" i="107"/>
  <c r="L15" i="107"/>
  <c r="K15" i="107"/>
  <c r="J15" i="107"/>
  <c r="I15" i="107"/>
  <c r="H15" i="107"/>
  <c r="G15" i="107"/>
  <c r="F15" i="107"/>
  <c r="E15" i="107"/>
  <c r="D15" i="107"/>
  <c r="M14" i="107"/>
  <c r="L14" i="107"/>
  <c r="K14" i="107"/>
  <c r="J14" i="107"/>
  <c r="I14" i="107"/>
  <c r="H14" i="107"/>
  <c r="G14" i="107"/>
  <c r="F14" i="107"/>
  <c r="E14" i="107"/>
  <c r="D14" i="107"/>
  <c r="M13" i="107"/>
  <c r="L13" i="107"/>
  <c r="K13" i="107"/>
  <c r="J13" i="107"/>
  <c r="I13" i="107"/>
  <c r="H13" i="107"/>
  <c r="G13" i="107"/>
  <c r="F13" i="107"/>
  <c r="E13" i="107"/>
  <c r="D13" i="107"/>
  <c r="M12" i="107"/>
  <c r="L12" i="107"/>
  <c r="K12" i="107"/>
  <c r="J12" i="107"/>
  <c r="I12" i="107"/>
  <c r="H12" i="107"/>
  <c r="G12" i="107"/>
  <c r="F12" i="107"/>
  <c r="E12" i="107"/>
  <c r="D12" i="107"/>
  <c r="M871" i="108"/>
  <c r="I871" i="108"/>
  <c r="D871" i="108"/>
  <c r="M870" i="108"/>
  <c r="I870" i="108"/>
  <c r="D870" i="108"/>
  <c r="M868" i="108"/>
  <c r="I868" i="108"/>
  <c r="D868" i="108"/>
  <c r="L867" i="108"/>
  <c r="K867" i="108"/>
  <c r="J867" i="108"/>
  <c r="H867" i="108"/>
  <c r="G867" i="108"/>
  <c r="F867" i="108"/>
  <c r="I867" i="108" s="1"/>
  <c r="E867" i="108"/>
  <c r="M866" i="108"/>
  <c r="I866" i="108"/>
  <c r="D866" i="108"/>
  <c r="M865" i="108"/>
  <c r="I865" i="108"/>
  <c r="D865" i="108"/>
  <c r="M864" i="108"/>
  <c r="I864" i="108"/>
  <c r="D864" i="108"/>
  <c r="M863" i="108"/>
  <c r="I863" i="108"/>
  <c r="D863" i="108"/>
  <c r="M862" i="108"/>
  <c r="I862" i="108"/>
  <c r="D862" i="108"/>
  <c r="M861" i="108"/>
  <c r="I861" i="108"/>
  <c r="D861" i="108"/>
  <c r="L860" i="108"/>
  <c r="K860" i="108"/>
  <c r="J860" i="108"/>
  <c r="H860" i="108"/>
  <c r="G860" i="108"/>
  <c r="F860" i="108"/>
  <c r="I860" i="108" s="1"/>
  <c r="E860" i="108"/>
  <c r="M859" i="108"/>
  <c r="I859" i="108"/>
  <c r="D859" i="108"/>
  <c r="M858" i="108"/>
  <c r="I858" i="108"/>
  <c r="D858" i="108"/>
  <c r="M857" i="108"/>
  <c r="I857" i="108"/>
  <c r="D857" i="108"/>
  <c r="M856" i="108"/>
  <c r="I856" i="108"/>
  <c r="D856" i="108"/>
  <c r="M855" i="108"/>
  <c r="I855" i="108"/>
  <c r="D855" i="108"/>
  <c r="M854" i="108"/>
  <c r="I854" i="108"/>
  <c r="D854" i="108"/>
  <c r="I853" i="108"/>
  <c r="D853" i="108"/>
  <c r="M851" i="108"/>
  <c r="I851" i="108"/>
  <c r="D851" i="108"/>
  <c r="M850" i="108"/>
  <c r="I850" i="108"/>
  <c r="D850" i="108"/>
  <c r="M849" i="108"/>
  <c r="I849" i="108"/>
  <c r="D849" i="108"/>
  <c r="M848" i="108"/>
  <c r="I848" i="108"/>
  <c r="D848" i="108"/>
  <c r="M847" i="108"/>
  <c r="I847" i="108"/>
  <c r="D847" i="108"/>
  <c r="M846" i="108"/>
  <c r="I846" i="108"/>
  <c r="D846" i="108"/>
  <c r="M845" i="108"/>
  <c r="I845" i="108"/>
  <c r="D845" i="108"/>
  <c r="M844" i="108"/>
  <c r="I844" i="108"/>
  <c r="D844" i="108"/>
  <c r="L843" i="108"/>
  <c r="K843" i="108"/>
  <c r="J843" i="108"/>
  <c r="H843" i="108"/>
  <c r="G843" i="108"/>
  <c r="F843" i="108"/>
  <c r="I843" i="108" s="1"/>
  <c r="E843" i="108"/>
  <c r="M842" i="108"/>
  <c r="I842" i="108"/>
  <c r="D842" i="108"/>
  <c r="L841" i="108"/>
  <c r="K841" i="108"/>
  <c r="K852" i="108" s="1"/>
  <c r="K869" i="108" s="1"/>
  <c r="K872" i="108" s="1"/>
  <c r="J841" i="108"/>
  <c r="J852" i="108" s="1"/>
  <c r="J869" i="108" s="1"/>
  <c r="J872" i="108" s="1"/>
  <c r="H841" i="108"/>
  <c r="H852" i="108" s="1"/>
  <c r="H869" i="108" s="1"/>
  <c r="H872" i="108" s="1"/>
  <c r="G841" i="108"/>
  <c r="G852" i="108" s="1"/>
  <c r="G869" i="108" s="1"/>
  <c r="G872" i="108" s="1"/>
  <c r="F841" i="108"/>
  <c r="E841" i="108"/>
  <c r="E852" i="108" s="1"/>
  <c r="M840" i="108"/>
  <c r="I840" i="108"/>
  <c r="D840" i="108"/>
  <c r="M839" i="108"/>
  <c r="I839" i="108"/>
  <c r="D839" i="108"/>
  <c r="M838" i="108"/>
  <c r="I838" i="108"/>
  <c r="D838" i="108"/>
  <c r="M837" i="108"/>
  <c r="I837" i="108"/>
  <c r="D837" i="108"/>
  <c r="M836" i="108"/>
  <c r="I836" i="108"/>
  <c r="D836" i="108"/>
  <c r="M835" i="108"/>
  <c r="I835" i="108"/>
  <c r="D835" i="108"/>
  <c r="M823" i="108"/>
  <c r="I823" i="108"/>
  <c r="D823" i="108"/>
  <c r="M822" i="108"/>
  <c r="I822" i="108"/>
  <c r="D822" i="108"/>
  <c r="M820" i="108"/>
  <c r="I820" i="108"/>
  <c r="D820" i="108"/>
  <c r="L819" i="108"/>
  <c r="K819" i="108"/>
  <c r="J819" i="108"/>
  <c r="H819" i="108"/>
  <c r="G819" i="108"/>
  <c r="F819" i="108"/>
  <c r="I819" i="108" s="1"/>
  <c r="E819" i="108"/>
  <c r="M818" i="108"/>
  <c r="I818" i="108"/>
  <c r="D818" i="108"/>
  <c r="M817" i="108"/>
  <c r="I817" i="108"/>
  <c r="D817" i="108"/>
  <c r="M816" i="108"/>
  <c r="I816" i="108"/>
  <c r="D816" i="108"/>
  <c r="M815" i="108"/>
  <c r="I815" i="108"/>
  <c r="D815" i="108"/>
  <c r="M814" i="108"/>
  <c r="I814" i="108"/>
  <c r="D814" i="108"/>
  <c r="M813" i="108"/>
  <c r="I813" i="108"/>
  <c r="D813" i="108"/>
  <c r="L812" i="108"/>
  <c r="K812" i="108"/>
  <c r="J812" i="108"/>
  <c r="H812" i="108"/>
  <c r="G812" i="108"/>
  <c r="F812" i="108"/>
  <c r="I812" i="108" s="1"/>
  <c r="E812" i="108"/>
  <c r="M811" i="108"/>
  <c r="I811" i="108"/>
  <c r="D811" i="108"/>
  <c r="M810" i="108"/>
  <c r="I810" i="108"/>
  <c r="D810" i="108"/>
  <c r="M809" i="108"/>
  <c r="I809" i="108"/>
  <c r="D809" i="108"/>
  <c r="M808" i="108"/>
  <c r="I808" i="108"/>
  <c r="D808" i="108"/>
  <c r="M807" i="108"/>
  <c r="I807" i="108"/>
  <c r="D807" i="108"/>
  <c r="M806" i="108"/>
  <c r="I806" i="108"/>
  <c r="D806" i="108"/>
  <c r="I805" i="108"/>
  <c r="D805" i="108"/>
  <c r="M803" i="108"/>
  <c r="I803" i="108"/>
  <c r="D803" i="108"/>
  <c r="M802" i="108"/>
  <c r="I802" i="108"/>
  <c r="D802" i="108"/>
  <c r="M801" i="108"/>
  <c r="I801" i="108"/>
  <c r="D801" i="108"/>
  <c r="M800" i="108"/>
  <c r="I800" i="108"/>
  <c r="D800" i="108"/>
  <c r="M799" i="108"/>
  <c r="I799" i="108"/>
  <c r="D799" i="108"/>
  <c r="M798" i="108"/>
  <c r="I798" i="108"/>
  <c r="D798" i="108"/>
  <c r="M797" i="108"/>
  <c r="I797" i="108"/>
  <c r="D797" i="108"/>
  <c r="M796" i="108"/>
  <c r="I796" i="108"/>
  <c r="D796" i="108"/>
  <c r="L795" i="108"/>
  <c r="K795" i="108"/>
  <c r="J795" i="108"/>
  <c r="H795" i="108"/>
  <c r="G795" i="108"/>
  <c r="F795" i="108"/>
  <c r="I795" i="108" s="1"/>
  <c r="E795" i="108"/>
  <c r="M794" i="108"/>
  <c r="I794" i="108"/>
  <c r="D794" i="108"/>
  <c r="L793" i="108"/>
  <c r="K793" i="108"/>
  <c r="K804" i="108" s="1"/>
  <c r="K821" i="108" s="1"/>
  <c r="K824" i="108" s="1"/>
  <c r="J793" i="108"/>
  <c r="J804" i="108" s="1"/>
  <c r="J821" i="108" s="1"/>
  <c r="J824" i="108" s="1"/>
  <c r="H793" i="108"/>
  <c r="H804" i="108" s="1"/>
  <c r="H821" i="108" s="1"/>
  <c r="H824" i="108" s="1"/>
  <c r="G793" i="108"/>
  <c r="G804" i="108" s="1"/>
  <c r="G821" i="108" s="1"/>
  <c r="G824" i="108" s="1"/>
  <c r="F793" i="108"/>
  <c r="E793" i="108"/>
  <c r="E804" i="108" s="1"/>
  <c r="M792" i="108"/>
  <c r="I792" i="108"/>
  <c r="D792" i="108"/>
  <c r="M791" i="108"/>
  <c r="I791" i="108"/>
  <c r="D791" i="108"/>
  <c r="M790" i="108"/>
  <c r="I790" i="108"/>
  <c r="D790" i="108"/>
  <c r="M789" i="108"/>
  <c r="I789" i="108"/>
  <c r="D789" i="108"/>
  <c r="M788" i="108"/>
  <c r="I788" i="108"/>
  <c r="D788" i="108"/>
  <c r="M787" i="108"/>
  <c r="I787" i="108"/>
  <c r="D787" i="108"/>
  <c r="M775" i="108"/>
  <c r="I775" i="108"/>
  <c r="D775" i="108"/>
  <c r="M774" i="108"/>
  <c r="I774" i="108"/>
  <c r="D774" i="108"/>
  <c r="M772" i="108"/>
  <c r="I772" i="108"/>
  <c r="D772" i="108"/>
  <c r="L771" i="108"/>
  <c r="K771" i="108"/>
  <c r="J771" i="108"/>
  <c r="H771" i="108"/>
  <c r="G771" i="108"/>
  <c r="F771" i="108"/>
  <c r="I771" i="108" s="1"/>
  <c r="E771" i="108"/>
  <c r="M770" i="108"/>
  <c r="I770" i="108"/>
  <c r="D770" i="108"/>
  <c r="M769" i="108"/>
  <c r="I769" i="108"/>
  <c r="D769" i="108"/>
  <c r="M768" i="108"/>
  <c r="I768" i="108"/>
  <c r="D768" i="108"/>
  <c r="M767" i="108"/>
  <c r="I767" i="108"/>
  <c r="D767" i="108"/>
  <c r="M766" i="108"/>
  <c r="I766" i="108"/>
  <c r="D766" i="108"/>
  <c r="M765" i="108"/>
  <c r="I765" i="108"/>
  <c r="D765" i="108"/>
  <c r="L764" i="108"/>
  <c r="K764" i="108"/>
  <c r="J764" i="108"/>
  <c r="H764" i="108"/>
  <c r="G764" i="108"/>
  <c r="F764" i="108"/>
  <c r="I764" i="108" s="1"/>
  <c r="E764" i="108"/>
  <c r="M763" i="108"/>
  <c r="I763" i="108"/>
  <c r="D763" i="108"/>
  <c r="M762" i="108"/>
  <c r="I762" i="108"/>
  <c r="D762" i="108"/>
  <c r="M761" i="108"/>
  <c r="I761" i="108"/>
  <c r="D761" i="108"/>
  <c r="M760" i="108"/>
  <c r="I760" i="108"/>
  <c r="D760" i="108"/>
  <c r="M759" i="108"/>
  <c r="I759" i="108"/>
  <c r="D759" i="108"/>
  <c r="M758" i="108"/>
  <c r="I758" i="108"/>
  <c r="D758" i="108"/>
  <c r="I757" i="108"/>
  <c r="D757" i="108"/>
  <c r="M755" i="108"/>
  <c r="I755" i="108"/>
  <c r="D755" i="108"/>
  <c r="M754" i="108"/>
  <c r="I754" i="108"/>
  <c r="D754" i="108"/>
  <c r="M753" i="108"/>
  <c r="I753" i="108"/>
  <c r="D753" i="108"/>
  <c r="M752" i="108"/>
  <c r="I752" i="108"/>
  <c r="D752" i="108"/>
  <c r="M751" i="108"/>
  <c r="I751" i="108"/>
  <c r="D751" i="108"/>
  <c r="M750" i="108"/>
  <c r="I750" i="108"/>
  <c r="D750" i="108"/>
  <c r="M749" i="108"/>
  <c r="I749" i="108"/>
  <c r="D749" i="108"/>
  <c r="M748" i="108"/>
  <c r="I748" i="108"/>
  <c r="D748" i="108"/>
  <c r="L747" i="108"/>
  <c r="K747" i="108"/>
  <c r="J747" i="108"/>
  <c r="H747" i="108"/>
  <c r="G747" i="108"/>
  <c r="F747" i="108"/>
  <c r="I747" i="108" s="1"/>
  <c r="E747" i="108"/>
  <c r="M746" i="108"/>
  <c r="I746" i="108"/>
  <c r="D746" i="108"/>
  <c r="L745" i="108"/>
  <c r="K745" i="108"/>
  <c r="K756" i="108" s="1"/>
  <c r="K773" i="108" s="1"/>
  <c r="K776" i="108" s="1"/>
  <c r="J745" i="108"/>
  <c r="J756" i="108" s="1"/>
  <c r="J773" i="108" s="1"/>
  <c r="J776" i="108" s="1"/>
  <c r="H745" i="108"/>
  <c r="H756" i="108" s="1"/>
  <c r="H773" i="108" s="1"/>
  <c r="H776" i="108" s="1"/>
  <c r="G745" i="108"/>
  <c r="G756" i="108" s="1"/>
  <c r="G773" i="108" s="1"/>
  <c r="G776" i="108" s="1"/>
  <c r="F745" i="108"/>
  <c r="E745" i="108"/>
  <c r="E756" i="108" s="1"/>
  <c r="M744" i="108"/>
  <c r="I744" i="108"/>
  <c r="D744" i="108"/>
  <c r="M743" i="108"/>
  <c r="I743" i="108"/>
  <c r="D743" i="108"/>
  <c r="M742" i="108"/>
  <c r="I742" i="108"/>
  <c r="D742" i="108"/>
  <c r="M741" i="108"/>
  <c r="I741" i="108"/>
  <c r="D741" i="108"/>
  <c r="M740" i="108"/>
  <c r="I740" i="108"/>
  <c r="D740" i="108"/>
  <c r="M739" i="108"/>
  <c r="I739" i="108"/>
  <c r="D739" i="108"/>
  <c r="M727" i="108"/>
  <c r="I727" i="108"/>
  <c r="D727" i="108"/>
  <c r="M726" i="108"/>
  <c r="I726" i="108"/>
  <c r="D726" i="108"/>
  <c r="M724" i="108"/>
  <c r="I724" i="108"/>
  <c r="D724" i="108"/>
  <c r="L723" i="108"/>
  <c r="K723" i="108"/>
  <c r="J723" i="108"/>
  <c r="H723" i="108"/>
  <c r="G723" i="108"/>
  <c r="F723" i="108"/>
  <c r="I723" i="108" s="1"/>
  <c r="E723" i="108"/>
  <c r="M722" i="108"/>
  <c r="I722" i="108"/>
  <c r="D722" i="108"/>
  <c r="M721" i="108"/>
  <c r="I721" i="108"/>
  <c r="D721" i="108"/>
  <c r="M720" i="108"/>
  <c r="I720" i="108"/>
  <c r="D720" i="108"/>
  <c r="M719" i="108"/>
  <c r="I719" i="108"/>
  <c r="D719" i="108"/>
  <c r="M718" i="108"/>
  <c r="I718" i="108"/>
  <c r="D718" i="108"/>
  <c r="M717" i="108"/>
  <c r="I717" i="108"/>
  <c r="D717" i="108"/>
  <c r="L716" i="108"/>
  <c r="K716" i="108"/>
  <c r="J716" i="108"/>
  <c r="H716" i="108"/>
  <c r="G716" i="108"/>
  <c r="F716" i="108"/>
  <c r="I716" i="108" s="1"/>
  <c r="E716" i="108"/>
  <c r="M715" i="108"/>
  <c r="I715" i="108"/>
  <c r="D715" i="108"/>
  <c r="M714" i="108"/>
  <c r="I714" i="108"/>
  <c r="D714" i="108"/>
  <c r="M713" i="108"/>
  <c r="I713" i="108"/>
  <c r="D713" i="108"/>
  <c r="M712" i="108"/>
  <c r="I712" i="108"/>
  <c r="D712" i="108"/>
  <c r="M711" i="108"/>
  <c r="I711" i="108"/>
  <c r="D711" i="108"/>
  <c r="M710" i="108"/>
  <c r="I710" i="108"/>
  <c r="D710" i="108"/>
  <c r="I709" i="108"/>
  <c r="D709" i="108"/>
  <c r="M707" i="108"/>
  <c r="I707" i="108"/>
  <c r="D707" i="108"/>
  <c r="M706" i="108"/>
  <c r="I706" i="108"/>
  <c r="D706" i="108"/>
  <c r="M705" i="108"/>
  <c r="I705" i="108"/>
  <c r="D705" i="108"/>
  <c r="M704" i="108"/>
  <c r="I704" i="108"/>
  <c r="D704" i="108"/>
  <c r="M703" i="108"/>
  <c r="I703" i="108"/>
  <c r="D703" i="108"/>
  <c r="M702" i="108"/>
  <c r="I702" i="108"/>
  <c r="D702" i="108"/>
  <c r="M701" i="108"/>
  <c r="I701" i="108"/>
  <c r="D701" i="108"/>
  <c r="M700" i="108"/>
  <c r="I700" i="108"/>
  <c r="D700" i="108"/>
  <c r="L699" i="108"/>
  <c r="K699" i="108"/>
  <c r="J699" i="108"/>
  <c r="H699" i="108"/>
  <c r="G699" i="108"/>
  <c r="F699" i="108"/>
  <c r="I699" i="108" s="1"/>
  <c r="E699" i="108"/>
  <c r="M698" i="108"/>
  <c r="I698" i="108"/>
  <c r="D698" i="108"/>
  <c r="L697" i="108"/>
  <c r="K697" i="108"/>
  <c r="K708" i="108" s="1"/>
  <c r="K725" i="108" s="1"/>
  <c r="K728" i="108" s="1"/>
  <c r="J697" i="108"/>
  <c r="J708" i="108" s="1"/>
  <c r="J725" i="108" s="1"/>
  <c r="J728" i="108" s="1"/>
  <c r="H697" i="108"/>
  <c r="H708" i="108" s="1"/>
  <c r="H725" i="108" s="1"/>
  <c r="H728" i="108" s="1"/>
  <c r="G697" i="108"/>
  <c r="G708" i="108" s="1"/>
  <c r="G725" i="108" s="1"/>
  <c r="G728" i="108" s="1"/>
  <c r="F697" i="108"/>
  <c r="E697" i="108"/>
  <c r="E708" i="108" s="1"/>
  <c r="M696" i="108"/>
  <c r="I696" i="108"/>
  <c r="D696" i="108"/>
  <c r="M695" i="108"/>
  <c r="I695" i="108"/>
  <c r="D695" i="108"/>
  <c r="M694" i="108"/>
  <c r="I694" i="108"/>
  <c r="D694" i="108"/>
  <c r="M693" i="108"/>
  <c r="I693" i="108"/>
  <c r="D693" i="108"/>
  <c r="M692" i="108"/>
  <c r="I692" i="108"/>
  <c r="D692" i="108"/>
  <c r="M691" i="108"/>
  <c r="I691" i="108"/>
  <c r="D691" i="108"/>
  <c r="M680" i="108"/>
  <c r="I680" i="108"/>
  <c r="D680" i="108"/>
  <c r="M679" i="108"/>
  <c r="I679" i="108"/>
  <c r="D679" i="108"/>
  <c r="M677" i="108"/>
  <c r="I677" i="108"/>
  <c r="D677" i="108"/>
  <c r="L676" i="108"/>
  <c r="K676" i="108"/>
  <c r="J676" i="108"/>
  <c r="H676" i="108"/>
  <c r="G676" i="108"/>
  <c r="F676" i="108"/>
  <c r="I676" i="108" s="1"/>
  <c r="E676" i="108"/>
  <c r="M675" i="108"/>
  <c r="I675" i="108"/>
  <c r="D675" i="108"/>
  <c r="M674" i="108"/>
  <c r="I674" i="108"/>
  <c r="D674" i="108"/>
  <c r="M673" i="108"/>
  <c r="I673" i="108"/>
  <c r="D673" i="108"/>
  <c r="M672" i="108"/>
  <c r="I672" i="108"/>
  <c r="D672" i="108"/>
  <c r="M671" i="108"/>
  <c r="I671" i="108"/>
  <c r="D671" i="108"/>
  <c r="M670" i="108"/>
  <c r="I670" i="108"/>
  <c r="D670" i="108"/>
  <c r="L669" i="108"/>
  <c r="K669" i="108"/>
  <c r="J669" i="108"/>
  <c r="H669" i="108"/>
  <c r="G669" i="108"/>
  <c r="F669" i="108"/>
  <c r="I669" i="108" s="1"/>
  <c r="E669" i="108"/>
  <c r="M668" i="108"/>
  <c r="I668" i="108"/>
  <c r="D668" i="108"/>
  <c r="M667" i="108"/>
  <c r="I667" i="108"/>
  <c r="D667" i="108"/>
  <c r="M666" i="108"/>
  <c r="I666" i="108"/>
  <c r="D666" i="108"/>
  <c r="M665" i="108"/>
  <c r="I665" i="108"/>
  <c r="D665" i="108"/>
  <c r="M664" i="108"/>
  <c r="I664" i="108"/>
  <c r="D664" i="108"/>
  <c r="M663" i="108"/>
  <c r="I663" i="108"/>
  <c r="D663" i="108"/>
  <c r="I662" i="108"/>
  <c r="D662" i="108"/>
  <c r="M660" i="108"/>
  <c r="I660" i="108"/>
  <c r="D660" i="108"/>
  <c r="M659" i="108"/>
  <c r="I659" i="108"/>
  <c r="D659" i="108"/>
  <c r="M658" i="108"/>
  <c r="I658" i="108"/>
  <c r="D658" i="108"/>
  <c r="M657" i="108"/>
  <c r="I657" i="108"/>
  <c r="D657" i="108"/>
  <c r="M656" i="108"/>
  <c r="I656" i="108"/>
  <c r="D656" i="108"/>
  <c r="M655" i="108"/>
  <c r="I655" i="108"/>
  <c r="D655" i="108"/>
  <c r="M654" i="108"/>
  <c r="I654" i="108"/>
  <c r="D654" i="108"/>
  <c r="M653" i="108"/>
  <c r="I653" i="108"/>
  <c r="D653" i="108"/>
  <c r="L652" i="108"/>
  <c r="K652" i="108"/>
  <c r="J652" i="108"/>
  <c r="H652" i="108"/>
  <c r="G652" i="108"/>
  <c r="F652" i="108"/>
  <c r="I652" i="108" s="1"/>
  <c r="E652" i="108"/>
  <c r="M651" i="108"/>
  <c r="I651" i="108"/>
  <c r="D651" i="108"/>
  <c r="L650" i="108"/>
  <c r="K650" i="108"/>
  <c r="K661" i="108" s="1"/>
  <c r="K678" i="108" s="1"/>
  <c r="K681" i="108" s="1"/>
  <c r="J650" i="108"/>
  <c r="J661" i="108" s="1"/>
  <c r="J678" i="108" s="1"/>
  <c r="J681" i="108" s="1"/>
  <c r="H650" i="108"/>
  <c r="H661" i="108" s="1"/>
  <c r="H678" i="108" s="1"/>
  <c r="H681" i="108" s="1"/>
  <c r="G650" i="108"/>
  <c r="G661" i="108" s="1"/>
  <c r="G678" i="108" s="1"/>
  <c r="G681" i="108" s="1"/>
  <c r="F650" i="108"/>
  <c r="E650" i="108"/>
  <c r="E661" i="108" s="1"/>
  <c r="M649" i="108"/>
  <c r="I649" i="108"/>
  <c r="D649" i="108"/>
  <c r="M648" i="108"/>
  <c r="I648" i="108"/>
  <c r="D648" i="108"/>
  <c r="M647" i="108"/>
  <c r="I647" i="108"/>
  <c r="D647" i="108"/>
  <c r="M646" i="108"/>
  <c r="I646" i="108"/>
  <c r="D646" i="108"/>
  <c r="M645" i="108"/>
  <c r="I645" i="108"/>
  <c r="D645" i="108"/>
  <c r="M644" i="108"/>
  <c r="I644" i="108"/>
  <c r="D644" i="108"/>
  <c r="M631" i="108"/>
  <c r="I631" i="108"/>
  <c r="D631" i="108"/>
  <c r="M630" i="108"/>
  <c r="I630" i="108"/>
  <c r="M628" i="108"/>
  <c r="I628" i="108"/>
  <c r="D628" i="108"/>
  <c r="L627" i="108"/>
  <c r="K627" i="108"/>
  <c r="J627" i="108"/>
  <c r="H627" i="108"/>
  <c r="G627" i="108"/>
  <c r="F627" i="108"/>
  <c r="I627" i="108" s="1"/>
  <c r="E627" i="108"/>
  <c r="M626" i="108"/>
  <c r="I626" i="108"/>
  <c r="D626" i="108"/>
  <c r="M625" i="108"/>
  <c r="I625" i="108"/>
  <c r="D625" i="108"/>
  <c r="M624" i="108"/>
  <c r="I624" i="108"/>
  <c r="D624" i="108"/>
  <c r="M623" i="108"/>
  <c r="I623" i="108"/>
  <c r="D623" i="108"/>
  <c r="M622" i="108"/>
  <c r="I622" i="108"/>
  <c r="D622" i="108"/>
  <c r="M621" i="108"/>
  <c r="I621" i="108"/>
  <c r="D621" i="108"/>
  <c r="L620" i="108"/>
  <c r="K620" i="108"/>
  <c r="J620" i="108"/>
  <c r="H620" i="108"/>
  <c r="G620" i="108"/>
  <c r="F620" i="108"/>
  <c r="I620" i="108" s="1"/>
  <c r="E620" i="108"/>
  <c r="M619" i="108"/>
  <c r="I619" i="108"/>
  <c r="D619" i="108"/>
  <c r="M618" i="108"/>
  <c r="I618" i="108"/>
  <c r="D618" i="108"/>
  <c r="M617" i="108"/>
  <c r="I617" i="108"/>
  <c r="D617" i="108"/>
  <c r="M616" i="108"/>
  <c r="I616" i="108"/>
  <c r="D616" i="108"/>
  <c r="M615" i="108"/>
  <c r="I615" i="108"/>
  <c r="D615" i="108"/>
  <c r="M614" i="108"/>
  <c r="I614" i="108"/>
  <c r="D614" i="108"/>
  <c r="I613" i="108"/>
  <c r="D613" i="108"/>
  <c r="M611" i="108"/>
  <c r="I611" i="108"/>
  <c r="D611" i="108"/>
  <c r="M610" i="108"/>
  <c r="I610" i="108"/>
  <c r="D610" i="108"/>
  <c r="M609" i="108"/>
  <c r="I609" i="108"/>
  <c r="D609" i="108"/>
  <c r="M608" i="108"/>
  <c r="I608" i="108"/>
  <c r="D608" i="108"/>
  <c r="M607" i="108"/>
  <c r="I607" i="108"/>
  <c r="D607" i="108"/>
  <c r="M606" i="108"/>
  <c r="I606" i="108"/>
  <c r="D606" i="108"/>
  <c r="M605" i="108"/>
  <c r="I605" i="108"/>
  <c r="D605" i="108"/>
  <c r="M604" i="108"/>
  <c r="I604" i="108"/>
  <c r="D604" i="108"/>
  <c r="L603" i="108"/>
  <c r="K603" i="108"/>
  <c r="J603" i="108"/>
  <c r="H603" i="108"/>
  <c r="G603" i="108"/>
  <c r="F603" i="108"/>
  <c r="I603" i="108" s="1"/>
  <c r="E603" i="108"/>
  <c r="M602" i="108"/>
  <c r="I602" i="108"/>
  <c r="D602" i="108"/>
  <c r="L601" i="108"/>
  <c r="K601" i="108"/>
  <c r="K612" i="108" s="1"/>
  <c r="K629" i="108" s="1"/>
  <c r="K632" i="108" s="1"/>
  <c r="J601" i="108"/>
  <c r="J612" i="108" s="1"/>
  <c r="J629" i="108" s="1"/>
  <c r="J632" i="108" s="1"/>
  <c r="H601" i="108"/>
  <c r="H612" i="108" s="1"/>
  <c r="H629" i="108" s="1"/>
  <c r="H632" i="108" s="1"/>
  <c r="G601" i="108"/>
  <c r="G612" i="108" s="1"/>
  <c r="G629" i="108" s="1"/>
  <c r="G632" i="108" s="1"/>
  <c r="F601" i="108"/>
  <c r="E601" i="108"/>
  <c r="E612" i="108" s="1"/>
  <c r="M600" i="108"/>
  <c r="I600" i="108"/>
  <c r="D600" i="108"/>
  <c r="M599" i="108"/>
  <c r="I599" i="108"/>
  <c r="D599" i="108"/>
  <c r="M598" i="108"/>
  <c r="I598" i="108"/>
  <c r="D598" i="108"/>
  <c r="M597" i="108"/>
  <c r="I597" i="108"/>
  <c r="D597" i="108"/>
  <c r="M596" i="108"/>
  <c r="I596" i="108"/>
  <c r="D596" i="108"/>
  <c r="M595" i="108"/>
  <c r="I595" i="108"/>
  <c r="D595" i="108"/>
  <c r="AB584" i="108"/>
  <c r="AK583" i="108"/>
  <c r="AJ583" i="108"/>
  <c r="AI583" i="108"/>
  <c r="AG583" i="108"/>
  <c r="AF583" i="108"/>
  <c r="AE583" i="108"/>
  <c r="AD583" i="108"/>
  <c r="AB583" i="108"/>
  <c r="M583" i="108"/>
  <c r="AL583" i="108" s="1"/>
  <c r="I583" i="108"/>
  <c r="AH583" i="108" s="1"/>
  <c r="D583" i="108"/>
  <c r="AC583" i="108" s="1"/>
  <c r="AK582" i="108"/>
  <c r="AJ582" i="108"/>
  <c r="AI582" i="108"/>
  <c r="AG582" i="108"/>
  <c r="AF582" i="108"/>
  <c r="AE582" i="108"/>
  <c r="AD582" i="108"/>
  <c r="AB582" i="108"/>
  <c r="M582" i="108"/>
  <c r="AL582" i="108" s="1"/>
  <c r="I582" i="108"/>
  <c r="AH582" i="108" s="1"/>
  <c r="D582" i="108"/>
  <c r="AC582" i="108" s="1"/>
  <c r="AB581" i="108"/>
  <c r="AK580" i="108"/>
  <c r="AJ580" i="108"/>
  <c r="AI580" i="108"/>
  <c r="AG580" i="108"/>
  <c r="AF580" i="108"/>
  <c r="AE580" i="108"/>
  <c r="AD580" i="108"/>
  <c r="AB580" i="108"/>
  <c r="M580" i="108"/>
  <c r="AL580" i="108" s="1"/>
  <c r="I580" i="108"/>
  <c r="AH580" i="108" s="1"/>
  <c r="D580" i="108"/>
  <c r="AC580" i="108" s="1"/>
  <c r="AB579" i="108"/>
  <c r="L579" i="108"/>
  <c r="K579" i="108"/>
  <c r="AJ579" i="108" s="1"/>
  <c r="J579" i="108"/>
  <c r="AI579" i="108" s="1"/>
  <c r="H579" i="108"/>
  <c r="AG579" i="108" s="1"/>
  <c r="G579" i="108"/>
  <c r="AF579" i="108" s="1"/>
  <c r="F579" i="108"/>
  <c r="E579" i="108"/>
  <c r="AD579" i="108" s="1"/>
  <c r="AK578" i="108"/>
  <c r="AJ578" i="108"/>
  <c r="AI578" i="108"/>
  <c r="AG578" i="108"/>
  <c r="AF578" i="108"/>
  <c r="AE578" i="108"/>
  <c r="AD578" i="108"/>
  <c r="AB578" i="108"/>
  <c r="M578" i="108"/>
  <c r="AL578" i="108" s="1"/>
  <c r="I578" i="108"/>
  <c r="AH578" i="108" s="1"/>
  <c r="D578" i="108"/>
  <c r="AC578" i="108" s="1"/>
  <c r="AK577" i="108"/>
  <c r="AJ577" i="108"/>
  <c r="AI577" i="108"/>
  <c r="AG577" i="108"/>
  <c r="AF577" i="108"/>
  <c r="AE577" i="108"/>
  <c r="AD577" i="108"/>
  <c r="AB577" i="108"/>
  <c r="M577" i="108"/>
  <c r="AL577" i="108" s="1"/>
  <c r="I577" i="108"/>
  <c r="AH577" i="108" s="1"/>
  <c r="D577" i="108"/>
  <c r="AC577" i="108" s="1"/>
  <c r="AK576" i="108"/>
  <c r="AJ576" i="108"/>
  <c r="AI576" i="108"/>
  <c r="AG576" i="108"/>
  <c r="AF576" i="108"/>
  <c r="AE576" i="108"/>
  <c r="AD576" i="108"/>
  <c r="AB576" i="108"/>
  <c r="M576" i="108"/>
  <c r="AL576" i="108" s="1"/>
  <c r="I576" i="108"/>
  <c r="AH576" i="108" s="1"/>
  <c r="D576" i="108"/>
  <c r="AK575" i="108"/>
  <c r="AJ575" i="108"/>
  <c r="AI575" i="108"/>
  <c r="AG575" i="108"/>
  <c r="AF575" i="108"/>
  <c r="AE575" i="108"/>
  <c r="AD575" i="108"/>
  <c r="AB575" i="108"/>
  <c r="M575" i="108"/>
  <c r="AL575" i="108" s="1"/>
  <c r="I575" i="108"/>
  <c r="AH575" i="108" s="1"/>
  <c r="D575" i="108"/>
  <c r="AC575" i="108" s="1"/>
  <c r="AK574" i="108"/>
  <c r="AJ574" i="108"/>
  <c r="AI574" i="108"/>
  <c r="AG574" i="108"/>
  <c r="AF574" i="108"/>
  <c r="AE574" i="108"/>
  <c r="AD574" i="108"/>
  <c r="AB574" i="108"/>
  <c r="M574" i="108"/>
  <c r="AL574" i="108" s="1"/>
  <c r="I574" i="108"/>
  <c r="AH574" i="108" s="1"/>
  <c r="D574" i="108"/>
  <c r="AC574" i="108" s="1"/>
  <c r="AK573" i="108"/>
  <c r="AJ573" i="108"/>
  <c r="AI573" i="108"/>
  <c r="AG573" i="108"/>
  <c r="AF573" i="108"/>
  <c r="AE573" i="108"/>
  <c r="AD573" i="108"/>
  <c r="AB573" i="108"/>
  <c r="M573" i="108"/>
  <c r="AL573" i="108" s="1"/>
  <c r="I573" i="108"/>
  <c r="AH573" i="108" s="1"/>
  <c r="D573" i="108"/>
  <c r="AC573" i="108" s="1"/>
  <c r="AB572" i="108"/>
  <c r="L572" i="108"/>
  <c r="K572" i="108"/>
  <c r="AJ572" i="108" s="1"/>
  <c r="J572" i="108"/>
  <c r="AI572" i="108" s="1"/>
  <c r="H572" i="108"/>
  <c r="AG572" i="108" s="1"/>
  <c r="G572" i="108"/>
  <c r="AF572" i="108" s="1"/>
  <c r="F572" i="108"/>
  <c r="E572" i="108"/>
  <c r="AD572" i="108" s="1"/>
  <c r="AK571" i="108"/>
  <c r="AJ571" i="108"/>
  <c r="AI571" i="108"/>
  <c r="AG571" i="108"/>
  <c r="AF571" i="108"/>
  <c r="AE571" i="108"/>
  <c r="AD571" i="108"/>
  <c r="AB571" i="108"/>
  <c r="M571" i="108"/>
  <c r="AL571" i="108" s="1"/>
  <c r="I571" i="108"/>
  <c r="AH571" i="108" s="1"/>
  <c r="D571" i="108"/>
  <c r="AC571" i="108" s="1"/>
  <c r="AK570" i="108"/>
  <c r="AJ570" i="108"/>
  <c r="AI570" i="108"/>
  <c r="AG570" i="108"/>
  <c r="AF570" i="108"/>
  <c r="AE570" i="108"/>
  <c r="AD570" i="108"/>
  <c r="AB570" i="108"/>
  <c r="M570" i="108"/>
  <c r="AL570" i="108" s="1"/>
  <c r="I570" i="108"/>
  <c r="AH570" i="108" s="1"/>
  <c r="D570" i="108"/>
  <c r="AC570" i="108" s="1"/>
  <c r="AK569" i="108"/>
  <c r="AJ569" i="108"/>
  <c r="AI569" i="108"/>
  <c r="AG569" i="108"/>
  <c r="AF569" i="108"/>
  <c r="AE569" i="108"/>
  <c r="AD569" i="108"/>
  <c r="AB569" i="108"/>
  <c r="M569" i="108"/>
  <c r="AL569" i="108" s="1"/>
  <c r="I569" i="108"/>
  <c r="AH569" i="108" s="1"/>
  <c r="D569" i="108"/>
  <c r="AC569" i="108" s="1"/>
  <c r="AK568" i="108"/>
  <c r="AJ568" i="108"/>
  <c r="AI568" i="108"/>
  <c r="AG568" i="108"/>
  <c r="AF568" i="108"/>
  <c r="AE568" i="108"/>
  <c r="AD568" i="108"/>
  <c r="AB568" i="108"/>
  <c r="M568" i="108"/>
  <c r="AL568" i="108" s="1"/>
  <c r="I568" i="108"/>
  <c r="AH568" i="108" s="1"/>
  <c r="D568" i="108"/>
  <c r="AC568" i="108" s="1"/>
  <c r="AK567" i="108"/>
  <c r="AJ567" i="108"/>
  <c r="AI567" i="108"/>
  <c r="AG567" i="108"/>
  <c r="AF567" i="108"/>
  <c r="AE567" i="108"/>
  <c r="AD567" i="108"/>
  <c r="AB567" i="108"/>
  <c r="M567" i="108"/>
  <c r="AL567" i="108" s="1"/>
  <c r="I567" i="108"/>
  <c r="AH567" i="108" s="1"/>
  <c r="D567" i="108"/>
  <c r="AC567" i="108" s="1"/>
  <c r="AK566" i="108"/>
  <c r="AJ566" i="108"/>
  <c r="AI566" i="108"/>
  <c r="AG566" i="108"/>
  <c r="AF566" i="108"/>
  <c r="AE566" i="108"/>
  <c r="AD566" i="108"/>
  <c r="AB566" i="108"/>
  <c r="M566" i="108"/>
  <c r="AL566" i="108" s="1"/>
  <c r="I566" i="108"/>
  <c r="AH566" i="108" s="1"/>
  <c r="D566" i="108"/>
  <c r="AC566" i="108" s="1"/>
  <c r="AL565" i="108"/>
  <c r="AK565" i="108"/>
  <c r="AJ565" i="108"/>
  <c r="AI565" i="108"/>
  <c r="AG565" i="108"/>
  <c r="AF565" i="108"/>
  <c r="AE565" i="108"/>
  <c r="AD565" i="108"/>
  <c r="AB565" i="108"/>
  <c r="I565" i="108"/>
  <c r="AH565" i="108" s="1"/>
  <c r="D565" i="108"/>
  <c r="AC565" i="108" s="1"/>
  <c r="AB564" i="108"/>
  <c r="AK563" i="108"/>
  <c r="AJ563" i="108"/>
  <c r="AI563" i="108"/>
  <c r="AG563" i="108"/>
  <c r="AF563" i="108"/>
  <c r="AE563" i="108"/>
  <c r="AD563" i="108"/>
  <c r="AB563" i="108"/>
  <c r="M563" i="108"/>
  <c r="AL563" i="108" s="1"/>
  <c r="I563" i="108"/>
  <c r="AH563" i="108" s="1"/>
  <c r="D563" i="108"/>
  <c r="AC563" i="108" s="1"/>
  <c r="AK562" i="108"/>
  <c r="AJ562" i="108"/>
  <c r="AI562" i="108"/>
  <c r="AG562" i="108"/>
  <c r="AF562" i="108"/>
  <c r="AE562" i="108"/>
  <c r="AD562" i="108"/>
  <c r="AB562" i="108"/>
  <c r="M562" i="108"/>
  <c r="AL562" i="108" s="1"/>
  <c r="I562" i="108"/>
  <c r="AH562" i="108" s="1"/>
  <c r="D562" i="108"/>
  <c r="AC562" i="108" s="1"/>
  <c r="AK561" i="108"/>
  <c r="AJ561" i="108"/>
  <c r="AI561" i="108"/>
  <c r="AG561" i="108"/>
  <c r="AF561" i="108"/>
  <c r="AE561" i="108"/>
  <c r="AD561" i="108"/>
  <c r="AB561" i="108"/>
  <c r="M561" i="108"/>
  <c r="AL561" i="108" s="1"/>
  <c r="I561" i="108"/>
  <c r="AH561" i="108" s="1"/>
  <c r="D561" i="108"/>
  <c r="AC561" i="108" s="1"/>
  <c r="AK560" i="108"/>
  <c r="AJ560" i="108"/>
  <c r="AI560" i="108"/>
  <c r="AG560" i="108"/>
  <c r="AF560" i="108"/>
  <c r="AE560" i="108"/>
  <c r="AD560" i="108"/>
  <c r="AB560" i="108"/>
  <c r="M560" i="108"/>
  <c r="AL560" i="108" s="1"/>
  <c r="I560" i="108"/>
  <c r="AH560" i="108" s="1"/>
  <c r="D560" i="108"/>
  <c r="AC560" i="108" s="1"/>
  <c r="AK559" i="108"/>
  <c r="AJ559" i="108"/>
  <c r="AI559" i="108"/>
  <c r="AG559" i="108"/>
  <c r="AF559" i="108"/>
  <c r="AE559" i="108"/>
  <c r="AD559" i="108"/>
  <c r="AB559" i="108"/>
  <c r="M559" i="108"/>
  <c r="AL559" i="108" s="1"/>
  <c r="I559" i="108"/>
  <c r="AH559" i="108" s="1"/>
  <c r="D559" i="108"/>
  <c r="AC559" i="108" s="1"/>
  <c r="AK558" i="108"/>
  <c r="AJ558" i="108"/>
  <c r="AI558" i="108"/>
  <c r="AG558" i="108"/>
  <c r="AF558" i="108"/>
  <c r="AE558" i="108"/>
  <c r="AD558" i="108"/>
  <c r="AB558" i="108"/>
  <c r="M558" i="108"/>
  <c r="AL558" i="108" s="1"/>
  <c r="I558" i="108"/>
  <c r="AH558" i="108" s="1"/>
  <c r="D558" i="108"/>
  <c r="AC558" i="108" s="1"/>
  <c r="AK557" i="108"/>
  <c r="AJ557" i="108"/>
  <c r="AI557" i="108"/>
  <c r="AG557" i="108"/>
  <c r="AF557" i="108"/>
  <c r="AE557" i="108"/>
  <c r="AD557" i="108"/>
  <c r="AC557" i="108"/>
  <c r="AB557" i="108"/>
  <c r="M557" i="108"/>
  <c r="AL557" i="108" s="1"/>
  <c r="I557" i="108"/>
  <c r="AH557" i="108" s="1"/>
  <c r="AK556" i="108"/>
  <c r="AJ556" i="108"/>
  <c r="AI556" i="108"/>
  <c r="AG556" i="108"/>
  <c r="AF556" i="108"/>
  <c r="AE556" i="108"/>
  <c r="AD556" i="108"/>
  <c r="AB556" i="108"/>
  <c r="M556" i="108"/>
  <c r="AL556" i="108" s="1"/>
  <c r="I556" i="108"/>
  <c r="AH556" i="108" s="1"/>
  <c r="D556" i="108"/>
  <c r="AC556" i="108" s="1"/>
  <c r="AB555" i="108"/>
  <c r="L555" i="108"/>
  <c r="K555" i="108"/>
  <c r="AJ555" i="108" s="1"/>
  <c r="J555" i="108"/>
  <c r="AI555" i="108" s="1"/>
  <c r="H555" i="108"/>
  <c r="AG555" i="108" s="1"/>
  <c r="G555" i="108"/>
  <c r="AF555" i="108" s="1"/>
  <c r="F555" i="108"/>
  <c r="E555" i="108"/>
  <c r="AD555" i="108" s="1"/>
  <c r="D555" i="108"/>
  <c r="AC555" i="108" s="1"/>
  <c r="AK554" i="108"/>
  <c r="AJ554" i="108"/>
  <c r="AI554" i="108"/>
  <c r="AG554" i="108"/>
  <c r="AF554" i="108"/>
  <c r="AE554" i="108"/>
  <c r="AD554" i="108"/>
  <c r="AB554" i="108"/>
  <c r="M554" i="108"/>
  <c r="AL554" i="108" s="1"/>
  <c r="I554" i="108"/>
  <c r="AH554" i="108" s="1"/>
  <c r="D554" i="108"/>
  <c r="AC554" i="108" s="1"/>
  <c r="AB553" i="108"/>
  <c r="L553" i="108"/>
  <c r="K553" i="108"/>
  <c r="J553" i="108"/>
  <c r="H553" i="108"/>
  <c r="G553" i="108"/>
  <c r="F553" i="108"/>
  <c r="E553" i="108"/>
  <c r="AK552" i="108"/>
  <c r="AJ552" i="108"/>
  <c r="AI552" i="108"/>
  <c r="AG552" i="108"/>
  <c r="AF552" i="108"/>
  <c r="AE552" i="108"/>
  <c r="AD552" i="108"/>
  <c r="AB552" i="108"/>
  <c r="M552" i="108"/>
  <c r="AL552" i="108" s="1"/>
  <c r="I552" i="108"/>
  <c r="AH552" i="108" s="1"/>
  <c r="D552" i="108"/>
  <c r="AC552" i="108" s="1"/>
  <c r="AK551" i="108"/>
  <c r="AJ551" i="108"/>
  <c r="AI551" i="108"/>
  <c r="AG551" i="108"/>
  <c r="AF551" i="108"/>
  <c r="AE551" i="108"/>
  <c r="AD551" i="108"/>
  <c r="AB551" i="108"/>
  <c r="M551" i="108"/>
  <c r="AL551" i="108" s="1"/>
  <c r="I551" i="108"/>
  <c r="AH551" i="108" s="1"/>
  <c r="D551" i="108"/>
  <c r="AC551" i="108" s="1"/>
  <c r="AK550" i="108"/>
  <c r="AJ550" i="108"/>
  <c r="AI550" i="108"/>
  <c r="AG550" i="108"/>
  <c r="AF550" i="108"/>
  <c r="AE550" i="108"/>
  <c r="AD550" i="108"/>
  <c r="AB550" i="108"/>
  <c r="M550" i="108"/>
  <c r="AL550" i="108" s="1"/>
  <c r="I550" i="108"/>
  <c r="AH550" i="108" s="1"/>
  <c r="D550" i="108"/>
  <c r="AC550" i="108" s="1"/>
  <c r="AK549" i="108"/>
  <c r="AJ549" i="108"/>
  <c r="AI549" i="108"/>
  <c r="AG549" i="108"/>
  <c r="AF549" i="108"/>
  <c r="AE549" i="108"/>
  <c r="AD549" i="108"/>
  <c r="AB549" i="108"/>
  <c r="M549" i="108"/>
  <c r="AL549" i="108" s="1"/>
  <c r="I549" i="108"/>
  <c r="AH549" i="108" s="1"/>
  <c r="D549" i="108"/>
  <c r="AC549" i="108" s="1"/>
  <c r="AK548" i="108"/>
  <c r="AJ548" i="108"/>
  <c r="AI548" i="108"/>
  <c r="AG548" i="108"/>
  <c r="AF548" i="108"/>
  <c r="AE548" i="108"/>
  <c r="AD548" i="108"/>
  <c r="AB548" i="108"/>
  <c r="M548" i="108"/>
  <c r="AL548" i="108" s="1"/>
  <c r="I548" i="108"/>
  <c r="AH548" i="108" s="1"/>
  <c r="D548" i="108"/>
  <c r="AC548" i="108" s="1"/>
  <c r="AK547" i="108"/>
  <c r="AJ547" i="108"/>
  <c r="AI547" i="108"/>
  <c r="AG547" i="108"/>
  <c r="AF547" i="108"/>
  <c r="AE547" i="108"/>
  <c r="AD547" i="108"/>
  <c r="AB547" i="108"/>
  <c r="M547" i="108"/>
  <c r="AL547" i="108" s="1"/>
  <c r="I547" i="108"/>
  <c r="AH547" i="108" s="1"/>
  <c r="D547" i="108"/>
  <c r="AC547" i="108" s="1"/>
  <c r="M535" i="108"/>
  <c r="I535" i="108"/>
  <c r="D535" i="108"/>
  <c r="M534" i="108"/>
  <c r="I534" i="108"/>
  <c r="D534" i="108"/>
  <c r="M532" i="108"/>
  <c r="I532" i="108"/>
  <c r="D532" i="108"/>
  <c r="L531" i="108"/>
  <c r="K531" i="108"/>
  <c r="J531" i="108"/>
  <c r="H531" i="108"/>
  <c r="G531" i="108"/>
  <c r="F531" i="108"/>
  <c r="I531" i="108" s="1"/>
  <c r="E531" i="108"/>
  <c r="M530" i="108"/>
  <c r="I530" i="108"/>
  <c r="D530" i="108"/>
  <c r="M529" i="108"/>
  <c r="I529" i="108"/>
  <c r="D529" i="108"/>
  <c r="M528" i="108"/>
  <c r="I528" i="108"/>
  <c r="D528" i="108"/>
  <c r="M527" i="108"/>
  <c r="I527" i="108"/>
  <c r="D527" i="108"/>
  <c r="M526" i="108"/>
  <c r="I526" i="108"/>
  <c r="D526" i="108"/>
  <c r="M525" i="108"/>
  <c r="I525" i="108"/>
  <c r="D525" i="108"/>
  <c r="L524" i="108"/>
  <c r="K524" i="108"/>
  <c r="J524" i="108"/>
  <c r="H524" i="108"/>
  <c r="G524" i="108"/>
  <c r="F524" i="108"/>
  <c r="I524" i="108" s="1"/>
  <c r="E524" i="108"/>
  <c r="M523" i="108"/>
  <c r="I523" i="108"/>
  <c r="D523" i="108"/>
  <c r="M522" i="108"/>
  <c r="I522" i="108"/>
  <c r="D522" i="108"/>
  <c r="M521" i="108"/>
  <c r="I521" i="108"/>
  <c r="D521" i="108"/>
  <c r="M520" i="108"/>
  <c r="I520" i="108"/>
  <c r="D520" i="108"/>
  <c r="M519" i="108"/>
  <c r="I519" i="108"/>
  <c r="D519" i="108"/>
  <c r="M518" i="108"/>
  <c r="I518" i="108"/>
  <c r="D518" i="108"/>
  <c r="I517" i="108"/>
  <c r="D517" i="108"/>
  <c r="M515" i="108"/>
  <c r="I515" i="108"/>
  <c r="D515" i="108"/>
  <c r="M514" i="108"/>
  <c r="I514" i="108"/>
  <c r="D514" i="108"/>
  <c r="M513" i="108"/>
  <c r="I513" i="108"/>
  <c r="D513" i="108"/>
  <c r="M512" i="108"/>
  <c r="I512" i="108"/>
  <c r="D512" i="108"/>
  <c r="M511" i="108"/>
  <c r="I511" i="108"/>
  <c r="D511" i="108"/>
  <c r="M510" i="108"/>
  <c r="I510" i="108"/>
  <c r="D510" i="108"/>
  <c r="M509" i="108"/>
  <c r="I509" i="108"/>
  <c r="D509" i="108"/>
  <c r="M508" i="108"/>
  <c r="I508" i="108"/>
  <c r="D508" i="108"/>
  <c r="L507" i="108"/>
  <c r="K507" i="108"/>
  <c r="J507" i="108"/>
  <c r="H507" i="108"/>
  <c r="G507" i="108"/>
  <c r="F507" i="108"/>
  <c r="I507" i="108" s="1"/>
  <c r="E507" i="108"/>
  <c r="M506" i="108"/>
  <c r="I506" i="108"/>
  <c r="D506" i="108"/>
  <c r="L505" i="108"/>
  <c r="K505" i="108"/>
  <c r="K516" i="108" s="1"/>
  <c r="K533" i="108" s="1"/>
  <c r="K536" i="108" s="1"/>
  <c r="J505" i="108"/>
  <c r="J516" i="108" s="1"/>
  <c r="J533" i="108" s="1"/>
  <c r="J536" i="108" s="1"/>
  <c r="H505" i="108"/>
  <c r="H516" i="108" s="1"/>
  <c r="H533" i="108" s="1"/>
  <c r="H536" i="108" s="1"/>
  <c r="G505" i="108"/>
  <c r="G516" i="108" s="1"/>
  <c r="G533" i="108" s="1"/>
  <c r="G536" i="108" s="1"/>
  <c r="F505" i="108"/>
  <c r="E505" i="108"/>
  <c r="E516" i="108" s="1"/>
  <c r="M504" i="108"/>
  <c r="I504" i="108"/>
  <c r="D504" i="108"/>
  <c r="M503" i="108"/>
  <c r="I503" i="108"/>
  <c r="D503" i="108"/>
  <c r="M502" i="108"/>
  <c r="I502" i="108"/>
  <c r="D502" i="108"/>
  <c r="M501" i="108"/>
  <c r="I501" i="108"/>
  <c r="D501" i="108"/>
  <c r="M500" i="108"/>
  <c r="I500" i="108"/>
  <c r="D500" i="108"/>
  <c r="M499" i="108"/>
  <c r="I499" i="108"/>
  <c r="D499" i="108"/>
  <c r="M487" i="108"/>
  <c r="I487" i="108"/>
  <c r="D487" i="108"/>
  <c r="M486" i="108"/>
  <c r="I486" i="108"/>
  <c r="D486" i="108"/>
  <c r="M484" i="108"/>
  <c r="I484" i="108"/>
  <c r="D484" i="108"/>
  <c r="L483" i="108"/>
  <c r="K483" i="108"/>
  <c r="J483" i="108"/>
  <c r="H483" i="108"/>
  <c r="G483" i="108"/>
  <c r="F483" i="108"/>
  <c r="I483" i="108" s="1"/>
  <c r="E483" i="108"/>
  <c r="M482" i="108"/>
  <c r="I482" i="108"/>
  <c r="D482" i="108"/>
  <c r="M481" i="108"/>
  <c r="I481" i="108"/>
  <c r="D481" i="108"/>
  <c r="M480" i="108"/>
  <c r="I480" i="108"/>
  <c r="D480" i="108"/>
  <c r="M479" i="108"/>
  <c r="I479" i="108"/>
  <c r="D479" i="108"/>
  <c r="M478" i="108"/>
  <c r="I478" i="108"/>
  <c r="D478" i="108"/>
  <c r="M477" i="108"/>
  <c r="I477" i="108"/>
  <c r="D477" i="108"/>
  <c r="L476" i="108"/>
  <c r="K476" i="108"/>
  <c r="J476" i="108"/>
  <c r="H476" i="108"/>
  <c r="G476" i="108"/>
  <c r="F476" i="108"/>
  <c r="I476" i="108" s="1"/>
  <c r="E476" i="108"/>
  <c r="M475" i="108"/>
  <c r="I475" i="108"/>
  <c r="D475" i="108"/>
  <c r="M474" i="108"/>
  <c r="I474" i="108"/>
  <c r="D474" i="108"/>
  <c r="M473" i="108"/>
  <c r="I473" i="108"/>
  <c r="D473" i="108"/>
  <c r="M472" i="108"/>
  <c r="I472" i="108"/>
  <c r="D472" i="108"/>
  <c r="M471" i="108"/>
  <c r="I471" i="108"/>
  <c r="D471" i="108"/>
  <c r="M470" i="108"/>
  <c r="I470" i="108"/>
  <c r="D470" i="108"/>
  <c r="I469" i="108"/>
  <c r="D469" i="108"/>
  <c r="M467" i="108"/>
  <c r="I467" i="108"/>
  <c r="D467" i="108"/>
  <c r="M466" i="108"/>
  <c r="I466" i="108"/>
  <c r="D466" i="108"/>
  <c r="M465" i="108"/>
  <c r="I465" i="108"/>
  <c r="D465" i="108"/>
  <c r="M464" i="108"/>
  <c r="I464" i="108"/>
  <c r="D464" i="108"/>
  <c r="M463" i="108"/>
  <c r="I463" i="108"/>
  <c r="D463" i="108"/>
  <c r="M462" i="108"/>
  <c r="I462" i="108"/>
  <c r="D462" i="108"/>
  <c r="M461" i="108"/>
  <c r="I461" i="108"/>
  <c r="D461" i="108"/>
  <c r="M460" i="108"/>
  <c r="I460" i="108"/>
  <c r="D460" i="108"/>
  <c r="L459" i="108"/>
  <c r="K459" i="108"/>
  <c r="J459" i="108"/>
  <c r="H459" i="108"/>
  <c r="G459" i="108"/>
  <c r="F459" i="108"/>
  <c r="I459" i="108" s="1"/>
  <c r="E459" i="108"/>
  <c r="M458" i="108"/>
  <c r="I458" i="108"/>
  <c r="D458" i="108"/>
  <c r="L457" i="108"/>
  <c r="K457" i="108"/>
  <c r="K468" i="108" s="1"/>
  <c r="K485" i="108" s="1"/>
  <c r="K488" i="108" s="1"/>
  <c r="J457" i="108"/>
  <c r="J468" i="108" s="1"/>
  <c r="J485" i="108" s="1"/>
  <c r="J488" i="108" s="1"/>
  <c r="H457" i="108"/>
  <c r="H468" i="108" s="1"/>
  <c r="H485" i="108" s="1"/>
  <c r="H488" i="108" s="1"/>
  <c r="G457" i="108"/>
  <c r="G468" i="108" s="1"/>
  <c r="G485" i="108" s="1"/>
  <c r="G488" i="108" s="1"/>
  <c r="F457" i="108"/>
  <c r="E457" i="108"/>
  <c r="E468" i="108" s="1"/>
  <c r="M456" i="108"/>
  <c r="I456" i="108"/>
  <c r="D456" i="108"/>
  <c r="M455" i="108"/>
  <c r="I455" i="108"/>
  <c r="D455" i="108"/>
  <c r="M454" i="108"/>
  <c r="I454" i="108"/>
  <c r="D454" i="108"/>
  <c r="M453" i="108"/>
  <c r="I453" i="108"/>
  <c r="D453" i="108"/>
  <c r="M452" i="108"/>
  <c r="I452" i="108"/>
  <c r="D452" i="108"/>
  <c r="M451" i="108"/>
  <c r="I451" i="108"/>
  <c r="D451" i="108"/>
  <c r="M439" i="108"/>
  <c r="I439" i="108"/>
  <c r="D439" i="108"/>
  <c r="M438" i="108"/>
  <c r="I438" i="108"/>
  <c r="D438" i="108"/>
  <c r="M436" i="108"/>
  <c r="I436" i="108"/>
  <c r="D436" i="108"/>
  <c r="L435" i="108"/>
  <c r="K435" i="108"/>
  <c r="J435" i="108"/>
  <c r="H435" i="108"/>
  <c r="G435" i="108"/>
  <c r="F435" i="108"/>
  <c r="I435" i="108" s="1"/>
  <c r="E435" i="108"/>
  <c r="M434" i="108"/>
  <c r="I434" i="108"/>
  <c r="D434" i="108"/>
  <c r="M433" i="108"/>
  <c r="I433" i="108"/>
  <c r="D433" i="108"/>
  <c r="M432" i="108"/>
  <c r="I432" i="108"/>
  <c r="D432" i="108"/>
  <c r="M431" i="108"/>
  <c r="I431" i="108"/>
  <c r="D431" i="108"/>
  <c r="M430" i="108"/>
  <c r="I430" i="108"/>
  <c r="D430" i="108"/>
  <c r="M429" i="108"/>
  <c r="I429" i="108"/>
  <c r="D429" i="108"/>
  <c r="L428" i="108"/>
  <c r="K428" i="108"/>
  <c r="J428" i="108"/>
  <c r="H428" i="108"/>
  <c r="G428" i="108"/>
  <c r="F428" i="108"/>
  <c r="I428" i="108" s="1"/>
  <c r="E428" i="108"/>
  <c r="M427" i="108"/>
  <c r="I427" i="108"/>
  <c r="D427" i="108"/>
  <c r="M426" i="108"/>
  <c r="I426" i="108"/>
  <c r="D426" i="108"/>
  <c r="M425" i="108"/>
  <c r="I425" i="108"/>
  <c r="D425" i="108"/>
  <c r="M424" i="108"/>
  <c r="I424" i="108"/>
  <c r="D424" i="108"/>
  <c r="M423" i="108"/>
  <c r="I423" i="108"/>
  <c r="D423" i="108"/>
  <c r="M422" i="108"/>
  <c r="I422" i="108"/>
  <c r="D422" i="108"/>
  <c r="I421" i="108"/>
  <c r="D421" i="108"/>
  <c r="M419" i="108"/>
  <c r="I419" i="108"/>
  <c r="D419" i="108"/>
  <c r="M418" i="108"/>
  <c r="I418" i="108"/>
  <c r="D418" i="108"/>
  <c r="M417" i="108"/>
  <c r="I417" i="108"/>
  <c r="D417" i="108"/>
  <c r="M416" i="108"/>
  <c r="I416" i="108"/>
  <c r="D416" i="108"/>
  <c r="M415" i="108"/>
  <c r="I415" i="108"/>
  <c r="D415" i="108"/>
  <c r="M414" i="108"/>
  <c r="I414" i="108"/>
  <c r="D414" i="108"/>
  <c r="M413" i="108"/>
  <c r="I413" i="108"/>
  <c r="D413" i="108"/>
  <c r="M412" i="108"/>
  <c r="I412" i="108"/>
  <c r="D412" i="108"/>
  <c r="L411" i="108"/>
  <c r="K411" i="108"/>
  <c r="J411" i="108"/>
  <c r="H411" i="108"/>
  <c r="G411" i="108"/>
  <c r="F411" i="108"/>
  <c r="I411" i="108" s="1"/>
  <c r="E411" i="108"/>
  <c r="M410" i="108"/>
  <c r="I410" i="108"/>
  <c r="D410" i="108"/>
  <c r="L409" i="108"/>
  <c r="K409" i="108"/>
  <c r="K420" i="108" s="1"/>
  <c r="K437" i="108" s="1"/>
  <c r="K440" i="108" s="1"/>
  <c r="J409" i="108"/>
  <c r="J420" i="108" s="1"/>
  <c r="J437" i="108" s="1"/>
  <c r="J440" i="108" s="1"/>
  <c r="H409" i="108"/>
  <c r="H420" i="108" s="1"/>
  <c r="H437" i="108" s="1"/>
  <c r="H440" i="108" s="1"/>
  <c r="G409" i="108"/>
  <c r="G420" i="108" s="1"/>
  <c r="G437" i="108" s="1"/>
  <c r="G440" i="108" s="1"/>
  <c r="F409" i="108"/>
  <c r="E409" i="108"/>
  <c r="E420" i="108" s="1"/>
  <c r="M408" i="108"/>
  <c r="I408" i="108"/>
  <c r="D408" i="108"/>
  <c r="M407" i="108"/>
  <c r="I407" i="108"/>
  <c r="D407" i="108"/>
  <c r="M406" i="108"/>
  <c r="I406" i="108"/>
  <c r="D406" i="108"/>
  <c r="M405" i="108"/>
  <c r="I405" i="108"/>
  <c r="D405" i="108"/>
  <c r="M404" i="108"/>
  <c r="I404" i="108"/>
  <c r="D404" i="108"/>
  <c r="M403" i="108"/>
  <c r="I403" i="108"/>
  <c r="D403" i="108"/>
  <c r="M391" i="108"/>
  <c r="I391" i="108"/>
  <c r="D391" i="108"/>
  <c r="M390" i="108"/>
  <c r="I390" i="108"/>
  <c r="D390" i="108"/>
  <c r="M388" i="108"/>
  <c r="I388" i="108"/>
  <c r="D388" i="108"/>
  <c r="L387" i="108"/>
  <c r="K387" i="108"/>
  <c r="J387" i="108"/>
  <c r="H387" i="108"/>
  <c r="G387" i="108"/>
  <c r="F387" i="108"/>
  <c r="I387" i="108" s="1"/>
  <c r="E387" i="108"/>
  <c r="M386" i="108"/>
  <c r="I386" i="108"/>
  <c r="D386" i="108"/>
  <c r="M385" i="108"/>
  <c r="I385" i="108"/>
  <c r="D385" i="108"/>
  <c r="M384" i="108"/>
  <c r="I384" i="108"/>
  <c r="D384" i="108"/>
  <c r="M383" i="108"/>
  <c r="I383" i="108"/>
  <c r="D383" i="108"/>
  <c r="M382" i="108"/>
  <c r="I382" i="108"/>
  <c r="D382" i="108"/>
  <c r="M381" i="108"/>
  <c r="I381" i="108"/>
  <c r="D381" i="108"/>
  <c r="L380" i="108"/>
  <c r="K380" i="108"/>
  <c r="J380" i="108"/>
  <c r="H380" i="108"/>
  <c r="G380" i="108"/>
  <c r="F380" i="108"/>
  <c r="I380" i="108" s="1"/>
  <c r="E380" i="108"/>
  <c r="M379" i="108"/>
  <c r="I379" i="108"/>
  <c r="D379" i="108"/>
  <c r="M378" i="108"/>
  <c r="I378" i="108"/>
  <c r="D378" i="108"/>
  <c r="M377" i="108"/>
  <c r="I377" i="108"/>
  <c r="D377" i="108"/>
  <c r="M376" i="108"/>
  <c r="I376" i="108"/>
  <c r="D376" i="108"/>
  <c r="M375" i="108"/>
  <c r="I375" i="108"/>
  <c r="D375" i="108"/>
  <c r="M374" i="108"/>
  <c r="I374" i="108"/>
  <c r="D374" i="108"/>
  <c r="I373" i="108"/>
  <c r="D373" i="108"/>
  <c r="M371" i="108"/>
  <c r="I371" i="108"/>
  <c r="D371" i="108"/>
  <c r="M370" i="108"/>
  <c r="I370" i="108"/>
  <c r="D370" i="108"/>
  <c r="M369" i="108"/>
  <c r="I369" i="108"/>
  <c r="D369" i="108"/>
  <c r="I368" i="108"/>
  <c r="D368" i="108"/>
  <c r="I367" i="108"/>
  <c r="D367" i="108"/>
  <c r="M366" i="108"/>
  <c r="H366" i="108"/>
  <c r="G366" i="108"/>
  <c r="F366" i="108"/>
  <c r="I366" i="108" s="1"/>
  <c r="E366" i="108"/>
  <c r="D366" i="108"/>
  <c r="M365" i="108"/>
  <c r="I365" i="108"/>
  <c r="D365" i="108"/>
  <c r="M364" i="108"/>
  <c r="I364" i="108"/>
  <c r="D364" i="108"/>
  <c r="M363" i="108"/>
  <c r="I363" i="108"/>
  <c r="D363" i="108"/>
  <c r="M362" i="108"/>
  <c r="I362" i="108"/>
  <c r="D362" i="108"/>
  <c r="L361" i="108"/>
  <c r="K361" i="108"/>
  <c r="J361" i="108"/>
  <c r="H361" i="108"/>
  <c r="G361" i="108"/>
  <c r="F361" i="108"/>
  <c r="I361" i="108" s="1"/>
  <c r="E361" i="108"/>
  <c r="M360" i="108"/>
  <c r="I360" i="108"/>
  <c r="D360" i="108"/>
  <c r="L359" i="108"/>
  <c r="K359" i="108"/>
  <c r="K372" i="108" s="1"/>
  <c r="K389" i="108" s="1"/>
  <c r="K392" i="108" s="1"/>
  <c r="J359" i="108"/>
  <c r="J372" i="108" s="1"/>
  <c r="J389" i="108" s="1"/>
  <c r="J392" i="108" s="1"/>
  <c r="H359" i="108"/>
  <c r="H372" i="108" s="1"/>
  <c r="H389" i="108" s="1"/>
  <c r="H392" i="108" s="1"/>
  <c r="G359" i="108"/>
  <c r="G372" i="108" s="1"/>
  <c r="G389" i="108" s="1"/>
  <c r="G392" i="108" s="1"/>
  <c r="F359" i="108"/>
  <c r="E359" i="108"/>
  <c r="E372" i="108" s="1"/>
  <c r="M358" i="108"/>
  <c r="I358" i="108"/>
  <c r="D358" i="108"/>
  <c r="M357" i="108"/>
  <c r="I357" i="108"/>
  <c r="D357" i="108"/>
  <c r="M356" i="108"/>
  <c r="I356" i="108"/>
  <c r="D356" i="108"/>
  <c r="M355" i="108"/>
  <c r="I355" i="108"/>
  <c r="D355" i="108"/>
  <c r="M354" i="108"/>
  <c r="I354" i="108"/>
  <c r="D354" i="108"/>
  <c r="M353" i="108"/>
  <c r="I353" i="108"/>
  <c r="D353" i="108"/>
  <c r="M340" i="108"/>
  <c r="I340" i="108"/>
  <c r="D340" i="108"/>
  <c r="M339" i="108"/>
  <c r="I339" i="108"/>
  <c r="D339" i="108"/>
  <c r="M337" i="108"/>
  <c r="I337" i="108"/>
  <c r="D337" i="108"/>
  <c r="L336" i="108"/>
  <c r="K336" i="108"/>
  <c r="J336" i="108"/>
  <c r="H336" i="108"/>
  <c r="G336" i="108"/>
  <c r="F336" i="108"/>
  <c r="I336" i="108" s="1"/>
  <c r="E336" i="108"/>
  <c r="M335" i="108"/>
  <c r="I335" i="108"/>
  <c r="D335" i="108"/>
  <c r="M334" i="108"/>
  <c r="I334" i="108"/>
  <c r="D334" i="108"/>
  <c r="M333" i="108"/>
  <c r="I333" i="108"/>
  <c r="D333" i="108"/>
  <c r="M332" i="108"/>
  <c r="I332" i="108"/>
  <c r="D332" i="108"/>
  <c r="M331" i="108"/>
  <c r="I331" i="108"/>
  <c r="D331" i="108"/>
  <c r="M330" i="108"/>
  <c r="I330" i="108"/>
  <c r="D330" i="108"/>
  <c r="L329" i="108"/>
  <c r="K329" i="108"/>
  <c r="J329" i="108"/>
  <c r="H329" i="108"/>
  <c r="G329" i="108"/>
  <c r="F329" i="108"/>
  <c r="I329" i="108" s="1"/>
  <c r="E329" i="108"/>
  <c r="M328" i="108"/>
  <c r="I328" i="108"/>
  <c r="D328" i="108"/>
  <c r="M327" i="108"/>
  <c r="I327" i="108"/>
  <c r="D327" i="108"/>
  <c r="M326" i="108"/>
  <c r="I326" i="108"/>
  <c r="D326" i="108"/>
  <c r="M325" i="108"/>
  <c r="I325" i="108"/>
  <c r="D325" i="108"/>
  <c r="M324" i="108"/>
  <c r="I324" i="108"/>
  <c r="D324" i="108"/>
  <c r="M323" i="108"/>
  <c r="I323" i="108"/>
  <c r="D323" i="108"/>
  <c r="I322" i="108"/>
  <c r="D322" i="108"/>
  <c r="M320" i="108"/>
  <c r="I320" i="108"/>
  <c r="D320" i="108"/>
  <c r="M319" i="108"/>
  <c r="I319" i="108"/>
  <c r="D319" i="108"/>
  <c r="M318" i="108"/>
  <c r="I318" i="108"/>
  <c r="D318" i="108"/>
  <c r="M317" i="108"/>
  <c r="I317" i="108"/>
  <c r="D317" i="108"/>
  <c r="M316" i="108"/>
  <c r="I316" i="108"/>
  <c r="D316" i="108"/>
  <c r="M315" i="108"/>
  <c r="I315" i="108"/>
  <c r="D315" i="108"/>
  <c r="M314" i="108"/>
  <c r="I314" i="108"/>
  <c r="D314" i="108"/>
  <c r="M313" i="108"/>
  <c r="I313" i="108"/>
  <c r="D313" i="108"/>
  <c r="L312" i="108"/>
  <c r="K312" i="108"/>
  <c r="J312" i="108"/>
  <c r="H312" i="108"/>
  <c r="G312" i="108"/>
  <c r="F312" i="108"/>
  <c r="I312" i="108" s="1"/>
  <c r="E312" i="108"/>
  <c r="M311" i="108"/>
  <c r="I311" i="108"/>
  <c r="D311" i="108"/>
  <c r="L310" i="108"/>
  <c r="K310" i="108"/>
  <c r="K321" i="108" s="1"/>
  <c r="K338" i="108" s="1"/>
  <c r="K341" i="108" s="1"/>
  <c r="J310" i="108"/>
  <c r="J321" i="108" s="1"/>
  <c r="J338" i="108" s="1"/>
  <c r="J341" i="108" s="1"/>
  <c r="H310" i="108"/>
  <c r="H321" i="108" s="1"/>
  <c r="H338" i="108" s="1"/>
  <c r="H341" i="108" s="1"/>
  <c r="G310" i="108"/>
  <c r="G321" i="108" s="1"/>
  <c r="G338" i="108" s="1"/>
  <c r="G341" i="108" s="1"/>
  <c r="F310" i="108"/>
  <c r="E310" i="108"/>
  <c r="E321" i="108" s="1"/>
  <c r="M309" i="108"/>
  <c r="I309" i="108"/>
  <c r="D309" i="108"/>
  <c r="M308" i="108"/>
  <c r="I308" i="108"/>
  <c r="D308" i="108"/>
  <c r="M307" i="108"/>
  <c r="I307" i="108"/>
  <c r="D307" i="108"/>
  <c r="M306" i="108"/>
  <c r="I306" i="108"/>
  <c r="D306" i="108"/>
  <c r="M305" i="108"/>
  <c r="I305" i="108"/>
  <c r="D305" i="108"/>
  <c r="M304" i="108"/>
  <c r="I304" i="108"/>
  <c r="D304" i="108"/>
  <c r="M290" i="108"/>
  <c r="I290" i="108"/>
  <c r="D290" i="108"/>
  <c r="M289" i="108"/>
  <c r="I289" i="108"/>
  <c r="D289" i="108"/>
  <c r="M287" i="108"/>
  <c r="I287" i="108"/>
  <c r="D287" i="108"/>
  <c r="L286" i="108"/>
  <c r="K286" i="108"/>
  <c r="J286" i="108"/>
  <c r="H286" i="108"/>
  <c r="G286" i="108"/>
  <c r="F286" i="108"/>
  <c r="I286" i="108" s="1"/>
  <c r="E286" i="108"/>
  <c r="M285" i="108"/>
  <c r="I285" i="108"/>
  <c r="D285" i="108"/>
  <c r="M284" i="108"/>
  <c r="I284" i="108"/>
  <c r="D284" i="108"/>
  <c r="M283" i="108"/>
  <c r="I283" i="108"/>
  <c r="D283" i="108"/>
  <c r="M282" i="108"/>
  <c r="I282" i="108"/>
  <c r="D282" i="108"/>
  <c r="M281" i="108"/>
  <c r="I281" i="108"/>
  <c r="D281" i="108"/>
  <c r="M280" i="108"/>
  <c r="I280" i="108"/>
  <c r="D280" i="108"/>
  <c r="L279" i="108"/>
  <c r="K279" i="108"/>
  <c r="J279" i="108"/>
  <c r="H279" i="108"/>
  <c r="G279" i="108"/>
  <c r="F279" i="108"/>
  <c r="I279" i="108" s="1"/>
  <c r="E279" i="108"/>
  <c r="M278" i="108"/>
  <c r="I278" i="108"/>
  <c r="D278" i="108"/>
  <c r="M277" i="108"/>
  <c r="I277" i="108"/>
  <c r="D277" i="108"/>
  <c r="M276" i="108"/>
  <c r="I276" i="108"/>
  <c r="D276" i="108"/>
  <c r="M275" i="108"/>
  <c r="I275" i="108"/>
  <c r="D275" i="108"/>
  <c r="M274" i="108"/>
  <c r="I274" i="108"/>
  <c r="D274" i="108"/>
  <c r="M273" i="108"/>
  <c r="I273" i="108"/>
  <c r="D273" i="108"/>
  <c r="I272" i="108"/>
  <c r="D272" i="108"/>
  <c r="M270" i="108"/>
  <c r="I270" i="108"/>
  <c r="D270" i="108"/>
  <c r="M269" i="108"/>
  <c r="I269" i="108"/>
  <c r="D269" i="108"/>
  <c r="M268" i="108"/>
  <c r="I268" i="108"/>
  <c r="D268" i="108"/>
  <c r="M267" i="108"/>
  <c r="I267" i="108"/>
  <c r="D267" i="108"/>
  <c r="M266" i="108"/>
  <c r="I266" i="108"/>
  <c r="D266" i="108"/>
  <c r="M265" i="108"/>
  <c r="I265" i="108"/>
  <c r="D265" i="108"/>
  <c r="M264" i="108"/>
  <c r="I264" i="108"/>
  <c r="D264" i="108"/>
  <c r="M263" i="108"/>
  <c r="I263" i="108"/>
  <c r="D263" i="108"/>
  <c r="L262" i="108"/>
  <c r="K262" i="108"/>
  <c r="J262" i="108"/>
  <c r="H262" i="108"/>
  <c r="G262" i="108"/>
  <c r="F262" i="108"/>
  <c r="I262" i="108" s="1"/>
  <c r="E262" i="108"/>
  <c r="M261" i="108"/>
  <c r="I261" i="108"/>
  <c r="D261" i="108"/>
  <c r="L260" i="108"/>
  <c r="K260" i="108"/>
  <c r="K271" i="108" s="1"/>
  <c r="K288" i="108" s="1"/>
  <c r="K291" i="108" s="1"/>
  <c r="J260" i="108"/>
  <c r="J271" i="108" s="1"/>
  <c r="J288" i="108" s="1"/>
  <c r="J291" i="108" s="1"/>
  <c r="H260" i="108"/>
  <c r="H271" i="108" s="1"/>
  <c r="H288" i="108" s="1"/>
  <c r="H291" i="108" s="1"/>
  <c r="G260" i="108"/>
  <c r="G271" i="108" s="1"/>
  <c r="G288" i="108" s="1"/>
  <c r="G291" i="108" s="1"/>
  <c r="F260" i="108"/>
  <c r="E260" i="108"/>
  <c r="E271" i="108" s="1"/>
  <c r="M259" i="108"/>
  <c r="I259" i="108"/>
  <c r="D259" i="108"/>
  <c r="M258" i="108"/>
  <c r="I258" i="108"/>
  <c r="D258" i="108"/>
  <c r="M257" i="108"/>
  <c r="I257" i="108"/>
  <c r="D257" i="108"/>
  <c r="M256" i="108"/>
  <c r="I256" i="108"/>
  <c r="D256" i="108"/>
  <c r="M255" i="108"/>
  <c r="I255" i="108"/>
  <c r="D255" i="108"/>
  <c r="M254" i="108"/>
  <c r="I254" i="108"/>
  <c r="D254" i="108"/>
  <c r="AB243" i="108"/>
  <c r="AK242" i="108"/>
  <c r="AJ242" i="108"/>
  <c r="AI242" i="108"/>
  <c r="AG242" i="108"/>
  <c r="AF242" i="108"/>
  <c r="AE242" i="108"/>
  <c r="AD242" i="108"/>
  <c r="AB242" i="108"/>
  <c r="M242" i="108"/>
  <c r="AL242" i="108" s="1"/>
  <c r="I242" i="108"/>
  <c r="AH242" i="108" s="1"/>
  <c r="D242" i="108"/>
  <c r="AC242" i="108" s="1"/>
  <c r="AK241" i="108"/>
  <c r="AJ241" i="108"/>
  <c r="AI241" i="108"/>
  <c r="AG241" i="108"/>
  <c r="AF241" i="108"/>
  <c r="AE241" i="108"/>
  <c r="AD241" i="108"/>
  <c r="AB241" i="108"/>
  <c r="M241" i="108"/>
  <c r="AL241" i="108" s="1"/>
  <c r="I241" i="108"/>
  <c r="AH241" i="108" s="1"/>
  <c r="D241" i="108"/>
  <c r="AC241" i="108" s="1"/>
  <c r="AB240" i="108"/>
  <c r="AK239" i="108"/>
  <c r="AJ239" i="108"/>
  <c r="AI239" i="108"/>
  <c r="AG239" i="108"/>
  <c r="AF239" i="108"/>
  <c r="AE239" i="108"/>
  <c r="AD239" i="108"/>
  <c r="AB239" i="108"/>
  <c r="M239" i="108"/>
  <c r="AL239" i="108" s="1"/>
  <c r="I239" i="108"/>
  <c r="AH239" i="108" s="1"/>
  <c r="D239" i="108"/>
  <c r="AC239" i="108" s="1"/>
  <c r="AB238" i="108"/>
  <c r="L238" i="108"/>
  <c r="K238" i="108"/>
  <c r="AJ238" i="108" s="1"/>
  <c r="J238" i="108"/>
  <c r="AI238" i="108" s="1"/>
  <c r="H238" i="108"/>
  <c r="AG238" i="108" s="1"/>
  <c r="G238" i="108"/>
  <c r="AF238" i="108" s="1"/>
  <c r="F238" i="108"/>
  <c r="E238" i="108"/>
  <c r="AD238" i="108" s="1"/>
  <c r="AK237" i="108"/>
  <c r="AJ237" i="108"/>
  <c r="AI237" i="108"/>
  <c r="AG237" i="108"/>
  <c r="AF237" i="108"/>
  <c r="AE237" i="108"/>
  <c r="AD237" i="108"/>
  <c r="AB237" i="108"/>
  <c r="M237" i="108"/>
  <c r="AL237" i="108" s="1"/>
  <c r="I237" i="108"/>
  <c r="AH237" i="108" s="1"/>
  <c r="D237" i="108"/>
  <c r="AC237" i="108" s="1"/>
  <c r="AK236" i="108"/>
  <c r="AJ236" i="108"/>
  <c r="AI236" i="108"/>
  <c r="AG236" i="108"/>
  <c r="AF236" i="108"/>
  <c r="AE236" i="108"/>
  <c r="AD236" i="108"/>
  <c r="AB236" i="108"/>
  <c r="M236" i="108"/>
  <c r="AL236" i="108" s="1"/>
  <c r="I236" i="108"/>
  <c r="AH236" i="108" s="1"/>
  <c r="D236" i="108"/>
  <c r="AC236" i="108" s="1"/>
  <c r="AK235" i="108"/>
  <c r="AJ235" i="108"/>
  <c r="AI235" i="108"/>
  <c r="AG235" i="108"/>
  <c r="AF235" i="108"/>
  <c r="AE235" i="108"/>
  <c r="AD235" i="108"/>
  <c r="AB235" i="108"/>
  <c r="M235" i="108"/>
  <c r="AL235" i="108" s="1"/>
  <c r="I235" i="108"/>
  <c r="AH235" i="108" s="1"/>
  <c r="D235" i="108"/>
  <c r="AC235" i="108" s="1"/>
  <c r="AK234" i="108"/>
  <c r="AJ234" i="108"/>
  <c r="AI234" i="108"/>
  <c r="AG234" i="108"/>
  <c r="AF234" i="108"/>
  <c r="AE234" i="108"/>
  <c r="AD234" i="108"/>
  <c r="AB234" i="108"/>
  <c r="M234" i="108"/>
  <c r="AL234" i="108" s="1"/>
  <c r="I234" i="108"/>
  <c r="AH234" i="108" s="1"/>
  <c r="D234" i="108"/>
  <c r="AC234" i="108" s="1"/>
  <c r="AK233" i="108"/>
  <c r="AJ233" i="108"/>
  <c r="AI233" i="108"/>
  <c r="AG233" i="108"/>
  <c r="AF233" i="108"/>
  <c r="AE233" i="108"/>
  <c r="AD233" i="108"/>
  <c r="AB233" i="108"/>
  <c r="M233" i="108"/>
  <c r="AL233" i="108" s="1"/>
  <c r="I233" i="108"/>
  <c r="AH233" i="108" s="1"/>
  <c r="D233" i="108"/>
  <c r="AC233" i="108" s="1"/>
  <c r="AK232" i="108"/>
  <c r="AJ232" i="108"/>
  <c r="AI232" i="108"/>
  <c r="AG232" i="108"/>
  <c r="AF232" i="108"/>
  <c r="AE232" i="108"/>
  <c r="AD232" i="108"/>
  <c r="AB232" i="108"/>
  <c r="M232" i="108"/>
  <c r="AL232" i="108" s="1"/>
  <c r="I232" i="108"/>
  <c r="AH232" i="108" s="1"/>
  <c r="D232" i="108"/>
  <c r="AC232" i="108" s="1"/>
  <c r="AB231" i="108"/>
  <c r="L231" i="108"/>
  <c r="K231" i="108"/>
  <c r="AJ231" i="108" s="1"/>
  <c r="J231" i="108"/>
  <c r="AI231" i="108" s="1"/>
  <c r="H231" i="108"/>
  <c r="AG231" i="108" s="1"/>
  <c r="G231" i="108"/>
  <c r="AF231" i="108" s="1"/>
  <c r="F231" i="108"/>
  <c r="E231" i="108"/>
  <c r="AD231" i="108" s="1"/>
  <c r="AK230" i="108"/>
  <c r="AJ230" i="108"/>
  <c r="AI230" i="108"/>
  <c r="AG230" i="108"/>
  <c r="AF230" i="108"/>
  <c r="AE230" i="108"/>
  <c r="AD230" i="108"/>
  <c r="AB230" i="108"/>
  <c r="M230" i="108"/>
  <c r="AL230" i="108" s="1"/>
  <c r="I230" i="108"/>
  <c r="AH230" i="108" s="1"/>
  <c r="D230" i="108"/>
  <c r="AC230" i="108" s="1"/>
  <c r="AK229" i="108"/>
  <c r="AJ229" i="108"/>
  <c r="AI229" i="108"/>
  <c r="AG229" i="108"/>
  <c r="AF229" i="108"/>
  <c r="AE229" i="108"/>
  <c r="AD229" i="108"/>
  <c r="AB229" i="108"/>
  <c r="M229" i="108"/>
  <c r="AL229" i="108" s="1"/>
  <c r="I229" i="108"/>
  <c r="AH229" i="108" s="1"/>
  <c r="D229" i="108"/>
  <c r="AC229" i="108" s="1"/>
  <c r="AK228" i="108"/>
  <c r="AJ228" i="108"/>
  <c r="AI228" i="108"/>
  <c r="AG228" i="108"/>
  <c r="AF228" i="108"/>
  <c r="AE228" i="108"/>
  <c r="AD228" i="108"/>
  <c r="AB228" i="108"/>
  <c r="M228" i="108"/>
  <c r="AL228" i="108" s="1"/>
  <c r="I228" i="108"/>
  <c r="AH228" i="108" s="1"/>
  <c r="D228" i="108"/>
  <c r="AC228" i="108" s="1"/>
  <c r="AK227" i="108"/>
  <c r="AJ227" i="108"/>
  <c r="AI227" i="108"/>
  <c r="AG227" i="108"/>
  <c r="AF227" i="108"/>
  <c r="AE227" i="108"/>
  <c r="AD227" i="108"/>
  <c r="AB227" i="108"/>
  <c r="M227" i="108"/>
  <c r="AL227" i="108" s="1"/>
  <c r="I227" i="108"/>
  <c r="AH227" i="108" s="1"/>
  <c r="D227" i="108"/>
  <c r="AC227" i="108" s="1"/>
  <c r="AK226" i="108"/>
  <c r="AJ226" i="108"/>
  <c r="AI226" i="108"/>
  <c r="AG226" i="108"/>
  <c r="AF226" i="108"/>
  <c r="AE226" i="108"/>
  <c r="AD226" i="108"/>
  <c r="AB226" i="108"/>
  <c r="M226" i="108"/>
  <c r="AL226" i="108" s="1"/>
  <c r="I226" i="108"/>
  <c r="AH226" i="108" s="1"/>
  <c r="D226" i="108"/>
  <c r="AC226" i="108" s="1"/>
  <c r="AK225" i="108"/>
  <c r="AJ225" i="108"/>
  <c r="AI225" i="108"/>
  <c r="AG225" i="108"/>
  <c r="AF225" i="108"/>
  <c r="AE225" i="108"/>
  <c r="AD225" i="108"/>
  <c r="AB225" i="108"/>
  <c r="M225" i="108"/>
  <c r="AL225" i="108" s="1"/>
  <c r="I225" i="108"/>
  <c r="AH225" i="108" s="1"/>
  <c r="D225" i="108"/>
  <c r="AC225" i="108" s="1"/>
  <c r="AL224" i="108"/>
  <c r="AK224" i="108"/>
  <c r="AJ224" i="108"/>
  <c r="AI224" i="108"/>
  <c r="AG224" i="108"/>
  <c r="AF224" i="108"/>
  <c r="AE224" i="108"/>
  <c r="AD224" i="108"/>
  <c r="AB224" i="108"/>
  <c r="I224" i="108"/>
  <c r="AH224" i="108" s="1"/>
  <c r="D224" i="108"/>
  <c r="AC224" i="108" s="1"/>
  <c r="AB223" i="108"/>
  <c r="AK222" i="108"/>
  <c r="AJ222" i="108"/>
  <c r="AI222" i="108"/>
  <c r="AG222" i="108"/>
  <c r="AF222" i="108"/>
  <c r="AE222" i="108"/>
  <c r="AD222" i="108"/>
  <c r="AB222" i="108"/>
  <c r="M222" i="108"/>
  <c r="AL222" i="108" s="1"/>
  <c r="I222" i="108"/>
  <c r="AH222" i="108" s="1"/>
  <c r="D222" i="108"/>
  <c r="AC222" i="108" s="1"/>
  <c r="AK221" i="108"/>
  <c r="AJ221" i="108"/>
  <c r="AI221" i="108"/>
  <c r="AG221" i="108"/>
  <c r="AF221" i="108"/>
  <c r="AE221" i="108"/>
  <c r="AD221" i="108"/>
  <c r="AB221" i="108"/>
  <c r="M221" i="108"/>
  <c r="AL221" i="108" s="1"/>
  <c r="I221" i="108"/>
  <c r="AH221" i="108" s="1"/>
  <c r="D221" i="108"/>
  <c r="AC221" i="108" s="1"/>
  <c r="AK220" i="108"/>
  <c r="AJ220" i="108"/>
  <c r="AI220" i="108"/>
  <c r="AG220" i="108"/>
  <c r="AF220" i="108"/>
  <c r="AE220" i="108"/>
  <c r="AD220" i="108"/>
  <c r="AB220" i="108"/>
  <c r="M220" i="108"/>
  <c r="AL220" i="108" s="1"/>
  <c r="I220" i="108"/>
  <c r="AH220" i="108" s="1"/>
  <c r="D220" i="108"/>
  <c r="AC220" i="108" s="1"/>
  <c r="M219" i="108"/>
  <c r="I219" i="108"/>
  <c r="D219" i="108"/>
  <c r="M218" i="108"/>
  <c r="I218" i="108"/>
  <c r="D218" i="108"/>
  <c r="AB217" i="108"/>
  <c r="L217" i="108"/>
  <c r="K217" i="108"/>
  <c r="AJ217" i="108" s="1"/>
  <c r="J217" i="108"/>
  <c r="AI217" i="108" s="1"/>
  <c r="I217" i="108"/>
  <c r="AH217" i="108" s="1"/>
  <c r="H217" i="108"/>
  <c r="AG217" i="108" s="1"/>
  <c r="G217" i="108"/>
  <c r="AF217" i="108" s="1"/>
  <c r="F217" i="108"/>
  <c r="AE217" i="108" s="1"/>
  <c r="E217" i="108"/>
  <c r="AD217" i="108" s="1"/>
  <c r="AK216" i="108"/>
  <c r="AJ216" i="108"/>
  <c r="AI216" i="108"/>
  <c r="AG216" i="108"/>
  <c r="AF216" i="108"/>
  <c r="AE216" i="108"/>
  <c r="AD216" i="108"/>
  <c r="AB216" i="108"/>
  <c r="M216" i="108"/>
  <c r="AL216" i="108" s="1"/>
  <c r="I216" i="108"/>
  <c r="AH216" i="108" s="1"/>
  <c r="D216" i="108"/>
  <c r="AC216" i="108" s="1"/>
  <c r="AK215" i="108"/>
  <c r="AJ215" i="108"/>
  <c r="AI215" i="108"/>
  <c r="AG215" i="108"/>
  <c r="AF215" i="108"/>
  <c r="AE215" i="108"/>
  <c r="AD215" i="108"/>
  <c r="AB215" i="108"/>
  <c r="M215" i="108"/>
  <c r="AL215" i="108" s="1"/>
  <c r="I215" i="108"/>
  <c r="AH215" i="108" s="1"/>
  <c r="D215" i="108"/>
  <c r="AC215" i="108" s="1"/>
  <c r="AK214" i="108"/>
  <c r="AJ214" i="108"/>
  <c r="AI214" i="108"/>
  <c r="AG214" i="108"/>
  <c r="AF214" i="108"/>
  <c r="AE214" i="108"/>
  <c r="AD214" i="108"/>
  <c r="AB214" i="108"/>
  <c r="M214" i="108"/>
  <c r="AL214" i="108" s="1"/>
  <c r="I214" i="108"/>
  <c r="AH214" i="108" s="1"/>
  <c r="D214" i="108"/>
  <c r="AC214" i="108" s="1"/>
  <c r="AK213" i="108"/>
  <c r="AJ213" i="108"/>
  <c r="AI213" i="108"/>
  <c r="AG213" i="108"/>
  <c r="AF213" i="108"/>
  <c r="AE213" i="108"/>
  <c r="AD213" i="108"/>
  <c r="AB213" i="108"/>
  <c r="M213" i="108"/>
  <c r="AL213" i="108" s="1"/>
  <c r="I213" i="108"/>
  <c r="AH213" i="108" s="1"/>
  <c r="D213" i="108"/>
  <c r="AC213" i="108" s="1"/>
  <c r="AB212" i="108"/>
  <c r="L212" i="108"/>
  <c r="K212" i="108"/>
  <c r="AJ212" i="108" s="1"/>
  <c r="J212" i="108"/>
  <c r="AI212" i="108" s="1"/>
  <c r="I212" i="108"/>
  <c r="AH212" i="108" s="1"/>
  <c r="H212" i="108"/>
  <c r="AG212" i="108" s="1"/>
  <c r="G212" i="108"/>
  <c r="AF212" i="108" s="1"/>
  <c r="F212" i="108"/>
  <c r="AE212" i="108" s="1"/>
  <c r="E212" i="108"/>
  <c r="AD212" i="108" s="1"/>
  <c r="AK211" i="108"/>
  <c r="AJ211" i="108"/>
  <c r="AI211" i="108"/>
  <c r="AG211" i="108"/>
  <c r="AF211" i="108"/>
  <c r="AE211" i="108"/>
  <c r="AD211" i="108"/>
  <c r="AB211" i="108"/>
  <c r="M211" i="108"/>
  <c r="AL211" i="108" s="1"/>
  <c r="I211" i="108"/>
  <c r="AH211" i="108" s="1"/>
  <c r="D211" i="108"/>
  <c r="AC211" i="108" s="1"/>
  <c r="AB210" i="108"/>
  <c r="L210" i="108"/>
  <c r="K210" i="108"/>
  <c r="J210" i="108"/>
  <c r="H210" i="108"/>
  <c r="G210" i="108"/>
  <c r="F210" i="108"/>
  <c r="E210" i="108"/>
  <c r="AK209" i="108"/>
  <c r="AJ209" i="108"/>
  <c r="AI209" i="108"/>
  <c r="AG209" i="108"/>
  <c r="AF209" i="108"/>
  <c r="AE209" i="108"/>
  <c r="AD209" i="108"/>
  <c r="AB209" i="108"/>
  <c r="M209" i="108"/>
  <c r="AL209" i="108" s="1"/>
  <c r="I209" i="108"/>
  <c r="AH209" i="108" s="1"/>
  <c r="D209" i="108"/>
  <c r="AC209" i="108" s="1"/>
  <c r="AK208" i="108"/>
  <c r="AJ208" i="108"/>
  <c r="AI208" i="108"/>
  <c r="AG208" i="108"/>
  <c r="AF208" i="108"/>
  <c r="AE208" i="108"/>
  <c r="AD208" i="108"/>
  <c r="AB208" i="108"/>
  <c r="M208" i="108"/>
  <c r="AL208" i="108" s="1"/>
  <c r="I208" i="108"/>
  <c r="AH208" i="108" s="1"/>
  <c r="D208" i="108"/>
  <c r="AC208" i="108" s="1"/>
  <c r="AK207" i="108"/>
  <c r="AJ207" i="108"/>
  <c r="AI207" i="108"/>
  <c r="AG207" i="108"/>
  <c r="AF207" i="108"/>
  <c r="AE207" i="108"/>
  <c r="AD207" i="108"/>
  <c r="AB207" i="108"/>
  <c r="M207" i="108"/>
  <c r="AL207" i="108" s="1"/>
  <c r="I207" i="108"/>
  <c r="AH207" i="108" s="1"/>
  <c r="D207" i="108"/>
  <c r="AC207" i="108" s="1"/>
  <c r="AK206" i="108"/>
  <c r="AJ206" i="108"/>
  <c r="AI206" i="108"/>
  <c r="AG206" i="108"/>
  <c r="AF206" i="108"/>
  <c r="AE206" i="108"/>
  <c r="AD206" i="108"/>
  <c r="AB206" i="108"/>
  <c r="M206" i="108"/>
  <c r="AL206" i="108" s="1"/>
  <c r="I206" i="108"/>
  <c r="AH206" i="108" s="1"/>
  <c r="D206" i="108"/>
  <c r="AC206" i="108" s="1"/>
  <c r="AK205" i="108"/>
  <c r="AJ205" i="108"/>
  <c r="AI205" i="108"/>
  <c r="AG205" i="108"/>
  <c r="AF205" i="108"/>
  <c r="AE205" i="108"/>
  <c r="AD205" i="108"/>
  <c r="AB205" i="108"/>
  <c r="M205" i="108"/>
  <c r="AL205" i="108" s="1"/>
  <c r="I205" i="108"/>
  <c r="AH205" i="108" s="1"/>
  <c r="D205" i="108"/>
  <c r="AC205" i="108" s="1"/>
  <c r="AK204" i="108"/>
  <c r="AJ204" i="108"/>
  <c r="AI204" i="108"/>
  <c r="AG204" i="108"/>
  <c r="AF204" i="108"/>
  <c r="AE204" i="108"/>
  <c r="AD204" i="108"/>
  <c r="AB204" i="108"/>
  <c r="M204" i="108"/>
  <c r="AL204" i="108" s="1"/>
  <c r="I204" i="108"/>
  <c r="AH204" i="108" s="1"/>
  <c r="D204" i="108"/>
  <c r="AC204" i="108" s="1"/>
  <c r="M192" i="108"/>
  <c r="I192" i="108"/>
  <c r="D192" i="108"/>
  <c r="M191" i="108"/>
  <c r="I191" i="108"/>
  <c r="D191" i="108"/>
  <c r="M189" i="108"/>
  <c r="I189" i="108"/>
  <c r="D189" i="108"/>
  <c r="L188" i="108"/>
  <c r="K188" i="108"/>
  <c r="J188" i="108"/>
  <c r="H188" i="108"/>
  <c r="G188" i="108"/>
  <c r="F188" i="108"/>
  <c r="I188" i="108" s="1"/>
  <c r="E188" i="108"/>
  <c r="M187" i="108"/>
  <c r="I187" i="108"/>
  <c r="D187" i="108"/>
  <c r="M186" i="108"/>
  <c r="I186" i="108"/>
  <c r="D186" i="108"/>
  <c r="M185" i="108"/>
  <c r="I185" i="108"/>
  <c r="D185" i="108"/>
  <c r="M184" i="108"/>
  <c r="I184" i="108"/>
  <c r="D184" i="108"/>
  <c r="M183" i="108"/>
  <c r="I183" i="108"/>
  <c r="D183" i="108"/>
  <c r="M182" i="108"/>
  <c r="I182" i="108"/>
  <c r="D182" i="108"/>
  <c r="L181" i="108"/>
  <c r="K181" i="108"/>
  <c r="J181" i="108"/>
  <c r="H181" i="108"/>
  <c r="G181" i="108"/>
  <c r="F181" i="108"/>
  <c r="I181" i="108" s="1"/>
  <c r="E181" i="108"/>
  <c r="M180" i="108"/>
  <c r="I180" i="108"/>
  <c r="D180" i="108"/>
  <c r="M179" i="108"/>
  <c r="I179" i="108"/>
  <c r="D179" i="108"/>
  <c r="M178" i="108"/>
  <c r="I178" i="108"/>
  <c r="D178" i="108"/>
  <c r="M177" i="108"/>
  <c r="I177" i="108"/>
  <c r="D177" i="108"/>
  <c r="M176" i="108"/>
  <c r="I176" i="108"/>
  <c r="D176" i="108"/>
  <c r="M175" i="108"/>
  <c r="I175" i="108"/>
  <c r="D175" i="108"/>
  <c r="I174" i="108"/>
  <c r="D174" i="108"/>
  <c r="M172" i="108"/>
  <c r="I172" i="108"/>
  <c r="D172" i="108"/>
  <c r="M171" i="108"/>
  <c r="I171" i="108"/>
  <c r="D171" i="108"/>
  <c r="M170" i="108"/>
  <c r="I170" i="108"/>
  <c r="D170" i="108"/>
  <c r="M169" i="108"/>
  <c r="I169" i="108"/>
  <c r="D169" i="108"/>
  <c r="M168" i="108"/>
  <c r="I168" i="108"/>
  <c r="D168" i="108"/>
  <c r="M167" i="108"/>
  <c r="I167" i="108"/>
  <c r="D167" i="108"/>
  <c r="M166" i="108"/>
  <c r="I166" i="108"/>
  <c r="D166" i="108"/>
  <c r="M165" i="108"/>
  <c r="I165" i="108"/>
  <c r="D165" i="108"/>
  <c r="L164" i="108"/>
  <c r="K164" i="108"/>
  <c r="J164" i="108"/>
  <c r="H164" i="108"/>
  <c r="G164" i="108"/>
  <c r="F164" i="108"/>
  <c r="I164" i="108" s="1"/>
  <c r="E164" i="108"/>
  <c r="M163" i="108"/>
  <c r="I163" i="108"/>
  <c r="D163" i="108"/>
  <c r="L162" i="108"/>
  <c r="K162" i="108"/>
  <c r="K173" i="108" s="1"/>
  <c r="K190" i="108" s="1"/>
  <c r="K193" i="108" s="1"/>
  <c r="J162" i="108"/>
  <c r="J173" i="108" s="1"/>
  <c r="J190" i="108" s="1"/>
  <c r="J193" i="108" s="1"/>
  <c r="H162" i="108"/>
  <c r="H173" i="108" s="1"/>
  <c r="H190" i="108" s="1"/>
  <c r="H193" i="108" s="1"/>
  <c r="G162" i="108"/>
  <c r="G173" i="108" s="1"/>
  <c r="G190" i="108" s="1"/>
  <c r="G193" i="108" s="1"/>
  <c r="F162" i="108"/>
  <c r="E162" i="108"/>
  <c r="E173" i="108" s="1"/>
  <c r="M161" i="108"/>
  <c r="I161" i="108"/>
  <c r="D161" i="108"/>
  <c r="M160" i="108"/>
  <c r="I160" i="108"/>
  <c r="D160" i="108"/>
  <c r="M159" i="108"/>
  <c r="I159" i="108"/>
  <c r="D159" i="108"/>
  <c r="M158" i="108"/>
  <c r="I158" i="108"/>
  <c r="D158" i="108"/>
  <c r="M157" i="108"/>
  <c r="I157" i="108"/>
  <c r="D157" i="108"/>
  <c r="M156" i="108"/>
  <c r="I156" i="108"/>
  <c r="D156" i="108"/>
  <c r="M143" i="108"/>
  <c r="I143" i="108"/>
  <c r="D143" i="108"/>
  <c r="M142" i="108"/>
  <c r="I142" i="108"/>
  <c r="D142" i="108"/>
  <c r="M140" i="108"/>
  <c r="I140" i="108"/>
  <c r="D140" i="108"/>
  <c r="L139" i="108"/>
  <c r="K139" i="108"/>
  <c r="J139" i="108"/>
  <c r="H139" i="108"/>
  <c r="G139" i="108"/>
  <c r="F139" i="108"/>
  <c r="I139" i="108" s="1"/>
  <c r="E139" i="108"/>
  <c r="M138" i="108"/>
  <c r="I138" i="108"/>
  <c r="D138" i="108"/>
  <c r="M137" i="108"/>
  <c r="I137" i="108"/>
  <c r="D137" i="108"/>
  <c r="M136" i="108"/>
  <c r="I136" i="108"/>
  <c r="D136" i="108"/>
  <c r="M135" i="108"/>
  <c r="I135" i="108"/>
  <c r="D135" i="108"/>
  <c r="M134" i="108"/>
  <c r="I134" i="108"/>
  <c r="D134" i="108"/>
  <c r="M133" i="108"/>
  <c r="I133" i="108"/>
  <c r="D133" i="108"/>
  <c r="L132" i="108"/>
  <c r="K132" i="108"/>
  <c r="J132" i="108"/>
  <c r="H132" i="108"/>
  <c r="G132" i="108"/>
  <c r="F132" i="108"/>
  <c r="I132" i="108" s="1"/>
  <c r="E132" i="108"/>
  <c r="M131" i="108"/>
  <c r="I131" i="108"/>
  <c r="D131" i="108"/>
  <c r="M130" i="108"/>
  <c r="I130" i="108"/>
  <c r="D130" i="108"/>
  <c r="M129" i="108"/>
  <c r="I129" i="108"/>
  <c r="D129" i="108"/>
  <c r="M128" i="108"/>
  <c r="I128" i="108"/>
  <c r="D128" i="108"/>
  <c r="M127" i="108"/>
  <c r="I127" i="108"/>
  <c r="D127" i="108"/>
  <c r="M126" i="108"/>
  <c r="I126" i="108"/>
  <c r="D126" i="108"/>
  <c r="I125" i="108"/>
  <c r="D125" i="108"/>
  <c r="M123" i="108"/>
  <c r="I123" i="108"/>
  <c r="D123" i="108"/>
  <c r="M122" i="108"/>
  <c r="I122" i="108"/>
  <c r="D122" i="108"/>
  <c r="M121" i="108"/>
  <c r="I121" i="108"/>
  <c r="D121" i="108"/>
  <c r="M120" i="108"/>
  <c r="I120" i="108"/>
  <c r="D120" i="108"/>
  <c r="M119" i="108"/>
  <c r="I119" i="108"/>
  <c r="D119" i="108"/>
  <c r="M118" i="108"/>
  <c r="I118" i="108"/>
  <c r="D118" i="108"/>
  <c r="M117" i="108"/>
  <c r="I117" i="108"/>
  <c r="D117" i="108"/>
  <c r="M116" i="108"/>
  <c r="I116" i="108"/>
  <c r="D116" i="108"/>
  <c r="L115" i="108"/>
  <c r="K115" i="108"/>
  <c r="J115" i="108"/>
  <c r="H115" i="108"/>
  <c r="G115" i="108"/>
  <c r="F115" i="108"/>
  <c r="I115" i="108" s="1"/>
  <c r="E115" i="108"/>
  <c r="M114" i="108"/>
  <c r="I114" i="108"/>
  <c r="D114" i="108"/>
  <c r="L113" i="108"/>
  <c r="K113" i="108"/>
  <c r="K124" i="108" s="1"/>
  <c r="K141" i="108" s="1"/>
  <c r="K144" i="108" s="1"/>
  <c r="J113" i="108"/>
  <c r="J124" i="108" s="1"/>
  <c r="J141" i="108" s="1"/>
  <c r="J144" i="108" s="1"/>
  <c r="H113" i="108"/>
  <c r="H124" i="108" s="1"/>
  <c r="H141" i="108" s="1"/>
  <c r="H144" i="108" s="1"/>
  <c r="G113" i="108"/>
  <c r="G124" i="108" s="1"/>
  <c r="G141" i="108" s="1"/>
  <c r="G144" i="108" s="1"/>
  <c r="F113" i="108"/>
  <c r="E113" i="108"/>
  <c r="E124" i="108" s="1"/>
  <c r="M112" i="108"/>
  <c r="I112" i="108"/>
  <c r="D112" i="108"/>
  <c r="M111" i="108"/>
  <c r="I111" i="108"/>
  <c r="D111" i="108"/>
  <c r="M110" i="108"/>
  <c r="I110" i="108"/>
  <c r="D110" i="108"/>
  <c r="M109" i="108"/>
  <c r="I109" i="108"/>
  <c r="D109" i="108"/>
  <c r="M108" i="108"/>
  <c r="I108" i="108"/>
  <c r="D108" i="108"/>
  <c r="M107" i="108"/>
  <c r="I107" i="108"/>
  <c r="D107" i="108"/>
  <c r="M95" i="108"/>
  <c r="I95" i="108"/>
  <c r="D95" i="108"/>
  <c r="M94" i="108"/>
  <c r="I94" i="108"/>
  <c r="D94" i="108"/>
  <c r="M92" i="108"/>
  <c r="I92" i="108"/>
  <c r="D92" i="108"/>
  <c r="L91" i="108"/>
  <c r="K91" i="108"/>
  <c r="J91" i="108"/>
  <c r="H91" i="108"/>
  <c r="G91" i="108"/>
  <c r="F91" i="108"/>
  <c r="I91" i="108" s="1"/>
  <c r="E91" i="108"/>
  <c r="M90" i="108"/>
  <c r="I90" i="108"/>
  <c r="D90" i="108"/>
  <c r="M89" i="108"/>
  <c r="I89" i="108"/>
  <c r="D89" i="108"/>
  <c r="M88" i="108"/>
  <c r="I88" i="108"/>
  <c r="D88" i="108"/>
  <c r="M87" i="108"/>
  <c r="I87" i="108"/>
  <c r="D87" i="108"/>
  <c r="M86" i="108"/>
  <c r="I86" i="108"/>
  <c r="D86" i="108"/>
  <c r="M85" i="108"/>
  <c r="I85" i="108"/>
  <c r="D85" i="108"/>
  <c r="L84" i="108"/>
  <c r="K84" i="108"/>
  <c r="J84" i="108"/>
  <c r="H84" i="108"/>
  <c r="G84" i="108"/>
  <c r="F84" i="108"/>
  <c r="I84" i="108" s="1"/>
  <c r="E84" i="108"/>
  <c r="M83" i="108"/>
  <c r="I83" i="108"/>
  <c r="D83" i="108"/>
  <c r="M82" i="108"/>
  <c r="I82" i="108"/>
  <c r="D82" i="108"/>
  <c r="M81" i="108"/>
  <c r="I81" i="108"/>
  <c r="D81" i="108"/>
  <c r="M80" i="108"/>
  <c r="I80" i="108"/>
  <c r="D80" i="108"/>
  <c r="M79" i="108"/>
  <c r="I79" i="108"/>
  <c r="D79" i="108"/>
  <c r="M78" i="108"/>
  <c r="I78" i="108"/>
  <c r="D78" i="108"/>
  <c r="I77" i="108"/>
  <c r="D77" i="108"/>
  <c r="M75" i="108"/>
  <c r="I75" i="108"/>
  <c r="D75" i="108"/>
  <c r="M74" i="108"/>
  <c r="I74" i="108"/>
  <c r="D74" i="108"/>
  <c r="M73" i="108"/>
  <c r="I73" i="108"/>
  <c r="D73" i="108"/>
  <c r="M72" i="108"/>
  <c r="I72" i="108"/>
  <c r="D72" i="108"/>
  <c r="M71" i="108"/>
  <c r="I71" i="108"/>
  <c r="D71" i="108"/>
  <c r="M70" i="108"/>
  <c r="I70" i="108"/>
  <c r="D70" i="108"/>
  <c r="M69" i="108"/>
  <c r="I69" i="108"/>
  <c r="D69" i="108"/>
  <c r="M68" i="108"/>
  <c r="I68" i="108"/>
  <c r="D68" i="108"/>
  <c r="L67" i="108"/>
  <c r="K67" i="108"/>
  <c r="J67" i="108"/>
  <c r="J20" i="108" s="1"/>
  <c r="H67" i="108"/>
  <c r="G67" i="108"/>
  <c r="F67" i="108"/>
  <c r="I67" i="108" s="1"/>
  <c r="E67" i="108"/>
  <c r="M66" i="108"/>
  <c r="I66" i="108"/>
  <c r="D66" i="108"/>
  <c r="L65" i="108"/>
  <c r="K65" i="108"/>
  <c r="K76" i="108" s="1"/>
  <c r="K93" i="108" s="1"/>
  <c r="K96" i="108" s="1"/>
  <c r="J65" i="108"/>
  <c r="J76" i="108" s="1"/>
  <c r="J93" i="108" s="1"/>
  <c r="J96" i="108" s="1"/>
  <c r="H65" i="108"/>
  <c r="H76" i="108" s="1"/>
  <c r="H93" i="108" s="1"/>
  <c r="H96" i="108" s="1"/>
  <c r="G65" i="108"/>
  <c r="G76" i="108" s="1"/>
  <c r="G93" i="108" s="1"/>
  <c r="G96" i="108" s="1"/>
  <c r="F65" i="108"/>
  <c r="E65" i="108"/>
  <c r="E76" i="108" s="1"/>
  <c r="M64" i="108"/>
  <c r="I64" i="108"/>
  <c r="D64" i="108"/>
  <c r="M63" i="108"/>
  <c r="I63" i="108"/>
  <c r="D63" i="108"/>
  <c r="M62" i="108"/>
  <c r="I62" i="108"/>
  <c r="D62" i="108"/>
  <c r="M61" i="108"/>
  <c r="I61" i="108"/>
  <c r="D61" i="108"/>
  <c r="M60" i="108"/>
  <c r="I60" i="108"/>
  <c r="D60" i="108"/>
  <c r="M59" i="108"/>
  <c r="I59" i="108"/>
  <c r="D59" i="108"/>
  <c r="M48" i="108"/>
  <c r="L48" i="108"/>
  <c r="K48" i="108"/>
  <c r="J48" i="108"/>
  <c r="I48" i="108"/>
  <c r="H48" i="108"/>
  <c r="G48" i="108"/>
  <c r="F48" i="108"/>
  <c r="E48" i="108"/>
  <c r="D48" i="108"/>
  <c r="M47" i="108"/>
  <c r="L47" i="108"/>
  <c r="K47" i="108"/>
  <c r="J47" i="108"/>
  <c r="I47" i="108"/>
  <c r="H47" i="108"/>
  <c r="G47" i="108"/>
  <c r="F47" i="108"/>
  <c r="E47" i="108"/>
  <c r="D47" i="108"/>
  <c r="M45" i="108"/>
  <c r="L45" i="108"/>
  <c r="K45" i="108"/>
  <c r="J45" i="108"/>
  <c r="I45" i="108"/>
  <c r="H45" i="108"/>
  <c r="G45" i="108"/>
  <c r="F45" i="108"/>
  <c r="E45" i="108"/>
  <c r="D45" i="108"/>
  <c r="L44" i="108"/>
  <c r="K44" i="108"/>
  <c r="J44" i="108"/>
  <c r="H44" i="108"/>
  <c r="G44" i="108"/>
  <c r="F44" i="108"/>
  <c r="E44" i="108"/>
  <c r="M43" i="108"/>
  <c r="L43" i="108"/>
  <c r="K43" i="108"/>
  <c r="J43" i="108"/>
  <c r="I43" i="108"/>
  <c r="H43" i="108"/>
  <c r="G43" i="108"/>
  <c r="F43" i="108"/>
  <c r="E43" i="108"/>
  <c r="D43" i="108"/>
  <c r="M42" i="108"/>
  <c r="L42" i="108"/>
  <c r="K42" i="108"/>
  <c r="J42" i="108"/>
  <c r="I42" i="108"/>
  <c r="H42" i="108"/>
  <c r="G42" i="108"/>
  <c r="F42" i="108"/>
  <c r="E42" i="108"/>
  <c r="D42" i="108"/>
  <c r="M41" i="108"/>
  <c r="L41" i="108"/>
  <c r="K41" i="108"/>
  <c r="J41" i="108"/>
  <c r="I41" i="108"/>
  <c r="H41" i="108"/>
  <c r="G41" i="108"/>
  <c r="F41" i="108"/>
  <c r="E41" i="108"/>
  <c r="D41" i="108"/>
  <c r="M40" i="108"/>
  <c r="L40" i="108"/>
  <c r="K40" i="108"/>
  <c r="J40" i="108"/>
  <c r="I40" i="108"/>
  <c r="H40" i="108"/>
  <c r="G40" i="108"/>
  <c r="F40" i="108"/>
  <c r="E40" i="108"/>
  <c r="D40" i="108"/>
  <c r="M39" i="108"/>
  <c r="L39" i="108"/>
  <c r="K39" i="108"/>
  <c r="J39" i="108"/>
  <c r="I39" i="108"/>
  <c r="H39" i="108"/>
  <c r="G39" i="108"/>
  <c r="F39" i="108"/>
  <c r="E39" i="108"/>
  <c r="D39" i="108"/>
  <c r="M38" i="108"/>
  <c r="L38" i="108"/>
  <c r="K38" i="108"/>
  <c r="J38" i="108"/>
  <c r="I38" i="108"/>
  <c r="H38" i="108"/>
  <c r="G38" i="108"/>
  <c r="F38" i="108"/>
  <c r="E38" i="108"/>
  <c r="D38" i="108"/>
  <c r="L37" i="108"/>
  <c r="K37" i="108"/>
  <c r="J37" i="108"/>
  <c r="H37" i="108"/>
  <c r="G37" i="108"/>
  <c r="F37" i="108"/>
  <c r="E37" i="108"/>
  <c r="M36" i="108"/>
  <c r="L36" i="108"/>
  <c r="K36" i="108"/>
  <c r="J36" i="108"/>
  <c r="I36" i="108"/>
  <c r="H36" i="108"/>
  <c r="G36" i="108"/>
  <c r="F36" i="108"/>
  <c r="E36" i="108"/>
  <c r="D36" i="108"/>
  <c r="M35" i="108"/>
  <c r="L35" i="108"/>
  <c r="K35" i="108"/>
  <c r="J35" i="108"/>
  <c r="I35" i="108"/>
  <c r="H35" i="108"/>
  <c r="G35" i="108"/>
  <c r="F35" i="108"/>
  <c r="E35" i="108"/>
  <c r="D35" i="108"/>
  <c r="M34" i="108"/>
  <c r="L34" i="108"/>
  <c r="K34" i="108"/>
  <c r="J34" i="108"/>
  <c r="I34" i="108"/>
  <c r="H34" i="108"/>
  <c r="G34" i="108"/>
  <c r="F34" i="108"/>
  <c r="E34" i="108"/>
  <c r="D34" i="108"/>
  <c r="M33" i="108"/>
  <c r="L33" i="108"/>
  <c r="K33" i="108"/>
  <c r="J33" i="108"/>
  <c r="I33" i="108"/>
  <c r="H33" i="108"/>
  <c r="G33" i="108"/>
  <c r="F33" i="108"/>
  <c r="E33" i="108"/>
  <c r="D33" i="108"/>
  <c r="M32" i="108"/>
  <c r="L32" i="108"/>
  <c r="K32" i="108"/>
  <c r="J32" i="108"/>
  <c r="I32" i="108"/>
  <c r="H32" i="108"/>
  <c r="G32" i="108"/>
  <c r="F32" i="108"/>
  <c r="E32" i="108"/>
  <c r="D32" i="108"/>
  <c r="M31" i="108"/>
  <c r="L31" i="108"/>
  <c r="K31" i="108"/>
  <c r="J31" i="108"/>
  <c r="I31" i="108"/>
  <c r="H31" i="108"/>
  <c r="G31" i="108"/>
  <c r="F31" i="108"/>
  <c r="E31" i="108"/>
  <c r="D31" i="108"/>
  <c r="M30" i="108"/>
  <c r="L30" i="108"/>
  <c r="K30" i="108"/>
  <c r="J30" i="108"/>
  <c r="I30" i="108"/>
  <c r="H30" i="108"/>
  <c r="G30" i="108"/>
  <c r="F30" i="108"/>
  <c r="E30" i="108"/>
  <c r="D30" i="108"/>
  <c r="M28" i="108"/>
  <c r="L28" i="108"/>
  <c r="K28" i="108"/>
  <c r="J28" i="108"/>
  <c r="I28" i="108"/>
  <c r="H28" i="108"/>
  <c r="G28" i="108"/>
  <c r="F28" i="108"/>
  <c r="E28" i="108"/>
  <c r="D28" i="108"/>
  <c r="M27" i="108"/>
  <c r="L27" i="108"/>
  <c r="K27" i="108"/>
  <c r="J27" i="108"/>
  <c r="I27" i="108"/>
  <c r="H27" i="108"/>
  <c r="G27" i="108"/>
  <c r="F27" i="108"/>
  <c r="E27" i="108"/>
  <c r="D27" i="108"/>
  <c r="M26" i="108"/>
  <c r="L26" i="108"/>
  <c r="K26" i="108"/>
  <c r="J26" i="108"/>
  <c r="I26" i="108"/>
  <c r="H26" i="108"/>
  <c r="G26" i="108"/>
  <c r="F26" i="108"/>
  <c r="E26" i="108"/>
  <c r="D26" i="108"/>
  <c r="L25" i="108"/>
  <c r="K25" i="108"/>
  <c r="J25" i="108"/>
  <c r="I25" i="108"/>
  <c r="H25" i="108"/>
  <c r="G25" i="108"/>
  <c r="F25" i="108"/>
  <c r="E25" i="108"/>
  <c r="M24" i="108"/>
  <c r="L24" i="108"/>
  <c r="K24" i="108"/>
  <c r="J24" i="108"/>
  <c r="I24" i="108"/>
  <c r="H24" i="108"/>
  <c r="G24" i="108"/>
  <c r="F24" i="108"/>
  <c r="E24" i="108"/>
  <c r="D24" i="108"/>
  <c r="M23" i="108"/>
  <c r="L23" i="108"/>
  <c r="K23" i="108"/>
  <c r="J23" i="108"/>
  <c r="I23" i="108"/>
  <c r="H23" i="108"/>
  <c r="G23" i="108"/>
  <c r="F23" i="108"/>
  <c r="E23" i="108"/>
  <c r="D23" i="108"/>
  <c r="M22" i="108"/>
  <c r="L22" i="108"/>
  <c r="K22" i="108"/>
  <c r="J22" i="108"/>
  <c r="I22" i="108"/>
  <c r="H22" i="108"/>
  <c r="G22" i="108"/>
  <c r="F22" i="108"/>
  <c r="E22" i="108"/>
  <c r="D22" i="108"/>
  <c r="M21" i="108"/>
  <c r="L21" i="108"/>
  <c r="K21" i="108"/>
  <c r="J21" i="108"/>
  <c r="I21" i="108"/>
  <c r="H21" i="108"/>
  <c r="G21" i="108"/>
  <c r="F21" i="108"/>
  <c r="E21" i="108"/>
  <c r="D21" i="108"/>
  <c r="L20" i="108"/>
  <c r="K20" i="108"/>
  <c r="H20" i="108"/>
  <c r="G20" i="108"/>
  <c r="F20" i="108"/>
  <c r="E20" i="108"/>
  <c r="M19" i="108"/>
  <c r="L19" i="108"/>
  <c r="K19" i="108"/>
  <c r="J19" i="108"/>
  <c r="I19" i="108"/>
  <c r="H19" i="108"/>
  <c r="G19" i="108"/>
  <c r="F19" i="108"/>
  <c r="E19" i="108"/>
  <c r="D19" i="108"/>
  <c r="L18" i="108"/>
  <c r="K18" i="108"/>
  <c r="J18" i="108"/>
  <c r="H18" i="108"/>
  <c r="G18" i="108"/>
  <c r="F18" i="108"/>
  <c r="E18" i="108"/>
  <c r="M17" i="108"/>
  <c r="L17" i="108"/>
  <c r="K17" i="108"/>
  <c r="J17" i="108"/>
  <c r="I17" i="108"/>
  <c r="H17" i="108"/>
  <c r="G17" i="108"/>
  <c r="F17" i="108"/>
  <c r="E17" i="108"/>
  <c r="D17" i="108"/>
  <c r="M16" i="108"/>
  <c r="L16" i="108"/>
  <c r="K16" i="108"/>
  <c r="J16" i="108"/>
  <c r="I16" i="108"/>
  <c r="H16" i="108"/>
  <c r="G16" i="108"/>
  <c r="F16" i="108"/>
  <c r="E16" i="108"/>
  <c r="D16" i="108"/>
  <c r="M15" i="108"/>
  <c r="L15" i="108"/>
  <c r="K15" i="108"/>
  <c r="J15" i="108"/>
  <c r="I15" i="108"/>
  <c r="H15" i="108"/>
  <c r="G15" i="108"/>
  <c r="F15" i="108"/>
  <c r="E15" i="108"/>
  <c r="D15" i="108"/>
  <c r="M14" i="108"/>
  <c r="L14" i="108"/>
  <c r="K14" i="108"/>
  <c r="J14" i="108"/>
  <c r="I14" i="108"/>
  <c r="H14" i="108"/>
  <c r="G14" i="108"/>
  <c r="F14" i="108"/>
  <c r="E14" i="108"/>
  <c r="D14" i="108"/>
  <c r="M13" i="108"/>
  <c r="L13" i="108"/>
  <c r="K13" i="108"/>
  <c r="J13" i="108"/>
  <c r="I13" i="108"/>
  <c r="H13" i="108"/>
  <c r="G13" i="108"/>
  <c r="F13" i="108"/>
  <c r="E13" i="108"/>
  <c r="D13" i="108"/>
  <c r="M12" i="108"/>
  <c r="L12" i="108"/>
  <c r="K12" i="108"/>
  <c r="J12" i="108"/>
  <c r="I12" i="108"/>
  <c r="H12" i="108"/>
  <c r="G12" i="108"/>
  <c r="F12" i="108"/>
  <c r="E12" i="108"/>
  <c r="D12" i="108"/>
  <c r="M897" i="105"/>
  <c r="L897" i="105"/>
  <c r="K897" i="105"/>
  <c r="I897" i="105"/>
  <c r="H897" i="105"/>
  <c r="G897" i="105"/>
  <c r="F897" i="105"/>
  <c r="E897" i="105"/>
  <c r="N896" i="105"/>
  <c r="J896" i="105"/>
  <c r="D896" i="105"/>
  <c r="N895" i="105"/>
  <c r="J895" i="105"/>
  <c r="D895" i="105"/>
  <c r="N894" i="105"/>
  <c r="J894" i="105"/>
  <c r="D894" i="105"/>
  <c r="N893" i="105"/>
  <c r="J893" i="105"/>
  <c r="D893" i="105"/>
  <c r="N892" i="105"/>
  <c r="J892" i="105"/>
  <c r="D892" i="105"/>
  <c r="N891" i="105"/>
  <c r="J891" i="105"/>
  <c r="D891" i="105"/>
  <c r="M890" i="105"/>
  <c r="L890" i="105"/>
  <c r="K890" i="105"/>
  <c r="N890" i="105" s="1"/>
  <c r="I890" i="105"/>
  <c r="H890" i="105"/>
  <c r="G890" i="105"/>
  <c r="J890" i="105" s="1"/>
  <c r="F890" i="105"/>
  <c r="E890" i="105"/>
  <c r="D890" i="105"/>
  <c r="N889" i="105"/>
  <c r="J889" i="105"/>
  <c r="D889" i="105"/>
  <c r="N888" i="105"/>
  <c r="J888" i="105"/>
  <c r="D888" i="105"/>
  <c r="N887" i="105"/>
  <c r="J887" i="105"/>
  <c r="D887" i="105"/>
  <c r="N886" i="105"/>
  <c r="J886" i="105"/>
  <c r="D886" i="105"/>
  <c r="N885" i="105"/>
  <c r="J885" i="105"/>
  <c r="D885" i="105"/>
  <c r="N884" i="105"/>
  <c r="J884" i="105"/>
  <c r="D884" i="105"/>
  <c r="N883" i="105"/>
  <c r="J883" i="105"/>
  <c r="D883" i="105"/>
  <c r="N882" i="105"/>
  <c r="J882" i="105"/>
  <c r="D882" i="105"/>
  <c r="N880" i="105"/>
  <c r="J880" i="105"/>
  <c r="D880" i="105"/>
  <c r="N879" i="105"/>
  <c r="J879" i="105"/>
  <c r="D879" i="105"/>
  <c r="N878" i="105"/>
  <c r="J878" i="105"/>
  <c r="D878" i="105"/>
  <c r="N877" i="105"/>
  <c r="J877" i="105"/>
  <c r="D877" i="105"/>
  <c r="N876" i="105"/>
  <c r="J876" i="105"/>
  <c r="D876" i="105"/>
  <c r="N875" i="105"/>
  <c r="J875" i="105"/>
  <c r="D875" i="105"/>
  <c r="N874" i="105"/>
  <c r="J874" i="105"/>
  <c r="D874" i="105"/>
  <c r="N873" i="105"/>
  <c r="J873" i="105"/>
  <c r="D873" i="105"/>
  <c r="N872" i="105"/>
  <c r="J872" i="105"/>
  <c r="D872" i="105"/>
  <c r="N871" i="105"/>
  <c r="J871" i="105"/>
  <c r="D871" i="105"/>
  <c r="M870" i="105"/>
  <c r="L870" i="105"/>
  <c r="K870" i="105"/>
  <c r="N870" i="105" s="1"/>
  <c r="I870" i="105"/>
  <c r="H870" i="105"/>
  <c r="G870" i="105"/>
  <c r="J870" i="105" s="1"/>
  <c r="F870" i="105"/>
  <c r="E870" i="105"/>
  <c r="D870" i="105"/>
  <c r="N869" i="105"/>
  <c r="J869" i="105"/>
  <c r="D869" i="105"/>
  <c r="N868" i="105"/>
  <c r="J868" i="105"/>
  <c r="D868" i="105"/>
  <c r="M867" i="105"/>
  <c r="L867" i="105"/>
  <c r="K867" i="105"/>
  <c r="N867" i="105" s="1"/>
  <c r="I867" i="105"/>
  <c r="H867" i="105"/>
  <c r="G867" i="105"/>
  <c r="J867" i="105" s="1"/>
  <c r="D867" i="105"/>
  <c r="N866" i="105"/>
  <c r="J866" i="105"/>
  <c r="D866" i="105"/>
  <c r="N865" i="105"/>
  <c r="J865" i="105"/>
  <c r="D865" i="105"/>
  <c r="M864" i="105"/>
  <c r="M881" i="105" s="1"/>
  <c r="L864" i="105"/>
  <c r="L881" i="105" s="1"/>
  <c r="K864" i="105"/>
  <c r="I864" i="105"/>
  <c r="I881" i="105" s="1"/>
  <c r="H864" i="105"/>
  <c r="H881" i="105" s="1"/>
  <c r="G864" i="105"/>
  <c r="F864" i="105"/>
  <c r="F881" i="105" s="1"/>
  <c r="E864" i="105"/>
  <c r="E881" i="105" s="1"/>
  <c r="N863" i="105"/>
  <c r="J863" i="105"/>
  <c r="D863" i="105"/>
  <c r="N862" i="105"/>
  <c r="J862" i="105"/>
  <c r="D862" i="105"/>
  <c r="N861" i="105"/>
  <c r="J861" i="105"/>
  <c r="D861" i="105"/>
  <c r="N860" i="105"/>
  <c r="J860" i="105"/>
  <c r="D860" i="105"/>
  <c r="N859" i="105"/>
  <c r="J859" i="105"/>
  <c r="D859" i="105"/>
  <c r="N858" i="105"/>
  <c r="J858" i="105"/>
  <c r="D858" i="105"/>
  <c r="M844" i="105"/>
  <c r="L844" i="105"/>
  <c r="K844" i="105"/>
  <c r="I844" i="105"/>
  <c r="H844" i="105"/>
  <c r="G844" i="105"/>
  <c r="F844" i="105"/>
  <c r="E844" i="105"/>
  <c r="N843" i="105"/>
  <c r="J843" i="105"/>
  <c r="D843" i="105"/>
  <c r="N842" i="105"/>
  <c r="J842" i="105"/>
  <c r="D842" i="105"/>
  <c r="N841" i="105"/>
  <c r="J841" i="105"/>
  <c r="D841" i="105"/>
  <c r="N840" i="105"/>
  <c r="J840" i="105"/>
  <c r="D840" i="105"/>
  <c r="N839" i="105"/>
  <c r="J839" i="105"/>
  <c r="D839" i="105"/>
  <c r="N838" i="105"/>
  <c r="J838" i="105"/>
  <c r="D838" i="105"/>
  <c r="M837" i="105"/>
  <c r="L837" i="105"/>
  <c r="K837" i="105"/>
  <c r="N837" i="105" s="1"/>
  <c r="I837" i="105"/>
  <c r="H837" i="105"/>
  <c r="G837" i="105"/>
  <c r="J837" i="105" s="1"/>
  <c r="F837" i="105"/>
  <c r="E837" i="105"/>
  <c r="D837" i="105"/>
  <c r="N836" i="105"/>
  <c r="J836" i="105"/>
  <c r="D836" i="105"/>
  <c r="N835" i="105"/>
  <c r="J835" i="105"/>
  <c r="D835" i="105"/>
  <c r="N834" i="105"/>
  <c r="J834" i="105"/>
  <c r="D834" i="105"/>
  <c r="N833" i="105"/>
  <c r="J833" i="105"/>
  <c r="D833" i="105"/>
  <c r="N832" i="105"/>
  <c r="J832" i="105"/>
  <c r="D832" i="105"/>
  <c r="N831" i="105"/>
  <c r="J831" i="105"/>
  <c r="D831" i="105"/>
  <c r="N830" i="105"/>
  <c r="J830" i="105"/>
  <c r="D830" i="105"/>
  <c r="N829" i="105"/>
  <c r="J829" i="105"/>
  <c r="D829" i="105"/>
  <c r="N827" i="105"/>
  <c r="J827" i="105"/>
  <c r="D827" i="105"/>
  <c r="N826" i="105"/>
  <c r="J826" i="105"/>
  <c r="D826" i="105"/>
  <c r="N825" i="105"/>
  <c r="J825" i="105"/>
  <c r="D825" i="105"/>
  <c r="N824" i="105"/>
  <c r="J824" i="105"/>
  <c r="D824" i="105"/>
  <c r="N823" i="105"/>
  <c r="J823" i="105"/>
  <c r="D823" i="105"/>
  <c r="N822" i="105"/>
  <c r="J822" i="105"/>
  <c r="D822" i="105"/>
  <c r="N821" i="105"/>
  <c r="J821" i="105"/>
  <c r="D821" i="105"/>
  <c r="N820" i="105"/>
  <c r="J820" i="105"/>
  <c r="D820" i="105"/>
  <c r="N819" i="105"/>
  <c r="J819" i="105"/>
  <c r="D819" i="105"/>
  <c r="N818" i="105"/>
  <c r="J818" i="105"/>
  <c r="D818" i="105"/>
  <c r="M817" i="105"/>
  <c r="L817" i="105"/>
  <c r="K817" i="105"/>
  <c r="N817" i="105" s="1"/>
  <c r="I817" i="105"/>
  <c r="H817" i="105"/>
  <c r="G817" i="105"/>
  <c r="J817" i="105" s="1"/>
  <c r="F817" i="105"/>
  <c r="E817" i="105"/>
  <c r="E828" i="105" s="1"/>
  <c r="D817" i="105"/>
  <c r="N816" i="105"/>
  <c r="J816" i="105"/>
  <c r="D816" i="105"/>
  <c r="N815" i="105"/>
  <c r="J815" i="105"/>
  <c r="D815" i="105"/>
  <c r="M814" i="105"/>
  <c r="L814" i="105"/>
  <c r="K814" i="105"/>
  <c r="N814" i="105" s="1"/>
  <c r="I814" i="105"/>
  <c r="H814" i="105"/>
  <c r="G814" i="105"/>
  <c r="J814" i="105" s="1"/>
  <c r="F814" i="105"/>
  <c r="D814" i="105"/>
  <c r="N813" i="105"/>
  <c r="J813" i="105"/>
  <c r="D813" i="105"/>
  <c r="N812" i="105"/>
  <c r="J812" i="105"/>
  <c r="D812" i="105"/>
  <c r="M811" i="105"/>
  <c r="M828" i="105" s="1"/>
  <c r="L811" i="105"/>
  <c r="L828" i="105" s="1"/>
  <c r="K811" i="105"/>
  <c r="I811" i="105"/>
  <c r="I828" i="105" s="1"/>
  <c r="H811" i="105"/>
  <c r="H828" i="105" s="1"/>
  <c r="G811" i="105"/>
  <c r="F811" i="105"/>
  <c r="F828" i="105" s="1"/>
  <c r="N810" i="105"/>
  <c r="J810" i="105"/>
  <c r="D810" i="105"/>
  <c r="N809" i="105"/>
  <c r="J809" i="105"/>
  <c r="D809" i="105"/>
  <c r="N808" i="105"/>
  <c r="J808" i="105"/>
  <c r="D808" i="105"/>
  <c r="N807" i="105"/>
  <c r="J807" i="105"/>
  <c r="D807" i="105"/>
  <c r="N806" i="105"/>
  <c r="J806" i="105"/>
  <c r="D806" i="105"/>
  <c r="N805" i="105"/>
  <c r="J805" i="105"/>
  <c r="D805" i="105"/>
  <c r="M791" i="105"/>
  <c r="L791" i="105"/>
  <c r="K791" i="105"/>
  <c r="I791" i="105"/>
  <c r="H791" i="105"/>
  <c r="G791" i="105"/>
  <c r="F791" i="105"/>
  <c r="E791" i="105"/>
  <c r="N790" i="105"/>
  <c r="J790" i="105"/>
  <c r="D790" i="105"/>
  <c r="N789" i="105"/>
  <c r="J789" i="105"/>
  <c r="D789" i="105"/>
  <c r="N788" i="105"/>
  <c r="J788" i="105"/>
  <c r="D788" i="105"/>
  <c r="N787" i="105"/>
  <c r="J787" i="105"/>
  <c r="D787" i="105"/>
  <c r="N786" i="105"/>
  <c r="J786" i="105"/>
  <c r="D786" i="105"/>
  <c r="N785" i="105"/>
  <c r="J785" i="105"/>
  <c r="D785" i="105"/>
  <c r="M784" i="105"/>
  <c r="L784" i="105"/>
  <c r="K784" i="105"/>
  <c r="N784" i="105" s="1"/>
  <c r="I784" i="105"/>
  <c r="H784" i="105"/>
  <c r="G784" i="105"/>
  <c r="J784" i="105" s="1"/>
  <c r="F784" i="105"/>
  <c r="E784" i="105"/>
  <c r="D784" i="105"/>
  <c r="N783" i="105"/>
  <c r="J783" i="105"/>
  <c r="D783" i="105"/>
  <c r="N782" i="105"/>
  <c r="J782" i="105"/>
  <c r="D782" i="105"/>
  <c r="N781" i="105"/>
  <c r="J781" i="105"/>
  <c r="D781" i="105"/>
  <c r="N780" i="105"/>
  <c r="J780" i="105"/>
  <c r="D780" i="105"/>
  <c r="N779" i="105"/>
  <c r="J779" i="105"/>
  <c r="D779" i="105"/>
  <c r="N778" i="105"/>
  <c r="J778" i="105"/>
  <c r="D778" i="105"/>
  <c r="N777" i="105"/>
  <c r="J777" i="105"/>
  <c r="D777" i="105"/>
  <c r="N776" i="105"/>
  <c r="J776" i="105"/>
  <c r="D776" i="105"/>
  <c r="N774" i="105"/>
  <c r="J774" i="105"/>
  <c r="D774" i="105"/>
  <c r="N773" i="105"/>
  <c r="J773" i="105"/>
  <c r="D773" i="105"/>
  <c r="N772" i="105"/>
  <c r="J772" i="105"/>
  <c r="D772" i="105"/>
  <c r="N771" i="105"/>
  <c r="J771" i="105"/>
  <c r="D771" i="105"/>
  <c r="N770" i="105"/>
  <c r="J770" i="105"/>
  <c r="D770" i="105"/>
  <c r="N769" i="105"/>
  <c r="J769" i="105"/>
  <c r="D769" i="105"/>
  <c r="N768" i="105"/>
  <c r="J768" i="105"/>
  <c r="D768" i="105"/>
  <c r="N767" i="105"/>
  <c r="J767" i="105"/>
  <c r="D767" i="105"/>
  <c r="N766" i="105"/>
  <c r="J766" i="105"/>
  <c r="D766" i="105"/>
  <c r="N765" i="105"/>
  <c r="J765" i="105"/>
  <c r="D765" i="105"/>
  <c r="M764" i="105"/>
  <c r="L764" i="105"/>
  <c r="K764" i="105"/>
  <c r="N764" i="105" s="1"/>
  <c r="I764" i="105"/>
  <c r="H764" i="105"/>
  <c r="G764" i="105"/>
  <c r="J764" i="105" s="1"/>
  <c r="F764" i="105"/>
  <c r="E764" i="105"/>
  <c r="E775" i="105" s="1"/>
  <c r="D764" i="105"/>
  <c r="N763" i="105"/>
  <c r="J763" i="105"/>
  <c r="D763" i="105"/>
  <c r="N762" i="105"/>
  <c r="J762" i="105"/>
  <c r="D762" i="105"/>
  <c r="M761" i="105"/>
  <c r="L761" i="105"/>
  <c r="K761" i="105"/>
  <c r="N761" i="105" s="1"/>
  <c r="I761" i="105"/>
  <c r="H761" i="105"/>
  <c r="G761" i="105"/>
  <c r="J761" i="105" s="1"/>
  <c r="F761" i="105"/>
  <c r="D761" i="105"/>
  <c r="N760" i="105"/>
  <c r="J760" i="105"/>
  <c r="D760" i="105"/>
  <c r="N759" i="105"/>
  <c r="J759" i="105"/>
  <c r="D759" i="105"/>
  <c r="M758" i="105"/>
  <c r="M775" i="105" s="1"/>
  <c r="L758" i="105"/>
  <c r="L775" i="105" s="1"/>
  <c r="K758" i="105"/>
  <c r="I758" i="105"/>
  <c r="I775" i="105" s="1"/>
  <c r="H758" i="105"/>
  <c r="H775" i="105" s="1"/>
  <c r="G758" i="105"/>
  <c r="F758" i="105"/>
  <c r="F775" i="105" s="1"/>
  <c r="N757" i="105"/>
  <c r="J757" i="105"/>
  <c r="D757" i="105"/>
  <c r="N756" i="105"/>
  <c r="J756" i="105"/>
  <c r="D756" i="105"/>
  <c r="N755" i="105"/>
  <c r="J755" i="105"/>
  <c r="D755" i="105"/>
  <c r="N754" i="105"/>
  <c r="J754" i="105"/>
  <c r="D754" i="105"/>
  <c r="N753" i="105"/>
  <c r="J753" i="105"/>
  <c r="D753" i="105"/>
  <c r="N752" i="105"/>
  <c r="J752" i="105"/>
  <c r="D752" i="105"/>
  <c r="M737" i="105"/>
  <c r="L737" i="105"/>
  <c r="K737" i="105"/>
  <c r="I737" i="105"/>
  <c r="H737" i="105"/>
  <c r="G737" i="105"/>
  <c r="F737" i="105"/>
  <c r="E737" i="105"/>
  <c r="N736" i="105"/>
  <c r="J736" i="105"/>
  <c r="D736" i="105"/>
  <c r="N735" i="105"/>
  <c r="J735" i="105"/>
  <c r="D735" i="105"/>
  <c r="N734" i="105"/>
  <c r="J734" i="105"/>
  <c r="D734" i="105"/>
  <c r="N733" i="105"/>
  <c r="J733" i="105"/>
  <c r="D733" i="105"/>
  <c r="N732" i="105"/>
  <c r="J732" i="105"/>
  <c r="D732" i="105"/>
  <c r="N731" i="105"/>
  <c r="J731" i="105"/>
  <c r="D731" i="105"/>
  <c r="M730" i="105"/>
  <c r="L730" i="105"/>
  <c r="K730" i="105"/>
  <c r="N730" i="105" s="1"/>
  <c r="I730" i="105"/>
  <c r="H730" i="105"/>
  <c r="G730" i="105"/>
  <c r="J730" i="105" s="1"/>
  <c r="F730" i="105"/>
  <c r="E730" i="105"/>
  <c r="D730" i="105"/>
  <c r="N729" i="105"/>
  <c r="J729" i="105"/>
  <c r="D729" i="105"/>
  <c r="N728" i="105"/>
  <c r="J728" i="105"/>
  <c r="D728" i="105"/>
  <c r="N727" i="105"/>
  <c r="J727" i="105"/>
  <c r="D727" i="105"/>
  <c r="N726" i="105"/>
  <c r="J726" i="105"/>
  <c r="D726" i="105"/>
  <c r="N725" i="105"/>
  <c r="J725" i="105"/>
  <c r="D725" i="105"/>
  <c r="N724" i="105"/>
  <c r="J724" i="105"/>
  <c r="D724" i="105"/>
  <c r="N723" i="105"/>
  <c r="J723" i="105"/>
  <c r="D723" i="105"/>
  <c r="N722" i="105"/>
  <c r="J722" i="105"/>
  <c r="D722" i="105"/>
  <c r="N720" i="105"/>
  <c r="J720" i="105"/>
  <c r="D720" i="105"/>
  <c r="N719" i="105"/>
  <c r="J719" i="105"/>
  <c r="D719" i="105"/>
  <c r="N718" i="105"/>
  <c r="J718" i="105"/>
  <c r="D718" i="105"/>
  <c r="N717" i="105"/>
  <c r="J717" i="105"/>
  <c r="D717" i="105"/>
  <c r="N716" i="105"/>
  <c r="J716" i="105"/>
  <c r="D716" i="105"/>
  <c r="N715" i="105"/>
  <c r="J715" i="105"/>
  <c r="D715" i="105"/>
  <c r="N714" i="105"/>
  <c r="J714" i="105"/>
  <c r="D714" i="105"/>
  <c r="N713" i="105"/>
  <c r="J713" i="105"/>
  <c r="D713" i="105"/>
  <c r="N712" i="105"/>
  <c r="J712" i="105"/>
  <c r="D712" i="105"/>
  <c r="N711" i="105"/>
  <c r="J711" i="105"/>
  <c r="D711" i="105"/>
  <c r="M710" i="105"/>
  <c r="L710" i="105"/>
  <c r="K710" i="105"/>
  <c r="N710" i="105" s="1"/>
  <c r="I710" i="105"/>
  <c r="H710" i="105"/>
  <c r="G710" i="105"/>
  <c r="J710" i="105" s="1"/>
  <c r="F710" i="105"/>
  <c r="E710" i="105"/>
  <c r="E721" i="105" s="1"/>
  <c r="D710" i="105"/>
  <c r="N709" i="105"/>
  <c r="J709" i="105"/>
  <c r="D709" i="105"/>
  <c r="N708" i="105"/>
  <c r="J708" i="105"/>
  <c r="D708" i="105"/>
  <c r="M707" i="105"/>
  <c r="L707" i="105"/>
  <c r="K707" i="105"/>
  <c r="N707" i="105" s="1"/>
  <c r="I707" i="105"/>
  <c r="H707" i="105"/>
  <c r="G707" i="105"/>
  <c r="J707" i="105" s="1"/>
  <c r="F707" i="105"/>
  <c r="D707" i="105"/>
  <c r="N706" i="105"/>
  <c r="J706" i="105"/>
  <c r="D706" i="105"/>
  <c r="N705" i="105"/>
  <c r="J705" i="105"/>
  <c r="D705" i="105"/>
  <c r="M704" i="105"/>
  <c r="M721" i="105" s="1"/>
  <c r="L704" i="105"/>
  <c r="L721" i="105" s="1"/>
  <c r="K704" i="105"/>
  <c r="I704" i="105"/>
  <c r="I721" i="105" s="1"/>
  <c r="H704" i="105"/>
  <c r="H721" i="105" s="1"/>
  <c r="G704" i="105"/>
  <c r="F704" i="105"/>
  <c r="F721" i="105" s="1"/>
  <c r="N703" i="105"/>
  <c r="J703" i="105"/>
  <c r="D703" i="105"/>
  <c r="N702" i="105"/>
  <c r="J702" i="105"/>
  <c r="D702" i="105"/>
  <c r="N701" i="105"/>
  <c r="J701" i="105"/>
  <c r="D701" i="105"/>
  <c r="N700" i="105"/>
  <c r="J700" i="105"/>
  <c r="D700" i="105"/>
  <c r="N699" i="105"/>
  <c r="J699" i="105"/>
  <c r="D699" i="105"/>
  <c r="N698" i="105"/>
  <c r="J698" i="105"/>
  <c r="D698" i="105"/>
  <c r="M683" i="105"/>
  <c r="L683" i="105"/>
  <c r="K683" i="105"/>
  <c r="I683" i="105"/>
  <c r="H683" i="105"/>
  <c r="G683" i="105"/>
  <c r="F683" i="105"/>
  <c r="E683" i="105"/>
  <c r="AO682" i="105"/>
  <c r="AN682" i="105"/>
  <c r="AM682" i="105"/>
  <c r="AK682" i="105"/>
  <c r="N682" i="105"/>
  <c r="AP682" i="105" s="1"/>
  <c r="J682" i="105"/>
  <c r="AL682" i="105" s="1"/>
  <c r="D682" i="105"/>
  <c r="AO681" i="105"/>
  <c r="AN681" i="105"/>
  <c r="AM681" i="105"/>
  <c r="AK681" i="105"/>
  <c r="N681" i="105"/>
  <c r="AP681" i="105" s="1"/>
  <c r="J681" i="105"/>
  <c r="AL681" i="105" s="1"/>
  <c r="D681" i="105"/>
  <c r="AO680" i="105"/>
  <c r="AN680" i="105"/>
  <c r="AM680" i="105"/>
  <c r="AK680" i="105"/>
  <c r="N680" i="105"/>
  <c r="AP680" i="105" s="1"/>
  <c r="J680" i="105"/>
  <c r="AL680" i="105" s="1"/>
  <c r="D680" i="105"/>
  <c r="AO679" i="105"/>
  <c r="AN679" i="105"/>
  <c r="AM679" i="105"/>
  <c r="AK679" i="105"/>
  <c r="N679" i="105"/>
  <c r="AP679" i="105" s="1"/>
  <c r="J679" i="105"/>
  <c r="AL679" i="105" s="1"/>
  <c r="D679" i="105"/>
  <c r="AO678" i="105"/>
  <c r="AN678" i="105"/>
  <c r="AM678" i="105"/>
  <c r="AK678" i="105"/>
  <c r="N678" i="105"/>
  <c r="AP678" i="105" s="1"/>
  <c r="J678" i="105"/>
  <c r="AL678" i="105" s="1"/>
  <c r="D678" i="105"/>
  <c r="AO677" i="105"/>
  <c r="AN677" i="105"/>
  <c r="AM677" i="105"/>
  <c r="AK677" i="105"/>
  <c r="N677" i="105"/>
  <c r="AP677" i="105" s="1"/>
  <c r="J677" i="105"/>
  <c r="AL677" i="105" s="1"/>
  <c r="D677" i="105"/>
  <c r="M676" i="105"/>
  <c r="AO676" i="105" s="1"/>
  <c r="L676" i="105"/>
  <c r="AN676" i="105" s="1"/>
  <c r="K676" i="105"/>
  <c r="I676" i="105"/>
  <c r="AK676" i="105" s="1"/>
  <c r="G676" i="105"/>
  <c r="F676" i="105"/>
  <c r="E676" i="105"/>
  <c r="AO675" i="105"/>
  <c r="AN675" i="105"/>
  <c r="AM675" i="105"/>
  <c r="AK675" i="105"/>
  <c r="N675" i="105"/>
  <c r="AP675" i="105" s="1"/>
  <c r="H675" i="105"/>
  <c r="AO674" i="105"/>
  <c r="AN674" i="105"/>
  <c r="AM674" i="105"/>
  <c r="AK674" i="105"/>
  <c r="N674" i="105"/>
  <c r="AP674" i="105" s="1"/>
  <c r="J674" i="105"/>
  <c r="AL674" i="105" s="1"/>
  <c r="D674" i="105"/>
  <c r="AO673" i="105"/>
  <c r="AN673" i="105"/>
  <c r="AM673" i="105"/>
  <c r="AK673" i="105"/>
  <c r="N673" i="105"/>
  <c r="AP673" i="105" s="1"/>
  <c r="J673" i="105"/>
  <c r="AL673" i="105" s="1"/>
  <c r="D673" i="105"/>
  <c r="AO672" i="105"/>
  <c r="AN672" i="105"/>
  <c r="AM672" i="105"/>
  <c r="AK672" i="105"/>
  <c r="N672" i="105"/>
  <c r="AP672" i="105" s="1"/>
  <c r="J672" i="105"/>
  <c r="AL672" i="105" s="1"/>
  <c r="D672" i="105"/>
  <c r="AO671" i="105"/>
  <c r="AN671" i="105"/>
  <c r="AM671" i="105"/>
  <c r="AK671" i="105"/>
  <c r="N671" i="105"/>
  <c r="AP671" i="105" s="1"/>
  <c r="J671" i="105"/>
  <c r="AL671" i="105" s="1"/>
  <c r="D671" i="105"/>
  <c r="AO670" i="105"/>
  <c r="AN670" i="105"/>
  <c r="AM670" i="105"/>
  <c r="AK670" i="105"/>
  <c r="N670" i="105"/>
  <c r="AP670" i="105" s="1"/>
  <c r="J670" i="105"/>
  <c r="D670" i="105"/>
  <c r="AO669" i="105"/>
  <c r="AN669" i="105"/>
  <c r="AM669" i="105"/>
  <c r="AK669" i="105"/>
  <c r="N669" i="105"/>
  <c r="AP669" i="105" s="1"/>
  <c r="J669" i="105"/>
  <c r="AL669" i="105" s="1"/>
  <c r="D669" i="105"/>
  <c r="AO668" i="105"/>
  <c r="AN668" i="105"/>
  <c r="AM668" i="105"/>
  <c r="AL668" i="105"/>
  <c r="AK668" i="105"/>
  <c r="N668" i="105"/>
  <c r="AP668" i="105" s="1"/>
  <c r="D668" i="105"/>
  <c r="AO666" i="105"/>
  <c r="AN666" i="105"/>
  <c r="AM666" i="105"/>
  <c r="AK666" i="105"/>
  <c r="N666" i="105"/>
  <c r="AP666" i="105" s="1"/>
  <c r="J666" i="105"/>
  <c r="AL666" i="105" s="1"/>
  <c r="D666" i="105"/>
  <c r="AO665" i="105"/>
  <c r="AN665" i="105"/>
  <c r="AM665" i="105"/>
  <c r="AK665" i="105"/>
  <c r="N665" i="105"/>
  <c r="AP665" i="105" s="1"/>
  <c r="J665" i="105"/>
  <c r="AL665" i="105" s="1"/>
  <c r="D665" i="105"/>
  <c r="AO664" i="105"/>
  <c r="AN664" i="105"/>
  <c r="AM664" i="105"/>
  <c r="AK664" i="105"/>
  <c r="N664" i="105"/>
  <c r="AP664" i="105" s="1"/>
  <c r="J664" i="105"/>
  <c r="AL664" i="105" s="1"/>
  <c r="D664" i="105"/>
  <c r="AO663" i="105"/>
  <c r="AN663" i="105"/>
  <c r="AM663" i="105"/>
  <c r="AK663" i="105"/>
  <c r="N663" i="105"/>
  <c r="AP663" i="105" s="1"/>
  <c r="J663" i="105"/>
  <c r="AL663" i="105" s="1"/>
  <c r="D663" i="105"/>
  <c r="AO662" i="105"/>
  <c r="AN662" i="105"/>
  <c r="AM662" i="105"/>
  <c r="AK662" i="105"/>
  <c r="N662" i="105"/>
  <c r="AP662" i="105" s="1"/>
  <c r="J662" i="105"/>
  <c r="AL662" i="105" s="1"/>
  <c r="D662" i="105"/>
  <c r="AO661" i="105"/>
  <c r="AN661" i="105"/>
  <c r="AM661" i="105"/>
  <c r="AK661" i="105"/>
  <c r="N661" i="105"/>
  <c r="AP661" i="105" s="1"/>
  <c r="J661" i="105"/>
  <c r="D661" i="105"/>
  <c r="AO660" i="105"/>
  <c r="AN660" i="105"/>
  <c r="AM660" i="105"/>
  <c r="AK660" i="105"/>
  <c r="N660" i="105"/>
  <c r="AP660" i="105" s="1"/>
  <c r="J660" i="105"/>
  <c r="AL660" i="105" s="1"/>
  <c r="D660" i="105"/>
  <c r="AO659" i="105"/>
  <c r="AN659" i="105"/>
  <c r="AM659" i="105"/>
  <c r="AK659" i="105"/>
  <c r="N659" i="105"/>
  <c r="AP659" i="105" s="1"/>
  <c r="J659" i="105"/>
  <c r="AL659" i="105" s="1"/>
  <c r="D659" i="105"/>
  <c r="AO658" i="105"/>
  <c r="AN658" i="105"/>
  <c r="AM658" i="105"/>
  <c r="AK658" i="105"/>
  <c r="N658" i="105"/>
  <c r="AP658" i="105" s="1"/>
  <c r="J658" i="105"/>
  <c r="AL658" i="105" s="1"/>
  <c r="D658" i="105"/>
  <c r="AO657" i="105"/>
  <c r="AN657" i="105"/>
  <c r="AM657" i="105"/>
  <c r="AK657" i="105"/>
  <c r="N657" i="105"/>
  <c r="AP657" i="105" s="1"/>
  <c r="J657" i="105"/>
  <c r="AL657" i="105" s="1"/>
  <c r="D657" i="105"/>
  <c r="M656" i="105"/>
  <c r="AO656" i="105" s="1"/>
  <c r="L656" i="105"/>
  <c r="AN656" i="105" s="1"/>
  <c r="K656" i="105"/>
  <c r="I656" i="105"/>
  <c r="AK656" i="105" s="1"/>
  <c r="H656" i="105"/>
  <c r="G656" i="105"/>
  <c r="J656" i="105" s="1"/>
  <c r="AL656" i="105" s="1"/>
  <c r="F656" i="105"/>
  <c r="E656" i="105"/>
  <c r="E667" i="105" s="1"/>
  <c r="AO655" i="105"/>
  <c r="AN655" i="105"/>
  <c r="AM655" i="105"/>
  <c r="AK655" i="105"/>
  <c r="N655" i="105"/>
  <c r="AP655" i="105" s="1"/>
  <c r="J655" i="105"/>
  <c r="AL655" i="105" s="1"/>
  <c r="D655" i="105"/>
  <c r="AO654" i="105"/>
  <c r="AN654" i="105"/>
  <c r="AM654" i="105"/>
  <c r="AK654" i="105"/>
  <c r="N654" i="105"/>
  <c r="AP654" i="105" s="1"/>
  <c r="J654" i="105"/>
  <c r="AL654" i="105" s="1"/>
  <c r="D654" i="105"/>
  <c r="M653" i="105"/>
  <c r="AO653" i="105" s="1"/>
  <c r="L653" i="105"/>
  <c r="AN653" i="105" s="1"/>
  <c r="K653" i="105"/>
  <c r="I653" i="105"/>
  <c r="AK653" i="105" s="1"/>
  <c r="H653" i="105"/>
  <c r="G653" i="105"/>
  <c r="J653" i="105" s="1"/>
  <c r="AL653" i="105" s="1"/>
  <c r="F653" i="105"/>
  <c r="AO652" i="105"/>
  <c r="AN652" i="105"/>
  <c r="AM652" i="105"/>
  <c r="AK652" i="105"/>
  <c r="N652" i="105"/>
  <c r="AP652" i="105" s="1"/>
  <c r="J652" i="105"/>
  <c r="AL652" i="105" s="1"/>
  <c r="D652" i="105"/>
  <c r="AO651" i="105"/>
  <c r="AN651" i="105"/>
  <c r="AM651" i="105"/>
  <c r="AK651" i="105"/>
  <c r="N651" i="105"/>
  <c r="AP651" i="105" s="1"/>
  <c r="J651" i="105"/>
  <c r="AL651" i="105" s="1"/>
  <c r="D651" i="105"/>
  <c r="M650" i="105"/>
  <c r="L650" i="105"/>
  <c r="K650" i="105"/>
  <c r="I650" i="105"/>
  <c r="H650" i="105"/>
  <c r="H667" i="105" s="1"/>
  <c r="G650" i="105"/>
  <c r="F650" i="105"/>
  <c r="F667" i="105" s="1"/>
  <c r="AO649" i="105"/>
  <c r="AN649" i="105"/>
  <c r="AM649" i="105"/>
  <c r="AK649" i="105"/>
  <c r="N649" i="105"/>
  <c r="AP649" i="105" s="1"/>
  <c r="J649" i="105"/>
  <c r="AL649" i="105" s="1"/>
  <c r="D649" i="105"/>
  <c r="AO648" i="105"/>
  <c r="AN648" i="105"/>
  <c r="AM648" i="105"/>
  <c r="AK648" i="105"/>
  <c r="N648" i="105"/>
  <c r="AP648" i="105" s="1"/>
  <c r="J648" i="105"/>
  <c r="AL648" i="105" s="1"/>
  <c r="D648" i="105"/>
  <c r="N647" i="105"/>
  <c r="J647" i="105"/>
  <c r="D647" i="105"/>
  <c r="AO646" i="105"/>
  <c r="AN646" i="105"/>
  <c r="AM646" i="105"/>
  <c r="AK646" i="105"/>
  <c r="N646" i="105"/>
  <c r="AP646" i="105" s="1"/>
  <c r="J646" i="105"/>
  <c r="AL646" i="105" s="1"/>
  <c r="D646" i="105"/>
  <c r="AO645" i="105"/>
  <c r="AN645" i="105"/>
  <c r="AM645" i="105"/>
  <c r="AK645" i="105"/>
  <c r="N645" i="105"/>
  <c r="AP645" i="105" s="1"/>
  <c r="J645" i="105"/>
  <c r="AL645" i="105" s="1"/>
  <c r="D645" i="105"/>
  <c r="AO644" i="105"/>
  <c r="AN644" i="105"/>
  <c r="AM644" i="105"/>
  <c r="AK644" i="105"/>
  <c r="N644" i="105"/>
  <c r="AP644" i="105" s="1"/>
  <c r="J644" i="105"/>
  <c r="AL644" i="105" s="1"/>
  <c r="D644" i="105"/>
  <c r="M629" i="105"/>
  <c r="L629" i="105"/>
  <c r="K629" i="105"/>
  <c r="I629" i="105"/>
  <c r="H629" i="105"/>
  <c r="G629" i="105"/>
  <c r="F629" i="105"/>
  <c r="E629" i="105"/>
  <c r="N628" i="105"/>
  <c r="J628" i="105"/>
  <c r="D628" i="105"/>
  <c r="N627" i="105"/>
  <c r="J627" i="105"/>
  <c r="D627" i="105"/>
  <c r="N626" i="105"/>
  <c r="J626" i="105"/>
  <c r="D626" i="105"/>
  <c r="N625" i="105"/>
  <c r="J625" i="105"/>
  <c r="D625" i="105"/>
  <c r="N624" i="105"/>
  <c r="J624" i="105"/>
  <c r="D624" i="105"/>
  <c r="N623" i="105"/>
  <c r="J623" i="105"/>
  <c r="D623" i="105"/>
  <c r="M622" i="105"/>
  <c r="L622" i="105"/>
  <c r="K622" i="105"/>
  <c r="N622" i="105" s="1"/>
  <c r="I622" i="105"/>
  <c r="H622" i="105"/>
  <c r="G622" i="105"/>
  <c r="J622" i="105" s="1"/>
  <c r="F622" i="105"/>
  <c r="E622" i="105"/>
  <c r="D622" i="105"/>
  <c r="N621" i="105"/>
  <c r="J621" i="105"/>
  <c r="D621" i="105"/>
  <c r="N620" i="105"/>
  <c r="J620" i="105"/>
  <c r="D620" i="105"/>
  <c r="N619" i="105"/>
  <c r="J619" i="105"/>
  <c r="D619" i="105"/>
  <c r="N618" i="105"/>
  <c r="J618" i="105"/>
  <c r="D618" i="105"/>
  <c r="N617" i="105"/>
  <c r="J617" i="105"/>
  <c r="D617" i="105"/>
  <c r="N616" i="105"/>
  <c r="J616" i="105"/>
  <c r="D616" i="105"/>
  <c r="N615" i="105"/>
  <c r="J615" i="105"/>
  <c r="D615" i="105"/>
  <c r="N614" i="105"/>
  <c r="J614" i="105"/>
  <c r="D614" i="105"/>
  <c r="N612" i="105"/>
  <c r="J612" i="105"/>
  <c r="D612" i="105"/>
  <c r="N611" i="105"/>
  <c r="J611" i="105"/>
  <c r="D611" i="105"/>
  <c r="N610" i="105"/>
  <c r="J610" i="105"/>
  <c r="D610" i="105"/>
  <c r="N609" i="105"/>
  <c r="J609" i="105"/>
  <c r="D609" i="105"/>
  <c r="N608" i="105"/>
  <c r="J608" i="105"/>
  <c r="D608" i="105"/>
  <c r="N607" i="105"/>
  <c r="J607" i="105"/>
  <c r="D607" i="105"/>
  <c r="N606" i="105"/>
  <c r="J606" i="105"/>
  <c r="D606" i="105"/>
  <c r="N605" i="105"/>
  <c r="J605" i="105"/>
  <c r="D605" i="105"/>
  <c r="N604" i="105"/>
  <c r="J604" i="105"/>
  <c r="D604" i="105"/>
  <c r="N603" i="105"/>
  <c r="J603" i="105"/>
  <c r="D603" i="105"/>
  <c r="M602" i="105"/>
  <c r="L602" i="105"/>
  <c r="K602" i="105"/>
  <c r="N602" i="105" s="1"/>
  <c r="I602" i="105"/>
  <c r="H602" i="105"/>
  <c r="G602" i="105"/>
  <c r="J602" i="105" s="1"/>
  <c r="F602" i="105"/>
  <c r="E602" i="105"/>
  <c r="E613" i="105" s="1"/>
  <c r="D602" i="105"/>
  <c r="N601" i="105"/>
  <c r="J601" i="105"/>
  <c r="D601" i="105"/>
  <c r="N600" i="105"/>
  <c r="J600" i="105"/>
  <c r="D600" i="105"/>
  <c r="M599" i="105"/>
  <c r="L599" i="105"/>
  <c r="K599" i="105"/>
  <c r="N599" i="105" s="1"/>
  <c r="I599" i="105"/>
  <c r="I613" i="105" s="1"/>
  <c r="H599" i="105"/>
  <c r="H613" i="105" s="1"/>
  <c r="G599" i="105"/>
  <c r="F599" i="105"/>
  <c r="F613" i="105" s="1"/>
  <c r="N598" i="105"/>
  <c r="J598" i="105"/>
  <c r="D598" i="105"/>
  <c r="N597" i="105"/>
  <c r="J597" i="105"/>
  <c r="D597" i="105"/>
  <c r="M596" i="105"/>
  <c r="M613" i="105" s="1"/>
  <c r="L596" i="105"/>
  <c r="L613" i="105" s="1"/>
  <c r="K596" i="105"/>
  <c r="J596" i="105"/>
  <c r="N595" i="105"/>
  <c r="J595" i="105"/>
  <c r="D595" i="105"/>
  <c r="N594" i="105"/>
  <c r="J594" i="105"/>
  <c r="D594" i="105"/>
  <c r="N593" i="105"/>
  <c r="J593" i="105"/>
  <c r="D593" i="105"/>
  <c r="N592" i="105"/>
  <c r="J592" i="105"/>
  <c r="D592" i="105"/>
  <c r="N591" i="105"/>
  <c r="J591" i="105"/>
  <c r="D591" i="105"/>
  <c r="N590" i="105"/>
  <c r="J590" i="105"/>
  <c r="D590" i="105"/>
  <c r="M577" i="105"/>
  <c r="L577" i="105"/>
  <c r="K577" i="105"/>
  <c r="I577" i="105"/>
  <c r="H577" i="105"/>
  <c r="G577" i="105"/>
  <c r="F577" i="105"/>
  <c r="E577" i="105"/>
  <c r="N576" i="105"/>
  <c r="J576" i="105"/>
  <c r="D576" i="105"/>
  <c r="N575" i="105"/>
  <c r="J575" i="105"/>
  <c r="D575" i="105"/>
  <c r="N574" i="105"/>
  <c r="J574" i="105"/>
  <c r="D574" i="105"/>
  <c r="N573" i="105"/>
  <c r="J573" i="105"/>
  <c r="D573" i="105"/>
  <c r="N572" i="105"/>
  <c r="J572" i="105"/>
  <c r="D572" i="105"/>
  <c r="N571" i="105"/>
  <c r="J571" i="105"/>
  <c r="D571" i="105"/>
  <c r="M570" i="105"/>
  <c r="L570" i="105"/>
  <c r="K570" i="105"/>
  <c r="N570" i="105" s="1"/>
  <c r="I570" i="105"/>
  <c r="H570" i="105"/>
  <c r="G570" i="105"/>
  <c r="J570" i="105" s="1"/>
  <c r="F570" i="105"/>
  <c r="E570" i="105"/>
  <c r="D570" i="105"/>
  <c r="N569" i="105"/>
  <c r="J569" i="105"/>
  <c r="D569" i="105"/>
  <c r="N568" i="105"/>
  <c r="J568" i="105"/>
  <c r="D568" i="105"/>
  <c r="N567" i="105"/>
  <c r="J567" i="105"/>
  <c r="D567" i="105"/>
  <c r="N566" i="105"/>
  <c r="J566" i="105"/>
  <c r="D566" i="105"/>
  <c r="N565" i="105"/>
  <c r="J565" i="105"/>
  <c r="D565" i="105"/>
  <c r="N564" i="105"/>
  <c r="J564" i="105"/>
  <c r="D564" i="105"/>
  <c r="N563" i="105"/>
  <c r="J563" i="105"/>
  <c r="D563" i="105"/>
  <c r="N562" i="105"/>
  <c r="J562" i="105"/>
  <c r="D562" i="105"/>
  <c r="N560" i="105"/>
  <c r="J560" i="105"/>
  <c r="D560" i="105"/>
  <c r="N559" i="105"/>
  <c r="J559" i="105"/>
  <c r="D559" i="105"/>
  <c r="N558" i="105"/>
  <c r="J558" i="105"/>
  <c r="D558" i="105"/>
  <c r="N557" i="105"/>
  <c r="J557" i="105"/>
  <c r="D557" i="105"/>
  <c r="N556" i="105"/>
  <c r="J556" i="105"/>
  <c r="D556" i="105"/>
  <c r="N555" i="105"/>
  <c r="J555" i="105"/>
  <c r="D555" i="105"/>
  <c r="N554" i="105"/>
  <c r="J554" i="105"/>
  <c r="D554" i="105"/>
  <c r="N553" i="105"/>
  <c r="J553" i="105"/>
  <c r="N552" i="105"/>
  <c r="J552" i="105"/>
  <c r="D552" i="105"/>
  <c r="N551" i="105"/>
  <c r="J551" i="105"/>
  <c r="D551" i="105"/>
  <c r="M550" i="105"/>
  <c r="L550" i="105"/>
  <c r="K550" i="105"/>
  <c r="N550" i="105" s="1"/>
  <c r="I550" i="105"/>
  <c r="H550" i="105"/>
  <c r="G550" i="105"/>
  <c r="J550" i="105" s="1"/>
  <c r="F550" i="105"/>
  <c r="E550" i="105"/>
  <c r="E561" i="105" s="1"/>
  <c r="D550" i="105"/>
  <c r="N549" i="105"/>
  <c r="J549" i="105"/>
  <c r="D549" i="105"/>
  <c r="N548" i="105"/>
  <c r="J548" i="105"/>
  <c r="D548" i="105"/>
  <c r="M547" i="105"/>
  <c r="L547" i="105"/>
  <c r="K547" i="105"/>
  <c r="N547" i="105" s="1"/>
  <c r="I547" i="105"/>
  <c r="H547" i="105"/>
  <c r="G547" i="105"/>
  <c r="J547" i="105" s="1"/>
  <c r="F547" i="105"/>
  <c r="D547" i="105"/>
  <c r="N546" i="105"/>
  <c r="J546" i="105"/>
  <c r="D546" i="105"/>
  <c r="N545" i="105"/>
  <c r="J545" i="105"/>
  <c r="D545" i="105"/>
  <c r="M544" i="105"/>
  <c r="M561" i="105" s="1"/>
  <c r="L544" i="105"/>
  <c r="L561" i="105" s="1"/>
  <c r="K544" i="105"/>
  <c r="I544" i="105"/>
  <c r="I561" i="105" s="1"/>
  <c r="H544" i="105"/>
  <c r="H561" i="105" s="1"/>
  <c r="G544" i="105"/>
  <c r="F544" i="105"/>
  <c r="F561" i="105" s="1"/>
  <c r="N543" i="105"/>
  <c r="J543" i="105"/>
  <c r="D543" i="105"/>
  <c r="N542" i="105"/>
  <c r="J542" i="105"/>
  <c r="D542" i="105"/>
  <c r="N541" i="105"/>
  <c r="J541" i="105"/>
  <c r="D541" i="105"/>
  <c r="N540" i="105"/>
  <c r="J540" i="105"/>
  <c r="D540" i="105"/>
  <c r="N539" i="105"/>
  <c r="J539" i="105"/>
  <c r="D539" i="105"/>
  <c r="N538" i="105"/>
  <c r="J538" i="105"/>
  <c r="D538" i="105"/>
  <c r="M524" i="105"/>
  <c r="L524" i="105"/>
  <c r="K524" i="105"/>
  <c r="I524" i="105"/>
  <c r="H524" i="105"/>
  <c r="G524" i="105"/>
  <c r="F524" i="105"/>
  <c r="E524" i="105"/>
  <c r="N523" i="105"/>
  <c r="D523" i="105"/>
  <c r="N522" i="105"/>
  <c r="D522" i="105"/>
  <c r="N521" i="105"/>
  <c r="D521" i="105"/>
  <c r="N520" i="105"/>
  <c r="D520" i="105"/>
  <c r="N519" i="105"/>
  <c r="D519" i="105"/>
  <c r="N518" i="105"/>
  <c r="D518" i="105"/>
  <c r="M517" i="105"/>
  <c r="L517" i="105"/>
  <c r="K517" i="105"/>
  <c r="N517" i="105" s="1"/>
  <c r="I517" i="105"/>
  <c r="H517" i="105"/>
  <c r="G517" i="105"/>
  <c r="J517" i="105" s="1"/>
  <c r="F517" i="105"/>
  <c r="E517" i="105"/>
  <c r="D517" i="105"/>
  <c r="N516" i="105"/>
  <c r="D516" i="105"/>
  <c r="N515" i="105"/>
  <c r="D515" i="105"/>
  <c r="N514" i="105"/>
  <c r="D514" i="105"/>
  <c r="N513" i="105"/>
  <c r="D513" i="105"/>
  <c r="N512" i="105"/>
  <c r="D512" i="105"/>
  <c r="N511" i="105"/>
  <c r="D511" i="105"/>
  <c r="N510" i="105"/>
  <c r="D510" i="105"/>
  <c r="N509" i="105"/>
  <c r="D509" i="105"/>
  <c r="N507" i="105"/>
  <c r="D507" i="105"/>
  <c r="N506" i="105"/>
  <c r="D506" i="105"/>
  <c r="N505" i="105"/>
  <c r="D505" i="105"/>
  <c r="N504" i="105"/>
  <c r="D504" i="105"/>
  <c r="N503" i="105"/>
  <c r="D503" i="105"/>
  <c r="N502" i="105"/>
  <c r="D502" i="105"/>
  <c r="N501" i="105"/>
  <c r="D501" i="105"/>
  <c r="N500" i="105"/>
  <c r="D500" i="105"/>
  <c r="N499" i="105"/>
  <c r="D499" i="105"/>
  <c r="N498" i="105"/>
  <c r="D498" i="105"/>
  <c r="M497" i="105"/>
  <c r="L497" i="105"/>
  <c r="K497" i="105"/>
  <c r="N497" i="105" s="1"/>
  <c r="I497" i="105"/>
  <c r="H497" i="105"/>
  <c r="G497" i="105"/>
  <c r="J497" i="105" s="1"/>
  <c r="F497" i="105"/>
  <c r="E497" i="105"/>
  <c r="D497" i="105"/>
  <c r="N496" i="105"/>
  <c r="J496" i="105"/>
  <c r="D496" i="105"/>
  <c r="N495" i="105"/>
  <c r="J495" i="105"/>
  <c r="D495" i="105"/>
  <c r="M494" i="105"/>
  <c r="L494" i="105"/>
  <c r="K494" i="105"/>
  <c r="N494" i="105" s="1"/>
  <c r="I494" i="105"/>
  <c r="H494" i="105"/>
  <c r="G494" i="105"/>
  <c r="J494" i="105" s="1"/>
  <c r="F494" i="105"/>
  <c r="E494" i="105"/>
  <c r="D494" i="105"/>
  <c r="N493" i="105"/>
  <c r="J493" i="105"/>
  <c r="D493" i="105"/>
  <c r="N492" i="105"/>
  <c r="J492" i="105"/>
  <c r="D492" i="105"/>
  <c r="M491" i="105"/>
  <c r="M508" i="105" s="1"/>
  <c r="L491" i="105"/>
  <c r="L508" i="105" s="1"/>
  <c r="K491" i="105"/>
  <c r="I491" i="105"/>
  <c r="I508" i="105" s="1"/>
  <c r="H491" i="105"/>
  <c r="H508" i="105" s="1"/>
  <c r="G491" i="105"/>
  <c r="F491" i="105"/>
  <c r="F508" i="105" s="1"/>
  <c r="E491" i="105"/>
  <c r="E508" i="105" s="1"/>
  <c r="N490" i="105"/>
  <c r="D490" i="105"/>
  <c r="N489" i="105"/>
  <c r="D489" i="105"/>
  <c r="N488" i="105"/>
  <c r="D488" i="105"/>
  <c r="N487" i="105"/>
  <c r="D487" i="105"/>
  <c r="N486" i="105"/>
  <c r="D486" i="105"/>
  <c r="N485" i="105"/>
  <c r="D485" i="105"/>
  <c r="M471" i="105"/>
  <c r="L471" i="105"/>
  <c r="K471" i="105"/>
  <c r="I471" i="105"/>
  <c r="H471" i="105"/>
  <c r="G471" i="105"/>
  <c r="F471" i="105"/>
  <c r="E471" i="105"/>
  <c r="N470" i="105"/>
  <c r="J470" i="105"/>
  <c r="D470" i="105"/>
  <c r="N469" i="105"/>
  <c r="J469" i="105"/>
  <c r="D469" i="105"/>
  <c r="N468" i="105"/>
  <c r="J468" i="105"/>
  <c r="D468" i="105"/>
  <c r="N467" i="105"/>
  <c r="J467" i="105"/>
  <c r="D467" i="105"/>
  <c r="N466" i="105"/>
  <c r="J466" i="105"/>
  <c r="D466" i="105"/>
  <c r="N465" i="105"/>
  <c r="J465" i="105"/>
  <c r="D465" i="105"/>
  <c r="M464" i="105"/>
  <c r="L464" i="105"/>
  <c r="K464" i="105"/>
  <c r="N464" i="105" s="1"/>
  <c r="I464" i="105"/>
  <c r="H464" i="105"/>
  <c r="G464" i="105"/>
  <c r="J464" i="105" s="1"/>
  <c r="F464" i="105"/>
  <c r="E464" i="105"/>
  <c r="D464" i="105"/>
  <c r="N463" i="105"/>
  <c r="J463" i="105"/>
  <c r="D463" i="105"/>
  <c r="N462" i="105"/>
  <c r="J462" i="105"/>
  <c r="D462" i="105"/>
  <c r="N461" i="105"/>
  <c r="J461" i="105"/>
  <c r="D461" i="105"/>
  <c r="N460" i="105"/>
  <c r="J460" i="105"/>
  <c r="D460" i="105"/>
  <c r="N459" i="105"/>
  <c r="J459" i="105"/>
  <c r="D459" i="105"/>
  <c r="N458" i="105"/>
  <c r="J458" i="105"/>
  <c r="D458" i="105"/>
  <c r="N457" i="105"/>
  <c r="J457" i="105"/>
  <c r="D457" i="105"/>
  <c r="N456" i="105"/>
  <c r="J456" i="105"/>
  <c r="D456" i="105"/>
  <c r="N454" i="105"/>
  <c r="J454" i="105"/>
  <c r="D454" i="105"/>
  <c r="N453" i="105"/>
  <c r="J453" i="105"/>
  <c r="D453" i="105"/>
  <c r="N452" i="105"/>
  <c r="J452" i="105"/>
  <c r="D452" i="105"/>
  <c r="N451" i="105"/>
  <c r="J451" i="105"/>
  <c r="D451" i="105"/>
  <c r="N450" i="105"/>
  <c r="J450" i="105"/>
  <c r="D450" i="105"/>
  <c r="N449" i="105"/>
  <c r="J449" i="105"/>
  <c r="D449" i="105"/>
  <c r="N448" i="105"/>
  <c r="J448" i="105"/>
  <c r="D448" i="105"/>
  <c r="N447" i="105"/>
  <c r="J447" i="105"/>
  <c r="D447" i="105"/>
  <c r="N446" i="105"/>
  <c r="J446" i="105"/>
  <c r="D446" i="105"/>
  <c r="N445" i="105"/>
  <c r="J445" i="105"/>
  <c r="D445" i="105"/>
  <c r="M444" i="105"/>
  <c r="L444" i="105"/>
  <c r="K444" i="105"/>
  <c r="N444" i="105" s="1"/>
  <c r="I444" i="105"/>
  <c r="H444" i="105"/>
  <c r="G444" i="105"/>
  <c r="J444" i="105" s="1"/>
  <c r="F444" i="105"/>
  <c r="E444" i="105"/>
  <c r="E455" i="105" s="1"/>
  <c r="D444" i="105"/>
  <c r="N443" i="105"/>
  <c r="J443" i="105"/>
  <c r="D443" i="105"/>
  <c r="N442" i="105"/>
  <c r="J442" i="105"/>
  <c r="D442" i="105"/>
  <c r="M441" i="105"/>
  <c r="L441" i="105"/>
  <c r="K441" i="105"/>
  <c r="N441" i="105" s="1"/>
  <c r="I441" i="105"/>
  <c r="H441" i="105"/>
  <c r="G441" i="105"/>
  <c r="J441" i="105" s="1"/>
  <c r="F441" i="105"/>
  <c r="D441" i="105"/>
  <c r="N440" i="105"/>
  <c r="J440" i="105"/>
  <c r="D440" i="105"/>
  <c r="N439" i="105"/>
  <c r="J439" i="105"/>
  <c r="D439" i="105"/>
  <c r="M438" i="105"/>
  <c r="M455" i="105" s="1"/>
  <c r="L438" i="105"/>
  <c r="L455" i="105" s="1"/>
  <c r="K438" i="105"/>
  <c r="I438" i="105"/>
  <c r="I455" i="105" s="1"/>
  <c r="H438" i="105"/>
  <c r="H455" i="105" s="1"/>
  <c r="G438" i="105"/>
  <c r="F438" i="105"/>
  <c r="F455" i="105" s="1"/>
  <c r="N437" i="105"/>
  <c r="J437" i="105"/>
  <c r="D437" i="105"/>
  <c r="N436" i="105"/>
  <c r="J436" i="105"/>
  <c r="D436" i="105"/>
  <c r="N435" i="105"/>
  <c r="J435" i="105"/>
  <c r="D435" i="105"/>
  <c r="N434" i="105"/>
  <c r="J434" i="105"/>
  <c r="D434" i="105"/>
  <c r="N433" i="105"/>
  <c r="J433" i="105"/>
  <c r="D433" i="105"/>
  <c r="N432" i="105"/>
  <c r="J432" i="105"/>
  <c r="D432" i="105"/>
  <c r="M418" i="105"/>
  <c r="L418" i="105"/>
  <c r="K418" i="105"/>
  <c r="I418" i="105"/>
  <c r="H418" i="105"/>
  <c r="G418" i="105"/>
  <c r="F418" i="105"/>
  <c r="E418" i="105"/>
  <c r="N417" i="105"/>
  <c r="J417" i="105"/>
  <c r="D417" i="105"/>
  <c r="N416" i="105"/>
  <c r="J416" i="105"/>
  <c r="D416" i="105"/>
  <c r="N415" i="105"/>
  <c r="J415" i="105"/>
  <c r="D415" i="105"/>
  <c r="N414" i="105"/>
  <c r="J414" i="105"/>
  <c r="D414" i="105"/>
  <c r="N413" i="105"/>
  <c r="J413" i="105"/>
  <c r="D413" i="105"/>
  <c r="N412" i="105"/>
  <c r="J412" i="105"/>
  <c r="D412" i="105"/>
  <c r="M411" i="105"/>
  <c r="L411" i="105"/>
  <c r="K411" i="105"/>
  <c r="N411" i="105" s="1"/>
  <c r="I411" i="105"/>
  <c r="H411" i="105"/>
  <c r="G411" i="105"/>
  <c r="J411" i="105" s="1"/>
  <c r="F411" i="105"/>
  <c r="E411" i="105"/>
  <c r="D411" i="105"/>
  <c r="N410" i="105"/>
  <c r="J410" i="105"/>
  <c r="D410" i="105"/>
  <c r="N409" i="105"/>
  <c r="J409" i="105"/>
  <c r="D409" i="105"/>
  <c r="N408" i="105"/>
  <c r="J408" i="105"/>
  <c r="D408" i="105"/>
  <c r="N407" i="105"/>
  <c r="J407" i="105"/>
  <c r="D407" i="105"/>
  <c r="N406" i="105"/>
  <c r="J406" i="105"/>
  <c r="D406" i="105"/>
  <c r="N405" i="105"/>
  <c r="J405" i="105"/>
  <c r="D405" i="105"/>
  <c r="N404" i="105"/>
  <c r="J404" i="105"/>
  <c r="D404" i="105"/>
  <c r="N403" i="105"/>
  <c r="J403" i="105"/>
  <c r="D403" i="105"/>
  <c r="N401" i="105"/>
  <c r="J401" i="105"/>
  <c r="D401" i="105"/>
  <c r="N400" i="105"/>
  <c r="J400" i="105"/>
  <c r="D400" i="105"/>
  <c r="N399" i="105"/>
  <c r="J399" i="105"/>
  <c r="D399" i="105"/>
  <c r="N398" i="105"/>
  <c r="J398" i="105"/>
  <c r="D398" i="105"/>
  <c r="N397" i="105"/>
  <c r="J397" i="105"/>
  <c r="D397" i="105"/>
  <c r="N396" i="105"/>
  <c r="J396" i="105"/>
  <c r="D396" i="105"/>
  <c r="N395" i="105"/>
  <c r="J395" i="105"/>
  <c r="D395" i="105"/>
  <c r="N394" i="105"/>
  <c r="J394" i="105"/>
  <c r="D394" i="105"/>
  <c r="N393" i="105"/>
  <c r="J393" i="105"/>
  <c r="D393" i="105"/>
  <c r="N392" i="105"/>
  <c r="J392" i="105"/>
  <c r="D392" i="105"/>
  <c r="M391" i="105"/>
  <c r="L391" i="105"/>
  <c r="K391" i="105"/>
  <c r="N391" i="105" s="1"/>
  <c r="J391" i="105"/>
  <c r="I391" i="105"/>
  <c r="H391" i="105"/>
  <c r="G391" i="105"/>
  <c r="F391" i="105"/>
  <c r="E391" i="105"/>
  <c r="D391" i="105"/>
  <c r="N390" i="105"/>
  <c r="J390" i="105"/>
  <c r="D390" i="105"/>
  <c r="N389" i="105"/>
  <c r="J389" i="105"/>
  <c r="D389" i="105"/>
  <c r="M388" i="105"/>
  <c r="L388" i="105"/>
  <c r="K388" i="105"/>
  <c r="N388" i="105" s="1"/>
  <c r="I388" i="105"/>
  <c r="H388" i="105"/>
  <c r="G388" i="105"/>
  <c r="J388" i="105" s="1"/>
  <c r="F388" i="105"/>
  <c r="D388" i="105"/>
  <c r="N387" i="105"/>
  <c r="J387" i="105"/>
  <c r="D387" i="105"/>
  <c r="N386" i="105"/>
  <c r="J386" i="105"/>
  <c r="D386" i="105"/>
  <c r="M385" i="105"/>
  <c r="M402" i="105" s="1"/>
  <c r="L385" i="105"/>
  <c r="L402" i="105" s="1"/>
  <c r="K385" i="105"/>
  <c r="I385" i="105"/>
  <c r="I402" i="105" s="1"/>
  <c r="H385" i="105"/>
  <c r="H402" i="105" s="1"/>
  <c r="G385" i="105"/>
  <c r="F385" i="105"/>
  <c r="F402" i="105" s="1"/>
  <c r="E385" i="105"/>
  <c r="E402" i="105" s="1"/>
  <c r="N384" i="105"/>
  <c r="J384" i="105"/>
  <c r="D384" i="105"/>
  <c r="N383" i="105"/>
  <c r="J383" i="105"/>
  <c r="D383" i="105"/>
  <c r="N382" i="105"/>
  <c r="J382" i="105"/>
  <c r="D382" i="105"/>
  <c r="N381" i="105"/>
  <c r="J381" i="105"/>
  <c r="D381" i="105"/>
  <c r="N380" i="105"/>
  <c r="J380" i="105"/>
  <c r="D380" i="105"/>
  <c r="N379" i="105"/>
  <c r="J379" i="105"/>
  <c r="D379" i="105"/>
  <c r="M367" i="105"/>
  <c r="L367" i="105"/>
  <c r="K367" i="105"/>
  <c r="I367" i="105"/>
  <c r="H367" i="105"/>
  <c r="G367" i="105"/>
  <c r="F367" i="105"/>
  <c r="E367" i="105"/>
  <c r="N366" i="105"/>
  <c r="J366" i="105"/>
  <c r="D366" i="105"/>
  <c r="N365" i="105"/>
  <c r="J365" i="105"/>
  <c r="D365" i="105"/>
  <c r="N364" i="105"/>
  <c r="J364" i="105"/>
  <c r="D364" i="105"/>
  <c r="N363" i="105"/>
  <c r="J363" i="105"/>
  <c r="D363" i="105"/>
  <c r="N362" i="105"/>
  <c r="J362" i="105"/>
  <c r="D362" i="105"/>
  <c r="N361" i="105"/>
  <c r="J361" i="105"/>
  <c r="D361" i="105"/>
  <c r="M360" i="105"/>
  <c r="L360" i="105"/>
  <c r="K360" i="105"/>
  <c r="N360" i="105" s="1"/>
  <c r="I360" i="105"/>
  <c r="H360" i="105"/>
  <c r="F360" i="105"/>
  <c r="E360" i="105"/>
  <c r="N359" i="105"/>
  <c r="G359" i="105"/>
  <c r="N358" i="105"/>
  <c r="J358" i="105"/>
  <c r="D358" i="105"/>
  <c r="N357" i="105"/>
  <c r="J357" i="105"/>
  <c r="D357" i="105"/>
  <c r="N356" i="105"/>
  <c r="J356" i="105"/>
  <c r="D356" i="105"/>
  <c r="N355" i="105"/>
  <c r="J355" i="105"/>
  <c r="D355" i="105"/>
  <c r="N354" i="105"/>
  <c r="J354" i="105"/>
  <c r="D354" i="105"/>
  <c r="N353" i="105"/>
  <c r="J353" i="105"/>
  <c r="D353" i="105"/>
  <c r="N352" i="105"/>
  <c r="J352" i="105"/>
  <c r="D352" i="105"/>
  <c r="N350" i="105"/>
  <c r="J350" i="105"/>
  <c r="D350" i="105"/>
  <c r="N349" i="105"/>
  <c r="J349" i="105"/>
  <c r="D349" i="105"/>
  <c r="N348" i="105"/>
  <c r="J348" i="105"/>
  <c r="D348" i="105"/>
  <c r="N347" i="105"/>
  <c r="J347" i="105"/>
  <c r="D347" i="105"/>
  <c r="N346" i="105"/>
  <c r="J346" i="105"/>
  <c r="D346" i="105"/>
  <c r="N345" i="105"/>
  <c r="J345" i="105"/>
  <c r="D345" i="105"/>
  <c r="N344" i="105"/>
  <c r="J344" i="105"/>
  <c r="D344" i="105"/>
  <c r="N343" i="105"/>
  <c r="J343" i="105"/>
  <c r="D343" i="105"/>
  <c r="N342" i="105"/>
  <c r="J342" i="105"/>
  <c r="D342" i="105"/>
  <c r="N341" i="105"/>
  <c r="J341" i="105"/>
  <c r="D341" i="105"/>
  <c r="M340" i="105"/>
  <c r="L340" i="105"/>
  <c r="K340" i="105"/>
  <c r="N340" i="105" s="1"/>
  <c r="I340" i="105"/>
  <c r="H340" i="105"/>
  <c r="G340" i="105"/>
  <c r="J340" i="105" s="1"/>
  <c r="F340" i="105"/>
  <c r="E340" i="105"/>
  <c r="D340" i="105"/>
  <c r="N339" i="105"/>
  <c r="J339" i="105"/>
  <c r="D339" i="105"/>
  <c r="N338" i="105"/>
  <c r="J338" i="105"/>
  <c r="D338" i="105"/>
  <c r="M337" i="105"/>
  <c r="L337" i="105"/>
  <c r="K337" i="105"/>
  <c r="N337" i="105" s="1"/>
  <c r="I337" i="105"/>
  <c r="H337" i="105"/>
  <c r="G337" i="105"/>
  <c r="J337" i="105" s="1"/>
  <c r="F337" i="105"/>
  <c r="D337" i="105"/>
  <c r="N336" i="105"/>
  <c r="J336" i="105"/>
  <c r="D336" i="105"/>
  <c r="N335" i="105"/>
  <c r="J335" i="105"/>
  <c r="D335" i="105"/>
  <c r="M334" i="105"/>
  <c r="M351" i="105" s="1"/>
  <c r="L334" i="105"/>
  <c r="L351" i="105" s="1"/>
  <c r="K334" i="105"/>
  <c r="I334" i="105"/>
  <c r="I351" i="105" s="1"/>
  <c r="H334" i="105"/>
  <c r="H351" i="105" s="1"/>
  <c r="G334" i="105"/>
  <c r="F334" i="105"/>
  <c r="F351" i="105" s="1"/>
  <c r="E334" i="105"/>
  <c r="E351" i="105" s="1"/>
  <c r="N333" i="105"/>
  <c r="J333" i="105"/>
  <c r="D333" i="105"/>
  <c r="N332" i="105"/>
  <c r="J332" i="105"/>
  <c r="D332" i="105"/>
  <c r="N331" i="105"/>
  <c r="J331" i="105"/>
  <c r="D331" i="105"/>
  <c r="N330" i="105"/>
  <c r="J330" i="105"/>
  <c r="D330" i="105"/>
  <c r="N329" i="105"/>
  <c r="J329" i="105"/>
  <c r="D329" i="105"/>
  <c r="N328" i="105"/>
  <c r="J328" i="105"/>
  <c r="D328" i="105"/>
  <c r="M313" i="105"/>
  <c r="L313" i="105"/>
  <c r="K313" i="105"/>
  <c r="I313" i="105"/>
  <c r="H313" i="105"/>
  <c r="G313" i="105"/>
  <c r="F313" i="105"/>
  <c r="E313" i="105"/>
  <c r="N312" i="105"/>
  <c r="J312" i="105"/>
  <c r="D312" i="105"/>
  <c r="N311" i="105"/>
  <c r="J311" i="105"/>
  <c r="D311" i="105"/>
  <c r="N310" i="105"/>
  <c r="J310" i="105"/>
  <c r="D310" i="105"/>
  <c r="N309" i="105"/>
  <c r="J309" i="105"/>
  <c r="D309" i="105"/>
  <c r="N308" i="105"/>
  <c r="J308" i="105"/>
  <c r="D308" i="105"/>
  <c r="N307" i="105"/>
  <c r="J307" i="105"/>
  <c r="D307" i="105"/>
  <c r="M306" i="105"/>
  <c r="L306" i="105"/>
  <c r="K306" i="105"/>
  <c r="N306" i="105" s="1"/>
  <c r="I306" i="105"/>
  <c r="H306" i="105"/>
  <c r="G306" i="105"/>
  <c r="J306" i="105" s="1"/>
  <c r="F306" i="105"/>
  <c r="E306" i="105"/>
  <c r="D306" i="105"/>
  <c r="N305" i="105"/>
  <c r="J305" i="105"/>
  <c r="D305" i="105"/>
  <c r="N304" i="105"/>
  <c r="J304" i="105"/>
  <c r="D304" i="105"/>
  <c r="N303" i="105"/>
  <c r="J303" i="105"/>
  <c r="D303" i="105"/>
  <c r="N302" i="105"/>
  <c r="J302" i="105"/>
  <c r="D302" i="105"/>
  <c r="N301" i="105"/>
  <c r="J301" i="105"/>
  <c r="D301" i="105"/>
  <c r="N300" i="105"/>
  <c r="J300" i="105"/>
  <c r="D300" i="105"/>
  <c r="N299" i="105"/>
  <c r="J299" i="105"/>
  <c r="D299" i="105"/>
  <c r="N298" i="105"/>
  <c r="J298" i="105"/>
  <c r="D298" i="105"/>
  <c r="N296" i="105"/>
  <c r="J296" i="105"/>
  <c r="D296" i="105"/>
  <c r="N295" i="105"/>
  <c r="J295" i="105"/>
  <c r="D295" i="105"/>
  <c r="N294" i="105"/>
  <c r="J294" i="105"/>
  <c r="D294" i="105"/>
  <c r="N293" i="105"/>
  <c r="J293" i="105"/>
  <c r="D293" i="105"/>
  <c r="N292" i="105"/>
  <c r="J292" i="105"/>
  <c r="D292" i="105"/>
  <c r="N291" i="105"/>
  <c r="J291" i="105"/>
  <c r="D291" i="105"/>
  <c r="N290" i="105"/>
  <c r="J290" i="105"/>
  <c r="D290" i="105"/>
  <c r="N289" i="105"/>
  <c r="J289" i="105"/>
  <c r="D289" i="105"/>
  <c r="N288" i="105"/>
  <c r="J288" i="105"/>
  <c r="D288" i="105"/>
  <c r="N287" i="105"/>
  <c r="J287" i="105"/>
  <c r="D287" i="105"/>
  <c r="M286" i="105"/>
  <c r="L286" i="105"/>
  <c r="K286" i="105"/>
  <c r="N286" i="105" s="1"/>
  <c r="I286" i="105"/>
  <c r="H286" i="105"/>
  <c r="G286" i="105"/>
  <c r="J286" i="105" s="1"/>
  <c r="F286" i="105"/>
  <c r="E286" i="105"/>
  <c r="E297" i="105" s="1"/>
  <c r="D286" i="105"/>
  <c r="N285" i="105"/>
  <c r="J285" i="105"/>
  <c r="D285" i="105"/>
  <c r="N284" i="105"/>
  <c r="J284" i="105"/>
  <c r="D284" i="105"/>
  <c r="M283" i="105"/>
  <c r="L283" i="105"/>
  <c r="K283" i="105"/>
  <c r="N283" i="105" s="1"/>
  <c r="I283" i="105"/>
  <c r="H283" i="105"/>
  <c r="G283" i="105"/>
  <c r="J283" i="105" s="1"/>
  <c r="F283" i="105"/>
  <c r="D283" i="105"/>
  <c r="N282" i="105"/>
  <c r="J282" i="105"/>
  <c r="D282" i="105"/>
  <c r="N281" i="105"/>
  <c r="J281" i="105"/>
  <c r="D281" i="105"/>
  <c r="M280" i="105"/>
  <c r="M297" i="105" s="1"/>
  <c r="L280" i="105"/>
  <c r="L297" i="105" s="1"/>
  <c r="K280" i="105"/>
  <c r="I280" i="105"/>
  <c r="I297" i="105" s="1"/>
  <c r="H280" i="105"/>
  <c r="H297" i="105" s="1"/>
  <c r="G280" i="105"/>
  <c r="F280" i="105"/>
  <c r="F297" i="105" s="1"/>
  <c r="N279" i="105"/>
  <c r="J279" i="105"/>
  <c r="D279" i="105"/>
  <c r="N278" i="105"/>
  <c r="J278" i="105"/>
  <c r="D278" i="105"/>
  <c r="N277" i="105"/>
  <c r="J277" i="105"/>
  <c r="D277" i="105"/>
  <c r="N276" i="105"/>
  <c r="J276" i="105"/>
  <c r="D276" i="105"/>
  <c r="N275" i="105"/>
  <c r="J275" i="105"/>
  <c r="D275" i="105"/>
  <c r="N274" i="105"/>
  <c r="J274" i="105"/>
  <c r="D274" i="105"/>
  <c r="M260" i="105"/>
  <c r="L260" i="105"/>
  <c r="K260" i="105"/>
  <c r="I260" i="105"/>
  <c r="H260" i="105"/>
  <c r="G260" i="105"/>
  <c r="F260" i="105"/>
  <c r="E260" i="105"/>
  <c r="N259" i="105"/>
  <c r="J259" i="105"/>
  <c r="D259" i="105"/>
  <c r="N258" i="105"/>
  <c r="J258" i="105"/>
  <c r="D258" i="105"/>
  <c r="N257" i="105"/>
  <c r="J257" i="105"/>
  <c r="D257" i="105"/>
  <c r="N256" i="105"/>
  <c r="J256" i="105"/>
  <c r="D256" i="105"/>
  <c r="N255" i="105"/>
  <c r="J255" i="105"/>
  <c r="D255" i="105"/>
  <c r="N254" i="105"/>
  <c r="J254" i="105"/>
  <c r="D254" i="105"/>
  <c r="M253" i="105"/>
  <c r="L253" i="105"/>
  <c r="K253" i="105"/>
  <c r="N253" i="105" s="1"/>
  <c r="I253" i="105"/>
  <c r="H253" i="105"/>
  <c r="G253" i="105"/>
  <c r="J253" i="105" s="1"/>
  <c r="F253" i="105"/>
  <c r="E253" i="105"/>
  <c r="D253" i="105"/>
  <c r="N252" i="105"/>
  <c r="J252" i="105"/>
  <c r="D252" i="105"/>
  <c r="N251" i="105"/>
  <c r="J251" i="105"/>
  <c r="D251" i="105"/>
  <c r="N250" i="105"/>
  <c r="J250" i="105"/>
  <c r="D250" i="105"/>
  <c r="N249" i="105"/>
  <c r="J249" i="105"/>
  <c r="D249" i="105"/>
  <c r="N248" i="105"/>
  <c r="J248" i="105"/>
  <c r="D248" i="105"/>
  <c r="N247" i="105"/>
  <c r="J247" i="105"/>
  <c r="D247" i="105"/>
  <c r="N246" i="105"/>
  <c r="J246" i="105"/>
  <c r="D246" i="105"/>
  <c r="N245" i="105"/>
  <c r="J245" i="105"/>
  <c r="D245" i="105"/>
  <c r="N243" i="105"/>
  <c r="J243" i="105"/>
  <c r="D243" i="105"/>
  <c r="N242" i="105"/>
  <c r="J242" i="105"/>
  <c r="D242" i="105"/>
  <c r="N241" i="105"/>
  <c r="J241" i="105"/>
  <c r="D241" i="105"/>
  <c r="N240" i="105"/>
  <c r="J240" i="105"/>
  <c r="D240" i="105"/>
  <c r="N239" i="105"/>
  <c r="J239" i="105"/>
  <c r="D239" i="105"/>
  <c r="N238" i="105"/>
  <c r="J238" i="105"/>
  <c r="D238" i="105"/>
  <c r="N237" i="105"/>
  <c r="J237" i="105"/>
  <c r="D237" i="105"/>
  <c r="N236" i="105"/>
  <c r="J236" i="105"/>
  <c r="D236" i="105"/>
  <c r="N235" i="105"/>
  <c r="J235" i="105"/>
  <c r="D235" i="105"/>
  <c r="N234" i="105"/>
  <c r="J234" i="105"/>
  <c r="D234" i="105"/>
  <c r="M233" i="105"/>
  <c r="L233" i="105"/>
  <c r="K233" i="105"/>
  <c r="N233" i="105" s="1"/>
  <c r="I233" i="105"/>
  <c r="I244" i="105" s="1"/>
  <c r="H233" i="105"/>
  <c r="H244" i="105" s="1"/>
  <c r="G233" i="105"/>
  <c r="F233" i="105"/>
  <c r="F244" i="105" s="1"/>
  <c r="E233" i="105"/>
  <c r="E244" i="105" s="1"/>
  <c r="N232" i="105"/>
  <c r="J232" i="105"/>
  <c r="D232" i="105"/>
  <c r="N231" i="105"/>
  <c r="J231" i="105"/>
  <c r="D231" i="105"/>
  <c r="M230" i="105"/>
  <c r="L230" i="105"/>
  <c r="K230" i="105"/>
  <c r="N230" i="105" s="1"/>
  <c r="J230" i="105"/>
  <c r="D230" i="105"/>
  <c r="N229" i="105"/>
  <c r="J229" i="105"/>
  <c r="D229" i="105"/>
  <c r="N228" i="105"/>
  <c r="J228" i="105"/>
  <c r="D228" i="105"/>
  <c r="M227" i="105"/>
  <c r="M244" i="105" s="1"/>
  <c r="L227" i="105"/>
  <c r="L244" i="105" s="1"/>
  <c r="K227" i="105"/>
  <c r="J227" i="105"/>
  <c r="N226" i="105"/>
  <c r="J226" i="105"/>
  <c r="D226" i="105"/>
  <c r="N225" i="105"/>
  <c r="J225" i="105"/>
  <c r="D225" i="105"/>
  <c r="N224" i="105"/>
  <c r="J224" i="105"/>
  <c r="D224" i="105"/>
  <c r="N223" i="105"/>
  <c r="J223" i="105"/>
  <c r="D223" i="105"/>
  <c r="N222" i="105"/>
  <c r="J222" i="105"/>
  <c r="D222" i="105"/>
  <c r="N221" i="105"/>
  <c r="J221" i="105"/>
  <c r="D221" i="105"/>
  <c r="M208" i="105"/>
  <c r="L208" i="105"/>
  <c r="K208" i="105"/>
  <c r="I208" i="105"/>
  <c r="H208" i="105"/>
  <c r="G208" i="105"/>
  <c r="F208" i="105"/>
  <c r="E208" i="105"/>
  <c r="N207" i="105"/>
  <c r="J207" i="105"/>
  <c r="D207" i="105"/>
  <c r="N206" i="105"/>
  <c r="J206" i="105"/>
  <c r="D206" i="105"/>
  <c r="N205" i="105"/>
  <c r="J205" i="105"/>
  <c r="D205" i="105"/>
  <c r="N204" i="105"/>
  <c r="J204" i="105"/>
  <c r="D204" i="105"/>
  <c r="N203" i="105"/>
  <c r="J203" i="105"/>
  <c r="D203" i="105"/>
  <c r="N202" i="105"/>
  <c r="J202" i="105"/>
  <c r="D202" i="105"/>
  <c r="M201" i="105"/>
  <c r="L201" i="105"/>
  <c r="K201" i="105"/>
  <c r="N201" i="105" s="1"/>
  <c r="I201" i="105"/>
  <c r="H201" i="105"/>
  <c r="G201" i="105"/>
  <c r="J201" i="105" s="1"/>
  <c r="F201" i="105"/>
  <c r="E201" i="105"/>
  <c r="D201" i="105"/>
  <c r="N200" i="105"/>
  <c r="J200" i="105"/>
  <c r="D200" i="105"/>
  <c r="N199" i="105"/>
  <c r="J199" i="105"/>
  <c r="D199" i="105"/>
  <c r="N198" i="105"/>
  <c r="J198" i="105"/>
  <c r="D198" i="105"/>
  <c r="N197" i="105"/>
  <c r="J197" i="105"/>
  <c r="D197" i="105"/>
  <c r="N196" i="105"/>
  <c r="J196" i="105"/>
  <c r="D196" i="105"/>
  <c r="N195" i="105"/>
  <c r="J195" i="105"/>
  <c r="D195" i="105"/>
  <c r="N194" i="105"/>
  <c r="J194" i="105"/>
  <c r="D194" i="105"/>
  <c r="N193" i="105"/>
  <c r="J193" i="105"/>
  <c r="D193" i="105"/>
  <c r="N191" i="105"/>
  <c r="J191" i="105"/>
  <c r="D191" i="105"/>
  <c r="N190" i="105"/>
  <c r="J190" i="105"/>
  <c r="D190" i="105"/>
  <c r="N189" i="105"/>
  <c r="J189" i="105"/>
  <c r="D189" i="105"/>
  <c r="N188" i="105"/>
  <c r="J188" i="105"/>
  <c r="D188" i="105"/>
  <c r="N187" i="105"/>
  <c r="J187" i="105"/>
  <c r="D187" i="105"/>
  <c r="N186" i="105"/>
  <c r="J186" i="105"/>
  <c r="D186" i="105"/>
  <c r="N185" i="105"/>
  <c r="J185" i="105"/>
  <c r="D185" i="105"/>
  <c r="N184" i="105"/>
  <c r="J184" i="105"/>
  <c r="D184" i="105"/>
  <c r="N183" i="105"/>
  <c r="J183" i="105"/>
  <c r="D183" i="105"/>
  <c r="N182" i="105"/>
  <c r="J182" i="105"/>
  <c r="D182" i="105"/>
  <c r="M181" i="105"/>
  <c r="L181" i="105"/>
  <c r="K181" i="105"/>
  <c r="N181" i="105" s="1"/>
  <c r="H181" i="105"/>
  <c r="G181" i="105"/>
  <c r="J181" i="105" s="1"/>
  <c r="F181" i="105"/>
  <c r="E181" i="105"/>
  <c r="E192" i="105" s="1"/>
  <c r="N180" i="105"/>
  <c r="J180" i="105"/>
  <c r="D180" i="105"/>
  <c r="N179" i="105"/>
  <c r="J179" i="105"/>
  <c r="D179" i="105"/>
  <c r="M178" i="105"/>
  <c r="L178" i="105"/>
  <c r="K178" i="105"/>
  <c r="N178" i="105" s="1"/>
  <c r="I178" i="105"/>
  <c r="H178" i="105"/>
  <c r="G178" i="105"/>
  <c r="J178" i="105" s="1"/>
  <c r="F178" i="105"/>
  <c r="F192" i="105" s="1"/>
  <c r="D178" i="105"/>
  <c r="N177" i="105"/>
  <c r="J177" i="105"/>
  <c r="D177" i="105"/>
  <c r="N176" i="105"/>
  <c r="J176" i="105"/>
  <c r="D176" i="105"/>
  <c r="M175" i="105"/>
  <c r="M192" i="105" s="1"/>
  <c r="L175" i="105"/>
  <c r="L192" i="105" s="1"/>
  <c r="K175" i="105"/>
  <c r="I175" i="105"/>
  <c r="I192" i="105" s="1"/>
  <c r="H175" i="105"/>
  <c r="H192" i="105" s="1"/>
  <c r="G175" i="105"/>
  <c r="N174" i="105"/>
  <c r="J174" i="105"/>
  <c r="D174" i="105"/>
  <c r="N173" i="105"/>
  <c r="J173" i="105"/>
  <c r="D173" i="105"/>
  <c r="D172" i="105"/>
  <c r="N171" i="105"/>
  <c r="J171" i="105"/>
  <c r="D171" i="105"/>
  <c r="N170" i="105"/>
  <c r="J170" i="105"/>
  <c r="D170" i="105"/>
  <c r="N169" i="105"/>
  <c r="J169" i="105"/>
  <c r="D169" i="105"/>
  <c r="M156" i="105"/>
  <c r="L156" i="105"/>
  <c r="K156" i="105"/>
  <c r="I156" i="105"/>
  <c r="H156" i="105"/>
  <c r="G156" i="105"/>
  <c r="F156" i="105"/>
  <c r="E156" i="105"/>
  <c r="N155" i="105"/>
  <c r="J155" i="105"/>
  <c r="D155" i="105"/>
  <c r="N154" i="105"/>
  <c r="J154" i="105"/>
  <c r="D154" i="105"/>
  <c r="N153" i="105"/>
  <c r="J153" i="105"/>
  <c r="D153" i="105"/>
  <c r="N152" i="105"/>
  <c r="J152" i="105"/>
  <c r="D152" i="105"/>
  <c r="N151" i="105"/>
  <c r="J151" i="105"/>
  <c r="D151" i="105"/>
  <c r="N150" i="105"/>
  <c r="J150" i="105"/>
  <c r="D150" i="105"/>
  <c r="M149" i="105"/>
  <c r="L149" i="105"/>
  <c r="K149" i="105"/>
  <c r="N149" i="105" s="1"/>
  <c r="I149" i="105"/>
  <c r="H149" i="105"/>
  <c r="G149" i="105"/>
  <c r="J149" i="105" s="1"/>
  <c r="F149" i="105"/>
  <c r="E149" i="105"/>
  <c r="D149" i="105"/>
  <c r="N148" i="105"/>
  <c r="J148" i="105"/>
  <c r="D148" i="105"/>
  <c r="N147" i="105"/>
  <c r="J147" i="105"/>
  <c r="D147" i="105"/>
  <c r="N146" i="105"/>
  <c r="J146" i="105"/>
  <c r="D146" i="105"/>
  <c r="N145" i="105"/>
  <c r="J145" i="105"/>
  <c r="D145" i="105"/>
  <c r="N144" i="105"/>
  <c r="J144" i="105"/>
  <c r="D144" i="105"/>
  <c r="N143" i="105"/>
  <c r="J143" i="105"/>
  <c r="D143" i="105"/>
  <c r="N142" i="105"/>
  <c r="J142" i="105"/>
  <c r="D142" i="105"/>
  <c r="N141" i="105"/>
  <c r="J141" i="105"/>
  <c r="D141" i="105"/>
  <c r="N139" i="105"/>
  <c r="J139" i="105"/>
  <c r="D139" i="105"/>
  <c r="N138" i="105"/>
  <c r="J138" i="105"/>
  <c r="D138" i="105"/>
  <c r="N137" i="105"/>
  <c r="J137" i="105"/>
  <c r="D137" i="105"/>
  <c r="N136" i="105"/>
  <c r="J136" i="105"/>
  <c r="D136" i="105"/>
  <c r="N135" i="105"/>
  <c r="J135" i="105"/>
  <c r="D135" i="105"/>
  <c r="N134" i="105"/>
  <c r="J134" i="105"/>
  <c r="D134" i="105"/>
  <c r="N133" i="105"/>
  <c r="J133" i="105"/>
  <c r="D133" i="105"/>
  <c r="N132" i="105"/>
  <c r="J132" i="105"/>
  <c r="D132" i="105"/>
  <c r="N131" i="105"/>
  <c r="J131" i="105"/>
  <c r="D131" i="105"/>
  <c r="N130" i="105"/>
  <c r="J130" i="105"/>
  <c r="D130" i="105"/>
  <c r="M129" i="105"/>
  <c r="L129" i="105"/>
  <c r="K129" i="105"/>
  <c r="N129" i="105" s="1"/>
  <c r="I129" i="105"/>
  <c r="H129" i="105"/>
  <c r="G129" i="105"/>
  <c r="J129" i="105" s="1"/>
  <c r="F129" i="105"/>
  <c r="E129" i="105"/>
  <c r="E140" i="105" s="1"/>
  <c r="D129" i="105"/>
  <c r="N128" i="105"/>
  <c r="J128" i="105"/>
  <c r="D128" i="105"/>
  <c r="N127" i="105"/>
  <c r="J127" i="105"/>
  <c r="D127" i="105"/>
  <c r="M126" i="105"/>
  <c r="L126" i="105"/>
  <c r="K126" i="105"/>
  <c r="N126" i="105" s="1"/>
  <c r="I126" i="105"/>
  <c r="H126" i="105"/>
  <c r="G126" i="105"/>
  <c r="J126" i="105" s="1"/>
  <c r="F126" i="105"/>
  <c r="D126" i="105"/>
  <c r="N125" i="105"/>
  <c r="J125" i="105"/>
  <c r="D125" i="105"/>
  <c r="N124" i="105"/>
  <c r="J124" i="105"/>
  <c r="D124" i="105"/>
  <c r="M123" i="105"/>
  <c r="M140" i="105" s="1"/>
  <c r="L123" i="105"/>
  <c r="L140" i="105" s="1"/>
  <c r="K123" i="105"/>
  <c r="I123" i="105"/>
  <c r="I140" i="105" s="1"/>
  <c r="H123" i="105"/>
  <c r="H140" i="105" s="1"/>
  <c r="G123" i="105"/>
  <c r="F123" i="105"/>
  <c r="F140" i="105" s="1"/>
  <c r="N122" i="105"/>
  <c r="J122" i="105"/>
  <c r="D122" i="105"/>
  <c r="N121" i="105"/>
  <c r="J121" i="105"/>
  <c r="D121" i="105"/>
  <c r="N120" i="105"/>
  <c r="J120" i="105"/>
  <c r="D120" i="105"/>
  <c r="N119" i="105"/>
  <c r="J119" i="105"/>
  <c r="D119" i="105"/>
  <c r="N118" i="105"/>
  <c r="J118" i="105"/>
  <c r="D118" i="105"/>
  <c r="N117" i="105"/>
  <c r="J117" i="105"/>
  <c r="D117" i="105"/>
  <c r="M104" i="105"/>
  <c r="L104" i="105"/>
  <c r="K104" i="105"/>
  <c r="I104" i="105"/>
  <c r="H104" i="105"/>
  <c r="G104" i="105"/>
  <c r="F104" i="105"/>
  <c r="E104" i="105"/>
  <c r="AO103" i="105"/>
  <c r="AN103" i="105"/>
  <c r="AM103" i="105"/>
  <c r="AK103" i="105"/>
  <c r="N103" i="105"/>
  <c r="AP103" i="105" s="1"/>
  <c r="J103" i="105"/>
  <c r="AL103" i="105" s="1"/>
  <c r="D103" i="105"/>
  <c r="AO102" i="105"/>
  <c r="AN102" i="105"/>
  <c r="AM102" i="105"/>
  <c r="AK102" i="105"/>
  <c r="N102" i="105"/>
  <c r="AP102" i="105" s="1"/>
  <c r="J102" i="105"/>
  <c r="AL102" i="105" s="1"/>
  <c r="D102" i="105"/>
  <c r="AO101" i="105"/>
  <c r="AN101" i="105"/>
  <c r="AM101" i="105"/>
  <c r="AK101" i="105"/>
  <c r="N101" i="105"/>
  <c r="AP101" i="105" s="1"/>
  <c r="J101" i="105"/>
  <c r="AL101" i="105" s="1"/>
  <c r="D101" i="105"/>
  <c r="AO100" i="105"/>
  <c r="AN100" i="105"/>
  <c r="AM100" i="105"/>
  <c r="AK100" i="105"/>
  <c r="N100" i="105"/>
  <c r="AP100" i="105" s="1"/>
  <c r="J100" i="105"/>
  <c r="AL100" i="105" s="1"/>
  <c r="D100" i="105"/>
  <c r="AO99" i="105"/>
  <c r="AN99" i="105"/>
  <c r="AM99" i="105"/>
  <c r="AK99" i="105"/>
  <c r="N99" i="105"/>
  <c r="AP99" i="105" s="1"/>
  <c r="J99" i="105"/>
  <c r="AL99" i="105" s="1"/>
  <c r="D99" i="105"/>
  <c r="AO98" i="105"/>
  <c r="AN98" i="105"/>
  <c r="AM98" i="105"/>
  <c r="AK98" i="105"/>
  <c r="N98" i="105"/>
  <c r="AP98" i="105" s="1"/>
  <c r="J98" i="105"/>
  <c r="AL98" i="105" s="1"/>
  <c r="D98" i="105"/>
  <c r="M97" i="105"/>
  <c r="AO97" i="105" s="1"/>
  <c r="L97" i="105"/>
  <c r="AN97" i="105" s="1"/>
  <c r="K97" i="105"/>
  <c r="I97" i="105"/>
  <c r="AK97" i="105" s="1"/>
  <c r="H97" i="105"/>
  <c r="G97" i="105"/>
  <c r="J97" i="105" s="1"/>
  <c r="AL97" i="105" s="1"/>
  <c r="F97" i="105"/>
  <c r="E97" i="105"/>
  <c r="AO96" i="105"/>
  <c r="AN96" i="105"/>
  <c r="AM96" i="105"/>
  <c r="AK96" i="105"/>
  <c r="N96" i="105"/>
  <c r="AP96" i="105" s="1"/>
  <c r="J96" i="105"/>
  <c r="AL96" i="105" s="1"/>
  <c r="D96" i="105"/>
  <c r="AO95" i="105"/>
  <c r="AN95" i="105"/>
  <c r="AM95" i="105"/>
  <c r="AK95" i="105"/>
  <c r="N95" i="105"/>
  <c r="AP95" i="105" s="1"/>
  <c r="J95" i="105"/>
  <c r="AL95" i="105" s="1"/>
  <c r="D95" i="105"/>
  <c r="AO94" i="105"/>
  <c r="AN94" i="105"/>
  <c r="AM94" i="105"/>
  <c r="AK94" i="105"/>
  <c r="N94" i="105"/>
  <c r="AP94" i="105" s="1"/>
  <c r="J94" i="105"/>
  <c r="AL94" i="105" s="1"/>
  <c r="D94" i="105"/>
  <c r="AO93" i="105"/>
  <c r="AN93" i="105"/>
  <c r="AM93" i="105"/>
  <c r="AK93" i="105"/>
  <c r="N93" i="105"/>
  <c r="AP93" i="105" s="1"/>
  <c r="J93" i="105"/>
  <c r="AL93" i="105" s="1"/>
  <c r="D93" i="105"/>
  <c r="AO92" i="105"/>
  <c r="AN92" i="105"/>
  <c r="AM92" i="105"/>
  <c r="AK92" i="105"/>
  <c r="N92" i="105"/>
  <c r="AP92" i="105" s="1"/>
  <c r="J92" i="105"/>
  <c r="AL92" i="105" s="1"/>
  <c r="D92" i="105"/>
  <c r="AO91" i="105"/>
  <c r="AN91" i="105"/>
  <c r="AM91" i="105"/>
  <c r="AK91" i="105"/>
  <c r="N91" i="105"/>
  <c r="AP91" i="105" s="1"/>
  <c r="J91" i="105"/>
  <c r="AL91" i="105" s="1"/>
  <c r="D91" i="105"/>
  <c r="AO90" i="105"/>
  <c r="AN90" i="105"/>
  <c r="AM90" i="105"/>
  <c r="AK90" i="105"/>
  <c r="N90" i="105"/>
  <c r="AP90" i="105" s="1"/>
  <c r="J90" i="105"/>
  <c r="AL90" i="105" s="1"/>
  <c r="D90" i="105"/>
  <c r="AO89" i="105"/>
  <c r="AN89" i="105"/>
  <c r="AM89" i="105"/>
  <c r="AK89" i="105"/>
  <c r="N89" i="105"/>
  <c r="AP89" i="105" s="1"/>
  <c r="J89" i="105"/>
  <c r="AL89" i="105" s="1"/>
  <c r="D89" i="105"/>
  <c r="AO87" i="105"/>
  <c r="AN87" i="105"/>
  <c r="AM87" i="105"/>
  <c r="AK87" i="105"/>
  <c r="N87" i="105"/>
  <c r="AP87" i="105" s="1"/>
  <c r="J87" i="105"/>
  <c r="AL87" i="105" s="1"/>
  <c r="D87" i="105"/>
  <c r="AO86" i="105"/>
  <c r="AN86" i="105"/>
  <c r="AM86" i="105"/>
  <c r="AK86" i="105"/>
  <c r="N86" i="105"/>
  <c r="AP86" i="105" s="1"/>
  <c r="J86" i="105"/>
  <c r="AL86" i="105" s="1"/>
  <c r="D86" i="105"/>
  <c r="AO85" i="105"/>
  <c r="AN85" i="105"/>
  <c r="AM85" i="105"/>
  <c r="AK85" i="105"/>
  <c r="N85" i="105"/>
  <c r="AP85" i="105" s="1"/>
  <c r="J85" i="105"/>
  <c r="AL85" i="105" s="1"/>
  <c r="F85" i="105"/>
  <c r="D85" i="105"/>
  <c r="AO84" i="105"/>
  <c r="AN84" i="105"/>
  <c r="AM84" i="105"/>
  <c r="AK84" i="105"/>
  <c r="N84" i="105"/>
  <c r="AP84" i="105" s="1"/>
  <c r="J84" i="105"/>
  <c r="AL84" i="105" s="1"/>
  <c r="D84" i="105"/>
  <c r="AO83" i="105"/>
  <c r="AN83" i="105"/>
  <c r="AM83" i="105"/>
  <c r="AK83" i="105"/>
  <c r="N83" i="105"/>
  <c r="AP83" i="105" s="1"/>
  <c r="J83" i="105"/>
  <c r="AL83" i="105" s="1"/>
  <c r="D83" i="105"/>
  <c r="AO82" i="105"/>
  <c r="AN82" i="105"/>
  <c r="AM82" i="105"/>
  <c r="AK82" i="105"/>
  <c r="N82" i="105"/>
  <c r="AP82" i="105" s="1"/>
  <c r="J82" i="105"/>
  <c r="AL82" i="105" s="1"/>
  <c r="D82" i="105"/>
  <c r="AO81" i="105"/>
  <c r="AN81" i="105"/>
  <c r="AM81" i="105"/>
  <c r="AK81" i="105"/>
  <c r="N81" i="105"/>
  <c r="AP81" i="105" s="1"/>
  <c r="J81" i="105"/>
  <c r="AL81" i="105" s="1"/>
  <c r="D81" i="105"/>
  <c r="AO80" i="105"/>
  <c r="AN80" i="105"/>
  <c r="AM80" i="105"/>
  <c r="AK80" i="105"/>
  <c r="N80" i="105"/>
  <c r="AP80" i="105" s="1"/>
  <c r="J80" i="105"/>
  <c r="AL80" i="105" s="1"/>
  <c r="D80" i="105"/>
  <c r="AO79" i="105"/>
  <c r="AN79" i="105"/>
  <c r="AM79" i="105"/>
  <c r="AK79" i="105"/>
  <c r="N79" i="105"/>
  <c r="AP79" i="105" s="1"/>
  <c r="J79" i="105"/>
  <c r="AL79" i="105" s="1"/>
  <c r="D79" i="105"/>
  <c r="AO78" i="105"/>
  <c r="AN78" i="105"/>
  <c r="AM78" i="105"/>
  <c r="AK78" i="105"/>
  <c r="N78" i="105"/>
  <c r="AP78" i="105" s="1"/>
  <c r="J78" i="105"/>
  <c r="AL78" i="105" s="1"/>
  <c r="D78" i="105"/>
  <c r="M77" i="105"/>
  <c r="AO77" i="105" s="1"/>
  <c r="L77" i="105"/>
  <c r="AN77" i="105" s="1"/>
  <c r="K77" i="105"/>
  <c r="I77" i="105"/>
  <c r="AK77" i="105" s="1"/>
  <c r="H77" i="105"/>
  <c r="G77" i="105"/>
  <c r="J77" i="105" s="1"/>
  <c r="AL77" i="105" s="1"/>
  <c r="F77" i="105"/>
  <c r="E77" i="105"/>
  <c r="E88" i="105" s="1"/>
  <c r="AO76" i="105"/>
  <c r="AN76" i="105"/>
  <c r="AM76" i="105"/>
  <c r="AK76" i="105"/>
  <c r="N76" i="105"/>
  <c r="AP76" i="105" s="1"/>
  <c r="J76" i="105"/>
  <c r="AL76" i="105" s="1"/>
  <c r="D76" i="105"/>
  <c r="AO75" i="105"/>
  <c r="AN75" i="105"/>
  <c r="AM75" i="105"/>
  <c r="AK75" i="105"/>
  <c r="N75" i="105"/>
  <c r="AP75" i="105" s="1"/>
  <c r="J75" i="105"/>
  <c r="AL75" i="105" s="1"/>
  <c r="D75" i="105"/>
  <c r="AK74" i="105"/>
  <c r="M74" i="105"/>
  <c r="AO74" i="105" s="1"/>
  <c r="L74" i="105"/>
  <c r="AN74" i="105" s="1"/>
  <c r="K74" i="105"/>
  <c r="J74" i="105"/>
  <c r="AL74" i="105" s="1"/>
  <c r="AO73" i="105"/>
  <c r="AN73" i="105"/>
  <c r="AM73" i="105"/>
  <c r="AK73" i="105"/>
  <c r="N73" i="105"/>
  <c r="AP73" i="105" s="1"/>
  <c r="J73" i="105"/>
  <c r="AL73" i="105" s="1"/>
  <c r="D73" i="105"/>
  <c r="AO72" i="105"/>
  <c r="AN72" i="105"/>
  <c r="AM72" i="105"/>
  <c r="AK72" i="105"/>
  <c r="N72" i="105"/>
  <c r="AP72" i="105" s="1"/>
  <c r="J72" i="105"/>
  <c r="AL72" i="105" s="1"/>
  <c r="D72" i="105"/>
  <c r="M71" i="105"/>
  <c r="L71" i="105"/>
  <c r="K71" i="105"/>
  <c r="I71" i="105"/>
  <c r="H71" i="105"/>
  <c r="H88" i="105" s="1"/>
  <c r="G71" i="105"/>
  <c r="F71" i="105"/>
  <c r="F88" i="105" s="1"/>
  <c r="AO70" i="105"/>
  <c r="AN70" i="105"/>
  <c r="AM70" i="105"/>
  <c r="AK70" i="105"/>
  <c r="N70" i="105"/>
  <c r="AP70" i="105" s="1"/>
  <c r="J70" i="105"/>
  <c r="AL70" i="105" s="1"/>
  <c r="D70" i="105"/>
  <c r="AO69" i="105"/>
  <c r="AN69" i="105"/>
  <c r="AM69" i="105"/>
  <c r="AK69" i="105"/>
  <c r="N69" i="105"/>
  <c r="AP69" i="105" s="1"/>
  <c r="J69" i="105"/>
  <c r="AL69" i="105" s="1"/>
  <c r="D69" i="105"/>
  <c r="N68" i="105"/>
  <c r="J68" i="105"/>
  <c r="D68" i="105"/>
  <c r="AO67" i="105"/>
  <c r="AN67" i="105"/>
  <c r="AM67" i="105"/>
  <c r="AK67" i="105"/>
  <c r="N67" i="105"/>
  <c r="AP67" i="105" s="1"/>
  <c r="J67" i="105"/>
  <c r="AL67" i="105" s="1"/>
  <c r="D67" i="105"/>
  <c r="AO66" i="105"/>
  <c r="AN66" i="105"/>
  <c r="AM66" i="105"/>
  <c r="AK66" i="105"/>
  <c r="N66" i="105"/>
  <c r="AP66" i="105" s="1"/>
  <c r="J66" i="105"/>
  <c r="AL66" i="105" s="1"/>
  <c r="D66" i="105"/>
  <c r="AO65" i="105"/>
  <c r="AN65" i="105"/>
  <c r="AM65" i="105"/>
  <c r="AK65" i="105"/>
  <c r="N65" i="105"/>
  <c r="AP65" i="105" s="1"/>
  <c r="J65" i="105"/>
  <c r="AL65" i="105" s="1"/>
  <c r="D65" i="105"/>
  <c r="M53" i="105"/>
  <c r="L53" i="105"/>
  <c r="K53" i="105"/>
  <c r="I53" i="105"/>
  <c r="H53" i="105"/>
  <c r="G53" i="105"/>
  <c r="F53" i="105"/>
  <c r="E53" i="105"/>
  <c r="N52" i="105"/>
  <c r="M52" i="105"/>
  <c r="L52" i="105"/>
  <c r="K52" i="105"/>
  <c r="J52" i="105"/>
  <c r="I52" i="105"/>
  <c r="H52" i="105"/>
  <c r="G52" i="105"/>
  <c r="F52" i="105"/>
  <c r="E52" i="105"/>
  <c r="D52" i="105"/>
  <c r="N51" i="105"/>
  <c r="M51" i="105"/>
  <c r="L51" i="105"/>
  <c r="K51" i="105"/>
  <c r="J51" i="105"/>
  <c r="I51" i="105"/>
  <c r="H51" i="105"/>
  <c r="G51" i="105"/>
  <c r="F51" i="105"/>
  <c r="E51" i="105"/>
  <c r="D51" i="105"/>
  <c r="N50" i="105"/>
  <c r="M50" i="105"/>
  <c r="L50" i="105"/>
  <c r="K50" i="105"/>
  <c r="J50" i="105"/>
  <c r="I50" i="105"/>
  <c r="H50" i="105"/>
  <c r="G50" i="105"/>
  <c r="F50" i="105"/>
  <c r="E50" i="105"/>
  <c r="D50" i="105"/>
  <c r="N49" i="105"/>
  <c r="M49" i="105"/>
  <c r="L49" i="105"/>
  <c r="K49" i="105"/>
  <c r="J49" i="105"/>
  <c r="I49" i="105"/>
  <c r="H49" i="105"/>
  <c r="G49" i="105"/>
  <c r="F49" i="105"/>
  <c r="E49" i="105"/>
  <c r="D49" i="105"/>
  <c r="N48" i="105"/>
  <c r="M48" i="105"/>
  <c r="L48" i="105"/>
  <c r="K48" i="105"/>
  <c r="J48" i="105"/>
  <c r="I48" i="105"/>
  <c r="H48" i="105"/>
  <c r="G48" i="105"/>
  <c r="F48" i="105"/>
  <c r="E48" i="105"/>
  <c r="D48" i="105"/>
  <c r="N47" i="105"/>
  <c r="M47" i="105"/>
  <c r="L47" i="105"/>
  <c r="K47" i="105"/>
  <c r="J47" i="105"/>
  <c r="I47" i="105"/>
  <c r="H47" i="105"/>
  <c r="G47" i="105"/>
  <c r="F47" i="105"/>
  <c r="E47" i="105"/>
  <c r="D47" i="105"/>
  <c r="M46" i="105"/>
  <c r="L46" i="105"/>
  <c r="K46" i="105"/>
  <c r="I46" i="105"/>
  <c r="F46" i="105"/>
  <c r="E46" i="105"/>
  <c r="N45" i="105"/>
  <c r="M45" i="105"/>
  <c r="L45" i="105"/>
  <c r="K45" i="105"/>
  <c r="I45" i="105"/>
  <c r="H45" i="105"/>
  <c r="G45" i="105"/>
  <c r="F45" i="105"/>
  <c r="E45" i="105"/>
  <c r="N44" i="105"/>
  <c r="M44" i="105"/>
  <c r="L44" i="105"/>
  <c r="K44" i="105"/>
  <c r="J44" i="105"/>
  <c r="I44" i="105"/>
  <c r="H44" i="105"/>
  <c r="G44" i="105"/>
  <c r="F44" i="105"/>
  <c r="E44" i="105"/>
  <c r="D44" i="105"/>
  <c r="N43" i="105"/>
  <c r="M43" i="105"/>
  <c r="L43" i="105"/>
  <c r="K43" i="105"/>
  <c r="J43" i="105"/>
  <c r="I43" i="105"/>
  <c r="H43" i="105"/>
  <c r="G43" i="105"/>
  <c r="F43" i="105"/>
  <c r="E43" i="105"/>
  <c r="D43" i="105"/>
  <c r="N42" i="105"/>
  <c r="M42" i="105"/>
  <c r="L42" i="105"/>
  <c r="K42" i="105"/>
  <c r="J42" i="105"/>
  <c r="I42" i="105"/>
  <c r="H42" i="105"/>
  <c r="G42" i="105"/>
  <c r="F42" i="105"/>
  <c r="E42" i="105"/>
  <c r="D42" i="105"/>
  <c r="N41" i="105"/>
  <c r="M41" i="105"/>
  <c r="L41" i="105"/>
  <c r="K41" i="105"/>
  <c r="J41" i="105"/>
  <c r="I41" i="105"/>
  <c r="H41" i="105"/>
  <c r="G41" i="105"/>
  <c r="F41" i="105"/>
  <c r="E41" i="105"/>
  <c r="D41" i="105"/>
  <c r="N40" i="105"/>
  <c r="M40" i="105"/>
  <c r="L40" i="105"/>
  <c r="K40" i="105"/>
  <c r="J40" i="105"/>
  <c r="I40" i="105"/>
  <c r="H40" i="105"/>
  <c r="G40" i="105"/>
  <c r="F40" i="105"/>
  <c r="E40" i="105"/>
  <c r="D40" i="105"/>
  <c r="N39" i="105"/>
  <c r="M39" i="105"/>
  <c r="L39" i="105"/>
  <c r="K39" i="105"/>
  <c r="J39" i="105"/>
  <c r="I39" i="105"/>
  <c r="H39" i="105"/>
  <c r="G39" i="105"/>
  <c r="F39" i="105"/>
  <c r="E39" i="105"/>
  <c r="D39" i="105"/>
  <c r="N38" i="105"/>
  <c r="M38" i="105"/>
  <c r="L38" i="105"/>
  <c r="K38" i="105"/>
  <c r="J38" i="105"/>
  <c r="I38" i="105"/>
  <c r="H38" i="105"/>
  <c r="G38" i="105"/>
  <c r="F38" i="105"/>
  <c r="E38" i="105"/>
  <c r="D38" i="105"/>
  <c r="H37" i="105"/>
  <c r="F37" i="105"/>
  <c r="E37" i="105"/>
  <c r="N36" i="105"/>
  <c r="M36" i="105"/>
  <c r="L36" i="105"/>
  <c r="K36" i="105"/>
  <c r="J36" i="105"/>
  <c r="I36" i="105"/>
  <c r="H36" i="105"/>
  <c r="G36" i="105"/>
  <c r="F36" i="105"/>
  <c r="E36" i="105"/>
  <c r="D36" i="105"/>
  <c r="N35" i="105"/>
  <c r="M35" i="105"/>
  <c r="L35" i="105"/>
  <c r="K35" i="105"/>
  <c r="J35" i="105"/>
  <c r="I35" i="105"/>
  <c r="H35" i="105"/>
  <c r="G35" i="105"/>
  <c r="F35" i="105"/>
  <c r="E35" i="105"/>
  <c r="D35" i="105"/>
  <c r="N34" i="105"/>
  <c r="M34" i="105"/>
  <c r="L34" i="105"/>
  <c r="K34" i="105"/>
  <c r="J34" i="105"/>
  <c r="I34" i="105"/>
  <c r="H34" i="105"/>
  <c r="G34" i="105"/>
  <c r="F34" i="105"/>
  <c r="E34" i="105"/>
  <c r="D34" i="105"/>
  <c r="N33" i="105"/>
  <c r="M33" i="105"/>
  <c r="L33" i="105"/>
  <c r="K33" i="105"/>
  <c r="J33" i="105"/>
  <c r="I33" i="105"/>
  <c r="H33" i="105"/>
  <c r="G33" i="105"/>
  <c r="F33" i="105"/>
  <c r="E33" i="105"/>
  <c r="D33" i="105"/>
  <c r="N32" i="105"/>
  <c r="M32" i="105"/>
  <c r="L32" i="105"/>
  <c r="K32" i="105"/>
  <c r="J32" i="105"/>
  <c r="I32" i="105"/>
  <c r="H32" i="105"/>
  <c r="G32" i="105"/>
  <c r="F32" i="105"/>
  <c r="E32" i="105"/>
  <c r="D32" i="105"/>
  <c r="N31" i="105"/>
  <c r="M31" i="105"/>
  <c r="L31" i="105"/>
  <c r="K31" i="105"/>
  <c r="J31" i="105"/>
  <c r="I31" i="105"/>
  <c r="H31" i="105"/>
  <c r="G31" i="105"/>
  <c r="F31" i="105"/>
  <c r="E31" i="105"/>
  <c r="D31" i="105"/>
  <c r="N30" i="105"/>
  <c r="M30" i="105"/>
  <c r="L30" i="105"/>
  <c r="K30" i="105"/>
  <c r="J30" i="105"/>
  <c r="I30" i="105"/>
  <c r="H30" i="105"/>
  <c r="G30" i="105"/>
  <c r="F30" i="105"/>
  <c r="E30" i="105"/>
  <c r="D30" i="105"/>
  <c r="N29" i="105"/>
  <c r="M29" i="105"/>
  <c r="L29" i="105"/>
  <c r="K29" i="105"/>
  <c r="J29" i="105"/>
  <c r="I29" i="105"/>
  <c r="H29" i="105"/>
  <c r="G29" i="105"/>
  <c r="F29" i="105"/>
  <c r="E29" i="105"/>
  <c r="D29" i="105"/>
  <c r="N28" i="105"/>
  <c r="M28" i="105"/>
  <c r="L28" i="105"/>
  <c r="K28" i="105"/>
  <c r="J28" i="105"/>
  <c r="I28" i="105"/>
  <c r="H28" i="105"/>
  <c r="G28" i="105"/>
  <c r="F28" i="105"/>
  <c r="E28" i="105"/>
  <c r="D28" i="105"/>
  <c r="N27" i="105"/>
  <c r="M27" i="105"/>
  <c r="L27" i="105"/>
  <c r="K27" i="105"/>
  <c r="J27" i="105"/>
  <c r="I27" i="105"/>
  <c r="H27" i="105"/>
  <c r="G27" i="105"/>
  <c r="F27" i="105"/>
  <c r="E27" i="105"/>
  <c r="D27" i="105"/>
  <c r="M26" i="105"/>
  <c r="L26" i="105"/>
  <c r="K26" i="105"/>
  <c r="I26" i="105"/>
  <c r="H26" i="105"/>
  <c r="G26" i="105"/>
  <c r="F26" i="105"/>
  <c r="E26" i="105"/>
  <c r="N25" i="105"/>
  <c r="M25" i="105"/>
  <c r="L25" i="105"/>
  <c r="K25" i="105"/>
  <c r="J25" i="105"/>
  <c r="I25" i="105"/>
  <c r="H25" i="105"/>
  <c r="G25" i="105"/>
  <c r="F25" i="105"/>
  <c r="E25" i="105"/>
  <c r="D25" i="105"/>
  <c r="N24" i="105"/>
  <c r="M24" i="105"/>
  <c r="L24" i="105"/>
  <c r="K24" i="105"/>
  <c r="J24" i="105"/>
  <c r="I24" i="105"/>
  <c r="H24" i="105"/>
  <c r="G24" i="105"/>
  <c r="F24" i="105"/>
  <c r="E24" i="105"/>
  <c r="D24" i="105"/>
  <c r="M23" i="105"/>
  <c r="L23" i="105"/>
  <c r="K23" i="105"/>
  <c r="I23" i="105"/>
  <c r="H23" i="105"/>
  <c r="G23" i="105"/>
  <c r="F23" i="105"/>
  <c r="E23" i="105"/>
  <c r="N22" i="105"/>
  <c r="M22" i="105"/>
  <c r="L22" i="105"/>
  <c r="K22" i="105"/>
  <c r="J22" i="105"/>
  <c r="I22" i="105"/>
  <c r="H22" i="105"/>
  <c r="G22" i="105"/>
  <c r="F22" i="105"/>
  <c r="E22" i="105"/>
  <c r="D22" i="105"/>
  <c r="N21" i="105"/>
  <c r="M21" i="105"/>
  <c r="L21" i="105"/>
  <c r="K21" i="105"/>
  <c r="J21" i="105"/>
  <c r="I21" i="105"/>
  <c r="H21" i="105"/>
  <c r="G21" i="105"/>
  <c r="F21" i="105"/>
  <c r="E21" i="105"/>
  <c r="D21" i="105"/>
  <c r="M20" i="105"/>
  <c r="L20" i="105"/>
  <c r="K20" i="105"/>
  <c r="I20" i="105"/>
  <c r="H20" i="105"/>
  <c r="G20" i="105"/>
  <c r="F20" i="105"/>
  <c r="E20" i="105"/>
  <c r="N19" i="105"/>
  <c r="M19" i="105"/>
  <c r="L19" i="105"/>
  <c r="K19" i="105"/>
  <c r="J19" i="105"/>
  <c r="I19" i="105"/>
  <c r="H19" i="105"/>
  <c r="G19" i="105"/>
  <c r="F19" i="105"/>
  <c r="E19" i="105"/>
  <c r="D19" i="105"/>
  <c r="N18" i="105"/>
  <c r="M18" i="105"/>
  <c r="L18" i="105"/>
  <c r="K18" i="105"/>
  <c r="J18" i="105"/>
  <c r="I18" i="105"/>
  <c r="H18" i="105"/>
  <c r="G18" i="105"/>
  <c r="F18" i="105"/>
  <c r="E18" i="105"/>
  <c r="D18" i="105"/>
  <c r="N17" i="105"/>
  <c r="M17" i="105"/>
  <c r="L17" i="105"/>
  <c r="K17" i="105"/>
  <c r="J17" i="105"/>
  <c r="I17" i="105"/>
  <c r="H17" i="105"/>
  <c r="G17" i="105"/>
  <c r="F17" i="105"/>
  <c r="E17" i="105"/>
  <c r="D17" i="105"/>
  <c r="N16" i="105"/>
  <c r="M16" i="105"/>
  <c r="L16" i="105"/>
  <c r="K16" i="105"/>
  <c r="J16" i="105"/>
  <c r="I16" i="105"/>
  <c r="H16" i="105"/>
  <c r="G16" i="105"/>
  <c r="F16" i="105"/>
  <c r="E16" i="105"/>
  <c r="D16" i="105"/>
  <c r="N15" i="105"/>
  <c r="M15" i="105"/>
  <c r="L15" i="105"/>
  <c r="K15" i="105"/>
  <c r="J15" i="105"/>
  <c r="I15" i="105"/>
  <c r="H15" i="105"/>
  <c r="G15" i="105"/>
  <c r="F15" i="105"/>
  <c r="E15" i="105"/>
  <c r="D15" i="105"/>
  <c r="N14" i="105"/>
  <c r="M14" i="105"/>
  <c r="L14" i="105"/>
  <c r="K14" i="105"/>
  <c r="J14" i="105"/>
  <c r="I14" i="105"/>
  <c r="H14" i="105"/>
  <c r="G14" i="105"/>
  <c r="F14" i="105"/>
  <c r="E14" i="105"/>
  <c r="D14" i="105"/>
  <c r="M950" i="106"/>
  <c r="L950" i="106"/>
  <c r="K950" i="106"/>
  <c r="I950" i="106"/>
  <c r="H950" i="106"/>
  <c r="H951" i="106" s="1"/>
  <c r="G950" i="106"/>
  <c r="F950" i="106"/>
  <c r="E950" i="106"/>
  <c r="N949" i="106"/>
  <c r="J949" i="106"/>
  <c r="D949" i="106"/>
  <c r="N948" i="106"/>
  <c r="J948" i="106"/>
  <c r="D948" i="106"/>
  <c r="N947" i="106"/>
  <c r="J947" i="106"/>
  <c r="D947" i="106"/>
  <c r="N946" i="106"/>
  <c r="J946" i="106"/>
  <c r="D946" i="106"/>
  <c r="N945" i="106"/>
  <c r="J945" i="106"/>
  <c r="D945" i="106"/>
  <c r="N944" i="106"/>
  <c r="J944" i="106"/>
  <c r="D944" i="106"/>
  <c r="M943" i="106"/>
  <c r="L943" i="106"/>
  <c r="K943" i="106"/>
  <c r="N943" i="106" s="1"/>
  <c r="I943" i="106"/>
  <c r="G943" i="106"/>
  <c r="J943" i="106" s="1"/>
  <c r="F943" i="106"/>
  <c r="E943" i="106"/>
  <c r="N942" i="106"/>
  <c r="J942" i="106"/>
  <c r="D942" i="106"/>
  <c r="N941" i="106"/>
  <c r="J941" i="106"/>
  <c r="D941" i="106"/>
  <c r="N940" i="106"/>
  <c r="J940" i="106"/>
  <c r="D940" i="106"/>
  <c r="N939" i="106"/>
  <c r="J939" i="106"/>
  <c r="D939" i="106"/>
  <c r="N938" i="106"/>
  <c r="J938" i="106"/>
  <c r="D938" i="106"/>
  <c r="N937" i="106"/>
  <c r="J937" i="106"/>
  <c r="D937" i="106"/>
  <c r="N936" i="106"/>
  <c r="J936" i="106"/>
  <c r="D936" i="106"/>
  <c r="N935" i="106"/>
  <c r="J935" i="106"/>
  <c r="D935" i="106"/>
  <c r="N933" i="106"/>
  <c r="J933" i="106"/>
  <c r="D933" i="106"/>
  <c r="N932" i="106"/>
  <c r="J932" i="106"/>
  <c r="D932" i="106"/>
  <c r="N931" i="106"/>
  <c r="J931" i="106"/>
  <c r="D931" i="106"/>
  <c r="N930" i="106"/>
  <c r="J930" i="106"/>
  <c r="D930" i="106"/>
  <c r="N929" i="106"/>
  <c r="J929" i="106"/>
  <c r="D929" i="106"/>
  <c r="N928" i="106"/>
  <c r="J928" i="106"/>
  <c r="D928" i="106"/>
  <c r="N927" i="106"/>
  <c r="J927" i="106"/>
  <c r="D927" i="106"/>
  <c r="N926" i="106"/>
  <c r="J926" i="106"/>
  <c r="D926" i="106"/>
  <c r="N925" i="106"/>
  <c r="J925" i="106"/>
  <c r="D925" i="106"/>
  <c r="N924" i="106"/>
  <c r="J924" i="106"/>
  <c r="D924" i="106"/>
  <c r="M923" i="106"/>
  <c r="L923" i="106"/>
  <c r="K923" i="106"/>
  <c r="N923" i="106" s="1"/>
  <c r="I923" i="106"/>
  <c r="H923" i="106"/>
  <c r="G923" i="106"/>
  <c r="J923" i="106" s="1"/>
  <c r="F923" i="106"/>
  <c r="E923" i="106"/>
  <c r="E934" i="106" s="1"/>
  <c r="D923" i="106"/>
  <c r="N922" i="106"/>
  <c r="J922" i="106"/>
  <c r="D922" i="106"/>
  <c r="N921" i="106"/>
  <c r="J921" i="106"/>
  <c r="D921" i="106"/>
  <c r="M920" i="106"/>
  <c r="L920" i="106"/>
  <c r="K920" i="106"/>
  <c r="N920" i="106" s="1"/>
  <c r="I920" i="106"/>
  <c r="H920" i="106"/>
  <c r="G920" i="106"/>
  <c r="J920" i="106" s="1"/>
  <c r="F920" i="106"/>
  <c r="D920" i="106"/>
  <c r="N919" i="106"/>
  <c r="J919" i="106"/>
  <c r="D919" i="106"/>
  <c r="N918" i="106"/>
  <c r="J918" i="106"/>
  <c r="D918" i="106"/>
  <c r="M917" i="106"/>
  <c r="M934" i="106" s="1"/>
  <c r="L917" i="106"/>
  <c r="L934" i="106" s="1"/>
  <c r="K917" i="106"/>
  <c r="I917" i="106"/>
  <c r="I934" i="106" s="1"/>
  <c r="H917" i="106"/>
  <c r="H934" i="106" s="1"/>
  <c r="G917" i="106"/>
  <c r="F917" i="106"/>
  <c r="F934" i="106" s="1"/>
  <c r="N916" i="106"/>
  <c r="J916" i="106"/>
  <c r="D916" i="106"/>
  <c r="N915" i="106"/>
  <c r="J915" i="106"/>
  <c r="D915" i="106"/>
  <c r="N914" i="106"/>
  <c r="J914" i="106"/>
  <c r="D914" i="106"/>
  <c r="N913" i="106"/>
  <c r="J913" i="106"/>
  <c r="D913" i="106"/>
  <c r="N912" i="106"/>
  <c r="J912" i="106"/>
  <c r="D912" i="106"/>
  <c r="N911" i="106"/>
  <c r="J911" i="106"/>
  <c r="D911" i="106"/>
  <c r="M896" i="106"/>
  <c r="L896" i="106"/>
  <c r="K896" i="106"/>
  <c r="I896" i="106"/>
  <c r="H896" i="106"/>
  <c r="G896" i="106"/>
  <c r="F896" i="106"/>
  <c r="E896" i="106"/>
  <c r="N895" i="106"/>
  <c r="J895" i="106"/>
  <c r="D895" i="106"/>
  <c r="N894" i="106"/>
  <c r="J894" i="106"/>
  <c r="D894" i="106"/>
  <c r="N893" i="106"/>
  <c r="J893" i="106"/>
  <c r="D893" i="106"/>
  <c r="N892" i="106"/>
  <c r="J892" i="106"/>
  <c r="D892" i="106"/>
  <c r="N891" i="106"/>
  <c r="J891" i="106"/>
  <c r="D891" i="106"/>
  <c r="N890" i="106"/>
  <c r="J890" i="106"/>
  <c r="D890" i="106"/>
  <c r="M889" i="106"/>
  <c r="L889" i="106"/>
  <c r="K889" i="106"/>
  <c r="N889" i="106" s="1"/>
  <c r="I889" i="106"/>
  <c r="H889" i="106"/>
  <c r="G889" i="106"/>
  <c r="J889" i="106" s="1"/>
  <c r="F889" i="106"/>
  <c r="E889" i="106"/>
  <c r="D889" i="106"/>
  <c r="N888" i="106"/>
  <c r="J888" i="106"/>
  <c r="D888" i="106"/>
  <c r="N887" i="106"/>
  <c r="J887" i="106"/>
  <c r="D887" i="106"/>
  <c r="N886" i="106"/>
  <c r="J886" i="106"/>
  <c r="D886" i="106"/>
  <c r="N885" i="106"/>
  <c r="J885" i="106"/>
  <c r="D885" i="106"/>
  <c r="N884" i="106"/>
  <c r="J884" i="106"/>
  <c r="D884" i="106"/>
  <c r="N883" i="106"/>
  <c r="J883" i="106"/>
  <c r="D883" i="106"/>
  <c r="N882" i="106"/>
  <c r="J882" i="106"/>
  <c r="D882" i="106"/>
  <c r="N881" i="106"/>
  <c r="J881" i="106"/>
  <c r="D881" i="106"/>
  <c r="N879" i="106"/>
  <c r="J879" i="106"/>
  <c r="D879" i="106"/>
  <c r="N878" i="106"/>
  <c r="J878" i="106"/>
  <c r="D878" i="106"/>
  <c r="N877" i="106"/>
  <c r="J877" i="106"/>
  <c r="D877" i="106"/>
  <c r="N876" i="106"/>
  <c r="J876" i="106"/>
  <c r="D876" i="106"/>
  <c r="N875" i="106"/>
  <c r="J875" i="106"/>
  <c r="D875" i="106"/>
  <c r="N874" i="106"/>
  <c r="J874" i="106"/>
  <c r="D874" i="106"/>
  <c r="N873" i="106"/>
  <c r="J873" i="106"/>
  <c r="D873" i="106"/>
  <c r="N872" i="106"/>
  <c r="J872" i="106"/>
  <c r="D872" i="106"/>
  <c r="N871" i="106"/>
  <c r="J871" i="106"/>
  <c r="D871" i="106"/>
  <c r="N870" i="106"/>
  <c r="J870" i="106"/>
  <c r="D870" i="106"/>
  <c r="M869" i="106"/>
  <c r="L869" i="106"/>
  <c r="K869" i="106"/>
  <c r="N869" i="106" s="1"/>
  <c r="I869" i="106"/>
  <c r="I880" i="106" s="1"/>
  <c r="H869" i="106"/>
  <c r="H880" i="106" s="1"/>
  <c r="G869" i="106"/>
  <c r="F869" i="106"/>
  <c r="F880" i="106" s="1"/>
  <c r="E869" i="106"/>
  <c r="E880" i="106" s="1"/>
  <c r="N868" i="106"/>
  <c r="J868" i="106"/>
  <c r="D868" i="106"/>
  <c r="N867" i="106"/>
  <c r="J867" i="106"/>
  <c r="D867" i="106"/>
  <c r="M866" i="106"/>
  <c r="L866" i="106"/>
  <c r="K866" i="106"/>
  <c r="N866" i="106" s="1"/>
  <c r="J866" i="106"/>
  <c r="D866" i="106"/>
  <c r="N865" i="106"/>
  <c r="J865" i="106"/>
  <c r="D865" i="106"/>
  <c r="N864" i="106"/>
  <c r="J864" i="106"/>
  <c r="D864" i="106"/>
  <c r="M863" i="106"/>
  <c r="M880" i="106" s="1"/>
  <c r="L863" i="106"/>
  <c r="L880" i="106" s="1"/>
  <c r="K863" i="106"/>
  <c r="J863" i="106"/>
  <c r="N862" i="106"/>
  <c r="J862" i="106"/>
  <c r="D862" i="106"/>
  <c r="N861" i="106"/>
  <c r="J861" i="106"/>
  <c r="D861" i="106"/>
  <c r="N860" i="106"/>
  <c r="J860" i="106"/>
  <c r="D860" i="106"/>
  <c r="N859" i="106"/>
  <c r="J859" i="106"/>
  <c r="D859" i="106"/>
  <c r="N858" i="106"/>
  <c r="J858" i="106"/>
  <c r="D858" i="106"/>
  <c r="N857" i="106"/>
  <c r="J857" i="106"/>
  <c r="D857" i="106"/>
  <c r="M843" i="106"/>
  <c r="L843" i="106"/>
  <c r="K843" i="106"/>
  <c r="I843" i="106"/>
  <c r="H843" i="106"/>
  <c r="G843" i="106"/>
  <c r="F843" i="106"/>
  <c r="E843" i="106"/>
  <c r="N842" i="106"/>
  <c r="J842" i="106"/>
  <c r="D842" i="106"/>
  <c r="N841" i="106"/>
  <c r="J841" i="106"/>
  <c r="D841" i="106"/>
  <c r="N840" i="106"/>
  <c r="J840" i="106"/>
  <c r="D840" i="106"/>
  <c r="N839" i="106"/>
  <c r="J839" i="106"/>
  <c r="D839" i="106"/>
  <c r="N838" i="106"/>
  <c r="D838" i="106"/>
  <c r="N837" i="106"/>
  <c r="D837" i="106"/>
  <c r="M836" i="106"/>
  <c r="L836" i="106"/>
  <c r="K836" i="106"/>
  <c r="N836" i="106" s="1"/>
  <c r="I836" i="106"/>
  <c r="H836" i="106"/>
  <c r="G836" i="106"/>
  <c r="J836" i="106" s="1"/>
  <c r="F836" i="106"/>
  <c r="E836" i="106"/>
  <c r="D836" i="106"/>
  <c r="N835" i="106"/>
  <c r="J835" i="106"/>
  <c r="D835" i="106"/>
  <c r="N834" i="106"/>
  <c r="J834" i="106"/>
  <c r="D834" i="106"/>
  <c r="N833" i="106"/>
  <c r="J833" i="106"/>
  <c r="D833" i="106"/>
  <c r="N832" i="106"/>
  <c r="J832" i="106"/>
  <c r="D832" i="106"/>
  <c r="N831" i="106"/>
  <c r="J831" i="106"/>
  <c r="D831" i="106"/>
  <c r="N830" i="106"/>
  <c r="J830" i="106"/>
  <c r="D830" i="106"/>
  <c r="N829" i="106"/>
  <c r="J829" i="106"/>
  <c r="D829" i="106"/>
  <c r="N828" i="106"/>
  <c r="J828" i="106"/>
  <c r="D828" i="106"/>
  <c r="N826" i="106"/>
  <c r="J826" i="106"/>
  <c r="D826" i="106"/>
  <c r="N825" i="106"/>
  <c r="J825" i="106"/>
  <c r="D825" i="106"/>
  <c r="N824" i="106"/>
  <c r="J824" i="106"/>
  <c r="D824" i="106"/>
  <c r="N823" i="106"/>
  <c r="J823" i="106"/>
  <c r="D823" i="106"/>
  <c r="N822" i="106"/>
  <c r="J822" i="106"/>
  <c r="D822" i="106"/>
  <c r="N821" i="106"/>
  <c r="J821" i="106"/>
  <c r="D821" i="106"/>
  <c r="N820" i="106"/>
  <c r="J820" i="106"/>
  <c r="D820" i="106"/>
  <c r="N819" i="106"/>
  <c r="J819" i="106"/>
  <c r="D819" i="106"/>
  <c r="N818" i="106"/>
  <c r="J818" i="106"/>
  <c r="D818" i="106"/>
  <c r="N817" i="106"/>
  <c r="J817" i="106"/>
  <c r="D817" i="106"/>
  <c r="M816" i="106"/>
  <c r="L816" i="106"/>
  <c r="K816" i="106"/>
  <c r="N816" i="106" s="1"/>
  <c r="I816" i="106"/>
  <c r="H816" i="106"/>
  <c r="G816" i="106"/>
  <c r="J816" i="106" s="1"/>
  <c r="F816" i="106"/>
  <c r="E816" i="106"/>
  <c r="D816" i="106"/>
  <c r="N815" i="106"/>
  <c r="J815" i="106"/>
  <c r="D815" i="106"/>
  <c r="N814" i="106"/>
  <c r="J814" i="106"/>
  <c r="D814" i="106"/>
  <c r="M813" i="106"/>
  <c r="L813" i="106"/>
  <c r="K813" i="106"/>
  <c r="N813" i="106" s="1"/>
  <c r="I813" i="106"/>
  <c r="H813" i="106"/>
  <c r="G813" i="106"/>
  <c r="J813" i="106" s="1"/>
  <c r="F813" i="106"/>
  <c r="D813" i="106"/>
  <c r="N812" i="106"/>
  <c r="J812" i="106"/>
  <c r="D812" i="106"/>
  <c r="N811" i="106"/>
  <c r="J811" i="106"/>
  <c r="D811" i="106"/>
  <c r="M810" i="106"/>
  <c r="M827" i="106" s="1"/>
  <c r="L810" i="106"/>
  <c r="L827" i="106" s="1"/>
  <c r="K810" i="106"/>
  <c r="I810" i="106"/>
  <c r="I827" i="106" s="1"/>
  <c r="H810" i="106"/>
  <c r="H827" i="106" s="1"/>
  <c r="G810" i="106"/>
  <c r="F810" i="106"/>
  <c r="F827" i="106" s="1"/>
  <c r="E810" i="106"/>
  <c r="E827" i="106" s="1"/>
  <c r="N809" i="106"/>
  <c r="J809" i="106"/>
  <c r="D809" i="106"/>
  <c r="N808" i="106"/>
  <c r="J808" i="106"/>
  <c r="D808" i="106"/>
  <c r="N807" i="106"/>
  <c r="J807" i="106"/>
  <c r="D807" i="106"/>
  <c r="N806" i="106"/>
  <c r="J806" i="106"/>
  <c r="D806" i="106"/>
  <c r="N805" i="106"/>
  <c r="J805" i="106"/>
  <c r="D805" i="106"/>
  <c r="N804" i="106"/>
  <c r="J804" i="106"/>
  <c r="D804" i="106"/>
  <c r="M790" i="106"/>
  <c r="L790" i="106"/>
  <c r="K790" i="106"/>
  <c r="I790" i="106"/>
  <c r="H790" i="106"/>
  <c r="G790" i="106"/>
  <c r="F790" i="106"/>
  <c r="E790" i="106"/>
  <c r="N789" i="106"/>
  <c r="J789" i="106"/>
  <c r="D789" i="106"/>
  <c r="N788" i="106"/>
  <c r="J788" i="106"/>
  <c r="D788" i="106"/>
  <c r="N787" i="106"/>
  <c r="J787" i="106"/>
  <c r="D787" i="106"/>
  <c r="N786" i="106"/>
  <c r="J786" i="106"/>
  <c r="D786" i="106"/>
  <c r="N785" i="106"/>
  <c r="J785" i="106"/>
  <c r="D785" i="106"/>
  <c r="N784" i="106"/>
  <c r="J784" i="106"/>
  <c r="D784" i="106"/>
  <c r="M783" i="106"/>
  <c r="L783" i="106"/>
  <c r="K783" i="106"/>
  <c r="N783" i="106" s="1"/>
  <c r="I783" i="106"/>
  <c r="H783" i="106"/>
  <c r="G783" i="106"/>
  <c r="J783" i="106" s="1"/>
  <c r="F783" i="106"/>
  <c r="E783" i="106"/>
  <c r="D783" i="106"/>
  <c r="N782" i="106"/>
  <c r="J782" i="106"/>
  <c r="D782" i="106"/>
  <c r="N781" i="106"/>
  <c r="J781" i="106"/>
  <c r="D781" i="106"/>
  <c r="N780" i="106"/>
  <c r="J780" i="106"/>
  <c r="D780" i="106"/>
  <c r="N779" i="106"/>
  <c r="J779" i="106"/>
  <c r="D779" i="106"/>
  <c r="N778" i="106"/>
  <c r="J778" i="106"/>
  <c r="D778" i="106"/>
  <c r="N777" i="106"/>
  <c r="J777" i="106"/>
  <c r="D777" i="106"/>
  <c r="N776" i="106"/>
  <c r="J776" i="106"/>
  <c r="D776" i="106"/>
  <c r="N775" i="106"/>
  <c r="J775" i="106"/>
  <c r="D775" i="106"/>
  <c r="N773" i="106"/>
  <c r="J773" i="106"/>
  <c r="D773" i="106"/>
  <c r="N772" i="106"/>
  <c r="J772" i="106"/>
  <c r="D772" i="106"/>
  <c r="N771" i="106"/>
  <c r="J771" i="106"/>
  <c r="D771" i="106"/>
  <c r="N770" i="106"/>
  <c r="J770" i="106"/>
  <c r="D770" i="106"/>
  <c r="N769" i="106"/>
  <c r="J769" i="106"/>
  <c r="D769" i="106"/>
  <c r="N768" i="106"/>
  <c r="J768" i="106"/>
  <c r="D768" i="106"/>
  <c r="N767" i="106"/>
  <c r="J767" i="106"/>
  <c r="D767" i="106"/>
  <c r="N766" i="106"/>
  <c r="J766" i="106"/>
  <c r="D766" i="106"/>
  <c r="N765" i="106"/>
  <c r="J765" i="106"/>
  <c r="D765" i="106"/>
  <c r="N764" i="106"/>
  <c r="J764" i="106"/>
  <c r="D764" i="106"/>
  <c r="M763" i="106"/>
  <c r="L763" i="106"/>
  <c r="K763" i="106"/>
  <c r="N763" i="106" s="1"/>
  <c r="I763" i="106"/>
  <c r="H763" i="106"/>
  <c r="G763" i="106"/>
  <c r="J763" i="106" s="1"/>
  <c r="F763" i="106"/>
  <c r="E763" i="106"/>
  <c r="D763" i="106"/>
  <c r="N762" i="106"/>
  <c r="J762" i="106"/>
  <c r="D762" i="106"/>
  <c r="N761" i="106"/>
  <c r="J761" i="106"/>
  <c r="D761" i="106"/>
  <c r="M760" i="106"/>
  <c r="L760" i="106"/>
  <c r="K760" i="106"/>
  <c r="N760" i="106" s="1"/>
  <c r="I760" i="106"/>
  <c r="H760" i="106"/>
  <c r="G760" i="106"/>
  <c r="J760" i="106" s="1"/>
  <c r="F760" i="106"/>
  <c r="E760" i="106"/>
  <c r="D760" i="106"/>
  <c r="N759" i="106"/>
  <c r="J759" i="106"/>
  <c r="D759" i="106"/>
  <c r="N758" i="106"/>
  <c r="J758" i="106"/>
  <c r="D758" i="106"/>
  <c r="M757" i="106"/>
  <c r="M774" i="106" s="1"/>
  <c r="L757" i="106"/>
  <c r="L774" i="106" s="1"/>
  <c r="K757" i="106"/>
  <c r="I757" i="106"/>
  <c r="I774" i="106" s="1"/>
  <c r="H757" i="106"/>
  <c r="H774" i="106" s="1"/>
  <c r="G757" i="106"/>
  <c r="F757" i="106"/>
  <c r="F774" i="106" s="1"/>
  <c r="E757" i="106"/>
  <c r="E774" i="106" s="1"/>
  <c r="N756" i="106"/>
  <c r="J756" i="106"/>
  <c r="D756" i="106"/>
  <c r="N755" i="106"/>
  <c r="J755" i="106"/>
  <c r="D755" i="106"/>
  <c r="N754" i="106"/>
  <c r="J754" i="106"/>
  <c r="D754" i="106"/>
  <c r="N753" i="106"/>
  <c r="J753" i="106"/>
  <c r="D753" i="106"/>
  <c r="N752" i="106"/>
  <c r="J752" i="106"/>
  <c r="D752" i="106"/>
  <c r="N751" i="106"/>
  <c r="J751" i="106"/>
  <c r="D751" i="106"/>
  <c r="M736" i="106"/>
  <c r="L736" i="106"/>
  <c r="K736" i="106"/>
  <c r="I736" i="106"/>
  <c r="H736" i="106"/>
  <c r="G736" i="106"/>
  <c r="F736" i="106"/>
  <c r="E736" i="106"/>
  <c r="N735" i="106"/>
  <c r="J735" i="106"/>
  <c r="D735" i="106"/>
  <c r="N734" i="106"/>
  <c r="J734" i="106"/>
  <c r="D734" i="106"/>
  <c r="N733" i="106"/>
  <c r="J733" i="106"/>
  <c r="D733" i="106"/>
  <c r="N732" i="106"/>
  <c r="J732" i="106"/>
  <c r="D732" i="106"/>
  <c r="N731" i="106"/>
  <c r="J731" i="106"/>
  <c r="D731" i="106"/>
  <c r="N730" i="106"/>
  <c r="J730" i="106"/>
  <c r="D730" i="106"/>
  <c r="M729" i="106"/>
  <c r="L729" i="106"/>
  <c r="K729" i="106"/>
  <c r="N729" i="106" s="1"/>
  <c r="I729" i="106"/>
  <c r="H729" i="106"/>
  <c r="G729" i="106"/>
  <c r="J729" i="106" s="1"/>
  <c r="F729" i="106"/>
  <c r="E729" i="106"/>
  <c r="D729" i="106"/>
  <c r="N728" i="106"/>
  <c r="J728" i="106"/>
  <c r="D728" i="106"/>
  <c r="N727" i="106"/>
  <c r="J727" i="106"/>
  <c r="D727" i="106"/>
  <c r="N726" i="106"/>
  <c r="J726" i="106"/>
  <c r="D726" i="106"/>
  <c r="N725" i="106"/>
  <c r="J725" i="106"/>
  <c r="D725" i="106"/>
  <c r="N724" i="106"/>
  <c r="J724" i="106"/>
  <c r="D724" i="106"/>
  <c r="N723" i="106"/>
  <c r="J723" i="106"/>
  <c r="D723" i="106"/>
  <c r="N722" i="106"/>
  <c r="J722" i="106"/>
  <c r="D722" i="106"/>
  <c r="N721" i="106"/>
  <c r="J721" i="106"/>
  <c r="D721" i="106"/>
  <c r="N719" i="106"/>
  <c r="J719" i="106"/>
  <c r="D719" i="106"/>
  <c r="N718" i="106"/>
  <c r="J718" i="106"/>
  <c r="D718" i="106"/>
  <c r="N717" i="106"/>
  <c r="J717" i="106"/>
  <c r="D717" i="106"/>
  <c r="N716" i="106"/>
  <c r="J716" i="106"/>
  <c r="D716" i="106"/>
  <c r="N715" i="106"/>
  <c r="J715" i="106"/>
  <c r="D715" i="106"/>
  <c r="N714" i="106"/>
  <c r="J714" i="106"/>
  <c r="D714" i="106"/>
  <c r="N713" i="106"/>
  <c r="J713" i="106"/>
  <c r="D713" i="106"/>
  <c r="N712" i="106"/>
  <c r="J712" i="106"/>
  <c r="D712" i="106"/>
  <c r="N711" i="106"/>
  <c r="J711" i="106"/>
  <c r="D711" i="106"/>
  <c r="N710" i="106"/>
  <c r="J710" i="106"/>
  <c r="D710" i="106"/>
  <c r="M709" i="106"/>
  <c r="L709" i="106"/>
  <c r="K709" i="106"/>
  <c r="N709" i="106" s="1"/>
  <c r="I709" i="106"/>
  <c r="H709" i="106"/>
  <c r="G709" i="106"/>
  <c r="J709" i="106" s="1"/>
  <c r="F709" i="106"/>
  <c r="E709" i="106"/>
  <c r="E720" i="106" s="1"/>
  <c r="D709" i="106"/>
  <c r="N708" i="106"/>
  <c r="J708" i="106"/>
  <c r="D708" i="106"/>
  <c r="N707" i="106"/>
  <c r="J707" i="106"/>
  <c r="D707" i="106"/>
  <c r="M706" i="106"/>
  <c r="L706" i="106"/>
  <c r="K706" i="106"/>
  <c r="N706" i="106" s="1"/>
  <c r="I706" i="106"/>
  <c r="H706" i="106"/>
  <c r="G706" i="106"/>
  <c r="J706" i="106" s="1"/>
  <c r="F706" i="106"/>
  <c r="D706" i="106"/>
  <c r="N705" i="106"/>
  <c r="J705" i="106"/>
  <c r="D705" i="106"/>
  <c r="N704" i="106"/>
  <c r="J704" i="106"/>
  <c r="D704" i="106"/>
  <c r="M703" i="106"/>
  <c r="M720" i="106" s="1"/>
  <c r="L703" i="106"/>
  <c r="L720" i="106" s="1"/>
  <c r="K703" i="106"/>
  <c r="I703" i="106"/>
  <c r="I720" i="106" s="1"/>
  <c r="H703" i="106"/>
  <c r="H720" i="106" s="1"/>
  <c r="G703" i="106"/>
  <c r="F703" i="106"/>
  <c r="F720" i="106" s="1"/>
  <c r="N702" i="106"/>
  <c r="J702" i="106"/>
  <c r="D702" i="106"/>
  <c r="N701" i="106"/>
  <c r="J701" i="106"/>
  <c r="D701" i="106"/>
  <c r="N700" i="106"/>
  <c r="J700" i="106"/>
  <c r="D700" i="106"/>
  <c r="N699" i="106"/>
  <c r="J699" i="106"/>
  <c r="D699" i="106"/>
  <c r="N698" i="106"/>
  <c r="J698" i="106"/>
  <c r="D698" i="106"/>
  <c r="N697" i="106"/>
  <c r="J697" i="106"/>
  <c r="D697" i="106"/>
  <c r="M682" i="106"/>
  <c r="L682" i="106"/>
  <c r="K682" i="106"/>
  <c r="I682" i="106"/>
  <c r="H682" i="106"/>
  <c r="G682" i="106"/>
  <c r="F682" i="106"/>
  <c r="E682" i="106"/>
  <c r="AO681" i="106"/>
  <c r="AN681" i="106"/>
  <c r="AM681" i="106"/>
  <c r="N681" i="106"/>
  <c r="AP681" i="106" s="1"/>
  <c r="J681" i="106"/>
  <c r="D681" i="106"/>
  <c r="AO680" i="106"/>
  <c r="AN680" i="106"/>
  <c r="AM680" i="106"/>
  <c r="N680" i="106"/>
  <c r="AP680" i="106" s="1"/>
  <c r="J680" i="106"/>
  <c r="D680" i="106"/>
  <c r="AO679" i="106"/>
  <c r="AN679" i="106"/>
  <c r="AM679" i="106"/>
  <c r="N679" i="106"/>
  <c r="AP679" i="106" s="1"/>
  <c r="J679" i="106"/>
  <c r="D679" i="106"/>
  <c r="AO678" i="106"/>
  <c r="AN678" i="106"/>
  <c r="AM678" i="106"/>
  <c r="N678" i="106"/>
  <c r="AP678" i="106" s="1"/>
  <c r="J678" i="106"/>
  <c r="D678" i="106"/>
  <c r="AO677" i="106"/>
  <c r="AN677" i="106"/>
  <c r="AM677" i="106"/>
  <c r="N677" i="106"/>
  <c r="AP677" i="106" s="1"/>
  <c r="J677" i="106"/>
  <c r="D677" i="106"/>
  <c r="AO676" i="106"/>
  <c r="AN676" i="106"/>
  <c r="AM676" i="106"/>
  <c r="N676" i="106"/>
  <c r="AP676" i="106" s="1"/>
  <c r="J676" i="106"/>
  <c r="D676" i="106"/>
  <c r="M675" i="106"/>
  <c r="AO675" i="106" s="1"/>
  <c r="L675" i="106"/>
  <c r="AN675" i="106" s="1"/>
  <c r="K675" i="106"/>
  <c r="I675" i="106"/>
  <c r="G675" i="106"/>
  <c r="F675" i="106"/>
  <c r="E675" i="106"/>
  <c r="AO674" i="106"/>
  <c r="AN674" i="106"/>
  <c r="AM674" i="106"/>
  <c r="N674" i="106"/>
  <c r="AP674" i="106" s="1"/>
  <c r="H674" i="106"/>
  <c r="AO673" i="106"/>
  <c r="AN673" i="106"/>
  <c r="AM673" i="106"/>
  <c r="N673" i="106"/>
  <c r="AP673" i="106" s="1"/>
  <c r="J673" i="106"/>
  <c r="D673" i="106"/>
  <c r="AO672" i="106"/>
  <c r="AN672" i="106"/>
  <c r="AM672" i="106"/>
  <c r="N672" i="106"/>
  <c r="AP672" i="106" s="1"/>
  <c r="J672" i="106"/>
  <c r="D672" i="106"/>
  <c r="AO671" i="106"/>
  <c r="AN671" i="106"/>
  <c r="AM671" i="106"/>
  <c r="N671" i="106"/>
  <c r="AP671" i="106" s="1"/>
  <c r="J671" i="106"/>
  <c r="D671" i="106"/>
  <c r="AO670" i="106"/>
  <c r="AN670" i="106"/>
  <c r="AM670" i="106"/>
  <c r="N670" i="106"/>
  <c r="AP670" i="106" s="1"/>
  <c r="J670" i="106"/>
  <c r="D670" i="106"/>
  <c r="AO669" i="106"/>
  <c r="AN669" i="106"/>
  <c r="AM669" i="106"/>
  <c r="N669" i="106"/>
  <c r="AP669" i="106" s="1"/>
  <c r="J669" i="106"/>
  <c r="D669" i="106"/>
  <c r="AO668" i="106"/>
  <c r="AN668" i="106"/>
  <c r="AM668" i="106"/>
  <c r="N668" i="106"/>
  <c r="AP668" i="106" s="1"/>
  <c r="J668" i="106"/>
  <c r="D668" i="106"/>
  <c r="AO667" i="106"/>
  <c r="AN667" i="106"/>
  <c r="AM667" i="106"/>
  <c r="N667" i="106"/>
  <c r="AP667" i="106" s="1"/>
  <c r="J667" i="106"/>
  <c r="D667" i="106"/>
  <c r="AO665" i="106"/>
  <c r="AN665" i="106"/>
  <c r="AM665" i="106"/>
  <c r="N665" i="106"/>
  <c r="AP665" i="106" s="1"/>
  <c r="J665" i="106"/>
  <c r="D665" i="106"/>
  <c r="AO664" i="106"/>
  <c r="AN664" i="106"/>
  <c r="AM664" i="106"/>
  <c r="N664" i="106"/>
  <c r="AP664" i="106" s="1"/>
  <c r="J664" i="106"/>
  <c r="D664" i="106"/>
  <c r="AO663" i="106"/>
  <c r="AN663" i="106"/>
  <c r="AM663" i="106"/>
  <c r="N663" i="106"/>
  <c r="AP663" i="106" s="1"/>
  <c r="J663" i="106"/>
  <c r="D663" i="106"/>
  <c r="AO662" i="106"/>
  <c r="AN662" i="106"/>
  <c r="AM662" i="106"/>
  <c r="N662" i="106"/>
  <c r="AP662" i="106" s="1"/>
  <c r="J662" i="106"/>
  <c r="D662" i="106"/>
  <c r="AO661" i="106"/>
  <c r="AN661" i="106"/>
  <c r="AM661" i="106"/>
  <c r="N661" i="106"/>
  <c r="AP661" i="106" s="1"/>
  <c r="J661" i="106"/>
  <c r="D661" i="106"/>
  <c r="AO660" i="106"/>
  <c r="AN660" i="106"/>
  <c r="AM660" i="106"/>
  <c r="N660" i="106"/>
  <c r="AP660" i="106" s="1"/>
  <c r="J660" i="106"/>
  <c r="D660" i="106"/>
  <c r="AO659" i="106"/>
  <c r="AN659" i="106"/>
  <c r="AM659" i="106"/>
  <c r="N659" i="106"/>
  <c r="AP659" i="106" s="1"/>
  <c r="J659" i="106"/>
  <c r="D659" i="106"/>
  <c r="AO658" i="106"/>
  <c r="AN658" i="106"/>
  <c r="AM658" i="106"/>
  <c r="N658" i="106"/>
  <c r="AP658" i="106" s="1"/>
  <c r="J658" i="106"/>
  <c r="D658" i="106"/>
  <c r="AO657" i="106"/>
  <c r="AN657" i="106"/>
  <c r="AM657" i="106"/>
  <c r="N657" i="106"/>
  <c r="AP657" i="106" s="1"/>
  <c r="J657" i="106"/>
  <c r="D657" i="106"/>
  <c r="AO656" i="106"/>
  <c r="AN656" i="106"/>
  <c r="AM656" i="106"/>
  <c r="N656" i="106"/>
  <c r="AP656" i="106" s="1"/>
  <c r="J656" i="106"/>
  <c r="D656" i="106"/>
  <c r="M655" i="106"/>
  <c r="AO655" i="106" s="1"/>
  <c r="L655" i="106"/>
  <c r="AN655" i="106" s="1"/>
  <c r="K655" i="106"/>
  <c r="I655" i="106"/>
  <c r="H655" i="106"/>
  <c r="G655" i="106"/>
  <c r="J655" i="106" s="1"/>
  <c r="F655" i="106"/>
  <c r="E655" i="106"/>
  <c r="AO654" i="106"/>
  <c r="AN654" i="106"/>
  <c r="AM654" i="106"/>
  <c r="N654" i="106"/>
  <c r="AP654" i="106" s="1"/>
  <c r="J654" i="106"/>
  <c r="D654" i="106"/>
  <c r="AO653" i="106"/>
  <c r="AN653" i="106"/>
  <c r="AM653" i="106"/>
  <c r="N653" i="106"/>
  <c r="AP653" i="106" s="1"/>
  <c r="J653" i="106"/>
  <c r="D653" i="106"/>
  <c r="M652" i="106"/>
  <c r="AO652" i="106" s="1"/>
  <c r="L652" i="106"/>
  <c r="AN652" i="106" s="1"/>
  <c r="K652" i="106"/>
  <c r="I652" i="106"/>
  <c r="I666" i="106" s="1"/>
  <c r="H652" i="106"/>
  <c r="H666" i="106" s="1"/>
  <c r="G652" i="106"/>
  <c r="F652" i="106"/>
  <c r="F666" i="106" s="1"/>
  <c r="E652" i="106"/>
  <c r="E666" i="106" s="1"/>
  <c r="AO651" i="106"/>
  <c r="AN651" i="106"/>
  <c r="AM651" i="106"/>
  <c r="N651" i="106"/>
  <c r="AP651" i="106" s="1"/>
  <c r="J651" i="106"/>
  <c r="D651" i="106"/>
  <c r="AO650" i="106"/>
  <c r="AN650" i="106"/>
  <c r="AM650" i="106"/>
  <c r="N650" i="106"/>
  <c r="AP650" i="106" s="1"/>
  <c r="J650" i="106"/>
  <c r="D650" i="106"/>
  <c r="M649" i="106"/>
  <c r="L649" i="106"/>
  <c r="K649" i="106"/>
  <c r="J649" i="106"/>
  <c r="AO648" i="106"/>
  <c r="AN648" i="106"/>
  <c r="AM648" i="106"/>
  <c r="N648" i="106"/>
  <c r="AP648" i="106" s="1"/>
  <c r="J648" i="106"/>
  <c r="D648" i="106"/>
  <c r="AO647" i="106"/>
  <c r="AN647" i="106"/>
  <c r="AM647" i="106"/>
  <c r="N647" i="106"/>
  <c r="AP647" i="106" s="1"/>
  <c r="J647" i="106"/>
  <c r="D647" i="106"/>
  <c r="N646" i="106"/>
  <c r="J646" i="106"/>
  <c r="D646" i="106"/>
  <c r="AO645" i="106"/>
  <c r="AN645" i="106"/>
  <c r="AM645" i="106"/>
  <c r="N645" i="106"/>
  <c r="AP645" i="106" s="1"/>
  <c r="J645" i="106"/>
  <c r="D645" i="106"/>
  <c r="AO644" i="106"/>
  <c r="AN644" i="106"/>
  <c r="AM644" i="106"/>
  <c r="N644" i="106"/>
  <c r="AP644" i="106" s="1"/>
  <c r="J644" i="106"/>
  <c r="D644" i="106"/>
  <c r="AO643" i="106"/>
  <c r="AN643" i="106"/>
  <c r="AM643" i="106"/>
  <c r="N643" i="106"/>
  <c r="AP643" i="106" s="1"/>
  <c r="J643" i="106"/>
  <c r="D643" i="106"/>
  <c r="M628" i="106"/>
  <c r="L628" i="106"/>
  <c r="K628" i="106"/>
  <c r="I628" i="106"/>
  <c r="H628" i="106"/>
  <c r="G628" i="106"/>
  <c r="F628" i="106"/>
  <c r="E628" i="106"/>
  <c r="N627" i="106"/>
  <c r="J627" i="106"/>
  <c r="D627" i="106"/>
  <c r="N626" i="106"/>
  <c r="J626" i="106"/>
  <c r="D626" i="106"/>
  <c r="N625" i="106"/>
  <c r="J625" i="106"/>
  <c r="D625" i="106"/>
  <c r="N624" i="106"/>
  <c r="J624" i="106"/>
  <c r="D624" i="106"/>
  <c r="N623" i="106"/>
  <c r="J623" i="106"/>
  <c r="D623" i="106"/>
  <c r="N622" i="106"/>
  <c r="J622" i="106"/>
  <c r="D622" i="106"/>
  <c r="M621" i="106"/>
  <c r="L621" i="106"/>
  <c r="K621" i="106"/>
  <c r="N621" i="106" s="1"/>
  <c r="I621" i="106"/>
  <c r="H621" i="106"/>
  <c r="G621" i="106"/>
  <c r="J621" i="106" s="1"/>
  <c r="F621" i="106"/>
  <c r="E621" i="106"/>
  <c r="D621" i="106"/>
  <c r="N620" i="106"/>
  <c r="J620" i="106"/>
  <c r="D620" i="106"/>
  <c r="N619" i="106"/>
  <c r="J619" i="106"/>
  <c r="D619" i="106"/>
  <c r="N618" i="106"/>
  <c r="J618" i="106"/>
  <c r="D618" i="106"/>
  <c r="N617" i="106"/>
  <c r="J617" i="106"/>
  <c r="D617" i="106"/>
  <c r="N616" i="106"/>
  <c r="J616" i="106"/>
  <c r="D616" i="106"/>
  <c r="N615" i="106"/>
  <c r="J615" i="106"/>
  <c r="D615" i="106"/>
  <c r="N614" i="106"/>
  <c r="J614" i="106"/>
  <c r="D614" i="106"/>
  <c r="N613" i="106"/>
  <c r="J613" i="106"/>
  <c r="D613" i="106"/>
  <c r="N611" i="106"/>
  <c r="J611" i="106"/>
  <c r="D611" i="106"/>
  <c r="N610" i="106"/>
  <c r="J610" i="106"/>
  <c r="D610" i="106"/>
  <c r="N609" i="106"/>
  <c r="J609" i="106"/>
  <c r="D609" i="106"/>
  <c r="N608" i="106"/>
  <c r="J608" i="106"/>
  <c r="D608" i="106"/>
  <c r="N607" i="106"/>
  <c r="J607" i="106"/>
  <c r="D607" i="106"/>
  <c r="N606" i="106"/>
  <c r="J606" i="106"/>
  <c r="D606" i="106"/>
  <c r="N605" i="106"/>
  <c r="J605" i="106"/>
  <c r="D605" i="106"/>
  <c r="N604" i="106"/>
  <c r="J604" i="106"/>
  <c r="D604" i="106"/>
  <c r="N603" i="106"/>
  <c r="J603" i="106"/>
  <c r="D603" i="106"/>
  <c r="N602" i="106"/>
  <c r="J602" i="106"/>
  <c r="D602" i="106"/>
  <c r="M601" i="106"/>
  <c r="L601" i="106"/>
  <c r="K601" i="106"/>
  <c r="N601" i="106" s="1"/>
  <c r="I601" i="106"/>
  <c r="H601" i="106"/>
  <c r="G601" i="106"/>
  <c r="J601" i="106" s="1"/>
  <c r="F601" i="106"/>
  <c r="E601" i="106"/>
  <c r="E612" i="106" s="1"/>
  <c r="D601" i="106"/>
  <c r="N600" i="106"/>
  <c r="J600" i="106"/>
  <c r="D600" i="106"/>
  <c r="N599" i="106"/>
  <c r="J599" i="106"/>
  <c r="D599" i="106"/>
  <c r="M598" i="106"/>
  <c r="L598" i="106"/>
  <c r="K598" i="106"/>
  <c r="N598" i="106" s="1"/>
  <c r="I598" i="106"/>
  <c r="I612" i="106" s="1"/>
  <c r="H598" i="106"/>
  <c r="H612" i="106" s="1"/>
  <c r="G598" i="106"/>
  <c r="F598" i="106"/>
  <c r="F612" i="106" s="1"/>
  <c r="N597" i="106"/>
  <c r="J597" i="106"/>
  <c r="D597" i="106"/>
  <c r="N596" i="106"/>
  <c r="J596" i="106"/>
  <c r="D596" i="106"/>
  <c r="M595" i="106"/>
  <c r="M612" i="106" s="1"/>
  <c r="L595" i="106"/>
  <c r="L612" i="106" s="1"/>
  <c r="K595" i="106"/>
  <c r="J595" i="106"/>
  <c r="N594" i="106"/>
  <c r="J594" i="106"/>
  <c r="D594" i="106"/>
  <c r="N593" i="106"/>
  <c r="J593" i="106"/>
  <c r="D593" i="106"/>
  <c r="N592" i="106"/>
  <c r="J592" i="106"/>
  <c r="D592" i="106"/>
  <c r="N591" i="106"/>
  <c r="J591" i="106"/>
  <c r="D591" i="106"/>
  <c r="N590" i="106"/>
  <c r="J590" i="106"/>
  <c r="D590" i="106"/>
  <c r="N589" i="106"/>
  <c r="J589" i="106"/>
  <c r="D589" i="106"/>
  <c r="M576" i="106"/>
  <c r="L576" i="106"/>
  <c r="K576" i="106"/>
  <c r="I576" i="106"/>
  <c r="H576" i="106"/>
  <c r="G576" i="106"/>
  <c r="F576" i="106"/>
  <c r="E576" i="106"/>
  <c r="N575" i="106"/>
  <c r="J575" i="106"/>
  <c r="D575" i="106"/>
  <c r="N574" i="106"/>
  <c r="J574" i="106"/>
  <c r="D574" i="106"/>
  <c r="N573" i="106"/>
  <c r="J573" i="106"/>
  <c r="D573" i="106"/>
  <c r="N572" i="106"/>
  <c r="J572" i="106"/>
  <c r="D572" i="106"/>
  <c r="N571" i="106"/>
  <c r="J571" i="106"/>
  <c r="D571" i="106"/>
  <c r="N570" i="106"/>
  <c r="J570" i="106"/>
  <c r="D570" i="106"/>
  <c r="M569" i="106"/>
  <c r="L569" i="106"/>
  <c r="K569" i="106"/>
  <c r="N569" i="106" s="1"/>
  <c r="I569" i="106"/>
  <c r="H569" i="106"/>
  <c r="G569" i="106"/>
  <c r="J569" i="106" s="1"/>
  <c r="F569" i="106"/>
  <c r="E569" i="106"/>
  <c r="D569" i="106"/>
  <c r="N568" i="106"/>
  <c r="J568" i="106"/>
  <c r="D568" i="106"/>
  <c r="N567" i="106"/>
  <c r="J567" i="106"/>
  <c r="D567" i="106"/>
  <c r="N566" i="106"/>
  <c r="J566" i="106"/>
  <c r="D566" i="106"/>
  <c r="N565" i="106"/>
  <c r="J565" i="106"/>
  <c r="D565" i="106"/>
  <c r="N564" i="106"/>
  <c r="J564" i="106"/>
  <c r="D564" i="106"/>
  <c r="N563" i="106"/>
  <c r="J563" i="106"/>
  <c r="D563" i="106"/>
  <c r="N562" i="106"/>
  <c r="J562" i="106"/>
  <c r="D562" i="106"/>
  <c r="N561" i="106"/>
  <c r="J561" i="106"/>
  <c r="D561" i="106"/>
  <c r="N559" i="106"/>
  <c r="J559" i="106"/>
  <c r="D559" i="106"/>
  <c r="N558" i="106"/>
  <c r="J558" i="106"/>
  <c r="D558" i="106"/>
  <c r="N557" i="106"/>
  <c r="J557" i="106"/>
  <c r="D557" i="106"/>
  <c r="N556" i="106"/>
  <c r="J556" i="106"/>
  <c r="D556" i="106"/>
  <c r="N555" i="106"/>
  <c r="J555" i="106"/>
  <c r="D555" i="106"/>
  <c r="N554" i="106"/>
  <c r="J554" i="106"/>
  <c r="D554" i="106"/>
  <c r="N553" i="106"/>
  <c r="J553" i="106"/>
  <c r="D553" i="106"/>
  <c r="N552" i="106"/>
  <c r="J552" i="106"/>
  <c r="N551" i="106"/>
  <c r="J551" i="106"/>
  <c r="D551" i="106"/>
  <c r="N550" i="106"/>
  <c r="J550" i="106"/>
  <c r="D550" i="106"/>
  <c r="M549" i="106"/>
  <c r="L549" i="106"/>
  <c r="K549" i="106"/>
  <c r="N549" i="106" s="1"/>
  <c r="I549" i="106"/>
  <c r="H549" i="106"/>
  <c r="G549" i="106"/>
  <c r="J549" i="106" s="1"/>
  <c r="F549" i="106"/>
  <c r="E549" i="106"/>
  <c r="E560" i="106" s="1"/>
  <c r="D549" i="106"/>
  <c r="N548" i="106"/>
  <c r="J548" i="106"/>
  <c r="D548" i="106"/>
  <c r="N547" i="106"/>
  <c r="J547" i="106"/>
  <c r="D547" i="106"/>
  <c r="M546" i="106"/>
  <c r="L546" i="106"/>
  <c r="K546" i="106"/>
  <c r="N546" i="106" s="1"/>
  <c r="I546" i="106"/>
  <c r="H546" i="106"/>
  <c r="G546" i="106"/>
  <c r="J546" i="106" s="1"/>
  <c r="F546" i="106"/>
  <c r="D546" i="106"/>
  <c r="N545" i="106"/>
  <c r="J545" i="106"/>
  <c r="D545" i="106"/>
  <c r="N544" i="106"/>
  <c r="J544" i="106"/>
  <c r="D544" i="106"/>
  <c r="M543" i="106"/>
  <c r="M560" i="106" s="1"/>
  <c r="L543" i="106"/>
  <c r="L560" i="106" s="1"/>
  <c r="K543" i="106"/>
  <c r="I543" i="106"/>
  <c r="I560" i="106" s="1"/>
  <c r="H543" i="106"/>
  <c r="H560" i="106" s="1"/>
  <c r="G543" i="106"/>
  <c r="F543" i="106"/>
  <c r="F560" i="106" s="1"/>
  <c r="N542" i="106"/>
  <c r="J542" i="106"/>
  <c r="D542" i="106"/>
  <c r="N541" i="106"/>
  <c r="J541" i="106"/>
  <c r="D541" i="106"/>
  <c r="N540" i="106"/>
  <c r="J540" i="106"/>
  <c r="D540" i="106"/>
  <c r="N539" i="106"/>
  <c r="J539" i="106"/>
  <c r="D539" i="106"/>
  <c r="N538" i="106"/>
  <c r="J538" i="106"/>
  <c r="D538" i="106"/>
  <c r="N537" i="106"/>
  <c r="J537" i="106"/>
  <c r="D537" i="106"/>
  <c r="M523" i="106"/>
  <c r="L523" i="106"/>
  <c r="K523" i="106"/>
  <c r="I523" i="106"/>
  <c r="H523" i="106"/>
  <c r="G523" i="106"/>
  <c r="F523" i="106"/>
  <c r="E523" i="106"/>
  <c r="N522" i="106"/>
  <c r="D522" i="106"/>
  <c r="N521" i="106"/>
  <c r="D521" i="106"/>
  <c r="N520" i="106"/>
  <c r="D520" i="106"/>
  <c r="N519" i="106"/>
  <c r="D519" i="106"/>
  <c r="N518" i="106"/>
  <c r="D518" i="106"/>
  <c r="N517" i="106"/>
  <c r="D517" i="106"/>
  <c r="M516" i="106"/>
  <c r="L516" i="106"/>
  <c r="K516" i="106"/>
  <c r="N516" i="106" s="1"/>
  <c r="I516" i="106"/>
  <c r="H516" i="106"/>
  <c r="G516" i="106"/>
  <c r="J516" i="106" s="1"/>
  <c r="F516" i="106"/>
  <c r="E516" i="106"/>
  <c r="D516" i="106"/>
  <c r="N515" i="106"/>
  <c r="D515" i="106"/>
  <c r="N514" i="106"/>
  <c r="D514" i="106"/>
  <c r="N513" i="106"/>
  <c r="D513" i="106"/>
  <c r="N512" i="106"/>
  <c r="D512" i="106"/>
  <c r="N511" i="106"/>
  <c r="D511" i="106"/>
  <c r="N510" i="106"/>
  <c r="D510" i="106"/>
  <c r="N509" i="106"/>
  <c r="D509" i="106"/>
  <c r="N508" i="106"/>
  <c r="D508" i="106"/>
  <c r="N506" i="106"/>
  <c r="D506" i="106"/>
  <c r="N505" i="106"/>
  <c r="D505" i="106"/>
  <c r="N504" i="106"/>
  <c r="D504" i="106"/>
  <c r="N503" i="106"/>
  <c r="D503" i="106"/>
  <c r="N502" i="106"/>
  <c r="D502" i="106"/>
  <c r="N501" i="106"/>
  <c r="D501" i="106"/>
  <c r="N500" i="106"/>
  <c r="D500" i="106"/>
  <c r="N499" i="106"/>
  <c r="D499" i="106"/>
  <c r="N498" i="106"/>
  <c r="D498" i="106"/>
  <c r="N497" i="106"/>
  <c r="D497" i="106"/>
  <c r="M496" i="106"/>
  <c r="L496" i="106"/>
  <c r="K496" i="106"/>
  <c r="N496" i="106" s="1"/>
  <c r="I496" i="106"/>
  <c r="H496" i="106"/>
  <c r="G496" i="106"/>
  <c r="J496" i="106" s="1"/>
  <c r="F496" i="106"/>
  <c r="E496" i="106"/>
  <c r="D496" i="106"/>
  <c r="N495" i="106"/>
  <c r="J495" i="106"/>
  <c r="D495" i="106"/>
  <c r="N494" i="106"/>
  <c r="J494" i="106"/>
  <c r="D494" i="106"/>
  <c r="M493" i="106"/>
  <c r="L493" i="106"/>
  <c r="K493" i="106"/>
  <c r="N493" i="106" s="1"/>
  <c r="I493" i="106"/>
  <c r="I507" i="106" s="1"/>
  <c r="H493" i="106"/>
  <c r="H507" i="106" s="1"/>
  <c r="G493" i="106"/>
  <c r="F493" i="106"/>
  <c r="F507" i="106" s="1"/>
  <c r="E493" i="106"/>
  <c r="N492" i="106"/>
  <c r="J492" i="106"/>
  <c r="D492" i="106"/>
  <c r="N491" i="106"/>
  <c r="J491" i="106"/>
  <c r="D491" i="106"/>
  <c r="M490" i="106"/>
  <c r="M507" i="106" s="1"/>
  <c r="L490" i="106"/>
  <c r="L507" i="106" s="1"/>
  <c r="K490" i="106"/>
  <c r="J490" i="106"/>
  <c r="E490" i="106"/>
  <c r="E507" i="106" s="1"/>
  <c r="N489" i="106"/>
  <c r="D489" i="106"/>
  <c r="N488" i="106"/>
  <c r="D488" i="106"/>
  <c r="N487" i="106"/>
  <c r="D487" i="106"/>
  <c r="N486" i="106"/>
  <c r="D486" i="106"/>
  <c r="N485" i="106"/>
  <c r="D485" i="106"/>
  <c r="N484" i="106"/>
  <c r="D484" i="106"/>
  <c r="M470" i="106"/>
  <c r="L470" i="106"/>
  <c r="K470" i="106"/>
  <c r="I470" i="106"/>
  <c r="H470" i="106"/>
  <c r="G470" i="106"/>
  <c r="F470" i="106"/>
  <c r="E470" i="106"/>
  <c r="N469" i="106"/>
  <c r="J469" i="106"/>
  <c r="D469" i="106"/>
  <c r="N468" i="106"/>
  <c r="J468" i="106"/>
  <c r="D468" i="106"/>
  <c r="N467" i="106"/>
  <c r="J467" i="106"/>
  <c r="D467" i="106"/>
  <c r="N466" i="106"/>
  <c r="J466" i="106"/>
  <c r="D466" i="106"/>
  <c r="N465" i="106"/>
  <c r="J465" i="106"/>
  <c r="D465" i="106"/>
  <c r="N464" i="106"/>
  <c r="J464" i="106"/>
  <c r="D464" i="106"/>
  <c r="M463" i="106"/>
  <c r="L463" i="106"/>
  <c r="K463" i="106"/>
  <c r="N463" i="106" s="1"/>
  <c r="I463" i="106"/>
  <c r="H463" i="106"/>
  <c r="G463" i="106"/>
  <c r="J463" i="106" s="1"/>
  <c r="F463" i="106"/>
  <c r="E463" i="106"/>
  <c r="D463" i="106"/>
  <c r="N462" i="106"/>
  <c r="J462" i="106"/>
  <c r="D462" i="106"/>
  <c r="N461" i="106"/>
  <c r="J461" i="106"/>
  <c r="D461" i="106"/>
  <c r="N460" i="106"/>
  <c r="J460" i="106"/>
  <c r="D460" i="106"/>
  <c r="N459" i="106"/>
  <c r="J459" i="106"/>
  <c r="D459" i="106"/>
  <c r="N458" i="106"/>
  <c r="J458" i="106"/>
  <c r="D458" i="106"/>
  <c r="N457" i="106"/>
  <c r="J457" i="106"/>
  <c r="D457" i="106"/>
  <c r="N456" i="106"/>
  <c r="J456" i="106"/>
  <c r="D456" i="106"/>
  <c r="N455" i="106"/>
  <c r="J455" i="106"/>
  <c r="D455" i="106"/>
  <c r="N453" i="106"/>
  <c r="J453" i="106"/>
  <c r="D453" i="106"/>
  <c r="N452" i="106"/>
  <c r="J452" i="106"/>
  <c r="D452" i="106"/>
  <c r="N451" i="106"/>
  <c r="J451" i="106"/>
  <c r="D451" i="106"/>
  <c r="N450" i="106"/>
  <c r="J450" i="106"/>
  <c r="D450" i="106"/>
  <c r="N449" i="106"/>
  <c r="J449" i="106"/>
  <c r="D449" i="106"/>
  <c r="N448" i="106"/>
  <c r="J448" i="106"/>
  <c r="D448" i="106"/>
  <c r="N447" i="106"/>
  <c r="J447" i="106"/>
  <c r="D447" i="106"/>
  <c r="N446" i="106"/>
  <c r="J446" i="106"/>
  <c r="D446" i="106"/>
  <c r="N445" i="106"/>
  <c r="J445" i="106"/>
  <c r="D445" i="106"/>
  <c r="N444" i="106"/>
  <c r="J444" i="106"/>
  <c r="D444" i="106"/>
  <c r="M443" i="106"/>
  <c r="L443" i="106"/>
  <c r="K443" i="106"/>
  <c r="N443" i="106" s="1"/>
  <c r="I443" i="106"/>
  <c r="I454" i="106" s="1"/>
  <c r="H443" i="106"/>
  <c r="H454" i="106" s="1"/>
  <c r="G443" i="106"/>
  <c r="F443" i="106"/>
  <c r="E443" i="106"/>
  <c r="E454" i="106" s="1"/>
  <c r="N442" i="106"/>
  <c r="J442" i="106"/>
  <c r="D442" i="106"/>
  <c r="N441" i="106"/>
  <c r="J441" i="106"/>
  <c r="D441" i="106"/>
  <c r="M440" i="106"/>
  <c r="L440" i="106"/>
  <c r="K440" i="106"/>
  <c r="N440" i="106" s="1"/>
  <c r="J440" i="106"/>
  <c r="D440" i="106"/>
  <c r="N439" i="106"/>
  <c r="J439" i="106"/>
  <c r="D439" i="106"/>
  <c r="N438" i="106"/>
  <c r="J438" i="106"/>
  <c r="D438" i="106"/>
  <c r="M437" i="106"/>
  <c r="M454" i="106" s="1"/>
  <c r="L437" i="106"/>
  <c r="L454" i="106" s="1"/>
  <c r="K437" i="106"/>
  <c r="J437" i="106"/>
  <c r="F437" i="106"/>
  <c r="F454" i="106" s="1"/>
  <c r="N436" i="106"/>
  <c r="J436" i="106"/>
  <c r="D436" i="106"/>
  <c r="N435" i="106"/>
  <c r="J435" i="106"/>
  <c r="D435" i="106"/>
  <c r="N434" i="106"/>
  <c r="J434" i="106"/>
  <c r="D434" i="106"/>
  <c r="N433" i="106"/>
  <c r="J433" i="106"/>
  <c r="D433" i="106"/>
  <c r="N432" i="106"/>
  <c r="J432" i="106"/>
  <c r="D432" i="106"/>
  <c r="N431" i="106"/>
  <c r="J431" i="106"/>
  <c r="D431" i="106"/>
  <c r="M417" i="106"/>
  <c r="L417" i="106"/>
  <c r="K417" i="106"/>
  <c r="I417" i="106"/>
  <c r="H417" i="106"/>
  <c r="G417" i="106"/>
  <c r="F417" i="106"/>
  <c r="E417" i="106"/>
  <c r="N416" i="106"/>
  <c r="J416" i="106"/>
  <c r="D416" i="106"/>
  <c r="N415" i="106"/>
  <c r="J415" i="106"/>
  <c r="D415" i="106"/>
  <c r="N414" i="106"/>
  <c r="J414" i="106"/>
  <c r="D414" i="106"/>
  <c r="N413" i="106"/>
  <c r="J413" i="106"/>
  <c r="D413" i="106"/>
  <c r="N412" i="106"/>
  <c r="J412" i="106"/>
  <c r="D412" i="106"/>
  <c r="N411" i="106"/>
  <c r="J411" i="106"/>
  <c r="D411" i="106"/>
  <c r="M410" i="106"/>
  <c r="L410" i="106"/>
  <c r="K410" i="106"/>
  <c r="N410" i="106" s="1"/>
  <c r="I410" i="106"/>
  <c r="H410" i="106"/>
  <c r="G410" i="106"/>
  <c r="J410" i="106" s="1"/>
  <c r="F410" i="106"/>
  <c r="E410" i="106"/>
  <c r="D410" i="106"/>
  <c r="N409" i="106"/>
  <c r="J409" i="106"/>
  <c r="D409" i="106"/>
  <c r="N408" i="106"/>
  <c r="J408" i="106"/>
  <c r="D408" i="106"/>
  <c r="N407" i="106"/>
  <c r="J407" i="106"/>
  <c r="D407" i="106"/>
  <c r="N406" i="106"/>
  <c r="J406" i="106"/>
  <c r="D406" i="106"/>
  <c r="N405" i="106"/>
  <c r="J405" i="106"/>
  <c r="D405" i="106"/>
  <c r="N404" i="106"/>
  <c r="J404" i="106"/>
  <c r="D404" i="106"/>
  <c r="N403" i="106"/>
  <c r="J403" i="106"/>
  <c r="D403" i="106"/>
  <c r="N402" i="106"/>
  <c r="J402" i="106"/>
  <c r="D402" i="106"/>
  <c r="N400" i="106"/>
  <c r="J400" i="106"/>
  <c r="D400" i="106"/>
  <c r="N399" i="106"/>
  <c r="J399" i="106"/>
  <c r="D399" i="106"/>
  <c r="N398" i="106"/>
  <c r="J398" i="106"/>
  <c r="D398" i="106"/>
  <c r="N397" i="106"/>
  <c r="J397" i="106"/>
  <c r="D397" i="106"/>
  <c r="N396" i="106"/>
  <c r="J396" i="106"/>
  <c r="D396" i="106"/>
  <c r="N395" i="106"/>
  <c r="J395" i="106"/>
  <c r="D395" i="106"/>
  <c r="N394" i="106"/>
  <c r="J394" i="106"/>
  <c r="D394" i="106"/>
  <c r="N393" i="106"/>
  <c r="J393" i="106"/>
  <c r="D393" i="106"/>
  <c r="N392" i="106"/>
  <c r="J392" i="106"/>
  <c r="D392" i="106"/>
  <c r="N391" i="106"/>
  <c r="J391" i="106"/>
  <c r="D391" i="106"/>
  <c r="N390" i="106"/>
  <c r="M390" i="106"/>
  <c r="L390" i="106"/>
  <c r="K390" i="106"/>
  <c r="J390" i="106"/>
  <c r="I390" i="106"/>
  <c r="I401" i="106" s="1"/>
  <c r="H390" i="106"/>
  <c r="H401" i="106" s="1"/>
  <c r="G390" i="106"/>
  <c r="G401" i="106" s="1"/>
  <c r="J401" i="106" s="1"/>
  <c r="F390" i="106"/>
  <c r="F401" i="106" s="1"/>
  <c r="E390" i="106"/>
  <c r="D390" i="106"/>
  <c r="N389" i="106"/>
  <c r="J389" i="106"/>
  <c r="D389" i="106"/>
  <c r="N388" i="106"/>
  <c r="J388" i="106"/>
  <c r="D388" i="106"/>
  <c r="M387" i="106"/>
  <c r="L387" i="106"/>
  <c r="K387" i="106"/>
  <c r="N387" i="106" s="1"/>
  <c r="J387" i="106"/>
  <c r="D387" i="106"/>
  <c r="N386" i="106"/>
  <c r="J386" i="106"/>
  <c r="D386" i="106"/>
  <c r="N385" i="106"/>
  <c r="J385" i="106"/>
  <c r="D385" i="106"/>
  <c r="M384" i="106"/>
  <c r="M401" i="106" s="1"/>
  <c r="L384" i="106"/>
  <c r="L401" i="106" s="1"/>
  <c r="K384" i="106"/>
  <c r="J384" i="106"/>
  <c r="E384" i="106"/>
  <c r="E401" i="106" s="1"/>
  <c r="N383" i="106"/>
  <c r="J383" i="106"/>
  <c r="D383" i="106"/>
  <c r="N382" i="106"/>
  <c r="J382" i="106"/>
  <c r="D382" i="106"/>
  <c r="N381" i="106"/>
  <c r="J381" i="106"/>
  <c r="D381" i="106"/>
  <c r="N380" i="106"/>
  <c r="J380" i="106"/>
  <c r="D380" i="106"/>
  <c r="N379" i="106"/>
  <c r="J379" i="106"/>
  <c r="D379" i="106"/>
  <c r="N378" i="106"/>
  <c r="J378" i="106"/>
  <c r="D378" i="106"/>
  <c r="M366" i="106"/>
  <c r="L366" i="106"/>
  <c r="K366" i="106"/>
  <c r="I366" i="106"/>
  <c r="H366" i="106"/>
  <c r="G366" i="106"/>
  <c r="F366" i="106"/>
  <c r="E366" i="106"/>
  <c r="N365" i="106"/>
  <c r="J365" i="106"/>
  <c r="D365" i="106"/>
  <c r="N364" i="106"/>
  <c r="J364" i="106"/>
  <c r="D364" i="106"/>
  <c r="N363" i="106"/>
  <c r="J363" i="106"/>
  <c r="D363" i="106"/>
  <c r="N362" i="106"/>
  <c r="J362" i="106"/>
  <c r="D362" i="106"/>
  <c r="N361" i="106"/>
  <c r="J361" i="106"/>
  <c r="D361" i="106"/>
  <c r="N360" i="106"/>
  <c r="J360" i="106"/>
  <c r="D360" i="106"/>
  <c r="M359" i="106"/>
  <c r="L359" i="106"/>
  <c r="K359" i="106"/>
  <c r="N359" i="106" s="1"/>
  <c r="I359" i="106"/>
  <c r="H359" i="106"/>
  <c r="F359" i="106"/>
  <c r="E359" i="106"/>
  <c r="N358" i="106"/>
  <c r="G358" i="106"/>
  <c r="N357" i="106"/>
  <c r="J357" i="106"/>
  <c r="D357" i="106"/>
  <c r="N356" i="106"/>
  <c r="J356" i="106"/>
  <c r="D356" i="106"/>
  <c r="N355" i="106"/>
  <c r="J355" i="106"/>
  <c r="D355" i="106"/>
  <c r="N354" i="106"/>
  <c r="J354" i="106"/>
  <c r="D354" i="106"/>
  <c r="N353" i="106"/>
  <c r="J353" i="106"/>
  <c r="D353" i="106"/>
  <c r="N352" i="106"/>
  <c r="J352" i="106"/>
  <c r="D352" i="106"/>
  <c r="N351" i="106"/>
  <c r="J351" i="106"/>
  <c r="D351" i="106"/>
  <c r="N349" i="106"/>
  <c r="J349" i="106"/>
  <c r="D349" i="106"/>
  <c r="N348" i="106"/>
  <c r="J348" i="106"/>
  <c r="D348" i="106"/>
  <c r="N347" i="106"/>
  <c r="J347" i="106"/>
  <c r="D347" i="106"/>
  <c r="N346" i="106"/>
  <c r="J346" i="106"/>
  <c r="D346" i="106"/>
  <c r="N345" i="106"/>
  <c r="J345" i="106"/>
  <c r="D345" i="106"/>
  <c r="N344" i="106"/>
  <c r="J344" i="106"/>
  <c r="D344" i="106"/>
  <c r="N343" i="106"/>
  <c r="J343" i="106"/>
  <c r="D343" i="106"/>
  <c r="N342" i="106"/>
  <c r="J342" i="106"/>
  <c r="D342" i="106"/>
  <c r="N341" i="106"/>
  <c r="J341" i="106"/>
  <c r="D341" i="106"/>
  <c r="N340" i="106"/>
  <c r="J340" i="106"/>
  <c r="D340" i="106"/>
  <c r="M339" i="106"/>
  <c r="L339" i="106"/>
  <c r="K339" i="106"/>
  <c r="N339" i="106" s="1"/>
  <c r="I339" i="106"/>
  <c r="H339" i="106"/>
  <c r="G339" i="106"/>
  <c r="J339" i="106" s="1"/>
  <c r="F339" i="106"/>
  <c r="E339" i="106"/>
  <c r="D339" i="106"/>
  <c r="N338" i="106"/>
  <c r="J338" i="106"/>
  <c r="D338" i="106"/>
  <c r="N337" i="106"/>
  <c r="J337" i="106"/>
  <c r="D337" i="106"/>
  <c r="M336" i="106"/>
  <c r="L336" i="106"/>
  <c r="K336" i="106"/>
  <c r="N336" i="106" s="1"/>
  <c r="I336" i="106"/>
  <c r="H336" i="106"/>
  <c r="G336" i="106"/>
  <c r="J336" i="106" s="1"/>
  <c r="F336" i="106"/>
  <c r="E336" i="106"/>
  <c r="D336" i="106"/>
  <c r="N335" i="106"/>
  <c r="J335" i="106"/>
  <c r="D335" i="106"/>
  <c r="N334" i="106"/>
  <c r="J334" i="106"/>
  <c r="D334" i="106"/>
  <c r="M333" i="106"/>
  <c r="M350" i="106" s="1"/>
  <c r="L333" i="106"/>
  <c r="L350" i="106" s="1"/>
  <c r="K333" i="106"/>
  <c r="I333" i="106"/>
  <c r="I350" i="106" s="1"/>
  <c r="H333" i="106"/>
  <c r="H350" i="106" s="1"/>
  <c r="G333" i="106"/>
  <c r="F333" i="106"/>
  <c r="F350" i="106" s="1"/>
  <c r="E333" i="106"/>
  <c r="E350" i="106" s="1"/>
  <c r="N332" i="106"/>
  <c r="J332" i="106"/>
  <c r="D332" i="106"/>
  <c r="N331" i="106"/>
  <c r="J331" i="106"/>
  <c r="D331" i="106"/>
  <c r="N330" i="106"/>
  <c r="J330" i="106"/>
  <c r="D330" i="106"/>
  <c r="N329" i="106"/>
  <c r="J329" i="106"/>
  <c r="D329" i="106"/>
  <c r="N328" i="106"/>
  <c r="J328" i="106"/>
  <c r="D328" i="106"/>
  <c r="N327" i="106"/>
  <c r="J327" i="106"/>
  <c r="D327" i="106"/>
  <c r="M312" i="106"/>
  <c r="L312" i="106"/>
  <c r="K312" i="106"/>
  <c r="I312" i="106"/>
  <c r="H312" i="106"/>
  <c r="G312" i="106"/>
  <c r="F312" i="106"/>
  <c r="E312" i="106"/>
  <c r="N311" i="106"/>
  <c r="J311" i="106"/>
  <c r="D311" i="106"/>
  <c r="N310" i="106"/>
  <c r="J310" i="106"/>
  <c r="D310" i="106"/>
  <c r="N309" i="106"/>
  <c r="J309" i="106"/>
  <c r="D309" i="106"/>
  <c r="N308" i="106"/>
  <c r="J308" i="106"/>
  <c r="D308" i="106"/>
  <c r="N307" i="106"/>
  <c r="J307" i="106"/>
  <c r="D307" i="106"/>
  <c r="N306" i="106"/>
  <c r="J306" i="106"/>
  <c r="D306" i="106"/>
  <c r="M305" i="106"/>
  <c r="L305" i="106"/>
  <c r="K305" i="106"/>
  <c r="N305" i="106" s="1"/>
  <c r="I305" i="106"/>
  <c r="H305" i="106"/>
  <c r="G305" i="106"/>
  <c r="J305" i="106" s="1"/>
  <c r="F305" i="106"/>
  <c r="E305" i="106"/>
  <c r="D305" i="106"/>
  <c r="N304" i="106"/>
  <c r="J304" i="106"/>
  <c r="D304" i="106"/>
  <c r="N303" i="106"/>
  <c r="J303" i="106"/>
  <c r="D303" i="106"/>
  <c r="N302" i="106"/>
  <c r="J302" i="106"/>
  <c r="D302" i="106"/>
  <c r="N301" i="106"/>
  <c r="J301" i="106"/>
  <c r="D301" i="106"/>
  <c r="N300" i="106"/>
  <c r="J300" i="106"/>
  <c r="D300" i="106"/>
  <c r="N299" i="106"/>
  <c r="J299" i="106"/>
  <c r="D299" i="106"/>
  <c r="N298" i="106"/>
  <c r="J298" i="106"/>
  <c r="D298" i="106"/>
  <c r="N297" i="106"/>
  <c r="J297" i="106"/>
  <c r="D297" i="106"/>
  <c r="N295" i="106"/>
  <c r="J295" i="106"/>
  <c r="D295" i="106"/>
  <c r="N294" i="106"/>
  <c r="J294" i="106"/>
  <c r="D294" i="106"/>
  <c r="N293" i="106"/>
  <c r="J293" i="106"/>
  <c r="D293" i="106"/>
  <c r="N292" i="106"/>
  <c r="J292" i="106"/>
  <c r="D292" i="106"/>
  <c r="N291" i="106"/>
  <c r="J291" i="106"/>
  <c r="D291" i="106"/>
  <c r="N290" i="106"/>
  <c r="J290" i="106"/>
  <c r="D290" i="106"/>
  <c r="N289" i="106"/>
  <c r="J289" i="106"/>
  <c r="D289" i="106"/>
  <c r="N288" i="106"/>
  <c r="J288" i="106"/>
  <c r="D288" i="106"/>
  <c r="N287" i="106"/>
  <c r="J287" i="106"/>
  <c r="D287" i="106"/>
  <c r="N286" i="106"/>
  <c r="J286" i="106"/>
  <c r="D286" i="106"/>
  <c r="M285" i="106"/>
  <c r="L285" i="106"/>
  <c r="K285" i="106"/>
  <c r="N285" i="106" s="1"/>
  <c r="I285" i="106"/>
  <c r="H285" i="106"/>
  <c r="G285" i="106"/>
  <c r="J285" i="106" s="1"/>
  <c r="F285" i="106"/>
  <c r="E285" i="106"/>
  <c r="E296" i="106" s="1"/>
  <c r="D285" i="106"/>
  <c r="N284" i="106"/>
  <c r="J284" i="106"/>
  <c r="D284" i="106"/>
  <c r="N283" i="106"/>
  <c r="J283" i="106"/>
  <c r="D283" i="106"/>
  <c r="M282" i="106"/>
  <c r="L282" i="106"/>
  <c r="K282" i="106"/>
  <c r="N282" i="106" s="1"/>
  <c r="I282" i="106"/>
  <c r="I296" i="106" s="1"/>
  <c r="H282" i="106"/>
  <c r="H296" i="106" s="1"/>
  <c r="G282" i="106"/>
  <c r="F282" i="106"/>
  <c r="F296" i="106" s="1"/>
  <c r="N281" i="106"/>
  <c r="J281" i="106"/>
  <c r="D281" i="106"/>
  <c r="N280" i="106"/>
  <c r="J280" i="106"/>
  <c r="D280" i="106"/>
  <c r="M279" i="106"/>
  <c r="M296" i="106" s="1"/>
  <c r="L279" i="106"/>
  <c r="L296" i="106" s="1"/>
  <c r="K279" i="106"/>
  <c r="J279" i="106"/>
  <c r="N278" i="106"/>
  <c r="J278" i="106"/>
  <c r="D278" i="106"/>
  <c r="N277" i="106"/>
  <c r="J277" i="106"/>
  <c r="D277" i="106"/>
  <c r="N276" i="106"/>
  <c r="J276" i="106"/>
  <c r="D276" i="106"/>
  <c r="N275" i="106"/>
  <c r="J275" i="106"/>
  <c r="D275" i="106"/>
  <c r="N274" i="106"/>
  <c r="J274" i="106"/>
  <c r="D274" i="106"/>
  <c r="N273" i="106"/>
  <c r="J273" i="106"/>
  <c r="D273" i="106"/>
  <c r="M259" i="106"/>
  <c r="L259" i="106"/>
  <c r="K259" i="106"/>
  <c r="I259" i="106"/>
  <c r="H259" i="106"/>
  <c r="G259" i="106"/>
  <c r="F259" i="106"/>
  <c r="E259" i="106"/>
  <c r="N258" i="106"/>
  <c r="J258" i="106"/>
  <c r="D258" i="106"/>
  <c r="N257" i="106"/>
  <c r="J257" i="106"/>
  <c r="D257" i="106"/>
  <c r="N256" i="106"/>
  <c r="J256" i="106"/>
  <c r="D256" i="106"/>
  <c r="N255" i="106"/>
  <c r="J255" i="106"/>
  <c r="D255" i="106"/>
  <c r="N254" i="106"/>
  <c r="J254" i="106"/>
  <c r="D254" i="106"/>
  <c r="N253" i="106"/>
  <c r="J253" i="106"/>
  <c r="D253" i="106"/>
  <c r="M252" i="106"/>
  <c r="L252" i="106"/>
  <c r="K252" i="106"/>
  <c r="N252" i="106" s="1"/>
  <c r="I252" i="106"/>
  <c r="H252" i="106"/>
  <c r="G252" i="106"/>
  <c r="J252" i="106" s="1"/>
  <c r="F252" i="106"/>
  <c r="E252" i="106"/>
  <c r="D252" i="106"/>
  <c r="N251" i="106"/>
  <c r="J251" i="106"/>
  <c r="D251" i="106"/>
  <c r="N250" i="106"/>
  <c r="J250" i="106"/>
  <c r="D250" i="106"/>
  <c r="N249" i="106"/>
  <c r="J249" i="106"/>
  <c r="D249" i="106"/>
  <c r="N248" i="106"/>
  <c r="J248" i="106"/>
  <c r="D248" i="106"/>
  <c r="N247" i="106"/>
  <c r="J247" i="106"/>
  <c r="D247" i="106"/>
  <c r="N246" i="106"/>
  <c r="J246" i="106"/>
  <c r="D246" i="106"/>
  <c r="N245" i="106"/>
  <c r="J245" i="106"/>
  <c r="D245" i="106"/>
  <c r="N244" i="106"/>
  <c r="J244" i="106"/>
  <c r="D244" i="106"/>
  <c r="N242" i="106"/>
  <c r="J242" i="106"/>
  <c r="D242" i="106"/>
  <c r="N241" i="106"/>
  <c r="J241" i="106"/>
  <c r="D241" i="106"/>
  <c r="N240" i="106"/>
  <c r="J240" i="106"/>
  <c r="D240" i="106"/>
  <c r="N239" i="106"/>
  <c r="J239" i="106"/>
  <c r="D239" i="106"/>
  <c r="N238" i="106"/>
  <c r="J238" i="106"/>
  <c r="D238" i="106"/>
  <c r="N237" i="106"/>
  <c r="J237" i="106"/>
  <c r="D237" i="106"/>
  <c r="N236" i="106"/>
  <c r="J236" i="106"/>
  <c r="D236" i="106"/>
  <c r="N235" i="106"/>
  <c r="J235" i="106"/>
  <c r="D235" i="106"/>
  <c r="N234" i="106"/>
  <c r="J234" i="106"/>
  <c r="D234" i="106"/>
  <c r="N233" i="106"/>
  <c r="J233" i="106"/>
  <c r="D233" i="106"/>
  <c r="M232" i="106"/>
  <c r="L232" i="106"/>
  <c r="K232" i="106"/>
  <c r="N232" i="106" s="1"/>
  <c r="I232" i="106"/>
  <c r="H232" i="106"/>
  <c r="G232" i="106"/>
  <c r="J232" i="106" s="1"/>
  <c r="F232" i="106"/>
  <c r="E232" i="106"/>
  <c r="E243" i="106" s="1"/>
  <c r="D232" i="106"/>
  <c r="N231" i="106"/>
  <c r="J231" i="106"/>
  <c r="D231" i="106"/>
  <c r="N230" i="106"/>
  <c r="J230" i="106"/>
  <c r="D230" i="106"/>
  <c r="M229" i="106"/>
  <c r="L229" i="106"/>
  <c r="K229" i="106"/>
  <c r="N229" i="106" s="1"/>
  <c r="I229" i="106"/>
  <c r="H229" i="106"/>
  <c r="G229" i="106"/>
  <c r="J229" i="106" s="1"/>
  <c r="F229" i="106"/>
  <c r="D229" i="106"/>
  <c r="N228" i="106"/>
  <c r="J228" i="106"/>
  <c r="D228" i="106"/>
  <c r="N227" i="106"/>
  <c r="J227" i="106"/>
  <c r="D227" i="106"/>
  <c r="M226" i="106"/>
  <c r="M243" i="106" s="1"/>
  <c r="L226" i="106"/>
  <c r="L243" i="106" s="1"/>
  <c r="K226" i="106"/>
  <c r="I226" i="106"/>
  <c r="I243" i="106" s="1"/>
  <c r="H226" i="106"/>
  <c r="H243" i="106" s="1"/>
  <c r="G226" i="106"/>
  <c r="F226" i="106"/>
  <c r="F243" i="106" s="1"/>
  <c r="N225" i="106"/>
  <c r="J225" i="106"/>
  <c r="D225" i="106"/>
  <c r="N224" i="106"/>
  <c r="J224" i="106"/>
  <c r="D224" i="106"/>
  <c r="N223" i="106"/>
  <c r="J223" i="106"/>
  <c r="D223" i="106"/>
  <c r="N222" i="106"/>
  <c r="J222" i="106"/>
  <c r="D222" i="106"/>
  <c r="N221" i="106"/>
  <c r="J221" i="106"/>
  <c r="D221" i="106"/>
  <c r="N220" i="106"/>
  <c r="J220" i="106"/>
  <c r="D220" i="106"/>
  <c r="M207" i="106"/>
  <c r="L207" i="106"/>
  <c r="K207" i="106"/>
  <c r="I207" i="106"/>
  <c r="H207" i="106"/>
  <c r="G207" i="106"/>
  <c r="E207" i="106"/>
  <c r="N206" i="106"/>
  <c r="J206" i="106"/>
  <c r="D206" i="106"/>
  <c r="N205" i="106"/>
  <c r="J205" i="106"/>
  <c r="D205" i="106"/>
  <c r="N204" i="106"/>
  <c r="J204" i="106"/>
  <c r="D204" i="106"/>
  <c r="N203" i="106"/>
  <c r="J203" i="106"/>
  <c r="D203" i="106"/>
  <c r="N202" i="106"/>
  <c r="J202" i="106"/>
  <c r="F202" i="106"/>
  <c r="F207" i="106" s="1"/>
  <c r="D202" i="106"/>
  <c r="N201" i="106"/>
  <c r="D201" i="106"/>
  <c r="M200" i="106"/>
  <c r="L200" i="106"/>
  <c r="K200" i="106"/>
  <c r="N200" i="106" s="1"/>
  <c r="I200" i="106"/>
  <c r="H200" i="106"/>
  <c r="G200" i="106"/>
  <c r="J200" i="106" s="1"/>
  <c r="F200" i="106"/>
  <c r="E200" i="106"/>
  <c r="D200" i="106"/>
  <c r="N199" i="106"/>
  <c r="J199" i="106"/>
  <c r="D199" i="106"/>
  <c r="N198" i="106"/>
  <c r="J198" i="106"/>
  <c r="D198" i="106"/>
  <c r="N197" i="106"/>
  <c r="J197" i="106"/>
  <c r="D197" i="106"/>
  <c r="N196" i="106"/>
  <c r="J196" i="106"/>
  <c r="D196" i="106"/>
  <c r="N195" i="106"/>
  <c r="J195" i="106"/>
  <c r="D195" i="106"/>
  <c r="N194" i="106"/>
  <c r="J194" i="106"/>
  <c r="D194" i="106"/>
  <c r="N193" i="106"/>
  <c r="J193" i="106"/>
  <c r="D193" i="106"/>
  <c r="N192" i="106"/>
  <c r="J192" i="106"/>
  <c r="D192" i="106"/>
  <c r="N190" i="106"/>
  <c r="J190" i="106"/>
  <c r="D190" i="106"/>
  <c r="N189" i="106"/>
  <c r="J189" i="106"/>
  <c r="D189" i="106"/>
  <c r="N188" i="106"/>
  <c r="J188" i="106"/>
  <c r="D188" i="106"/>
  <c r="N187" i="106"/>
  <c r="J187" i="106"/>
  <c r="D187" i="106"/>
  <c r="N186" i="106"/>
  <c r="J186" i="106"/>
  <c r="D186" i="106"/>
  <c r="N185" i="106"/>
  <c r="J185" i="106"/>
  <c r="D185" i="106"/>
  <c r="N184" i="106"/>
  <c r="J184" i="106"/>
  <c r="D184" i="106"/>
  <c r="N183" i="106"/>
  <c r="J183" i="106"/>
  <c r="D183" i="106"/>
  <c r="N182" i="106"/>
  <c r="J182" i="106"/>
  <c r="D182" i="106"/>
  <c r="N181" i="106"/>
  <c r="J181" i="106"/>
  <c r="D181" i="106"/>
  <c r="M180" i="106"/>
  <c r="L180" i="106"/>
  <c r="K180" i="106"/>
  <c r="N180" i="106" s="1"/>
  <c r="I180" i="106"/>
  <c r="H180" i="106"/>
  <c r="G180" i="106"/>
  <c r="J180" i="106" s="1"/>
  <c r="F180" i="106"/>
  <c r="E180" i="106"/>
  <c r="E191" i="106" s="1"/>
  <c r="D180" i="106"/>
  <c r="N179" i="106"/>
  <c r="J179" i="106"/>
  <c r="D179" i="106"/>
  <c r="N178" i="106"/>
  <c r="J178" i="106"/>
  <c r="D178" i="106"/>
  <c r="M177" i="106"/>
  <c r="L177" i="106"/>
  <c r="K177" i="106"/>
  <c r="N177" i="106" s="1"/>
  <c r="I177" i="106"/>
  <c r="H177" i="106"/>
  <c r="G177" i="106"/>
  <c r="J177" i="106" s="1"/>
  <c r="F177" i="106"/>
  <c r="D177" i="106"/>
  <c r="N176" i="106"/>
  <c r="J176" i="106"/>
  <c r="D176" i="106"/>
  <c r="N175" i="106"/>
  <c r="J175" i="106"/>
  <c r="D175" i="106"/>
  <c r="M174" i="106"/>
  <c r="M191" i="106" s="1"/>
  <c r="L174" i="106"/>
  <c r="L191" i="106" s="1"/>
  <c r="K174" i="106"/>
  <c r="I174" i="106"/>
  <c r="I191" i="106" s="1"/>
  <c r="H174" i="106"/>
  <c r="H191" i="106" s="1"/>
  <c r="G174" i="106"/>
  <c r="F174" i="106"/>
  <c r="F191" i="106" s="1"/>
  <c r="N173" i="106"/>
  <c r="J173" i="106"/>
  <c r="D173" i="106"/>
  <c r="N172" i="106"/>
  <c r="J172" i="106"/>
  <c r="D172" i="106"/>
  <c r="D171" i="106"/>
  <c r="N170" i="106"/>
  <c r="J170" i="106"/>
  <c r="D170" i="106"/>
  <c r="N169" i="106"/>
  <c r="J169" i="106"/>
  <c r="D169" i="106"/>
  <c r="N168" i="106"/>
  <c r="J168" i="106"/>
  <c r="D168" i="106"/>
  <c r="M156" i="106"/>
  <c r="L156" i="106"/>
  <c r="K156" i="106"/>
  <c r="I156" i="106"/>
  <c r="H156" i="106"/>
  <c r="G156" i="106"/>
  <c r="F156" i="106"/>
  <c r="E156" i="106"/>
  <c r="N155" i="106"/>
  <c r="J155" i="106"/>
  <c r="D155" i="106"/>
  <c r="N154" i="106"/>
  <c r="J154" i="106"/>
  <c r="D154" i="106"/>
  <c r="N153" i="106"/>
  <c r="J153" i="106"/>
  <c r="D153" i="106"/>
  <c r="N152" i="106"/>
  <c r="J152" i="106"/>
  <c r="D152" i="106"/>
  <c r="N151" i="106"/>
  <c r="J151" i="106"/>
  <c r="D151" i="106"/>
  <c r="N150" i="106"/>
  <c r="J150" i="106"/>
  <c r="D150" i="106"/>
  <c r="M149" i="106"/>
  <c r="L149" i="106"/>
  <c r="K149" i="106"/>
  <c r="N149" i="106" s="1"/>
  <c r="I149" i="106"/>
  <c r="H149" i="106"/>
  <c r="G149" i="106"/>
  <c r="J149" i="106" s="1"/>
  <c r="F149" i="106"/>
  <c r="E149" i="106"/>
  <c r="D149" i="106"/>
  <c r="N148" i="106"/>
  <c r="J148" i="106"/>
  <c r="D148" i="106"/>
  <c r="N147" i="106"/>
  <c r="J147" i="106"/>
  <c r="D147" i="106"/>
  <c r="N146" i="106"/>
  <c r="J146" i="106"/>
  <c r="D146" i="106"/>
  <c r="N145" i="106"/>
  <c r="J145" i="106"/>
  <c r="D145" i="106"/>
  <c r="N144" i="106"/>
  <c r="J144" i="106"/>
  <c r="D144" i="106"/>
  <c r="N143" i="106"/>
  <c r="J143" i="106"/>
  <c r="D143" i="106"/>
  <c r="N142" i="106"/>
  <c r="J142" i="106"/>
  <c r="D142" i="106"/>
  <c r="N141" i="106"/>
  <c r="J141" i="106"/>
  <c r="D141" i="106"/>
  <c r="N139" i="106"/>
  <c r="J139" i="106"/>
  <c r="D139" i="106"/>
  <c r="N138" i="106"/>
  <c r="J138" i="106"/>
  <c r="D138" i="106"/>
  <c r="N137" i="106"/>
  <c r="J137" i="106"/>
  <c r="D137" i="106"/>
  <c r="N136" i="106"/>
  <c r="J136" i="106"/>
  <c r="D136" i="106"/>
  <c r="N135" i="106"/>
  <c r="J135" i="106"/>
  <c r="D135" i="106"/>
  <c r="N134" i="106"/>
  <c r="J134" i="106"/>
  <c r="D134" i="106"/>
  <c r="N133" i="106"/>
  <c r="J133" i="106"/>
  <c r="D133" i="106"/>
  <c r="N132" i="106"/>
  <c r="J132" i="106"/>
  <c r="D132" i="106"/>
  <c r="N131" i="106"/>
  <c r="J131" i="106"/>
  <c r="D131" i="106"/>
  <c r="N130" i="106"/>
  <c r="J130" i="106"/>
  <c r="D130" i="106"/>
  <c r="M129" i="106"/>
  <c r="L129" i="106"/>
  <c r="K129" i="106"/>
  <c r="N129" i="106" s="1"/>
  <c r="I129" i="106"/>
  <c r="H129" i="106"/>
  <c r="G129" i="106"/>
  <c r="J129" i="106" s="1"/>
  <c r="F129" i="106"/>
  <c r="E129" i="106"/>
  <c r="E140" i="106" s="1"/>
  <c r="D129" i="106"/>
  <c r="N128" i="106"/>
  <c r="J128" i="106"/>
  <c r="D128" i="106"/>
  <c r="N127" i="106"/>
  <c r="J127" i="106"/>
  <c r="D127" i="106"/>
  <c r="M126" i="106"/>
  <c r="L126" i="106"/>
  <c r="K126" i="106"/>
  <c r="N126" i="106" s="1"/>
  <c r="I126" i="106"/>
  <c r="H126" i="106"/>
  <c r="G126" i="106"/>
  <c r="J126" i="106" s="1"/>
  <c r="F126" i="106"/>
  <c r="D126" i="106"/>
  <c r="N125" i="106"/>
  <c r="J125" i="106"/>
  <c r="D125" i="106"/>
  <c r="N124" i="106"/>
  <c r="J124" i="106"/>
  <c r="D124" i="106"/>
  <c r="M123" i="106"/>
  <c r="M140" i="106" s="1"/>
  <c r="L123" i="106"/>
  <c r="L140" i="106" s="1"/>
  <c r="K123" i="106"/>
  <c r="I123" i="106"/>
  <c r="I140" i="106" s="1"/>
  <c r="H123" i="106"/>
  <c r="H140" i="106" s="1"/>
  <c r="G123" i="106"/>
  <c r="F123" i="106"/>
  <c r="F140" i="106" s="1"/>
  <c r="N122" i="106"/>
  <c r="J122" i="106"/>
  <c r="D122" i="106"/>
  <c r="N121" i="106"/>
  <c r="J121" i="106"/>
  <c r="D121" i="106"/>
  <c r="N120" i="106"/>
  <c r="J120" i="106"/>
  <c r="D120" i="106"/>
  <c r="N119" i="106"/>
  <c r="J119" i="106"/>
  <c r="D119" i="106"/>
  <c r="N118" i="106"/>
  <c r="J118" i="106"/>
  <c r="D118" i="106"/>
  <c r="N117" i="106"/>
  <c r="J117" i="106"/>
  <c r="D117" i="106"/>
  <c r="M104" i="106"/>
  <c r="L104" i="106"/>
  <c r="K104" i="106"/>
  <c r="I104" i="106"/>
  <c r="H104" i="106"/>
  <c r="G104" i="106"/>
  <c r="F104" i="106"/>
  <c r="E104" i="106"/>
  <c r="N103" i="106"/>
  <c r="J103" i="106"/>
  <c r="D103" i="106"/>
  <c r="N102" i="106"/>
  <c r="J102" i="106"/>
  <c r="D102" i="106"/>
  <c r="N101" i="106"/>
  <c r="J101" i="106"/>
  <c r="D101" i="106"/>
  <c r="N100" i="106"/>
  <c r="J100" i="106"/>
  <c r="D100" i="106"/>
  <c r="N99" i="106"/>
  <c r="J99" i="106"/>
  <c r="D99" i="106"/>
  <c r="N98" i="106"/>
  <c r="J98" i="106"/>
  <c r="D98" i="106"/>
  <c r="M97" i="106"/>
  <c r="L97" i="106"/>
  <c r="K97" i="106"/>
  <c r="N97" i="106" s="1"/>
  <c r="I97" i="106"/>
  <c r="H97" i="106"/>
  <c r="G97" i="106"/>
  <c r="J97" i="106" s="1"/>
  <c r="F97" i="106"/>
  <c r="E97" i="106"/>
  <c r="D97" i="106"/>
  <c r="N96" i="106"/>
  <c r="J96" i="106"/>
  <c r="D96" i="106"/>
  <c r="N95" i="106"/>
  <c r="J95" i="106"/>
  <c r="D95" i="106"/>
  <c r="N94" i="106"/>
  <c r="J94" i="106"/>
  <c r="D94" i="106"/>
  <c r="N93" i="106"/>
  <c r="J93" i="106"/>
  <c r="D93" i="106"/>
  <c r="N92" i="106"/>
  <c r="D92" i="106"/>
  <c r="N91" i="106"/>
  <c r="J91" i="106"/>
  <c r="D91" i="106"/>
  <c r="N90" i="106"/>
  <c r="J90" i="106"/>
  <c r="D90" i="106"/>
  <c r="N89" i="106"/>
  <c r="J89" i="106"/>
  <c r="D89" i="106"/>
  <c r="N87" i="106"/>
  <c r="J87" i="106"/>
  <c r="D87" i="106"/>
  <c r="N86" i="106"/>
  <c r="J86" i="106"/>
  <c r="D86" i="106"/>
  <c r="N85" i="106"/>
  <c r="J85" i="106"/>
  <c r="F85" i="106"/>
  <c r="F34" i="106" s="1"/>
  <c r="D85" i="106"/>
  <c r="J84" i="106"/>
  <c r="D84" i="106"/>
  <c r="N83" i="106"/>
  <c r="J83" i="106"/>
  <c r="D83" i="106"/>
  <c r="J82" i="106"/>
  <c r="D82" i="106"/>
  <c r="N81" i="106"/>
  <c r="J81" i="106"/>
  <c r="D81" i="106"/>
  <c r="N80" i="106"/>
  <c r="J80" i="106"/>
  <c r="D80" i="106"/>
  <c r="N79" i="106"/>
  <c r="J79" i="106"/>
  <c r="D79" i="106"/>
  <c r="N78" i="106"/>
  <c r="J78" i="106"/>
  <c r="D78" i="106"/>
  <c r="M77" i="106"/>
  <c r="L77" i="106"/>
  <c r="K77" i="106"/>
  <c r="N77" i="106" s="1"/>
  <c r="I77" i="106"/>
  <c r="H77" i="106"/>
  <c r="G77" i="106"/>
  <c r="J77" i="106" s="1"/>
  <c r="F77" i="106"/>
  <c r="E77" i="106"/>
  <c r="E88" i="106" s="1"/>
  <c r="D77" i="106"/>
  <c r="N76" i="106"/>
  <c r="J76" i="106"/>
  <c r="D76" i="106"/>
  <c r="N75" i="106"/>
  <c r="J75" i="106"/>
  <c r="D75" i="106"/>
  <c r="M74" i="106"/>
  <c r="L74" i="106"/>
  <c r="K74" i="106"/>
  <c r="N74" i="106" s="1"/>
  <c r="J74" i="106"/>
  <c r="D74" i="106"/>
  <c r="N73" i="106"/>
  <c r="J73" i="106"/>
  <c r="D73" i="106"/>
  <c r="AO72" i="106"/>
  <c r="AN72" i="106"/>
  <c r="AM72" i="106"/>
  <c r="N72" i="106"/>
  <c r="AP72" i="106" s="1"/>
  <c r="J72" i="106"/>
  <c r="D72" i="106"/>
  <c r="M71" i="106"/>
  <c r="L71" i="106"/>
  <c r="K71" i="106"/>
  <c r="I71" i="106"/>
  <c r="I88" i="106" s="1"/>
  <c r="H71" i="106"/>
  <c r="H88" i="106" s="1"/>
  <c r="H37" i="106" s="1"/>
  <c r="G71" i="106"/>
  <c r="F71" i="106"/>
  <c r="F88" i="106" s="1"/>
  <c r="F37" i="106" s="1"/>
  <c r="AO70" i="106"/>
  <c r="AN70" i="106"/>
  <c r="AM70" i="106"/>
  <c r="N70" i="106"/>
  <c r="AP70" i="106" s="1"/>
  <c r="J70" i="106"/>
  <c r="D70" i="106"/>
  <c r="AO69" i="106"/>
  <c r="AN69" i="106"/>
  <c r="AM69" i="106"/>
  <c r="N69" i="106"/>
  <c r="AP69" i="106" s="1"/>
  <c r="J69" i="106"/>
  <c r="D69" i="106"/>
  <c r="N68" i="106"/>
  <c r="J68" i="106"/>
  <c r="D68" i="106"/>
  <c r="AO67" i="106"/>
  <c r="AN67" i="106"/>
  <c r="AM67" i="106"/>
  <c r="N67" i="106"/>
  <c r="AP67" i="106" s="1"/>
  <c r="J67" i="106"/>
  <c r="D67" i="106"/>
  <c r="AO66" i="106"/>
  <c r="AN66" i="106"/>
  <c r="AM66" i="106"/>
  <c r="N66" i="106"/>
  <c r="AP66" i="106" s="1"/>
  <c r="J66" i="106"/>
  <c r="D66" i="106"/>
  <c r="AO65" i="106"/>
  <c r="AN65" i="106"/>
  <c r="AM65" i="106"/>
  <c r="N65" i="106"/>
  <c r="J65" i="106"/>
  <c r="D65" i="106"/>
  <c r="M53" i="106"/>
  <c r="L53" i="106"/>
  <c r="K53" i="106"/>
  <c r="I53" i="106"/>
  <c r="H53" i="106"/>
  <c r="G53" i="106"/>
  <c r="F53" i="106"/>
  <c r="E53" i="106"/>
  <c r="N52" i="106"/>
  <c r="M52" i="106"/>
  <c r="L52" i="106"/>
  <c r="K52" i="106"/>
  <c r="J52" i="106"/>
  <c r="I52" i="106"/>
  <c r="H52" i="106"/>
  <c r="G52" i="106"/>
  <c r="F52" i="106"/>
  <c r="E52" i="106"/>
  <c r="D52" i="106"/>
  <c r="N51" i="106"/>
  <c r="M51" i="106"/>
  <c r="L51" i="106"/>
  <c r="K51" i="106"/>
  <c r="J51" i="106"/>
  <c r="I51" i="106"/>
  <c r="H51" i="106"/>
  <c r="G51" i="106"/>
  <c r="F51" i="106"/>
  <c r="E51" i="106"/>
  <c r="D51" i="106"/>
  <c r="N50" i="106"/>
  <c r="M50" i="106"/>
  <c r="L50" i="106"/>
  <c r="K50" i="106"/>
  <c r="J50" i="106"/>
  <c r="I50" i="106"/>
  <c r="H50" i="106"/>
  <c r="G50" i="106"/>
  <c r="F50" i="106"/>
  <c r="E50" i="106"/>
  <c r="D50" i="106"/>
  <c r="N49" i="106"/>
  <c r="M49" i="106"/>
  <c r="L49" i="106"/>
  <c r="K49" i="106"/>
  <c r="J49" i="106"/>
  <c r="I49" i="106"/>
  <c r="H49" i="106"/>
  <c r="G49" i="106"/>
  <c r="F49" i="106"/>
  <c r="E49" i="106"/>
  <c r="D49" i="106"/>
  <c r="N48" i="106"/>
  <c r="M48" i="106"/>
  <c r="L48" i="106"/>
  <c r="K48" i="106"/>
  <c r="J48" i="106"/>
  <c r="I48" i="106"/>
  <c r="H48" i="106"/>
  <c r="G48" i="106"/>
  <c r="F48" i="106"/>
  <c r="E48" i="106"/>
  <c r="D48" i="106"/>
  <c r="N47" i="106"/>
  <c r="M47" i="106"/>
  <c r="L47" i="106"/>
  <c r="K47" i="106"/>
  <c r="J47" i="106"/>
  <c r="I47" i="106"/>
  <c r="H47" i="106"/>
  <c r="G47" i="106"/>
  <c r="F47" i="106"/>
  <c r="E47" i="106"/>
  <c r="D47" i="106"/>
  <c r="M46" i="106"/>
  <c r="L46" i="106"/>
  <c r="K46" i="106"/>
  <c r="I46" i="106"/>
  <c r="F46" i="106"/>
  <c r="E46" i="106"/>
  <c r="N45" i="106"/>
  <c r="M45" i="106"/>
  <c r="L45" i="106"/>
  <c r="K45" i="106"/>
  <c r="I45" i="106"/>
  <c r="G45" i="106"/>
  <c r="E45" i="106"/>
  <c r="N44" i="106"/>
  <c r="M44" i="106"/>
  <c r="L44" i="106"/>
  <c r="K44" i="106"/>
  <c r="J44" i="106"/>
  <c r="I44" i="106"/>
  <c r="H44" i="106"/>
  <c r="G44" i="106"/>
  <c r="F44" i="106"/>
  <c r="E44" i="106"/>
  <c r="D44" i="106"/>
  <c r="N43" i="106"/>
  <c r="M43" i="106"/>
  <c r="L43" i="106"/>
  <c r="K43" i="106"/>
  <c r="J43" i="106"/>
  <c r="I43" i="106"/>
  <c r="H43" i="106"/>
  <c r="G43" i="106"/>
  <c r="F43" i="106"/>
  <c r="E43" i="106"/>
  <c r="D43" i="106"/>
  <c r="N42" i="106"/>
  <c r="M42" i="106"/>
  <c r="L42" i="106"/>
  <c r="K42" i="106"/>
  <c r="J42" i="106"/>
  <c r="I42" i="106"/>
  <c r="H42" i="106"/>
  <c r="G42" i="106"/>
  <c r="F42" i="106"/>
  <c r="E42" i="106"/>
  <c r="D42" i="106"/>
  <c r="N41" i="106"/>
  <c r="M41" i="106"/>
  <c r="L41" i="106"/>
  <c r="K41" i="106"/>
  <c r="J41" i="106"/>
  <c r="I41" i="106"/>
  <c r="H41" i="106"/>
  <c r="G41" i="106"/>
  <c r="F41" i="106"/>
  <c r="E41" i="106"/>
  <c r="D41" i="106"/>
  <c r="N40" i="106"/>
  <c r="M40" i="106"/>
  <c r="L40" i="106"/>
  <c r="K40" i="106"/>
  <c r="J40" i="106"/>
  <c r="I40" i="106"/>
  <c r="H40" i="106"/>
  <c r="G40" i="106"/>
  <c r="F40" i="106"/>
  <c r="E40" i="106"/>
  <c r="D40" i="106"/>
  <c r="N39" i="106"/>
  <c r="M39" i="106"/>
  <c r="L39" i="106"/>
  <c r="K39" i="106"/>
  <c r="J39" i="106"/>
  <c r="I39" i="106"/>
  <c r="H39" i="106"/>
  <c r="G39" i="106"/>
  <c r="F39" i="106"/>
  <c r="E39" i="106"/>
  <c r="D39" i="106"/>
  <c r="N38" i="106"/>
  <c r="M38" i="106"/>
  <c r="L38" i="106"/>
  <c r="K38" i="106"/>
  <c r="J38" i="106"/>
  <c r="I38" i="106"/>
  <c r="H38" i="106"/>
  <c r="G38" i="106"/>
  <c r="F38" i="106"/>
  <c r="E38" i="106"/>
  <c r="D38" i="106"/>
  <c r="I37" i="106"/>
  <c r="N36" i="106"/>
  <c r="M36" i="106"/>
  <c r="L36" i="106"/>
  <c r="K36" i="106"/>
  <c r="J36" i="106"/>
  <c r="I36" i="106"/>
  <c r="H36" i="106"/>
  <c r="G36" i="106"/>
  <c r="F36" i="106"/>
  <c r="E36" i="106"/>
  <c r="D36" i="106"/>
  <c r="N35" i="106"/>
  <c r="M35" i="106"/>
  <c r="L35" i="106"/>
  <c r="K35" i="106"/>
  <c r="J35" i="106"/>
  <c r="I35" i="106"/>
  <c r="H35" i="106"/>
  <c r="G35" i="106"/>
  <c r="F35" i="106"/>
  <c r="E35" i="106"/>
  <c r="D35" i="106"/>
  <c r="N34" i="106"/>
  <c r="M34" i="106"/>
  <c r="L34" i="106"/>
  <c r="K34" i="106"/>
  <c r="J34" i="106"/>
  <c r="I34" i="106"/>
  <c r="E34" i="106"/>
  <c r="D34" i="106"/>
  <c r="N33" i="106"/>
  <c r="M33" i="106"/>
  <c r="L33" i="106"/>
  <c r="K33" i="106"/>
  <c r="J33" i="106"/>
  <c r="I33" i="106"/>
  <c r="H33" i="106"/>
  <c r="G33" i="106"/>
  <c r="F33" i="106"/>
  <c r="E33" i="106"/>
  <c r="D33" i="106"/>
  <c r="N32" i="106"/>
  <c r="M32" i="106"/>
  <c r="L32" i="106"/>
  <c r="K32" i="106"/>
  <c r="J32" i="106"/>
  <c r="I32" i="106"/>
  <c r="H32" i="106"/>
  <c r="G32" i="106"/>
  <c r="F32" i="106"/>
  <c r="E32" i="106"/>
  <c r="D32" i="106"/>
  <c r="N31" i="106"/>
  <c r="M31" i="106"/>
  <c r="L31" i="106"/>
  <c r="K31" i="106"/>
  <c r="J31" i="106"/>
  <c r="I31" i="106"/>
  <c r="H31" i="106"/>
  <c r="G31" i="106"/>
  <c r="F31" i="106"/>
  <c r="E31" i="106"/>
  <c r="D31" i="106"/>
  <c r="N30" i="106"/>
  <c r="M30" i="106"/>
  <c r="L30" i="106"/>
  <c r="K30" i="106"/>
  <c r="J30" i="106"/>
  <c r="I30" i="106"/>
  <c r="H30" i="106"/>
  <c r="G30" i="106"/>
  <c r="F30" i="106"/>
  <c r="E30" i="106"/>
  <c r="D30" i="106"/>
  <c r="N29" i="106"/>
  <c r="M29" i="106"/>
  <c r="L29" i="106"/>
  <c r="K29" i="106"/>
  <c r="J29" i="106"/>
  <c r="I29" i="106"/>
  <c r="H29" i="106"/>
  <c r="G29" i="106"/>
  <c r="F29" i="106"/>
  <c r="E29" i="106"/>
  <c r="D29" i="106"/>
  <c r="N28" i="106"/>
  <c r="M28" i="106"/>
  <c r="L28" i="106"/>
  <c r="K28" i="106"/>
  <c r="J28" i="106"/>
  <c r="I28" i="106"/>
  <c r="H28" i="106"/>
  <c r="G28" i="106"/>
  <c r="F28" i="106"/>
  <c r="E28" i="106"/>
  <c r="D28" i="106"/>
  <c r="N27" i="106"/>
  <c r="M27" i="106"/>
  <c r="L27" i="106"/>
  <c r="K27" i="106"/>
  <c r="J27" i="106"/>
  <c r="I27" i="106"/>
  <c r="H27" i="106"/>
  <c r="G27" i="106"/>
  <c r="F27" i="106"/>
  <c r="E27" i="106"/>
  <c r="D27" i="106"/>
  <c r="M26" i="106"/>
  <c r="L26" i="106"/>
  <c r="K26" i="106"/>
  <c r="I26" i="106"/>
  <c r="H26" i="106"/>
  <c r="G26" i="106"/>
  <c r="F26" i="106"/>
  <c r="E26" i="106"/>
  <c r="N25" i="106"/>
  <c r="M25" i="106"/>
  <c r="L25" i="106"/>
  <c r="K25" i="106"/>
  <c r="J25" i="106"/>
  <c r="I25" i="106"/>
  <c r="H25" i="106"/>
  <c r="G25" i="106"/>
  <c r="F25" i="106"/>
  <c r="E25" i="106"/>
  <c r="D25" i="106"/>
  <c r="N24" i="106"/>
  <c r="M24" i="106"/>
  <c r="L24" i="106"/>
  <c r="K24" i="106"/>
  <c r="J24" i="106"/>
  <c r="I24" i="106"/>
  <c r="H24" i="106"/>
  <c r="G24" i="106"/>
  <c r="F24" i="106"/>
  <c r="E24" i="106"/>
  <c r="D24" i="106"/>
  <c r="M23" i="106"/>
  <c r="L23" i="106"/>
  <c r="K23" i="106"/>
  <c r="I23" i="106"/>
  <c r="H23" i="106"/>
  <c r="G23" i="106"/>
  <c r="F23" i="106"/>
  <c r="E23" i="106"/>
  <c r="N22" i="106"/>
  <c r="M22" i="106"/>
  <c r="L22" i="106"/>
  <c r="K22" i="106"/>
  <c r="J22" i="106"/>
  <c r="I22" i="106"/>
  <c r="H22" i="106"/>
  <c r="G22" i="106"/>
  <c r="F22" i="106"/>
  <c r="E22" i="106"/>
  <c r="D22" i="106"/>
  <c r="N21" i="106"/>
  <c r="M21" i="106"/>
  <c r="L21" i="106"/>
  <c r="K21" i="106"/>
  <c r="J21" i="106"/>
  <c r="I21" i="106"/>
  <c r="H21" i="106"/>
  <c r="G21" i="106"/>
  <c r="F21" i="106"/>
  <c r="E21" i="106"/>
  <c r="D21" i="106"/>
  <c r="M20" i="106"/>
  <c r="L20" i="106"/>
  <c r="K20" i="106"/>
  <c r="I20" i="106"/>
  <c r="H20" i="106"/>
  <c r="G20" i="106"/>
  <c r="F20" i="106"/>
  <c r="E20" i="106"/>
  <c r="N19" i="106"/>
  <c r="M19" i="106"/>
  <c r="L19" i="106"/>
  <c r="K19" i="106"/>
  <c r="J19" i="106"/>
  <c r="I19" i="106"/>
  <c r="H19" i="106"/>
  <c r="G19" i="106"/>
  <c r="E19" i="106"/>
  <c r="D19" i="106"/>
  <c r="N18" i="106"/>
  <c r="M18" i="106"/>
  <c r="L18" i="106"/>
  <c r="K18" i="106"/>
  <c r="J18" i="106"/>
  <c r="I18" i="106"/>
  <c r="H18" i="106"/>
  <c r="G18" i="106"/>
  <c r="F18" i="106"/>
  <c r="E18" i="106"/>
  <c r="D18" i="106"/>
  <c r="N17" i="106"/>
  <c r="M17" i="106"/>
  <c r="L17" i="106"/>
  <c r="K17" i="106"/>
  <c r="J17" i="106"/>
  <c r="I17" i="106"/>
  <c r="H17" i="106"/>
  <c r="G17" i="106"/>
  <c r="F17" i="106"/>
  <c r="E17" i="106"/>
  <c r="D17" i="106"/>
  <c r="N16" i="106"/>
  <c r="M16" i="106"/>
  <c r="L16" i="106"/>
  <c r="K16" i="106"/>
  <c r="J16" i="106"/>
  <c r="I16" i="106"/>
  <c r="H16" i="106"/>
  <c r="G16" i="106"/>
  <c r="F16" i="106"/>
  <c r="E16" i="106"/>
  <c r="D16" i="106"/>
  <c r="N15" i="106"/>
  <c r="M15" i="106"/>
  <c r="L15" i="106"/>
  <c r="K15" i="106"/>
  <c r="J15" i="106"/>
  <c r="I15" i="106"/>
  <c r="H15" i="106"/>
  <c r="G15" i="106"/>
  <c r="F15" i="106"/>
  <c r="E15" i="106"/>
  <c r="D15" i="106"/>
  <c r="N14" i="106"/>
  <c r="M14" i="106"/>
  <c r="L14" i="106"/>
  <c r="K14" i="106"/>
  <c r="J14" i="106"/>
  <c r="I14" i="106"/>
  <c r="H14" i="106"/>
  <c r="G14" i="106"/>
  <c r="F14" i="106"/>
  <c r="E14" i="106"/>
  <c r="D14" i="106"/>
  <c r="I34" i="139"/>
  <c r="H34" i="139"/>
  <c r="G34" i="139"/>
  <c r="F34" i="139"/>
  <c r="E34" i="139"/>
  <c r="D34" i="139"/>
  <c r="C34" i="139"/>
  <c r="J33" i="139"/>
  <c r="J32" i="139"/>
  <c r="J31" i="139"/>
  <c r="J30" i="139"/>
  <c r="J29" i="139"/>
  <c r="J28" i="139"/>
  <c r="J27" i="139"/>
  <c r="J25" i="139"/>
  <c r="J24" i="139"/>
  <c r="J23" i="139"/>
  <c r="I16" i="139"/>
  <c r="H16" i="139"/>
  <c r="G16" i="139"/>
  <c r="F16" i="139"/>
  <c r="E16" i="139"/>
  <c r="D16" i="139"/>
  <c r="C16" i="139"/>
  <c r="F17" i="138"/>
  <c r="C17" i="138"/>
  <c r="I38" i="104"/>
  <c r="H38" i="104"/>
  <c r="G38" i="104"/>
  <c r="F38" i="104"/>
  <c r="E38" i="104"/>
  <c r="D38" i="104"/>
  <c r="C38" i="104"/>
  <c r="J37" i="104"/>
  <c r="J36" i="104"/>
  <c r="J35" i="104"/>
  <c r="J34" i="104"/>
  <c r="J33" i="104"/>
  <c r="J32" i="104"/>
  <c r="J31" i="104"/>
  <c r="J30" i="104"/>
  <c r="J29" i="104"/>
  <c r="J28" i="104"/>
  <c r="J27" i="104"/>
  <c r="J26" i="104"/>
  <c r="J25" i="104"/>
  <c r="J38" i="104" s="1"/>
  <c r="K18" i="104"/>
  <c r="J18" i="104"/>
  <c r="I18" i="104"/>
  <c r="H18" i="104"/>
  <c r="G18" i="104"/>
  <c r="F18" i="104"/>
  <c r="E18" i="104"/>
  <c r="D18" i="104"/>
  <c r="C18" i="104"/>
  <c r="E15" i="103"/>
  <c r="D15" i="103"/>
  <c r="G31" i="11"/>
  <c r="I30" i="11"/>
  <c r="J30" i="11" s="1"/>
  <c r="I29" i="11"/>
  <c r="J29" i="11" s="1"/>
  <c r="I28" i="11"/>
  <c r="J28" i="11" s="1"/>
  <c r="I27" i="11"/>
  <c r="J27" i="11" s="1"/>
  <c r="I26" i="11"/>
  <c r="J26" i="11" s="1"/>
  <c r="I25" i="11"/>
  <c r="J25" i="11" s="1"/>
  <c r="I24" i="11"/>
  <c r="J24" i="11" s="1"/>
  <c r="I23" i="11"/>
  <c r="J23" i="11" s="1"/>
  <c r="H22" i="11"/>
  <c r="F22" i="11"/>
  <c r="D22" i="11"/>
  <c r="I21" i="11"/>
  <c r="J21" i="11" s="1"/>
  <c r="L20" i="11"/>
  <c r="I20" i="11"/>
  <c r="J20" i="11" s="1"/>
  <c r="I19" i="11"/>
  <c r="J19" i="11" s="1"/>
  <c r="I18" i="11"/>
  <c r="J18" i="11" s="1"/>
  <c r="I17" i="11"/>
  <c r="J17" i="11" s="1"/>
  <c r="I16" i="11"/>
  <c r="J16" i="11" s="1"/>
  <c r="I15" i="11"/>
  <c r="J15" i="11" s="1"/>
  <c r="I14" i="11"/>
  <c r="J14" i="11" s="1"/>
  <c r="I13" i="11"/>
  <c r="J13" i="11" s="1"/>
  <c r="I12" i="11"/>
  <c r="J12" i="11" s="1"/>
  <c r="I11" i="11"/>
  <c r="J11" i="11" s="1"/>
  <c r="I10" i="11"/>
  <c r="G37" i="102"/>
  <c r="F37" i="102"/>
  <c r="E37" i="102"/>
  <c r="C37" i="102"/>
  <c r="H36" i="102"/>
  <c r="I36" i="102" s="1"/>
  <c r="D36" i="102"/>
  <c r="H35" i="102"/>
  <c r="I35" i="102" s="1"/>
  <c r="D35" i="102"/>
  <c r="H33" i="102"/>
  <c r="I33" i="102" s="1"/>
  <c r="H32" i="102"/>
  <c r="I32" i="102" s="1"/>
  <c r="H31" i="102"/>
  <c r="I31" i="102" s="1"/>
  <c r="H30" i="102"/>
  <c r="I30" i="102" s="1"/>
  <c r="H29" i="102"/>
  <c r="I29" i="102" s="1"/>
  <c r="D28" i="102"/>
  <c r="H27" i="102"/>
  <c r="I27" i="102" s="1"/>
  <c r="D27" i="102"/>
  <c r="H26" i="102"/>
  <c r="I26" i="102" s="1"/>
  <c r="D26" i="102"/>
  <c r="H25" i="102"/>
  <c r="I25" i="102" s="1"/>
  <c r="D25" i="102"/>
  <c r="H24" i="102"/>
  <c r="I24" i="102" s="1"/>
  <c r="D24" i="102"/>
  <c r="H23" i="102"/>
  <c r="I23" i="102" s="1"/>
  <c r="D23" i="102"/>
  <c r="H22" i="102"/>
  <c r="I22" i="102" s="1"/>
  <c r="D22" i="102"/>
  <c r="H21" i="102"/>
  <c r="I21" i="102" s="1"/>
  <c r="D21" i="102"/>
  <c r="H20" i="102"/>
  <c r="I20" i="102" s="1"/>
  <c r="D20" i="102"/>
  <c r="H19" i="102"/>
  <c r="I19" i="102" s="1"/>
  <c r="D19" i="102"/>
  <c r="H18" i="102"/>
  <c r="I18" i="102" s="1"/>
  <c r="H17" i="102"/>
  <c r="I17" i="102" s="1"/>
  <c r="H16" i="102"/>
  <c r="I16" i="102" s="1"/>
  <c r="H15" i="102"/>
  <c r="I15" i="102" s="1"/>
  <c r="H14" i="102"/>
  <c r="I14" i="102" s="1"/>
  <c r="H13" i="102"/>
  <c r="I13" i="102" s="1"/>
  <c r="H12" i="102"/>
  <c r="I12" i="102" s="1"/>
  <c r="H11" i="102"/>
  <c r="I11" i="102" s="1"/>
  <c r="H10" i="102"/>
  <c r="I10" i="102" s="1"/>
  <c r="H9" i="102"/>
  <c r="I9" i="102" s="1"/>
  <c r="K28" i="9"/>
  <c r="J28" i="9"/>
  <c r="F28" i="9"/>
  <c r="E28" i="9"/>
  <c r="L27" i="9"/>
  <c r="G27" i="9"/>
  <c r="L26" i="9"/>
  <c r="G26" i="9"/>
  <c r="L25" i="9"/>
  <c r="G25" i="9"/>
  <c r="L24" i="9"/>
  <c r="G24" i="9"/>
  <c r="L23" i="9"/>
  <c r="G23" i="9"/>
  <c r="L22" i="9"/>
  <c r="G22" i="9"/>
  <c r="L21" i="9"/>
  <c r="G21" i="9"/>
  <c r="L20" i="9"/>
  <c r="G20" i="9"/>
  <c r="I19" i="9"/>
  <c r="D19" i="9"/>
  <c r="L18" i="9"/>
  <c r="G18" i="9"/>
  <c r="L17" i="9"/>
  <c r="G17" i="9"/>
  <c r="L16" i="9"/>
  <c r="G16" i="9"/>
  <c r="L15" i="9"/>
  <c r="G15" i="9"/>
  <c r="L14" i="9"/>
  <c r="G14" i="9"/>
  <c r="L13" i="9"/>
  <c r="G13" i="9"/>
  <c r="L12" i="9"/>
  <c r="G12" i="9"/>
  <c r="L11" i="9"/>
  <c r="G11" i="9"/>
  <c r="L10" i="9"/>
  <c r="G10" i="9"/>
  <c r="L9" i="9"/>
  <c r="G9" i="9"/>
  <c r="L8" i="9"/>
  <c r="G8" i="9"/>
  <c r="G7" i="9"/>
  <c r="K12" i="101"/>
  <c r="I12" i="101"/>
  <c r="G12" i="101"/>
  <c r="E12" i="101"/>
  <c r="J33" i="120"/>
  <c r="I33" i="120"/>
  <c r="I38" i="120" s="1"/>
  <c r="H33" i="120"/>
  <c r="K33" i="120" s="1"/>
  <c r="K32" i="120"/>
  <c r="L32" i="120" s="1"/>
  <c r="F32" i="120"/>
  <c r="K31" i="120"/>
  <c r="L31" i="120" s="1"/>
  <c r="F31" i="120"/>
  <c r="K30" i="120"/>
  <c r="L30" i="120" s="1"/>
  <c r="F30" i="120"/>
  <c r="K29" i="120"/>
  <c r="L29" i="120" s="1"/>
  <c r="F29" i="120"/>
  <c r="K28" i="120"/>
  <c r="L28" i="120" s="1"/>
  <c r="F28" i="120"/>
  <c r="K27" i="120"/>
  <c r="L27" i="120" s="1"/>
  <c r="F27" i="120"/>
  <c r="L26" i="120"/>
  <c r="F26" i="120"/>
  <c r="K25" i="120"/>
  <c r="L25" i="120" s="1"/>
  <c r="F25" i="120"/>
  <c r="K24" i="120"/>
  <c r="L24" i="120" s="1"/>
  <c r="F24" i="120"/>
  <c r="K23" i="120"/>
  <c r="L23" i="120" s="1"/>
  <c r="F23" i="120"/>
  <c r="K22" i="120"/>
  <c r="L22" i="120" s="1"/>
  <c r="F22" i="120"/>
  <c r="K21" i="120"/>
  <c r="L21" i="120" s="1"/>
  <c r="F21" i="120"/>
  <c r="K20" i="120"/>
  <c r="L20" i="120" s="1"/>
  <c r="F20" i="120"/>
  <c r="K19" i="120"/>
  <c r="L19" i="120" s="1"/>
  <c r="F19" i="120"/>
  <c r="K18" i="120"/>
  <c r="L18" i="120" s="1"/>
  <c r="F18" i="120"/>
  <c r="K17" i="120"/>
  <c r="L17" i="120" s="1"/>
  <c r="F17" i="120"/>
  <c r="K16" i="120"/>
  <c r="L16" i="120" s="1"/>
  <c r="F16" i="120"/>
  <c r="K14" i="120"/>
  <c r="L14" i="120" s="1"/>
  <c r="F14" i="120"/>
  <c r="K13" i="120"/>
  <c r="L13" i="120" s="1"/>
  <c r="F13" i="120"/>
  <c r="K12" i="120"/>
  <c r="L12" i="120" s="1"/>
  <c r="F12" i="120"/>
  <c r="K11" i="120"/>
  <c r="L11" i="120" s="1"/>
  <c r="F11" i="120"/>
  <c r="K10" i="120"/>
  <c r="L10" i="120" s="1"/>
  <c r="F10" i="120"/>
  <c r="K9" i="120"/>
  <c r="L9" i="120" s="1"/>
  <c r="F9" i="120"/>
  <c r="K8" i="120"/>
  <c r="L8" i="120" s="1"/>
  <c r="F8" i="120"/>
  <c r="K7" i="120"/>
  <c r="L7" i="120" s="1"/>
  <c r="F7" i="120"/>
  <c r="K6" i="120"/>
  <c r="L6" i="120" s="1"/>
  <c r="L33" i="120" s="1"/>
  <c r="F6" i="120"/>
  <c r="C22" i="137"/>
  <c r="I21" i="137"/>
  <c r="C21" i="137"/>
  <c r="I23" i="100"/>
  <c r="G23" i="100"/>
  <c r="E23" i="100"/>
  <c r="K22" i="100"/>
  <c r="K21" i="100"/>
  <c r="K20" i="100"/>
  <c r="K19" i="100"/>
  <c r="K18" i="100"/>
  <c r="K17" i="100"/>
  <c r="K16" i="100"/>
  <c r="K15" i="100"/>
  <c r="K14" i="100"/>
  <c r="K13" i="100"/>
  <c r="K12" i="100"/>
  <c r="K11" i="100"/>
  <c r="K10" i="100"/>
  <c r="K9" i="100"/>
  <c r="K8" i="100"/>
  <c r="K7" i="100"/>
  <c r="K23" i="100" s="1"/>
  <c r="D26" i="4"/>
  <c r="G26" i="4" s="1"/>
  <c r="C26" i="4"/>
  <c r="G25" i="4"/>
  <c r="F25" i="4"/>
  <c r="E25" i="4"/>
  <c r="G24" i="4"/>
  <c r="F24" i="4"/>
  <c r="E24" i="4"/>
  <c r="G23" i="4"/>
  <c r="F23" i="4"/>
  <c r="E23" i="4"/>
  <c r="G22" i="4"/>
  <c r="F22" i="4"/>
  <c r="E22" i="4"/>
  <c r="G21" i="4"/>
  <c r="F21" i="4"/>
  <c r="E21" i="4"/>
  <c r="G20" i="4"/>
  <c r="F20" i="4"/>
  <c r="E20" i="4"/>
  <c r="G19" i="4"/>
  <c r="F19" i="4"/>
  <c r="E19" i="4"/>
  <c r="G18" i="4"/>
  <c r="F18" i="4"/>
  <c r="E18" i="4"/>
  <c r="G17" i="4"/>
  <c r="F17" i="4"/>
  <c r="E17" i="4"/>
  <c r="G16" i="4"/>
  <c r="F16" i="4"/>
  <c r="E16" i="4"/>
  <c r="G15" i="4"/>
  <c r="F15" i="4"/>
  <c r="E15" i="4"/>
  <c r="G14" i="4"/>
  <c r="F14" i="4"/>
  <c r="E14" i="4"/>
  <c r="G13" i="4"/>
  <c r="F13" i="4"/>
  <c r="E13" i="4"/>
  <c r="G12" i="4"/>
  <c r="F12" i="4"/>
  <c r="E12" i="4"/>
  <c r="G11" i="4"/>
  <c r="F11" i="4"/>
  <c r="E11" i="4"/>
  <c r="G10" i="4"/>
  <c r="F10" i="4"/>
  <c r="E10" i="4"/>
  <c r="G9" i="4"/>
  <c r="F9" i="4"/>
  <c r="E9" i="4"/>
  <c r="G8" i="4"/>
  <c r="F8" i="4"/>
  <c r="E8" i="4"/>
  <c r="G7" i="4"/>
  <c r="F7" i="4"/>
  <c r="E7" i="4"/>
  <c r="G6" i="4"/>
  <c r="F6" i="4"/>
  <c r="E6" i="4"/>
  <c r="G5" i="4"/>
  <c r="F5" i="4"/>
  <c r="E5" i="4"/>
  <c r="C34" i="118"/>
  <c r="F33" i="118"/>
  <c r="L22" i="100" s="1"/>
  <c r="E33" i="118"/>
  <c r="F32" i="118"/>
  <c r="L21" i="100" s="1"/>
  <c r="E32" i="118"/>
  <c r="F31" i="118"/>
  <c r="L20" i="100" s="1"/>
  <c r="E31" i="118"/>
  <c r="E30" i="118"/>
  <c r="F29" i="118"/>
  <c r="L19" i="100" s="1"/>
  <c r="E29" i="118"/>
  <c r="E28" i="118"/>
  <c r="E27" i="118"/>
  <c r="F26" i="118"/>
  <c r="E26" i="118"/>
  <c r="F25" i="118"/>
  <c r="L18" i="100" s="1"/>
  <c r="E25" i="118"/>
  <c r="E24" i="118"/>
  <c r="F23" i="118"/>
  <c r="L17" i="100" s="1"/>
  <c r="E23" i="118"/>
  <c r="F22" i="118"/>
  <c r="L16" i="100" s="1"/>
  <c r="E22" i="118"/>
  <c r="F21" i="118"/>
  <c r="L15" i="100" s="1"/>
  <c r="E21" i="118"/>
  <c r="E20" i="118"/>
  <c r="F19" i="118"/>
  <c r="L14" i="100" s="1"/>
  <c r="E19" i="118"/>
  <c r="E18" i="118"/>
  <c r="E17" i="118"/>
  <c r="F16" i="118"/>
  <c r="L13" i="100" s="1"/>
  <c r="E16" i="118"/>
  <c r="F15" i="118"/>
  <c r="L12" i="100" s="1"/>
  <c r="E15" i="118"/>
  <c r="E14" i="118"/>
  <c r="E13" i="118"/>
  <c r="F12" i="118"/>
  <c r="L11" i="100" s="1"/>
  <c r="E12" i="118"/>
  <c r="F11" i="118"/>
  <c r="L10" i="100" s="1"/>
  <c r="E11" i="118"/>
  <c r="E10" i="118"/>
  <c r="F9" i="118"/>
  <c r="L9" i="100" s="1"/>
  <c r="E9" i="118"/>
  <c r="F8" i="118"/>
  <c r="L8" i="100" s="1"/>
  <c r="E8" i="118"/>
  <c r="E7" i="118"/>
  <c r="E6" i="118"/>
  <c r="E34" i="118" l="1"/>
  <c r="F6" i="118"/>
  <c r="F34" i="118" s="1"/>
  <c r="F8" i="100"/>
  <c r="F9" i="100"/>
  <c r="F10" i="100"/>
  <c r="F11" i="100"/>
  <c r="F13" i="100"/>
  <c r="F14" i="100"/>
  <c r="F15" i="100"/>
  <c r="F16" i="100"/>
  <c r="F17" i="100"/>
  <c r="F18" i="100"/>
  <c r="F19" i="100"/>
  <c r="F20" i="100"/>
  <c r="F21" i="100"/>
  <c r="F22" i="100"/>
  <c r="F7" i="100"/>
  <c r="E24" i="100"/>
  <c r="H10" i="100"/>
  <c r="H7" i="100"/>
  <c r="H8" i="100"/>
  <c r="H9" i="100"/>
  <c r="H11" i="100"/>
  <c r="H13" i="100"/>
  <c r="H14" i="100"/>
  <c r="H15" i="100"/>
  <c r="H16" i="100"/>
  <c r="H17" i="100"/>
  <c r="H18" i="100"/>
  <c r="H19" i="100"/>
  <c r="H20" i="100"/>
  <c r="H21" i="100"/>
  <c r="H22" i="100"/>
  <c r="G24" i="100"/>
  <c r="E22" i="137"/>
  <c r="D8" i="137"/>
  <c r="D9" i="137"/>
  <c r="D10" i="137"/>
  <c r="D11" i="137"/>
  <c r="D12" i="137"/>
  <c r="D13" i="137"/>
  <c r="D14" i="137"/>
  <c r="D15" i="137"/>
  <c r="D16" i="137"/>
  <c r="D17" i="137"/>
  <c r="D18" i="137"/>
  <c r="D19" i="137"/>
  <c r="D20" i="137"/>
  <c r="D7" i="137"/>
  <c r="D21" i="137" s="1"/>
  <c r="J8" i="137"/>
  <c r="J9" i="137"/>
  <c r="J10" i="137"/>
  <c r="J11" i="137"/>
  <c r="J12" i="137"/>
  <c r="J13" i="137"/>
  <c r="J14" i="137"/>
  <c r="J15" i="137"/>
  <c r="J16" i="137"/>
  <c r="J17" i="137"/>
  <c r="J18" i="137"/>
  <c r="J19" i="137"/>
  <c r="J20" i="137"/>
  <c r="J7" i="137"/>
  <c r="J21" i="137" s="1"/>
  <c r="D34" i="102"/>
  <c r="D9" i="102"/>
  <c r="F6" i="103"/>
  <c r="F7" i="103"/>
  <c r="F8" i="103"/>
  <c r="F9" i="103"/>
  <c r="F10" i="103"/>
  <c r="F11" i="103"/>
  <c r="F12" i="103"/>
  <c r="F13" i="103"/>
  <c r="F14" i="103"/>
  <c r="D8" i="138"/>
  <c r="D9" i="138"/>
  <c r="D10" i="138"/>
  <c r="D11" i="138"/>
  <c r="D12" i="138"/>
  <c r="D13" i="138"/>
  <c r="D14" i="138"/>
  <c r="D15" i="138"/>
  <c r="D16" i="138"/>
  <c r="D7" i="138"/>
  <c r="D6" i="138"/>
  <c r="D17" i="138" s="1"/>
  <c r="J34" i="139"/>
  <c r="D181" i="105"/>
  <c r="J16" i="100"/>
  <c r="J9" i="100"/>
  <c r="J21" i="100"/>
  <c r="J7" i="100"/>
  <c r="J8" i="100"/>
  <c r="J17" i="100"/>
  <c r="J18" i="100"/>
  <c r="J22" i="100"/>
  <c r="J10" i="100"/>
  <c r="J19" i="100"/>
  <c r="J11" i="100"/>
  <c r="J20" i="100"/>
  <c r="J13" i="100"/>
  <c r="J14" i="100"/>
  <c r="J15" i="100"/>
  <c r="I22" i="137"/>
  <c r="K22" i="137"/>
  <c r="L7" i="100"/>
  <c r="L23" i="100" s="1"/>
  <c r="F26" i="4"/>
  <c r="E26" i="4"/>
  <c r="K31" i="100"/>
  <c r="K24" i="100"/>
  <c r="H23" i="100"/>
  <c r="I24" i="100"/>
  <c r="J23" i="100"/>
  <c r="F33" i="120"/>
  <c r="G6" i="120"/>
  <c r="G7" i="120"/>
  <c r="G8" i="120"/>
  <c r="G9" i="120"/>
  <c r="G10" i="120"/>
  <c r="G11" i="120"/>
  <c r="G12" i="120"/>
  <c r="G13" i="120"/>
  <c r="G14" i="120"/>
  <c r="G16" i="120"/>
  <c r="G17" i="120"/>
  <c r="G18" i="120"/>
  <c r="G19" i="120"/>
  <c r="G20" i="120"/>
  <c r="G21" i="120"/>
  <c r="G22" i="120"/>
  <c r="G23" i="120"/>
  <c r="G24" i="120"/>
  <c r="G25" i="120"/>
  <c r="G26" i="120"/>
  <c r="G27" i="120"/>
  <c r="G28" i="120"/>
  <c r="G29" i="120"/>
  <c r="G30" i="120"/>
  <c r="G31" i="120"/>
  <c r="G32" i="120"/>
  <c r="D28" i="9"/>
  <c r="G28" i="9" s="1"/>
  <c r="G19" i="9"/>
  <c r="H19" i="9" s="1"/>
  <c r="I28" i="9"/>
  <c r="L28" i="9" s="1"/>
  <c r="L19" i="9"/>
  <c r="M19" i="9" s="1"/>
  <c r="H20" i="9"/>
  <c r="M20" i="9"/>
  <c r="H21" i="9"/>
  <c r="M21" i="9"/>
  <c r="H22" i="9"/>
  <c r="M22" i="9"/>
  <c r="H23" i="9"/>
  <c r="M23" i="9"/>
  <c r="H24" i="9"/>
  <c r="M24" i="9"/>
  <c r="H25" i="9"/>
  <c r="M25" i="9"/>
  <c r="H26" i="9"/>
  <c r="M26" i="9"/>
  <c r="H27" i="9"/>
  <c r="M27" i="9"/>
  <c r="J10" i="11"/>
  <c r="D31" i="11"/>
  <c r="E22" i="11"/>
  <c r="F31" i="11"/>
  <c r="H31" i="11"/>
  <c r="I22" i="11"/>
  <c r="J46" i="104"/>
  <c r="AP65" i="106"/>
  <c r="G88" i="106"/>
  <c r="J71" i="106"/>
  <c r="K88" i="106"/>
  <c r="AM71" i="106"/>
  <c r="N71" i="106"/>
  <c r="L88" i="106"/>
  <c r="AN71" i="106"/>
  <c r="M88" i="106"/>
  <c r="AO71" i="106"/>
  <c r="E37" i="106"/>
  <c r="E105" i="106"/>
  <c r="F105" i="106"/>
  <c r="G105" i="106"/>
  <c r="J104" i="106"/>
  <c r="H105" i="106"/>
  <c r="I105" i="106"/>
  <c r="K105" i="106"/>
  <c r="N104" i="106"/>
  <c r="L105" i="106"/>
  <c r="M105" i="106"/>
  <c r="G140" i="106"/>
  <c r="J140" i="106" s="1"/>
  <c r="J123" i="106"/>
  <c r="K140" i="106"/>
  <c r="N140" i="106" s="1"/>
  <c r="N123" i="106"/>
  <c r="D140" i="106"/>
  <c r="E157" i="106"/>
  <c r="F157" i="106"/>
  <c r="G157" i="106"/>
  <c r="J156" i="106"/>
  <c r="H157" i="106"/>
  <c r="I157" i="106"/>
  <c r="K157" i="106"/>
  <c r="N156" i="106"/>
  <c r="L157" i="106"/>
  <c r="M157" i="106"/>
  <c r="G191" i="106"/>
  <c r="J191" i="106" s="1"/>
  <c r="J174" i="106"/>
  <c r="K191" i="106"/>
  <c r="N191" i="106" s="1"/>
  <c r="N174" i="106"/>
  <c r="D191" i="106"/>
  <c r="F208" i="106"/>
  <c r="E208" i="106"/>
  <c r="G208" i="106"/>
  <c r="J207" i="106"/>
  <c r="H208" i="106"/>
  <c r="I208" i="106"/>
  <c r="K208" i="106"/>
  <c r="N207" i="106"/>
  <c r="L208" i="106"/>
  <c r="M208" i="106"/>
  <c r="G243" i="106"/>
  <c r="J243" i="106" s="1"/>
  <c r="J226" i="106"/>
  <c r="K243" i="106"/>
  <c r="N243" i="106" s="1"/>
  <c r="N226" i="106"/>
  <c r="D243" i="106"/>
  <c r="E260" i="106"/>
  <c r="F260" i="106"/>
  <c r="G260" i="106"/>
  <c r="J259" i="106"/>
  <c r="H260" i="106"/>
  <c r="I260" i="106"/>
  <c r="K260" i="106"/>
  <c r="N259" i="106"/>
  <c r="L260" i="106"/>
  <c r="M260" i="106"/>
  <c r="K296" i="106"/>
  <c r="N296" i="106" s="1"/>
  <c r="N279" i="106"/>
  <c r="D279" i="106" s="1"/>
  <c r="G296" i="106"/>
  <c r="J296" i="106" s="1"/>
  <c r="J282" i="106"/>
  <c r="D296" i="106"/>
  <c r="E313" i="106"/>
  <c r="F313" i="106"/>
  <c r="G313" i="106"/>
  <c r="J312" i="106"/>
  <c r="H313" i="106"/>
  <c r="I313" i="106"/>
  <c r="K313" i="106"/>
  <c r="N312" i="106"/>
  <c r="L313" i="106"/>
  <c r="M313" i="106"/>
  <c r="G350" i="106"/>
  <c r="J350" i="106" s="1"/>
  <c r="J333" i="106"/>
  <c r="K350" i="106"/>
  <c r="N350" i="106" s="1"/>
  <c r="N333" i="106"/>
  <c r="G359" i="106"/>
  <c r="J358" i="106"/>
  <c r="E367" i="106"/>
  <c r="F367" i="106"/>
  <c r="G367" i="106"/>
  <c r="J366" i="106"/>
  <c r="H367" i="106"/>
  <c r="I367" i="106"/>
  <c r="K367" i="106"/>
  <c r="N366" i="106"/>
  <c r="L367" i="106"/>
  <c r="M367" i="106"/>
  <c r="K401" i="106"/>
  <c r="N401" i="106" s="1"/>
  <c r="D401" i="106" s="1"/>
  <c r="N384" i="106"/>
  <c r="D384" i="106" s="1"/>
  <c r="E418" i="106"/>
  <c r="F418" i="106"/>
  <c r="G418" i="106"/>
  <c r="J417" i="106"/>
  <c r="H418" i="106"/>
  <c r="I418" i="106"/>
  <c r="K418" i="106"/>
  <c r="N417" i="106"/>
  <c r="L418" i="106"/>
  <c r="M418" i="106"/>
  <c r="K454" i="106"/>
  <c r="N454" i="106" s="1"/>
  <c r="N437" i="106"/>
  <c r="D437" i="106" s="1"/>
  <c r="G454" i="106"/>
  <c r="J454" i="106" s="1"/>
  <c r="D454" i="106" s="1"/>
  <c r="J443" i="106"/>
  <c r="E471" i="106"/>
  <c r="F471" i="106"/>
  <c r="G471" i="106"/>
  <c r="J470" i="106"/>
  <c r="H471" i="106"/>
  <c r="I471" i="106"/>
  <c r="K471" i="106"/>
  <c r="N470" i="106"/>
  <c r="L471" i="106"/>
  <c r="M471" i="106"/>
  <c r="K507" i="106"/>
  <c r="N507" i="106" s="1"/>
  <c r="N490" i="106"/>
  <c r="D490" i="106" s="1"/>
  <c r="G507" i="106"/>
  <c r="J507" i="106" s="1"/>
  <c r="D507" i="106" s="1"/>
  <c r="J493" i="106"/>
  <c r="D493" i="106" s="1"/>
  <c r="E524" i="106"/>
  <c r="F524" i="106"/>
  <c r="G524" i="106"/>
  <c r="J523" i="106"/>
  <c r="H524" i="106"/>
  <c r="I524" i="106"/>
  <c r="K524" i="106"/>
  <c r="N523" i="106"/>
  <c r="L524" i="106"/>
  <c r="M524" i="106"/>
  <c r="G560" i="106"/>
  <c r="J560" i="106" s="1"/>
  <c r="J543" i="106"/>
  <c r="K560" i="106"/>
  <c r="N560" i="106" s="1"/>
  <c r="N543" i="106"/>
  <c r="D560" i="106"/>
  <c r="E577" i="106"/>
  <c r="F577" i="106"/>
  <c r="G577" i="106"/>
  <c r="J576" i="106"/>
  <c r="H577" i="106"/>
  <c r="I577" i="106"/>
  <c r="K577" i="106"/>
  <c r="N576" i="106"/>
  <c r="L577" i="106"/>
  <c r="M577" i="106"/>
  <c r="K612" i="106"/>
  <c r="N612" i="106" s="1"/>
  <c r="N595" i="106"/>
  <c r="D595" i="106" s="1"/>
  <c r="G612" i="106"/>
  <c r="J612" i="106" s="1"/>
  <c r="J598" i="106"/>
  <c r="D598" i="106" s="1"/>
  <c r="D612" i="106"/>
  <c r="E629" i="106"/>
  <c r="F629" i="106"/>
  <c r="G629" i="106"/>
  <c r="J628" i="106"/>
  <c r="H629" i="106"/>
  <c r="I629" i="106"/>
  <c r="K629" i="106"/>
  <c r="N628" i="106"/>
  <c r="L629" i="106"/>
  <c r="M629" i="106"/>
  <c r="K666" i="106"/>
  <c r="AM649" i="106"/>
  <c r="N649" i="106"/>
  <c r="L666" i="106"/>
  <c r="AN666" i="106" s="1"/>
  <c r="AN649" i="106"/>
  <c r="M666" i="106"/>
  <c r="AO666" i="106" s="1"/>
  <c r="AO649" i="106"/>
  <c r="G666" i="106"/>
  <c r="J652" i="106"/>
  <c r="AM652" i="106"/>
  <c r="N652" i="106"/>
  <c r="AM655" i="106"/>
  <c r="N655" i="106"/>
  <c r="J666" i="106"/>
  <c r="H45" i="106"/>
  <c r="H675" i="106"/>
  <c r="H46" i="106" s="1"/>
  <c r="J674" i="106"/>
  <c r="AM675" i="106"/>
  <c r="N675" i="106"/>
  <c r="E683" i="106"/>
  <c r="F683" i="106"/>
  <c r="G683" i="106"/>
  <c r="J682" i="106"/>
  <c r="H683" i="106"/>
  <c r="I683" i="106"/>
  <c r="K683" i="106"/>
  <c r="AM682" i="106"/>
  <c r="N682" i="106"/>
  <c r="AP682" i="106" s="1"/>
  <c r="L683" i="106"/>
  <c r="AN683" i="106" s="1"/>
  <c r="AN682" i="106"/>
  <c r="M683" i="106"/>
  <c r="AO683" i="106" s="1"/>
  <c r="AO682" i="106"/>
  <c r="G720" i="106"/>
  <c r="J720" i="106" s="1"/>
  <c r="J703" i="106"/>
  <c r="K720" i="106"/>
  <c r="N720" i="106" s="1"/>
  <c r="N703" i="106"/>
  <c r="D720" i="106"/>
  <c r="E737" i="106"/>
  <c r="F737" i="106"/>
  <c r="G737" i="106"/>
  <c r="J736" i="106"/>
  <c r="H737" i="106"/>
  <c r="I737" i="106"/>
  <c r="K737" i="106"/>
  <c r="N736" i="106"/>
  <c r="L737" i="106"/>
  <c r="M737" i="106"/>
  <c r="G774" i="106"/>
  <c r="J774" i="106" s="1"/>
  <c r="J757" i="106"/>
  <c r="K774" i="106"/>
  <c r="N774" i="106" s="1"/>
  <c r="N757" i="106"/>
  <c r="E791" i="106"/>
  <c r="F791" i="106"/>
  <c r="G791" i="106"/>
  <c r="J790" i="106"/>
  <c r="H791" i="106"/>
  <c r="I791" i="106"/>
  <c r="K791" i="106"/>
  <c r="N790" i="106"/>
  <c r="L791" i="106"/>
  <c r="M791" i="106"/>
  <c r="G827" i="106"/>
  <c r="J827" i="106" s="1"/>
  <c r="J810" i="106"/>
  <c r="K827" i="106"/>
  <c r="N827" i="106" s="1"/>
  <c r="N810" i="106"/>
  <c r="E844" i="106"/>
  <c r="F844" i="106"/>
  <c r="G844" i="106"/>
  <c r="J843" i="106"/>
  <c r="H844" i="106"/>
  <c r="I844" i="106"/>
  <c r="K844" i="106"/>
  <c r="N843" i="106"/>
  <c r="L844" i="106"/>
  <c r="M844" i="106"/>
  <c r="K880" i="106"/>
  <c r="N880" i="106" s="1"/>
  <c r="N863" i="106"/>
  <c r="D863" i="106" s="1"/>
  <c r="G880" i="106"/>
  <c r="J880" i="106" s="1"/>
  <c r="D880" i="106" s="1"/>
  <c r="J869" i="106"/>
  <c r="D869" i="106" s="1"/>
  <c r="E897" i="106"/>
  <c r="F897" i="106"/>
  <c r="G897" i="106"/>
  <c r="J896" i="106"/>
  <c r="H897" i="106"/>
  <c r="I897" i="106"/>
  <c r="K897" i="106"/>
  <c r="N896" i="106"/>
  <c r="L897" i="106"/>
  <c r="M897" i="106"/>
  <c r="G934" i="106"/>
  <c r="J934" i="106" s="1"/>
  <c r="J917" i="106"/>
  <c r="K934" i="106"/>
  <c r="N934" i="106" s="1"/>
  <c r="N917" i="106"/>
  <c r="D934" i="106"/>
  <c r="D943" i="106"/>
  <c r="E951" i="106"/>
  <c r="F951" i="106"/>
  <c r="G951" i="106"/>
  <c r="J950" i="106"/>
  <c r="I951" i="106"/>
  <c r="K951" i="106"/>
  <c r="N950" i="106"/>
  <c r="L951" i="106"/>
  <c r="M951" i="106"/>
  <c r="G88" i="105"/>
  <c r="J71" i="105"/>
  <c r="I88" i="105"/>
  <c r="AK71" i="105"/>
  <c r="K88" i="105"/>
  <c r="AM71" i="105"/>
  <c r="N71" i="105"/>
  <c r="L88" i="105"/>
  <c r="AN71" i="105"/>
  <c r="M88" i="105"/>
  <c r="AO71" i="105"/>
  <c r="AM74" i="105"/>
  <c r="N74" i="105"/>
  <c r="AM77" i="105"/>
  <c r="N77" i="105"/>
  <c r="AM97" i="105"/>
  <c r="N97" i="105"/>
  <c r="E105" i="105"/>
  <c r="F105" i="105"/>
  <c r="G105" i="105"/>
  <c r="J104" i="105"/>
  <c r="H105" i="105"/>
  <c r="I105" i="105"/>
  <c r="AK104" i="105"/>
  <c r="K105" i="105"/>
  <c r="AM104" i="105"/>
  <c r="N104" i="105"/>
  <c r="L105" i="105"/>
  <c r="AN104" i="105"/>
  <c r="M105" i="105"/>
  <c r="AO104" i="105"/>
  <c r="G140" i="105"/>
  <c r="J140" i="105" s="1"/>
  <c r="J123" i="105"/>
  <c r="K140" i="105"/>
  <c r="N140" i="105" s="1"/>
  <c r="N123" i="105"/>
  <c r="D140" i="105"/>
  <c r="E157" i="105"/>
  <c r="F157" i="105"/>
  <c r="G157" i="105"/>
  <c r="J156" i="105"/>
  <c r="H157" i="105"/>
  <c r="I157" i="105"/>
  <c r="K157" i="105"/>
  <c r="N156" i="105"/>
  <c r="L157" i="105"/>
  <c r="M157" i="105"/>
  <c r="G192" i="105"/>
  <c r="J192" i="105" s="1"/>
  <c r="J175" i="105"/>
  <c r="K192" i="105"/>
  <c r="N192" i="105" s="1"/>
  <c r="N175" i="105"/>
  <c r="E209" i="105"/>
  <c r="F209" i="105"/>
  <c r="G209" i="105"/>
  <c r="J208" i="105"/>
  <c r="H209" i="105"/>
  <c r="I209" i="105"/>
  <c r="K209" i="105"/>
  <c r="N208" i="105"/>
  <c r="L209" i="105"/>
  <c r="M209" i="105"/>
  <c r="K244" i="105"/>
  <c r="N244" i="105" s="1"/>
  <c r="N227" i="105"/>
  <c r="D227" i="105" s="1"/>
  <c r="G244" i="105"/>
  <c r="J244" i="105" s="1"/>
  <c r="D244" i="105" s="1"/>
  <c r="E214" i="105" s="1"/>
  <c r="J233" i="105"/>
  <c r="E261" i="105"/>
  <c r="F261" i="105"/>
  <c r="G261" i="105"/>
  <c r="J260" i="105"/>
  <c r="H261" i="105"/>
  <c r="I261" i="105"/>
  <c r="K261" i="105"/>
  <c r="N260" i="105"/>
  <c r="L261" i="105"/>
  <c r="M261" i="105"/>
  <c r="G297" i="105"/>
  <c r="J297" i="105" s="1"/>
  <c r="J280" i="105"/>
  <c r="K297" i="105"/>
  <c r="N297" i="105" s="1"/>
  <c r="N280" i="105"/>
  <c r="D297" i="105"/>
  <c r="E314" i="105"/>
  <c r="F314" i="105"/>
  <c r="G314" i="105"/>
  <c r="J313" i="105"/>
  <c r="H314" i="105"/>
  <c r="I314" i="105"/>
  <c r="K314" i="105"/>
  <c r="N313" i="105"/>
  <c r="L314" i="105"/>
  <c r="M314" i="105"/>
  <c r="G351" i="105"/>
  <c r="J351" i="105" s="1"/>
  <c r="J334" i="105"/>
  <c r="K351" i="105"/>
  <c r="N351" i="105" s="1"/>
  <c r="N334" i="105"/>
  <c r="G360" i="105"/>
  <c r="J359" i="105"/>
  <c r="E368" i="105"/>
  <c r="F368" i="105"/>
  <c r="G368" i="105"/>
  <c r="J367" i="105"/>
  <c r="H368" i="105"/>
  <c r="I368" i="105"/>
  <c r="K368" i="105"/>
  <c r="N367" i="105"/>
  <c r="L368" i="105"/>
  <c r="M368" i="105"/>
  <c r="G402" i="105"/>
  <c r="J402" i="105" s="1"/>
  <c r="J385" i="105"/>
  <c r="K402" i="105"/>
  <c r="N402" i="105" s="1"/>
  <c r="N385" i="105"/>
  <c r="E419" i="105"/>
  <c r="F419" i="105"/>
  <c r="G419" i="105"/>
  <c r="J418" i="105"/>
  <c r="H419" i="105"/>
  <c r="I419" i="105"/>
  <c r="K419" i="105"/>
  <c r="N418" i="105"/>
  <c r="L419" i="105"/>
  <c r="M419" i="105"/>
  <c r="G455" i="105"/>
  <c r="J455" i="105" s="1"/>
  <c r="J438" i="105"/>
  <c r="K455" i="105"/>
  <c r="N455" i="105" s="1"/>
  <c r="N438" i="105"/>
  <c r="D455" i="105"/>
  <c r="E472" i="105"/>
  <c r="F472" i="105"/>
  <c r="G472" i="105"/>
  <c r="J471" i="105"/>
  <c r="H472" i="105"/>
  <c r="I472" i="105"/>
  <c r="K472" i="105"/>
  <c r="N471" i="105"/>
  <c r="L472" i="105"/>
  <c r="M472" i="105"/>
  <c r="G508" i="105"/>
  <c r="J508" i="105" s="1"/>
  <c r="J491" i="105"/>
  <c r="K508" i="105"/>
  <c r="N508" i="105" s="1"/>
  <c r="N491" i="105"/>
  <c r="E525" i="105"/>
  <c r="F525" i="105"/>
  <c r="G525" i="105"/>
  <c r="J524" i="105"/>
  <c r="H525" i="105"/>
  <c r="I525" i="105"/>
  <c r="K525" i="105"/>
  <c r="N524" i="105"/>
  <c r="L525" i="105"/>
  <c r="M525" i="105"/>
  <c r="G561" i="105"/>
  <c r="J561" i="105" s="1"/>
  <c r="J544" i="105"/>
  <c r="K561" i="105"/>
  <c r="N561" i="105" s="1"/>
  <c r="N544" i="105"/>
  <c r="D561" i="105"/>
  <c r="E578" i="105"/>
  <c r="F578" i="105"/>
  <c r="G578" i="105"/>
  <c r="J577" i="105"/>
  <c r="H578" i="105"/>
  <c r="I578" i="105"/>
  <c r="K578" i="105"/>
  <c r="N577" i="105"/>
  <c r="L578" i="105"/>
  <c r="M578" i="105"/>
  <c r="K613" i="105"/>
  <c r="N613" i="105" s="1"/>
  <c r="N596" i="105"/>
  <c r="D596" i="105" s="1"/>
  <c r="G613" i="105"/>
  <c r="J613" i="105" s="1"/>
  <c r="J599" i="105"/>
  <c r="D613" i="105"/>
  <c r="E630" i="105"/>
  <c r="F630" i="105"/>
  <c r="G630" i="105"/>
  <c r="J629" i="105"/>
  <c r="H630" i="105"/>
  <c r="I630" i="105"/>
  <c r="K630" i="105"/>
  <c r="N629" i="105"/>
  <c r="L630" i="105"/>
  <c r="M630" i="105"/>
  <c r="G667" i="105"/>
  <c r="J650" i="105"/>
  <c r="I667" i="105"/>
  <c r="AK667" i="105" s="1"/>
  <c r="AK650" i="105"/>
  <c r="K667" i="105"/>
  <c r="AM650" i="105"/>
  <c r="N650" i="105"/>
  <c r="AP650" i="105" s="1"/>
  <c r="L667" i="105"/>
  <c r="AN667" i="105" s="1"/>
  <c r="AN650" i="105"/>
  <c r="M667" i="105"/>
  <c r="AO667" i="105" s="1"/>
  <c r="AO650" i="105"/>
  <c r="AM653" i="105"/>
  <c r="N653" i="105"/>
  <c r="AM656" i="105"/>
  <c r="N656" i="105"/>
  <c r="J667" i="105"/>
  <c r="AL661" i="105"/>
  <c r="AL670" i="105"/>
  <c r="H676" i="105"/>
  <c r="H46" i="105" s="1"/>
  <c r="J675" i="105"/>
  <c r="AM676" i="105"/>
  <c r="N676" i="105"/>
  <c r="AP676" i="105" s="1"/>
  <c r="E684" i="105"/>
  <c r="F684" i="105"/>
  <c r="G684" i="105"/>
  <c r="J683" i="105"/>
  <c r="H684" i="105"/>
  <c r="I684" i="105"/>
  <c r="AK684" i="105" s="1"/>
  <c r="AK683" i="105"/>
  <c r="K684" i="105"/>
  <c r="AM683" i="105"/>
  <c r="N683" i="105"/>
  <c r="AP683" i="105" s="1"/>
  <c r="L684" i="105"/>
  <c r="AN684" i="105" s="1"/>
  <c r="AN683" i="105"/>
  <c r="M684" i="105"/>
  <c r="AO684" i="105" s="1"/>
  <c r="AO683" i="105"/>
  <c r="G721" i="105"/>
  <c r="J721" i="105" s="1"/>
  <c r="J704" i="105"/>
  <c r="K721" i="105"/>
  <c r="N721" i="105" s="1"/>
  <c r="N704" i="105"/>
  <c r="D721" i="105"/>
  <c r="E738" i="105"/>
  <c r="F738" i="105"/>
  <c r="G738" i="105"/>
  <c r="J737" i="105"/>
  <c r="H738" i="105"/>
  <c r="I738" i="105"/>
  <c r="K738" i="105"/>
  <c r="N737" i="105"/>
  <c r="L738" i="105"/>
  <c r="M738" i="105"/>
  <c r="G775" i="105"/>
  <c r="J775" i="105" s="1"/>
  <c r="J758" i="105"/>
  <c r="K775" i="105"/>
  <c r="N775" i="105" s="1"/>
  <c r="N758" i="105"/>
  <c r="D775" i="105"/>
  <c r="E792" i="105"/>
  <c r="F792" i="105"/>
  <c r="G792" i="105"/>
  <c r="J791" i="105"/>
  <c r="H792" i="105"/>
  <c r="I792" i="105"/>
  <c r="K792" i="105"/>
  <c r="N791" i="105"/>
  <c r="L792" i="105"/>
  <c r="M792" i="105"/>
  <c r="G828" i="105"/>
  <c r="J828" i="105" s="1"/>
  <c r="J811" i="105"/>
  <c r="K828" i="105"/>
  <c r="N828" i="105" s="1"/>
  <c r="N811" i="105"/>
  <c r="D828" i="105"/>
  <c r="E845" i="105"/>
  <c r="F845" i="105"/>
  <c r="G845" i="105"/>
  <c r="J844" i="105"/>
  <c r="H845" i="105"/>
  <c r="I845" i="105"/>
  <c r="K845" i="105"/>
  <c r="N844" i="105"/>
  <c r="L845" i="105"/>
  <c r="M845" i="105"/>
  <c r="G881" i="105"/>
  <c r="J881" i="105" s="1"/>
  <c r="J864" i="105"/>
  <c r="K881" i="105"/>
  <c r="N881" i="105" s="1"/>
  <c r="N864" i="105"/>
  <c r="E898" i="105"/>
  <c r="F898" i="105"/>
  <c r="G898" i="105"/>
  <c r="J897" i="105"/>
  <c r="H898" i="105"/>
  <c r="I898" i="105"/>
  <c r="K898" i="105"/>
  <c r="N897" i="105"/>
  <c r="L898" i="105"/>
  <c r="M898" i="105"/>
  <c r="E93" i="108"/>
  <c r="F76" i="108"/>
  <c r="I65" i="108"/>
  <c r="L76" i="108"/>
  <c r="M65" i="108"/>
  <c r="M67" i="108"/>
  <c r="M84" i="108"/>
  <c r="M91" i="108"/>
  <c r="E141" i="108"/>
  <c r="F124" i="108"/>
  <c r="I113" i="108"/>
  <c r="L124" i="108"/>
  <c r="M113" i="108"/>
  <c r="M115" i="108"/>
  <c r="D115" i="108" s="1"/>
  <c r="M132" i="108"/>
  <c r="D132" i="108" s="1"/>
  <c r="M139" i="108"/>
  <c r="D139" i="108" s="1"/>
  <c r="E190" i="108"/>
  <c r="F173" i="108"/>
  <c r="I162" i="108"/>
  <c r="L173" i="108"/>
  <c r="M162" i="108"/>
  <c r="M164" i="108"/>
  <c r="D164" i="108" s="1"/>
  <c r="M181" i="108"/>
  <c r="D181" i="108" s="1"/>
  <c r="M188" i="108"/>
  <c r="D188" i="108" s="1"/>
  <c r="E223" i="108"/>
  <c r="AD210" i="108"/>
  <c r="F223" i="108"/>
  <c r="AE210" i="108"/>
  <c r="I210" i="108"/>
  <c r="G223" i="108"/>
  <c r="AF210" i="108"/>
  <c r="H223" i="108"/>
  <c r="AG210" i="108"/>
  <c r="J223" i="108"/>
  <c r="AI210" i="108"/>
  <c r="K223" i="108"/>
  <c r="AJ210" i="108"/>
  <c r="L223" i="108"/>
  <c r="AK210" i="108"/>
  <c r="M210" i="108"/>
  <c r="AL210" i="108" s="1"/>
  <c r="AK212" i="108"/>
  <c r="M212" i="108"/>
  <c r="AK217" i="108"/>
  <c r="M217" i="108"/>
  <c r="AE231" i="108"/>
  <c r="I231" i="108"/>
  <c r="AK231" i="108"/>
  <c r="M231" i="108"/>
  <c r="AL231" i="108" s="1"/>
  <c r="AE238" i="108"/>
  <c r="I238" i="108"/>
  <c r="AK238" i="108"/>
  <c r="M238" i="108"/>
  <c r="AL238" i="108" s="1"/>
  <c r="E288" i="108"/>
  <c r="F271" i="108"/>
  <c r="I260" i="108"/>
  <c r="L271" i="108"/>
  <c r="M260" i="108"/>
  <c r="M262" i="108"/>
  <c r="D262" i="108" s="1"/>
  <c r="M279" i="108"/>
  <c r="D279" i="108" s="1"/>
  <c r="M286" i="108"/>
  <c r="D286" i="108" s="1"/>
  <c r="E338" i="108"/>
  <c r="F321" i="108"/>
  <c r="I310" i="108"/>
  <c r="L321" i="108"/>
  <c r="M310" i="108"/>
  <c r="M312" i="108"/>
  <c r="D312" i="108" s="1"/>
  <c r="M329" i="108"/>
  <c r="D329" i="108" s="1"/>
  <c r="M336" i="108"/>
  <c r="D336" i="108" s="1"/>
  <c r="E389" i="108"/>
  <c r="F372" i="108"/>
  <c r="I359" i="108"/>
  <c r="L372" i="108"/>
  <c r="M359" i="108"/>
  <c r="M361" i="108"/>
  <c r="D361" i="108" s="1"/>
  <c r="M380" i="108"/>
  <c r="D380" i="108" s="1"/>
  <c r="M387" i="108"/>
  <c r="D387" i="108" s="1"/>
  <c r="E437" i="108"/>
  <c r="F420" i="108"/>
  <c r="I409" i="108"/>
  <c r="L420" i="108"/>
  <c r="M409" i="108"/>
  <c r="M411" i="108"/>
  <c r="D411" i="108" s="1"/>
  <c r="M428" i="108"/>
  <c r="D428" i="108" s="1"/>
  <c r="M435" i="108"/>
  <c r="D435" i="108" s="1"/>
  <c r="E485" i="108"/>
  <c r="F468" i="108"/>
  <c r="I457" i="108"/>
  <c r="L468" i="108"/>
  <c r="M457" i="108"/>
  <c r="M459" i="108"/>
  <c r="D459" i="108" s="1"/>
  <c r="M476" i="108"/>
  <c r="D476" i="108" s="1"/>
  <c r="M483" i="108"/>
  <c r="D483" i="108" s="1"/>
  <c r="E533" i="108"/>
  <c r="F516" i="108"/>
  <c r="I505" i="108"/>
  <c r="L516" i="108"/>
  <c r="M505" i="108"/>
  <c r="M507" i="108"/>
  <c r="D507" i="108" s="1"/>
  <c r="M524" i="108"/>
  <c r="D524" i="108" s="1"/>
  <c r="M531" i="108"/>
  <c r="D531" i="108" s="1"/>
  <c r="E564" i="108"/>
  <c r="AD553" i="108"/>
  <c r="F564" i="108"/>
  <c r="AE553" i="108"/>
  <c r="I553" i="108"/>
  <c r="G564" i="108"/>
  <c r="AF553" i="108"/>
  <c r="H564" i="108"/>
  <c r="AG553" i="108"/>
  <c r="J564" i="108"/>
  <c r="AI553" i="108"/>
  <c r="K564" i="108"/>
  <c r="AJ553" i="108"/>
  <c r="L564" i="108"/>
  <c r="AK553" i="108"/>
  <c r="M553" i="108"/>
  <c r="AL553" i="108" s="1"/>
  <c r="AE555" i="108"/>
  <c r="I555" i="108"/>
  <c r="AK555" i="108"/>
  <c r="M555" i="108"/>
  <c r="AL555" i="108" s="1"/>
  <c r="AE572" i="108"/>
  <c r="I572" i="108"/>
  <c r="AK572" i="108"/>
  <c r="M572" i="108"/>
  <c r="AL572" i="108" s="1"/>
  <c r="D579" i="108"/>
  <c r="AC579" i="108" s="1"/>
  <c r="AC576" i="108"/>
  <c r="AE579" i="108"/>
  <c r="I579" i="108"/>
  <c r="AH579" i="108" s="1"/>
  <c r="AK579" i="108"/>
  <c r="M579" i="108"/>
  <c r="AL579" i="108" s="1"/>
  <c r="E629" i="108"/>
  <c r="F612" i="108"/>
  <c r="I601" i="108"/>
  <c r="L612" i="108"/>
  <c r="M601" i="108"/>
  <c r="M603" i="108"/>
  <c r="D603" i="108" s="1"/>
  <c r="M620" i="108"/>
  <c r="D620" i="108" s="1"/>
  <c r="M627" i="108"/>
  <c r="D627" i="108" s="1"/>
  <c r="E678" i="108"/>
  <c r="F661" i="108"/>
  <c r="I650" i="108"/>
  <c r="L661" i="108"/>
  <c r="M650" i="108"/>
  <c r="M652" i="108"/>
  <c r="D652" i="108" s="1"/>
  <c r="M669" i="108"/>
  <c r="D669" i="108" s="1"/>
  <c r="M676" i="108"/>
  <c r="D676" i="108" s="1"/>
  <c r="E725" i="108"/>
  <c r="F708" i="108"/>
  <c r="I697" i="108"/>
  <c r="L708" i="108"/>
  <c r="M697" i="108"/>
  <c r="M699" i="108"/>
  <c r="D699" i="108" s="1"/>
  <c r="M716" i="108"/>
  <c r="D716" i="108" s="1"/>
  <c r="M723" i="108"/>
  <c r="D723" i="108" s="1"/>
  <c r="E773" i="108"/>
  <c r="F756" i="108"/>
  <c r="I745" i="108"/>
  <c r="L756" i="108"/>
  <c r="M745" i="108"/>
  <c r="M747" i="108"/>
  <c r="D747" i="108" s="1"/>
  <c r="M764" i="108"/>
  <c r="D764" i="108" s="1"/>
  <c r="M771" i="108"/>
  <c r="D771" i="108" s="1"/>
  <c r="E821" i="108"/>
  <c r="F804" i="108"/>
  <c r="I793" i="108"/>
  <c r="L804" i="108"/>
  <c r="M793" i="108"/>
  <c r="M795" i="108"/>
  <c r="D795" i="108" s="1"/>
  <c r="M812" i="108"/>
  <c r="D812" i="108" s="1"/>
  <c r="M819" i="108"/>
  <c r="D819" i="108" s="1"/>
  <c r="E869" i="108"/>
  <c r="F852" i="108"/>
  <c r="I841" i="108"/>
  <c r="L852" i="108"/>
  <c r="M841" i="108"/>
  <c r="M843" i="108"/>
  <c r="D843" i="108" s="1"/>
  <c r="M860" i="108"/>
  <c r="D860" i="108" s="1"/>
  <c r="M867" i="108"/>
  <c r="D867" i="108" s="1"/>
  <c r="E93" i="107"/>
  <c r="F76" i="107"/>
  <c r="I65" i="107"/>
  <c r="L76" i="107"/>
  <c r="M65" i="107"/>
  <c r="M67" i="107"/>
  <c r="M84" i="107"/>
  <c r="M91" i="107"/>
  <c r="E141" i="107"/>
  <c r="F124" i="107"/>
  <c r="I113" i="107"/>
  <c r="L124" i="107"/>
  <c r="M113" i="107"/>
  <c r="M115" i="107"/>
  <c r="D115" i="107" s="1"/>
  <c r="M132" i="107"/>
  <c r="D132" i="107" s="1"/>
  <c r="M139" i="107"/>
  <c r="D139" i="107" s="1"/>
  <c r="E190" i="107"/>
  <c r="F173" i="107"/>
  <c r="I162" i="107"/>
  <c r="L173" i="107"/>
  <c r="M162" i="107"/>
  <c r="M164" i="107"/>
  <c r="D164" i="107" s="1"/>
  <c r="M181" i="107"/>
  <c r="D181" i="107" s="1"/>
  <c r="M188" i="107"/>
  <c r="D188" i="107" s="1"/>
  <c r="E240" i="107"/>
  <c r="F223" i="107"/>
  <c r="I210" i="107"/>
  <c r="L223" i="107"/>
  <c r="M210" i="107"/>
  <c r="M212" i="107"/>
  <c r="D212" i="107" s="1"/>
  <c r="M217" i="107"/>
  <c r="M231" i="107"/>
  <c r="D231" i="107" s="1"/>
  <c r="M238" i="107"/>
  <c r="D238" i="107" s="1"/>
  <c r="E288" i="107"/>
  <c r="F271" i="107"/>
  <c r="I260" i="107"/>
  <c r="L271" i="107"/>
  <c r="M260" i="107"/>
  <c r="M262" i="107"/>
  <c r="D262" i="107" s="1"/>
  <c r="M279" i="107"/>
  <c r="D279" i="107" s="1"/>
  <c r="M286" i="107"/>
  <c r="D286" i="107" s="1"/>
  <c r="E338" i="107"/>
  <c r="F321" i="107"/>
  <c r="I310" i="107"/>
  <c r="L321" i="107"/>
  <c r="M310" i="107"/>
  <c r="M312" i="107"/>
  <c r="D312" i="107" s="1"/>
  <c r="M329" i="107"/>
  <c r="D329" i="107" s="1"/>
  <c r="M336" i="107"/>
  <c r="D336" i="107" s="1"/>
  <c r="E391" i="107"/>
  <c r="E394" i="107" s="1"/>
  <c r="F374" i="107"/>
  <c r="I359" i="107"/>
  <c r="L374" i="107"/>
  <c r="M359" i="107"/>
  <c r="M361" i="107"/>
  <c r="D361" i="107" s="1"/>
  <c r="M382" i="107"/>
  <c r="D382" i="107" s="1"/>
  <c r="M389" i="107"/>
  <c r="D389" i="107" s="1"/>
  <c r="D47" i="107"/>
  <c r="E439" i="107"/>
  <c r="F422" i="107"/>
  <c r="I411" i="107"/>
  <c r="L422" i="107"/>
  <c r="M411" i="107"/>
  <c r="M413" i="107"/>
  <c r="D413" i="107" s="1"/>
  <c r="M430" i="107"/>
  <c r="D430" i="107" s="1"/>
  <c r="M437" i="107"/>
  <c r="D437" i="107" s="1"/>
  <c r="E487" i="107"/>
  <c r="F470" i="107"/>
  <c r="I459" i="107"/>
  <c r="L470" i="107"/>
  <c r="M459" i="107"/>
  <c r="M461" i="107"/>
  <c r="D461" i="107" s="1"/>
  <c r="M478" i="107"/>
  <c r="D478" i="107" s="1"/>
  <c r="M485" i="107"/>
  <c r="D485" i="107" s="1"/>
  <c r="E535" i="107"/>
  <c r="F518" i="107"/>
  <c r="I507" i="107"/>
  <c r="L518" i="107"/>
  <c r="M507" i="107"/>
  <c r="M509" i="107"/>
  <c r="D509" i="107" s="1"/>
  <c r="M526" i="107"/>
  <c r="D526" i="107" s="1"/>
  <c r="M533" i="107"/>
  <c r="D533" i="107" s="1"/>
  <c r="E586" i="107"/>
  <c r="F566" i="107"/>
  <c r="I555" i="107"/>
  <c r="L566" i="107"/>
  <c r="M555" i="107"/>
  <c r="M557" i="107"/>
  <c r="M574" i="107"/>
  <c r="D574" i="107" s="1"/>
  <c r="M581" i="107"/>
  <c r="E631" i="107"/>
  <c r="F614" i="107"/>
  <c r="I603" i="107"/>
  <c r="L614" i="107"/>
  <c r="M603" i="107"/>
  <c r="M605" i="107"/>
  <c r="D605" i="107" s="1"/>
  <c r="M622" i="107"/>
  <c r="D622" i="107" s="1"/>
  <c r="M629" i="107"/>
  <c r="D629" i="107" s="1"/>
  <c r="E680" i="107"/>
  <c r="F663" i="107"/>
  <c r="I652" i="107"/>
  <c r="L663" i="107"/>
  <c r="M652" i="107"/>
  <c r="M654" i="107"/>
  <c r="D654" i="107" s="1"/>
  <c r="M671" i="107"/>
  <c r="D671" i="107" s="1"/>
  <c r="M678" i="107"/>
  <c r="D678" i="107" s="1"/>
  <c r="E727" i="107"/>
  <c r="F710" i="107"/>
  <c r="I699" i="107"/>
  <c r="L710" i="107"/>
  <c r="M699" i="107"/>
  <c r="M701" i="107"/>
  <c r="D701" i="107" s="1"/>
  <c r="M718" i="107"/>
  <c r="D718" i="107" s="1"/>
  <c r="M725" i="107"/>
  <c r="D725" i="107" s="1"/>
  <c r="E775" i="107"/>
  <c r="F758" i="107"/>
  <c r="I747" i="107"/>
  <c r="L758" i="107"/>
  <c r="M747" i="107"/>
  <c r="M749" i="107"/>
  <c r="D749" i="107" s="1"/>
  <c r="M766" i="107"/>
  <c r="D766" i="107" s="1"/>
  <c r="M773" i="107"/>
  <c r="D773" i="107" s="1"/>
  <c r="E823" i="107"/>
  <c r="F806" i="107"/>
  <c r="I795" i="107"/>
  <c r="L806" i="107"/>
  <c r="M795" i="107"/>
  <c r="M797" i="107"/>
  <c r="D797" i="107" s="1"/>
  <c r="M814" i="107"/>
  <c r="D814" i="107" s="1"/>
  <c r="M821" i="107"/>
  <c r="D821" i="107" s="1"/>
  <c r="D332" i="140"/>
  <c r="E32" i="141"/>
  <c r="F9" i="141"/>
  <c r="E41" i="141"/>
  <c r="F41" i="141" s="1"/>
  <c r="F35" i="141"/>
  <c r="E48" i="141"/>
  <c r="F47" i="141"/>
  <c r="F48" i="141" s="1"/>
  <c r="C12" i="142"/>
  <c r="C14" i="142" s="1"/>
  <c r="C20" i="142" s="1"/>
  <c r="J8" i="142"/>
  <c r="J12" i="142" s="1"/>
  <c r="J14" i="142" s="1"/>
  <c r="J20" i="142" s="1"/>
  <c r="J32" i="142" s="1"/>
  <c r="E414" i="142"/>
  <c r="J408" i="142"/>
  <c r="J414" i="142" s="1"/>
  <c r="J426" i="142" s="1"/>
  <c r="J428" i="142" s="1"/>
  <c r="I134" i="143"/>
  <c r="I146" i="143" s="1"/>
  <c r="I168" i="143"/>
  <c r="I172" i="143"/>
  <c r="I184" i="143" s="1"/>
  <c r="I186" i="143" s="1"/>
  <c r="I188" i="143" s="1"/>
  <c r="I210" i="143"/>
  <c r="I222" i="143" s="1"/>
  <c r="I224" i="143" s="1"/>
  <c r="I226" i="143" s="1"/>
  <c r="I248" i="143"/>
  <c r="I260" i="143" s="1"/>
  <c r="I262" i="143" s="1"/>
  <c r="I264" i="143" s="1"/>
  <c r="I286" i="143"/>
  <c r="I298" i="143" s="1"/>
  <c r="I300" i="143" s="1"/>
  <c r="I302" i="143" s="1"/>
  <c r="I325" i="143"/>
  <c r="I337" i="143" s="1"/>
  <c r="I339" i="143" s="1"/>
  <c r="I341" i="143" s="1"/>
  <c r="I477" i="143"/>
  <c r="I489" i="143" s="1"/>
  <c r="I491" i="143" s="1"/>
  <c r="I493" i="143" s="1"/>
  <c r="I553" i="143"/>
  <c r="I565" i="143" s="1"/>
  <c r="I567" i="143" s="1"/>
  <c r="I569" i="143" s="1"/>
  <c r="G34" i="131"/>
  <c r="G25" i="131"/>
  <c r="G36" i="131" s="1"/>
  <c r="H34" i="131"/>
  <c r="H25" i="131"/>
  <c r="H36" i="131" s="1"/>
  <c r="I34" i="131"/>
  <c r="I25" i="131"/>
  <c r="I36" i="131" s="1"/>
  <c r="C24" i="132"/>
  <c r="H22" i="132"/>
  <c r="H24" i="132" s="1"/>
  <c r="C47" i="132"/>
  <c r="H45" i="132"/>
  <c r="H47" i="132" s="1"/>
  <c r="C71" i="132"/>
  <c r="H69" i="132"/>
  <c r="H71" i="132" s="1"/>
  <c r="C95" i="132"/>
  <c r="H93" i="132"/>
  <c r="H95" i="132" s="1"/>
  <c r="C119" i="132"/>
  <c r="H117" i="132"/>
  <c r="H119" i="132" s="1"/>
  <c r="C24" i="133"/>
  <c r="H22" i="133"/>
  <c r="H24" i="133" s="1"/>
  <c r="H45" i="133"/>
  <c r="D47" i="133"/>
  <c r="C72" i="133"/>
  <c r="H70" i="133"/>
  <c r="H72" i="133" s="1"/>
  <c r="C97" i="133"/>
  <c r="H95" i="133"/>
  <c r="H97" i="133" s="1"/>
  <c r="C122" i="133"/>
  <c r="H120" i="133"/>
  <c r="H122" i="133" s="1"/>
  <c r="G44" i="98"/>
  <c r="G35" i="98"/>
  <c r="G46" i="98" s="1"/>
  <c r="H44" i="98"/>
  <c r="H35" i="98"/>
  <c r="H46" i="98" s="1"/>
  <c r="H47" i="134"/>
  <c r="H49" i="134" s="1"/>
  <c r="C16" i="135"/>
  <c r="F7" i="135"/>
  <c r="F16" i="135" s="1"/>
  <c r="G16" i="135"/>
  <c r="J7" i="135"/>
  <c r="J16" i="135" s="1"/>
  <c r="S11" i="41"/>
  <c r="T5" i="41"/>
  <c r="T11" i="41" s="1"/>
  <c r="D15" i="41"/>
  <c r="G15" i="41" s="1"/>
  <c r="G6" i="41"/>
  <c r="H15" i="41"/>
  <c r="L15" i="41" s="1"/>
  <c r="L6" i="41"/>
  <c r="M15" i="41"/>
  <c r="P15" i="41" s="1"/>
  <c r="P6" i="41"/>
  <c r="H91" i="41"/>
  <c r="L90" i="41"/>
  <c r="L91" i="41" s="1"/>
  <c r="L75" i="42"/>
  <c r="AE8" i="42"/>
  <c r="AP16" i="42" s="1"/>
  <c r="AK15" i="42"/>
  <c r="AK7" i="42"/>
  <c r="AL15" i="42"/>
  <c r="AL7" i="42"/>
  <c r="AM15" i="42"/>
  <c r="AM7" i="42"/>
  <c r="AN15" i="42"/>
  <c r="AN7" i="42"/>
  <c r="L74" i="42"/>
  <c r="S8" i="42"/>
  <c r="AK16" i="42"/>
  <c r="AK9" i="42"/>
  <c r="AL16" i="42"/>
  <c r="AL9" i="42"/>
  <c r="AM16" i="42"/>
  <c r="AM9" i="42"/>
  <c r="AN16" i="42"/>
  <c r="AN9" i="42"/>
  <c r="S9" i="42"/>
  <c r="AK17" i="42"/>
  <c r="AL17" i="42"/>
  <c r="AM17" i="42"/>
  <c r="AN17" i="42"/>
  <c r="AO17" i="42"/>
  <c r="AP17" i="42"/>
  <c r="AK18" i="42"/>
  <c r="AK10" i="42"/>
  <c r="AL18" i="42"/>
  <c r="AL10" i="42"/>
  <c r="AM18" i="42"/>
  <c r="AM10" i="42"/>
  <c r="AN18" i="42"/>
  <c r="AN10" i="42"/>
  <c r="AP18" i="42"/>
  <c r="L72" i="42"/>
  <c r="AE11" i="42"/>
  <c r="S12" i="42"/>
  <c r="AK19" i="42"/>
  <c r="AK14" i="42"/>
  <c r="AL19" i="42"/>
  <c r="AL14" i="42"/>
  <c r="AM19" i="42"/>
  <c r="AM14" i="42"/>
  <c r="AN19" i="42"/>
  <c r="AN14" i="42"/>
  <c r="S13" i="42"/>
  <c r="S18" i="42"/>
  <c r="S19" i="42"/>
  <c r="S20" i="42"/>
  <c r="S21" i="42"/>
  <c r="D87" i="42"/>
  <c r="D89" i="42" s="1"/>
  <c r="D23" i="42"/>
  <c r="X14" i="42" s="1"/>
  <c r="G23" i="42"/>
  <c r="Y14" i="42" s="1"/>
  <c r="I23" i="42"/>
  <c r="AA14" i="42" s="1"/>
  <c r="K23" i="42"/>
  <c r="AB14" i="42" s="1"/>
  <c r="L125" i="42"/>
  <c r="M23" i="42"/>
  <c r="AC14" i="42" s="1"/>
  <c r="G30" i="42"/>
  <c r="G31" i="42" s="1"/>
  <c r="K30" i="42"/>
  <c r="K31" i="42" s="1"/>
  <c r="G89" i="42"/>
  <c r="H87" i="42"/>
  <c r="H89" i="42" s="1"/>
  <c r="N72" i="42"/>
  <c r="I87" i="42"/>
  <c r="I89" i="42" s="1"/>
  <c r="O72" i="42"/>
  <c r="J87" i="42"/>
  <c r="J89" i="42" s="1"/>
  <c r="P72" i="42"/>
  <c r="N73" i="42"/>
  <c r="O73" i="42"/>
  <c r="P73" i="42"/>
  <c r="N74" i="42"/>
  <c r="O74" i="42"/>
  <c r="P74" i="42"/>
  <c r="N75" i="42"/>
  <c r="O75" i="42"/>
  <c r="P75" i="42"/>
  <c r="N76" i="42"/>
  <c r="O76" i="42"/>
  <c r="P76" i="42"/>
  <c r="N77" i="42"/>
  <c r="O77" i="42"/>
  <c r="P77" i="42"/>
  <c r="N78" i="42"/>
  <c r="O78" i="42"/>
  <c r="P78" i="42"/>
  <c r="N79" i="42"/>
  <c r="O79" i="42"/>
  <c r="P79" i="42"/>
  <c r="N80" i="42"/>
  <c r="O80" i="42"/>
  <c r="P80" i="42"/>
  <c r="N81" i="42"/>
  <c r="O81" i="42"/>
  <c r="P81" i="42"/>
  <c r="N82" i="42"/>
  <c r="O82" i="42"/>
  <c r="P82" i="42"/>
  <c r="N83" i="42"/>
  <c r="O83" i="42"/>
  <c r="P83" i="42"/>
  <c r="N84" i="42"/>
  <c r="O84" i="42"/>
  <c r="P84" i="42"/>
  <c r="N85" i="42"/>
  <c r="O85" i="42"/>
  <c r="P85" i="42"/>
  <c r="N86" i="42"/>
  <c r="O86" i="42"/>
  <c r="P86" i="42"/>
  <c r="K133" i="42"/>
  <c r="K134" i="42" s="1"/>
  <c r="E10" i="46"/>
  <c r="B13" i="46"/>
  <c r="H20" i="46"/>
  <c r="C44" i="46"/>
  <c r="E35" i="46"/>
  <c r="F36" i="46"/>
  <c r="F10" i="46" s="1"/>
  <c r="E36" i="46"/>
  <c r="C10" i="46" s="1"/>
  <c r="D10" i="46" s="1"/>
  <c r="F37" i="46"/>
  <c r="F13" i="46" s="1"/>
  <c r="G13" i="46" s="1"/>
  <c r="E37" i="46"/>
  <c r="C13" i="46" s="1"/>
  <c r="F38" i="46"/>
  <c r="F18" i="46" s="1"/>
  <c r="E38" i="46"/>
  <c r="C18" i="46" s="1"/>
  <c r="D18" i="46" s="1"/>
  <c r="F39" i="46"/>
  <c r="F19" i="46" s="1"/>
  <c r="E39" i="46"/>
  <c r="C19" i="46" s="1"/>
  <c r="D19" i="46" s="1"/>
  <c r="F40" i="46"/>
  <c r="F22" i="46" s="1"/>
  <c r="E40" i="46"/>
  <c r="C22" i="46" s="1"/>
  <c r="D22" i="46" s="1"/>
  <c r="F41" i="46"/>
  <c r="F23" i="46" s="1"/>
  <c r="G23" i="46" s="1"/>
  <c r="E41" i="46"/>
  <c r="C23" i="46" s="1"/>
  <c r="D23" i="46" s="1"/>
  <c r="F42" i="46"/>
  <c r="F24" i="46" s="1"/>
  <c r="E42" i="46"/>
  <c r="C24" i="46" s="1"/>
  <c r="D24" i="46" s="1"/>
  <c r="F43" i="46"/>
  <c r="F25" i="46" s="1"/>
  <c r="G25" i="46" s="1"/>
  <c r="E43" i="46"/>
  <c r="C25" i="46" s="1"/>
  <c r="D25" i="46" s="1"/>
  <c r="E26" i="47"/>
  <c r="G26" i="47" s="1"/>
  <c r="G6" i="47"/>
  <c r="B6" i="47"/>
  <c r="C42" i="47"/>
  <c r="F33" i="47"/>
  <c r="F42" i="47" s="1"/>
  <c r="B6" i="85"/>
  <c r="B5" i="85" s="1"/>
  <c r="F12" i="48"/>
  <c r="C121" i="48"/>
  <c r="C122" i="48" s="1"/>
  <c r="D121" i="48"/>
  <c r="D122" i="48" s="1"/>
  <c r="E121" i="48"/>
  <c r="E122" i="48" s="1"/>
  <c r="F121" i="48"/>
  <c r="F122" i="48" s="1"/>
  <c r="G121" i="48"/>
  <c r="G122" i="48" s="1"/>
  <c r="M92" i="49"/>
  <c r="AB14" i="49"/>
  <c r="V18" i="49"/>
  <c r="V19" i="49" s="1"/>
  <c r="I27" i="49"/>
  <c r="T57" i="49"/>
  <c r="K52" i="49"/>
  <c r="K27" i="49"/>
  <c r="W53" i="49"/>
  <c r="M27" i="49"/>
  <c r="K30" i="49"/>
  <c r="L30" i="49" s="1"/>
  <c r="M30" i="49"/>
  <c r="G50" i="49"/>
  <c r="G51" i="49" s="1"/>
  <c r="K50" i="49"/>
  <c r="K51" i="49" s="1"/>
  <c r="G110" i="49"/>
  <c r="O92" i="49"/>
  <c r="I110" i="49"/>
  <c r="I111" i="49" s="1"/>
  <c r="P92" i="49"/>
  <c r="J110" i="49"/>
  <c r="J111" i="49" s="1"/>
  <c r="Q92" i="49"/>
  <c r="K110" i="49"/>
  <c r="K111" i="49" s="1"/>
  <c r="R92" i="49"/>
  <c r="O93" i="49"/>
  <c r="P93" i="49"/>
  <c r="Q93" i="49"/>
  <c r="R93" i="49"/>
  <c r="O94" i="49"/>
  <c r="P94" i="49"/>
  <c r="Q94" i="49"/>
  <c r="R94" i="49"/>
  <c r="O95" i="49"/>
  <c r="P95" i="49"/>
  <c r="Q95" i="49"/>
  <c r="R95" i="49"/>
  <c r="O96" i="49"/>
  <c r="P96" i="49"/>
  <c r="Q96" i="49"/>
  <c r="R96" i="49"/>
  <c r="O97" i="49"/>
  <c r="P97" i="49"/>
  <c r="Q97" i="49"/>
  <c r="R97" i="49"/>
  <c r="O98" i="49"/>
  <c r="P98" i="49"/>
  <c r="Q98" i="49"/>
  <c r="R98" i="49"/>
  <c r="O99" i="49"/>
  <c r="P99" i="49"/>
  <c r="Q99" i="49"/>
  <c r="R99" i="49"/>
  <c r="O100" i="49"/>
  <c r="P100" i="49"/>
  <c r="Q100" i="49"/>
  <c r="R100" i="49"/>
  <c r="O101" i="49"/>
  <c r="P101" i="49"/>
  <c r="Q101" i="49"/>
  <c r="R101" i="49"/>
  <c r="O102" i="49"/>
  <c r="P102" i="49"/>
  <c r="Q102" i="49"/>
  <c r="R102" i="49"/>
  <c r="O103" i="49"/>
  <c r="P103" i="49"/>
  <c r="Q103" i="49"/>
  <c r="R103" i="49"/>
  <c r="O104" i="49"/>
  <c r="P104" i="49"/>
  <c r="Q104" i="49"/>
  <c r="R104" i="49"/>
  <c r="O105" i="49"/>
  <c r="P105" i="49"/>
  <c r="Q105" i="49"/>
  <c r="R105" i="49"/>
  <c r="O106" i="49"/>
  <c r="P106" i="49"/>
  <c r="Q106" i="49"/>
  <c r="R106" i="49"/>
  <c r="O107" i="49"/>
  <c r="P107" i="49"/>
  <c r="Q107" i="49"/>
  <c r="R107" i="49"/>
  <c r="O108" i="49"/>
  <c r="P108" i="49"/>
  <c r="Q108" i="49"/>
  <c r="R108" i="49"/>
  <c r="O109" i="49"/>
  <c r="P109" i="49"/>
  <c r="Q109" i="49"/>
  <c r="R109" i="49"/>
  <c r="C80" i="50"/>
  <c r="H78" i="50"/>
  <c r="C113" i="50"/>
  <c r="H111" i="50"/>
  <c r="C146" i="50"/>
  <c r="H144" i="50"/>
  <c r="C210" i="50"/>
  <c r="H209" i="50"/>
  <c r="C245" i="50"/>
  <c r="H243" i="50"/>
  <c r="C278" i="50"/>
  <c r="H276" i="50"/>
  <c r="C311" i="50"/>
  <c r="H309" i="50"/>
  <c r="C344" i="50"/>
  <c r="H342" i="50"/>
  <c r="C377" i="50"/>
  <c r="H375" i="50"/>
  <c r="C410" i="50"/>
  <c r="H408" i="50"/>
  <c r="C441" i="50"/>
  <c r="H440" i="50"/>
  <c r="C476" i="50"/>
  <c r="H474" i="50"/>
  <c r="C509" i="50"/>
  <c r="H507" i="50"/>
  <c r="C542" i="50"/>
  <c r="H540" i="50"/>
  <c r="C575" i="50"/>
  <c r="H573" i="50"/>
  <c r="D55" i="52"/>
  <c r="D26" i="52"/>
  <c r="D25" i="52"/>
  <c r="D24" i="52"/>
  <c r="D23" i="52"/>
  <c r="D27" i="52" s="1"/>
  <c r="E55" i="52"/>
  <c r="E26" i="52"/>
  <c r="E25" i="52"/>
  <c r="E24" i="52"/>
  <c r="E23" i="52"/>
  <c r="E27" i="52" s="1"/>
  <c r="F55" i="52"/>
  <c r="F26" i="52"/>
  <c r="F25" i="52"/>
  <c r="F24" i="52"/>
  <c r="F23" i="52"/>
  <c r="F27" i="52" s="1"/>
  <c r="G26" i="52"/>
  <c r="G25" i="52"/>
  <c r="G24" i="52"/>
  <c r="G23" i="52"/>
  <c r="G27" i="52" s="1"/>
  <c r="H26" i="52"/>
  <c r="H25" i="52"/>
  <c r="H24" i="52"/>
  <c r="H23" i="52"/>
  <c r="H27" i="52" s="1"/>
  <c r="C43" i="85"/>
  <c r="F31" i="54"/>
  <c r="C23" i="54"/>
  <c r="C19" i="54"/>
  <c r="C27" i="54" s="1"/>
  <c r="C24" i="54"/>
  <c r="C25" i="54"/>
  <c r="C26" i="54"/>
  <c r="D27" i="54"/>
  <c r="D33" i="54" s="1"/>
  <c r="E27" i="54"/>
  <c r="E33" i="54" s="1"/>
  <c r="C42" i="85"/>
  <c r="F27" i="54"/>
  <c r="F33" i="54" s="1"/>
  <c r="G27" i="54"/>
  <c r="G33" i="54" s="1"/>
  <c r="H27" i="54"/>
  <c r="H33" i="54" s="1"/>
  <c r="V7" i="55"/>
  <c r="L35" i="56"/>
  <c r="C23" i="57"/>
  <c r="C11" i="57"/>
  <c r="C69" i="85"/>
  <c r="C17" i="85"/>
  <c r="D53" i="57"/>
  <c r="D35" i="57"/>
  <c r="E53" i="57"/>
  <c r="E35" i="57"/>
  <c r="F53" i="57"/>
  <c r="F35" i="57"/>
  <c r="G53" i="57"/>
  <c r="G35" i="57"/>
  <c r="H53" i="57"/>
  <c r="H35" i="57"/>
  <c r="I35" i="57"/>
  <c r="F57" i="57"/>
  <c r="F58" i="57"/>
  <c r="F59" i="57"/>
  <c r="F60" i="57"/>
  <c r="F49" i="57"/>
  <c r="G49" i="57" s="1"/>
  <c r="J14" i="58"/>
  <c r="O14" i="58"/>
  <c r="U14" i="58"/>
  <c r="V18" i="58"/>
  <c r="J25" i="58"/>
  <c r="E23" i="59"/>
  <c r="J4" i="59"/>
  <c r="G4" i="59"/>
  <c r="G23" i="59" s="1"/>
  <c r="I14" i="67"/>
  <c r="I14" i="66"/>
  <c r="I22" i="67"/>
  <c r="I23" i="66"/>
  <c r="I51" i="67"/>
  <c r="J8" i="67"/>
  <c r="C26" i="67"/>
  <c r="H26" i="67" s="1"/>
  <c r="J26" i="67" s="1"/>
  <c r="F24" i="61" s="1"/>
  <c r="H9" i="67"/>
  <c r="J9" i="67" s="1"/>
  <c r="J10" i="67"/>
  <c r="J11" i="67"/>
  <c r="J12" i="67"/>
  <c r="J13" i="67"/>
  <c r="J14" i="67"/>
  <c r="J15" i="67"/>
  <c r="J16" i="67"/>
  <c r="J17" i="67"/>
  <c r="J18" i="67"/>
  <c r="J19" i="67"/>
  <c r="J20" i="67"/>
  <c r="J21" i="67"/>
  <c r="J22" i="67"/>
  <c r="J23" i="67"/>
  <c r="J24" i="67"/>
  <c r="J25" i="67"/>
  <c r="C51" i="67"/>
  <c r="H51" i="67" s="1"/>
  <c r="H33" i="67"/>
  <c r="J33" i="67" s="1"/>
  <c r="J34" i="67"/>
  <c r="J35" i="67"/>
  <c r="J36" i="67"/>
  <c r="J37" i="67"/>
  <c r="J38" i="67"/>
  <c r="J39" i="67"/>
  <c r="J40" i="67"/>
  <c r="J41" i="67"/>
  <c r="J42" i="67"/>
  <c r="J43" i="67"/>
  <c r="J44" i="67"/>
  <c r="J45" i="67"/>
  <c r="J46" i="67"/>
  <c r="J47" i="67"/>
  <c r="J48" i="67"/>
  <c r="J49" i="67"/>
  <c r="J50" i="67"/>
  <c r="E36" i="87"/>
  <c r="E31" i="87"/>
  <c r="D36" i="87"/>
  <c r="D31" i="87"/>
  <c r="D20" i="72"/>
  <c r="B55" i="85" s="1"/>
  <c r="E5" i="72"/>
  <c r="E20" i="72" s="1"/>
  <c r="G20" i="72"/>
  <c r="H5" i="72"/>
  <c r="H20" i="72" s="1"/>
  <c r="E6" i="72"/>
  <c r="H6" i="72"/>
  <c r="E7" i="72"/>
  <c r="H7" i="72"/>
  <c r="E8" i="72"/>
  <c r="H8" i="72"/>
  <c r="E9" i="72"/>
  <c r="H9" i="72"/>
  <c r="E10" i="72"/>
  <c r="H10" i="72"/>
  <c r="E11" i="72"/>
  <c r="H11" i="72"/>
  <c r="E12" i="72"/>
  <c r="H12" i="72"/>
  <c r="E13" i="72"/>
  <c r="H13" i="72"/>
  <c r="E14" i="72"/>
  <c r="H14" i="72"/>
  <c r="E15" i="72"/>
  <c r="H15" i="72"/>
  <c r="E16" i="72"/>
  <c r="H16" i="72"/>
  <c r="E17" i="72"/>
  <c r="H17" i="72"/>
  <c r="E18" i="72"/>
  <c r="H18" i="72"/>
  <c r="E19" i="72"/>
  <c r="H19" i="72"/>
  <c r="D12" i="73"/>
  <c r="D8" i="73"/>
  <c r="E12" i="73"/>
  <c r="E8" i="73"/>
  <c r="F12" i="73"/>
  <c r="F8" i="73"/>
  <c r="G12" i="73"/>
  <c r="G8" i="73"/>
  <c r="H12" i="73"/>
  <c r="H8" i="73"/>
  <c r="I12" i="73"/>
  <c r="I8" i="73"/>
  <c r="D28" i="74"/>
  <c r="G7" i="74"/>
  <c r="F5" i="86"/>
  <c r="C33" i="85"/>
  <c r="J40" i="74"/>
  <c r="I28" i="74"/>
  <c r="L7" i="74"/>
  <c r="E5" i="86"/>
  <c r="G5" i="86" s="1"/>
  <c r="D23" i="81"/>
  <c r="C55" i="85" s="1"/>
  <c r="E5" i="81"/>
  <c r="E23" i="81" s="1"/>
  <c r="G23" i="81"/>
  <c r="C54" i="85" s="1"/>
  <c r="C53" i="85" s="1"/>
  <c r="H5" i="81"/>
  <c r="H23" i="81" s="1"/>
  <c r="E6" i="81"/>
  <c r="H6" i="81"/>
  <c r="E7" i="81"/>
  <c r="I7" i="81"/>
  <c r="H7" i="81"/>
  <c r="E8" i="81"/>
  <c r="H8" i="81"/>
  <c r="E9" i="81"/>
  <c r="H9" i="81"/>
  <c r="E10" i="81"/>
  <c r="H10" i="81"/>
  <c r="E11" i="81"/>
  <c r="F33" i="81"/>
  <c r="H11" i="81"/>
  <c r="E12" i="81"/>
  <c r="H12" i="81"/>
  <c r="E13" i="81"/>
  <c r="H13" i="81"/>
  <c r="E14" i="81"/>
  <c r="H14" i="81"/>
  <c r="E15" i="81"/>
  <c r="I15" i="81"/>
  <c r="H15" i="81"/>
  <c r="E16" i="81"/>
  <c r="H16" i="81"/>
  <c r="E17" i="81"/>
  <c r="H17" i="81"/>
  <c r="E18" i="81"/>
  <c r="H18" i="81"/>
  <c r="E19" i="81"/>
  <c r="H19" i="81"/>
  <c r="E20" i="81"/>
  <c r="F34" i="81"/>
  <c r="H20" i="81"/>
  <c r="E21" i="81"/>
  <c r="H21" i="81"/>
  <c r="E22" i="81"/>
  <c r="I22" i="81"/>
  <c r="H22" i="81"/>
  <c r="D5" i="84"/>
  <c r="G5" i="84"/>
  <c r="D6" i="84"/>
  <c r="G6" i="84"/>
  <c r="C36" i="85"/>
  <c r="C31" i="85"/>
  <c r="B65" i="85"/>
  <c r="B47" i="85"/>
  <c r="B45" i="85" s="1"/>
  <c r="B41" i="85"/>
  <c r="B39" i="85" s="1"/>
  <c r="B63" i="85"/>
  <c r="C23" i="87"/>
  <c r="C19" i="87"/>
  <c r="C27" i="87" s="1"/>
  <c r="D23" i="87"/>
  <c r="D19" i="87"/>
  <c r="E23" i="87"/>
  <c r="E19" i="87"/>
  <c r="F23" i="87"/>
  <c r="F19" i="87"/>
  <c r="G23" i="87"/>
  <c r="G19" i="87"/>
  <c r="H23" i="87"/>
  <c r="H19" i="87"/>
  <c r="C24" i="87"/>
  <c r="D24" i="87"/>
  <c r="E24" i="87"/>
  <c r="F24" i="87"/>
  <c r="G24" i="87"/>
  <c r="H24" i="87"/>
  <c r="C25" i="87"/>
  <c r="D25" i="87"/>
  <c r="E25" i="87"/>
  <c r="F25" i="87"/>
  <c r="G25" i="87"/>
  <c r="H25" i="87"/>
  <c r="C26" i="87"/>
  <c r="D26" i="87"/>
  <c r="E26" i="87"/>
  <c r="F26" i="87"/>
  <c r="G26" i="87"/>
  <c r="H26" i="87"/>
  <c r="F31" i="87"/>
  <c r="G36" i="87"/>
  <c r="G31" i="87"/>
  <c r="H36" i="87"/>
  <c r="H31" i="87"/>
  <c r="J951" i="106"/>
  <c r="AO16" i="42"/>
  <c r="S7" i="42"/>
  <c r="AE7" i="42"/>
  <c r="S14" i="42"/>
  <c r="L78" i="42"/>
  <c r="B26" i="46"/>
  <c r="AO18" i="42"/>
  <c r="L84" i="42"/>
  <c r="K73" i="42"/>
  <c r="G10" i="46"/>
  <c r="B26" i="47"/>
  <c r="D26" i="47" s="1"/>
  <c r="D6" i="47"/>
  <c r="AE9" i="49"/>
  <c r="E23" i="49"/>
  <c r="N30" i="49"/>
  <c r="V23" i="58"/>
  <c r="L83" i="42"/>
  <c r="Q22" i="42"/>
  <c r="L76" i="42"/>
  <c r="G24" i="46"/>
  <c r="M104" i="49"/>
  <c r="V22" i="55"/>
  <c r="X22" i="55" s="1"/>
  <c r="R19" i="42"/>
  <c r="L85" i="42"/>
  <c r="O22" i="42"/>
  <c r="AO9" i="42" s="1"/>
  <c r="AP9" i="42"/>
  <c r="R17" i="42"/>
  <c r="L82" i="42"/>
  <c r="M102" i="49"/>
  <c r="G27" i="49"/>
  <c r="E25" i="49"/>
  <c r="E16" i="49"/>
  <c r="E8" i="49"/>
  <c r="D27" i="49"/>
  <c r="D111" i="49" s="1"/>
  <c r="E24" i="49"/>
  <c r="E15" i="49"/>
  <c r="E19" i="49"/>
  <c r="E22" i="49"/>
  <c r="E14" i="49"/>
  <c r="E21" i="49"/>
  <c r="E13" i="49"/>
  <c r="AE12" i="49"/>
  <c r="E20" i="49"/>
  <c r="E18" i="49"/>
  <c r="E12" i="49"/>
  <c r="V11" i="53"/>
  <c r="X11" i="53" s="1"/>
  <c r="V11" i="55"/>
  <c r="X11" i="55" s="1"/>
  <c r="V11" i="56"/>
  <c r="X11" i="56" s="1"/>
  <c r="AD11" i="42"/>
  <c r="AO11" i="42" s="1"/>
  <c r="R12" i="42"/>
  <c r="AD12" i="42"/>
  <c r="R13" i="42"/>
  <c r="P14" i="42"/>
  <c r="P15" i="42"/>
  <c r="R16" i="42"/>
  <c r="S17" i="42"/>
  <c r="R21" i="42"/>
  <c r="L77" i="42"/>
  <c r="G18" i="46"/>
  <c r="AE10" i="49"/>
  <c r="M96" i="49"/>
  <c r="AH9" i="49"/>
  <c r="R15" i="42"/>
  <c r="S16" i="42"/>
  <c r="L81" i="42"/>
  <c r="G22" i="46"/>
  <c r="E10" i="49"/>
  <c r="AD7" i="42"/>
  <c r="S11" i="42"/>
  <c r="S15" i="42"/>
  <c r="K75" i="42"/>
  <c r="E26" i="46"/>
  <c r="G19" i="46"/>
  <c r="E17" i="49"/>
  <c r="AA13" i="49"/>
  <c r="L106" i="49"/>
  <c r="M103" i="49"/>
  <c r="M107" i="49"/>
  <c r="B11" i="53"/>
  <c r="V17" i="53"/>
  <c r="V22" i="53" s="1"/>
  <c r="X22" i="53" s="1"/>
  <c r="B11" i="56"/>
  <c r="C23" i="58"/>
  <c r="C25" i="58" s="1"/>
  <c r="AB12" i="49"/>
  <c r="L102" i="49"/>
  <c r="B11" i="51"/>
  <c r="V17" i="51"/>
  <c r="V22" i="51" s="1"/>
  <c r="X22" i="51" s="1"/>
  <c r="B22" i="55"/>
  <c r="L86" i="42"/>
  <c r="R86" i="42" s="1"/>
  <c r="O26" i="49"/>
  <c r="M106" i="49"/>
  <c r="D107" i="49"/>
  <c r="L109" i="49"/>
  <c r="V7" i="58"/>
  <c r="V12" i="58" s="1"/>
  <c r="F35" i="46"/>
  <c r="Q26" i="49"/>
  <c r="M109" i="49"/>
  <c r="B11" i="55"/>
  <c r="L92" i="49"/>
  <c r="L96" i="49"/>
  <c r="L104" i="49"/>
  <c r="M100" i="49"/>
  <c r="B22" i="56"/>
  <c r="N7" i="135"/>
  <c r="N16" i="135" s="1"/>
  <c r="I47" i="107"/>
  <c r="I37" i="102"/>
  <c r="J29" i="102" s="1"/>
  <c r="D10" i="102"/>
  <c r="D11" i="102"/>
  <c r="D12" i="102"/>
  <c r="D13" i="102"/>
  <c r="D14" i="102"/>
  <c r="D15" i="102"/>
  <c r="D16" i="102"/>
  <c r="D17" i="102"/>
  <c r="H37" i="102"/>
  <c r="D29" i="102"/>
  <c r="D30" i="102"/>
  <c r="D31" i="102"/>
  <c r="D32" i="102"/>
  <c r="D33" i="102"/>
  <c r="I46" i="98"/>
  <c r="I44" i="98"/>
  <c r="B42" i="47"/>
  <c r="F36" i="87"/>
  <c r="R9" i="74"/>
  <c r="H47" i="133"/>
  <c r="D192" i="105" l="1"/>
  <c r="F15" i="103"/>
  <c r="J24" i="102"/>
  <c r="J14" i="102"/>
  <c r="J30" i="102"/>
  <c r="S96" i="49"/>
  <c r="R18" i="49"/>
  <c r="AM13" i="49"/>
  <c r="N107" i="49"/>
  <c r="N97" i="49"/>
  <c r="N101" i="49"/>
  <c r="N93" i="49"/>
  <c r="N98" i="49"/>
  <c r="N109" i="49"/>
  <c r="AL10" i="49"/>
  <c r="P25" i="49"/>
  <c r="P12" i="49"/>
  <c r="Q75" i="42"/>
  <c r="AF9" i="42" s="1"/>
  <c r="Q84" i="42"/>
  <c r="AF8" i="42" s="1"/>
  <c r="R80" i="42"/>
  <c r="R8" i="42"/>
  <c r="R20" i="42"/>
  <c r="R9" i="42"/>
  <c r="R18" i="42"/>
  <c r="Q74" i="42"/>
  <c r="Q76" i="42"/>
  <c r="Q80" i="42"/>
  <c r="AF12" i="42" s="1"/>
  <c r="H27" i="87"/>
  <c r="H33" i="87" s="1"/>
  <c r="H35" i="87"/>
  <c r="G27" i="87"/>
  <c r="G33" i="87" s="1"/>
  <c r="G35" i="87"/>
  <c r="F27" i="87"/>
  <c r="F33" i="87" s="1"/>
  <c r="F35" i="87"/>
  <c r="E27" i="87"/>
  <c r="E33" i="87" s="1"/>
  <c r="E35" i="87"/>
  <c r="D27" i="87"/>
  <c r="D33" i="87" s="1"/>
  <c r="D35" i="87"/>
  <c r="L28" i="74"/>
  <c r="M7" i="74"/>
  <c r="M28" i="74" s="1"/>
  <c r="J41" i="74"/>
  <c r="J29" i="74" s="1"/>
  <c r="I29" i="74"/>
  <c r="G28" i="74"/>
  <c r="H7" i="74"/>
  <c r="H28" i="74" s="1"/>
  <c r="C5" i="86"/>
  <c r="D5" i="86" s="1"/>
  <c r="B33" i="85"/>
  <c r="B31" i="85" s="1"/>
  <c r="I41" i="74"/>
  <c r="E29" i="74" s="1"/>
  <c r="D29" i="74"/>
  <c r="I14" i="73"/>
  <c r="I11" i="73"/>
  <c r="I9" i="73"/>
  <c r="H14" i="73"/>
  <c r="H11" i="73"/>
  <c r="H9" i="73"/>
  <c r="G14" i="73"/>
  <c r="G11" i="73"/>
  <c r="G9" i="73"/>
  <c r="F14" i="73"/>
  <c r="F11" i="73"/>
  <c r="F9" i="73"/>
  <c r="E14" i="73"/>
  <c r="E11" i="73"/>
  <c r="E9" i="73"/>
  <c r="D14" i="73"/>
  <c r="D11" i="73"/>
  <c r="D9" i="73"/>
  <c r="B54" i="85"/>
  <c r="B53" i="85" s="1"/>
  <c r="B25" i="85"/>
  <c r="J51" i="67"/>
  <c r="E24" i="61" s="1"/>
  <c r="H56" i="66"/>
  <c r="H57" i="66" s="1"/>
  <c r="H59" i="66" s="1"/>
  <c r="J10" i="59"/>
  <c r="K4" i="59"/>
  <c r="G37" i="87"/>
  <c r="G25" i="59"/>
  <c r="C68" i="85"/>
  <c r="C67" i="85"/>
  <c r="C31" i="57"/>
  <c r="C27" i="57"/>
  <c r="C64" i="85"/>
  <c r="C41" i="85"/>
  <c r="C65" i="85"/>
  <c r="C47" i="85"/>
  <c r="C45" i="85" s="1"/>
  <c r="C581" i="50"/>
  <c r="H575" i="50"/>
  <c r="H567" i="50" s="1"/>
  <c r="C548" i="50"/>
  <c r="H542" i="50"/>
  <c r="H534" i="50" s="1"/>
  <c r="C515" i="50"/>
  <c r="H509" i="50"/>
  <c r="H501" i="50" s="1"/>
  <c r="C482" i="50"/>
  <c r="H476" i="50"/>
  <c r="H468" i="50" s="1"/>
  <c r="C443" i="50"/>
  <c r="H441" i="50"/>
  <c r="C416" i="50"/>
  <c r="H410" i="50"/>
  <c r="H402" i="50" s="1"/>
  <c r="C383" i="50"/>
  <c r="H377" i="50"/>
  <c r="H369" i="50" s="1"/>
  <c r="C350" i="50"/>
  <c r="H344" i="50"/>
  <c r="H336" i="50" s="1"/>
  <c r="C317" i="50"/>
  <c r="H311" i="50"/>
  <c r="H303" i="50" s="1"/>
  <c r="C284" i="50"/>
  <c r="H278" i="50"/>
  <c r="H270" i="50" s="1"/>
  <c r="C251" i="50"/>
  <c r="H245" i="50"/>
  <c r="H237" i="50" s="1"/>
  <c r="C212" i="50"/>
  <c r="H210" i="50"/>
  <c r="C152" i="50"/>
  <c r="C161" i="50" s="1"/>
  <c r="C163" i="50" s="1"/>
  <c r="C165" i="50" s="1"/>
  <c r="H146" i="50"/>
  <c r="C119" i="50"/>
  <c r="C128" i="50" s="1"/>
  <c r="C130" i="50" s="1"/>
  <c r="C132" i="50" s="1"/>
  <c r="H113" i="50"/>
  <c r="C86" i="50"/>
  <c r="H80" i="50"/>
  <c r="H72" i="50" s="1"/>
  <c r="W54" i="49"/>
  <c r="W55" i="49" s="1"/>
  <c r="W56" i="49"/>
  <c r="T58" i="49"/>
  <c r="T59" i="49" s="1"/>
  <c r="T60" i="49"/>
  <c r="E44" i="46"/>
  <c r="C6" i="46"/>
  <c r="D13" i="46"/>
  <c r="AN12" i="42"/>
  <c r="AM12" i="42"/>
  <c r="W20" i="42"/>
  <c r="W21" i="42" s="1"/>
  <c r="AL12" i="42"/>
  <c r="S13" i="41"/>
  <c r="I148" i="143"/>
  <c r="J32" i="143"/>
  <c r="J430" i="142"/>
  <c r="J34" i="142"/>
  <c r="J36" i="142" s="1"/>
  <c r="D38" i="120"/>
  <c r="F32" i="141"/>
  <c r="L823" i="107"/>
  <c r="M806" i="107"/>
  <c r="D795" i="107"/>
  <c r="F823" i="107"/>
  <c r="I806" i="107"/>
  <c r="D806" i="107" s="1"/>
  <c r="E826" i="107"/>
  <c r="L775" i="107"/>
  <c r="M758" i="107"/>
  <c r="D747" i="107"/>
  <c r="F775" i="107"/>
  <c r="I758" i="107"/>
  <c r="D758" i="107" s="1"/>
  <c r="E778" i="107"/>
  <c r="L727" i="107"/>
  <c r="M710" i="107"/>
  <c r="D699" i="107"/>
  <c r="F727" i="107"/>
  <c r="I710" i="107"/>
  <c r="D710" i="107" s="1"/>
  <c r="E730" i="107"/>
  <c r="L680" i="107"/>
  <c r="M663" i="107"/>
  <c r="D652" i="107"/>
  <c r="F680" i="107"/>
  <c r="I663" i="107"/>
  <c r="D663" i="107" s="1"/>
  <c r="E683" i="107"/>
  <c r="L631" i="107"/>
  <c r="M614" i="107"/>
  <c r="D603" i="107"/>
  <c r="F631" i="107"/>
  <c r="I614" i="107"/>
  <c r="D614" i="107" s="1"/>
  <c r="E634" i="107"/>
  <c r="L583" i="107"/>
  <c r="M566" i="107"/>
  <c r="D555" i="107"/>
  <c r="D566" i="107" s="1"/>
  <c r="F583" i="107"/>
  <c r="I566" i="107"/>
  <c r="L535" i="107"/>
  <c r="M518" i="107"/>
  <c r="D507" i="107"/>
  <c r="F535" i="107"/>
  <c r="I518" i="107"/>
  <c r="D518" i="107" s="1"/>
  <c r="E538" i="107"/>
  <c r="L487" i="107"/>
  <c r="M470" i="107"/>
  <c r="D459" i="107"/>
  <c r="F487" i="107"/>
  <c r="I470" i="107"/>
  <c r="D470" i="107" s="1"/>
  <c r="E490" i="107"/>
  <c r="L439" i="107"/>
  <c r="M422" i="107"/>
  <c r="D411" i="107"/>
  <c r="F439" i="107"/>
  <c r="I422" i="107"/>
  <c r="D422" i="107" s="1"/>
  <c r="E442" i="107"/>
  <c r="L391" i="107"/>
  <c r="M374" i="107"/>
  <c r="D359" i="107"/>
  <c r="F391" i="107"/>
  <c r="I374" i="107"/>
  <c r="D374" i="107" s="1"/>
  <c r="L338" i="107"/>
  <c r="M321" i="107"/>
  <c r="D310" i="107"/>
  <c r="F338" i="107"/>
  <c r="I321" i="107"/>
  <c r="D321" i="107" s="1"/>
  <c r="E341" i="107"/>
  <c r="L288" i="107"/>
  <c r="M271" i="107"/>
  <c r="D260" i="107"/>
  <c r="F288" i="107"/>
  <c r="I271" i="107"/>
  <c r="D271" i="107" s="1"/>
  <c r="E291" i="107"/>
  <c r="D217" i="107"/>
  <c r="D25" i="107" s="1"/>
  <c r="M25" i="107"/>
  <c r="L240" i="107"/>
  <c r="M223" i="107"/>
  <c r="D210" i="107"/>
  <c r="F240" i="107"/>
  <c r="I223" i="107"/>
  <c r="D223" i="107" s="1"/>
  <c r="E243" i="107"/>
  <c r="L190" i="107"/>
  <c r="M173" i="107"/>
  <c r="D162" i="107"/>
  <c r="F190" i="107"/>
  <c r="I173" i="107"/>
  <c r="D173" i="107" s="1"/>
  <c r="E193" i="107"/>
  <c r="L141" i="107"/>
  <c r="M124" i="107"/>
  <c r="D113" i="107"/>
  <c r="F141" i="107"/>
  <c r="I124" i="107"/>
  <c r="D124" i="107" s="1"/>
  <c r="E144" i="107"/>
  <c r="D91" i="107"/>
  <c r="D44" i="107" s="1"/>
  <c r="M44" i="107"/>
  <c r="D84" i="107"/>
  <c r="D37" i="107" s="1"/>
  <c r="M37" i="107"/>
  <c r="D67" i="107"/>
  <c r="D20" i="107" s="1"/>
  <c r="M20" i="107"/>
  <c r="M18" i="107"/>
  <c r="L93" i="107"/>
  <c r="M76" i="107"/>
  <c r="M29" i="107" s="1"/>
  <c r="L29" i="107"/>
  <c r="D65" i="107"/>
  <c r="D18" i="107" s="1"/>
  <c r="I18" i="107"/>
  <c r="F93" i="107"/>
  <c r="I76" i="107"/>
  <c r="F29" i="107"/>
  <c r="E96" i="107"/>
  <c r="E46" i="107"/>
  <c r="L869" i="108"/>
  <c r="M852" i="108"/>
  <c r="D841" i="108"/>
  <c r="F869" i="108"/>
  <c r="I852" i="108"/>
  <c r="D852" i="108" s="1"/>
  <c r="E872" i="108"/>
  <c r="L821" i="108"/>
  <c r="M804" i="108"/>
  <c r="D793" i="108"/>
  <c r="F821" i="108"/>
  <c r="I804" i="108"/>
  <c r="D804" i="108" s="1"/>
  <c r="E824" i="108"/>
  <c r="L773" i="108"/>
  <c r="M756" i="108"/>
  <c r="D745" i="108"/>
  <c r="F773" i="108"/>
  <c r="I756" i="108"/>
  <c r="D756" i="108" s="1"/>
  <c r="E776" i="108"/>
  <c r="L725" i="108"/>
  <c r="M708" i="108"/>
  <c r="D697" i="108"/>
  <c r="F725" i="108"/>
  <c r="I708" i="108"/>
  <c r="D708" i="108" s="1"/>
  <c r="E728" i="108"/>
  <c r="L678" i="108"/>
  <c r="M661" i="108"/>
  <c r="D650" i="108"/>
  <c r="F678" i="108"/>
  <c r="I661" i="108"/>
  <c r="D661" i="108" s="1"/>
  <c r="E681" i="108"/>
  <c r="L629" i="108"/>
  <c r="M612" i="108"/>
  <c r="D601" i="108"/>
  <c r="F629" i="108"/>
  <c r="I612" i="108"/>
  <c r="D612" i="108" s="1"/>
  <c r="E632" i="108"/>
  <c r="AH572" i="108"/>
  <c r="D572" i="108"/>
  <c r="AC572" i="108" s="1"/>
  <c r="AH555" i="108"/>
  <c r="I20" i="108"/>
  <c r="L581" i="108"/>
  <c r="AK564" i="108"/>
  <c r="M564" i="108"/>
  <c r="AL564" i="108" s="1"/>
  <c r="K581" i="108"/>
  <c r="AJ564" i="108"/>
  <c r="J581" i="108"/>
  <c r="AI564" i="108"/>
  <c r="H581" i="108"/>
  <c r="AG564" i="108"/>
  <c r="G581" i="108"/>
  <c r="AF564" i="108"/>
  <c r="AH553" i="108"/>
  <c r="D553" i="108"/>
  <c r="F581" i="108"/>
  <c r="AE564" i="108"/>
  <c r="I564" i="108"/>
  <c r="AH564" i="108" s="1"/>
  <c r="E581" i="108"/>
  <c r="AD564" i="108"/>
  <c r="L533" i="108"/>
  <c r="M516" i="108"/>
  <c r="D505" i="108"/>
  <c r="F533" i="108"/>
  <c r="I516" i="108"/>
  <c r="D516" i="108" s="1"/>
  <c r="E536" i="108"/>
  <c r="L485" i="108"/>
  <c r="M468" i="108"/>
  <c r="D457" i="108"/>
  <c r="F485" i="108"/>
  <c r="I468" i="108"/>
  <c r="D468" i="108" s="1"/>
  <c r="E488" i="108"/>
  <c r="L437" i="108"/>
  <c r="M420" i="108"/>
  <c r="D409" i="108"/>
  <c r="F437" i="108"/>
  <c r="I420" i="108"/>
  <c r="D420" i="108" s="1"/>
  <c r="E440" i="108"/>
  <c r="L389" i="108"/>
  <c r="M372" i="108"/>
  <c r="D359" i="108"/>
  <c r="F389" i="108"/>
  <c r="I372" i="108"/>
  <c r="D372" i="108" s="1"/>
  <c r="E392" i="108"/>
  <c r="L338" i="108"/>
  <c r="M321" i="108"/>
  <c r="D310" i="108"/>
  <c r="F338" i="108"/>
  <c r="I321" i="108"/>
  <c r="D321" i="108" s="1"/>
  <c r="E341" i="108"/>
  <c r="L288" i="108"/>
  <c r="M271" i="108"/>
  <c r="D260" i="108"/>
  <c r="F288" i="108"/>
  <c r="I271" i="108"/>
  <c r="D271" i="108" s="1"/>
  <c r="E291" i="108"/>
  <c r="AH238" i="108"/>
  <c r="D238" i="108"/>
  <c r="AC238" i="108" s="1"/>
  <c r="I44" i="108"/>
  <c r="AH231" i="108"/>
  <c r="D231" i="108"/>
  <c r="AC231" i="108" s="1"/>
  <c r="I37" i="108"/>
  <c r="AL217" i="108"/>
  <c r="D217" i="108"/>
  <c r="M25" i="108"/>
  <c r="AL212" i="108"/>
  <c r="D212" i="108"/>
  <c r="AC212" i="108" s="1"/>
  <c r="L240" i="108"/>
  <c r="AK223" i="108"/>
  <c r="M223" i="108"/>
  <c r="AL223" i="108" s="1"/>
  <c r="K240" i="108"/>
  <c r="AJ223" i="108"/>
  <c r="K29" i="108"/>
  <c r="J240" i="108"/>
  <c r="AI223" i="108"/>
  <c r="J29" i="108"/>
  <c r="H240" i="108"/>
  <c r="AG223" i="108"/>
  <c r="H29" i="108"/>
  <c r="G240" i="108"/>
  <c r="AF223" i="108"/>
  <c r="G29" i="108"/>
  <c r="AH210" i="108"/>
  <c r="D210" i="108"/>
  <c r="AC210" i="108" s="1"/>
  <c r="F240" i="108"/>
  <c r="AE223" i="108"/>
  <c r="I223" i="108"/>
  <c r="AH223" i="108" s="1"/>
  <c r="E240" i="108"/>
  <c r="AD223" i="108"/>
  <c r="D223" i="108"/>
  <c r="AC223" i="108" s="1"/>
  <c r="E29" i="108"/>
  <c r="L190" i="108"/>
  <c r="M173" i="108"/>
  <c r="D162" i="108"/>
  <c r="F190" i="108"/>
  <c r="I173" i="108"/>
  <c r="D173" i="108" s="1"/>
  <c r="E193" i="108"/>
  <c r="L141" i="108"/>
  <c r="M124" i="108"/>
  <c r="D113" i="108"/>
  <c r="F141" i="108"/>
  <c r="I124" i="108"/>
  <c r="D124" i="108" s="1"/>
  <c r="E144" i="108"/>
  <c r="D91" i="108"/>
  <c r="D44" i="108" s="1"/>
  <c r="M44" i="108"/>
  <c r="D84" i="108"/>
  <c r="D37" i="108" s="1"/>
  <c r="M37" i="108"/>
  <c r="D67" i="108"/>
  <c r="D20" i="108" s="1"/>
  <c r="M20" i="108"/>
  <c r="M18" i="108"/>
  <c r="L93" i="108"/>
  <c r="M76" i="108"/>
  <c r="M29" i="108" s="1"/>
  <c r="L29" i="108"/>
  <c r="D65" i="108"/>
  <c r="D18" i="108" s="1"/>
  <c r="I18" i="108"/>
  <c r="F93" i="108"/>
  <c r="I76" i="108"/>
  <c r="F29" i="108"/>
  <c r="E96" i="108"/>
  <c r="E46" i="108"/>
  <c r="N898" i="105"/>
  <c r="D897" i="105"/>
  <c r="J898" i="105"/>
  <c r="D898" i="105"/>
  <c r="D864" i="105"/>
  <c r="D881" i="105"/>
  <c r="N845" i="105"/>
  <c r="D844" i="105"/>
  <c r="J845" i="105"/>
  <c r="D845" i="105"/>
  <c r="D811" i="105"/>
  <c r="N792" i="105"/>
  <c r="D791" i="105"/>
  <c r="J792" i="105"/>
  <c r="D792" i="105"/>
  <c r="D758" i="105"/>
  <c r="N738" i="105"/>
  <c r="D737" i="105"/>
  <c r="J738" i="105"/>
  <c r="D738" i="105"/>
  <c r="D704" i="105"/>
  <c r="AM684" i="105"/>
  <c r="N684" i="105"/>
  <c r="AP684" i="105" s="1"/>
  <c r="AL683" i="105"/>
  <c r="D683" i="105"/>
  <c r="AL675" i="105"/>
  <c r="D675" i="105"/>
  <c r="J676" i="105"/>
  <c r="AL667" i="105"/>
  <c r="AP656" i="105"/>
  <c r="D656" i="105"/>
  <c r="AP653" i="105"/>
  <c r="D653" i="105"/>
  <c r="AM667" i="105"/>
  <c r="N667" i="105"/>
  <c r="AL650" i="105"/>
  <c r="D650" i="105"/>
  <c r="N630" i="105"/>
  <c r="D629" i="105"/>
  <c r="J630" i="105"/>
  <c r="D630" i="105"/>
  <c r="D599" i="105"/>
  <c r="J23" i="105"/>
  <c r="N578" i="105"/>
  <c r="D577" i="105"/>
  <c r="J578" i="105"/>
  <c r="D578" i="105"/>
  <c r="D544" i="105"/>
  <c r="N525" i="105"/>
  <c r="D524" i="105"/>
  <c r="J525" i="105"/>
  <c r="D525" i="105"/>
  <c r="D491" i="105"/>
  <c r="D508" i="105"/>
  <c r="N472" i="105"/>
  <c r="D471" i="105"/>
  <c r="J472" i="105"/>
  <c r="D472" i="105"/>
  <c r="D438" i="105"/>
  <c r="N419" i="105"/>
  <c r="D418" i="105"/>
  <c r="J419" i="105"/>
  <c r="D419" i="105"/>
  <c r="D385" i="105"/>
  <c r="D402" i="105"/>
  <c r="N368" i="105"/>
  <c r="D367" i="105"/>
  <c r="J368" i="105"/>
  <c r="D368" i="105"/>
  <c r="D359" i="105"/>
  <c r="D45" i="105" s="1"/>
  <c r="J45" i="105"/>
  <c r="J360" i="105"/>
  <c r="G46" i="105"/>
  <c r="D334" i="105"/>
  <c r="D351" i="105"/>
  <c r="N314" i="105"/>
  <c r="D313" i="105"/>
  <c r="J314" i="105"/>
  <c r="D314" i="105"/>
  <c r="D280" i="105"/>
  <c r="N261" i="105"/>
  <c r="D260" i="105"/>
  <c r="J261" i="105"/>
  <c r="D261" i="105"/>
  <c r="D233" i="105"/>
  <c r="J26" i="105"/>
  <c r="N209" i="105"/>
  <c r="D208" i="105"/>
  <c r="J209" i="105"/>
  <c r="D209" i="105"/>
  <c r="D175" i="105"/>
  <c r="N157" i="105"/>
  <c r="D156" i="105"/>
  <c r="J157" i="105"/>
  <c r="D157" i="105"/>
  <c r="D123" i="105"/>
  <c r="AO105" i="105"/>
  <c r="M54" i="105"/>
  <c r="AN105" i="105"/>
  <c r="L54" i="105"/>
  <c r="AP104" i="105"/>
  <c r="N53" i="105"/>
  <c r="AM105" i="105"/>
  <c r="N105" i="105"/>
  <c r="K54" i="105"/>
  <c r="AK105" i="105"/>
  <c r="I54" i="105"/>
  <c r="H54" i="105"/>
  <c r="AL104" i="105"/>
  <c r="D104" i="105"/>
  <c r="D53" i="105" s="1"/>
  <c r="J53" i="105"/>
  <c r="J105" i="105"/>
  <c r="G54" i="105"/>
  <c r="F54" i="105"/>
  <c r="D105" i="105"/>
  <c r="E54" i="105"/>
  <c r="AP97" i="105"/>
  <c r="D97" i="105"/>
  <c r="N46" i="105"/>
  <c r="AP77" i="105"/>
  <c r="D77" i="105"/>
  <c r="D26" i="105" s="1"/>
  <c r="N26" i="105"/>
  <c r="AP74" i="105"/>
  <c r="D74" i="105"/>
  <c r="D23" i="105" s="1"/>
  <c r="N23" i="105"/>
  <c r="AO88" i="105"/>
  <c r="M37" i="105"/>
  <c r="AN88" i="105"/>
  <c r="L37" i="105"/>
  <c r="AP71" i="105"/>
  <c r="N20" i="105"/>
  <c r="AM88" i="105"/>
  <c r="N88" i="105"/>
  <c r="K37" i="105"/>
  <c r="AK88" i="105"/>
  <c r="I37" i="105"/>
  <c r="AL71" i="105"/>
  <c r="D71" i="105"/>
  <c r="D20" i="105" s="1"/>
  <c r="J20" i="105"/>
  <c r="J88" i="105"/>
  <c r="G37" i="105"/>
  <c r="N951" i="106"/>
  <c r="D950" i="106"/>
  <c r="D917" i="106"/>
  <c r="N897" i="106"/>
  <c r="D896" i="106"/>
  <c r="J897" i="106"/>
  <c r="D897" i="106"/>
  <c r="N844" i="106"/>
  <c r="D843" i="106"/>
  <c r="J844" i="106"/>
  <c r="D844" i="106"/>
  <c r="D810" i="106"/>
  <c r="D827" i="106"/>
  <c r="N791" i="106"/>
  <c r="D790" i="106"/>
  <c r="J791" i="106"/>
  <c r="D791" i="106"/>
  <c r="D757" i="106"/>
  <c r="D774" i="106"/>
  <c r="N737" i="106"/>
  <c r="D736" i="106"/>
  <c r="J737" i="106"/>
  <c r="D737" i="106"/>
  <c r="D703" i="106"/>
  <c r="AM683" i="106"/>
  <c r="N683" i="106"/>
  <c r="AP683" i="106" s="1"/>
  <c r="D682" i="106"/>
  <c r="AP675" i="106"/>
  <c r="N46" i="106"/>
  <c r="D674" i="106"/>
  <c r="J675" i="106"/>
  <c r="AP655" i="106"/>
  <c r="D655" i="106"/>
  <c r="N26" i="106"/>
  <c r="AP652" i="106"/>
  <c r="N23" i="106"/>
  <c r="D652" i="106"/>
  <c r="AP649" i="106"/>
  <c r="D649" i="106"/>
  <c r="D666" i="106" s="1"/>
  <c r="AM666" i="106"/>
  <c r="N666" i="106"/>
  <c r="AP666" i="106" s="1"/>
  <c r="N629" i="106"/>
  <c r="D628" i="106"/>
  <c r="J629" i="106"/>
  <c r="D629" i="106"/>
  <c r="N577" i="106"/>
  <c r="D576" i="106"/>
  <c r="J577" i="106"/>
  <c r="D577" i="106"/>
  <c r="D543" i="106"/>
  <c r="N524" i="106"/>
  <c r="D523" i="106"/>
  <c r="J524" i="106"/>
  <c r="D524" i="106"/>
  <c r="N471" i="106"/>
  <c r="D470" i="106"/>
  <c r="J471" i="106"/>
  <c r="D471" i="106"/>
  <c r="D443" i="106"/>
  <c r="D26" i="106" s="1"/>
  <c r="J26" i="106"/>
  <c r="N418" i="106"/>
  <c r="D417" i="106"/>
  <c r="J418" i="106"/>
  <c r="D418" i="106"/>
  <c r="N367" i="106"/>
  <c r="D366" i="106"/>
  <c r="J367" i="106"/>
  <c r="D367" i="106"/>
  <c r="D358" i="106"/>
  <c r="D45" i="106" s="1"/>
  <c r="J45" i="106"/>
  <c r="J359" i="106"/>
  <c r="G46" i="106"/>
  <c r="D333" i="106"/>
  <c r="D350" i="106"/>
  <c r="N313" i="106"/>
  <c r="D312" i="106"/>
  <c r="J313" i="106"/>
  <c r="D313" i="106"/>
  <c r="D282" i="106"/>
  <c r="D23" i="106" s="1"/>
  <c r="J23" i="106"/>
  <c r="N260" i="106"/>
  <c r="D259" i="106"/>
  <c r="J260" i="106"/>
  <c r="D260" i="106"/>
  <c r="D226" i="106"/>
  <c r="N208" i="106"/>
  <c r="D207" i="106"/>
  <c r="J208" i="106"/>
  <c r="D208" i="106"/>
  <c r="D174" i="106"/>
  <c r="N157" i="106"/>
  <c r="D156" i="106"/>
  <c r="J157" i="106"/>
  <c r="D157" i="106"/>
  <c r="D123" i="106"/>
  <c r="M54" i="106"/>
  <c r="L54" i="106"/>
  <c r="N53" i="106"/>
  <c r="N105" i="106"/>
  <c r="N54" i="106" s="1"/>
  <c r="K54" i="106"/>
  <c r="I54" i="106"/>
  <c r="H54" i="106"/>
  <c r="D104" i="106"/>
  <c r="D53" i="106" s="1"/>
  <c r="J53" i="106"/>
  <c r="J105" i="106"/>
  <c r="G54" i="106"/>
  <c r="F54" i="106"/>
  <c r="D105" i="106"/>
  <c r="E54" i="106"/>
  <c r="M37" i="106"/>
  <c r="L37" i="106"/>
  <c r="AP71" i="106"/>
  <c r="N20" i="106"/>
  <c r="N88" i="106"/>
  <c r="N37" i="106" s="1"/>
  <c r="K37" i="106"/>
  <c r="D71" i="106"/>
  <c r="D20" i="106" s="1"/>
  <c r="J20" i="106"/>
  <c r="G37" i="106"/>
  <c r="J88" i="106"/>
  <c r="I31" i="11"/>
  <c r="J22" i="11"/>
  <c r="F6" i="86"/>
  <c r="E31" i="11"/>
  <c r="E30" i="11"/>
  <c r="E29" i="11"/>
  <c r="E28" i="11"/>
  <c r="E27" i="11"/>
  <c r="E26" i="11"/>
  <c r="E25" i="11"/>
  <c r="E24" i="11"/>
  <c r="E23" i="11"/>
  <c r="E21" i="11"/>
  <c r="E20" i="11"/>
  <c r="E19" i="11"/>
  <c r="E17" i="11"/>
  <c r="E16" i="11"/>
  <c r="E15" i="11"/>
  <c r="E14" i="11"/>
  <c r="E13" i="11"/>
  <c r="E12" i="11"/>
  <c r="E11" i="11"/>
  <c r="E10" i="11"/>
  <c r="J31" i="11"/>
  <c r="K10" i="11"/>
  <c r="M28" i="9"/>
  <c r="M7" i="9"/>
  <c r="M8" i="9"/>
  <c r="M9" i="9"/>
  <c r="M10" i="9"/>
  <c r="M11" i="9"/>
  <c r="M12" i="9"/>
  <c r="M13" i="9"/>
  <c r="M14" i="9"/>
  <c r="M15" i="9"/>
  <c r="M16" i="9"/>
  <c r="M17" i="9"/>
  <c r="M18" i="9"/>
  <c r="H28" i="9"/>
  <c r="H8" i="9"/>
  <c r="H7" i="9"/>
  <c r="H9" i="9"/>
  <c r="H10" i="9"/>
  <c r="H11" i="9"/>
  <c r="H12" i="9"/>
  <c r="H13" i="9"/>
  <c r="H14" i="9"/>
  <c r="H15" i="9"/>
  <c r="H16" i="9"/>
  <c r="H17" i="9"/>
  <c r="H18" i="9"/>
  <c r="G33" i="120"/>
  <c r="H26" i="4"/>
  <c r="H5" i="4"/>
  <c r="H6" i="4"/>
  <c r="H7" i="4"/>
  <c r="H8" i="4"/>
  <c r="H9" i="4"/>
  <c r="H10" i="4"/>
  <c r="H11" i="4"/>
  <c r="H12" i="4"/>
  <c r="H13" i="4"/>
  <c r="H14" i="4"/>
  <c r="H15" i="4"/>
  <c r="H16" i="4"/>
  <c r="H17" i="4"/>
  <c r="H18" i="4"/>
  <c r="H19" i="4"/>
  <c r="H20" i="4"/>
  <c r="H21" i="4"/>
  <c r="H22" i="4"/>
  <c r="H23" i="4"/>
  <c r="H24" i="4"/>
  <c r="H25" i="4"/>
  <c r="D951" i="106"/>
  <c r="R75" i="42"/>
  <c r="S92" i="49"/>
  <c r="L110" i="49"/>
  <c r="L111" i="49" s="1"/>
  <c r="S98" i="49"/>
  <c r="S109" i="49"/>
  <c r="S99" i="49"/>
  <c r="N103" i="49"/>
  <c r="AM10" i="49"/>
  <c r="R73" i="42"/>
  <c r="R25" i="49"/>
  <c r="AP8" i="42"/>
  <c r="R11" i="42"/>
  <c r="AP11" i="42"/>
  <c r="R10" i="42"/>
  <c r="Q23" i="42"/>
  <c r="AE14" i="42" s="1"/>
  <c r="R79" i="42"/>
  <c r="Q83" i="42"/>
  <c r="S105" i="49"/>
  <c r="Q85" i="42"/>
  <c r="R14" i="42"/>
  <c r="L87" i="42"/>
  <c r="S94" i="49"/>
  <c r="E26" i="49"/>
  <c r="AL9" i="49"/>
  <c r="AO7" i="42"/>
  <c r="AO15" i="42"/>
  <c r="AO14" i="42"/>
  <c r="AP19" i="42"/>
  <c r="AO19" i="42"/>
  <c r="D110" i="49"/>
  <c r="G111" i="49" s="1"/>
  <c r="R85" i="42"/>
  <c r="R20" i="49"/>
  <c r="Q86" i="42"/>
  <c r="AF10" i="42" s="1"/>
  <c r="V25" i="58"/>
  <c r="X23" i="58"/>
  <c r="Q78" i="42"/>
  <c r="P9" i="42"/>
  <c r="AP10" i="42"/>
  <c r="S93" i="49"/>
  <c r="R81" i="42"/>
  <c r="R77" i="42"/>
  <c r="N92" i="49"/>
  <c r="R83" i="42"/>
  <c r="N108" i="49"/>
  <c r="S103" i="49"/>
  <c r="S95" i="49"/>
  <c r="AP15" i="42"/>
  <c r="AP7" i="42"/>
  <c r="AM11" i="49"/>
  <c r="P8" i="42"/>
  <c r="R76" i="42"/>
  <c r="P16" i="49"/>
  <c r="P23" i="49"/>
  <c r="P8" i="49"/>
  <c r="R22" i="49"/>
  <c r="P19" i="49"/>
  <c r="S102" i="49"/>
  <c r="R23" i="49"/>
  <c r="N105" i="49"/>
  <c r="S108" i="49"/>
  <c r="R82" i="42"/>
  <c r="R19" i="49"/>
  <c r="N100" i="49"/>
  <c r="N106" i="49"/>
  <c r="AM9" i="49"/>
  <c r="AL12" i="49"/>
  <c r="Q82" i="42"/>
  <c r="R72" i="42"/>
  <c r="AH12" i="49"/>
  <c r="AM12" i="49"/>
  <c r="P22" i="49"/>
  <c r="B30" i="46"/>
  <c r="N94" i="49"/>
  <c r="P7" i="42"/>
  <c r="P18" i="49"/>
  <c r="P13" i="42"/>
  <c r="Q73" i="42"/>
  <c r="N99" i="49"/>
  <c r="P20" i="49"/>
  <c r="Q79" i="42"/>
  <c r="Q81" i="42"/>
  <c r="AO10" i="42"/>
  <c r="S97" i="49"/>
  <c r="Q30" i="49"/>
  <c r="R8" i="49"/>
  <c r="R24" i="49"/>
  <c r="R15" i="49"/>
  <c r="Q27" i="49"/>
  <c r="M110" i="49"/>
  <c r="M111" i="49" s="1"/>
  <c r="R21" i="49"/>
  <c r="R13" i="49"/>
  <c r="R14" i="49"/>
  <c r="R17" i="49"/>
  <c r="R10" i="49"/>
  <c r="R11" i="49"/>
  <c r="R9" i="49"/>
  <c r="T106" i="49"/>
  <c r="S106" i="49"/>
  <c r="S107" i="49"/>
  <c r="N96" i="49"/>
  <c r="S100" i="49"/>
  <c r="AH11" i="49"/>
  <c r="T102" i="49"/>
  <c r="N102" i="49"/>
  <c r="P12" i="42"/>
  <c r="R84" i="42"/>
  <c r="AP14" i="42"/>
  <c r="Q72" i="42"/>
  <c r="R7" i="42"/>
  <c r="V14" i="58"/>
  <c r="X12" i="58"/>
  <c r="S104" i="49"/>
  <c r="F6" i="46"/>
  <c r="F44" i="46"/>
  <c r="P17" i="49"/>
  <c r="P11" i="49"/>
  <c r="P10" i="49"/>
  <c r="P9" i="49"/>
  <c r="O30" i="49"/>
  <c r="P30" i="49" s="1"/>
  <c r="P24" i="49"/>
  <c r="P15" i="49"/>
  <c r="O27" i="49"/>
  <c r="P13" i="49"/>
  <c r="P21" i="49"/>
  <c r="P14" i="49"/>
  <c r="AL13" i="49"/>
  <c r="R16" i="49"/>
  <c r="N104" i="49"/>
  <c r="R12" i="49"/>
  <c r="S101" i="49"/>
  <c r="O23" i="42"/>
  <c r="AD14" i="42" s="1"/>
  <c r="P10" i="42"/>
  <c r="P21" i="42"/>
  <c r="P16" i="42"/>
  <c r="P11" i="42"/>
  <c r="P17" i="42"/>
  <c r="P18" i="42"/>
  <c r="P19" i="42"/>
  <c r="AO8" i="42"/>
  <c r="P20" i="42"/>
  <c r="AL11" i="49"/>
  <c r="N95" i="49"/>
  <c r="R78" i="42"/>
  <c r="Q77" i="42"/>
  <c r="AF7" i="42" s="1"/>
  <c r="K87" i="42"/>
  <c r="K89" i="42" s="1"/>
  <c r="R74" i="42"/>
  <c r="D37" i="102"/>
  <c r="J34" i="102"/>
  <c r="J28" i="102"/>
  <c r="J21" i="102"/>
  <c r="J36" i="102"/>
  <c r="J15" i="102"/>
  <c r="J22" i="102"/>
  <c r="J10" i="102"/>
  <c r="J17" i="102"/>
  <c r="J27" i="102"/>
  <c r="J19" i="102"/>
  <c r="J33" i="102"/>
  <c r="J11" i="102"/>
  <c r="J20" i="102"/>
  <c r="J35" i="102"/>
  <c r="J13" i="102"/>
  <c r="J25" i="102"/>
  <c r="J16" i="102"/>
  <c r="J31" i="102"/>
  <c r="J26" i="102"/>
  <c r="J18" i="102"/>
  <c r="J32" i="102"/>
  <c r="J9" i="102"/>
  <c r="J23" i="102"/>
  <c r="J12" i="102"/>
  <c r="W18" i="49" l="1"/>
  <c r="E6" i="86"/>
  <c r="G6" i="86" s="1"/>
  <c r="C10" i="85"/>
  <c r="K31" i="11"/>
  <c r="K11" i="11"/>
  <c r="K12" i="11"/>
  <c r="K13" i="11"/>
  <c r="K14" i="11"/>
  <c r="K15" i="11"/>
  <c r="K16" i="11"/>
  <c r="K17" i="11"/>
  <c r="K18" i="11"/>
  <c r="K19" i="11"/>
  <c r="K20" i="11"/>
  <c r="K21" i="11"/>
  <c r="K23" i="11"/>
  <c r="K24" i="11"/>
  <c r="K25" i="11"/>
  <c r="K26" i="11"/>
  <c r="K27" i="11"/>
  <c r="K28" i="11"/>
  <c r="K29" i="11"/>
  <c r="K30" i="11"/>
  <c r="C37" i="85"/>
  <c r="K22" i="11"/>
  <c r="J37" i="106"/>
  <c r="D88" i="106"/>
  <c r="D37" i="106" s="1"/>
  <c r="H38" i="120" s="1"/>
  <c r="D359" i="106"/>
  <c r="J46" i="106"/>
  <c r="D675" i="106"/>
  <c r="J683" i="106"/>
  <c r="AL88" i="105"/>
  <c r="J37" i="105"/>
  <c r="D88" i="105"/>
  <c r="AP88" i="105"/>
  <c r="N37" i="105"/>
  <c r="AL105" i="105"/>
  <c r="AP105" i="105"/>
  <c r="N54" i="105"/>
  <c r="D360" i="105"/>
  <c r="J46" i="105"/>
  <c r="AP667" i="105"/>
  <c r="D667" i="105"/>
  <c r="AL676" i="105"/>
  <c r="D676" i="105"/>
  <c r="J684" i="105"/>
  <c r="I29" i="108"/>
  <c r="D76" i="108"/>
  <c r="F96" i="108"/>
  <c r="I93" i="108"/>
  <c r="F46" i="108"/>
  <c r="L96" i="108"/>
  <c r="M93" i="108"/>
  <c r="L46" i="108"/>
  <c r="F144" i="108"/>
  <c r="I144" i="108" s="1"/>
  <c r="I141" i="108"/>
  <c r="L144" i="108"/>
  <c r="M144" i="108" s="1"/>
  <c r="M141" i="108"/>
  <c r="F193" i="108"/>
  <c r="I193" i="108" s="1"/>
  <c r="I190" i="108"/>
  <c r="L193" i="108"/>
  <c r="M193" i="108" s="1"/>
  <c r="M190" i="108"/>
  <c r="E243" i="108"/>
  <c r="AD240" i="108"/>
  <c r="F243" i="108"/>
  <c r="AE240" i="108"/>
  <c r="I240" i="108"/>
  <c r="G243" i="108"/>
  <c r="AF240" i="108"/>
  <c r="G46" i="108"/>
  <c r="H243" i="108"/>
  <c r="AG240" i="108"/>
  <c r="H46" i="108"/>
  <c r="J243" i="108"/>
  <c r="AI240" i="108"/>
  <c r="J46" i="108"/>
  <c r="K243" i="108"/>
  <c r="AJ240" i="108"/>
  <c r="K46" i="108"/>
  <c r="L243" i="108"/>
  <c r="AK240" i="108"/>
  <c r="M240" i="108"/>
  <c r="AL240" i="108" s="1"/>
  <c r="AC217" i="108"/>
  <c r="D25" i="108"/>
  <c r="F291" i="108"/>
  <c r="I291" i="108" s="1"/>
  <c r="I288" i="108"/>
  <c r="L291" i="108"/>
  <c r="M291" i="108" s="1"/>
  <c r="M288" i="108"/>
  <c r="F341" i="108"/>
  <c r="I341" i="108" s="1"/>
  <c r="I338" i="108"/>
  <c r="L341" i="108"/>
  <c r="M341" i="108" s="1"/>
  <c r="M338" i="108"/>
  <c r="F392" i="108"/>
  <c r="I392" i="108" s="1"/>
  <c r="I389" i="108"/>
  <c r="L392" i="108"/>
  <c r="M392" i="108" s="1"/>
  <c r="M389" i="108"/>
  <c r="F440" i="108"/>
  <c r="I440" i="108" s="1"/>
  <c r="I437" i="108"/>
  <c r="L440" i="108"/>
  <c r="M440" i="108" s="1"/>
  <c r="M437" i="108"/>
  <c r="F488" i="108"/>
  <c r="I488" i="108" s="1"/>
  <c r="I485" i="108"/>
  <c r="L488" i="108"/>
  <c r="M488" i="108" s="1"/>
  <c r="M485" i="108"/>
  <c r="F536" i="108"/>
  <c r="I536" i="108" s="1"/>
  <c r="I533" i="108"/>
  <c r="L536" i="108"/>
  <c r="M536" i="108" s="1"/>
  <c r="M533" i="108"/>
  <c r="E584" i="108"/>
  <c r="AD581" i="108"/>
  <c r="F584" i="108"/>
  <c r="AE581" i="108"/>
  <c r="I581" i="108"/>
  <c r="D564" i="108"/>
  <c r="AC564" i="108" s="1"/>
  <c r="AC553" i="108"/>
  <c r="G584" i="108"/>
  <c r="AF584" i="108" s="1"/>
  <c r="AF581" i="108"/>
  <c r="H584" i="108"/>
  <c r="AG584" i="108" s="1"/>
  <c r="AG581" i="108"/>
  <c r="J584" i="108"/>
  <c r="AI584" i="108" s="1"/>
  <c r="AI581" i="108"/>
  <c r="K584" i="108"/>
  <c r="AJ584" i="108" s="1"/>
  <c r="AJ581" i="108"/>
  <c r="L584" i="108"/>
  <c r="AK581" i="108"/>
  <c r="M581" i="108"/>
  <c r="AL581" i="108" s="1"/>
  <c r="F632" i="108"/>
  <c r="I632" i="108" s="1"/>
  <c r="I629" i="108"/>
  <c r="L632" i="108"/>
  <c r="M632" i="108" s="1"/>
  <c r="M629" i="108"/>
  <c r="F681" i="108"/>
  <c r="I681" i="108" s="1"/>
  <c r="I678" i="108"/>
  <c r="L681" i="108"/>
  <c r="M681" i="108" s="1"/>
  <c r="M678" i="108"/>
  <c r="F728" i="108"/>
  <c r="I728" i="108" s="1"/>
  <c r="I725" i="108"/>
  <c r="L728" i="108"/>
  <c r="M728" i="108" s="1"/>
  <c r="M725" i="108"/>
  <c r="F776" i="108"/>
  <c r="I776" i="108" s="1"/>
  <c r="I773" i="108"/>
  <c r="L776" i="108"/>
  <c r="M776" i="108" s="1"/>
  <c r="M773" i="108"/>
  <c r="F824" i="108"/>
  <c r="I824" i="108" s="1"/>
  <c r="I821" i="108"/>
  <c r="L824" i="108"/>
  <c r="M824" i="108" s="1"/>
  <c r="M821" i="108"/>
  <c r="F872" i="108"/>
  <c r="I872" i="108" s="1"/>
  <c r="I869" i="108"/>
  <c r="L872" i="108"/>
  <c r="M872" i="108" s="1"/>
  <c r="M869" i="108"/>
  <c r="E49" i="107"/>
  <c r="I29" i="107"/>
  <c r="D76" i="107"/>
  <c r="D29" i="107" s="1"/>
  <c r="F96" i="107"/>
  <c r="I93" i="107"/>
  <c r="F46" i="107"/>
  <c r="L96" i="107"/>
  <c r="M93" i="107"/>
  <c r="L46" i="107"/>
  <c r="F144" i="107"/>
  <c r="I144" i="107" s="1"/>
  <c r="I141" i="107"/>
  <c r="L144" i="107"/>
  <c r="M144" i="107" s="1"/>
  <c r="M141" i="107"/>
  <c r="F193" i="107"/>
  <c r="I193" i="107" s="1"/>
  <c r="I190" i="107"/>
  <c r="L193" i="107"/>
  <c r="M193" i="107" s="1"/>
  <c r="M190" i="107"/>
  <c r="F243" i="107"/>
  <c r="I243" i="107" s="1"/>
  <c r="I240" i="107"/>
  <c r="L243" i="107"/>
  <c r="M243" i="107" s="1"/>
  <c r="M240" i="107"/>
  <c r="F291" i="107"/>
  <c r="I291" i="107" s="1"/>
  <c r="I288" i="107"/>
  <c r="L291" i="107"/>
  <c r="M291" i="107" s="1"/>
  <c r="M288" i="107"/>
  <c r="F341" i="107"/>
  <c r="I341" i="107" s="1"/>
  <c r="I338" i="107"/>
  <c r="L341" i="107"/>
  <c r="M341" i="107" s="1"/>
  <c r="M338" i="107"/>
  <c r="F394" i="107"/>
  <c r="I394" i="107" s="1"/>
  <c r="I391" i="107"/>
  <c r="L394" i="107"/>
  <c r="M394" i="107" s="1"/>
  <c r="D394" i="107" s="1"/>
  <c r="M391" i="107"/>
  <c r="F442" i="107"/>
  <c r="I442" i="107" s="1"/>
  <c r="I439" i="107"/>
  <c r="L442" i="107"/>
  <c r="M442" i="107" s="1"/>
  <c r="M439" i="107"/>
  <c r="F490" i="107"/>
  <c r="I490" i="107" s="1"/>
  <c r="I487" i="107"/>
  <c r="L490" i="107"/>
  <c r="M490" i="107" s="1"/>
  <c r="M487" i="107"/>
  <c r="F538" i="107"/>
  <c r="I538" i="107" s="1"/>
  <c r="I535" i="107"/>
  <c r="L538" i="107"/>
  <c r="M538" i="107" s="1"/>
  <c r="M535" i="107"/>
  <c r="F586" i="107"/>
  <c r="I586" i="107" s="1"/>
  <c r="I583" i="107"/>
  <c r="L586" i="107"/>
  <c r="M586" i="107" s="1"/>
  <c r="M583" i="107"/>
  <c r="F634" i="107"/>
  <c r="I634" i="107" s="1"/>
  <c r="I631" i="107"/>
  <c r="L634" i="107"/>
  <c r="M634" i="107" s="1"/>
  <c r="M631" i="107"/>
  <c r="F683" i="107"/>
  <c r="I683" i="107" s="1"/>
  <c r="I680" i="107"/>
  <c r="L683" i="107"/>
  <c r="M683" i="107" s="1"/>
  <c r="M680" i="107"/>
  <c r="F730" i="107"/>
  <c r="I730" i="107" s="1"/>
  <c r="I727" i="107"/>
  <c r="L730" i="107"/>
  <c r="M730" i="107" s="1"/>
  <c r="M727" i="107"/>
  <c r="F778" i="107"/>
  <c r="I778" i="107" s="1"/>
  <c r="I775" i="107"/>
  <c r="L778" i="107"/>
  <c r="M778" i="107" s="1"/>
  <c r="M775" i="107"/>
  <c r="F826" i="107"/>
  <c r="I826" i="107" s="1"/>
  <c r="I823" i="107"/>
  <c r="L826" i="107"/>
  <c r="M826" i="107" s="1"/>
  <c r="M823" i="107"/>
  <c r="I150" i="143"/>
  <c r="J36" i="143" s="1"/>
  <c r="J34" i="143"/>
  <c r="C26" i="46"/>
  <c r="D26" i="46" s="1"/>
  <c r="D6" i="46"/>
  <c r="C95" i="50"/>
  <c r="C97" i="50" s="1"/>
  <c r="H86" i="50"/>
  <c r="H95" i="50" s="1"/>
  <c r="H119" i="50"/>
  <c r="H128" i="50" s="1"/>
  <c r="H130" i="50" s="1"/>
  <c r="H132" i="50" s="1"/>
  <c r="H105" i="50"/>
  <c r="H152" i="50"/>
  <c r="H161" i="50" s="1"/>
  <c r="H163" i="50" s="1"/>
  <c r="H165" i="50" s="1"/>
  <c r="H138" i="50"/>
  <c r="C218" i="50"/>
  <c r="C227" i="50" s="1"/>
  <c r="C229" i="50" s="1"/>
  <c r="C231" i="50" s="1"/>
  <c r="H212" i="50"/>
  <c r="C260" i="50"/>
  <c r="H251" i="50"/>
  <c r="C293" i="50"/>
  <c r="H284" i="50"/>
  <c r="C326" i="50"/>
  <c r="C328" i="50" s="1"/>
  <c r="C330" i="50" s="1"/>
  <c r="H317" i="50"/>
  <c r="H326" i="50" s="1"/>
  <c r="H328" i="50" s="1"/>
  <c r="H330" i="50" s="1"/>
  <c r="C359" i="50"/>
  <c r="C361" i="50" s="1"/>
  <c r="C363" i="50" s="1"/>
  <c r="H350" i="50"/>
  <c r="H359" i="50" s="1"/>
  <c r="H361" i="50" s="1"/>
  <c r="H363" i="50" s="1"/>
  <c r="C392" i="50"/>
  <c r="H383" i="50"/>
  <c r="C425" i="50"/>
  <c r="H416" i="50"/>
  <c r="C449" i="50"/>
  <c r="H443" i="50"/>
  <c r="H435" i="50" s="1"/>
  <c r="C491" i="50"/>
  <c r="H482" i="50"/>
  <c r="C524" i="50"/>
  <c r="H515" i="50"/>
  <c r="C557" i="50"/>
  <c r="C559" i="50" s="1"/>
  <c r="C561" i="50" s="1"/>
  <c r="H548" i="50"/>
  <c r="H557" i="50" s="1"/>
  <c r="H559" i="50" s="1"/>
  <c r="H561" i="50" s="1"/>
  <c r="C590" i="50"/>
  <c r="C592" i="50" s="1"/>
  <c r="C594" i="50" s="1"/>
  <c r="H581" i="50"/>
  <c r="H590" i="50" s="1"/>
  <c r="H592" i="50" s="1"/>
  <c r="H594" i="50" s="1"/>
  <c r="C39" i="85"/>
  <c r="C63" i="85"/>
  <c r="C53" i="57"/>
  <c r="C35" i="57"/>
  <c r="K5" i="59"/>
  <c r="K6" i="59"/>
  <c r="K7" i="59"/>
  <c r="K8" i="59"/>
  <c r="K9" i="59"/>
  <c r="B70" i="85"/>
  <c r="B23" i="85"/>
  <c r="S8" i="74"/>
  <c r="H8" i="74"/>
  <c r="H9" i="74"/>
  <c r="H10" i="74"/>
  <c r="H11" i="74"/>
  <c r="H12" i="74"/>
  <c r="H13" i="74"/>
  <c r="H14" i="74"/>
  <c r="H15" i="74"/>
  <c r="H16" i="74"/>
  <c r="H17" i="74"/>
  <c r="H18" i="74"/>
  <c r="H19" i="74"/>
  <c r="H20" i="74"/>
  <c r="H21" i="74"/>
  <c r="H22" i="74"/>
  <c r="H23" i="74"/>
  <c r="H24" i="74"/>
  <c r="H25" i="74"/>
  <c r="H26" i="74"/>
  <c r="H27" i="74"/>
  <c r="C11" i="85"/>
  <c r="N28" i="74"/>
  <c r="T8" i="74"/>
  <c r="M8" i="74"/>
  <c r="M9" i="74"/>
  <c r="M10" i="74"/>
  <c r="M11" i="74"/>
  <c r="M12" i="74"/>
  <c r="M13" i="74"/>
  <c r="M14" i="74"/>
  <c r="M15" i="74"/>
  <c r="M16" i="74"/>
  <c r="M17" i="74"/>
  <c r="M18" i="74"/>
  <c r="M19" i="74"/>
  <c r="M20" i="74"/>
  <c r="M21" i="74"/>
  <c r="M22" i="74"/>
  <c r="M23" i="74"/>
  <c r="M24" i="74"/>
  <c r="M25" i="74"/>
  <c r="M26" i="74"/>
  <c r="M27" i="74"/>
  <c r="X20" i="42"/>
  <c r="AP12" i="42"/>
  <c r="L89" i="42"/>
  <c r="T95" i="49"/>
  <c r="T105" i="49"/>
  <c r="T109" i="49"/>
  <c r="P26" i="49"/>
  <c r="W19" i="49"/>
  <c r="X19" i="49" s="1"/>
  <c r="X18" i="49"/>
  <c r="T101" i="49"/>
  <c r="T103" i="49"/>
  <c r="AO12" i="42"/>
  <c r="R22" i="42"/>
  <c r="T93" i="49"/>
  <c r="T108" i="49"/>
  <c r="AL14" i="49"/>
  <c r="P22" i="42"/>
  <c r="T98" i="49"/>
  <c r="R26" i="49"/>
  <c r="R30" i="49"/>
  <c r="T94" i="49"/>
  <c r="T107" i="49"/>
  <c r="T92" i="49"/>
  <c r="T97" i="49"/>
  <c r="T100" i="49"/>
  <c r="AM14" i="49"/>
  <c r="T104" i="49"/>
  <c r="F26" i="46"/>
  <c r="G26" i="46" s="1"/>
  <c r="G6" i="46"/>
  <c r="T99" i="49"/>
  <c r="T96" i="49"/>
  <c r="J37" i="102"/>
  <c r="T9" i="74" l="1"/>
  <c r="T10" i="74"/>
  <c r="S10" i="74"/>
  <c r="S9" i="74"/>
  <c r="B68" i="85"/>
  <c r="B67" i="85"/>
  <c r="C526" i="50"/>
  <c r="H524" i="50"/>
  <c r="C493" i="50"/>
  <c r="H491" i="50"/>
  <c r="C458" i="50"/>
  <c r="H449" i="50"/>
  <c r="C427" i="50"/>
  <c r="H425" i="50"/>
  <c r="C394" i="50"/>
  <c r="H392" i="50"/>
  <c r="C295" i="50"/>
  <c r="H293" i="50"/>
  <c r="C262" i="50"/>
  <c r="H260" i="50"/>
  <c r="H218" i="50"/>
  <c r="H227" i="50" s="1"/>
  <c r="H229" i="50" s="1"/>
  <c r="H231" i="50" s="1"/>
  <c r="H204" i="50"/>
  <c r="C99" i="50"/>
  <c r="H97" i="50"/>
  <c r="H99" i="50" s="1"/>
  <c r="D823" i="107"/>
  <c r="D826" i="107"/>
  <c r="D775" i="107"/>
  <c r="D778" i="107"/>
  <c r="D727" i="107"/>
  <c r="D730" i="107"/>
  <c r="D680" i="107"/>
  <c r="D683" i="107"/>
  <c r="D631" i="107"/>
  <c r="D634" i="107"/>
  <c r="D583" i="107"/>
  <c r="D586" i="107"/>
  <c r="D535" i="107"/>
  <c r="D538" i="107"/>
  <c r="D487" i="107"/>
  <c r="D490" i="107"/>
  <c r="D439" i="107"/>
  <c r="D442" i="107"/>
  <c r="D391" i="107"/>
  <c r="D338" i="107"/>
  <c r="D341" i="107"/>
  <c r="D288" i="107"/>
  <c r="D291" i="107"/>
  <c r="D240" i="107"/>
  <c r="D243" i="107"/>
  <c r="D190" i="107"/>
  <c r="D193" i="107"/>
  <c r="D141" i="107"/>
  <c r="D144" i="107"/>
  <c r="M46" i="107"/>
  <c r="M96" i="107"/>
  <c r="M49" i="107" s="1"/>
  <c r="L49" i="107"/>
  <c r="I46" i="107"/>
  <c r="D93" i="107"/>
  <c r="I96" i="107"/>
  <c r="F49" i="107"/>
  <c r="D869" i="108"/>
  <c r="D872" i="108"/>
  <c r="D821" i="108"/>
  <c r="D824" i="108"/>
  <c r="D773" i="108"/>
  <c r="D776" i="108"/>
  <c r="D725" i="108"/>
  <c r="D728" i="108"/>
  <c r="D678" i="108"/>
  <c r="D681" i="108"/>
  <c r="D629" i="108"/>
  <c r="D632" i="108"/>
  <c r="AK584" i="108"/>
  <c r="M584" i="108"/>
  <c r="AL584" i="108" s="1"/>
  <c r="AH581" i="108"/>
  <c r="D581" i="108"/>
  <c r="AC581" i="108" s="1"/>
  <c r="AE584" i="108"/>
  <c r="I584" i="108"/>
  <c r="AH584" i="108" s="1"/>
  <c r="AD584" i="108"/>
  <c r="D584" i="108"/>
  <c r="AC584" i="108" s="1"/>
  <c r="D533" i="108"/>
  <c r="D536" i="108"/>
  <c r="D485" i="108"/>
  <c r="D488" i="108"/>
  <c r="D437" i="108"/>
  <c r="D440" i="108"/>
  <c r="D389" i="108"/>
  <c r="D392" i="108"/>
  <c r="D338" i="108"/>
  <c r="D341" i="108"/>
  <c r="D288" i="108"/>
  <c r="D291" i="108"/>
  <c r="AK243" i="108"/>
  <c r="M243" i="108"/>
  <c r="AL243" i="108" s="1"/>
  <c r="AJ243" i="108"/>
  <c r="K49" i="108"/>
  <c r="AI243" i="108"/>
  <c r="J49" i="108"/>
  <c r="AG243" i="108"/>
  <c r="H49" i="108"/>
  <c r="AF243" i="108"/>
  <c r="G49" i="108"/>
  <c r="AH240" i="108"/>
  <c r="D240" i="108"/>
  <c r="AC240" i="108" s="1"/>
  <c r="AE243" i="108"/>
  <c r="I243" i="108"/>
  <c r="AH243" i="108" s="1"/>
  <c r="AD243" i="108"/>
  <c r="D243" i="108"/>
  <c r="AC243" i="108" s="1"/>
  <c r="E49" i="108"/>
  <c r="D190" i="108"/>
  <c r="D193" i="108"/>
  <c r="D141" i="108"/>
  <c r="D144" i="108"/>
  <c r="M46" i="108"/>
  <c r="M96" i="108"/>
  <c r="M49" i="108" s="1"/>
  <c r="L49" i="108"/>
  <c r="I46" i="108"/>
  <c r="D93" i="108"/>
  <c r="D46" i="108" s="1"/>
  <c r="I96" i="108"/>
  <c r="F49" i="108"/>
  <c r="D29" i="108"/>
  <c r="AL684" i="105"/>
  <c r="D684" i="105"/>
  <c r="D54" i="105" s="1"/>
  <c r="J54" i="105"/>
  <c r="D46" i="105"/>
  <c r="D37" i="105"/>
  <c r="C38" i="120" s="1"/>
  <c r="D683" i="106"/>
  <c r="D54" i="106" s="1"/>
  <c r="J54" i="106"/>
  <c r="D46" i="106"/>
  <c r="F37" i="85"/>
  <c r="C35" i="85"/>
  <c r="C14" i="85"/>
  <c r="C13" i="85" s="1"/>
  <c r="C9" i="85"/>
  <c r="X21" i="42"/>
  <c r="Y21" i="42" s="1"/>
  <c r="Y20" i="42"/>
  <c r="I49" i="108" l="1"/>
  <c r="D96" i="108"/>
  <c r="D49" i="108" s="1"/>
  <c r="I49" i="107"/>
  <c r="D96" i="107"/>
  <c r="D49" i="107" s="1"/>
  <c r="D46" i="107"/>
  <c r="C264" i="50"/>
  <c r="H264" i="50" s="1"/>
  <c r="H262" i="50"/>
  <c r="C297" i="50"/>
  <c r="H297" i="50" s="1"/>
  <c r="H295" i="50"/>
  <c r="C396" i="50"/>
  <c r="H396" i="50" s="1"/>
  <c r="H394" i="50"/>
  <c r="C429" i="50"/>
  <c r="H429" i="50" s="1"/>
  <c r="H427" i="50"/>
  <c r="C460" i="50"/>
  <c r="H458" i="50"/>
  <c r="C495" i="50"/>
  <c r="H495" i="50" s="1"/>
  <c r="H493" i="50"/>
  <c r="C528" i="50"/>
  <c r="H526" i="50"/>
  <c r="H528" i="50" s="1"/>
  <c r="C462" i="50" l="1"/>
  <c r="H462" i="50" s="1"/>
  <c r="H460" i="5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thilini</author>
  </authors>
  <commentList>
    <comment ref="D13" authorId="0" shapeId="0" xr:uid="{00000000-0006-0000-0400-000001000000}">
      <text>
        <r>
          <rPr>
            <b/>
            <i/>
            <sz val="9"/>
            <color indexed="81"/>
            <rFont val="Tahoma"/>
            <family val="2"/>
          </rPr>
          <t>thilini:</t>
        </r>
        <r>
          <rPr>
            <sz val="9"/>
            <color indexed="81"/>
            <rFont val="Tahoma"/>
            <family val="2"/>
          </rPr>
          <t xml:space="preserve">
10,041,212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Sachithra Ranatunga</author>
  </authors>
  <commentList>
    <comment ref="J400" authorId="0" shapeId="0" xr:uid="{00000000-0006-0000-1600-000001000000}">
      <text>
        <r>
          <rPr>
            <b/>
            <sz val="9"/>
            <color indexed="81"/>
            <rFont val="Tahoma"/>
            <family val="2"/>
          </rPr>
          <t>Sachithra Ranatunga:</t>
        </r>
        <r>
          <rPr>
            <sz val="9"/>
            <color indexed="81"/>
            <rFont val="Tahoma"/>
            <family val="2"/>
          </rPr>
          <t xml:space="preserve">
Direct gen+SRCC</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Intern</author>
  </authors>
  <commentList>
    <comment ref="H6" authorId="0" shapeId="0" xr:uid="{00000000-0006-0000-1700-000001000000}">
      <text>
        <r>
          <rPr>
            <sz val="9"/>
            <color indexed="81"/>
            <rFont val="Tahoma"/>
            <family val="2"/>
          </rPr>
          <t xml:space="preserve">
We  added WCI amount to the miscellaneous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hasini</author>
  </authors>
  <commentList>
    <comment ref="C92" authorId="0" shapeId="0" xr:uid="{00000000-0006-0000-2600-000001000000}">
      <text>
        <r>
          <rPr>
            <b/>
            <i/>
            <sz val="9"/>
            <color indexed="81"/>
            <rFont val="Tahoma"/>
            <family val="2"/>
          </rPr>
          <t>hasini:</t>
        </r>
        <r>
          <rPr>
            <i/>
            <sz val="9"/>
            <color indexed="81"/>
            <rFont val="Tahoma"/>
            <family val="2"/>
          </rPr>
          <t xml:space="preserve">
AIG; since closed during the year no branches available
</t>
        </r>
      </text>
    </comment>
    <comment ref="K198" authorId="0" shapeId="0" xr:uid="{00000000-0006-0000-2600-000002000000}">
      <text>
        <r>
          <rPr>
            <b/>
            <i/>
            <sz val="9"/>
            <color indexed="81"/>
            <rFont val="Tahoma"/>
            <family val="2"/>
          </rPr>
          <t>hasini:</t>
        </r>
        <r>
          <rPr>
            <i/>
            <sz val="9"/>
            <color indexed="81"/>
            <rFont val="Tahoma"/>
            <family val="2"/>
          </rPr>
          <t xml:space="preserve">
Added to composite colomn, while consolidating figures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thilini</author>
    <author>shanika</author>
  </authors>
  <commentList>
    <comment ref="H60" authorId="0" shapeId="0" xr:uid="{00000000-0006-0000-2D00-000001000000}">
      <text>
        <r>
          <rPr>
            <b/>
            <i/>
            <sz val="9"/>
            <color indexed="81"/>
            <rFont val="Tahoma"/>
            <family val="2"/>
          </rPr>
          <t>thilini:</t>
        </r>
        <r>
          <rPr>
            <sz val="9"/>
            <color indexed="81"/>
            <rFont val="Tahoma"/>
            <family val="2"/>
          </rPr>
          <t xml:space="preserve">
Value taken to below Amortization...
</t>
        </r>
      </text>
    </comment>
    <comment ref="H61" authorId="0" shapeId="0" xr:uid="{00000000-0006-0000-2D00-000002000000}">
      <text>
        <r>
          <rPr>
            <b/>
            <i/>
            <sz val="9"/>
            <color indexed="81"/>
            <rFont val="Tahoma"/>
            <family val="2"/>
          </rPr>
          <t>thilini:</t>
        </r>
        <r>
          <rPr>
            <sz val="9"/>
            <color indexed="81"/>
            <rFont val="Tahoma"/>
            <family val="2"/>
          </rPr>
          <t xml:space="preserve">
Should go to up
</t>
        </r>
      </text>
    </comment>
    <comment ref="C340" authorId="1" shapeId="0" xr:uid="{00000000-0006-0000-2D00-000003000000}">
      <text>
        <r>
          <rPr>
            <b/>
            <i/>
            <sz val="9"/>
            <color indexed="81"/>
            <rFont val="Tahoma"/>
            <family val="2"/>
          </rPr>
          <t>Comapany sheet saya 135,172</t>
        </r>
        <r>
          <rPr>
            <sz val="9"/>
            <color indexed="81"/>
            <rFont val="Tahoma"/>
            <family val="2"/>
          </rPr>
          <t xml:space="preserve">
</t>
        </r>
      </text>
    </comment>
    <comment ref="D340" authorId="1" shapeId="0" xr:uid="{00000000-0006-0000-2D00-000004000000}">
      <text>
        <r>
          <rPr>
            <b/>
            <i/>
            <sz val="9"/>
            <color indexed="81"/>
            <rFont val="Tahoma"/>
            <family val="2"/>
          </rPr>
          <t>Company figure is 4,190</t>
        </r>
        <r>
          <rPr>
            <sz val="9"/>
            <color indexed="81"/>
            <rFont val="Tahoma"/>
            <family val="2"/>
          </rPr>
          <t xml:space="preserve">
</t>
        </r>
      </text>
    </comment>
    <comment ref="G340" authorId="1" shapeId="0" xr:uid="{00000000-0006-0000-2D00-000005000000}">
      <text>
        <r>
          <rPr>
            <b/>
            <i/>
            <sz val="9"/>
            <color indexed="81"/>
            <rFont val="Tahoma"/>
            <family val="2"/>
          </rPr>
          <t>Company figure is 30,840</t>
        </r>
        <r>
          <rPr>
            <sz val="9"/>
            <color indexed="81"/>
            <rFont val="Tahoma"/>
            <family val="2"/>
          </rPr>
          <t xml:space="preserve">
</t>
        </r>
      </text>
    </comment>
    <comment ref="C341" authorId="1" shapeId="0" xr:uid="{00000000-0006-0000-2D00-000006000000}">
      <text>
        <r>
          <rPr>
            <b/>
            <i/>
            <sz val="9"/>
            <color indexed="81"/>
            <rFont val="Tahoma"/>
            <family val="2"/>
          </rPr>
          <t>Company figure is 283,553</t>
        </r>
        <r>
          <rPr>
            <sz val="9"/>
            <color indexed="81"/>
            <rFont val="Tahoma"/>
            <family val="2"/>
          </rPr>
          <t xml:space="preserve">
</t>
        </r>
      </text>
    </comment>
    <comment ref="D341" authorId="1" shapeId="0" xr:uid="{00000000-0006-0000-2D00-000007000000}">
      <text>
        <r>
          <rPr>
            <b/>
            <i/>
            <sz val="9"/>
            <color indexed="81"/>
            <rFont val="Tahoma"/>
            <family val="2"/>
          </rPr>
          <t>Company figure is 56,477</t>
        </r>
        <r>
          <rPr>
            <sz val="9"/>
            <color indexed="81"/>
            <rFont val="Tahoma"/>
            <family val="2"/>
          </rPr>
          <t xml:space="preserve">
</t>
        </r>
      </text>
    </comment>
    <comment ref="G341" authorId="1" shapeId="0" xr:uid="{00000000-0006-0000-2D00-000008000000}">
      <text>
        <r>
          <rPr>
            <b/>
            <i/>
            <sz val="9"/>
            <color indexed="81"/>
            <rFont val="Tahoma"/>
            <family val="2"/>
          </rPr>
          <t>Company figure is 100,966</t>
        </r>
        <r>
          <rPr>
            <sz val="9"/>
            <color indexed="81"/>
            <rFont val="Tahoma"/>
            <family val="2"/>
          </rPr>
          <t xml:space="preserve">
</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thilini</author>
    <author>shanika</author>
  </authors>
  <commentList>
    <comment ref="C27" authorId="0" shapeId="0" xr:uid="{00000000-0006-0000-3700-000001000000}">
      <text>
        <r>
          <rPr>
            <b/>
            <i/>
            <sz val="9"/>
            <color indexed="81"/>
            <rFont val="Tahoma"/>
            <family val="2"/>
          </rPr>
          <t>thilini:</t>
        </r>
        <r>
          <rPr>
            <sz val="9"/>
            <color indexed="81"/>
            <rFont val="Tahoma"/>
            <family val="2"/>
          </rPr>
          <t xml:space="preserve">
Other liabilities missing
</t>
        </r>
      </text>
    </comment>
    <comment ref="C94" authorId="1" shapeId="0" xr:uid="{00000000-0006-0000-3700-000002000000}">
      <text>
        <r>
          <rPr>
            <b/>
            <i/>
            <sz val="9"/>
            <color indexed="81"/>
            <rFont val="Tahoma"/>
            <family val="2"/>
          </rPr>
          <t>these figures are not tally with company figures in sheet 2,No.9</t>
        </r>
        <r>
          <rPr>
            <sz val="9"/>
            <color indexed="81"/>
            <rFont val="Tahoma"/>
            <family val="2"/>
          </rPr>
          <t xml:space="preserve">
</t>
        </r>
      </text>
    </comment>
    <comment ref="C96" authorId="1" shapeId="0" xr:uid="{00000000-0006-0000-3700-000003000000}">
      <text>
        <r>
          <rPr>
            <b/>
            <i/>
            <sz val="9"/>
            <color indexed="81"/>
            <rFont val="Tahoma"/>
            <family val="2"/>
          </rPr>
          <t>thses data are not available in the company sheet2,No.9</t>
        </r>
        <r>
          <rPr>
            <sz val="9"/>
            <color indexed="81"/>
            <rFont val="Tahoma"/>
            <family val="2"/>
          </rPr>
          <t xml:space="preserve">
</t>
        </r>
      </text>
    </comment>
    <comment ref="E96" authorId="1" shapeId="0" xr:uid="{00000000-0006-0000-3700-000004000000}">
      <text>
        <r>
          <rPr>
            <b/>
            <i/>
            <sz val="9"/>
            <color indexed="81"/>
            <rFont val="Tahoma"/>
            <family val="2"/>
          </rPr>
          <t>Data not available in company (sheet 2, No.9)</t>
        </r>
        <r>
          <rPr>
            <sz val="9"/>
            <color indexed="81"/>
            <rFont val="Tahoma"/>
            <family val="2"/>
          </rPr>
          <t xml:space="preserve">
</t>
        </r>
      </text>
    </comment>
    <comment ref="C98" authorId="1" shapeId="0" xr:uid="{00000000-0006-0000-3700-000005000000}">
      <text>
        <r>
          <rPr>
            <b/>
            <i/>
            <sz val="9"/>
            <color indexed="81"/>
            <rFont val="Tahoma"/>
            <family val="2"/>
          </rPr>
          <t xml:space="preserve">these figures are not tally with company figures in sheet 2,No.9 </t>
        </r>
        <r>
          <rPr>
            <sz val="9"/>
            <color indexed="81"/>
            <rFont val="Tahoma"/>
            <family val="2"/>
          </rPr>
          <t xml:space="preserve">
</t>
        </r>
      </text>
    </comment>
    <comment ref="G115" authorId="1" shapeId="0" xr:uid="{00000000-0006-0000-3700-000006000000}">
      <text>
        <r>
          <rPr>
            <b/>
            <i/>
            <sz val="9"/>
            <color indexed="81"/>
            <rFont val="Tahoma"/>
            <family val="2"/>
          </rPr>
          <t>As per company this should be 1177,882</t>
        </r>
        <r>
          <rPr>
            <sz val="9"/>
            <color indexed="81"/>
            <rFont val="Tahoma"/>
            <family val="2"/>
          </rPr>
          <t xml:space="preserve">
</t>
        </r>
      </text>
    </comment>
    <comment ref="G116" authorId="1" shapeId="0" xr:uid="{00000000-0006-0000-3700-000007000000}">
      <text>
        <r>
          <rPr>
            <b/>
            <i/>
            <sz val="9"/>
            <color indexed="81"/>
            <rFont val="Tahoma"/>
            <family val="2"/>
          </rPr>
          <t>As per company this  should be 890,463</t>
        </r>
        <r>
          <rPr>
            <sz val="9"/>
            <color indexed="81"/>
            <rFont val="Tahoma"/>
            <family val="2"/>
          </rPr>
          <t xml:space="preserve">
</t>
        </r>
      </text>
    </comment>
    <comment ref="G118" authorId="1" shapeId="0" xr:uid="{00000000-0006-0000-3700-000008000000}">
      <text>
        <r>
          <rPr>
            <b/>
            <i/>
            <sz val="9"/>
            <color indexed="81"/>
            <rFont val="Tahoma"/>
            <family val="2"/>
          </rPr>
          <t>As per company this should be 288,492</t>
        </r>
        <r>
          <rPr>
            <sz val="9"/>
            <color indexed="81"/>
            <rFont val="Tahoma"/>
            <family val="2"/>
          </rPr>
          <t xml:space="preserve">
</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kapila</author>
  </authors>
  <commentList>
    <comment ref="E4" authorId="0" shapeId="0" xr:uid="{00000000-0006-0000-4100-000001000000}">
      <text>
        <r>
          <rPr>
            <b/>
            <sz val="9"/>
            <color indexed="81"/>
            <rFont val="Tahoma"/>
            <family val="2"/>
          </rPr>
          <t>kapila:</t>
        </r>
        <r>
          <rPr>
            <b/>
            <i/>
            <sz val="9"/>
            <color indexed="81"/>
            <rFont val="Tahoma"/>
            <family val="2"/>
          </rPr>
          <t xml:space="preserve">
</t>
        </r>
        <r>
          <rPr>
            <i/>
            <sz val="9"/>
            <color indexed="81"/>
            <rFont val="Tahoma"/>
            <family val="2"/>
          </rPr>
          <t>Obtained from RMV</t>
        </r>
      </text>
    </comment>
    <comment ref="F4" authorId="0" shapeId="0" xr:uid="{00000000-0006-0000-4100-000002000000}">
      <text>
        <r>
          <rPr>
            <b/>
            <sz val="9"/>
            <color indexed="81"/>
            <rFont val="Tahoma"/>
            <family val="2"/>
          </rPr>
          <t>kapila:</t>
        </r>
        <r>
          <rPr>
            <b/>
            <i/>
            <sz val="9"/>
            <color indexed="81"/>
            <rFont val="Tahoma"/>
            <family val="2"/>
          </rPr>
          <t xml:space="preserve">
</t>
        </r>
        <r>
          <rPr>
            <i/>
            <sz val="9"/>
            <color indexed="81"/>
            <rFont val="Tahoma"/>
            <family val="2"/>
          </rPr>
          <t>Obtained from RMV</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shanika</author>
  </authors>
  <commentList>
    <comment ref="I86" authorId="0" shapeId="0" xr:uid="{00000000-0006-0000-4900-000001000000}">
      <text>
        <r>
          <rPr>
            <b/>
            <i/>
            <sz val="9"/>
            <color indexed="81"/>
            <rFont val="Tahoma"/>
            <family val="2"/>
          </rPr>
          <t>Maturity benefits are not mentioned in the company data.</t>
        </r>
        <r>
          <rPr>
            <sz val="9"/>
            <color indexed="81"/>
            <rFont val="Tahoma"/>
            <family val="2"/>
          </rPr>
          <t xml:space="preserve">
</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shanika</author>
  </authors>
  <commentList>
    <comment ref="G87" authorId="0" shapeId="0" xr:uid="{00000000-0006-0000-4A00-000001000000}">
      <text>
        <r>
          <rPr>
            <b/>
            <i/>
            <sz val="9"/>
            <color indexed="81"/>
            <rFont val="Tahoma"/>
            <family val="2"/>
          </rPr>
          <t xml:space="preserve">This shuld be 344 as per compay data.
</t>
        </r>
      </text>
    </comment>
    <comment ref="H87" authorId="0" shapeId="0" xr:uid="{00000000-0006-0000-4A00-000002000000}">
      <text>
        <r>
          <rPr>
            <b/>
            <i/>
            <sz val="9"/>
            <color indexed="81"/>
            <rFont val="Tahoma"/>
            <family val="2"/>
          </rPr>
          <t>As per company data this is 329</t>
        </r>
        <r>
          <rPr>
            <sz val="9"/>
            <color indexed="81"/>
            <rFont val="Tahoma"/>
            <family val="2"/>
          </rPr>
          <t xml:space="preserve">
</t>
        </r>
      </text>
    </comment>
    <comment ref="G90" authorId="0" shapeId="0" xr:uid="{00000000-0006-0000-4A00-000003000000}">
      <text>
        <r>
          <rPr>
            <b/>
            <i/>
            <sz val="9"/>
            <color indexed="81"/>
            <rFont val="Tahoma"/>
            <family val="2"/>
          </rPr>
          <t>As per company data this is 7,140</t>
        </r>
        <r>
          <rPr>
            <sz val="9"/>
            <color indexed="81"/>
            <rFont val="Tahoma"/>
            <family val="2"/>
          </rPr>
          <t xml:space="preserve">
</t>
        </r>
      </text>
    </comment>
    <comment ref="H90" authorId="0" shapeId="0" xr:uid="{00000000-0006-0000-4A00-000004000000}">
      <text>
        <r>
          <rPr>
            <b/>
            <i/>
            <sz val="9"/>
            <color indexed="81"/>
            <rFont val="Tahoma"/>
            <family val="2"/>
          </rPr>
          <t>As per company data this is 9,939</t>
        </r>
        <r>
          <rPr>
            <sz val="9"/>
            <color indexed="81"/>
            <rFont val="Tahoma"/>
            <family val="2"/>
          </rPr>
          <t xml:space="preserve">
</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kapila</author>
  </authors>
  <commentList>
    <comment ref="B46" authorId="0" shapeId="0" xr:uid="{00000000-0006-0000-5000-000001000000}">
      <text>
        <r>
          <rPr>
            <b/>
            <sz val="9"/>
            <color indexed="81"/>
            <rFont val="Tahoma"/>
            <family val="2"/>
          </rPr>
          <t>kapila:</t>
        </r>
        <r>
          <rPr>
            <b/>
            <i/>
            <sz val="9"/>
            <color indexed="81"/>
            <rFont val="Tahoma"/>
            <family val="2"/>
          </rPr>
          <t xml:space="preserve">
Revised with total operating expenses</t>
        </r>
      </text>
    </comment>
    <comment ref="C46" authorId="0" shapeId="0" xr:uid="{00000000-0006-0000-5000-000002000000}">
      <text>
        <r>
          <rPr>
            <b/>
            <sz val="9"/>
            <color indexed="81"/>
            <rFont val="Tahoma"/>
            <family val="2"/>
          </rPr>
          <t>kapila:</t>
        </r>
        <r>
          <rPr>
            <b/>
            <i/>
            <sz val="9"/>
            <color indexed="81"/>
            <rFont val="Tahoma"/>
            <family val="2"/>
          </rPr>
          <t xml:space="preserve">
Revised with total operating expenses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Ravindu Hansaka</author>
  </authors>
  <commentList>
    <comment ref="E23" authorId="0" shapeId="0" xr:uid="{00000000-0006-0000-0A00-000001000000}">
      <text>
        <r>
          <rPr>
            <sz val="11"/>
            <color theme="1"/>
            <rFont val="Calibri"/>
            <family val="2"/>
            <scheme val="minor"/>
          </rPr>
          <t xml:space="preserve">Ravindu Hansaka:
Include NIC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shanika</author>
  </authors>
  <commentList>
    <comment ref="G28" authorId="0" shapeId="0" xr:uid="{00000000-0006-0000-0B00-000001000000}">
      <text>
        <r>
          <rPr>
            <b/>
            <i/>
            <sz val="9"/>
            <color indexed="81"/>
            <rFont val="Tahoma"/>
            <family val="2"/>
          </rPr>
          <t>This is not purely CR and this is Life policy holder fund.</t>
        </r>
        <r>
          <rPr>
            <sz val="9"/>
            <color indexed="81"/>
            <rFont val="Tahoma"/>
            <family val="2"/>
          </rPr>
          <t xml:space="preserve">
</t>
        </r>
      </text>
    </comment>
    <comment ref="G29" authorId="0" shapeId="0" xr:uid="{00000000-0006-0000-0B00-000002000000}">
      <text>
        <r>
          <rPr>
            <sz val="9"/>
            <color indexed="81"/>
            <rFont val="Tahoma"/>
            <family val="2"/>
          </rPr>
          <t xml:space="preserve">Total balance of CR includes Life Policyholder Fund of (396,670)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Shashika Naotunna</author>
  </authors>
  <commentList>
    <comment ref="C16" authorId="0" shapeId="0" xr:uid="{00000000-0006-0000-0D00-000001000000}">
      <text>
        <r>
          <rPr>
            <b/>
            <sz val="9"/>
            <color indexed="81"/>
            <rFont val="Tahoma"/>
            <family val="2"/>
          </rPr>
          <t>Shashika Naotunna:</t>
        </r>
        <r>
          <rPr>
            <sz val="9"/>
            <color indexed="81"/>
            <rFont val="Tahoma"/>
            <family val="2"/>
          </rPr>
          <t xml:space="preserve">
intangible asset, other assets, deferred tax assets, other loans</t>
        </r>
      </text>
    </comment>
    <comment ref="D16" authorId="0" shapeId="0" xr:uid="{00000000-0006-0000-0D00-000002000000}">
      <text>
        <r>
          <rPr>
            <b/>
            <sz val="9"/>
            <color indexed="81"/>
            <rFont val="Tahoma"/>
            <family val="2"/>
          </rPr>
          <t>Shashika Naotunna:</t>
        </r>
        <r>
          <rPr>
            <sz val="9"/>
            <color indexed="81"/>
            <rFont val="Tahoma"/>
            <family val="2"/>
          </rPr>
          <t xml:space="preserve">
intangible asset, other assets, deferred tax assets, other loans</t>
        </r>
      </text>
    </comment>
    <comment ref="E16" authorId="0" shapeId="0" xr:uid="{00000000-0006-0000-0D00-000003000000}">
      <text>
        <r>
          <rPr>
            <b/>
            <sz val="9"/>
            <color indexed="81"/>
            <rFont val="Tahoma"/>
            <family val="2"/>
          </rPr>
          <t>Shashika Naotunna:</t>
        </r>
        <r>
          <rPr>
            <sz val="9"/>
            <color indexed="81"/>
            <rFont val="Tahoma"/>
            <family val="2"/>
          </rPr>
          <t xml:space="preserve">
other assets, intangible aseets</t>
        </r>
      </text>
    </comment>
    <comment ref="F16" authorId="0" shapeId="0" xr:uid="{00000000-0006-0000-0D00-000004000000}">
      <text>
        <r>
          <rPr>
            <b/>
            <sz val="9"/>
            <color indexed="81"/>
            <rFont val="Tahoma"/>
            <family val="2"/>
          </rPr>
          <t>Shashika Naotunna:</t>
        </r>
        <r>
          <rPr>
            <sz val="9"/>
            <color indexed="81"/>
            <rFont val="Tahoma"/>
            <family val="2"/>
          </rPr>
          <t xml:space="preserve">
other assets, other loans, intangible aseets</t>
        </r>
      </text>
    </comment>
    <comment ref="G16" authorId="0" shapeId="0" xr:uid="{00000000-0006-0000-0D00-000005000000}">
      <text>
        <r>
          <rPr>
            <b/>
            <sz val="9"/>
            <color indexed="81"/>
            <rFont val="Tahoma"/>
            <family val="2"/>
          </rPr>
          <t>Shashika Naotunna:</t>
        </r>
        <r>
          <rPr>
            <sz val="9"/>
            <color indexed="81"/>
            <rFont val="Tahoma"/>
            <family val="2"/>
          </rPr>
          <t xml:space="preserve">
Intangibel assets, other loans, other assets</t>
        </r>
      </text>
    </comment>
    <comment ref="H16" authorId="0" shapeId="0" xr:uid="{00000000-0006-0000-0D00-000006000000}">
      <text>
        <r>
          <rPr>
            <b/>
            <sz val="9"/>
            <color indexed="81"/>
            <rFont val="Tahoma"/>
            <family val="2"/>
          </rPr>
          <t>Shashika Naotunna:</t>
        </r>
        <r>
          <rPr>
            <sz val="9"/>
            <color indexed="81"/>
            <rFont val="Tahoma"/>
            <family val="2"/>
          </rPr>
          <t xml:space="preserve">
intangible assets, deferred tax assets, other assets</t>
        </r>
      </text>
    </comment>
    <comment ref="I16" authorId="0" shapeId="0" xr:uid="{00000000-0006-0000-0D00-000007000000}">
      <text>
        <r>
          <rPr>
            <b/>
            <sz val="9"/>
            <color indexed="81"/>
            <rFont val="Tahoma"/>
            <family val="2"/>
          </rPr>
          <t>Shashika Naotunna:</t>
        </r>
        <r>
          <rPr>
            <sz val="9"/>
            <color indexed="81"/>
            <rFont val="Tahoma"/>
            <family val="2"/>
          </rPr>
          <t xml:space="preserve">
intangible assets, other loans, other assets, deferred tax asset</t>
        </r>
      </text>
    </comment>
    <comment ref="J16" authorId="0" shapeId="0" xr:uid="{00000000-0006-0000-0D00-000008000000}">
      <text>
        <r>
          <rPr>
            <sz val="11"/>
            <color theme="1"/>
            <rFont val="Calibri"/>
            <family val="2"/>
            <scheme val="minor"/>
          </rPr>
          <t>Shashika Naotunna:
intangible assets, other assets, other loans, deferred tax asset + Other assets(NIC)</t>
        </r>
      </text>
    </comment>
    <comment ref="K16" authorId="0" shapeId="0" xr:uid="{00000000-0006-0000-0D00-000009000000}">
      <text>
        <r>
          <rPr>
            <sz val="11"/>
            <color theme="1"/>
            <rFont val="Calibri"/>
            <family val="2"/>
            <scheme val="minor"/>
          </rPr>
          <t>Shashika Naotunna:
intangible assets, other assets, other loans, deferred tax asset + Other assets(NIC)</t>
        </r>
      </text>
    </comment>
    <comment ref="C36" authorId="0" shapeId="0" xr:uid="{00000000-0006-0000-0D00-00000A000000}">
      <text>
        <r>
          <rPr>
            <b/>
            <sz val="9"/>
            <color indexed="81"/>
            <rFont val="Tahoma"/>
            <family val="2"/>
          </rPr>
          <t>Shashika Naotunna:</t>
        </r>
        <r>
          <rPr>
            <sz val="9"/>
            <color indexed="81"/>
            <rFont val="Tahoma"/>
            <family val="2"/>
          </rPr>
          <t xml:space="preserve">
other assets, other loans, deferred tax asset, intangible assets</t>
        </r>
      </text>
    </comment>
    <comment ref="D36" authorId="0" shapeId="0" xr:uid="{00000000-0006-0000-0D00-00000B000000}">
      <text>
        <r>
          <rPr>
            <b/>
            <sz val="9"/>
            <color indexed="81"/>
            <rFont val="Tahoma"/>
            <family val="2"/>
          </rPr>
          <t>Shashika Naotunna:</t>
        </r>
        <r>
          <rPr>
            <sz val="9"/>
            <color indexed="81"/>
            <rFont val="Tahoma"/>
            <family val="2"/>
          </rPr>
          <t xml:space="preserve">
intangible assets, other loans , other assets</t>
        </r>
      </text>
    </comment>
    <comment ref="E36" authorId="0" shapeId="0" xr:uid="{00000000-0006-0000-0D00-00000C000000}">
      <text>
        <r>
          <rPr>
            <b/>
            <sz val="9"/>
            <color indexed="81"/>
            <rFont val="Tahoma"/>
            <family val="2"/>
          </rPr>
          <t>Shashika Naotunna:</t>
        </r>
        <r>
          <rPr>
            <sz val="9"/>
            <color indexed="81"/>
            <rFont val="Tahoma"/>
            <family val="2"/>
          </rPr>
          <t xml:space="preserve">
other loans, deferred tax asset</t>
        </r>
      </text>
    </comment>
    <comment ref="F36" authorId="0" shapeId="0" xr:uid="{00000000-0006-0000-0D00-00000D000000}">
      <text>
        <r>
          <rPr>
            <b/>
            <sz val="9"/>
            <color indexed="81"/>
            <rFont val="Tahoma"/>
            <family val="2"/>
          </rPr>
          <t>Shashika Naotunna:</t>
        </r>
        <r>
          <rPr>
            <sz val="9"/>
            <color indexed="81"/>
            <rFont val="Tahoma"/>
            <family val="2"/>
          </rPr>
          <t xml:space="preserve">
other assets, intangible assets</t>
        </r>
      </text>
    </comment>
    <comment ref="H36" authorId="0" shapeId="0" xr:uid="{00000000-0006-0000-0D00-00000E000000}">
      <text>
        <r>
          <rPr>
            <b/>
            <sz val="9"/>
            <color indexed="81"/>
            <rFont val="Tahoma"/>
            <family val="2"/>
          </rPr>
          <t>Shashika Naotunna:</t>
        </r>
        <r>
          <rPr>
            <sz val="9"/>
            <color indexed="81"/>
            <rFont val="Tahoma"/>
            <family val="2"/>
          </rPr>
          <t xml:space="preserve">
other assets, deferred tax asset, intangible assets</t>
        </r>
      </text>
    </comment>
    <comment ref="I36" authorId="0" shapeId="0" xr:uid="{00000000-0006-0000-0D00-00000F000000}">
      <text>
        <r>
          <rPr>
            <b/>
            <sz val="9"/>
            <color indexed="81"/>
            <rFont val="Tahoma"/>
            <family val="2"/>
          </rPr>
          <t>Shashika Naotunna:</t>
        </r>
        <r>
          <rPr>
            <sz val="9"/>
            <color indexed="81"/>
            <rFont val="Tahoma"/>
            <family val="2"/>
          </rPr>
          <t xml:space="preserve">
intangible assets, other assets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85" authorId="0" shapeId="0" xr:uid="{00000000-0006-0000-1000-000001000000}">
      <text>
        <r>
          <rPr>
            <b/>
            <sz val="9"/>
            <color indexed="81"/>
            <rFont val="Tahoma"/>
            <family val="2"/>
          </rPr>
          <t>Author:</t>
        </r>
        <r>
          <rPr>
            <sz val="9"/>
            <color indexed="81"/>
            <rFont val="Tahoma"/>
            <family val="2"/>
          </rPr>
          <t xml:space="preserve">
includes deferred tax asset</t>
        </r>
      </text>
    </comment>
    <comment ref="F198" authorId="0" shapeId="0" xr:uid="{00000000-0006-0000-1000-000002000000}">
      <text>
        <r>
          <rPr>
            <b/>
            <sz val="9"/>
            <color indexed="81"/>
            <rFont val="Tahoma"/>
            <family val="2"/>
          </rPr>
          <t>Author:</t>
        </r>
        <r>
          <rPr>
            <sz val="9"/>
            <color indexed="81"/>
            <rFont val="Tahoma"/>
            <family val="2"/>
          </rPr>
          <t xml:space="preserve">
Subordinated Term Debt recorded under Stated Capital has been removed and recored under Interest bearing Liabilities - to maintain the accuracy.</t>
        </r>
      </text>
    </comment>
    <comment ref="B347" authorId="0" shapeId="0" xr:uid="{00000000-0006-0000-1000-000003000000}">
      <text>
        <r>
          <rPr>
            <b/>
            <sz val="9"/>
            <color indexed="81"/>
            <rFont val="Tahoma"/>
            <family val="2"/>
          </rPr>
          <t>includes right of use asset</t>
        </r>
      </text>
    </comment>
    <comment ref="G358" authorId="0" shapeId="0" xr:uid="{00000000-0006-0000-1000-00000400000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lease liability</t>
        </r>
      </text>
    </comment>
    <comment ref="B504" authorId="0" shapeId="0" xr:uid="{00000000-0006-0000-1000-000005000000}">
      <text>
        <r>
          <rPr>
            <b/>
            <sz val="9"/>
            <color indexed="81"/>
            <rFont val="Tahoma"/>
            <family val="2"/>
          </rPr>
          <t>Author:</t>
        </r>
        <r>
          <rPr>
            <sz val="9"/>
            <color indexed="81"/>
            <rFont val="Tahoma"/>
            <family val="2"/>
          </rPr>
          <t xml:space="preserve">
includes right of use assets </t>
        </r>
      </text>
    </comment>
    <comment ref="B515" authorId="0" shapeId="0" xr:uid="{00000000-0006-0000-1000-000006000000}">
      <text>
        <r>
          <rPr>
            <b/>
            <sz val="9"/>
            <color indexed="81"/>
            <rFont val="Tahoma"/>
            <family val="2"/>
          </rPr>
          <t>Author:</t>
        </r>
        <r>
          <rPr>
            <sz val="9"/>
            <color indexed="81"/>
            <rFont val="Tahoma"/>
            <family val="2"/>
          </rPr>
          <t xml:space="preserve">
includes leasehold liabilities</t>
        </r>
      </text>
    </comment>
    <comment ref="H551" authorId="0" shapeId="0" xr:uid="{00000000-0006-0000-1000-00000700000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ROUNDED 1</t>
        </r>
      </text>
    </comment>
    <comment ref="D636" authorId="0" shapeId="0" xr:uid="{00000000-0006-0000-1000-000008000000}">
      <text>
        <r>
          <rPr>
            <b/>
            <sz val="9"/>
            <color indexed="81"/>
            <rFont val="Tahoma"/>
            <family val="2"/>
          </rPr>
          <t>Author:</t>
        </r>
        <r>
          <rPr>
            <sz val="9"/>
            <color indexed="81"/>
            <rFont val="Tahoma"/>
            <family val="2"/>
          </rPr>
          <t xml:space="preserve">
company has deducted R 34440.326 
The same adjustment was done as if not the TA &amp; TL are not tallying to company values</t>
        </r>
      </text>
    </comment>
    <comment ref="H674" authorId="0" shapeId="0" xr:uid="{00000000-0006-0000-1000-000009000000}">
      <text>
        <r>
          <rPr>
            <b/>
            <sz val="9"/>
            <color indexed="81"/>
            <rFont val="Tahoma"/>
            <family val="2"/>
          </rPr>
          <t>Author:</t>
        </r>
        <r>
          <rPr>
            <sz val="9"/>
            <color indexed="81"/>
            <rFont val="Tahoma"/>
            <family val="2"/>
          </rPr>
          <t xml:space="preserve">
Including Obligation to pay the lease payment</t>
        </r>
      </text>
    </comment>
    <comment ref="J674" authorId="0" shapeId="0" xr:uid="{00000000-0006-0000-1000-00000A00000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interfund adjustment done as per company presented</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85" authorId="0" shapeId="0" xr:uid="{00000000-0006-0000-1100-000001000000}">
      <text>
        <r>
          <rPr>
            <b/>
            <sz val="9"/>
            <color indexed="81"/>
            <rFont val="Tahoma"/>
            <family val="2"/>
          </rPr>
          <t>Author:</t>
        </r>
        <r>
          <rPr>
            <sz val="9"/>
            <color indexed="81"/>
            <rFont val="Tahoma"/>
            <family val="2"/>
          </rPr>
          <t xml:space="preserve">
includes deferred tax asset</t>
        </r>
      </text>
    </comment>
    <comment ref="D199" authorId="0" shapeId="0" xr:uid="{00000000-0006-0000-1100-00000200000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subodinated debt</t>
        </r>
      </text>
    </comment>
    <comment ref="E199" authorId="0" shapeId="0" xr:uid="{00000000-0006-0000-1100-00000300000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Subordinate debt included</t>
        </r>
      </text>
    </comment>
    <comment ref="B348" authorId="0" shapeId="0" xr:uid="{00000000-0006-0000-1100-000004000000}">
      <text>
        <r>
          <rPr>
            <b/>
            <sz val="9"/>
            <color indexed="81"/>
            <rFont val="Tahoma"/>
            <family val="2"/>
          </rPr>
          <t>includes right of use asset</t>
        </r>
      </text>
    </comment>
    <comment ref="B505" authorId="0" shapeId="0" xr:uid="{00000000-0006-0000-1100-000005000000}">
      <text>
        <r>
          <rPr>
            <b/>
            <sz val="9"/>
            <color indexed="81"/>
            <rFont val="Tahoma"/>
            <family val="2"/>
          </rPr>
          <t>Author:</t>
        </r>
        <r>
          <rPr>
            <sz val="9"/>
            <color indexed="81"/>
            <rFont val="Tahoma"/>
            <family val="2"/>
          </rPr>
          <t xml:space="preserve">
includes right of use assets </t>
        </r>
      </text>
    </comment>
    <comment ref="B516" authorId="0" shapeId="0" xr:uid="{00000000-0006-0000-1100-000006000000}">
      <text>
        <r>
          <rPr>
            <b/>
            <sz val="9"/>
            <color indexed="81"/>
            <rFont val="Tahoma"/>
            <family val="2"/>
          </rPr>
          <t>Author:</t>
        </r>
        <r>
          <rPr>
            <sz val="9"/>
            <color indexed="81"/>
            <rFont val="Tahoma"/>
            <family val="2"/>
          </rPr>
          <t xml:space="preserve">
includes leasehold liabilities</t>
        </r>
      </text>
    </comment>
    <comment ref="D637" authorId="0" shapeId="0" xr:uid="{00000000-0006-0000-1100-000007000000}">
      <text>
        <r>
          <rPr>
            <b/>
            <sz val="9"/>
            <color indexed="81"/>
            <rFont val="Tahoma"/>
            <family val="2"/>
          </rPr>
          <t>Author:</t>
        </r>
        <r>
          <rPr>
            <sz val="9"/>
            <color indexed="81"/>
            <rFont val="Tahoma"/>
            <family val="2"/>
          </rPr>
          <t xml:space="preserve">
company has deducted R 34440.326 
The same adjustment was done as if not the TA &amp; TL are not tallying to company values</t>
        </r>
      </text>
    </comment>
    <comment ref="H675" authorId="0" shapeId="0" xr:uid="{00000000-0006-0000-1100-00000800000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Lease liability  added</t>
        </r>
      </text>
    </comment>
    <comment ref="J675" authorId="0" shapeId="0" xr:uid="{00000000-0006-0000-1100-00000900000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Inter fund adjustment shown as per the company presented</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40" authorId="0" shapeId="0" xr:uid="{00000000-0006-0000-1200-000001000000}">
      <text>
        <r>
          <rPr>
            <b/>
            <sz val="9"/>
            <color indexed="81"/>
            <rFont val="Tahoma"/>
            <family val="2"/>
          </rPr>
          <t>Author:</t>
        </r>
        <r>
          <rPr>
            <sz val="9"/>
            <color indexed="81"/>
            <rFont val="Tahoma"/>
            <family val="2"/>
          </rPr>
          <t xml:space="preserve">
LOLC franchise fee</t>
        </r>
      </text>
    </comment>
    <comment ref="D564" authorId="0" shapeId="0" xr:uid="{00000000-0006-0000-1200-00000200000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as company presented</t>
        </r>
      </text>
    </comment>
    <comment ref="E576" authorId="0" shapeId="0" xr:uid="{00000000-0006-0000-1200-00000300000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Franchise fee added to Admin Exp</t>
        </r>
      </text>
    </comment>
    <comment ref="G576" authorId="0" shapeId="0" xr:uid="{00000000-0006-0000-1200-00000400000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Franchise fee added to Admin Exp</t>
        </r>
      </text>
    </comment>
    <comment ref="D579" authorId="0" shapeId="0" xr:uid="{00000000-0006-0000-1200-00000500000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The company presented</t>
        </r>
      </text>
    </comment>
    <comment ref="F624" authorId="0" shapeId="0" xr:uid="{00000000-0006-0000-1200-00000600000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Other insurance related exp. included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40" authorId="0" shapeId="0" xr:uid="{00000000-0006-0000-1300-000001000000}">
      <text>
        <r>
          <rPr>
            <b/>
            <sz val="9"/>
            <color indexed="81"/>
            <rFont val="Tahoma"/>
            <family val="2"/>
          </rPr>
          <t>Author:</t>
        </r>
        <r>
          <rPr>
            <sz val="9"/>
            <color indexed="81"/>
            <rFont val="Tahoma"/>
            <family val="2"/>
          </rPr>
          <t xml:space="preserve">
LOLC franchise fee</t>
        </r>
      </text>
    </comment>
    <comment ref="D559" authorId="0" shapeId="0" xr:uid="{00000000-0006-0000-1300-000002000000}">
      <text>
        <r>
          <rPr>
            <b/>
            <sz val="9"/>
            <color indexed="81"/>
            <rFont val="Tahoma"/>
            <family val="2"/>
          </rPr>
          <t>Author:</t>
        </r>
        <r>
          <rPr>
            <sz val="9"/>
            <color indexed="81"/>
            <rFont val="Tahoma"/>
            <family val="2"/>
          </rPr>
          <t xml:space="preserve">
Company Adjustment
</t>
        </r>
      </text>
    </comment>
    <comment ref="D576" authorId="0" shapeId="0" xr:uid="{00000000-0006-0000-1300-000003000000}">
      <text>
        <r>
          <rPr>
            <b/>
            <sz val="9"/>
            <color indexed="81"/>
            <rFont val="Tahoma"/>
            <family val="2"/>
          </rPr>
          <t>Author:</t>
        </r>
        <r>
          <rPr>
            <sz val="9"/>
            <color indexed="81"/>
            <rFont val="Tahoma"/>
            <family val="2"/>
          </rPr>
          <t xml:space="preserve">
Including Franchise Fee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Ushani Ranatunga</author>
  </authors>
  <commentList>
    <comment ref="D397" authorId="0" shapeId="0" xr:uid="{00000000-0006-0000-1500-000001000000}">
      <text>
        <r>
          <rPr>
            <b/>
            <sz val="9"/>
            <color indexed="81"/>
            <rFont val="Tahoma"/>
            <family val="2"/>
          </rPr>
          <t>Ushani Ranatunga:</t>
        </r>
        <r>
          <rPr>
            <sz val="9"/>
            <color indexed="81"/>
            <rFont val="Tahoma"/>
            <family val="2"/>
          </rPr>
          <t xml:space="preserve">
row total added</t>
        </r>
      </text>
    </comment>
  </commentList>
</comments>
</file>

<file path=xl/sharedStrings.xml><?xml version="1.0" encoding="utf-8"?>
<sst xmlns="http://schemas.openxmlformats.org/spreadsheetml/2006/main" count="15810" uniqueCount="1121">
  <si>
    <t> </t>
  </si>
  <si>
    <t xml:space="preserve"> </t>
  </si>
  <si>
    <t xml:space="preserve">        COMPILED BY</t>
  </si>
  <si>
    <t xml:space="preserve">             THE INSURANCE REGULATORY COMMISSION OF SRI LANKA</t>
  </si>
  <si>
    <t>Notes to be taken into consideration when interpreting the data given in tables of the Industry Hand Book</t>
  </si>
  <si>
    <t>1.</t>
  </si>
  <si>
    <t>Information in this report is based on the statistics provided by the Insurance Companies and Insurance Brokering Companies.</t>
  </si>
  <si>
    <t>2.</t>
  </si>
  <si>
    <t>Data submitted by NITF regarding Risk Based Capital were not taken into account in order to maintain comparability because NITF handles both reinsurance and insurance business.</t>
  </si>
  <si>
    <t>3.</t>
  </si>
  <si>
    <t>Financial data of crop &amp; loan protection scheme of NITF has been eliminated from statistics from 2014 onwards since the said operation has not been considered as ‘Insurance’</t>
  </si>
  <si>
    <t>4.</t>
  </si>
  <si>
    <t>Slight difference was noted between SRCC GWP of NITF and class wise deduction of SRCC values in the Industry P/L as class wise deductions values have been extracted from Individual companies.</t>
  </si>
  <si>
    <t>5.</t>
  </si>
  <si>
    <t>Figures in some tables have been rounded off to the nearest final digit. Hence, there may be a slight discrepancy between the total as shown and the sum of its components.</t>
  </si>
  <si>
    <t>6.</t>
  </si>
  <si>
    <t>Differences as compared with previously published figures are due to subsequent revisions.</t>
  </si>
  <si>
    <t>7.</t>
  </si>
  <si>
    <t>Values indicated within parenthesis are negative values.</t>
  </si>
  <si>
    <t>The following symbols have been used throughout: -</t>
  </si>
  <si>
    <t xml:space="preserve">(a) = Reinstated and Audited figures  </t>
  </si>
  <si>
    <t xml:space="preserve">(b) = Provisional figures </t>
  </si>
  <si>
    <t xml:space="preserve">     = nil</t>
  </si>
  <si>
    <t>ii</t>
  </si>
  <si>
    <t>List</t>
  </si>
  <si>
    <t>Page No.</t>
  </si>
  <si>
    <t>Company - wise Gross Written Premium and Market Share - Long Term Insurance Business &amp; General Insurance Business - 2022</t>
  </si>
  <si>
    <t>Company - wise Gross Written Premium and Market Share - Long Term Insurance Business - 2018 to 2022</t>
  </si>
  <si>
    <t>Company - wise Gross Written Premium &amp; Market Share - General Insurance Business - 2018 to 2022</t>
  </si>
  <si>
    <t xml:space="preserve"> Company - wise analysis of Total Assets</t>
  </si>
  <si>
    <t>Distribution of Total Assets of Major Financial Institutions</t>
  </si>
  <si>
    <t>Total Shareholders' Funds of Insurance Companies</t>
  </si>
  <si>
    <t>Concentration of Assets as at 31st December 2021 and 2022 - Long Term Insurance Business</t>
  </si>
  <si>
    <t>Company - wise Concentration of Assets as at 31st December 2022 - Long Term Insurance Business</t>
  </si>
  <si>
    <t>8-9</t>
  </si>
  <si>
    <t>Concentration of Assets of General Insurance Business and Shareholders - 2021 &amp; 2022</t>
  </si>
  <si>
    <t>Company - wise Concentration of Assets of General Insurance Business (Including Shareholders) - 2022</t>
  </si>
  <si>
    <t>11-12</t>
  </si>
  <si>
    <t>Industry &amp; Company wise Balance Sheets as at 31st December 2022 - Long Term Insurance Business</t>
  </si>
  <si>
    <t>13-29</t>
  </si>
  <si>
    <t>Industry &amp; Company wise Balance Sheets as at 31st December 2021 - Long Term Insurance Business</t>
  </si>
  <si>
    <t>30-46</t>
  </si>
  <si>
    <t>Extract of Income Statement of Long Term Insurance Business - 2022</t>
  </si>
  <si>
    <t>47-63</t>
  </si>
  <si>
    <t>Extract of Income Statement of Long Term Insurance Business - 2021</t>
  </si>
  <si>
    <t>64-80</t>
  </si>
  <si>
    <t>Industry &amp; Company wise Balance Sheets as at 31st December 2022 - General Insurance Business</t>
  </si>
  <si>
    <t>81-95</t>
  </si>
  <si>
    <t>Industry &amp; Company wise Balance Sheets as at 31st December 2021 - General Insurance Business</t>
  </si>
  <si>
    <t>96-110</t>
  </si>
  <si>
    <t xml:space="preserve"> Extract of Income Statement of General Insurance Business - 2022</t>
  </si>
  <si>
    <t>111-125</t>
  </si>
  <si>
    <t xml:space="preserve"> Extract of Income Statement of General Insurance Business - 2021</t>
  </si>
  <si>
    <t>126-140</t>
  </si>
  <si>
    <t>Company - wise Analysis of Total Available Capital (TAC) as at 31st December 2021 and 2022 - Long Term Insurance Business</t>
  </si>
  <si>
    <t>Company - wise Analysis of Risk Capital Required (RCR) as  at 31st December 2021 and 2022 - Long Term Insurance Business</t>
  </si>
  <si>
    <t>Company - wise Analysis of Total Available Capital (TAC) as  at 31st December 2021 and 2022 - General Insurance Business</t>
  </si>
  <si>
    <t>Company - wise Analysis of Risk Capital Required (RCR) as  at 31st December 2021 and 2022 - General Insurance Business</t>
  </si>
  <si>
    <t>Company - wise Analysis of Solvency Position as at 31st December 2021 and 2022 - Long Term Insurance Business</t>
  </si>
  <si>
    <t>Company - wise Analysis of Solvency Position as at 31st December 2021 and 2022 - General Insurance Business</t>
  </si>
  <si>
    <t>Class - wise, Company wise Analysis of Gross written Premium from 2018 to 2022 - General Insurance Business</t>
  </si>
  <si>
    <t>147-151</t>
  </si>
  <si>
    <t>Net Earned Premium, Net Claims Incurred, Net Claims Ratio, Net Expense Ratio and Net Combined Ratio of General Insurance Business - 2018 to 2022</t>
  </si>
  <si>
    <t>Class - wise Analysis of Earned Premium of General Insurance Business - 2018 to 2022</t>
  </si>
  <si>
    <t>153-157</t>
  </si>
  <si>
    <t>Class - wise Analysis of Claims Incurred - General Insurance Business - 2018 to 2022</t>
  </si>
  <si>
    <t>158-162</t>
  </si>
  <si>
    <t>Company - wise Net Combined Ratio of General Insurance Business - 2018 to 2022</t>
  </si>
  <si>
    <t>Gross Written Premium, Reinsurance Premium and Retention by Insurers - General Insurance Business</t>
  </si>
  <si>
    <t>Class - wise  Analysis of Reinsurance Premium of General Insurance Business - 2018 to 2022</t>
  </si>
  <si>
    <t>165-169</t>
  </si>
  <si>
    <t>Branch Network, Employees &amp; Agents as at 31st December 2022</t>
  </si>
  <si>
    <t>170-179</t>
  </si>
  <si>
    <t>Number of New Insurance Policies Issued - Long Term Insurance Buisness</t>
  </si>
  <si>
    <t xml:space="preserve">Number of Life Insurance Policies  in Force </t>
  </si>
  <si>
    <t>Total New Businesses - Long Term Insurance Buisness</t>
  </si>
  <si>
    <t>182-185</t>
  </si>
  <si>
    <t>Life Insurance Benefits Amount in Rs. '000</t>
  </si>
  <si>
    <t>186-189</t>
  </si>
  <si>
    <t>Number of Life Insurance Benefits</t>
  </si>
  <si>
    <t>190-194</t>
  </si>
  <si>
    <t>Abbreviatons</t>
  </si>
  <si>
    <t>i</t>
  </si>
  <si>
    <t>1. Company - wise Gross Written Premium and Market Share - Long Term Insurance Business &amp; General Insurance Buisness - 2022</t>
  </si>
  <si>
    <t>Insurer</t>
  </si>
  <si>
    <t>GWP - Long Term Insurance Business (Rs. '000)</t>
  </si>
  <si>
    <t>GWP - General Insurance Business (Rs. '000)</t>
  </si>
  <si>
    <t>Total (Rs. '000)</t>
  </si>
  <si>
    <t>Mkt Share -  Long Term Insurance Business                (%)</t>
  </si>
  <si>
    <t>Mkt Share -  General Insurance Business                 (%)</t>
  </si>
  <si>
    <t>AIA Life</t>
  </si>
  <si>
    <t>Allianz Gen.</t>
  </si>
  <si>
    <t>Allianz Life</t>
  </si>
  <si>
    <t>Amana Life</t>
  </si>
  <si>
    <t>Amana Gen.</t>
  </si>
  <si>
    <t>Arpico</t>
  </si>
  <si>
    <t>Ceylinco Life</t>
  </si>
  <si>
    <t>Ceylinco Gen.</t>
  </si>
  <si>
    <t>Continental Gen</t>
  </si>
  <si>
    <t>Continental Life</t>
  </si>
  <si>
    <t xml:space="preserve">Cooplife </t>
  </si>
  <si>
    <t>Cooperative Gen.</t>
  </si>
  <si>
    <t>Fairfirst</t>
  </si>
  <si>
    <t>HNB Life</t>
  </si>
  <si>
    <t>HNB Gen.</t>
  </si>
  <si>
    <t>Janashakthi Life</t>
  </si>
  <si>
    <t>LIC</t>
  </si>
  <si>
    <t>LOLC Life</t>
  </si>
  <si>
    <t>LOLC Gen.</t>
  </si>
  <si>
    <t>MBSL</t>
  </si>
  <si>
    <t>NITF</t>
  </si>
  <si>
    <t>Orient</t>
  </si>
  <si>
    <t>People’s</t>
  </si>
  <si>
    <t>Sanasa Life</t>
  </si>
  <si>
    <t>Sanasa Gen.</t>
  </si>
  <si>
    <t>SLIC</t>
  </si>
  <si>
    <t>Softlogic Life</t>
  </si>
  <si>
    <t>Union Life</t>
  </si>
  <si>
    <t>Total</t>
  </si>
  <si>
    <t>Company-wise Industry Gross Written Premium &amp; Market Share</t>
  </si>
  <si>
    <t>Gross Written Premium - Long Term Insurance Business                        (Rs. '000)</t>
  </si>
  <si>
    <t>Gross Written Premium - General Insurance Business                    (Rs. '000)</t>
  </si>
  <si>
    <t xml:space="preserve"> Total              (Rs. '000)</t>
  </si>
  <si>
    <t>Mkt Share -Total Insurance Industry                (%)</t>
  </si>
  <si>
    <t>Asian Alliance</t>
  </si>
  <si>
    <t>AIA</t>
  </si>
  <si>
    <t>Amana Takaful</t>
  </si>
  <si>
    <t>AIG</t>
  </si>
  <si>
    <t>Continental</t>
  </si>
  <si>
    <t>Ceylinco</t>
  </si>
  <si>
    <t>Cooperative</t>
  </si>
  <si>
    <t>Ceylinco Takaful</t>
  </si>
  <si>
    <t>HNBA</t>
  </si>
  <si>
    <t>Janashakthi</t>
  </si>
  <si>
    <t>LOLC</t>
  </si>
  <si>
    <t>Sanasa</t>
  </si>
  <si>
    <t>UAL</t>
  </si>
  <si>
    <t>2. Company - wise Gross Written Premium and Market Share of Long Term Insurance Business - 2018 to 2022</t>
  </si>
  <si>
    <t>2021 (a)</t>
  </si>
  <si>
    <t>2022 (b)</t>
  </si>
  <si>
    <t>Premium</t>
  </si>
  <si>
    <t>Market Share</t>
  </si>
  <si>
    <t>(Rs.'000)</t>
  </si>
  <si>
    <t>(%)</t>
  </si>
  <si>
    <t>Softlogic life</t>
  </si>
  <si>
    <t>Growth  Rate (%)</t>
  </si>
  <si>
    <t>3. Company - wise Gross Written Premium and Market Share of General Insurance Business - 2018 to 2022</t>
  </si>
  <si>
    <t>2022(b)</t>
  </si>
  <si>
    <t>Growth Rate (%)</t>
  </si>
  <si>
    <t>Notes:</t>
  </si>
  <si>
    <t>1. Strike, Riot, Civil Commotion and Terrorism (SRCC &amp; T) premium income of NITF was not considered for  insurance companies'  general  insurance GWP for the years  2010 and 2011.</t>
  </si>
  <si>
    <t>2. Above analysis does not include NITF information since required complete information was not submitted to the Board.</t>
  </si>
  <si>
    <r>
      <t>3.CTL is prohibited from engaging in insurance business since 5</t>
    </r>
    <r>
      <rPr>
        <i/>
        <sz val="10"/>
        <color indexed="8"/>
        <rFont val="Tahoma"/>
        <family val="2"/>
      </rPr>
      <t>th August 2009. The company did not submit audited financials for the year ended 31st December 2010 and relevant data for the year ended 31st December 2011.</t>
    </r>
  </si>
  <si>
    <t>Company - wise Market Share of Gross Written Premium -   General Insurance Business</t>
  </si>
  <si>
    <t>4. Company - wise analysis of Total Assets</t>
  </si>
  <si>
    <t xml:space="preserve">Long Term Insurance (Rs.'000) </t>
  </si>
  <si>
    <t xml:space="preserve">General Insurance / Shareholders           (Rs.'000) </t>
  </si>
  <si>
    <t>Reinsurance (Rs. '000)</t>
  </si>
  <si>
    <t xml:space="preserve"> Total (Rs.'000) </t>
  </si>
  <si>
    <t>%</t>
  </si>
  <si>
    <t xml:space="preserve">Total </t>
  </si>
  <si>
    <t>5. Distribution of Total Assets of the Financial Sector</t>
  </si>
  <si>
    <t>Financial Institutions</t>
  </si>
  <si>
    <t>Rs. Billions</t>
  </si>
  <si>
    <t>Banking Sector</t>
  </si>
  <si>
    <t>Other Deposit Taking  Financial Institutions</t>
  </si>
  <si>
    <t>Specialized Financial Institutions</t>
  </si>
  <si>
    <t>Contractual Savings Institutions</t>
  </si>
  <si>
    <t>Insurance Companies *</t>
  </si>
  <si>
    <t xml:space="preserve"> Source: Central Bank of Sri Lanka Annual Report - 2022</t>
  </si>
  <si>
    <t>* Assets of insurance companies were reinstated based on data received from insurance companies.</t>
  </si>
  <si>
    <t>Total Assets of Insurance Companies</t>
  </si>
  <si>
    <t>Distribution of Assets</t>
  </si>
  <si>
    <t>2012 (a)</t>
  </si>
  <si>
    <t>2013 (b)</t>
  </si>
  <si>
    <t xml:space="preserve">Inter Segment Transactions Elimination (Rs.'000) </t>
  </si>
  <si>
    <t>Total                        (Rs.'000)</t>
  </si>
  <si>
    <t>AAIPLC</t>
  </si>
  <si>
    <t>AIL</t>
  </si>
  <si>
    <t>AILL</t>
  </si>
  <si>
    <t>ALILL</t>
  </si>
  <si>
    <t>ANDBIPLC</t>
  </si>
  <si>
    <t>ATPLC</t>
  </si>
  <si>
    <t>CIL</t>
  </si>
  <si>
    <t>CILL</t>
  </si>
  <si>
    <t>CIPLC</t>
  </si>
  <si>
    <t>COICL</t>
  </si>
  <si>
    <t>CTL</t>
  </si>
  <si>
    <t>HNBAPLC</t>
  </si>
  <si>
    <t>JIPLC</t>
  </si>
  <si>
    <t>LICLL</t>
  </si>
  <si>
    <t>LOLCICL</t>
  </si>
  <si>
    <t>MBSLICL</t>
  </si>
  <si>
    <t>OIL</t>
  </si>
  <si>
    <t>PIL</t>
  </si>
  <si>
    <t>SLICL</t>
  </si>
  <si>
    <t>SSRS</t>
  </si>
  <si>
    <t>UAPLC</t>
  </si>
  <si>
    <t>All figures are correct and confirrmed with AR Publication. There are rounding off differences ignored</t>
  </si>
  <si>
    <t>6. Total Shareholders' Funds of Insurance Companies</t>
  </si>
  <si>
    <t>Total Shareholders' Fund</t>
  </si>
  <si>
    <t>Share Capital</t>
  </si>
  <si>
    <t>Restricted Regulatory Reserve</t>
  </si>
  <si>
    <t>Total Other Reserves</t>
  </si>
  <si>
    <t>Total Reserves</t>
  </si>
  <si>
    <t>Continental Gen.</t>
  </si>
  <si>
    <t>Continental Life.</t>
  </si>
  <si>
    <t>Sanasa Gen</t>
  </si>
  <si>
    <t>SoftLogic Life</t>
  </si>
  <si>
    <t>Note: 2021 published figures have been revised in line with the audit adjustments.</t>
  </si>
  <si>
    <t>2012(a)</t>
  </si>
  <si>
    <t>2013(b)</t>
  </si>
  <si>
    <t>Total Shareholders' Funds</t>
  </si>
  <si>
    <t>Share</t>
  </si>
  <si>
    <t>Capital</t>
  </si>
  <si>
    <t>Revenue</t>
  </si>
  <si>
    <t>Total Reserve</t>
  </si>
  <si>
    <t>Reserves</t>
  </si>
  <si>
    <t>Reserves/</t>
  </si>
  <si>
    <t>(Loss)</t>
  </si>
  <si>
    <t>Rs.'000</t>
  </si>
  <si>
    <t>Figures are correct as per BS of the Company.</t>
  </si>
  <si>
    <t>Figures are correct as per BS of the Company. Intersegment reserves 3 bn to be ignored</t>
  </si>
  <si>
    <t>Error Reported</t>
  </si>
  <si>
    <r>
      <t>7.  Concentration of Assets as at 31</t>
    </r>
    <r>
      <rPr>
        <b/>
        <vertAlign val="superscript"/>
        <sz val="8"/>
        <color theme="1"/>
        <rFont val="Tahoma"/>
        <family val="2"/>
      </rPr>
      <t>st</t>
    </r>
    <r>
      <rPr>
        <b/>
        <sz val="10"/>
        <color theme="1"/>
        <rFont val="Tahoma"/>
        <family val="2"/>
      </rPr>
      <t xml:space="preserve"> December 2021 and 2022 - Long Term Insurance Business</t>
    </r>
  </si>
  <si>
    <t>Type of Asset</t>
  </si>
  <si>
    <t>Government Debt Securities</t>
  </si>
  <si>
    <t>Equities</t>
  </si>
  <si>
    <t xml:space="preserve">Corporate Debt </t>
  </si>
  <si>
    <t>Land &amp; Buildings</t>
  </si>
  <si>
    <t xml:space="preserve">Deposits </t>
  </si>
  <si>
    <t xml:space="preserve">Unit Trusts </t>
  </si>
  <si>
    <t>Policy Loans</t>
  </si>
  <si>
    <t>Other Assets</t>
  </si>
  <si>
    <t>Cash and cash equivalents</t>
  </si>
  <si>
    <t>Note:</t>
  </si>
  <si>
    <t>Other Assets include investments in Gold, Reinsurance receivables, Premium receivable from policyholders and intermediaries, Property Plant and Equipment, Other Loans, and Other Assets.</t>
  </si>
  <si>
    <r>
      <t>8.  Company - wise Concentration of Assets as at 31</t>
    </r>
    <r>
      <rPr>
        <b/>
        <vertAlign val="superscript"/>
        <sz val="10"/>
        <color theme="1"/>
        <rFont val="Tahoma"/>
        <family val="2"/>
      </rPr>
      <t>st</t>
    </r>
    <r>
      <rPr>
        <b/>
        <sz val="10"/>
        <color theme="1"/>
        <rFont val="Tahoma"/>
        <family val="2"/>
      </rPr>
      <t xml:space="preserve"> December 2022  - Long Term Insurance Business</t>
    </r>
  </si>
  <si>
    <t>(All figures in Rs. '000)</t>
  </si>
  <si>
    <t>Cooplife</t>
  </si>
  <si>
    <t>Investment in Gold</t>
  </si>
  <si>
    <t>Reinsurance receivable</t>
  </si>
  <si>
    <t xml:space="preserve">Premium receivable from policyholders and intermediaries </t>
  </si>
  <si>
    <t>Property Plant and Equipments</t>
  </si>
  <si>
    <t>8.  Company - wise Concentration of Assets as at 31st December 2022 - Long Term Insurance Business (Cont..)</t>
  </si>
  <si>
    <t>Note : Slight differences were noted in the above balances with the Balance Sheet figures due to categorization issues</t>
  </si>
  <si>
    <t>9.  Concentration of Assets of General Insurance Business - 2021 &amp; 2022</t>
  </si>
  <si>
    <t xml:space="preserve">  </t>
  </si>
  <si>
    <t>Reinsurance Receivable</t>
  </si>
  <si>
    <t>Note : Right of Use Asset (ROU Asset) has been added to Property Plant &amp; Equipment</t>
  </si>
  <si>
    <t>Difference is due to Intersegment receivable and payable balances of NITF</t>
  </si>
  <si>
    <t>10.   Company - wise Concentration of Assets of General Insurance Business - 2022</t>
  </si>
  <si>
    <t>10.   Company - wise Concentration of Assets of General Insurance Business - 2022  (Cont..)</t>
  </si>
  <si>
    <t>Note : Slight differences were noted in the above balances with the Balance Sheet figures and  due to categorization issues and  Intersegment receivable and payable balances of NITF</t>
  </si>
  <si>
    <t>STATEMENT FINANCIAL POSITION AS AT 31ST DECEMBER 2022  - LIFE INSURANCE BUSINESS</t>
  </si>
  <si>
    <t>AS AT 31.12.2022</t>
  </si>
  <si>
    <t>INDUSTRY</t>
  </si>
  <si>
    <t>(All figures in LKR '000)</t>
  </si>
  <si>
    <t xml:space="preserve">Line </t>
  </si>
  <si>
    <t>Note</t>
  </si>
  <si>
    <t>Company</t>
  </si>
  <si>
    <t xml:space="preserve">Eliminations* </t>
  </si>
  <si>
    <t xml:space="preserve">Shareholders </t>
  </si>
  <si>
    <t>Long Term Insurance Business</t>
  </si>
  <si>
    <t xml:space="preserve">Insurance Provision Life   </t>
  </si>
  <si>
    <t xml:space="preserve">Linked Long-term Business </t>
  </si>
  <si>
    <t>Industry</t>
  </si>
  <si>
    <t xml:space="preserve">Participating </t>
  </si>
  <si>
    <t xml:space="preserve">Traditional Non Participating </t>
  </si>
  <si>
    <t>Universal Life</t>
  </si>
  <si>
    <t xml:space="preserve">Non-unit  account </t>
  </si>
  <si>
    <t xml:space="preserve">Unit Account - Guaranteed   </t>
  </si>
  <si>
    <t xml:space="preserve">Unit Account- Non guaranteed   </t>
  </si>
  <si>
    <t>(4+5+6)</t>
  </si>
  <si>
    <t>(8+9+10)</t>
  </si>
  <si>
    <t>Assets</t>
  </si>
  <si>
    <t>Goodwill</t>
  </si>
  <si>
    <t>Intangible Assets</t>
  </si>
  <si>
    <t>Deferred Expenses</t>
  </si>
  <si>
    <t>Right of Use Assets</t>
  </si>
  <si>
    <t xml:space="preserve">Property Plant and Equipment </t>
  </si>
  <si>
    <t>Investment Property</t>
  </si>
  <si>
    <t>Investment in Subsidiaries</t>
  </si>
  <si>
    <t>7.1 Investment in segregated company**</t>
  </si>
  <si>
    <t>7.2 Investment in other companies**</t>
  </si>
  <si>
    <t>Investment in Associates</t>
  </si>
  <si>
    <t>8.1 Investment in segregated company**</t>
  </si>
  <si>
    <t>8.2 Investment in other companies**</t>
  </si>
  <si>
    <t xml:space="preserve"> Financial Investments (total of lines 9 to 12)</t>
  </si>
  <si>
    <t>HTM Financial Assets</t>
  </si>
  <si>
    <t>Loans and receivables</t>
  </si>
  <si>
    <t>AFS Financial Assets</t>
  </si>
  <si>
    <t>Financial Assets at Fair Value through Profit and Loss</t>
  </si>
  <si>
    <t>Outstanding policy loans</t>
  </si>
  <si>
    <t>Reinsurance Receivables</t>
  </si>
  <si>
    <t xml:space="preserve">Premium Receivables </t>
  </si>
  <si>
    <t xml:space="preserve">Other Assets </t>
  </si>
  <si>
    <t>Deferred Acquisition Cost</t>
  </si>
  <si>
    <t xml:space="preserve">Cash and Cash Equivalents </t>
  </si>
  <si>
    <t>Total Assets (Total of Lines 1 to 8 and 13 to 18)</t>
  </si>
  <si>
    <t>Equity and Liabilities</t>
  </si>
  <si>
    <t>Liabilities</t>
  </si>
  <si>
    <t>Insurance Contract Liabilities</t>
  </si>
  <si>
    <t xml:space="preserve">Employee Benefits </t>
  </si>
  <si>
    <t xml:space="preserve">Reinsurance Payable </t>
  </si>
  <si>
    <t xml:space="preserve">Deferred Revenue </t>
  </si>
  <si>
    <t>Interest bearing liabilities</t>
  </si>
  <si>
    <t xml:space="preserve">Other Liabilities </t>
  </si>
  <si>
    <t>Total Liabilities (Total of Lines 20 to 25)</t>
  </si>
  <si>
    <t>Shareholders' Equity</t>
  </si>
  <si>
    <t xml:space="preserve">Stated Capital </t>
  </si>
  <si>
    <t>Other Reserves</t>
  </si>
  <si>
    <t>Revaluation reserves</t>
  </si>
  <si>
    <t>Restricted regulatory reserve</t>
  </si>
  <si>
    <t xml:space="preserve">Retained Earnings </t>
  </si>
  <si>
    <t>Total Shareholders' Equity (27 to 30)</t>
  </si>
  <si>
    <t>=+'Balance Sheet 2021'!D290+'Balance Sheet 2021'!D285+'Balance Sheet 2021'!D295+</t>
  </si>
  <si>
    <t>Total Liabilities and Shareholders' Equity ( 26+31)</t>
  </si>
  <si>
    <t>ANDBPLC</t>
  </si>
  <si>
    <t>AIA Insurance</t>
  </si>
  <si>
    <t>AmanaLife</t>
  </si>
  <si>
    <t xml:space="preserve">Right of Use assets </t>
  </si>
  <si>
    <t>Total Liabilities and Shareholders' Equity (26+31)</t>
  </si>
  <si>
    <t xml:space="preserve">Arpico </t>
  </si>
  <si>
    <t xml:space="preserve">Right of use assets </t>
  </si>
  <si>
    <t xml:space="preserve">Right of use  assets </t>
  </si>
  <si>
    <t>NIC</t>
  </si>
  <si>
    <t xml:space="preserve">National Insurance Corporation </t>
  </si>
  <si>
    <t xml:space="preserve">SriLanka Insurance </t>
  </si>
  <si>
    <t>Unaudited</t>
  </si>
  <si>
    <t>STATEMENT FINANCIAL POSITION AS AT 31ST DECEMBER 2021  - LIFE INSURANCE BUSINESS</t>
  </si>
  <si>
    <t>AS AT 31.12.2021</t>
  </si>
  <si>
    <t>13. Extract of Income Statement of Long Term Insurance Business - 2022</t>
  </si>
  <si>
    <t>FOR THE YEAR  ENDED 31.12.2022</t>
  </si>
  <si>
    <t xml:space="preserve">Note </t>
  </si>
  <si>
    <t>Shareholders</t>
  </si>
  <si>
    <t>Linked Long-term Business</t>
  </si>
  <si>
    <t>Non-unit  account</t>
  </si>
  <si>
    <t xml:space="preserve">Unit Account- Non guaranteed </t>
  </si>
  <si>
    <t>(2+6+10)</t>
  </si>
  <si>
    <t>(3+4+5)</t>
  </si>
  <si>
    <t>(7+8+9)</t>
  </si>
  <si>
    <t>GWP</t>
  </si>
  <si>
    <t>Premiums ceded to reinsurers</t>
  </si>
  <si>
    <t xml:space="preserve">Net change in reserve for unearned premium </t>
  </si>
  <si>
    <r>
      <t xml:space="preserve">Net earned premiums </t>
    </r>
    <r>
      <rPr>
        <b/>
        <sz val="10"/>
        <color rgb="FFFF0000"/>
        <rFont val="Tahoma"/>
        <family val="2"/>
      </rPr>
      <t>[1-2+3]</t>
    </r>
  </si>
  <si>
    <t>Other revenue (5.1 to 5.5)</t>
  </si>
  <si>
    <t>Investment income</t>
  </si>
  <si>
    <t>Fees and commission income</t>
  </si>
  <si>
    <t>Realized gains</t>
  </si>
  <si>
    <t>Fair value gains and losses</t>
  </si>
  <si>
    <t>Other operating revenue (Please specify)</t>
  </si>
  <si>
    <t xml:space="preserve">   Sundry Income</t>
  </si>
  <si>
    <t>……………………</t>
  </si>
  <si>
    <t>Net Income (4+5)</t>
  </si>
  <si>
    <t>Gross benefits and claims paid</t>
  </si>
  <si>
    <t>Claims ceded to reinsurers</t>
  </si>
  <si>
    <t>Gross change in contract liabilities</t>
  </si>
  <si>
    <t>Change in contract liabilities ceded to reinsurers</t>
  </si>
  <si>
    <t xml:space="preserve">Change in contract liability - life </t>
  </si>
  <si>
    <t>Change in contract liability due to transfer of One-off Surplus</t>
  </si>
  <si>
    <t>Net benefits and claims (7 to 11)</t>
  </si>
  <si>
    <r>
      <t xml:space="preserve">Underwriting and acquisition costs </t>
    </r>
    <r>
      <rPr>
        <sz val="10"/>
        <color rgb="FFFF0000"/>
        <rFont val="Tahoma"/>
        <family val="2"/>
      </rPr>
      <t>(including reinsurance)</t>
    </r>
  </si>
  <si>
    <t>Other operating and administrative expenses</t>
  </si>
  <si>
    <t>Profit attributable to unit-holders</t>
  </si>
  <si>
    <t xml:space="preserve">Finance costs </t>
  </si>
  <si>
    <t>Other expenses (15 to 17)</t>
  </si>
  <si>
    <r>
      <t>Profit before tax</t>
    </r>
    <r>
      <rPr>
        <b/>
        <sz val="10"/>
        <color rgb="FFFF0000"/>
        <rFont val="Tahoma"/>
        <family val="2"/>
      </rPr>
      <t xml:space="preserve"> (6+12-13-18)</t>
    </r>
  </si>
  <si>
    <t>Income tax expense</t>
  </si>
  <si>
    <t>Profit for the period (19-20)</t>
  </si>
  <si>
    <t>Softlogic</t>
  </si>
  <si>
    <t>Sundry Income</t>
  </si>
  <si>
    <t>Profit before tax (6+12-13-18)</t>
  </si>
  <si>
    <t xml:space="preserve">    Forign currency exchange gains/(losses)</t>
  </si>
  <si>
    <t xml:space="preserve">    Interest income on cash and cash equivalents</t>
  </si>
  <si>
    <t xml:space="preserve">    Interest income on policy loans and other loans</t>
  </si>
  <si>
    <t xml:space="preserve">    Other sundry income</t>
  </si>
  <si>
    <t>Rent Income</t>
  </si>
  <si>
    <t>Sundry income</t>
  </si>
  <si>
    <t>Disposal on PPE</t>
  </si>
  <si>
    <t>Profit on sale of property, plant and equipment</t>
  </si>
  <si>
    <t>Others</t>
  </si>
  <si>
    <t>Net earned premiums [1-2+3]</t>
  </si>
  <si>
    <t>Underwriting and acquisition costs (including reinsurance)</t>
  </si>
  <si>
    <t xml:space="preserve">National Insurance </t>
  </si>
  <si>
    <t>14. Extract of Income Statement of Long Term Insurance Business - 2021</t>
  </si>
  <si>
    <t>FOR THE YEAR  ENDED 31.12.2021</t>
  </si>
  <si>
    <t xml:space="preserve">    Sundry Income</t>
  </si>
  <si>
    <t xml:space="preserve">   Interest income on policy loans and other loans</t>
  </si>
  <si>
    <t xml:space="preserve">   Interest income on cash and cash equivalents</t>
  </si>
  <si>
    <t xml:space="preserve">   Foreign currency exchange losses</t>
  </si>
  <si>
    <t xml:space="preserve">   sundry income</t>
  </si>
  <si>
    <t>Disposal Gain on PPE</t>
  </si>
  <si>
    <t>Gain on Lease Modification</t>
  </si>
  <si>
    <t>Surplus Transfer to Shareholder</t>
  </si>
  <si>
    <r>
      <t>Industry Balance sheet as at 31</t>
    </r>
    <r>
      <rPr>
        <b/>
        <vertAlign val="superscript"/>
        <sz val="10"/>
        <color rgb="FF000000"/>
        <rFont val="Tahoma"/>
        <family val="2"/>
      </rPr>
      <t>st</t>
    </r>
    <r>
      <rPr>
        <b/>
        <sz val="10"/>
        <color rgb="FF000000"/>
        <rFont val="Tahoma"/>
        <family val="2"/>
      </rPr>
      <t xml:space="preserve"> December 2022 (General Insurance Business)</t>
    </r>
  </si>
  <si>
    <t>Line</t>
  </si>
  <si>
    <t>General Insurance Business</t>
  </si>
  <si>
    <t>SRCC Collected by NITF</t>
  </si>
  <si>
    <t>Total Industry excluding Reinsurance</t>
  </si>
  <si>
    <t>Reinsurance of NITF</t>
  </si>
  <si>
    <t>6.1 Investment in segregrated company</t>
  </si>
  <si>
    <t>6.2 Investment in Other companies</t>
  </si>
  <si>
    <t>Investment Associates</t>
  </si>
  <si>
    <t>7.1 Investment in segregrated company</t>
  </si>
  <si>
    <t>7.2 Investment in Other companies</t>
  </si>
  <si>
    <t>Deffered Acquisistion Cost</t>
  </si>
  <si>
    <t>Total assets (Total of Lines 1 to 8 and 13 to 18)</t>
  </si>
  <si>
    <r>
      <t>Total liabilities (Total of Lines 20</t>
    </r>
    <r>
      <rPr>
        <b/>
        <i/>
        <sz val="10"/>
        <rFont val="Tahoma"/>
        <family val="2"/>
      </rPr>
      <t xml:space="preserve"> - </t>
    </r>
    <r>
      <rPr>
        <b/>
        <sz val="10"/>
        <rFont val="Tahoma"/>
        <family val="2"/>
      </rPr>
      <t>25)</t>
    </r>
  </si>
  <si>
    <t>Shareholder's equity</t>
  </si>
  <si>
    <t>Stated Capital</t>
  </si>
  <si>
    <t>Note: Difference is due to Intersegment receivable and payable balances of NITF</t>
  </si>
  <si>
    <t>Company wise Balance sheets as at 31st December 2022 - General Insurance Business (Cont..)</t>
  </si>
  <si>
    <t>Alianz Gen.</t>
  </si>
  <si>
    <t>General Insurance Business                   (Rs. '000)</t>
  </si>
  <si>
    <t>Total liabilities (Total of Lines 20-25)</t>
  </si>
  <si>
    <t>6.1 Investment in segregated company</t>
  </si>
  <si>
    <t>6.2 Investment in other companies</t>
  </si>
  <si>
    <t>7.1 Investment in segregated company</t>
  </si>
  <si>
    <t>7.2 Investment in other companies</t>
  </si>
  <si>
    <r>
      <t>Company wise Balance sheets as at 31</t>
    </r>
    <r>
      <rPr>
        <b/>
        <vertAlign val="superscript"/>
        <sz val="10"/>
        <color rgb="FF000000"/>
        <rFont val="Tahoma"/>
        <family val="2"/>
      </rPr>
      <t>st</t>
    </r>
    <r>
      <rPr>
        <b/>
        <sz val="10"/>
        <color rgb="FF000000"/>
        <rFont val="Tahoma"/>
        <family val="2"/>
      </rPr>
      <t xml:space="preserve"> December 2022 - General Insurance Business (Cont..)</t>
    </r>
  </si>
  <si>
    <t>Coperative Gen.</t>
  </si>
  <si>
    <t>SRCC &amp; T</t>
  </si>
  <si>
    <t>Total  excluding Reinsurance</t>
  </si>
  <si>
    <t>Reinsurance</t>
  </si>
  <si>
    <t xml:space="preserve">   </t>
  </si>
  <si>
    <t>People's</t>
  </si>
  <si>
    <r>
      <t>Company wise Balance sheets as at 31</t>
    </r>
    <r>
      <rPr>
        <b/>
        <vertAlign val="superscript"/>
        <sz val="10"/>
        <color rgb="FF000000"/>
        <rFont val="Tahoma"/>
        <family val="2"/>
      </rPr>
      <t>st</t>
    </r>
    <r>
      <rPr>
        <b/>
        <sz val="10"/>
        <color rgb="FF000000"/>
        <rFont val="Tahoma"/>
        <family val="2"/>
      </rPr>
      <t xml:space="preserve"> December 2022- General Insurance Business (Cont..)</t>
    </r>
  </si>
  <si>
    <r>
      <t>16. Industry Balance sheet as at 31</t>
    </r>
    <r>
      <rPr>
        <b/>
        <vertAlign val="superscript"/>
        <sz val="10"/>
        <color rgb="FF000000"/>
        <rFont val="Tahoma"/>
        <family val="2"/>
      </rPr>
      <t>st</t>
    </r>
    <r>
      <rPr>
        <b/>
        <sz val="10"/>
        <color rgb="FF000000"/>
        <rFont val="Tahoma"/>
        <family val="2"/>
      </rPr>
      <t xml:space="preserve"> December 2021 - General Insurance Business - (Reinstated with Audited in 2021)</t>
    </r>
  </si>
  <si>
    <t>Right of Use Asset</t>
  </si>
  <si>
    <r>
      <t>Company wise Balance sheets as at 31</t>
    </r>
    <r>
      <rPr>
        <b/>
        <vertAlign val="superscript"/>
        <sz val="10"/>
        <color rgb="FF000000"/>
        <rFont val="Tahoma"/>
        <family val="2"/>
      </rPr>
      <t xml:space="preserve">st </t>
    </r>
    <r>
      <rPr>
        <b/>
        <sz val="10"/>
        <color rgb="FF000000"/>
        <rFont val="Tahoma"/>
        <family val="2"/>
      </rPr>
      <t xml:space="preserve">December 2021 - General Insurance Business (Cont..) </t>
    </r>
  </si>
  <si>
    <t xml:space="preserve"> (Reinstated with Audited in 2021)</t>
  </si>
  <si>
    <r>
      <t>Company wise Balance sheets as at 31</t>
    </r>
    <r>
      <rPr>
        <b/>
        <vertAlign val="superscript"/>
        <sz val="10"/>
        <color rgb="FF000000"/>
        <rFont val="Tahoma"/>
        <family val="2"/>
      </rPr>
      <t xml:space="preserve">st </t>
    </r>
    <r>
      <rPr>
        <b/>
        <sz val="10"/>
        <color rgb="FF000000"/>
        <rFont val="Tahoma"/>
        <family val="2"/>
      </rPr>
      <t xml:space="preserve">December 2021- General Insurance Business (Cont..) </t>
    </r>
  </si>
  <si>
    <r>
      <t>Company wise Balance sheets as at 31</t>
    </r>
    <r>
      <rPr>
        <b/>
        <vertAlign val="superscript"/>
        <sz val="10"/>
        <color rgb="FF000000"/>
        <rFont val="Tahoma"/>
        <family val="2"/>
      </rPr>
      <t xml:space="preserve">st </t>
    </r>
    <r>
      <rPr>
        <b/>
        <sz val="10"/>
        <color rgb="FF000000"/>
        <rFont val="Tahoma"/>
        <family val="2"/>
      </rPr>
      <t xml:space="preserve">December 2022 - General Insurance Business (Cont..) </t>
    </r>
  </si>
  <si>
    <t>General Insurance Business (Rs. '000)</t>
  </si>
  <si>
    <t>17. Extract of Income Statement of General Insurance Business - 2022</t>
  </si>
  <si>
    <t>Fire</t>
  </si>
  <si>
    <t>Marine</t>
  </si>
  <si>
    <t>Motor</t>
  </si>
  <si>
    <t>Health</t>
  </si>
  <si>
    <t>Miscellaneous</t>
  </si>
  <si>
    <t xml:space="preserve">Reinsurance </t>
  </si>
  <si>
    <t>3rd party only</t>
  </si>
  <si>
    <t>Comprehensive</t>
  </si>
  <si>
    <t xml:space="preserve"> - Coinsurance outward </t>
  </si>
  <si>
    <t xml:space="preserve"> - SRCC &amp; TC Premium </t>
  </si>
  <si>
    <t xml:space="preserve"> - Reinsurance</t>
  </si>
  <si>
    <t>NWP (1-(2+3+4))</t>
  </si>
  <si>
    <t>Change in UEP</t>
  </si>
  <si>
    <t>NEP (5+6)</t>
  </si>
  <si>
    <t>Benefits/losses</t>
  </si>
  <si>
    <t>Non Life Insurance Losses and Loss Adj Exp(net)</t>
  </si>
  <si>
    <t>Underwriting and Net Acquisition Costs</t>
  </si>
  <si>
    <t>Other Insurance related costs (net)</t>
  </si>
  <si>
    <t>Underwriting Results</t>
  </si>
  <si>
    <t>Other Revenue</t>
  </si>
  <si>
    <t>Fees &amp; commission income</t>
  </si>
  <si>
    <t xml:space="preserve">Income from investments </t>
  </si>
  <si>
    <t>Realized Gains</t>
  </si>
  <si>
    <t>Fair value Gains &amp; Losses</t>
  </si>
  <si>
    <t>Other income</t>
  </si>
  <si>
    <t>Expenses</t>
  </si>
  <si>
    <t>Other operating, investment related and admin expenses</t>
  </si>
  <si>
    <t>Amortisation of goodwill &amp; Intangible Assets</t>
  </si>
  <si>
    <t>Profit from operations</t>
  </si>
  <si>
    <t>Interest expense</t>
  </si>
  <si>
    <t>Profit before taxation</t>
  </si>
  <si>
    <t>Tax</t>
  </si>
  <si>
    <t>Profit After taxation</t>
  </si>
  <si>
    <t>Extract of Income Statement of General Insurance Business - 2022(Cont..)</t>
  </si>
  <si>
    <t>Extract of Income Statement of General Insurance Business - 2022 (Cont..)</t>
  </si>
  <si>
    <t xml:space="preserve"> - SRCC &amp; TC Premium</t>
  </si>
  <si>
    <t>Income from investments - 2.2</t>
  </si>
  <si>
    <t xml:space="preserve"> - Coinsurance outward</t>
  </si>
  <si>
    <t>SRCC</t>
  </si>
  <si>
    <t>18.  Extract of Income Statement of General Insurance Business - 2021 - (Reinstated with Audited 2021)</t>
  </si>
  <si>
    <t>Extract of Income Statement of General Insurance Business - 2021 Cont..) - (Reinstated with Audited 2021)</t>
  </si>
  <si>
    <t>Extract of Income Statement of General Insurance Business - 2021 (Cont..) - (Reinstated with Audited 2021)</t>
  </si>
  <si>
    <t>Extract of Income Statement of General Insurance Business - 2021(Cont..) - (Reinstated with Audited 202)</t>
  </si>
  <si>
    <t>NEP (5+5)</t>
  </si>
  <si>
    <r>
      <t>19. Company - wise Analysis of Total Available Capital (TAC) as at 31</t>
    </r>
    <r>
      <rPr>
        <b/>
        <vertAlign val="superscript"/>
        <sz val="10"/>
        <color rgb="FF000000"/>
        <rFont val="Tahoma"/>
        <family val="2"/>
      </rPr>
      <t>st</t>
    </r>
    <r>
      <rPr>
        <b/>
        <sz val="10"/>
        <color rgb="FF000000"/>
        <rFont val="Tahoma"/>
        <family val="2"/>
      </rPr>
      <t xml:space="preserve"> December 2021 &amp; 2022 - Long Term Insurance Business</t>
    </r>
  </si>
  <si>
    <r>
      <t>As at 31</t>
    </r>
    <r>
      <rPr>
        <b/>
        <vertAlign val="superscript"/>
        <sz val="10"/>
        <color theme="0"/>
        <rFont val="Tahoma"/>
        <family val="2"/>
      </rPr>
      <t>st</t>
    </r>
    <r>
      <rPr>
        <b/>
        <sz val="10"/>
        <color theme="0"/>
        <rFont val="Tahoma"/>
        <family val="2"/>
      </rPr>
      <t xml:space="preserve"> December 2021 (a)</t>
    </r>
  </si>
  <si>
    <r>
      <t>As at 31</t>
    </r>
    <r>
      <rPr>
        <b/>
        <vertAlign val="superscript"/>
        <sz val="10"/>
        <color theme="0"/>
        <rFont val="Tahoma"/>
        <family val="2"/>
      </rPr>
      <t>st</t>
    </r>
    <r>
      <rPr>
        <b/>
        <sz val="10"/>
        <color theme="0"/>
        <rFont val="Tahoma"/>
        <family val="2"/>
      </rPr>
      <t xml:space="preserve"> December 2022 (b)</t>
    </r>
  </si>
  <si>
    <t>Total Available Capital</t>
  </si>
  <si>
    <t>Tier 1</t>
  </si>
  <si>
    <t>Tier II</t>
  </si>
  <si>
    <t>Deductions</t>
  </si>
  <si>
    <r>
      <t>20. Company - wise Analysis of Risk Capital Required (RCR) as  at 31</t>
    </r>
    <r>
      <rPr>
        <b/>
        <vertAlign val="superscript"/>
        <sz val="10"/>
        <color rgb="FF000000"/>
        <rFont val="Tahoma"/>
        <family val="2"/>
      </rPr>
      <t>st</t>
    </r>
    <r>
      <rPr>
        <b/>
        <sz val="10"/>
        <color rgb="FF000000"/>
        <rFont val="Tahoma"/>
        <family val="2"/>
      </rPr>
      <t xml:space="preserve"> December 2021 &amp; 2022 - Long Term Insurance Business</t>
    </r>
  </si>
  <si>
    <r>
      <t>As at 31</t>
    </r>
    <r>
      <rPr>
        <b/>
        <vertAlign val="superscript"/>
        <sz val="10"/>
        <color theme="0"/>
        <rFont val="Tahoma"/>
        <family val="2"/>
      </rPr>
      <t>st</t>
    </r>
    <r>
      <rPr>
        <b/>
        <sz val="10"/>
        <color theme="0"/>
        <rFont val="Tahoma"/>
        <family val="2"/>
      </rPr>
      <t xml:space="preserve"> December 2021 (a) (Rs.'000)</t>
    </r>
  </si>
  <si>
    <t>Credit Risk</t>
  </si>
  <si>
    <t>Concentration Risk</t>
  </si>
  <si>
    <t>Market Risk</t>
  </si>
  <si>
    <t>Reinsurance Risk</t>
  </si>
  <si>
    <t>Liability Rsik</t>
  </si>
  <si>
    <t>Operational Risk</t>
  </si>
  <si>
    <t>Total Risk Capital Charge (RCR) before diversification</t>
  </si>
  <si>
    <t>Total Risk Capital Charge (RCR) after diversification</t>
  </si>
  <si>
    <r>
      <t>As at 31</t>
    </r>
    <r>
      <rPr>
        <b/>
        <vertAlign val="superscript"/>
        <sz val="10"/>
        <color theme="0"/>
        <rFont val="Tahoma"/>
        <family val="2"/>
      </rPr>
      <t>st</t>
    </r>
    <r>
      <rPr>
        <b/>
        <sz val="10"/>
        <color theme="0"/>
        <rFont val="Tahoma"/>
        <family val="2"/>
      </rPr>
      <t xml:space="preserve"> December 2022 (b) (Rs.'000)</t>
    </r>
  </si>
  <si>
    <r>
      <t>21. Company - wise Analysis of Total Available Capital (TAC) as at 31</t>
    </r>
    <r>
      <rPr>
        <b/>
        <vertAlign val="superscript"/>
        <sz val="10"/>
        <color rgb="FF000000"/>
        <rFont val="Tahoma"/>
        <family val="2"/>
      </rPr>
      <t>st</t>
    </r>
    <r>
      <rPr>
        <b/>
        <sz val="10"/>
        <color rgb="FF000000"/>
        <rFont val="Tahoma"/>
        <family val="2"/>
      </rPr>
      <t xml:space="preserve"> December 2021 &amp; 2022 - General Insurance Business</t>
    </r>
  </si>
  <si>
    <t>(All Figures in Rs. '000)</t>
  </si>
  <si>
    <t xml:space="preserve">TAC 
as at 31st December 2021 (a) 
</t>
  </si>
  <si>
    <t>As at 31st December 2022 (b)</t>
  </si>
  <si>
    <t>TAC</t>
  </si>
  <si>
    <r>
      <t>22. Company - wise Analysis of Risk Capital Required (RCR) as  at 31</t>
    </r>
    <r>
      <rPr>
        <b/>
        <vertAlign val="superscript"/>
        <sz val="10"/>
        <color rgb="FF000000"/>
        <rFont val="Tahoma"/>
        <family val="2"/>
      </rPr>
      <t>st</t>
    </r>
    <r>
      <rPr>
        <b/>
        <sz val="10"/>
        <color rgb="FF000000"/>
        <rFont val="Tahoma"/>
        <family val="2"/>
      </rPr>
      <t xml:space="preserve"> December 2021 &amp; 2022 - General Insurance Business</t>
    </r>
  </si>
  <si>
    <r>
      <t>23. Company - wise Analysis of Solvency Position as at 31</t>
    </r>
    <r>
      <rPr>
        <b/>
        <vertAlign val="superscript"/>
        <sz val="10"/>
        <color rgb="FF000000"/>
        <rFont val="Tahoma"/>
        <family val="2"/>
      </rPr>
      <t>st</t>
    </r>
    <r>
      <rPr>
        <b/>
        <sz val="10"/>
        <color rgb="FF000000"/>
        <rFont val="Tahoma"/>
        <family val="2"/>
      </rPr>
      <t xml:space="preserve"> December 2021 &amp; 2022 - Long Term Insurance Business</t>
    </r>
  </si>
  <si>
    <t>TAC                  (Rs. '000)</t>
  </si>
  <si>
    <t>RCR             (Rs. '000)</t>
  </si>
  <si>
    <t>SVCC              (Rs. '000)</t>
  </si>
  <si>
    <t>CAR (%)</t>
  </si>
  <si>
    <t>Total/Overall</t>
  </si>
  <si>
    <t>24. Company - wise Analysis of Solvency Position as at 31st December 2021 &amp; 2022- General Insurance Business</t>
  </si>
  <si>
    <t>As at 31st December 2021 (a)</t>
  </si>
  <si>
    <t>TAC (Rs. '000)</t>
  </si>
  <si>
    <t>RCR (Rs. '000)</t>
  </si>
  <si>
    <t>25. Class - wise, Company wise Analysis of Gross Written Premium from  2018 to 2022 - General Insurance Business</t>
  </si>
  <si>
    <t>Class - wise Analysis of Gross Written Premium of General Insurance Business - 2022</t>
  </si>
  <si>
    <t>Class - wise Analysis of Gross Written Premium of General Insurance Business - 2021</t>
  </si>
  <si>
    <t>Class - wise Analysis of Gross Written Premium of General Insurance Business - 2020</t>
  </si>
  <si>
    <t>Class - wise Analysis of Gross Written Premium of General Insurance Business - 2019</t>
  </si>
  <si>
    <t>Class - wise Analysis of Gross Written Premium of General Insurance Business - 2018</t>
  </si>
  <si>
    <t xml:space="preserve">Fire                     </t>
  </si>
  <si>
    <t xml:space="preserve">Marine                      </t>
  </si>
  <si>
    <t xml:space="preserve">Motor                            </t>
  </si>
  <si>
    <t xml:space="preserve">Miscellaneous            </t>
  </si>
  <si>
    <t xml:space="preserve">Total                           </t>
  </si>
  <si>
    <t>26. Net Earned Premium, Net Claims Incurred, Net Claims Ratio, Net Expense Ratio and Net Combined Ratio of General Insurance Business - 2018 to 2022</t>
  </si>
  <si>
    <t>Class</t>
  </si>
  <si>
    <t>Net Earned Premium (Rs. '000)</t>
  </si>
  <si>
    <t xml:space="preserve">Sub Total </t>
  </si>
  <si>
    <t>Net Claims Incurred (Rs. '000)</t>
  </si>
  <si>
    <t>Net Claims Ratio (%)</t>
  </si>
  <si>
    <t>Description</t>
  </si>
  <si>
    <t>Net Expenses (Rs. '000)</t>
  </si>
  <si>
    <t>Net Expenses for all classes of General Insurance Business except SRCC &amp; T</t>
  </si>
  <si>
    <t>Net Expense Ratio (%)</t>
  </si>
  <si>
    <t>Net Expenses Ratio for all classes of General Insurance Business except SRCC &amp; T</t>
  </si>
  <si>
    <t>Net Expense Ratio of General Insurance Business</t>
  </si>
  <si>
    <t>Net Combined Ratio (%)</t>
  </si>
  <si>
    <t>2021 (b)</t>
  </si>
  <si>
    <t>Net Combined Ratio for all classes of General Insurance Business except SRCC &amp; T</t>
  </si>
  <si>
    <t>Net Combined Ratio of General Insurance Business</t>
  </si>
  <si>
    <t>27.  Class - wise Analysis of Earned Premium of General Insurance Business -2018 to 2022</t>
  </si>
  <si>
    <t>Class - wise Analysis of Earned Premium of General Insurance Business - 2022</t>
  </si>
  <si>
    <t xml:space="preserve">Total                            </t>
  </si>
  <si>
    <t>Sub Total</t>
  </si>
  <si>
    <t>Class - wise Analysis of Earned Premium of General Insurance Business - 2021</t>
  </si>
  <si>
    <t>Class - wise Analysis of Earned Premium of General Insurance Business - 2020</t>
  </si>
  <si>
    <t>Class - wise Analysis of Earned Premium of General Insurance Business - 2019</t>
  </si>
  <si>
    <t>Class - wise Analysis of Earned Premium of General Insurance Business - 2018</t>
  </si>
  <si>
    <t xml:space="preserve"> Health</t>
  </si>
  <si>
    <t>28. Class - wise Analysis of Claims Incurred - General Insurance Business - 2018 to 2022</t>
  </si>
  <si>
    <t>Class - wise Analysis of Claims Incurred - General Insurance Business - 2022</t>
  </si>
  <si>
    <t xml:space="preserve">Marine                       </t>
  </si>
  <si>
    <t xml:space="preserve"> Health               </t>
  </si>
  <si>
    <t xml:space="preserve">Miscellaneous          </t>
  </si>
  <si>
    <t>Class - wise Analysis of Claims Incurred - General Insurance Business - 2021</t>
  </si>
  <si>
    <t>Class - wise Analysis of Claims Incurred - General Insurance Business - 2020</t>
  </si>
  <si>
    <t>Class - wise Analysis of Claims Incurred - General Insurance Business - 2019</t>
  </si>
  <si>
    <t>Class - wise Analysis of Claims Incurred - General Insurance Business - 2018</t>
  </si>
  <si>
    <t>29. Company - wise Net Combined Ratio of General Insurance Business - 2018 to 2022</t>
  </si>
  <si>
    <t>(All figures in % )</t>
  </si>
  <si>
    <t xml:space="preserve">2021 (a)     </t>
  </si>
  <si>
    <t xml:space="preserve">2022 (b)     </t>
  </si>
  <si>
    <t>2015 (b)</t>
  </si>
  <si>
    <t>Janashakthi Gen.</t>
  </si>
  <si>
    <t xml:space="preserve">Industry </t>
  </si>
  <si>
    <t>30. Gross Written Premium, Reinsurance Premium and Retention by Insurers - General Insurance Business</t>
  </si>
  <si>
    <t>Gross Written Premium (Rs.'000)</t>
  </si>
  <si>
    <t xml:space="preserve">Miscellaneous </t>
  </si>
  <si>
    <t xml:space="preserve"> Total </t>
  </si>
  <si>
    <t>Reinsurance Premium (Rs.'000)</t>
  </si>
  <si>
    <t>Total Reinsurance Premium</t>
  </si>
  <si>
    <t>Retention (Rs.'000)</t>
  </si>
  <si>
    <t>Total Net Written Premium</t>
  </si>
  <si>
    <t>Retention as a percentage of  Gross Written Premium (%)</t>
  </si>
  <si>
    <t>Overall Retention Ratio</t>
  </si>
  <si>
    <t>31.  Class - wise  Analysis of Reinsurance Premium of General Insurance Business - 2018 to 2022</t>
  </si>
  <si>
    <t>Class - wise Analysis of Reinsurance  Premium - General Insurance Business - 2022</t>
  </si>
  <si>
    <t>(All figures in Rs.'000 )</t>
  </si>
  <si>
    <t xml:space="preserve">Miscellaneous             </t>
  </si>
  <si>
    <t>Class - wise Analysis of Reinsurance  Premium - General Insurance Business - 2021</t>
  </si>
  <si>
    <t>Class - wise Analysis of Reinsurance  Premium - General Insurance Business - 2020</t>
  </si>
  <si>
    <t>Class - wise Analysis of Reinsurance  Premium - General Insurance Business - 2019</t>
  </si>
  <si>
    <t>Class - wise Analysis of Reinsurance  Premium - General Insurance Business - 2018</t>
  </si>
  <si>
    <r>
      <t>32. Branch Network, Employees &amp; Agents as at 31</t>
    </r>
    <r>
      <rPr>
        <b/>
        <vertAlign val="superscript"/>
        <sz val="10"/>
        <color rgb="FF000000"/>
        <rFont val="Tahoma"/>
        <family val="2"/>
      </rPr>
      <t>st</t>
    </r>
    <r>
      <rPr>
        <b/>
        <sz val="10"/>
        <color rgb="FF000000"/>
        <rFont val="Tahoma"/>
        <family val="2"/>
      </rPr>
      <t xml:space="preserve"> December 2022</t>
    </r>
  </si>
  <si>
    <t>Indusrtry</t>
  </si>
  <si>
    <t>Province</t>
  </si>
  <si>
    <t>No. of Branches</t>
  </si>
  <si>
    <t>No. of Employees including employees at Head Office</t>
  </si>
  <si>
    <t xml:space="preserve">No. of Agents </t>
  </si>
  <si>
    <t xml:space="preserve">General </t>
  </si>
  <si>
    <t>Long Term</t>
  </si>
  <si>
    <t>Composite</t>
  </si>
  <si>
    <t>Central Province</t>
  </si>
  <si>
    <t>Eastern Province</t>
  </si>
  <si>
    <t>North Central Province</t>
  </si>
  <si>
    <t>North Western Province</t>
  </si>
  <si>
    <t>Nothern Province</t>
  </si>
  <si>
    <t>Sabaragamuwa Province</t>
  </si>
  <si>
    <t>Southern Province</t>
  </si>
  <si>
    <t>Uva Province</t>
  </si>
  <si>
    <t>Western Province</t>
  </si>
  <si>
    <t>Northern Province</t>
  </si>
  <si>
    <t>No. of employees including employees at Head Office</t>
  </si>
  <si>
    <t xml:space="preserve">No. of Employees including employees at Head Office </t>
  </si>
  <si>
    <t xml:space="preserve">Continental  Life </t>
  </si>
  <si>
    <t>Note: Company Amana Takaful has entered no. of employees who is serving both gen and life companies under composite which is not inconsistent with our format. Hence, we added those employees to parent company which is Amana Takaful PLC in order to avoid double counting of employees.</t>
  </si>
  <si>
    <t>Branch Network, Employees &amp; Agents as at 31st December 2014</t>
  </si>
  <si>
    <t>Companies</t>
  </si>
  <si>
    <t>Number of agents</t>
  </si>
  <si>
    <t xml:space="preserve">others </t>
  </si>
  <si>
    <t>No. of Employees</t>
  </si>
  <si>
    <t>No. of Agents</t>
  </si>
  <si>
    <t>Bancassurance</t>
  </si>
  <si>
    <t>Table 3</t>
  </si>
  <si>
    <t>List of tables'!A1</t>
  </si>
  <si>
    <t>Company-wise Market Share of Gross Written Premium - Long Term Insurance Business</t>
  </si>
  <si>
    <t>Company-wise Market Share of Gross Written Premium - Long-term Insurance Business</t>
  </si>
  <si>
    <t xml:space="preserve">Top Five Insurers'  Market Share as a % of Gross Written Premium for last 5 years - Long Term Insurance Business
</t>
  </si>
  <si>
    <t>Growth Rate</t>
  </si>
  <si>
    <t>Rank 2008</t>
  </si>
  <si>
    <t>Rank 2012</t>
  </si>
  <si>
    <t>Growth  Rate %</t>
  </si>
  <si>
    <t>Growth  Rate % - Ceylinco</t>
  </si>
  <si>
    <t>Growth  Rate % - AIA</t>
  </si>
  <si>
    <t>Growth  Rate % - SLIC</t>
  </si>
  <si>
    <t>Top 5 Companies Market Share Analysis 2009 to 2013 - LTIB</t>
  </si>
  <si>
    <t>Growth  Rate % - UAL</t>
  </si>
  <si>
    <t>Change</t>
  </si>
  <si>
    <t>Growth  Rate % - Janashakthi</t>
  </si>
  <si>
    <t>Top 5</t>
  </si>
  <si>
    <t>Chart 2</t>
  </si>
  <si>
    <t>Growth  Rate(%)</t>
  </si>
  <si>
    <t>(a) Reinstated Audited figures</t>
  </si>
  <si>
    <t>(b) Provisional figures</t>
  </si>
  <si>
    <t>Chart 01</t>
  </si>
  <si>
    <t>Rank 09</t>
  </si>
  <si>
    <t>Rank 10</t>
  </si>
  <si>
    <t>Rank 11</t>
  </si>
  <si>
    <t>Rank 12</t>
  </si>
  <si>
    <t>Rank 13</t>
  </si>
  <si>
    <t>33. Number of New Insurance Policies Issued - Long Term Insurance Buisness</t>
  </si>
  <si>
    <t>Breakup of Investment Income and Average Investments - Long Term Insurance Business</t>
  </si>
  <si>
    <t>Category</t>
  </si>
  <si>
    <t>Investment Income                                            (Rs. '000)</t>
  </si>
  <si>
    <t>Average Investments        (Rs. '000)</t>
  </si>
  <si>
    <t>Investment Yield Ratio (%)</t>
  </si>
  <si>
    <t>Investment Income                                               (Rs. '000)</t>
  </si>
  <si>
    <t>Average Investments  (Rs. '000)</t>
  </si>
  <si>
    <t xml:space="preserve">    - Treasury Bonds</t>
  </si>
  <si>
    <t xml:space="preserve">    - Treasury Bills</t>
  </si>
  <si>
    <t xml:space="preserve">    - Others (REPO)</t>
  </si>
  <si>
    <t>Equity</t>
  </si>
  <si>
    <t xml:space="preserve">    - Capital Gain/Losses</t>
  </si>
  <si>
    <t xml:space="preserve">    - Dividend</t>
  </si>
  <si>
    <t>Corporate Debts</t>
  </si>
  <si>
    <t xml:space="preserve">    - Debentures</t>
  </si>
  <si>
    <t xml:space="preserve">    - Commercial Papers</t>
  </si>
  <si>
    <t xml:space="preserve">    - Asset Backed Securities </t>
  </si>
  <si>
    <t xml:space="preserve">    - Other Similar Financial Instruments </t>
  </si>
  <si>
    <t>Land and Buildings</t>
  </si>
  <si>
    <t>Deposits</t>
  </si>
  <si>
    <t xml:space="preserve">      - Bank</t>
  </si>
  <si>
    <t xml:space="preserve">      - Finance Companies</t>
  </si>
  <si>
    <t>Unit Trust</t>
  </si>
  <si>
    <t>Gold</t>
  </si>
  <si>
    <t xml:space="preserve">Others </t>
  </si>
  <si>
    <t>Average 2012</t>
  </si>
  <si>
    <t>Average 2013</t>
  </si>
  <si>
    <t>Breakup of Investment Income Vs Average Investments - Long Term Insurance Business</t>
  </si>
  <si>
    <t>Average Investment    (Rs. '000)</t>
  </si>
  <si>
    <t>Average Investment  (Rs. '000)</t>
  </si>
  <si>
    <t xml:space="preserve">    - Asset backed securities </t>
  </si>
  <si>
    <t xml:space="preserve">    - Other similar financial instruments </t>
  </si>
  <si>
    <t xml:space="preserve"> The investment income belonging to shareholders of ALILL, AIL and LICLL have been reported under long term insurance business</t>
  </si>
  <si>
    <t>Average 2011</t>
  </si>
  <si>
    <t>Solvency Computation - Long Term Insurance Companies</t>
  </si>
  <si>
    <t>Total Insurance Industry</t>
  </si>
  <si>
    <t>as at 31/12/2009</t>
  </si>
  <si>
    <t>as at 31/12/2010</t>
  </si>
  <si>
    <t>As at 31/12/2011(a)</t>
  </si>
  <si>
    <t>As at 31/12/2012(b)</t>
  </si>
  <si>
    <t>As at 31/12/2013(b)</t>
  </si>
  <si>
    <t>Value of Admissible Assets (Rs. '000)</t>
  </si>
  <si>
    <t>Amount of liabilities  (Rs. '000)</t>
  </si>
  <si>
    <t xml:space="preserve"> - Policy Liabilities (Rs. '000)</t>
  </si>
  <si>
    <t xml:space="preserve"> - Other Liabilities (Rs. '000)</t>
  </si>
  <si>
    <t>Available Solvency Margin (ASM) (Rs. '000)</t>
  </si>
  <si>
    <t>Excess over RSM (Rs. Mn)</t>
  </si>
  <si>
    <t>Factor</t>
  </si>
  <si>
    <t>Required Solvency Margin (Policy Liabilities*0.05)</t>
  </si>
  <si>
    <t>Solvency Ratio</t>
  </si>
  <si>
    <t>as at 31/12/2009*</t>
  </si>
  <si>
    <t>as at 31/12/2010*</t>
  </si>
  <si>
    <t>as at 31/12/2011*</t>
  </si>
  <si>
    <t>as at 31/12/2012</t>
  </si>
  <si>
    <t>as at 31/12/2013</t>
  </si>
  <si>
    <t>Value of Admissible Assets</t>
  </si>
  <si>
    <t xml:space="preserve">Amount of liabilities </t>
  </si>
  <si>
    <t xml:space="preserve"> - Policy Liabilities</t>
  </si>
  <si>
    <t xml:space="preserve"> - Other Liabilities </t>
  </si>
  <si>
    <t>Available Solvency Margin (ASM)</t>
  </si>
  <si>
    <t>NICL</t>
  </si>
  <si>
    <t>Table 4</t>
  </si>
  <si>
    <t>Top 5 Companies Market Share of Gross Written Premium -   General Insurance Business</t>
  </si>
  <si>
    <t>Top 5 Companies Market Share Analysis 2009 to 2013 - GIB</t>
  </si>
  <si>
    <t xml:space="preserve">% Change </t>
  </si>
  <si>
    <t>Chart 05</t>
  </si>
  <si>
    <t>SRCC &amp; TC Premium due to NITF confirmed by Insurers</t>
  </si>
  <si>
    <t>Total Gross Written Premium and Growth Rate (Including SRCC &amp; TC)</t>
  </si>
  <si>
    <t>1. Strike, Riot, Civil Commotion and Terrorism (SRCC &amp; T) premium income of NITF was not considered for  insurance companies'  general  insurance GWP for the years  2010 to 2012.</t>
  </si>
  <si>
    <r>
      <t>3.CTL is prohibited from engaging in insurance business since 5</t>
    </r>
    <r>
      <rPr>
        <i/>
        <sz val="12"/>
        <color indexed="8"/>
        <rFont val="Calibri"/>
        <family val="2"/>
      </rPr>
      <t>th</t>
    </r>
    <r>
      <rPr>
        <i/>
        <sz val="11"/>
        <color indexed="8"/>
        <rFont val="Calibri"/>
        <family val="2"/>
      </rPr>
      <t xml:space="preserve"> August 2009. The company did not submit audited financials for since 2010 and relevant data for the year ended 31st December 2012.</t>
    </r>
  </si>
  <si>
    <t>Chart 4</t>
  </si>
  <si>
    <t>LT</t>
  </si>
  <si>
    <t>GI</t>
  </si>
  <si>
    <r>
      <t>3.CTL is prohibited from engaging in insurance business since 5</t>
    </r>
    <r>
      <rPr>
        <i/>
        <sz val="12"/>
        <color indexed="8"/>
        <rFont val="Calibri"/>
        <family val="2"/>
      </rPr>
      <t>th</t>
    </r>
    <r>
      <rPr>
        <i/>
        <sz val="11"/>
        <color indexed="8"/>
        <rFont val="Calibri"/>
        <family val="2"/>
      </rPr>
      <t xml:space="preserve"> August 2009. The company did not submit audited financials for the year ended 31st December 2010 and relevant data for the year ended 31st December 2011.</t>
    </r>
  </si>
  <si>
    <t>2007*</t>
  </si>
  <si>
    <t>Rank 07</t>
  </si>
  <si>
    <t>Rank 08</t>
  </si>
  <si>
    <t>Rank 2013</t>
  </si>
  <si>
    <t>Income Statement - General Insurance Business - 2012</t>
  </si>
  <si>
    <t>Total General Insurance Industry</t>
  </si>
  <si>
    <t>WCI</t>
  </si>
  <si>
    <t>Misc</t>
  </si>
  <si>
    <t xml:space="preserve"> - Coinsurance outward *</t>
  </si>
  <si>
    <t xml:space="preserve"> - SRCC &amp; TC Premium **</t>
  </si>
  <si>
    <t xml:space="preserve"> - Reinsurance***</t>
  </si>
  <si>
    <t>NWP (Line 2 - (sum of 3,4 &amp; 5))</t>
  </si>
  <si>
    <t>NEP</t>
  </si>
  <si>
    <t>Class-wise Analysis of Earned Premium Rs.'000 - General Insurance - 2013</t>
  </si>
  <si>
    <t>Sub-class</t>
  </si>
  <si>
    <t>Class-wise Analysis of Earned Premium Rs.'000 - General Insurance - 2012</t>
  </si>
  <si>
    <t>Class-wise Analysis of Earned Premium Rs.'000 - General Insurance - 2011</t>
  </si>
  <si>
    <t>Class-wise Analysis of Earned Premium - General Insurance - 2010</t>
  </si>
  <si>
    <t>Class-wise Analysis of Earned Premium - General Insurance - 2009</t>
  </si>
  <si>
    <t>Class-wise Analysis of Earned Premium - General Insurance - 2008</t>
  </si>
  <si>
    <t>Class-wise Analysis of Earned Premium - General Insurance - 2007</t>
  </si>
  <si>
    <t>Class-wise Analysis of Gross Written Premium - General Insurance Business</t>
  </si>
  <si>
    <t>Industry Growth</t>
  </si>
  <si>
    <t>3.CTL is prohibited from engaging in insurance business since 5th August 2009. The company did not submit audited financials for since 2010 and relevant data for the year ended 31st December 2012.</t>
  </si>
  <si>
    <t>Do not delete</t>
  </si>
  <si>
    <t>`</t>
  </si>
  <si>
    <t>Net Earned Premium, Net Claims Incurred and Net Claims and Net Combined Ratio</t>
  </si>
  <si>
    <t>Net Earned Premium (Rs.'000)</t>
  </si>
  <si>
    <t xml:space="preserve">Total  </t>
  </si>
  <si>
    <t>Net Claims Incurred (Rs.'000)</t>
  </si>
  <si>
    <t>2007(a)</t>
  </si>
  <si>
    <t>2012(b)</t>
  </si>
  <si>
    <t>Net Expenses (Rs.'000)</t>
  </si>
  <si>
    <t>Class-wise Analysis of Claims Incurred (Rs.'000) - General Insurance - 2013</t>
  </si>
  <si>
    <t>Class-wise Analysis of Claims Incurred (Rs.'000) - General Insurance - 2012</t>
  </si>
  <si>
    <t>Class-wise Analysis of Claims Incurred (Rs.'000) - General Insurance - 2011</t>
  </si>
  <si>
    <t>Class-wise Analysis of Claims Incurred (Rs.'000) - General Insurance - 2010</t>
  </si>
  <si>
    <t>Class-wise Analysis of Claims Incurred (Rs.'000) - General Insurance - 2009</t>
  </si>
  <si>
    <t>Gross Written Premium, Reinsurance Premium and Retention by Insurers</t>
  </si>
  <si>
    <t>Total Gross Written Premium</t>
  </si>
  <si>
    <t>Reinsurance  Premium (Rs.'000)</t>
  </si>
  <si>
    <t>Retention as a percentage of  Gross Written Premium</t>
  </si>
  <si>
    <t>Overall Retention Ratio %</t>
  </si>
  <si>
    <t>Reinsurance Premium and Retention by Insurer (Rs.'000)</t>
  </si>
  <si>
    <t>Total Reinsurance Premium (Rs.'000)</t>
  </si>
  <si>
    <t>Total Retained Premium (Rs.'000)</t>
  </si>
  <si>
    <t>Miscellanious</t>
  </si>
  <si>
    <t>Class-wise Analysis of Reinsurance  Premium Rs.'000 - General Insurance - 2013</t>
  </si>
  <si>
    <t>Class-wise Analysis of Reinsurance  Premium Rs.'000 - General Insurance - 2012</t>
  </si>
  <si>
    <t>Class-wise Analysis of Reinsurance  Premium Rs.'000 - General Insurance - 2011</t>
  </si>
  <si>
    <t>Class-wise Analysis of Reinsurance  Premium Rs.'000 - General Insurance - 2010</t>
  </si>
  <si>
    <t>Class-wise Analysis of Reinsurance  Premium Rs.'000 - General Insurance - 2009</t>
  </si>
  <si>
    <t>Breakup of Investment Income - 2011</t>
  </si>
  <si>
    <t>Rs. '000</t>
  </si>
  <si>
    <t>Inc SH</t>
  </si>
  <si>
    <t>Total 2011</t>
  </si>
  <si>
    <t xml:space="preserve">    - Others (Repo)</t>
  </si>
  <si>
    <t>Others (including Unit Trust &amp; Gold)</t>
  </si>
  <si>
    <t>Any other (Please specify)</t>
  </si>
  <si>
    <t>Total Investment Income</t>
  </si>
  <si>
    <t>Asian</t>
  </si>
  <si>
    <t>Allianz General</t>
  </si>
  <si>
    <t>Aviva</t>
  </si>
  <si>
    <t>Differ from P&amp;L</t>
  </si>
  <si>
    <t>HNB</t>
  </si>
  <si>
    <t>Union</t>
  </si>
  <si>
    <t>Solvency Computation - General Insurance Companies</t>
  </si>
  <si>
    <t>Total Insurance Industry - General Insurance</t>
  </si>
  <si>
    <t>as at 31/12/2008</t>
  </si>
  <si>
    <t>As at 31/12/2011</t>
  </si>
  <si>
    <t>As at 31/12/2012(a)</t>
  </si>
  <si>
    <t>Value of Admissible Assets  (Rs. '000)</t>
  </si>
  <si>
    <t>Amount of Total Liabilities  (Rs. '000)</t>
  </si>
  <si>
    <t>2.1 Technical Reserves - Net (Gross minus Reinsurance) (Rs. '000)</t>
  </si>
  <si>
    <t>2.2 Other Liabilities (Rs. '000)</t>
  </si>
  <si>
    <t>Available Solvency Margin (Rs. '000)</t>
  </si>
  <si>
    <t>Required Solvency Margin  (Rs. '000)</t>
  </si>
  <si>
    <t>as at 31/12/2008*</t>
  </si>
  <si>
    <t>as at 31/12/20012</t>
  </si>
  <si>
    <t>Distribution Channels - % contribution to GWP of General Insurance</t>
  </si>
  <si>
    <t>Channel</t>
  </si>
  <si>
    <t>GWP  Rs.'000</t>
  </si>
  <si>
    <t>Agent</t>
  </si>
  <si>
    <t>Brokers</t>
  </si>
  <si>
    <t>Direct</t>
  </si>
  <si>
    <t>Bancasurance &amp; Others</t>
  </si>
  <si>
    <t xml:space="preserve">Distribution Channels - GWP </t>
  </si>
  <si>
    <t>Bancasurance</t>
  </si>
  <si>
    <t>Others (Please specify)</t>
  </si>
  <si>
    <t>GWP as per P &amp; L</t>
  </si>
  <si>
    <t>Difference</t>
  </si>
  <si>
    <t>Co Insurance &amp; SRCC &amp; TC Premium</t>
  </si>
  <si>
    <t xml:space="preserve">34.  Number of Life Insurance Policies  in Force </t>
  </si>
  <si>
    <t>35. Total New Businesses - Long Term Insurance Buisness</t>
  </si>
  <si>
    <t>Year</t>
  </si>
  <si>
    <t>No of Policies</t>
  </si>
  <si>
    <t>Sum Assured</t>
  </si>
  <si>
    <t>Participating</t>
  </si>
  <si>
    <t>Non participating</t>
  </si>
  <si>
    <t xml:space="preserve">Total - Unit Linked Business   </t>
  </si>
  <si>
    <t>#</t>
  </si>
  <si>
    <t>Total New Businesses -  Long Term Insurance Buisness (Cont..)</t>
  </si>
  <si>
    <t>New Business - Long Term Insurance Business</t>
  </si>
  <si>
    <t xml:space="preserve">               Premium - (Rs. '000)</t>
  </si>
  <si>
    <t>Life Insurance</t>
  </si>
  <si>
    <t>Linked long term</t>
  </si>
  <si>
    <t>Annuities</t>
  </si>
  <si>
    <t xml:space="preserve">Contracts for the granting of disability and multiple indemnity, accident and sickness benefits </t>
  </si>
  <si>
    <t>Permanent health</t>
  </si>
  <si>
    <t>Capital Redemption policies</t>
  </si>
  <si>
    <t xml:space="preserve">Pension policies </t>
  </si>
  <si>
    <t xml:space="preserve">Permanent health*  </t>
  </si>
  <si>
    <t>Capital redemption policies</t>
  </si>
  <si>
    <t xml:space="preserve">Permanent health </t>
  </si>
  <si>
    <t>Distribution Channels - % Contribution to GWP  of Long Term Insurance Business</t>
  </si>
  <si>
    <t>As reported in P &amp; L</t>
  </si>
  <si>
    <t>Differences</t>
  </si>
  <si>
    <t>NO Data given</t>
  </si>
  <si>
    <t>SRCC &amp; TC Premium</t>
  </si>
  <si>
    <t>MISC</t>
  </si>
  <si>
    <t>No SRCC</t>
  </si>
  <si>
    <t>Coinsu</t>
  </si>
  <si>
    <t>As per P &amp; Ls</t>
  </si>
  <si>
    <t>Diffe</t>
  </si>
  <si>
    <t>Co Insurance Outward</t>
  </si>
  <si>
    <t>SRCC &amp; TC</t>
  </si>
  <si>
    <t xml:space="preserve">Total Excluded </t>
  </si>
  <si>
    <t>Expenses - Rs.'000</t>
  </si>
  <si>
    <t>Amortisation of goodwill &amp; inta. Assets</t>
  </si>
  <si>
    <t xml:space="preserve">No. of Motor Policies - GI </t>
  </si>
  <si>
    <t>3rd Party</t>
  </si>
  <si>
    <t>Total No. of Motor Vehicles Registered</t>
  </si>
  <si>
    <t>New Motor Vehicles Registered</t>
  </si>
  <si>
    <t>Total Sum Insured                            Rs.'000</t>
  </si>
  <si>
    <t>No. of Policies - GI - 2012</t>
  </si>
  <si>
    <t>Not Submitted</t>
  </si>
  <si>
    <t>No. of Policies - GI - 2011</t>
  </si>
  <si>
    <t>No. of Policies - GI - 2010</t>
  </si>
  <si>
    <t>No. of Policies - GI - 2009</t>
  </si>
  <si>
    <t>NO DATA</t>
  </si>
  <si>
    <t>No. of Policies - GI - 2008</t>
  </si>
  <si>
    <t xml:space="preserve">No Data </t>
  </si>
  <si>
    <t>No. of Policies - GI - 2007</t>
  </si>
  <si>
    <t>Composit Data</t>
  </si>
  <si>
    <t>LTIB</t>
  </si>
  <si>
    <t>GIB</t>
  </si>
  <si>
    <t>Investment Income Vs Assets Invested</t>
  </si>
  <si>
    <t>Premium Income &amp; Penatration</t>
  </si>
  <si>
    <t>Long term Insurance Business total Assets and GWP 2010 Vs 2011</t>
  </si>
  <si>
    <t>General Insurance and Shareholders Business total Assets and GWP 2010 Vs 2011</t>
  </si>
  <si>
    <t>Total Assets distribution among Insurance Companies 2010 and 2011</t>
  </si>
  <si>
    <t>Concentration of Assets of Long-term Insurance  Business  - 2011</t>
  </si>
  <si>
    <t>Concentration of Assets of General Insurance Business and Shareholders - 2011</t>
  </si>
  <si>
    <t>Total Shareholder's Funds of Insurance Companies 2010 &amp; 2011</t>
  </si>
  <si>
    <t>Distribution of Total Assets of Major Financial Institution 2007 to 2011</t>
  </si>
  <si>
    <t>Company-wise Market Share of Gross Written Premium - Long-term Insurance Business 2007 to  2011</t>
  </si>
  <si>
    <t>Company - wise Market Share of Gross Written Premium -   General Insurance Business 2007 to 2011</t>
  </si>
  <si>
    <t>Class-wise Analysis of Gross Written Premium - General Insurance 2007 to 2011</t>
  </si>
  <si>
    <t>Earned Premium, Claims Incurred and Claims Ratio 2007 to  2011</t>
  </si>
  <si>
    <t>Gross Written Premium,Reinsurance Premium and Retention by Insurer 2007 to 2011 - GI</t>
  </si>
  <si>
    <t>Age Analysis - Claims outstanding as at 31/12/2011 - GI</t>
  </si>
  <si>
    <t>Insurance Density</t>
  </si>
  <si>
    <t>BR-IN - Breakup of Investments as at 31st December 2011</t>
  </si>
  <si>
    <t>Branch Network, Employees &amp; Agents as at 31st December 2011</t>
  </si>
  <si>
    <t>Solvency Ratio as at 31/12/2011 - GI</t>
  </si>
  <si>
    <t>Solvency Ratio as at 31/12/2011 - LI</t>
  </si>
  <si>
    <t>Claims outstanding as at 31/12/2011 - GI</t>
  </si>
  <si>
    <t xml:space="preserve">No. of Motor Policies - GI - 3rd Party and Comprehensive </t>
  </si>
  <si>
    <t>Contribution to National Income - Long Term Insurance Business</t>
  </si>
  <si>
    <t>Sum Insured- GI - 2011</t>
  </si>
  <si>
    <t>New Business  Life 2077 to 2011</t>
  </si>
  <si>
    <t>Business in Force  - Life 2007 to 2011</t>
  </si>
  <si>
    <t>Total No of Customers - Business in Force  - LI</t>
  </si>
  <si>
    <t>Forfeitures and Surrenders  LI - 2007 - 2011</t>
  </si>
  <si>
    <t>Lapsation - New Business - As Reported in the Actuarial Returns submitted to the IBSL 2007 - 2011</t>
  </si>
  <si>
    <t>Lapsation - Total - As Reported in the Actuarial Returns submitted to the IBSL - 2007 - 2011</t>
  </si>
  <si>
    <t>LTIB - Total Claims Outstanding VS Premium Income</t>
  </si>
  <si>
    <t>Insurance Agents - As at 31/12/2011</t>
  </si>
  <si>
    <t>Age Analysis - Claims outstanding as at 31/12/2011 - LI</t>
  </si>
  <si>
    <t>Distribution Channels - GWP  - LTIB</t>
  </si>
  <si>
    <t>Distribution Channels - GWP  - GIB</t>
  </si>
  <si>
    <t>Income Statement - GI - 2011</t>
  </si>
  <si>
    <t>Income Statement - GI - 2010</t>
  </si>
  <si>
    <t>Income Statement - Long term Insurance Business 2010 &amp; 2011</t>
  </si>
  <si>
    <t>Income Statement - Long term Insurance Business 2010 &amp; 2011 - Analysis</t>
  </si>
  <si>
    <t>FORM CO-BS - 2010</t>
  </si>
  <si>
    <t>FORM CO-BS - 2011</t>
  </si>
  <si>
    <t>SRCC &amp; TC Premium 2010 &amp; 2011</t>
  </si>
  <si>
    <t>Co Insurance Outward 2010 &amp; 2011</t>
  </si>
  <si>
    <t>Ratio Analysis</t>
  </si>
  <si>
    <t>Long term Insurance Business</t>
  </si>
  <si>
    <t>2011(a)</t>
  </si>
  <si>
    <t>Total Assets       Rs.'000</t>
  </si>
  <si>
    <t>GWP (Rs.'000)</t>
  </si>
  <si>
    <t>Market Share %</t>
  </si>
  <si>
    <t>*The assets belonging to shareholders of ALILL, AIL and LICLL have been reported under long term insurance</t>
  </si>
  <si>
    <t>* JIPLC and NICL reported together</t>
  </si>
  <si>
    <t>* Inter segment transactions (life and general) have not been considered</t>
  </si>
  <si>
    <t>* CTL is prohibited from engaging in insurance business since 5th August 2009</t>
  </si>
  <si>
    <t>* Data pertaining to NITF not included</t>
  </si>
  <si>
    <t>(a) Revised</t>
  </si>
  <si>
    <t>(b) Provisional</t>
  </si>
  <si>
    <t>Table  1</t>
  </si>
  <si>
    <t>Premium Income &amp; Penetration</t>
  </si>
  <si>
    <r>
      <t>2011</t>
    </r>
    <r>
      <rPr>
        <b/>
        <sz val="8"/>
        <color indexed="8"/>
        <rFont val="Tahoma"/>
        <family val="2"/>
      </rPr>
      <t>(a)</t>
    </r>
  </si>
  <si>
    <r>
      <t>2012</t>
    </r>
    <r>
      <rPr>
        <b/>
        <sz val="8"/>
        <color indexed="8"/>
        <rFont val="Tahoma"/>
        <family val="2"/>
      </rPr>
      <t>(b)</t>
    </r>
  </si>
  <si>
    <t>Long Term Insurance (Rs. millions)</t>
  </si>
  <si>
    <t>General Insurance  (Rs. millions)</t>
  </si>
  <si>
    <t>Total Premium Income  (Rs. millions)</t>
  </si>
  <si>
    <t>Growth Rate in Total Premium (%)</t>
  </si>
  <si>
    <t>Gross Domestic Product (Rs. billons)*</t>
  </si>
  <si>
    <t>Penetration as % of GDP - Industry</t>
  </si>
  <si>
    <t>Penetration as % of GDP - Long term Insurance Business</t>
  </si>
  <si>
    <t>Penetration as % of GDP - General Insurance Business</t>
  </si>
  <si>
    <t>Insurance Density - (Total Premium Income/ population) Rs.</t>
  </si>
  <si>
    <t>Population '000 (Mid Year) *</t>
  </si>
  <si>
    <t>* Source Department of Census and Statistics</t>
  </si>
  <si>
    <r>
      <t>(a)</t>
    </r>
    <r>
      <rPr>
        <i/>
        <sz val="7"/>
        <color indexed="8"/>
        <rFont val="Times New Roman"/>
        <family val="1"/>
      </rPr>
      <t xml:space="preserve">   </t>
    </r>
    <r>
      <rPr>
        <i/>
        <sz val="10"/>
        <color indexed="8"/>
        <rFont val="Tahoma"/>
        <family val="2"/>
      </rPr>
      <t>Reinstated Audited figures</t>
    </r>
  </si>
  <si>
    <t>3.CTL is prohibited from engaging in insurance business since 5th August 2009. The company did not submit audited financials since 2010 and relevant data for the year ended 31st December 2012.</t>
  </si>
  <si>
    <t>Composit - 12</t>
  </si>
  <si>
    <t>Life - 3</t>
  </si>
  <si>
    <t>GI - 7</t>
  </si>
  <si>
    <t>Table 8</t>
  </si>
  <si>
    <t xml:space="preserve">Total Net Assets of Insurance Companies </t>
  </si>
  <si>
    <t xml:space="preserve">Long-term Insurance Rs.'000 </t>
  </si>
  <si>
    <t xml:space="preserve">General Insurance / Shareholders           Rs.'000 </t>
  </si>
  <si>
    <t xml:space="preserve">Inter Segment Transactions Elimination Rs.'000 </t>
  </si>
  <si>
    <t>Total                        Rs.'000</t>
  </si>
  <si>
    <t>Long-term Insurance   Rs. '000</t>
  </si>
  <si>
    <t>Total                         Rs.'000</t>
  </si>
  <si>
    <t>Inter Segment</t>
  </si>
  <si>
    <t>1. Above analysis does not include NITF information since required complete information was not submitted to the Board.</t>
  </si>
  <si>
    <t>2. Intersegment balances include amounts receivable from each other segments (Long Term Insurance and General Insurance segments) of composite insurance companies</t>
  </si>
  <si>
    <t>3. The assets belonging to shareholders of ALILL, AIL and LICLL have been reported under long term insurance business</t>
  </si>
  <si>
    <t>4. JIPLC and NICL reported together</t>
  </si>
  <si>
    <t>Chart 09</t>
  </si>
  <si>
    <t>Lapsation - New Business - As Reported in the Actuarial Returns submitted to the IBSL</t>
  </si>
  <si>
    <t xml:space="preserve">            No. of Policies</t>
  </si>
  <si>
    <t>Total Laps - New policies</t>
  </si>
  <si>
    <t>New Policies Issued</t>
  </si>
  <si>
    <t xml:space="preserve">Total Laps </t>
  </si>
  <si>
    <t>Total Life Insurance Policies in force</t>
  </si>
  <si>
    <t>Lapsation New Business on New Policies Issued %</t>
  </si>
  <si>
    <t>Total lapsation on Total Policies inforce %</t>
  </si>
  <si>
    <t>Zero</t>
  </si>
  <si>
    <t>37. Number of Life Insurance Benefits</t>
  </si>
  <si>
    <t>Maturity Benefits</t>
  </si>
  <si>
    <t xml:space="preserve">Death </t>
  </si>
  <si>
    <t>Disability Benefits</t>
  </si>
  <si>
    <t>Surrenders</t>
  </si>
  <si>
    <t>Other benefits</t>
  </si>
  <si>
    <t>Number of Life Insurance Benefits (Cont..)</t>
  </si>
  <si>
    <t>Others (Please Specify)</t>
  </si>
  <si>
    <t>36. Life Insurance Benefits</t>
  </si>
  <si>
    <t>Life Insurance Benefits (Cont..)</t>
  </si>
  <si>
    <t xml:space="preserve">SLIC </t>
  </si>
  <si>
    <t>2022  (b)</t>
  </si>
  <si>
    <t>Incurred Life Insurance Benefits (Rs. '000)</t>
  </si>
  <si>
    <t>Number of Life Insurance Benefits (Incurred)</t>
  </si>
  <si>
    <t>New</t>
  </si>
  <si>
    <t>Renewal</t>
  </si>
  <si>
    <t>Inforce</t>
  </si>
  <si>
    <t>No Data</t>
  </si>
  <si>
    <t>No data given</t>
  </si>
  <si>
    <t># of Policies</t>
  </si>
  <si>
    <t>General Insurance and Shareholders Business</t>
  </si>
  <si>
    <t xml:space="preserve">Total Assets              Rs.'000 </t>
  </si>
  <si>
    <t>Data Not given</t>
  </si>
  <si>
    <t>New -SI</t>
  </si>
  <si>
    <t>Renewal - SI</t>
  </si>
  <si>
    <t>Inforce - SI</t>
  </si>
  <si>
    <t>Sum Insured - GI - 2010</t>
  </si>
  <si>
    <t>Sum Insured - GI - 2009</t>
  </si>
  <si>
    <t>Sum Insured - GI - 2008</t>
  </si>
  <si>
    <t>Sum Insured - GI - 2007</t>
  </si>
  <si>
    <t>Sum Insured</t>
  </si>
  <si>
    <t xml:space="preserve">Year </t>
  </si>
  <si>
    <t>No of Life Policies in Force</t>
  </si>
  <si>
    <t>Sum Assured Rs.Mn</t>
  </si>
  <si>
    <t>National Income Rs. Bn</t>
  </si>
  <si>
    <t>as a % of National Income</t>
  </si>
  <si>
    <t>Contribution to National Income - General Insurance Business</t>
  </si>
  <si>
    <t>Sum Insured Rs.Mn</t>
  </si>
  <si>
    <t>LT - Assets Invested Rs.000</t>
  </si>
  <si>
    <t>LT - Investment Income Rs.000</t>
  </si>
  <si>
    <t>Ratio %</t>
  </si>
  <si>
    <t>GI - Assets Invested Rs.000</t>
  </si>
  <si>
    <t>GI - Investment Income Rs.000</t>
  </si>
  <si>
    <t>As at 31-12-2011</t>
  </si>
  <si>
    <t xml:space="preserve">Actual as per AR data </t>
  </si>
  <si>
    <t>Given to CBSL</t>
  </si>
  <si>
    <t>A.Capital Adequacy</t>
  </si>
  <si>
    <t>Year 2012</t>
  </si>
  <si>
    <t>Year 2011</t>
  </si>
  <si>
    <t>Life</t>
  </si>
  <si>
    <t>General</t>
  </si>
  <si>
    <t>Solvency ratio</t>
  </si>
  <si>
    <t>correct</t>
  </si>
  <si>
    <t>Total available solvency margin</t>
  </si>
  <si>
    <t>Total required sovency margin</t>
  </si>
  <si>
    <t>Capital to total assets</t>
  </si>
  <si>
    <t>Total shareholders funds</t>
  </si>
  <si>
    <t>N/A</t>
  </si>
  <si>
    <t>Total Assets</t>
  </si>
  <si>
    <t>Capital to Technical Reserves</t>
  </si>
  <si>
    <t>Shareholders funds</t>
  </si>
  <si>
    <t>Technical Reserves</t>
  </si>
  <si>
    <t>Technical Reserve Ratio</t>
  </si>
  <si>
    <t xml:space="preserve">Net written premium </t>
  </si>
  <si>
    <t>Total Technical Reserves</t>
  </si>
  <si>
    <t>B. Earnings and Profitability</t>
  </si>
  <si>
    <t>Profitability Ratio</t>
  </si>
  <si>
    <t>Net Profit before tax</t>
  </si>
  <si>
    <t>Underwriting Ratio</t>
  </si>
  <si>
    <t>Underwriting profit</t>
  </si>
  <si>
    <t>Net earned premium</t>
  </si>
  <si>
    <t>Return on Assets (ROA)</t>
  </si>
  <si>
    <t>Net income before Extra ordinary activities</t>
  </si>
  <si>
    <t>Average total assets for the period</t>
  </si>
  <si>
    <t>changed formula avg asset = (asset beginning of period+asset end of period)/2     period is quarter</t>
  </si>
  <si>
    <t>Return on Equity (ROE)</t>
  </si>
  <si>
    <t>Profit before tax and extra ordinary items</t>
  </si>
  <si>
    <t>changed formula avg capital = (capital beginning of period+capital end of period)/2     period is quarter</t>
  </si>
  <si>
    <t>Average capital and reserves for the period</t>
  </si>
  <si>
    <t>Combined operating Ratio</t>
  </si>
  <si>
    <t>Net claims incurred ratio</t>
  </si>
  <si>
    <t xml:space="preserve">Net claims incurred </t>
  </si>
  <si>
    <t>Expense Ratio</t>
  </si>
  <si>
    <t>Investment Yield ratio</t>
  </si>
  <si>
    <t>Total Average invested assets</t>
  </si>
  <si>
    <t>why not equity shares considered as an investment?</t>
  </si>
  <si>
    <t>why divided by 8?</t>
  </si>
  <si>
    <t>Premium Stability ratio</t>
  </si>
  <si>
    <t>changed as quarterly by taking the value of beginning of quarter</t>
  </si>
  <si>
    <t>Change in premium income</t>
  </si>
  <si>
    <t>previous year premium income</t>
  </si>
  <si>
    <t>changed formula to incorporate previous quarter</t>
  </si>
  <si>
    <t>c. Liquidity</t>
  </si>
  <si>
    <t>Liquidity ratio</t>
  </si>
  <si>
    <t>Changed the formula</t>
  </si>
  <si>
    <t>Liquid Assets</t>
  </si>
  <si>
    <t>Total Liabilities</t>
  </si>
  <si>
    <t>Loss Ratio</t>
  </si>
  <si>
    <t>Incurred claims</t>
  </si>
  <si>
    <t>D. Reinsurance and acturial issues</t>
  </si>
  <si>
    <t>Retention Ratio</t>
  </si>
  <si>
    <t>Net written premium</t>
  </si>
  <si>
    <t>Gross written premium</t>
  </si>
  <si>
    <t xml:space="preserve">Description </t>
  </si>
  <si>
    <t>2011 Rs. Mn</t>
  </si>
  <si>
    <t>2010 Rs. Mn.</t>
  </si>
  <si>
    <t>Change %</t>
  </si>
  <si>
    <t>Gross Written Premium</t>
  </si>
  <si>
    <t>Total Assets*</t>
  </si>
  <si>
    <t>Density</t>
  </si>
  <si>
    <t>Calculate for total industry premium</t>
  </si>
  <si>
    <t>Penetration</t>
  </si>
  <si>
    <t>* Intersegment transactions not considered</t>
  </si>
  <si>
    <t>Table 06</t>
  </si>
  <si>
    <t>Chart 07</t>
  </si>
  <si>
    <t>Earned Premium, Claims Incurred and Claims Ratio</t>
  </si>
  <si>
    <r>
      <rPr>
        <b/>
        <sz val="9"/>
        <color indexed="10"/>
        <rFont val="Tahoma"/>
        <family val="2"/>
      </rPr>
      <t>Net</t>
    </r>
    <r>
      <rPr>
        <b/>
        <sz val="9"/>
        <color indexed="8"/>
        <rFont val="Tahoma"/>
        <family val="2"/>
      </rPr>
      <t xml:space="preserve"> Earned Premium (Rs.'000)</t>
    </r>
  </si>
  <si>
    <r>
      <rPr>
        <b/>
        <sz val="9"/>
        <color indexed="10"/>
        <rFont val="Tahoma"/>
        <family val="2"/>
      </rPr>
      <t>Net</t>
    </r>
    <r>
      <rPr>
        <b/>
        <sz val="9"/>
        <color indexed="8"/>
        <rFont val="Tahoma"/>
        <family val="2"/>
      </rPr>
      <t xml:space="preserve"> Claims Incurred (Rs.'000)</t>
    </r>
  </si>
  <si>
    <r>
      <rPr>
        <b/>
        <sz val="9"/>
        <color indexed="10"/>
        <rFont val="Tahoma"/>
        <family val="2"/>
      </rPr>
      <t>Net</t>
    </r>
    <r>
      <rPr>
        <b/>
        <sz val="9"/>
        <color indexed="8"/>
        <rFont val="Tahoma"/>
        <family val="2"/>
      </rPr>
      <t xml:space="preserve"> Claims Ratio (%)</t>
    </r>
  </si>
  <si>
    <t>Excess of premium over net claims paid Rs.'000</t>
  </si>
  <si>
    <t>Net Expenses Rs. '000</t>
  </si>
  <si>
    <t>Investment Income Rs. '000</t>
  </si>
  <si>
    <t xml:space="preserve">38. Abbreviations </t>
  </si>
  <si>
    <t>Abbreviations for Insurance Companies</t>
  </si>
  <si>
    <t>AIA Insurance Lanka Ltd.</t>
  </si>
  <si>
    <r>
      <t>Allianz Gen</t>
    </r>
    <r>
      <rPr>
        <sz val="10"/>
        <color rgb="FF000000"/>
        <rFont val="Iskoola Pota"/>
        <family val="2"/>
      </rPr>
      <t>.</t>
    </r>
  </si>
  <si>
    <r>
      <t>Allianz Insurance Lanka Ltd</t>
    </r>
    <r>
      <rPr>
        <sz val="10"/>
        <color rgb="FF000000"/>
        <rFont val="Iskoola Pota"/>
        <family val="2"/>
      </rPr>
      <t>.</t>
    </r>
  </si>
  <si>
    <r>
      <t>Allianz Life Insurance Lanka Ltd</t>
    </r>
    <r>
      <rPr>
        <sz val="10"/>
        <color rgb="FF000000"/>
        <rFont val="Iskoola Pota"/>
        <family val="2"/>
      </rPr>
      <t>.</t>
    </r>
  </si>
  <si>
    <r>
      <t>Amana Gen</t>
    </r>
    <r>
      <rPr>
        <sz val="10"/>
        <color rgb="FF000000"/>
        <rFont val="Iskoola Pota"/>
        <family val="2"/>
      </rPr>
      <t>.</t>
    </r>
  </si>
  <si>
    <t>Amana Takaful PLC</t>
  </si>
  <si>
    <t>Amana Takaful Life PLC</t>
  </si>
  <si>
    <t>Arpico Insurance PLC</t>
  </si>
  <si>
    <r>
      <t>Ceylinco Gen</t>
    </r>
    <r>
      <rPr>
        <sz val="10"/>
        <color rgb="FF000000"/>
        <rFont val="Iskoola Pota"/>
        <family val="2"/>
      </rPr>
      <t>.</t>
    </r>
  </si>
  <si>
    <r>
      <t>Ceylinco General Insurance Ltd</t>
    </r>
    <r>
      <rPr>
        <sz val="10"/>
        <color rgb="FF000000"/>
        <rFont val="Iskoola Pota"/>
        <family val="2"/>
      </rPr>
      <t>.</t>
    </r>
  </si>
  <si>
    <r>
      <t>Ceylinco Life Insurance Ltd</t>
    </r>
    <r>
      <rPr>
        <sz val="10"/>
        <color rgb="FF000000"/>
        <rFont val="Iskoola Pota"/>
        <family val="2"/>
      </rPr>
      <t>.</t>
    </r>
  </si>
  <si>
    <r>
      <t>Continental Insurance Lanka Ltd</t>
    </r>
    <r>
      <rPr>
        <sz val="10"/>
        <color rgb="FF000000"/>
        <rFont val="Iskoola Pota"/>
        <family val="2"/>
      </rPr>
      <t>.</t>
    </r>
  </si>
  <si>
    <t>Continental Insurance Life Lanka Ltd.</t>
  </si>
  <si>
    <r>
      <t>Cooperative Gen</t>
    </r>
    <r>
      <rPr>
        <sz val="10"/>
        <color rgb="FF000000"/>
        <rFont val="Iskoola Pota"/>
        <family val="2"/>
      </rPr>
      <t>.</t>
    </r>
  </si>
  <si>
    <r>
      <t>Cooperative Insurance Company Ltd</t>
    </r>
    <r>
      <rPr>
        <sz val="10"/>
        <color rgb="FF000000"/>
        <rFont val="Iskoola Pota"/>
        <family val="2"/>
      </rPr>
      <t>.</t>
    </r>
  </si>
  <si>
    <r>
      <t>Cooplife Insurance Ltd</t>
    </r>
    <r>
      <rPr>
        <sz val="10"/>
        <color rgb="FF000000"/>
        <rFont val="Iskoola Pota"/>
        <family val="2"/>
      </rPr>
      <t>.</t>
    </r>
  </si>
  <si>
    <r>
      <t>Fairfirst Insurance Ltd</t>
    </r>
    <r>
      <rPr>
        <sz val="10"/>
        <color rgb="FF000000"/>
        <rFont val="Iskoola Pota"/>
        <family val="2"/>
      </rPr>
      <t xml:space="preserve">. </t>
    </r>
  </si>
  <si>
    <t>HNB Assurance PLC</t>
  </si>
  <si>
    <r>
      <t>HNB Gen</t>
    </r>
    <r>
      <rPr>
        <sz val="10"/>
        <color rgb="FF000000"/>
        <rFont val="Iskoola Pota"/>
        <family val="2"/>
      </rPr>
      <t>.</t>
    </r>
  </si>
  <si>
    <r>
      <t>HNB General Insurance Ltd</t>
    </r>
    <r>
      <rPr>
        <sz val="10"/>
        <color rgb="FF000000"/>
        <rFont val="Iskoola Pota"/>
        <family val="2"/>
      </rPr>
      <t xml:space="preserve">. </t>
    </r>
  </si>
  <si>
    <t>Janashakthi Insurance PLC</t>
  </si>
  <si>
    <r>
      <t>Janashakthi Gen</t>
    </r>
    <r>
      <rPr>
        <sz val="10"/>
        <color rgb="FF000000"/>
        <rFont val="Iskoola Pota"/>
        <family val="2"/>
      </rPr>
      <t>.</t>
    </r>
  </si>
  <si>
    <r>
      <t>Janashakthi General Insurance Ltd</t>
    </r>
    <r>
      <rPr>
        <sz val="10"/>
        <color rgb="FF000000"/>
        <rFont val="Iskoola Pota"/>
        <family val="2"/>
      </rPr>
      <t>.</t>
    </r>
  </si>
  <si>
    <r>
      <t xml:space="preserve">Life Insurance Corporation </t>
    </r>
    <r>
      <rPr>
        <sz val="10"/>
        <color rgb="FF000000"/>
        <rFont val="Iskoola Pota"/>
        <family val="2"/>
      </rPr>
      <t>(</t>
    </r>
    <r>
      <rPr>
        <sz val="10"/>
        <color rgb="FF000000"/>
        <rFont val="Tahoma"/>
        <family val="2"/>
      </rPr>
      <t>Lanka</t>
    </r>
    <r>
      <rPr>
        <sz val="10"/>
        <color rgb="FF000000"/>
        <rFont val="Iskoola Pota"/>
        <family val="2"/>
      </rPr>
      <t xml:space="preserve">) </t>
    </r>
    <r>
      <rPr>
        <sz val="10"/>
        <color rgb="FF000000"/>
        <rFont val="Tahoma"/>
        <family val="2"/>
      </rPr>
      <t>Ltd</t>
    </r>
    <r>
      <rPr>
        <sz val="10"/>
        <color rgb="FF000000"/>
        <rFont val="Iskoola Pota"/>
        <family val="2"/>
      </rPr>
      <t>.</t>
    </r>
  </si>
  <si>
    <r>
      <t>LOLC Gen</t>
    </r>
    <r>
      <rPr>
        <sz val="10"/>
        <color rgb="FF000000"/>
        <rFont val="Iskoola Pota"/>
        <family val="2"/>
      </rPr>
      <t>.</t>
    </r>
  </si>
  <si>
    <r>
      <t>LOLC General Insurance Ltd</t>
    </r>
    <r>
      <rPr>
        <sz val="10"/>
        <color rgb="FF000000"/>
        <rFont val="Iskoola Pota"/>
        <family val="2"/>
      </rPr>
      <t>.</t>
    </r>
  </si>
  <si>
    <r>
      <t>LOLC Life Assurance Ltd</t>
    </r>
    <r>
      <rPr>
        <sz val="10"/>
        <color rgb="FF000000"/>
        <rFont val="Iskoola Pota"/>
        <family val="2"/>
      </rPr>
      <t>.</t>
    </r>
  </si>
  <si>
    <r>
      <t>MBSL Insurance Company Ltd</t>
    </r>
    <r>
      <rPr>
        <sz val="10"/>
        <color rgb="FF000000"/>
        <rFont val="Iskoola Pota"/>
        <family val="2"/>
      </rPr>
      <t>.</t>
    </r>
  </si>
  <si>
    <t>National Insurance Trust Fund</t>
  </si>
  <si>
    <r>
      <t>Orient Insurance Ltd</t>
    </r>
    <r>
      <rPr>
        <sz val="10"/>
        <color rgb="FF000000"/>
        <rFont val="Iskoola Pota"/>
        <family val="2"/>
      </rPr>
      <t>.</t>
    </r>
  </si>
  <si>
    <t>People’s Insurance PLC</t>
  </si>
  <si>
    <t>Sanasa Life Insurance Company Limited</t>
  </si>
  <si>
    <t>Sanasa General Insurance Company Limited</t>
  </si>
  <si>
    <t>Softlogic Life Insurance PLC</t>
  </si>
  <si>
    <r>
      <t>Sri Lanka Insurance Corporation Ltd</t>
    </r>
    <r>
      <rPr>
        <sz val="10"/>
        <color rgb="FF000000"/>
        <rFont val="Iskoola Pota"/>
        <family val="2"/>
      </rPr>
      <t>.</t>
    </r>
  </si>
  <si>
    <t>Union Assurance PLC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</si>
</sst>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8">
    <numFmt numFmtId="41" formatCode="_(* #,##0_);_(* \(#,##0\);_(* &quot;-&quot;_);_(@_)"/>
    <numFmt numFmtId="44" formatCode="_(&quot;$&quot;* #,##0.00_);_(&quot;$&quot;* \(#,##0.00\);_(&quot;$&quot;* &quot;-&quot;??_);_(@_)"/>
    <numFmt numFmtId="43" formatCode="_(* #,##0.00_);_(* \(#,##0.00\);_(* &quot;-&quot;??_);_(@_)"/>
    <numFmt numFmtId="164" formatCode="_-* #,##0.00_-;\-* #,##0.00_-;_-* &quot;-&quot;??_-;_-@_-"/>
    <numFmt numFmtId="165" formatCode="_(* #,##0_);_(* \(#,##0\);_(* &quot;-&quot;??_);_(@_)"/>
    <numFmt numFmtId="166" formatCode="_(* #,##0.0_);_(* \(#,##0.0\);_(* &quot;-&quot;??_);_(@_)"/>
    <numFmt numFmtId="167" formatCode="0.00_);\(0.00\)"/>
    <numFmt numFmtId="168" formatCode="_-* #,##0_-;\-* #,##0_-;_-* &quot;-&quot;??_-;_-@_-"/>
    <numFmt numFmtId="169" formatCode="_(* #,##0_);_(* \(#,##0\);_(* \-??_);_(@_)"/>
    <numFmt numFmtId="170" formatCode="0_);\(0\)"/>
    <numFmt numFmtId="171" formatCode="#,##0.00\ ;&quot; (&quot;#,##0.00\);&quot; -&quot;#\ ;@\ "/>
    <numFmt numFmtId="172" formatCode="#,##0;[Red]#,##0"/>
    <numFmt numFmtId="173" formatCode="#,###,"/>
    <numFmt numFmtId="174" formatCode="[$-409]mmmm\-yy;@"/>
    <numFmt numFmtId="175" formatCode="#,##0.0_-;\(#,##0.0\)"/>
    <numFmt numFmtId="176" formatCode="#,##0.00;\(#,##0.00\)"/>
    <numFmt numFmtId="177" formatCode="_ * #,##0.00_ ;_ * \-#,##0.00_ ;_ * &quot;-&quot;??_ ;_ @_ "/>
    <numFmt numFmtId="178" formatCode="#,##0.00;[Red]#,##0.00"/>
    <numFmt numFmtId="179" formatCode="[$-C09]dd\-mmm\-yy;@"/>
    <numFmt numFmtId="180" formatCode="_-&quot;£&quot;* #,##0.00_-;\-&quot;£&quot;* #,##0.00_-;_-&quot;£&quot;* &quot;-&quot;??_-;_-@_-"/>
    <numFmt numFmtId="181" formatCode="_-&quot;$&quot;* #,##0.00_-;\-&quot;$&quot;* #,##0.00_-;_-&quot;$&quot;* &quot;-&quot;??_-;_-@_-"/>
    <numFmt numFmtId="182" formatCode="#,##0.0_);\(#,##0.0\)"/>
    <numFmt numFmtId="183" formatCode="[$-C09]dd/mmm/yy;@"/>
    <numFmt numFmtId="184" formatCode="#,##0.0"/>
    <numFmt numFmtId="185" formatCode="0.0"/>
    <numFmt numFmtId="186" formatCode="_(* #,##0.0_);_(* \(#,##0.0\);_(* &quot;-&quot;?_);_(@_)"/>
    <numFmt numFmtId="187" formatCode="_(* #,##0.000_);_(* \(#,##0.000\);_(* &quot;-&quot;??_);_(@_)"/>
    <numFmt numFmtId="188" formatCode="0.00000000000000000"/>
  </numFmts>
  <fonts count="163">
    <font>
      <sz val="11"/>
      <color theme="1"/>
      <name val="Calibri"/>
      <family val="2"/>
      <scheme val="minor"/>
    </font>
    <font>
      <sz val="11"/>
      <color indexed="8"/>
      <name val="Calibri"/>
      <family val="2"/>
    </font>
    <font>
      <sz val="10"/>
      <name val="Tahoma"/>
      <family val="2"/>
    </font>
    <font>
      <b/>
      <sz val="10"/>
      <name val="Tahoma"/>
      <family val="2"/>
    </font>
    <font>
      <sz val="11"/>
      <name val="Calibri"/>
      <family val="2"/>
    </font>
    <font>
      <sz val="8"/>
      <name val="Tahoma"/>
      <family val="2"/>
    </font>
    <font>
      <sz val="12"/>
      <name val="Tahoma"/>
      <family val="2"/>
    </font>
    <font>
      <sz val="9"/>
      <name val="Tahoma"/>
      <family val="2"/>
    </font>
    <font>
      <b/>
      <u/>
      <sz val="10"/>
      <name val="Tahoma"/>
      <family val="2"/>
    </font>
    <font>
      <sz val="10"/>
      <name val="Arial"/>
      <family val="2"/>
    </font>
    <font>
      <b/>
      <sz val="9"/>
      <name val="Tahoma"/>
      <family val="2"/>
    </font>
    <font>
      <b/>
      <u/>
      <sz val="9"/>
      <name val="Tahoma"/>
      <family val="2"/>
    </font>
    <font>
      <b/>
      <sz val="10"/>
      <name val="Arial"/>
      <family val="2"/>
    </font>
    <font>
      <b/>
      <sz val="8"/>
      <name val="Tahoma"/>
      <family val="2"/>
    </font>
    <font>
      <sz val="10"/>
      <name val="Arial"/>
      <family val="2"/>
      <charset val="1"/>
    </font>
    <font>
      <b/>
      <sz val="8"/>
      <color indexed="8"/>
      <name val="Tahoma"/>
      <family val="2"/>
    </font>
    <font>
      <i/>
      <sz val="11"/>
      <color indexed="8"/>
      <name val="Calibri"/>
      <family val="2"/>
    </font>
    <font>
      <i/>
      <sz val="7"/>
      <color indexed="8"/>
      <name val="Times New Roman"/>
      <family val="1"/>
    </font>
    <font>
      <i/>
      <sz val="10"/>
      <color indexed="8"/>
      <name val="Tahoma"/>
      <family val="2"/>
    </font>
    <font>
      <i/>
      <sz val="12"/>
      <color indexed="8"/>
      <name val="Calibri"/>
      <family val="2"/>
    </font>
    <font>
      <b/>
      <sz val="9"/>
      <color indexed="8"/>
      <name val="Tahoma"/>
      <family val="2"/>
    </font>
    <font>
      <b/>
      <sz val="9"/>
      <color indexed="10"/>
      <name val="Tahoma"/>
      <family val="2"/>
    </font>
    <font>
      <sz val="11"/>
      <color theme="1"/>
      <name val="Calibri"/>
      <family val="2"/>
      <scheme val="minor"/>
    </font>
    <font>
      <u/>
      <sz val="11"/>
      <color theme="10"/>
      <name val="Calibri"/>
      <family val="2"/>
    </font>
    <font>
      <b/>
      <sz val="11"/>
      <color theme="1"/>
      <name val="Calibri"/>
      <family val="2"/>
      <scheme val="minor"/>
    </font>
    <font>
      <sz val="11"/>
      <color rgb="FFFF0000"/>
      <name val="Calibri"/>
      <family val="2"/>
      <scheme val="minor"/>
    </font>
    <font>
      <b/>
      <sz val="10"/>
      <color theme="1"/>
      <name val="Tahoma"/>
      <family val="2"/>
    </font>
    <font>
      <sz val="10"/>
      <color theme="1"/>
      <name val="Tahoma"/>
      <family val="2"/>
    </font>
    <font>
      <b/>
      <sz val="8"/>
      <color theme="1"/>
      <name val="Tahoma"/>
      <family val="2"/>
    </font>
    <font>
      <sz val="8"/>
      <color theme="1"/>
      <name val="Tahoma"/>
      <family val="2"/>
    </font>
    <font>
      <sz val="11"/>
      <color theme="1"/>
      <name val="Tahoma"/>
      <family val="2"/>
    </font>
    <font>
      <sz val="10"/>
      <color theme="1"/>
      <name val="Calibri"/>
      <family val="2"/>
      <scheme val="minor"/>
    </font>
    <font>
      <b/>
      <sz val="9"/>
      <color theme="1"/>
      <name val="Tahoma"/>
      <family val="2"/>
    </font>
    <font>
      <b/>
      <sz val="11"/>
      <color theme="1"/>
      <name val="Tahoma"/>
      <family val="2"/>
    </font>
    <font>
      <b/>
      <u/>
      <sz val="11"/>
      <color theme="1"/>
      <name val="Calibri"/>
      <family val="2"/>
      <scheme val="minor"/>
    </font>
    <font>
      <sz val="11"/>
      <name val="Calibri"/>
      <family val="2"/>
      <scheme val="minor"/>
    </font>
    <font>
      <sz val="9"/>
      <color theme="1"/>
      <name val="Tahoma"/>
      <family val="2"/>
    </font>
    <font>
      <sz val="10"/>
      <color rgb="FFFF0000"/>
      <name val="Tahoma"/>
      <family val="2"/>
    </font>
    <font>
      <b/>
      <sz val="10"/>
      <color rgb="FFFF0000"/>
      <name val="Tahoma"/>
      <family val="2"/>
    </font>
    <font>
      <b/>
      <sz val="8"/>
      <color rgb="FFFF0000"/>
      <name val="Tahoma"/>
      <family val="2"/>
    </font>
    <font>
      <b/>
      <sz val="11"/>
      <name val="Calibri"/>
      <family val="2"/>
      <scheme val="minor"/>
    </font>
    <font>
      <b/>
      <sz val="14"/>
      <color theme="1"/>
      <name val="Calibri"/>
      <family val="2"/>
      <scheme val="minor"/>
    </font>
    <font>
      <u/>
      <sz val="11"/>
      <color theme="1"/>
      <name val="Calibri"/>
      <family val="2"/>
      <scheme val="minor"/>
    </font>
    <font>
      <u/>
      <sz val="11"/>
      <color theme="10"/>
      <name val="Tahoma"/>
      <family val="2"/>
    </font>
    <font>
      <i/>
      <sz val="11"/>
      <color theme="1"/>
      <name val="Calibri"/>
      <family val="2"/>
      <scheme val="minor"/>
    </font>
    <font>
      <b/>
      <i/>
      <sz val="8"/>
      <color theme="1"/>
      <name val="Tahoma"/>
      <family val="2"/>
    </font>
    <font>
      <i/>
      <sz val="8"/>
      <color theme="1"/>
      <name val="Tahoma"/>
      <family val="2"/>
    </font>
    <font>
      <i/>
      <sz val="10"/>
      <color rgb="FF000000"/>
      <name val="Tahoma"/>
      <family val="2"/>
    </font>
    <font>
      <i/>
      <sz val="10"/>
      <color theme="1"/>
      <name val="Tahoma"/>
      <family val="2"/>
    </font>
    <font>
      <b/>
      <i/>
      <sz val="9"/>
      <color theme="1"/>
      <name val="Tahoma"/>
      <family val="2"/>
    </font>
    <font>
      <b/>
      <i/>
      <sz val="10"/>
      <color theme="1"/>
      <name val="Tahoma"/>
      <family val="2"/>
    </font>
    <font>
      <i/>
      <sz val="9"/>
      <color theme="1"/>
      <name val="Tahoma"/>
      <family val="2"/>
    </font>
    <font>
      <sz val="10"/>
      <name val="Calibri"/>
      <family val="2"/>
      <scheme val="minor"/>
    </font>
    <font>
      <sz val="10"/>
      <color theme="0"/>
      <name val="Tahoma"/>
      <family val="2"/>
    </font>
    <font>
      <b/>
      <sz val="10"/>
      <color theme="0"/>
      <name val="Tahoma"/>
      <family val="2"/>
    </font>
    <font>
      <sz val="8"/>
      <color theme="8" tint="0.39997558519241921"/>
      <name val="Tahoma"/>
      <family val="2"/>
    </font>
    <font>
      <u/>
      <sz val="10"/>
      <name val="Tahoma"/>
      <family val="2"/>
    </font>
    <font>
      <sz val="10"/>
      <color rgb="FF000000"/>
      <name val="Tahoma"/>
      <family val="2"/>
    </font>
    <font>
      <sz val="9"/>
      <color rgb="FFFF0000"/>
      <name val="Tahoma"/>
      <family val="2"/>
    </font>
    <font>
      <sz val="8"/>
      <name val="Arial"/>
      <family val="2"/>
    </font>
    <font>
      <b/>
      <sz val="10"/>
      <color rgb="FF000000"/>
      <name val="Tahoma"/>
      <family val="2"/>
    </font>
    <font>
      <sz val="9"/>
      <color theme="1"/>
      <name val="Calibri"/>
      <family val="2"/>
    </font>
    <font>
      <u/>
      <sz val="10"/>
      <color theme="10"/>
      <name val="Tahoma"/>
      <family val="2"/>
    </font>
    <font>
      <sz val="9"/>
      <color indexed="81"/>
      <name val="Tahoma"/>
      <family val="2"/>
    </font>
    <font>
      <b/>
      <sz val="9"/>
      <color indexed="81"/>
      <name val="Tahoma"/>
      <family val="2"/>
    </font>
    <font>
      <b/>
      <i/>
      <sz val="9"/>
      <color indexed="81"/>
      <name val="Tahoma"/>
      <family val="2"/>
    </font>
    <font>
      <i/>
      <sz val="9"/>
      <color indexed="81"/>
      <name val="Tahoma"/>
      <family val="2"/>
    </font>
    <font>
      <i/>
      <sz val="10"/>
      <name val="Tahoma"/>
      <family val="2"/>
    </font>
    <font>
      <u/>
      <sz val="10"/>
      <color theme="1"/>
      <name val="Tahoma"/>
      <family val="2"/>
    </font>
    <font>
      <u/>
      <sz val="10"/>
      <color theme="10"/>
      <name val="Arial"/>
      <family val="2"/>
    </font>
    <font>
      <sz val="10"/>
      <name val="Trebuchet MS"/>
      <family val="2"/>
    </font>
    <font>
      <sz val="11"/>
      <color indexed="9"/>
      <name val="Calibri"/>
      <family val="2"/>
    </font>
    <font>
      <i/>
      <sz val="10"/>
      <name val="Arial"/>
      <family val="2"/>
    </font>
    <font>
      <sz val="11"/>
      <color indexed="20"/>
      <name val="Calibri"/>
      <family val="2"/>
    </font>
    <font>
      <sz val="11"/>
      <color indexed="37"/>
      <name val="Calibri"/>
      <family val="2"/>
    </font>
    <font>
      <b/>
      <sz val="11"/>
      <color indexed="52"/>
      <name val="Calibri"/>
      <family val="2"/>
    </font>
    <font>
      <b/>
      <sz val="11"/>
      <color indexed="17"/>
      <name val="Calibri"/>
      <family val="2"/>
    </font>
    <font>
      <b/>
      <sz val="11"/>
      <color indexed="9"/>
      <name val="Calibri"/>
      <family val="2"/>
    </font>
    <font>
      <sz val="10"/>
      <color indexed="8"/>
      <name val="Arial"/>
      <family val="2"/>
    </font>
    <font>
      <sz val="10"/>
      <name val="Times New Roman"/>
      <family val="1"/>
    </font>
    <font>
      <sz val="10"/>
      <name val="Century Gothic"/>
      <family val="2"/>
    </font>
    <font>
      <sz val="10"/>
      <color indexed="8"/>
      <name val="Tahoma"/>
      <family val="2"/>
    </font>
    <font>
      <sz val="11"/>
      <color theme="1"/>
      <name val="Times New Roman"/>
      <family val="2"/>
    </font>
    <font>
      <sz val="10"/>
      <color indexed="8"/>
      <name val="Trebuchet MS"/>
      <family val="2"/>
    </font>
    <font>
      <b/>
      <sz val="11"/>
      <color indexed="8"/>
      <name val="Calibri"/>
      <family val="2"/>
    </font>
    <font>
      <i/>
      <sz val="11"/>
      <color indexed="23"/>
      <name val="Calibri"/>
      <family val="2"/>
    </font>
    <font>
      <sz val="11"/>
      <color indexed="17"/>
      <name val="Calibri"/>
      <family val="2"/>
    </font>
    <font>
      <b/>
      <sz val="15"/>
      <color indexed="56"/>
      <name val="Calibri"/>
      <family val="2"/>
    </font>
    <font>
      <b/>
      <sz val="15"/>
      <color indexed="62"/>
      <name val="Calibri"/>
      <family val="2"/>
    </font>
    <font>
      <b/>
      <sz val="13"/>
      <color indexed="56"/>
      <name val="Calibri"/>
      <family val="2"/>
    </font>
    <font>
      <b/>
      <sz val="13"/>
      <color indexed="62"/>
      <name val="Calibri"/>
      <family val="2"/>
    </font>
    <font>
      <b/>
      <sz val="11"/>
      <color indexed="56"/>
      <name val="Calibri"/>
      <family val="2"/>
    </font>
    <font>
      <b/>
      <sz val="11"/>
      <color indexed="62"/>
      <name val="Calibri"/>
      <family val="2"/>
    </font>
    <font>
      <u/>
      <sz val="10"/>
      <color indexed="12"/>
      <name val="Times New Roman"/>
      <family val="1"/>
    </font>
    <font>
      <u/>
      <sz val="11"/>
      <color indexed="12"/>
      <name val="Calibri"/>
      <family val="2"/>
    </font>
    <font>
      <u/>
      <sz val="10"/>
      <color indexed="12"/>
      <name val="Arial"/>
      <family val="2"/>
    </font>
    <font>
      <u/>
      <sz val="11"/>
      <color theme="10"/>
      <name val="Calibri"/>
      <family val="2"/>
      <scheme val="minor"/>
    </font>
    <font>
      <sz val="11"/>
      <color indexed="62"/>
      <name val="Calibri"/>
      <family val="2"/>
    </font>
    <font>
      <sz val="11"/>
      <color indexed="48"/>
      <name val="Calibri"/>
      <family val="2"/>
    </font>
    <font>
      <sz val="11"/>
      <color indexed="52"/>
      <name val="Calibri"/>
      <family val="2"/>
    </font>
    <font>
      <sz val="11"/>
      <color indexed="60"/>
      <name val="Calibri"/>
      <family val="2"/>
    </font>
    <font>
      <sz val="8"/>
      <name val="Arial (WE)"/>
    </font>
    <font>
      <b/>
      <sz val="11"/>
      <color indexed="63"/>
      <name val="Calibri"/>
      <family val="2"/>
    </font>
    <font>
      <b/>
      <i/>
      <u/>
      <sz val="10"/>
      <name val="Arial"/>
      <family val="2"/>
    </font>
    <font>
      <u/>
      <sz val="10"/>
      <name val="Arial"/>
      <family val="2"/>
    </font>
    <font>
      <sz val="8"/>
      <color indexed="62"/>
      <name val="Arial"/>
      <family val="2"/>
    </font>
    <font>
      <b/>
      <sz val="8"/>
      <color indexed="8"/>
      <name val="Arial"/>
      <family val="2"/>
    </font>
    <font>
      <b/>
      <sz val="10"/>
      <color indexed="8"/>
      <name val="Arial"/>
      <family val="2"/>
    </font>
    <font>
      <b/>
      <sz val="8"/>
      <name val="Arial"/>
      <family val="2"/>
    </font>
    <font>
      <sz val="8"/>
      <color indexed="8"/>
      <name val="Arial"/>
      <family val="2"/>
    </font>
    <font>
      <sz val="10"/>
      <color indexed="39"/>
      <name val="Arial"/>
      <family val="2"/>
    </font>
    <font>
      <sz val="19"/>
      <name val="Arial"/>
      <family val="2"/>
    </font>
    <font>
      <sz val="8"/>
      <color indexed="14"/>
      <name val="Arial"/>
      <family val="2"/>
    </font>
    <font>
      <b/>
      <sz val="18"/>
      <color indexed="62"/>
      <name val="Cambria"/>
      <family val="2"/>
    </font>
    <font>
      <b/>
      <sz val="18"/>
      <color indexed="56"/>
      <name val="Cambria"/>
      <family val="2"/>
    </font>
    <font>
      <sz val="11"/>
      <color indexed="10"/>
      <name val="Calibri"/>
      <family val="2"/>
    </font>
    <font>
      <sz val="11"/>
      <color indexed="14"/>
      <name val="Calibri"/>
      <family val="2"/>
    </font>
    <font>
      <sz val="9"/>
      <color indexed="8"/>
      <name val="Arial"/>
      <family val="2"/>
    </font>
    <font>
      <sz val="9"/>
      <color theme="1"/>
      <name val="Arial"/>
      <family val="2"/>
    </font>
    <font>
      <sz val="14"/>
      <color theme="1"/>
      <name val="Calibri"/>
      <family val="2"/>
    </font>
    <font>
      <b/>
      <i/>
      <sz val="10"/>
      <name val="Tahoma"/>
      <family val="2"/>
    </font>
    <font>
      <i/>
      <sz val="10"/>
      <color rgb="FFFF0000"/>
      <name val="Tahoma"/>
      <family val="2"/>
    </font>
    <font>
      <i/>
      <sz val="10"/>
      <color theme="0"/>
      <name val="Tahoma"/>
      <family val="2"/>
    </font>
    <font>
      <sz val="10"/>
      <color rgb="FFFF0000"/>
      <name val="Calibri"/>
      <family val="2"/>
      <scheme val="minor"/>
    </font>
    <font>
      <sz val="10"/>
      <color theme="9" tint="-0.249977111117893"/>
      <name val="Tahoma"/>
      <family val="2"/>
    </font>
    <font>
      <b/>
      <vertAlign val="superscript"/>
      <sz val="8"/>
      <color theme="1"/>
      <name val="Tahoma"/>
      <family val="2"/>
    </font>
    <font>
      <b/>
      <vertAlign val="superscript"/>
      <sz val="10"/>
      <color theme="1"/>
      <name val="Tahoma"/>
      <family val="2"/>
    </font>
    <font>
      <u/>
      <sz val="11"/>
      <name val="Calibri"/>
      <family val="2"/>
    </font>
    <font>
      <sz val="12"/>
      <color theme="1"/>
      <name val="Tahoma"/>
      <family val="2"/>
    </font>
    <font>
      <b/>
      <u/>
      <sz val="12"/>
      <color theme="1"/>
      <name val="Tahoma"/>
      <family val="2"/>
    </font>
    <font>
      <sz val="11"/>
      <color rgb="FF000000"/>
      <name val="Calibri"/>
      <family val="2"/>
    </font>
    <font>
      <sz val="12"/>
      <color rgb="FFFF0000"/>
      <name val="Tahoma"/>
      <family val="2"/>
    </font>
    <font>
      <sz val="10"/>
      <color rgb="FF000000"/>
      <name val="Iskoola Pota"/>
      <family val="2"/>
    </font>
    <font>
      <i/>
      <sz val="9"/>
      <name val="Tahoma"/>
      <family val="2"/>
    </font>
    <font>
      <b/>
      <vertAlign val="superscript"/>
      <sz val="10"/>
      <color rgb="FF000000"/>
      <name val="Tahoma"/>
      <family val="2"/>
    </font>
    <font>
      <b/>
      <sz val="18"/>
      <color rgb="FF000000"/>
      <name val="Calibri"/>
      <family val="2"/>
    </font>
    <font>
      <b/>
      <sz val="16"/>
      <name val="Calibri"/>
      <family val="2"/>
    </font>
    <font>
      <sz val="10"/>
      <name val="Calibri"/>
      <family val="2"/>
    </font>
    <font>
      <sz val="11"/>
      <color rgb="FF444444"/>
      <name val="Calibri"/>
      <family val="2"/>
      <charset val="1"/>
    </font>
    <font>
      <b/>
      <sz val="10"/>
      <name val="Calibri"/>
      <family val="2"/>
    </font>
    <font>
      <sz val="9"/>
      <color rgb="FF000000"/>
      <name val="Tahoma"/>
      <family val="2"/>
    </font>
    <font>
      <sz val="10"/>
      <color theme="1"/>
      <name val="Thoma"/>
    </font>
    <font>
      <sz val="11"/>
      <color rgb="FF000000"/>
      <name val="Tahoma"/>
      <family val="2"/>
    </font>
    <font>
      <b/>
      <sz val="11"/>
      <color rgb="FF000000"/>
      <name val="Calibri"/>
      <family val="2"/>
    </font>
    <font>
      <i/>
      <sz val="9"/>
      <color theme="1"/>
      <name val="Calibri"/>
      <family val="2"/>
      <scheme val="minor"/>
    </font>
    <font>
      <i/>
      <sz val="8"/>
      <name val="Tahoma"/>
      <family val="2"/>
    </font>
    <font>
      <b/>
      <sz val="10"/>
      <name val="Thoma"/>
    </font>
    <font>
      <sz val="10"/>
      <color rgb="FF000000"/>
      <name val="Thoma"/>
    </font>
    <font>
      <sz val="10"/>
      <name val="Thoma"/>
    </font>
    <font>
      <sz val="10"/>
      <color rgb="FF000000"/>
      <name val="Tshoma"/>
    </font>
    <font>
      <sz val="10"/>
      <name val="Tshoma"/>
    </font>
    <font>
      <b/>
      <sz val="10"/>
      <name val="Tshoma"/>
    </font>
    <font>
      <i/>
      <sz val="9"/>
      <color rgb="FF444444"/>
      <name val="Tahoma"/>
      <family val="2"/>
    </font>
    <font>
      <sz val="11"/>
      <color rgb="FF000000"/>
      <name val="Calibri"/>
      <family val="2"/>
      <scheme val="minor"/>
    </font>
    <font>
      <sz val="11"/>
      <name val="Calibri"/>
      <family val="2"/>
      <charset val="1"/>
    </font>
    <font>
      <b/>
      <sz val="10"/>
      <color theme="0"/>
      <name val="Arial"/>
      <family val="2"/>
    </font>
    <font>
      <b/>
      <vertAlign val="superscript"/>
      <sz val="10"/>
      <color theme="0"/>
      <name val="Tahoma"/>
      <family val="2"/>
    </font>
    <font>
      <i/>
      <sz val="10"/>
      <color theme="0" tint="-0.14999847407452621"/>
      <name val="Tahoma"/>
      <family val="2"/>
    </font>
    <font>
      <b/>
      <i/>
      <sz val="10"/>
      <color theme="0" tint="-0.14999847407452621"/>
      <name val="Tahoma"/>
      <family val="2"/>
    </font>
    <font>
      <b/>
      <sz val="10"/>
      <color theme="0" tint="-0.14999847407452621"/>
      <name val="Tahoma"/>
      <family val="2"/>
    </font>
    <font>
      <i/>
      <sz val="9"/>
      <color rgb="FFFF0000"/>
      <name val="Tahoma"/>
      <family val="2"/>
    </font>
    <font>
      <i/>
      <sz val="11"/>
      <name val="Calibri"/>
      <family val="2"/>
      <scheme val="minor"/>
    </font>
    <font>
      <sz val="10"/>
      <name val="Tahoma"/>
    </font>
  </fonts>
  <fills count="111">
    <fill>
      <patternFill patternType="none"/>
    </fill>
    <fill>
      <patternFill patternType="gray125"/>
    </fill>
    <fill>
      <patternFill patternType="solid">
        <fgColor indexed="31"/>
        <bgColor indexed="64"/>
      </patternFill>
    </fill>
    <fill>
      <patternFill patternType="solid">
        <fgColor indexed="44"/>
        <bgColor indexed="64"/>
      </patternFill>
    </fill>
    <fill>
      <patternFill patternType="solid">
        <fgColor theme="4" tint="0.79998168889431442"/>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theme="0"/>
        <bgColor indexed="64"/>
      </patternFill>
    </fill>
    <fill>
      <patternFill patternType="solid">
        <fgColor rgb="FFFFC000"/>
        <bgColor indexed="64"/>
      </patternFill>
    </fill>
    <fill>
      <patternFill patternType="solid">
        <fgColor rgb="FF92D050"/>
        <bgColor indexed="64"/>
      </patternFill>
    </fill>
    <fill>
      <patternFill patternType="solid">
        <fgColor rgb="FF00B0F0"/>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rgb="FFFFFF00"/>
        <bgColor indexed="64"/>
      </patternFill>
    </fill>
    <fill>
      <patternFill patternType="solid">
        <fgColor rgb="FFFF0000"/>
        <bgColor indexed="64"/>
      </patternFill>
    </fill>
    <fill>
      <patternFill patternType="solid">
        <fgColor theme="6" tint="0.59999389629810485"/>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rgb="FFC00000"/>
        <bgColor indexed="64"/>
      </patternFill>
    </fill>
    <fill>
      <patternFill patternType="solid">
        <fgColor theme="0" tint="-0.14999847407452621"/>
        <bgColor indexed="64"/>
      </patternFill>
    </fill>
    <fill>
      <patternFill patternType="solid">
        <fgColor theme="2" tint="-0.249977111117893"/>
        <bgColor indexed="64"/>
      </patternFill>
    </fill>
    <fill>
      <patternFill patternType="solid">
        <fgColor theme="4" tint="0.59999389629810485"/>
        <bgColor indexed="64"/>
      </patternFill>
    </fill>
    <fill>
      <patternFill patternType="solid">
        <fgColor theme="9" tint="-0.249977111117893"/>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theme="2"/>
        <bgColor indexed="64"/>
      </patternFill>
    </fill>
    <fill>
      <patternFill patternType="solid">
        <fgColor theme="7" tint="0.59999389629810485"/>
        <bgColor indexed="64"/>
      </patternFill>
    </fill>
    <fill>
      <patternFill patternType="solid">
        <fgColor theme="5"/>
        <bgColor indexed="64"/>
      </patternFill>
    </fill>
    <fill>
      <patternFill patternType="solid">
        <fgColor theme="0" tint="-0.249977111117893"/>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62"/>
      </patternFill>
    </fill>
    <fill>
      <patternFill patternType="solid">
        <fgColor indexed="48"/>
        <bgColor indexed="4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10"/>
      </patternFill>
    </fill>
    <fill>
      <patternFill patternType="solid">
        <fgColor indexed="25"/>
        <bgColor indexed="2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7"/>
      </patternFill>
    </fill>
    <fill>
      <patternFill patternType="solid">
        <fgColor indexed="57"/>
        <bgColor indexed="57"/>
      </patternFill>
    </fill>
    <fill>
      <patternFill patternType="solid">
        <fgColor indexed="55"/>
        <bgColor indexed="55"/>
      </patternFill>
    </fill>
    <fill>
      <patternFill patternType="solid">
        <fgColor indexed="18"/>
        <bgColor indexed="18"/>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3"/>
      </patternFill>
    </fill>
    <fill>
      <patternFill patternType="solid">
        <fgColor indexed="53"/>
        <bgColor indexed="53"/>
      </patternFill>
    </fill>
    <fill>
      <patternFill patternType="solid">
        <fgColor indexed="9"/>
        <bgColor indexed="64"/>
      </patternFill>
    </fill>
    <fill>
      <patternFill patternType="solid">
        <fgColor indexed="22"/>
      </patternFill>
    </fill>
    <fill>
      <patternFill patternType="solid">
        <fgColor indexed="35"/>
        <bgColor indexed="35"/>
      </patternFill>
    </fill>
    <fill>
      <patternFill patternType="solid">
        <fgColor indexed="5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60"/>
      </patternFill>
    </fill>
    <fill>
      <patternFill patternType="solid">
        <fgColor indexed="26"/>
      </patternFill>
    </fill>
    <fill>
      <patternFill patternType="solid">
        <fgColor indexed="43"/>
        <bgColor indexed="64"/>
      </patternFill>
    </fill>
    <fill>
      <patternFill patternType="solid">
        <fgColor indexed="40"/>
      </patternFill>
    </fill>
    <fill>
      <patternFill patternType="solid">
        <fgColor indexed="12"/>
      </patternFill>
    </fill>
    <fill>
      <patternFill patternType="solid">
        <fgColor indexed="50"/>
      </patternFill>
    </fill>
    <fill>
      <patternFill patternType="lightUp">
        <fgColor indexed="48"/>
        <bgColor indexed="41"/>
      </patternFill>
    </fill>
    <fill>
      <patternFill patternType="solid">
        <fgColor indexed="54"/>
      </patternFill>
    </fill>
    <fill>
      <patternFill patternType="solid">
        <fgColor indexed="41"/>
      </patternFill>
    </fill>
    <fill>
      <patternFill patternType="solid">
        <fgColor indexed="23"/>
      </patternFill>
    </fill>
    <fill>
      <patternFill patternType="solid">
        <fgColor indexed="9"/>
      </patternFill>
    </fill>
    <fill>
      <patternFill patternType="solid">
        <fgColor indexed="26"/>
        <bgColor indexed="64"/>
      </patternFill>
    </fill>
    <fill>
      <patternFill patternType="solid">
        <fgColor indexed="15"/>
      </patternFill>
    </fill>
    <fill>
      <patternFill patternType="solid">
        <fgColor indexed="20"/>
      </patternFill>
    </fill>
    <fill>
      <patternFill patternType="solid">
        <fgColor rgb="FFFFFFFF"/>
        <bgColor rgb="FF000000"/>
      </patternFill>
    </fill>
    <fill>
      <patternFill patternType="solid">
        <fgColor rgb="FFFFFFFF"/>
        <bgColor indexed="64"/>
      </patternFill>
    </fill>
    <fill>
      <patternFill patternType="solid">
        <fgColor rgb="FFD9D9D9"/>
        <bgColor rgb="FF000000"/>
      </patternFill>
    </fill>
    <fill>
      <patternFill patternType="solid">
        <fgColor theme="5" tint="0.79998168889431442"/>
        <bgColor indexed="64"/>
      </patternFill>
    </fill>
    <fill>
      <patternFill patternType="solid">
        <fgColor theme="1"/>
        <bgColor indexed="64"/>
      </patternFill>
    </fill>
    <fill>
      <patternFill patternType="solid">
        <fgColor rgb="FFFFFFCC"/>
        <bgColor indexed="64"/>
      </patternFill>
    </fill>
    <fill>
      <patternFill patternType="solid">
        <fgColor rgb="FFFFFFDD"/>
        <bgColor indexed="64"/>
      </patternFill>
    </fill>
    <fill>
      <patternFill patternType="solid">
        <fgColor rgb="FF001B70"/>
        <bgColor indexed="64"/>
      </patternFill>
    </fill>
    <fill>
      <patternFill patternType="solid">
        <fgColor theme="4" tint="0.39997558519241921"/>
        <bgColor indexed="64"/>
      </patternFill>
    </fill>
    <fill>
      <patternFill patternType="solid">
        <fgColor theme="0" tint="-0.34998626667073579"/>
        <bgColor indexed="64"/>
      </patternFill>
    </fill>
    <fill>
      <patternFill patternType="solid">
        <fgColor theme="5" tint="0.59999389629810485"/>
        <bgColor rgb="FF000000"/>
      </patternFill>
    </fill>
    <fill>
      <patternFill patternType="solid">
        <fgColor theme="5" tint="0.79998168889431442"/>
        <bgColor rgb="FF000000"/>
      </patternFill>
    </fill>
    <fill>
      <patternFill patternType="solid">
        <fgColor rgb="FFBDE9BD"/>
        <bgColor indexed="64"/>
      </patternFill>
    </fill>
    <fill>
      <patternFill patternType="solid">
        <fgColor rgb="FFDFF5DF"/>
        <bgColor indexed="64"/>
      </patternFill>
    </fill>
    <fill>
      <patternFill patternType="solid">
        <fgColor rgb="FFBDE9BD"/>
        <bgColor rgb="FF000000"/>
      </patternFill>
    </fill>
    <fill>
      <patternFill patternType="solid">
        <fgColor theme="0" tint="-0.249977111117893"/>
        <bgColor rgb="FF000000"/>
      </patternFill>
    </fill>
    <fill>
      <patternFill patternType="solid">
        <fgColor rgb="FF002060"/>
        <bgColor indexed="64"/>
      </patternFill>
    </fill>
    <fill>
      <patternFill patternType="solid">
        <fgColor rgb="FFE2E2E2"/>
        <bgColor indexed="64"/>
      </patternFill>
    </fill>
    <fill>
      <patternFill patternType="solid">
        <fgColor rgb="FFD5FFD5"/>
        <bgColor indexed="64"/>
      </patternFill>
    </fill>
    <fill>
      <patternFill patternType="solid">
        <fgColor rgb="FFFF6699"/>
        <bgColor indexed="64"/>
      </patternFill>
    </fill>
  </fills>
  <borders count="231">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double">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style="double">
        <color indexed="64"/>
      </bottom>
      <diagonal/>
    </border>
    <border>
      <left/>
      <right style="thin">
        <color indexed="64"/>
      </right>
      <top/>
      <bottom style="thin">
        <color indexed="64"/>
      </bottom>
      <diagonal/>
    </border>
    <border>
      <left style="thin">
        <color indexed="64"/>
      </left>
      <right style="thin">
        <color indexed="64"/>
      </right>
      <top style="hair">
        <color indexed="64"/>
      </top>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left style="thin">
        <color indexed="8"/>
      </left>
      <right style="thin">
        <color indexed="8"/>
      </right>
      <top style="thin">
        <color indexed="8"/>
      </top>
      <bottom style="thin">
        <color indexed="8"/>
      </bottom>
      <diagonal/>
    </border>
    <border>
      <left style="medium">
        <color indexed="64"/>
      </left>
      <right/>
      <top style="medium">
        <color indexed="64"/>
      </top>
      <bottom/>
      <diagonal/>
    </border>
    <border>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medium">
        <color indexed="64"/>
      </right>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medium">
        <color indexed="64"/>
      </left>
      <right/>
      <top/>
      <bottom style="medium">
        <color indexed="64"/>
      </bottom>
      <diagonal/>
    </border>
    <border>
      <left style="thin">
        <color indexed="12"/>
      </left>
      <right style="thin">
        <color indexed="12"/>
      </right>
      <top style="thin">
        <color indexed="12"/>
      </top>
      <bottom style="thin">
        <color indexed="12"/>
      </bottom>
      <diagonal/>
    </border>
    <border>
      <left style="medium">
        <color indexed="64"/>
      </left>
      <right style="thin">
        <color indexed="64"/>
      </right>
      <top style="medium">
        <color indexed="6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48"/>
      </bottom>
      <diagonal/>
    </border>
    <border>
      <left/>
      <right/>
      <top/>
      <bottom style="thick">
        <color indexed="22"/>
      </bottom>
      <diagonal/>
    </border>
    <border>
      <left/>
      <right/>
      <top/>
      <bottom style="thick">
        <color indexed="58"/>
      </bottom>
      <diagonal/>
    </border>
    <border>
      <left/>
      <right/>
      <top/>
      <bottom style="medium">
        <color indexed="30"/>
      </bottom>
      <diagonal/>
    </border>
    <border>
      <left/>
      <right/>
      <top/>
      <bottom style="medium">
        <color indexed="58"/>
      </bottom>
      <diagonal/>
    </border>
    <border>
      <left/>
      <right/>
      <top/>
      <bottom style="double">
        <color indexed="52"/>
      </bottom>
      <diagonal/>
    </border>
    <border>
      <left/>
      <right/>
      <top/>
      <bottom style="double">
        <color indexed="17"/>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62"/>
      </top>
      <bottom style="double">
        <color indexed="62"/>
      </bottom>
      <diagonal/>
    </border>
    <border>
      <left/>
      <right/>
      <top style="thin">
        <color indexed="48"/>
      </top>
      <bottom style="double">
        <color indexed="48"/>
      </bottom>
      <diagonal/>
    </border>
    <border>
      <left/>
      <right/>
      <top/>
      <bottom style="medium">
        <color auto="1"/>
      </bottom>
      <diagonal/>
    </border>
    <border>
      <left style="thin">
        <color auto="1"/>
      </left>
      <right style="thin">
        <color auto="1"/>
      </right>
      <top style="thin">
        <color auto="1"/>
      </top>
      <bottom style="thin">
        <color auto="1"/>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right style="thin">
        <color indexed="64"/>
      </right>
      <top/>
      <bottom/>
      <diagonal/>
    </border>
    <border>
      <left style="medium">
        <color indexed="64"/>
      </left>
      <right style="thin">
        <color indexed="64"/>
      </right>
      <top/>
      <bottom style="thin">
        <color indexed="64"/>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bottom style="thin">
        <color indexed="64"/>
      </bottom>
      <diagonal/>
    </border>
    <border>
      <left style="medium">
        <color rgb="FF000000"/>
      </left>
      <right style="medium">
        <color rgb="FF000000"/>
      </right>
      <top style="thin">
        <color indexed="64"/>
      </top>
      <bottom style="medium">
        <color rgb="FF000000"/>
      </bottom>
      <diagonal/>
    </border>
    <border>
      <left style="thin">
        <color rgb="FF000000"/>
      </left>
      <right style="thin">
        <color rgb="FF000000"/>
      </right>
      <top style="thin">
        <color rgb="FF000000"/>
      </top>
      <bottom style="thin">
        <color rgb="FF000000"/>
      </bottom>
      <diagonal/>
    </border>
    <border>
      <left/>
      <right/>
      <top/>
      <bottom style="double">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rgb="FF000000"/>
      </left>
      <right/>
      <top style="medium">
        <color rgb="FF000000"/>
      </top>
      <bottom style="thin">
        <color indexed="64"/>
      </bottom>
      <diagonal/>
    </border>
    <border>
      <left style="medium">
        <color rgb="FF000000"/>
      </left>
      <right style="medium">
        <color indexed="64"/>
      </right>
      <top style="medium">
        <color rgb="FF000000"/>
      </top>
      <bottom style="thin">
        <color indexed="64"/>
      </bottom>
      <diagonal/>
    </border>
    <border>
      <left/>
      <right style="medium">
        <color indexed="64"/>
      </right>
      <top style="medium">
        <color rgb="FF000000"/>
      </top>
      <bottom style="thin">
        <color indexed="64"/>
      </bottom>
      <diagonal/>
    </border>
    <border>
      <left style="medium">
        <color indexed="64"/>
      </left>
      <right/>
      <top style="medium">
        <color rgb="FF000000"/>
      </top>
      <bottom style="thin">
        <color indexed="64"/>
      </bottom>
      <diagonal/>
    </border>
    <border>
      <left style="medium">
        <color rgb="FF000000"/>
      </left>
      <right style="medium">
        <color rgb="FF000000"/>
      </right>
      <top style="medium">
        <color rgb="FF000000"/>
      </top>
      <bottom style="thin">
        <color indexed="64"/>
      </bottom>
      <diagonal/>
    </border>
    <border>
      <left style="medium">
        <color rgb="FF000000"/>
      </left>
      <right/>
      <top style="thin">
        <color indexed="64"/>
      </top>
      <bottom style="medium">
        <color rgb="FF000000"/>
      </bottom>
      <diagonal/>
    </border>
    <border>
      <left style="medium">
        <color rgb="FF000000"/>
      </left>
      <right style="medium">
        <color rgb="FF000000"/>
      </right>
      <top style="medium">
        <color indexed="64"/>
      </top>
      <bottom style="medium">
        <color rgb="FF000000"/>
      </bottom>
      <diagonal/>
    </border>
    <border>
      <left style="medium">
        <color rgb="FF000000"/>
      </left>
      <right/>
      <top/>
      <bottom style="thin">
        <color indexed="64"/>
      </bottom>
      <diagonal/>
    </border>
    <border>
      <left/>
      <right style="medium">
        <color indexed="64"/>
      </right>
      <top/>
      <bottom style="medium">
        <color rgb="FF000000"/>
      </bottom>
      <diagonal/>
    </border>
    <border>
      <left style="medium">
        <color rgb="FF000000"/>
      </left>
      <right style="medium">
        <color rgb="FF000000"/>
      </right>
      <top style="medium">
        <color indexed="64"/>
      </top>
      <bottom style="medium">
        <color indexed="64"/>
      </bottom>
      <diagonal/>
    </border>
    <border>
      <left/>
      <right style="medium">
        <color rgb="FF000000"/>
      </right>
      <top/>
      <bottom style="thin">
        <color indexed="64"/>
      </bottom>
      <diagonal/>
    </border>
    <border>
      <left/>
      <right style="medium">
        <color indexed="64"/>
      </right>
      <top style="thin">
        <color rgb="FF000000"/>
      </top>
      <bottom style="thin">
        <color indexed="64"/>
      </bottom>
      <diagonal/>
    </border>
    <border>
      <left style="medium">
        <color indexed="64"/>
      </left>
      <right/>
      <top style="thin">
        <color rgb="FF000000"/>
      </top>
      <bottom style="thin">
        <color indexed="64"/>
      </bottom>
      <diagonal/>
    </border>
    <border>
      <left/>
      <right style="medium">
        <color indexed="64"/>
      </right>
      <top style="thin">
        <color indexed="64"/>
      </top>
      <bottom style="medium">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style="medium">
        <color rgb="FF000000"/>
      </right>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top style="thin">
        <color rgb="FF000000"/>
      </top>
      <bottom style="thin">
        <color indexed="64"/>
      </bottom>
      <diagonal/>
    </border>
    <border>
      <left style="medium">
        <color rgb="FF000000"/>
      </left>
      <right style="medium">
        <color rgb="FF000000"/>
      </right>
      <top/>
      <bottom style="thin">
        <color rgb="FF000000"/>
      </bottom>
      <diagonal/>
    </border>
    <border>
      <left style="medium">
        <color rgb="FF000000"/>
      </left>
      <right style="medium">
        <color rgb="FF000000"/>
      </right>
      <top/>
      <bottom style="medium">
        <color indexed="64"/>
      </bottom>
      <diagonal/>
    </border>
    <border>
      <left/>
      <right/>
      <top style="thin">
        <color indexed="64"/>
      </top>
      <bottom style="medium">
        <color rgb="FF000000"/>
      </bottom>
      <diagonal/>
    </border>
    <border>
      <left style="medium">
        <color rgb="FF000000"/>
      </left>
      <right style="medium">
        <color indexed="64"/>
      </right>
      <top/>
      <bottom style="thin">
        <color indexed="64"/>
      </bottom>
      <diagonal/>
    </border>
    <border>
      <left style="medium">
        <color rgb="FF000000"/>
      </left>
      <right style="medium">
        <color indexed="64"/>
      </right>
      <top/>
      <bottom style="medium">
        <color rgb="FF000000"/>
      </bottom>
      <diagonal/>
    </border>
    <border>
      <left style="medium">
        <color rgb="FF000000"/>
      </left>
      <right style="medium">
        <color rgb="FF000000"/>
      </right>
      <top style="medium">
        <color indexed="64"/>
      </top>
      <bottom/>
      <diagonal/>
    </border>
    <border>
      <left style="thin">
        <color indexed="64"/>
      </left>
      <right/>
      <top style="thin">
        <color indexed="64"/>
      </top>
      <bottom style="medium">
        <color indexed="64"/>
      </bottom>
      <diagonal/>
    </border>
    <border>
      <left/>
      <right/>
      <top style="thin">
        <color rgb="FF000000"/>
      </top>
      <bottom style="thin">
        <color rgb="FF000000"/>
      </bottom>
      <diagonal/>
    </border>
    <border>
      <left/>
      <right style="medium">
        <color indexed="64"/>
      </right>
      <top style="medium">
        <color rgb="FF000000"/>
      </top>
      <bottom style="medium">
        <color rgb="FF000000"/>
      </bottom>
      <diagonal/>
    </border>
    <border>
      <left/>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right style="medium">
        <color indexed="64"/>
      </right>
      <top style="thin">
        <color rgb="FF000000"/>
      </top>
      <bottom style="thin">
        <color rgb="FF000000"/>
      </bottom>
      <diagonal/>
    </border>
    <border>
      <left style="medium">
        <color rgb="FF000000"/>
      </left>
      <right style="medium">
        <color indexed="64"/>
      </right>
      <top style="medium">
        <color indexed="64"/>
      </top>
      <bottom style="medium">
        <color indexed="64"/>
      </bottom>
      <diagonal/>
    </border>
    <border>
      <left style="medium">
        <color indexed="64"/>
      </left>
      <right style="medium">
        <color indexed="64"/>
      </right>
      <top style="thin">
        <color rgb="FF000000"/>
      </top>
      <bottom style="thin">
        <color rgb="FF000000"/>
      </bottom>
      <diagonal/>
    </border>
    <border>
      <left style="medium">
        <color indexed="64"/>
      </left>
      <right style="medium">
        <color indexed="64"/>
      </right>
      <top/>
      <bottom style="thin">
        <color rgb="FF000000"/>
      </bottom>
      <diagonal/>
    </border>
    <border>
      <left style="thin">
        <color indexed="64"/>
      </left>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auto="1"/>
      </top>
      <bottom/>
      <diagonal/>
    </border>
    <border>
      <left style="medium">
        <color indexed="64"/>
      </left>
      <right style="medium">
        <color indexed="64"/>
      </right>
      <top style="thin">
        <color rgb="FF000000"/>
      </top>
      <bottom style="medium">
        <color indexed="64"/>
      </bottom>
      <diagonal/>
    </border>
    <border>
      <left/>
      <right/>
      <top style="thin">
        <color rgb="FF000000"/>
      </top>
      <bottom style="medium">
        <color indexed="64"/>
      </bottom>
      <diagonal/>
    </border>
    <border>
      <left/>
      <right/>
      <top style="thin">
        <color auto="1"/>
      </top>
      <bottom style="medium">
        <color indexed="64"/>
      </bottom>
      <diagonal/>
    </border>
    <border>
      <left style="thin">
        <color rgb="FF000000"/>
      </left>
      <right/>
      <top style="thin">
        <color rgb="FF000000"/>
      </top>
      <bottom style="medium">
        <color indexed="64"/>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style="medium">
        <color rgb="FF000000"/>
      </left>
      <right/>
      <top style="medium">
        <color indexed="64"/>
      </top>
      <bottom style="medium">
        <color indexed="64"/>
      </bottom>
      <diagonal/>
    </border>
    <border>
      <left/>
      <right style="medium">
        <color rgb="FF000000"/>
      </right>
      <top style="medium">
        <color indexed="64"/>
      </top>
      <bottom style="medium">
        <color indexed="64"/>
      </bottom>
      <diagonal/>
    </border>
    <border>
      <left/>
      <right/>
      <top style="medium">
        <color rgb="FF000000"/>
      </top>
      <bottom style="thin">
        <color indexed="64"/>
      </bottom>
      <diagonal/>
    </border>
    <border>
      <left style="medium">
        <color indexed="64"/>
      </left>
      <right style="medium">
        <color indexed="64"/>
      </right>
      <top/>
      <bottom style="medium">
        <color rgb="FF000000"/>
      </bottom>
      <diagonal/>
    </border>
    <border>
      <left style="medium">
        <color indexed="64"/>
      </left>
      <right/>
      <top/>
      <bottom style="medium">
        <color rgb="FF000000"/>
      </bottom>
      <diagonal/>
    </border>
    <border>
      <left/>
      <right/>
      <top/>
      <bottom style="medium">
        <color rgb="FF000000"/>
      </bottom>
      <diagonal/>
    </border>
    <border>
      <left style="medium">
        <color indexed="64"/>
      </left>
      <right style="medium">
        <color indexed="64"/>
      </right>
      <top style="medium">
        <color rgb="FF000000"/>
      </top>
      <bottom style="thin">
        <color indexed="64"/>
      </bottom>
      <diagonal/>
    </border>
    <border>
      <left style="medium">
        <color indexed="64"/>
      </left>
      <right style="medium">
        <color indexed="64"/>
      </right>
      <top style="thin">
        <color indexed="64"/>
      </top>
      <bottom style="medium">
        <color rgb="FF000000"/>
      </bottom>
      <diagonal/>
    </border>
    <border>
      <left/>
      <right style="medium">
        <color rgb="FF000000"/>
      </right>
      <top style="medium">
        <color rgb="FF000000"/>
      </top>
      <bottom style="thin">
        <color indexed="64"/>
      </bottom>
      <diagonal/>
    </border>
    <border>
      <left style="medium">
        <color rgb="FF000000"/>
      </left>
      <right/>
      <top style="medium">
        <color indexed="64"/>
      </top>
      <bottom/>
      <diagonal/>
    </border>
    <border>
      <left style="medium">
        <color rgb="FF000000"/>
      </left>
      <right/>
      <top/>
      <bottom style="medium">
        <color rgb="FF000000"/>
      </bottom>
      <diagonal/>
    </border>
    <border>
      <left style="thin">
        <color auto="1"/>
      </left>
      <right style="thin">
        <color indexed="64"/>
      </right>
      <top style="thin">
        <color theme="0"/>
      </top>
      <bottom style="thin">
        <color indexed="64"/>
      </bottom>
      <diagonal/>
    </border>
    <border>
      <left style="thin">
        <color theme="0"/>
      </left>
      <right style="thin">
        <color indexed="64"/>
      </right>
      <top/>
      <bottom/>
      <diagonal/>
    </border>
    <border>
      <left style="thin">
        <color theme="0"/>
      </left>
      <right/>
      <top/>
      <bottom/>
      <diagonal/>
    </border>
    <border>
      <left style="thin">
        <color theme="0"/>
      </left>
      <right/>
      <top/>
      <bottom style="thin">
        <color indexed="64"/>
      </bottom>
      <diagonal/>
    </border>
    <border>
      <left style="thin">
        <color theme="0"/>
      </left>
      <right style="thin">
        <color theme="0"/>
      </right>
      <top/>
      <bottom/>
      <diagonal/>
    </border>
    <border>
      <left style="thin">
        <color theme="0"/>
      </left>
      <right style="thin">
        <color theme="0"/>
      </right>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indexed="64"/>
      </left>
      <right style="thin">
        <color theme="0"/>
      </right>
      <top style="thin">
        <color theme="0"/>
      </top>
      <bottom style="thin">
        <color theme="0"/>
      </bottom>
      <diagonal/>
    </border>
    <border>
      <left style="thin">
        <color indexed="64"/>
      </left>
      <right style="thin">
        <color theme="0"/>
      </right>
      <top style="thin">
        <color theme="0"/>
      </top>
      <bottom/>
      <diagonal/>
    </border>
    <border>
      <left style="thin">
        <color indexed="64"/>
      </left>
      <right style="thin">
        <color theme="0"/>
      </right>
      <top/>
      <bottom/>
      <diagonal/>
    </border>
    <border>
      <left style="thin">
        <color indexed="64"/>
      </left>
      <right style="thin">
        <color theme="0"/>
      </right>
      <top style="thin">
        <color indexed="64"/>
      </top>
      <bottom style="thin">
        <color theme="0"/>
      </bottom>
      <diagonal/>
    </border>
    <border>
      <left/>
      <right/>
      <top/>
      <bottom style="thin">
        <color theme="0"/>
      </bottom>
      <diagonal/>
    </border>
    <border>
      <left style="thin">
        <color indexed="64"/>
      </left>
      <right style="thin">
        <color theme="0"/>
      </right>
      <top/>
      <bottom style="thin">
        <color indexed="64"/>
      </bottom>
      <diagonal/>
    </border>
    <border>
      <left style="thin">
        <color theme="0"/>
      </left>
      <right style="thin">
        <color indexed="64"/>
      </right>
      <top style="thin">
        <color rgb="FF000000"/>
      </top>
      <bottom style="thin">
        <color indexed="64"/>
      </bottom>
      <diagonal/>
    </border>
    <border>
      <left style="thin">
        <color indexed="64"/>
      </left>
      <right style="thin">
        <color theme="0"/>
      </right>
      <top style="thin">
        <color theme="0"/>
      </top>
      <bottom style="thin">
        <color indexed="64"/>
      </bottom>
      <diagonal/>
    </border>
    <border>
      <left style="thin">
        <color theme="0"/>
      </left>
      <right/>
      <top style="thin">
        <color theme="0"/>
      </top>
      <bottom style="thin">
        <color theme="0"/>
      </bottom>
      <diagonal/>
    </border>
    <border>
      <left style="thin">
        <color theme="0"/>
      </left>
      <right style="thin">
        <color indexed="64"/>
      </right>
      <top/>
      <bottom style="thin">
        <color theme="0"/>
      </bottom>
      <diagonal/>
    </border>
    <border>
      <left style="thin">
        <color theme="0"/>
      </left>
      <right/>
      <top style="thin">
        <color rgb="FF000000"/>
      </top>
      <bottom style="thin">
        <color indexed="64"/>
      </bottom>
      <diagonal/>
    </border>
    <border>
      <left style="thin">
        <color theme="0"/>
      </left>
      <right style="thin">
        <color theme="0"/>
      </right>
      <top style="thin">
        <color indexed="64"/>
      </top>
      <bottom style="thin">
        <color theme="0"/>
      </bottom>
      <diagonal/>
    </border>
    <border>
      <left/>
      <right style="thin">
        <color theme="0"/>
      </right>
      <top/>
      <bottom style="thin">
        <color theme="0"/>
      </bottom>
      <diagonal/>
    </border>
    <border>
      <left style="thin">
        <color theme="0"/>
      </left>
      <right style="thin">
        <color rgb="FF000000"/>
      </right>
      <top style="thin">
        <color indexed="64"/>
      </top>
      <bottom style="thin">
        <color theme="0"/>
      </bottom>
      <diagonal/>
    </border>
    <border>
      <left style="thin">
        <color rgb="FF000000"/>
      </left>
      <right style="thin">
        <color rgb="FF000000"/>
      </right>
      <top style="thin">
        <color indexed="64"/>
      </top>
      <bottom style="thin">
        <color theme="0"/>
      </bottom>
      <diagonal/>
    </border>
    <border>
      <left style="thin">
        <color rgb="FF000000"/>
      </left>
      <right style="thin">
        <color indexed="64"/>
      </right>
      <top style="thin">
        <color indexed="64"/>
      </top>
      <bottom style="thin">
        <color theme="0"/>
      </bottom>
      <diagonal/>
    </border>
    <border>
      <left style="thin">
        <color indexed="64"/>
      </left>
      <right style="thin">
        <color indexed="64"/>
      </right>
      <top style="thin">
        <color theme="0"/>
      </top>
      <bottom style="thin">
        <color theme="0"/>
      </bottom>
      <diagonal/>
    </border>
    <border>
      <left/>
      <right style="thin">
        <color indexed="64"/>
      </right>
      <top style="thin">
        <color theme="0"/>
      </top>
      <bottom style="thin">
        <color theme="0"/>
      </bottom>
      <diagonal/>
    </border>
    <border>
      <left/>
      <right style="thin">
        <color theme="0"/>
      </right>
      <top style="thin">
        <color rgb="FF000000"/>
      </top>
      <bottom style="thin">
        <color theme="0"/>
      </bottom>
      <diagonal/>
    </border>
    <border>
      <left/>
      <right style="thin">
        <color theme="0"/>
      </right>
      <top style="thin">
        <color theme="0"/>
      </top>
      <bottom style="thin">
        <color theme="0"/>
      </bottom>
      <diagonal/>
    </border>
    <border>
      <left style="thin">
        <color auto="1"/>
      </left>
      <right/>
      <top style="thin">
        <color theme="0"/>
      </top>
      <bottom style="thin">
        <color theme="0"/>
      </bottom>
      <diagonal/>
    </border>
    <border>
      <left/>
      <right style="thin">
        <color rgb="FF000000"/>
      </right>
      <top style="thin">
        <color rgb="FF000000"/>
      </top>
      <bottom style="thin">
        <color rgb="FF000000"/>
      </bottom>
      <diagonal/>
    </border>
    <border>
      <left style="thin">
        <color theme="0"/>
      </left>
      <right style="thin">
        <color indexed="64"/>
      </right>
      <top style="thin">
        <color theme="0"/>
      </top>
      <bottom/>
      <diagonal/>
    </border>
    <border>
      <left style="thin">
        <color theme="0"/>
      </left>
      <right style="thin">
        <color indexed="64"/>
      </right>
      <top style="thin">
        <color theme="0"/>
      </top>
      <bottom style="thin">
        <color theme="0"/>
      </bottom>
      <diagonal/>
    </border>
    <border>
      <left style="thin">
        <color theme="0"/>
      </left>
      <right style="thin">
        <color theme="0"/>
      </right>
      <top style="thin">
        <color theme="0"/>
      </top>
      <bottom style="thin">
        <color indexed="64"/>
      </bottom>
      <diagonal/>
    </border>
    <border>
      <left style="thin">
        <color indexed="64"/>
      </left>
      <right style="thin">
        <color theme="0"/>
      </right>
      <top style="thin">
        <color rgb="FF000000"/>
      </top>
      <bottom/>
      <diagonal/>
    </border>
    <border>
      <left style="thin">
        <color rgb="FF000000"/>
      </left>
      <right style="thin">
        <color rgb="FF000000"/>
      </right>
      <top style="thin">
        <color rgb="FF000000"/>
      </top>
      <bottom style="thin">
        <color theme="0"/>
      </bottom>
      <diagonal/>
    </border>
    <border>
      <left/>
      <right/>
      <top style="thin">
        <color theme="0"/>
      </top>
      <bottom style="thin">
        <color theme="0"/>
      </bottom>
      <diagonal/>
    </border>
    <border>
      <left/>
      <right style="thin">
        <color theme="0"/>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auto="1"/>
      </top>
      <bottom style="thin">
        <color auto="1"/>
      </bottom>
      <diagonal/>
    </border>
    <border>
      <left style="thin">
        <color theme="0"/>
      </left>
      <right style="thin">
        <color theme="0"/>
      </right>
      <top style="thin">
        <color auto="1"/>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auto="1"/>
      </top>
      <bottom style="thin">
        <color auto="1"/>
      </bottom>
      <diagonal/>
    </border>
    <border>
      <left/>
      <right style="medium">
        <color indexed="64"/>
      </right>
      <top style="thin">
        <color indexed="64"/>
      </top>
      <bottom style="thin">
        <color indexed="64"/>
      </bottom>
      <diagonal/>
    </border>
    <border>
      <left style="medium">
        <color indexed="64"/>
      </left>
      <right style="medium">
        <color indexed="64"/>
      </right>
      <top style="thin">
        <color auto="1"/>
      </top>
      <bottom/>
      <diagonal/>
    </border>
    <border>
      <left style="medium">
        <color indexed="64"/>
      </left>
      <right/>
      <top style="thin">
        <color auto="1"/>
      </top>
      <bottom/>
      <diagonal/>
    </border>
    <border>
      <left style="medium">
        <color rgb="FF000000"/>
      </left>
      <right/>
      <top style="thin">
        <color indexed="64"/>
      </top>
      <bottom style="thin">
        <color indexed="64"/>
      </bottom>
      <diagonal/>
    </border>
    <border>
      <left style="medium">
        <color rgb="FF000000"/>
      </left>
      <right style="medium">
        <color indexed="64"/>
      </right>
      <top style="thin">
        <color indexed="64"/>
      </top>
      <bottom style="thin">
        <color indexed="64"/>
      </bottom>
      <diagonal/>
    </border>
    <border>
      <left/>
      <right style="medium">
        <color rgb="FF000000"/>
      </right>
      <top style="thin">
        <color indexed="64"/>
      </top>
      <bottom style="thin">
        <color indexed="64"/>
      </bottom>
      <diagonal/>
    </border>
    <border>
      <left style="medium">
        <color rgb="FF000000"/>
      </left>
      <right/>
      <top style="thin">
        <color indexed="64"/>
      </top>
      <bottom/>
      <diagonal/>
    </border>
    <border>
      <left style="medium">
        <color rgb="FF000000"/>
      </left>
      <right style="medium">
        <color indexed="64"/>
      </right>
      <top style="thin">
        <color indexed="64"/>
      </top>
      <bottom/>
      <diagonal/>
    </border>
    <border>
      <left style="medium">
        <color rgb="FF000000"/>
      </left>
      <right style="medium">
        <color rgb="FF000000"/>
      </right>
      <top style="thin">
        <color indexed="64"/>
      </top>
      <bottom style="thin">
        <color indexed="64"/>
      </bottom>
      <diagonal/>
    </border>
    <border>
      <left/>
      <right/>
      <top style="thin">
        <color indexed="64"/>
      </top>
      <bottom style="thin">
        <color rgb="FF000000"/>
      </bottom>
      <diagonal/>
    </border>
    <border>
      <left/>
      <right style="medium">
        <color rgb="FF000000"/>
      </right>
      <top style="thin">
        <color indexed="64"/>
      </top>
      <bottom style="thin">
        <color rgb="FF000000"/>
      </bottom>
      <diagonal/>
    </border>
    <border>
      <left style="medium">
        <color rgb="FF000000"/>
      </left>
      <right/>
      <top style="thin">
        <color indexed="64"/>
      </top>
      <bottom style="thin">
        <color rgb="FF000000"/>
      </bottom>
      <diagonal/>
    </border>
    <border>
      <left style="medium">
        <color rgb="FF000000"/>
      </left>
      <right style="medium">
        <color rgb="FF000000"/>
      </right>
      <top style="thin">
        <color indexed="64"/>
      </top>
      <bottom/>
      <diagonal/>
    </border>
    <border>
      <left style="medium">
        <color indexed="64"/>
      </left>
      <right style="thin">
        <color auto="1"/>
      </right>
      <top style="thin">
        <color auto="1"/>
      </top>
      <bottom style="thin">
        <color auto="1"/>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auto="1"/>
      </left>
      <right style="medium">
        <color indexed="64"/>
      </right>
      <top style="thin">
        <color auto="1"/>
      </top>
      <bottom/>
      <diagonal/>
    </border>
    <border>
      <left style="thin">
        <color indexed="64"/>
      </left>
      <right style="thin">
        <color theme="0"/>
      </right>
      <top style="thin">
        <color indexed="64"/>
      </top>
      <bottom/>
      <diagonal/>
    </border>
    <border>
      <left style="thin">
        <color auto="1"/>
      </left>
      <right/>
      <top style="thin">
        <color auto="1"/>
      </top>
      <bottom style="thin">
        <color theme="0"/>
      </bottom>
      <diagonal/>
    </border>
    <border>
      <left style="thin">
        <color indexed="64"/>
      </left>
      <right style="thin">
        <color theme="0"/>
      </right>
      <top style="thin">
        <color indexed="64"/>
      </top>
      <bottom style="thin">
        <color indexed="64"/>
      </bottom>
      <diagonal/>
    </border>
    <border>
      <left/>
      <right style="medium">
        <color indexed="64"/>
      </right>
      <top/>
      <bottom style="double">
        <color rgb="FF000000"/>
      </bottom>
      <diagonal/>
    </border>
    <border>
      <left style="medium">
        <color indexed="64"/>
      </left>
      <right style="medium">
        <color rgb="FF000000"/>
      </right>
      <top style="medium">
        <color rgb="FF000000"/>
      </top>
      <bottom style="medium">
        <color rgb="FF000000"/>
      </bottom>
      <diagonal/>
    </border>
    <border>
      <left style="thin">
        <color rgb="FF000000"/>
      </left>
      <right/>
      <top style="thin">
        <color indexed="64"/>
      </top>
      <bottom style="thin">
        <color theme="0"/>
      </bottom>
      <diagonal/>
    </border>
    <border>
      <left style="thin">
        <color auto="1"/>
      </left>
      <right/>
      <top style="thin">
        <color auto="1"/>
      </top>
      <bottom/>
      <diagonal/>
    </border>
    <border>
      <left/>
      <right style="thin">
        <color indexed="64"/>
      </right>
      <top style="thin">
        <color indexed="64"/>
      </top>
      <bottom/>
      <diagonal/>
    </border>
    <border>
      <left/>
      <right style="thin">
        <color rgb="FF000000"/>
      </right>
      <top style="thin">
        <color indexed="64"/>
      </top>
      <bottom/>
      <diagonal/>
    </border>
    <border>
      <left/>
      <right style="medium">
        <color indexed="64"/>
      </right>
      <top style="thin">
        <color auto="1"/>
      </top>
      <bottom/>
      <diagonal/>
    </border>
    <border>
      <left/>
      <right style="medium">
        <color rgb="FF000000"/>
      </right>
      <top style="thin">
        <color indexed="64"/>
      </top>
      <bottom/>
      <diagonal/>
    </border>
    <border>
      <left style="thin">
        <color indexed="8"/>
      </left>
      <right style="thin">
        <color indexed="8"/>
      </right>
      <top style="thin">
        <color indexed="8"/>
      </top>
      <bottom style="thin">
        <color indexed="8"/>
      </bottom>
      <diagonal/>
    </border>
  </borders>
  <cellStyleXfs count="37585">
    <xf numFmtId="0" fontId="0" fillId="0" borderId="0"/>
    <xf numFmtId="43" fontId="2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23" fillId="0" borderId="0" applyNumberFormat="0" applyFill="0" applyBorder="0" applyAlignment="0" applyProtection="0">
      <alignment vertical="top"/>
      <protection locked="0"/>
    </xf>
    <xf numFmtId="9" fontId="22" fillId="0" borderId="0" applyFont="0" applyFill="0" applyBorder="0" applyAlignment="0" applyProtection="0"/>
    <xf numFmtId="43" fontId="22" fillId="0" borderId="0" applyFont="0" applyFill="0" applyBorder="0" applyAlignment="0" applyProtection="0"/>
    <xf numFmtId="0" fontId="22" fillId="0" borderId="0"/>
    <xf numFmtId="171" fontId="9" fillId="0" borderId="0" applyFont="0" applyFill="0" applyBorder="0" applyAlignment="0" applyProtection="0"/>
    <xf numFmtId="43" fontId="1" fillId="0" borderId="0" applyFont="0" applyFill="0" applyBorder="0" applyAlignment="0" applyProtection="0"/>
    <xf numFmtId="0" fontId="9" fillId="0" borderId="0"/>
    <xf numFmtId="0" fontId="1" fillId="0" borderId="0"/>
    <xf numFmtId="0" fontId="22" fillId="0" borderId="0"/>
    <xf numFmtId="43" fontId="9" fillId="0" borderId="0" applyFont="0" applyFill="0" applyBorder="0" applyAlignment="0" applyProtection="0"/>
    <xf numFmtId="0" fontId="22" fillId="0" borderId="0"/>
    <xf numFmtId="164" fontId="9" fillId="0" borderId="0" applyFont="0" applyFill="0" applyBorder="0" applyAlignment="0" applyProtection="0"/>
    <xf numFmtId="0" fontId="9" fillId="0" borderId="0"/>
    <xf numFmtId="43" fontId="5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164" fontId="22"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22" fillId="0" borderId="0" applyFont="0" applyFill="0" applyBorder="0" applyAlignment="0" applyProtection="0"/>
    <xf numFmtId="164" fontId="1"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5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0" fontId="69" fillId="0" borderId="0" applyNumberFormat="0" applyFill="0" applyBorder="0" applyAlignment="0" applyProtection="0">
      <alignment vertical="top"/>
      <protection locked="0"/>
    </xf>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0" fontId="70" fillId="0" borderId="0" applyNumberFormat="0" applyFon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9" fillId="0" borderId="0" applyNumberFormat="0" applyFill="0" applyBorder="0" applyAlignment="0" applyProtection="0"/>
    <xf numFmtId="174" fontId="1" fillId="31" borderId="0" applyNumberFormat="0" applyBorder="0" applyAlignment="0" applyProtection="0"/>
    <xf numFmtId="174" fontId="1" fillId="31" borderId="0" applyNumberFormat="0" applyBorder="0" applyAlignment="0" applyProtection="0"/>
    <xf numFmtId="174" fontId="1" fillId="31" borderId="0" applyNumberFormat="0" applyBorder="0" applyAlignment="0" applyProtection="0"/>
    <xf numFmtId="174" fontId="1" fillId="31" borderId="0" applyNumberFormat="0" applyBorder="0" applyAlignment="0" applyProtection="0"/>
    <xf numFmtId="174" fontId="1" fillId="31" borderId="0" applyNumberFormat="0" applyBorder="0" applyAlignment="0" applyProtection="0"/>
    <xf numFmtId="174" fontId="1" fillId="31" borderId="0" applyNumberFormat="0" applyBorder="0" applyAlignment="0" applyProtection="0"/>
    <xf numFmtId="174" fontId="1" fillId="31" borderId="0" applyNumberFormat="0" applyBorder="0" applyAlignment="0" applyProtection="0"/>
    <xf numFmtId="174" fontId="1" fillId="31" borderId="0" applyNumberFormat="0" applyBorder="0" applyAlignment="0" applyProtection="0"/>
    <xf numFmtId="174" fontId="1" fillId="31" borderId="0" applyNumberFormat="0" applyBorder="0" applyAlignment="0" applyProtection="0"/>
    <xf numFmtId="174" fontId="1" fillId="31" borderId="0" applyNumberFormat="0" applyBorder="0" applyAlignment="0" applyProtection="0"/>
    <xf numFmtId="174" fontId="1" fillId="31" borderId="0" applyNumberFormat="0" applyBorder="0" applyAlignment="0" applyProtection="0"/>
    <xf numFmtId="174" fontId="1" fillId="31" borderId="0" applyNumberFormat="0" applyBorder="0" applyAlignment="0" applyProtection="0"/>
    <xf numFmtId="174" fontId="1" fillId="31" borderId="0" applyNumberFormat="0" applyBorder="0" applyAlignment="0" applyProtection="0"/>
    <xf numFmtId="174" fontId="1" fillId="31" borderId="0" applyNumberFormat="0" applyBorder="0" applyAlignment="0" applyProtection="0"/>
    <xf numFmtId="174" fontId="1" fillId="31" borderId="0" applyNumberFormat="0" applyBorder="0" applyAlignment="0" applyProtection="0"/>
    <xf numFmtId="174" fontId="1" fillId="31" borderId="0" applyNumberFormat="0" applyBorder="0" applyAlignment="0" applyProtection="0"/>
    <xf numFmtId="174" fontId="1" fillId="31" borderId="0" applyNumberFormat="0" applyBorder="0" applyAlignment="0" applyProtection="0"/>
    <xf numFmtId="174" fontId="1" fillId="31" borderId="0" applyNumberFormat="0" applyBorder="0" applyAlignment="0" applyProtection="0"/>
    <xf numFmtId="174" fontId="1" fillId="31" borderId="0" applyNumberFormat="0" applyBorder="0" applyAlignment="0" applyProtection="0"/>
    <xf numFmtId="174" fontId="1" fillId="31" borderId="0" applyNumberFormat="0" applyBorder="0" applyAlignment="0" applyProtection="0"/>
    <xf numFmtId="174" fontId="1" fillId="31" borderId="0" applyNumberFormat="0" applyBorder="0" applyAlignment="0" applyProtection="0"/>
    <xf numFmtId="174" fontId="1" fillId="31" borderId="0" applyNumberFormat="0" applyBorder="0" applyAlignment="0" applyProtection="0"/>
    <xf numFmtId="174" fontId="1" fillId="31" borderId="0" applyNumberFormat="0" applyBorder="0" applyAlignment="0" applyProtection="0"/>
    <xf numFmtId="174" fontId="1" fillId="31" borderId="0" applyNumberFormat="0" applyBorder="0" applyAlignment="0" applyProtection="0"/>
    <xf numFmtId="174" fontId="1" fillId="31" borderId="0" applyNumberFormat="0" applyBorder="0" applyAlignment="0" applyProtection="0"/>
    <xf numFmtId="174" fontId="1" fillId="31" borderId="0" applyNumberFormat="0" applyBorder="0" applyAlignment="0" applyProtection="0"/>
    <xf numFmtId="174" fontId="1" fillId="31" borderId="0" applyNumberFormat="0" applyBorder="0" applyAlignment="0" applyProtection="0"/>
    <xf numFmtId="174" fontId="1" fillId="31" borderId="0" applyNumberFormat="0" applyBorder="0" applyAlignment="0" applyProtection="0"/>
    <xf numFmtId="174" fontId="1" fillId="31" borderId="0" applyNumberFormat="0" applyBorder="0" applyAlignment="0" applyProtection="0"/>
    <xf numFmtId="174" fontId="1" fillId="31" borderId="0" applyNumberFormat="0" applyBorder="0" applyAlignment="0" applyProtection="0"/>
    <xf numFmtId="174" fontId="1" fillId="31" borderId="0" applyNumberFormat="0" applyBorder="0" applyAlignment="0" applyProtection="0"/>
    <xf numFmtId="174" fontId="1" fillId="31" borderId="0" applyNumberFormat="0" applyBorder="0" applyAlignment="0" applyProtection="0"/>
    <xf numFmtId="174" fontId="1" fillId="31" borderId="0" applyNumberFormat="0" applyBorder="0" applyAlignment="0" applyProtection="0"/>
    <xf numFmtId="174" fontId="1" fillId="31" borderId="0" applyNumberFormat="0" applyBorder="0" applyAlignment="0" applyProtection="0"/>
    <xf numFmtId="174" fontId="1" fillId="31" borderId="0" applyNumberFormat="0" applyBorder="0" applyAlignment="0" applyProtection="0"/>
    <xf numFmtId="174" fontId="1" fillId="31" borderId="0" applyNumberFormat="0" applyBorder="0" applyAlignment="0" applyProtection="0"/>
    <xf numFmtId="174" fontId="1" fillId="31" borderId="0" applyNumberFormat="0" applyBorder="0" applyAlignment="0" applyProtection="0"/>
    <xf numFmtId="174" fontId="1" fillId="31" borderId="0" applyNumberFormat="0" applyBorder="0" applyAlignment="0" applyProtection="0"/>
    <xf numFmtId="174" fontId="1" fillId="31" borderId="0" applyNumberFormat="0" applyBorder="0" applyAlignment="0" applyProtection="0"/>
    <xf numFmtId="174" fontId="1" fillId="31" borderId="0" applyNumberFormat="0" applyBorder="0" applyAlignment="0" applyProtection="0"/>
    <xf numFmtId="174" fontId="1" fillId="31" borderId="0" applyNumberFormat="0" applyBorder="0" applyAlignment="0" applyProtection="0"/>
    <xf numFmtId="174" fontId="1" fillId="31" borderId="0" applyNumberFormat="0" applyBorder="0" applyAlignment="0" applyProtection="0"/>
    <xf numFmtId="174" fontId="1" fillId="31" borderId="0" applyNumberFormat="0" applyBorder="0" applyAlignment="0" applyProtection="0"/>
    <xf numFmtId="174" fontId="1" fillId="31" borderId="0" applyNumberFormat="0" applyBorder="0" applyAlignment="0" applyProtection="0"/>
    <xf numFmtId="174" fontId="1" fillId="31" borderId="0" applyNumberFormat="0" applyBorder="0" applyAlignment="0" applyProtection="0"/>
    <xf numFmtId="174" fontId="1" fillId="31" borderId="0" applyNumberFormat="0" applyBorder="0" applyAlignment="0" applyProtection="0"/>
    <xf numFmtId="174" fontId="1" fillId="31" borderId="0" applyNumberFormat="0" applyBorder="0" applyAlignment="0" applyProtection="0"/>
    <xf numFmtId="174" fontId="1" fillId="31" borderId="0" applyNumberFormat="0" applyBorder="0" applyAlignment="0" applyProtection="0"/>
    <xf numFmtId="174" fontId="1" fillId="31" borderId="0" applyNumberFormat="0" applyBorder="0" applyAlignment="0" applyProtection="0"/>
    <xf numFmtId="174" fontId="1" fillId="32" borderId="0" applyNumberFormat="0" applyBorder="0" applyAlignment="0" applyProtection="0"/>
    <xf numFmtId="174" fontId="1" fillId="32" borderId="0" applyNumberFormat="0" applyBorder="0" applyAlignment="0" applyProtection="0"/>
    <xf numFmtId="174" fontId="1" fillId="32" borderId="0" applyNumberFormat="0" applyBorder="0" applyAlignment="0" applyProtection="0"/>
    <xf numFmtId="174" fontId="1" fillId="32" borderId="0" applyNumberFormat="0" applyBorder="0" applyAlignment="0" applyProtection="0"/>
    <xf numFmtId="174" fontId="1" fillId="32" borderId="0" applyNumberFormat="0" applyBorder="0" applyAlignment="0" applyProtection="0"/>
    <xf numFmtId="174" fontId="1" fillId="32" borderId="0" applyNumberFormat="0" applyBorder="0" applyAlignment="0" applyProtection="0"/>
    <xf numFmtId="174" fontId="1" fillId="32" borderId="0" applyNumberFormat="0" applyBorder="0" applyAlignment="0" applyProtection="0"/>
    <xf numFmtId="174" fontId="1" fillId="32" borderId="0" applyNumberFormat="0" applyBorder="0" applyAlignment="0" applyProtection="0"/>
    <xf numFmtId="174" fontId="1" fillId="32" borderId="0" applyNumberFormat="0" applyBorder="0" applyAlignment="0" applyProtection="0"/>
    <xf numFmtId="174" fontId="1" fillId="32" borderId="0" applyNumberFormat="0" applyBorder="0" applyAlignment="0" applyProtection="0"/>
    <xf numFmtId="174" fontId="1" fillId="32" borderId="0" applyNumberFormat="0" applyBorder="0" applyAlignment="0" applyProtection="0"/>
    <xf numFmtId="174" fontId="1" fillId="32" borderId="0" applyNumberFormat="0" applyBorder="0" applyAlignment="0" applyProtection="0"/>
    <xf numFmtId="174" fontId="1" fillId="32" borderId="0" applyNumberFormat="0" applyBorder="0" applyAlignment="0" applyProtection="0"/>
    <xf numFmtId="174" fontId="1" fillId="32" borderId="0" applyNumberFormat="0" applyBorder="0" applyAlignment="0" applyProtection="0"/>
    <xf numFmtId="174" fontId="1" fillId="32" borderId="0" applyNumberFormat="0" applyBorder="0" applyAlignment="0" applyProtection="0"/>
    <xf numFmtId="174" fontId="1" fillId="32" borderId="0" applyNumberFormat="0" applyBorder="0" applyAlignment="0" applyProtection="0"/>
    <xf numFmtId="174" fontId="1" fillId="32" borderId="0" applyNumberFormat="0" applyBorder="0" applyAlignment="0" applyProtection="0"/>
    <xf numFmtId="174" fontId="1" fillId="32" borderId="0" applyNumberFormat="0" applyBorder="0" applyAlignment="0" applyProtection="0"/>
    <xf numFmtId="174" fontId="1" fillId="32" borderId="0" applyNumberFormat="0" applyBorder="0" applyAlignment="0" applyProtection="0"/>
    <xf numFmtId="174" fontId="1" fillId="32" borderId="0" applyNumberFormat="0" applyBorder="0" applyAlignment="0" applyProtection="0"/>
    <xf numFmtId="174" fontId="1" fillId="32" borderId="0" applyNumberFormat="0" applyBorder="0" applyAlignment="0" applyProtection="0"/>
    <xf numFmtId="174" fontId="1" fillId="32" borderId="0" applyNumberFormat="0" applyBorder="0" applyAlignment="0" applyProtection="0"/>
    <xf numFmtId="174" fontId="1" fillId="32" borderId="0" applyNumberFormat="0" applyBorder="0" applyAlignment="0" applyProtection="0"/>
    <xf numFmtId="174" fontId="1" fillId="32" borderId="0" applyNumberFormat="0" applyBorder="0" applyAlignment="0" applyProtection="0"/>
    <xf numFmtId="174" fontId="1" fillId="32" borderId="0" applyNumberFormat="0" applyBorder="0" applyAlignment="0" applyProtection="0"/>
    <xf numFmtId="174" fontId="1" fillId="32" borderId="0" applyNumberFormat="0" applyBorder="0" applyAlignment="0" applyProtection="0"/>
    <xf numFmtId="174" fontId="1" fillId="32" borderId="0" applyNumberFormat="0" applyBorder="0" applyAlignment="0" applyProtection="0"/>
    <xf numFmtId="174" fontId="1" fillId="32" borderId="0" applyNumberFormat="0" applyBorder="0" applyAlignment="0" applyProtection="0"/>
    <xf numFmtId="174" fontId="1" fillId="32" borderId="0" applyNumberFormat="0" applyBorder="0" applyAlignment="0" applyProtection="0"/>
    <xf numFmtId="174" fontId="1" fillId="32" borderId="0" applyNumberFormat="0" applyBorder="0" applyAlignment="0" applyProtection="0"/>
    <xf numFmtId="174" fontId="1" fillId="32" borderId="0" applyNumberFormat="0" applyBorder="0" applyAlignment="0" applyProtection="0"/>
    <xf numFmtId="174" fontId="1" fillId="32" borderId="0" applyNumberFormat="0" applyBorder="0" applyAlignment="0" applyProtection="0"/>
    <xf numFmtId="174" fontId="1" fillId="32" borderId="0" applyNumberFormat="0" applyBorder="0" applyAlignment="0" applyProtection="0"/>
    <xf numFmtId="174" fontId="1" fillId="32" borderId="0" applyNumberFormat="0" applyBorder="0" applyAlignment="0" applyProtection="0"/>
    <xf numFmtId="174" fontId="1" fillId="32" borderId="0" applyNumberFormat="0" applyBorder="0" applyAlignment="0" applyProtection="0"/>
    <xf numFmtId="174" fontId="1" fillId="32" borderId="0" applyNumberFormat="0" applyBorder="0" applyAlignment="0" applyProtection="0"/>
    <xf numFmtId="174" fontId="1" fillId="32" borderId="0" applyNumberFormat="0" applyBorder="0" applyAlignment="0" applyProtection="0"/>
    <xf numFmtId="174" fontId="1" fillId="32" borderId="0" applyNumberFormat="0" applyBorder="0" applyAlignment="0" applyProtection="0"/>
    <xf numFmtId="174" fontId="1" fillId="32" borderId="0" applyNumberFormat="0" applyBorder="0" applyAlignment="0" applyProtection="0"/>
    <xf numFmtId="174" fontId="1" fillId="32" borderId="0" applyNumberFormat="0" applyBorder="0" applyAlignment="0" applyProtection="0"/>
    <xf numFmtId="174" fontId="1" fillId="32" borderId="0" applyNumberFormat="0" applyBorder="0" applyAlignment="0" applyProtection="0"/>
    <xf numFmtId="174" fontId="1" fillId="32" borderId="0" applyNumberFormat="0" applyBorder="0" applyAlignment="0" applyProtection="0"/>
    <xf numFmtId="174" fontId="1" fillId="32" borderId="0" applyNumberFormat="0" applyBorder="0" applyAlignment="0" applyProtection="0"/>
    <xf numFmtId="174" fontId="1" fillId="32" borderId="0" applyNumberFormat="0" applyBorder="0" applyAlignment="0" applyProtection="0"/>
    <xf numFmtId="174" fontId="1" fillId="32" borderId="0" applyNumberFormat="0" applyBorder="0" applyAlignment="0" applyProtection="0"/>
    <xf numFmtId="174" fontId="1" fillId="32" borderId="0" applyNumberFormat="0" applyBorder="0" applyAlignment="0" applyProtection="0"/>
    <xf numFmtId="174" fontId="1" fillId="32" borderId="0" applyNumberFormat="0" applyBorder="0" applyAlignment="0" applyProtection="0"/>
    <xf numFmtId="174" fontId="1" fillId="32" borderId="0" applyNumberFormat="0" applyBorder="0" applyAlignment="0" applyProtection="0"/>
    <xf numFmtId="174" fontId="1" fillId="32" borderId="0" applyNumberFormat="0" applyBorder="0" applyAlignment="0" applyProtection="0"/>
    <xf numFmtId="174" fontId="1" fillId="33" borderId="0" applyNumberFormat="0" applyBorder="0" applyAlignment="0" applyProtection="0"/>
    <xf numFmtId="174" fontId="1" fillId="33" borderId="0" applyNumberFormat="0" applyBorder="0" applyAlignment="0" applyProtection="0"/>
    <xf numFmtId="174" fontId="1" fillId="33" borderId="0" applyNumberFormat="0" applyBorder="0" applyAlignment="0" applyProtection="0"/>
    <xf numFmtId="174" fontId="1" fillId="33" borderId="0" applyNumberFormat="0" applyBorder="0" applyAlignment="0" applyProtection="0"/>
    <xf numFmtId="174" fontId="1" fillId="33" borderId="0" applyNumberFormat="0" applyBorder="0" applyAlignment="0" applyProtection="0"/>
    <xf numFmtId="174" fontId="1" fillId="33" borderId="0" applyNumberFormat="0" applyBorder="0" applyAlignment="0" applyProtection="0"/>
    <xf numFmtId="174" fontId="1" fillId="33" borderId="0" applyNumberFormat="0" applyBorder="0" applyAlignment="0" applyProtection="0"/>
    <xf numFmtId="174" fontId="1" fillId="33" borderId="0" applyNumberFormat="0" applyBorder="0" applyAlignment="0" applyProtection="0"/>
    <xf numFmtId="174" fontId="1" fillId="33" borderId="0" applyNumberFormat="0" applyBorder="0" applyAlignment="0" applyProtection="0"/>
    <xf numFmtId="174" fontId="1" fillId="33" borderId="0" applyNumberFormat="0" applyBorder="0" applyAlignment="0" applyProtection="0"/>
    <xf numFmtId="174" fontId="1" fillId="33" borderId="0" applyNumberFormat="0" applyBorder="0" applyAlignment="0" applyProtection="0"/>
    <xf numFmtId="174" fontId="1" fillId="33" borderId="0" applyNumberFormat="0" applyBorder="0" applyAlignment="0" applyProtection="0"/>
    <xf numFmtId="174" fontId="1" fillId="33" borderId="0" applyNumberFormat="0" applyBorder="0" applyAlignment="0" applyProtection="0"/>
    <xf numFmtId="174" fontId="1" fillId="33" borderId="0" applyNumberFormat="0" applyBorder="0" applyAlignment="0" applyProtection="0"/>
    <xf numFmtId="174" fontId="1" fillId="33" borderId="0" applyNumberFormat="0" applyBorder="0" applyAlignment="0" applyProtection="0"/>
    <xf numFmtId="174" fontId="1" fillId="33" borderId="0" applyNumberFormat="0" applyBorder="0" applyAlignment="0" applyProtection="0"/>
    <xf numFmtId="174" fontId="1" fillId="33" borderId="0" applyNumberFormat="0" applyBorder="0" applyAlignment="0" applyProtection="0"/>
    <xf numFmtId="174" fontId="1" fillId="33" borderId="0" applyNumberFormat="0" applyBorder="0" applyAlignment="0" applyProtection="0"/>
    <xf numFmtId="174" fontId="1" fillId="33" borderId="0" applyNumberFormat="0" applyBorder="0" applyAlignment="0" applyProtection="0"/>
    <xf numFmtId="174" fontId="1" fillId="33" borderId="0" applyNumberFormat="0" applyBorder="0" applyAlignment="0" applyProtection="0"/>
    <xf numFmtId="174" fontId="1" fillId="33" borderId="0" applyNumberFormat="0" applyBorder="0" applyAlignment="0" applyProtection="0"/>
    <xf numFmtId="174" fontId="1" fillId="33" borderId="0" applyNumberFormat="0" applyBorder="0" applyAlignment="0" applyProtection="0"/>
    <xf numFmtId="174" fontId="1" fillId="33" borderId="0" applyNumberFormat="0" applyBorder="0" applyAlignment="0" applyProtection="0"/>
    <xf numFmtId="174" fontId="1" fillId="33" borderId="0" applyNumberFormat="0" applyBorder="0" applyAlignment="0" applyProtection="0"/>
    <xf numFmtId="174" fontId="1" fillId="33" borderId="0" applyNumberFormat="0" applyBorder="0" applyAlignment="0" applyProtection="0"/>
    <xf numFmtId="174" fontId="1" fillId="33" borderId="0" applyNumberFormat="0" applyBorder="0" applyAlignment="0" applyProtection="0"/>
    <xf numFmtId="174" fontId="1" fillId="33" borderId="0" applyNumberFormat="0" applyBorder="0" applyAlignment="0" applyProtection="0"/>
    <xf numFmtId="174" fontId="1" fillId="33" borderId="0" applyNumberFormat="0" applyBorder="0" applyAlignment="0" applyProtection="0"/>
    <xf numFmtId="174" fontId="1" fillId="33" borderId="0" applyNumberFormat="0" applyBorder="0" applyAlignment="0" applyProtection="0"/>
    <xf numFmtId="174" fontId="1" fillId="33" borderId="0" applyNumberFormat="0" applyBorder="0" applyAlignment="0" applyProtection="0"/>
    <xf numFmtId="174" fontId="1" fillId="33" borderId="0" applyNumberFormat="0" applyBorder="0" applyAlignment="0" applyProtection="0"/>
    <xf numFmtId="174" fontId="1" fillId="33" borderId="0" applyNumberFormat="0" applyBorder="0" applyAlignment="0" applyProtection="0"/>
    <xf numFmtId="174" fontId="1" fillId="33" borderId="0" applyNumberFormat="0" applyBorder="0" applyAlignment="0" applyProtection="0"/>
    <xf numFmtId="174" fontId="1" fillId="33" borderId="0" applyNumberFormat="0" applyBorder="0" applyAlignment="0" applyProtection="0"/>
    <xf numFmtId="174" fontId="1" fillId="33" borderId="0" applyNumberFormat="0" applyBorder="0" applyAlignment="0" applyProtection="0"/>
    <xf numFmtId="174" fontId="1" fillId="33" borderId="0" applyNumberFormat="0" applyBorder="0" applyAlignment="0" applyProtection="0"/>
    <xf numFmtId="174" fontId="1" fillId="33" borderId="0" applyNumberFormat="0" applyBorder="0" applyAlignment="0" applyProtection="0"/>
    <xf numFmtId="174" fontId="1" fillId="33" borderId="0" applyNumberFormat="0" applyBorder="0" applyAlignment="0" applyProtection="0"/>
    <xf numFmtId="174" fontId="1" fillId="33" borderId="0" applyNumberFormat="0" applyBorder="0" applyAlignment="0" applyProtection="0"/>
    <xf numFmtId="174" fontId="1" fillId="33" borderId="0" applyNumberFormat="0" applyBorder="0" applyAlignment="0" applyProtection="0"/>
    <xf numFmtId="174" fontId="1" fillId="33" borderId="0" applyNumberFormat="0" applyBorder="0" applyAlignment="0" applyProtection="0"/>
    <xf numFmtId="174" fontId="1" fillId="33" borderId="0" applyNumberFormat="0" applyBorder="0" applyAlignment="0" applyProtection="0"/>
    <xf numFmtId="174" fontId="1" fillId="33" borderId="0" applyNumberFormat="0" applyBorder="0" applyAlignment="0" applyProtection="0"/>
    <xf numFmtId="174" fontId="1" fillId="33" borderId="0" applyNumberFormat="0" applyBorder="0" applyAlignment="0" applyProtection="0"/>
    <xf numFmtId="174" fontId="1" fillId="33" borderId="0" applyNumberFormat="0" applyBorder="0" applyAlignment="0" applyProtection="0"/>
    <xf numFmtId="174" fontId="1" fillId="33" borderId="0" applyNumberFormat="0" applyBorder="0" applyAlignment="0" applyProtection="0"/>
    <xf numFmtId="174" fontId="1" fillId="33" borderId="0" applyNumberFormat="0" applyBorder="0" applyAlignment="0" applyProtection="0"/>
    <xf numFmtId="174" fontId="1" fillId="33" borderId="0" applyNumberFormat="0" applyBorder="0" applyAlignment="0" applyProtection="0"/>
    <xf numFmtId="174" fontId="1" fillId="33"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5" borderId="0" applyNumberFormat="0" applyBorder="0" applyAlignment="0" applyProtection="0"/>
    <xf numFmtId="174" fontId="1" fillId="35" borderId="0" applyNumberFormat="0" applyBorder="0" applyAlignment="0" applyProtection="0"/>
    <xf numFmtId="174" fontId="1" fillId="35" borderId="0" applyNumberFormat="0" applyBorder="0" applyAlignment="0" applyProtection="0"/>
    <xf numFmtId="174" fontId="1" fillId="35" borderId="0" applyNumberFormat="0" applyBorder="0" applyAlignment="0" applyProtection="0"/>
    <xf numFmtId="174" fontId="1" fillId="35" borderId="0" applyNumberFormat="0" applyBorder="0" applyAlignment="0" applyProtection="0"/>
    <xf numFmtId="174" fontId="1" fillId="35" borderId="0" applyNumberFormat="0" applyBorder="0" applyAlignment="0" applyProtection="0"/>
    <xf numFmtId="174" fontId="1" fillId="35" borderId="0" applyNumberFormat="0" applyBorder="0" applyAlignment="0" applyProtection="0"/>
    <xf numFmtId="174" fontId="1" fillId="35" borderId="0" applyNumberFormat="0" applyBorder="0" applyAlignment="0" applyProtection="0"/>
    <xf numFmtId="174" fontId="1" fillId="35" borderId="0" applyNumberFormat="0" applyBorder="0" applyAlignment="0" applyProtection="0"/>
    <xf numFmtId="174" fontId="1" fillId="35" borderId="0" applyNumberFormat="0" applyBorder="0" applyAlignment="0" applyProtection="0"/>
    <xf numFmtId="174" fontId="1" fillId="35" borderId="0" applyNumberFormat="0" applyBorder="0" applyAlignment="0" applyProtection="0"/>
    <xf numFmtId="174" fontId="1" fillId="35" borderId="0" applyNumberFormat="0" applyBorder="0" applyAlignment="0" applyProtection="0"/>
    <xf numFmtId="174" fontId="1" fillId="35" borderId="0" applyNumberFormat="0" applyBorder="0" applyAlignment="0" applyProtection="0"/>
    <xf numFmtId="174" fontId="1" fillId="35" borderId="0" applyNumberFormat="0" applyBorder="0" applyAlignment="0" applyProtection="0"/>
    <xf numFmtId="174" fontId="1" fillId="35" borderId="0" applyNumberFormat="0" applyBorder="0" applyAlignment="0" applyProtection="0"/>
    <xf numFmtId="174" fontId="1" fillId="35" borderId="0" applyNumberFormat="0" applyBorder="0" applyAlignment="0" applyProtection="0"/>
    <xf numFmtId="174" fontId="1" fillId="35" borderId="0" applyNumberFormat="0" applyBorder="0" applyAlignment="0" applyProtection="0"/>
    <xf numFmtId="174" fontId="1" fillId="35" borderId="0" applyNumberFormat="0" applyBorder="0" applyAlignment="0" applyProtection="0"/>
    <xf numFmtId="174" fontId="1" fillId="35" borderId="0" applyNumberFormat="0" applyBorder="0" applyAlignment="0" applyProtection="0"/>
    <xf numFmtId="174" fontId="1" fillId="35" borderId="0" applyNumberFormat="0" applyBorder="0" applyAlignment="0" applyProtection="0"/>
    <xf numFmtId="174" fontId="1" fillId="35" borderId="0" applyNumberFormat="0" applyBorder="0" applyAlignment="0" applyProtection="0"/>
    <xf numFmtId="174" fontId="1" fillId="35" borderId="0" applyNumberFormat="0" applyBorder="0" applyAlignment="0" applyProtection="0"/>
    <xf numFmtId="174" fontId="1" fillId="35" borderId="0" applyNumberFormat="0" applyBorder="0" applyAlignment="0" applyProtection="0"/>
    <xf numFmtId="174" fontId="1" fillId="35" borderId="0" applyNumberFormat="0" applyBorder="0" applyAlignment="0" applyProtection="0"/>
    <xf numFmtId="174" fontId="1" fillId="35" borderId="0" applyNumberFormat="0" applyBorder="0" applyAlignment="0" applyProtection="0"/>
    <xf numFmtId="174" fontId="1" fillId="35" borderId="0" applyNumberFormat="0" applyBorder="0" applyAlignment="0" applyProtection="0"/>
    <xf numFmtId="174" fontId="1" fillId="35" borderId="0" applyNumberFormat="0" applyBorder="0" applyAlignment="0" applyProtection="0"/>
    <xf numFmtId="174" fontId="1" fillId="35" borderId="0" applyNumberFormat="0" applyBorder="0" applyAlignment="0" applyProtection="0"/>
    <xf numFmtId="174" fontId="1" fillId="35" borderId="0" applyNumberFormat="0" applyBorder="0" applyAlignment="0" applyProtection="0"/>
    <xf numFmtId="174" fontId="1" fillId="35" borderId="0" applyNumberFormat="0" applyBorder="0" applyAlignment="0" applyProtection="0"/>
    <xf numFmtId="174" fontId="1" fillId="35" borderId="0" applyNumberFormat="0" applyBorder="0" applyAlignment="0" applyProtection="0"/>
    <xf numFmtId="174" fontId="1" fillId="35" borderId="0" applyNumberFormat="0" applyBorder="0" applyAlignment="0" applyProtection="0"/>
    <xf numFmtId="174" fontId="1" fillId="35" borderId="0" applyNumberFormat="0" applyBorder="0" applyAlignment="0" applyProtection="0"/>
    <xf numFmtId="174" fontId="1" fillId="35" borderId="0" applyNumberFormat="0" applyBorder="0" applyAlignment="0" applyProtection="0"/>
    <xf numFmtId="174" fontId="1" fillId="35" borderId="0" applyNumberFormat="0" applyBorder="0" applyAlignment="0" applyProtection="0"/>
    <xf numFmtId="174" fontId="1" fillId="35" borderId="0" applyNumberFormat="0" applyBorder="0" applyAlignment="0" applyProtection="0"/>
    <xf numFmtId="174" fontId="1" fillId="35" borderId="0" applyNumberFormat="0" applyBorder="0" applyAlignment="0" applyProtection="0"/>
    <xf numFmtId="174" fontId="1" fillId="35" borderId="0" applyNumberFormat="0" applyBorder="0" applyAlignment="0" applyProtection="0"/>
    <xf numFmtId="174" fontId="1" fillId="35" borderId="0" applyNumberFormat="0" applyBorder="0" applyAlignment="0" applyProtection="0"/>
    <xf numFmtId="174" fontId="1" fillId="35" borderId="0" applyNumberFormat="0" applyBorder="0" applyAlignment="0" applyProtection="0"/>
    <xf numFmtId="174" fontId="1" fillId="35" borderId="0" applyNumberFormat="0" applyBorder="0" applyAlignment="0" applyProtection="0"/>
    <xf numFmtId="174" fontId="1" fillId="35" borderId="0" applyNumberFormat="0" applyBorder="0" applyAlignment="0" applyProtection="0"/>
    <xf numFmtId="174" fontId="1" fillId="35" borderId="0" applyNumberFormat="0" applyBorder="0" applyAlignment="0" applyProtection="0"/>
    <xf numFmtId="174" fontId="1" fillId="35" borderId="0" applyNumberFormat="0" applyBorder="0" applyAlignment="0" applyProtection="0"/>
    <xf numFmtId="174" fontId="1" fillId="35" borderId="0" applyNumberFormat="0" applyBorder="0" applyAlignment="0" applyProtection="0"/>
    <xf numFmtId="174" fontId="1" fillId="35" borderId="0" applyNumberFormat="0" applyBorder="0" applyAlignment="0" applyProtection="0"/>
    <xf numFmtId="174" fontId="1" fillId="35" borderId="0" applyNumberFormat="0" applyBorder="0" applyAlignment="0" applyProtection="0"/>
    <xf numFmtId="174" fontId="1" fillId="35" borderId="0" applyNumberFormat="0" applyBorder="0" applyAlignment="0" applyProtection="0"/>
    <xf numFmtId="174" fontId="1" fillId="35" borderId="0" applyNumberFormat="0" applyBorder="0" applyAlignment="0" applyProtection="0"/>
    <xf numFmtId="174" fontId="1" fillId="36" borderId="0" applyNumberFormat="0" applyBorder="0" applyAlignment="0" applyProtection="0"/>
    <xf numFmtId="174" fontId="1" fillId="36" borderId="0" applyNumberFormat="0" applyBorder="0" applyAlignment="0" applyProtection="0"/>
    <xf numFmtId="174" fontId="1" fillId="36" borderId="0" applyNumberFormat="0" applyBorder="0" applyAlignment="0" applyProtection="0"/>
    <xf numFmtId="174" fontId="1" fillId="36" borderId="0" applyNumberFormat="0" applyBorder="0" applyAlignment="0" applyProtection="0"/>
    <xf numFmtId="174" fontId="1" fillId="36" borderId="0" applyNumberFormat="0" applyBorder="0" applyAlignment="0" applyProtection="0"/>
    <xf numFmtId="174" fontId="1" fillId="36" borderId="0" applyNumberFormat="0" applyBorder="0" applyAlignment="0" applyProtection="0"/>
    <xf numFmtId="174" fontId="1" fillId="36" borderId="0" applyNumberFormat="0" applyBorder="0" applyAlignment="0" applyProtection="0"/>
    <xf numFmtId="174" fontId="1" fillId="36" borderId="0" applyNumberFormat="0" applyBorder="0" applyAlignment="0" applyProtection="0"/>
    <xf numFmtId="174" fontId="1" fillId="36" borderId="0" applyNumberFormat="0" applyBorder="0" applyAlignment="0" applyProtection="0"/>
    <xf numFmtId="174" fontId="1" fillId="36" borderId="0" applyNumberFormat="0" applyBorder="0" applyAlignment="0" applyProtection="0"/>
    <xf numFmtId="174" fontId="1" fillId="36" borderId="0" applyNumberFormat="0" applyBorder="0" applyAlignment="0" applyProtection="0"/>
    <xf numFmtId="174" fontId="1" fillId="36" borderId="0" applyNumberFormat="0" applyBorder="0" applyAlignment="0" applyProtection="0"/>
    <xf numFmtId="174" fontId="1" fillId="36" borderId="0" applyNumberFormat="0" applyBorder="0" applyAlignment="0" applyProtection="0"/>
    <xf numFmtId="174" fontId="1" fillId="36" borderId="0" applyNumberFormat="0" applyBorder="0" applyAlignment="0" applyProtection="0"/>
    <xf numFmtId="174" fontId="1" fillId="36" borderId="0" applyNumberFormat="0" applyBorder="0" applyAlignment="0" applyProtection="0"/>
    <xf numFmtId="174" fontId="1" fillId="36" borderId="0" applyNumberFormat="0" applyBorder="0" applyAlignment="0" applyProtection="0"/>
    <xf numFmtId="174" fontId="1" fillId="36" borderId="0" applyNumberFormat="0" applyBorder="0" applyAlignment="0" applyProtection="0"/>
    <xf numFmtId="174" fontId="1" fillId="36" borderId="0" applyNumberFormat="0" applyBorder="0" applyAlignment="0" applyProtection="0"/>
    <xf numFmtId="174" fontId="1" fillId="36" borderId="0" applyNumberFormat="0" applyBorder="0" applyAlignment="0" applyProtection="0"/>
    <xf numFmtId="174" fontId="1" fillId="36" borderId="0" applyNumberFormat="0" applyBorder="0" applyAlignment="0" applyProtection="0"/>
    <xf numFmtId="174" fontId="1" fillId="36" borderId="0" applyNumberFormat="0" applyBorder="0" applyAlignment="0" applyProtection="0"/>
    <xf numFmtId="174" fontId="1" fillId="36" borderId="0" applyNumberFormat="0" applyBorder="0" applyAlignment="0" applyProtection="0"/>
    <xf numFmtId="174" fontId="1" fillId="36" borderId="0" applyNumberFormat="0" applyBorder="0" applyAlignment="0" applyProtection="0"/>
    <xf numFmtId="174" fontId="1" fillId="36" borderId="0" applyNumberFormat="0" applyBorder="0" applyAlignment="0" applyProtection="0"/>
    <xf numFmtId="174" fontId="1" fillId="36" borderId="0" applyNumberFormat="0" applyBorder="0" applyAlignment="0" applyProtection="0"/>
    <xf numFmtId="174" fontId="1" fillId="36" borderId="0" applyNumberFormat="0" applyBorder="0" applyAlignment="0" applyProtection="0"/>
    <xf numFmtId="174" fontId="1" fillId="36" borderId="0" applyNumberFormat="0" applyBorder="0" applyAlignment="0" applyProtection="0"/>
    <xf numFmtId="174" fontId="1" fillId="36" borderId="0" applyNumberFormat="0" applyBorder="0" applyAlignment="0" applyProtection="0"/>
    <xf numFmtId="174" fontId="1" fillId="36" borderId="0" applyNumberFormat="0" applyBorder="0" applyAlignment="0" applyProtection="0"/>
    <xf numFmtId="174" fontId="1" fillId="36" borderId="0" applyNumberFormat="0" applyBorder="0" applyAlignment="0" applyProtection="0"/>
    <xf numFmtId="174" fontId="1" fillId="36" borderId="0" applyNumberFormat="0" applyBorder="0" applyAlignment="0" applyProtection="0"/>
    <xf numFmtId="174" fontId="1" fillId="36" borderId="0" applyNumberFormat="0" applyBorder="0" applyAlignment="0" applyProtection="0"/>
    <xf numFmtId="174" fontId="1" fillId="36" borderId="0" applyNumberFormat="0" applyBorder="0" applyAlignment="0" applyProtection="0"/>
    <xf numFmtId="174" fontId="1" fillId="36" borderId="0" applyNumberFormat="0" applyBorder="0" applyAlignment="0" applyProtection="0"/>
    <xf numFmtId="174" fontId="1" fillId="36" borderId="0" applyNumberFormat="0" applyBorder="0" applyAlignment="0" applyProtection="0"/>
    <xf numFmtId="174" fontId="1" fillId="36" borderId="0" applyNumberFormat="0" applyBorder="0" applyAlignment="0" applyProtection="0"/>
    <xf numFmtId="174" fontId="1" fillId="36" borderId="0" applyNumberFormat="0" applyBorder="0" applyAlignment="0" applyProtection="0"/>
    <xf numFmtId="174" fontId="1" fillId="36" borderId="0" applyNumberFormat="0" applyBorder="0" applyAlignment="0" applyProtection="0"/>
    <xf numFmtId="174" fontId="1" fillId="36" borderId="0" applyNumberFormat="0" applyBorder="0" applyAlignment="0" applyProtection="0"/>
    <xf numFmtId="174" fontId="1" fillId="36" borderId="0" applyNumberFormat="0" applyBorder="0" applyAlignment="0" applyProtection="0"/>
    <xf numFmtId="174" fontId="1" fillId="36" borderId="0" applyNumberFormat="0" applyBorder="0" applyAlignment="0" applyProtection="0"/>
    <xf numFmtId="174" fontId="1" fillId="36" borderId="0" applyNumberFormat="0" applyBorder="0" applyAlignment="0" applyProtection="0"/>
    <xf numFmtId="174" fontId="1" fillId="36" borderId="0" applyNumberFormat="0" applyBorder="0" applyAlignment="0" applyProtection="0"/>
    <xf numFmtId="174" fontId="1" fillId="36" borderId="0" applyNumberFormat="0" applyBorder="0" applyAlignment="0" applyProtection="0"/>
    <xf numFmtId="174" fontId="1" fillId="36" borderId="0" applyNumberFormat="0" applyBorder="0" applyAlignment="0" applyProtection="0"/>
    <xf numFmtId="174" fontId="1" fillId="36" borderId="0" applyNumberFormat="0" applyBorder="0" applyAlignment="0" applyProtection="0"/>
    <xf numFmtId="174" fontId="1" fillId="36" borderId="0" applyNumberFormat="0" applyBorder="0" applyAlignment="0" applyProtection="0"/>
    <xf numFmtId="174" fontId="1" fillId="36" borderId="0" applyNumberFormat="0" applyBorder="0" applyAlignment="0" applyProtection="0"/>
    <xf numFmtId="174" fontId="1" fillId="36"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8" borderId="0" applyNumberFormat="0" applyBorder="0" applyAlignment="0" applyProtection="0"/>
    <xf numFmtId="174" fontId="1" fillId="38" borderId="0" applyNumberFormat="0" applyBorder="0" applyAlignment="0" applyProtection="0"/>
    <xf numFmtId="174" fontId="1" fillId="38" borderId="0" applyNumberFormat="0" applyBorder="0" applyAlignment="0" applyProtection="0"/>
    <xf numFmtId="174" fontId="1" fillId="38" borderId="0" applyNumberFormat="0" applyBorder="0" applyAlignment="0" applyProtection="0"/>
    <xf numFmtId="174" fontId="1" fillId="38" borderId="0" applyNumberFormat="0" applyBorder="0" applyAlignment="0" applyProtection="0"/>
    <xf numFmtId="174" fontId="1" fillId="38" borderId="0" applyNumberFormat="0" applyBorder="0" applyAlignment="0" applyProtection="0"/>
    <xf numFmtId="174" fontId="1" fillId="38" borderId="0" applyNumberFormat="0" applyBorder="0" applyAlignment="0" applyProtection="0"/>
    <xf numFmtId="174" fontId="1" fillId="38" borderId="0" applyNumberFormat="0" applyBorder="0" applyAlignment="0" applyProtection="0"/>
    <xf numFmtId="174" fontId="1" fillId="38" borderId="0" applyNumberFormat="0" applyBorder="0" applyAlignment="0" applyProtection="0"/>
    <xf numFmtId="174" fontId="1" fillId="38" borderId="0" applyNumberFormat="0" applyBorder="0" applyAlignment="0" applyProtection="0"/>
    <xf numFmtId="174" fontId="1" fillId="38" borderId="0" applyNumberFormat="0" applyBorder="0" applyAlignment="0" applyProtection="0"/>
    <xf numFmtId="174" fontId="1" fillId="38" borderId="0" applyNumberFormat="0" applyBorder="0" applyAlignment="0" applyProtection="0"/>
    <xf numFmtId="174" fontId="1" fillId="38" borderId="0" applyNumberFormat="0" applyBorder="0" applyAlignment="0" applyProtection="0"/>
    <xf numFmtId="174" fontId="1" fillId="38" borderId="0" applyNumberFormat="0" applyBorder="0" applyAlignment="0" applyProtection="0"/>
    <xf numFmtId="174" fontId="1" fillId="38" borderId="0" applyNumberFormat="0" applyBorder="0" applyAlignment="0" applyProtection="0"/>
    <xf numFmtId="174" fontId="1" fillId="38" borderId="0" applyNumberFormat="0" applyBorder="0" applyAlignment="0" applyProtection="0"/>
    <xf numFmtId="174" fontId="1" fillId="38" borderId="0" applyNumberFormat="0" applyBorder="0" applyAlignment="0" applyProtection="0"/>
    <xf numFmtId="174" fontId="1" fillId="38" borderId="0" applyNumberFormat="0" applyBorder="0" applyAlignment="0" applyProtection="0"/>
    <xf numFmtId="174" fontId="1" fillId="38" borderId="0" applyNumberFormat="0" applyBorder="0" applyAlignment="0" applyProtection="0"/>
    <xf numFmtId="174" fontId="1" fillId="38" borderId="0" applyNumberFormat="0" applyBorder="0" applyAlignment="0" applyProtection="0"/>
    <xf numFmtId="174" fontId="1" fillId="38" borderId="0" applyNumberFormat="0" applyBorder="0" applyAlignment="0" applyProtection="0"/>
    <xf numFmtId="174" fontId="1" fillId="38" borderId="0" applyNumberFormat="0" applyBorder="0" applyAlignment="0" applyProtection="0"/>
    <xf numFmtId="174" fontId="1" fillId="38" borderId="0" applyNumberFormat="0" applyBorder="0" applyAlignment="0" applyProtection="0"/>
    <xf numFmtId="174" fontId="1" fillId="38" borderId="0" applyNumberFormat="0" applyBorder="0" applyAlignment="0" applyProtection="0"/>
    <xf numFmtId="174" fontId="1" fillId="38" borderId="0" applyNumberFormat="0" applyBorder="0" applyAlignment="0" applyProtection="0"/>
    <xf numFmtId="174" fontId="1" fillId="38" borderId="0" applyNumberFormat="0" applyBorder="0" applyAlignment="0" applyProtection="0"/>
    <xf numFmtId="174" fontId="1" fillId="38" borderId="0" applyNumberFormat="0" applyBorder="0" applyAlignment="0" applyProtection="0"/>
    <xf numFmtId="174" fontId="1" fillId="38" borderId="0" applyNumberFormat="0" applyBorder="0" applyAlignment="0" applyProtection="0"/>
    <xf numFmtId="174" fontId="1" fillId="38" borderId="0" applyNumberFormat="0" applyBorder="0" applyAlignment="0" applyProtection="0"/>
    <xf numFmtId="174" fontId="1" fillId="38" borderId="0" applyNumberFormat="0" applyBorder="0" applyAlignment="0" applyProtection="0"/>
    <xf numFmtId="174" fontId="1" fillId="38" borderId="0" applyNumberFormat="0" applyBorder="0" applyAlignment="0" applyProtection="0"/>
    <xf numFmtId="174" fontId="1" fillId="38" borderId="0" applyNumberFormat="0" applyBorder="0" applyAlignment="0" applyProtection="0"/>
    <xf numFmtId="174" fontId="1" fillId="38" borderId="0" applyNumberFormat="0" applyBorder="0" applyAlignment="0" applyProtection="0"/>
    <xf numFmtId="174" fontId="1" fillId="38" borderId="0" applyNumberFormat="0" applyBorder="0" applyAlignment="0" applyProtection="0"/>
    <xf numFmtId="174" fontId="1" fillId="38" borderId="0" applyNumberFormat="0" applyBorder="0" applyAlignment="0" applyProtection="0"/>
    <xf numFmtId="174" fontId="1" fillId="38" borderId="0" applyNumberFormat="0" applyBorder="0" applyAlignment="0" applyProtection="0"/>
    <xf numFmtId="174" fontId="1" fillId="38" borderId="0" applyNumberFormat="0" applyBorder="0" applyAlignment="0" applyProtection="0"/>
    <xf numFmtId="174" fontId="1" fillId="38" borderId="0" applyNumberFormat="0" applyBorder="0" applyAlignment="0" applyProtection="0"/>
    <xf numFmtId="174" fontId="1" fillId="38" borderId="0" applyNumberFormat="0" applyBorder="0" applyAlignment="0" applyProtection="0"/>
    <xf numFmtId="174" fontId="1" fillId="38" borderId="0" applyNumberFormat="0" applyBorder="0" applyAlignment="0" applyProtection="0"/>
    <xf numFmtId="174" fontId="1" fillId="38" borderId="0" applyNumberFormat="0" applyBorder="0" applyAlignment="0" applyProtection="0"/>
    <xf numFmtId="174" fontId="1" fillId="38" borderId="0" applyNumberFormat="0" applyBorder="0" applyAlignment="0" applyProtection="0"/>
    <xf numFmtId="174" fontId="1" fillId="38" borderId="0" applyNumberFormat="0" applyBorder="0" applyAlignment="0" applyProtection="0"/>
    <xf numFmtId="174" fontId="1" fillId="38" borderId="0" applyNumberFormat="0" applyBorder="0" applyAlignment="0" applyProtection="0"/>
    <xf numFmtId="174" fontId="1" fillId="38" borderId="0" applyNumberFormat="0" applyBorder="0" applyAlignment="0" applyProtection="0"/>
    <xf numFmtId="174" fontId="1" fillId="38" borderId="0" applyNumberFormat="0" applyBorder="0" applyAlignment="0" applyProtection="0"/>
    <xf numFmtId="174" fontId="1" fillId="38" borderId="0" applyNumberFormat="0" applyBorder="0" applyAlignment="0" applyProtection="0"/>
    <xf numFmtId="174" fontId="1" fillId="38" borderId="0" applyNumberFormat="0" applyBorder="0" applyAlignment="0" applyProtection="0"/>
    <xf numFmtId="174" fontId="1" fillId="38" borderId="0" applyNumberFormat="0" applyBorder="0" applyAlignment="0" applyProtection="0"/>
    <xf numFmtId="174" fontId="1" fillId="39" borderId="0" applyNumberFormat="0" applyBorder="0" applyAlignment="0" applyProtection="0"/>
    <xf numFmtId="174" fontId="1" fillId="39" borderId="0" applyNumberFormat="0" applyBorder="0" applyAlignment="0" applyProtection="0"/>
    <xf numFmtId="174" fontId="1" fillId="39" borderId="0" applyNumberFormat="0" applyBorder="0" applyAlignment="0" applyProtection="0"/>
    <xf numFmtId="174" fontId="1" fillId="39" borderId="0" applyNumberFormat="0" applyBorder="0" applyAlignment="0" applyProtection="0"/>
    <xf numFmtId="174" fontId="1" fillId="39" borderId="0" applyNumberFormat="0" applyBorder="0" applyAlignment="0" applyProtection="0"/>
    <xf numFmtId="174" fontId="1" fillId="39" borderId="0" applyNumberFormat="0" applyBorder="0" applyAlignment="0" applyProtection="0"/>
    <xf numFmtId="174" fontId="1" fillId="39" borderId="0" applyNumberFormat="0" applyBorder="0" applyAlignment="0" applyProtection="0"/>
    <xf numFmtId="174" fontId="1" fillId="39" borderId="0" applyNumberFormat="0" applyBorder="0" applyAlignment="0" applyProtection="0"/>
    <xf numFmtId="174" fontId="1" fillId="39" borderId="0" applyNumberFormat="0" applyBorder="0" applyAlignment="0" applyProtection="0"/>
    <xf numFmtId="174" fontId="1" fillId="39" borderId="0" applyNumberFormat="0" applyBorder="0" applyAlignment="0" applyProtection="0"/>
    <xf numFmtId="174" fontId="1" fillId="39" borderId="0" applyNumberFormat="0" applyBorder="0" applyAlignment="0" applyProtection="0"/>
    <xf numFmtId="174" fontId="1" fillId="39" borderId="0" applyNumberFormat="0" applyBorder="0" applyAlignment="0" applyProtection="0"/>
    <xf numFmtId="174" fontId="1" fillId="39" borderId="0" applyNumberFormat="0" applyBorder="0" applyAlignment="0" applyProtection="0"/>
    <xf numFmtId="174" fontId="1" fillId="39" borderId="0" applyNumberFormat="0" applyBorder="0" applyAlignment="0" applyProtection="0"/>
    <xf numFmtId="174" fontId="1" fillId="39" borderId="0" applyNumberFormat="0" applyBorder="0" applyAlignment="0" applyProtection="0"/>
    <xf numFmtId="174" fontId="1" fillId="39" borderId="0" applyNumberFormat="0" applyBorder="0" applyAlignment="0" applyProtection="0"/>
    <xf numFmtId="174" fontId="1" fillId="39" borderId="0" applyNumberFormat="0" applyBorder="0" applyAlignment="0" applyProtection="0"/>
    <xf numFmtId="174" fontId="1" fillId="39" borderId="0" applyNumberFormat="0" applyBorder="0" applyAlignment="0" applyProtection="0"/>
    <xf numFmtId="174" fontId="1" fillId="39" borderId="0" applyNumberFormat="0" applyBorder="0" applyAlignment="0" applyProtection="0"/>
    <xf numFmtId="174" fontId="1" fillId="39" borderId="0" applyNumberFormat="0" applyBorder="0" applyAlignment="0" applyProtection="0"/>
    <xf numFmtId="174" fontId="1" fillId="39" borderId="0" applyNumberFormat="0" applyBorder="0" applyAlignment="0" applyProtection="0"/>
    <xf numFmtId="174" fontId="1" fillId="39" borderId="0" applyNumberFormat="0" applyBorder="0" applyAlignment="0" applyProtection="0"/>
    <xf numFmtId="174" fontId="1" fillId="39" borderId="0" applyNumberFormat="0" applyBorder="0" applyAlignment="0" applyProtection="0"/>
    <xf numFmtId="174" fontId="1" fillId="39" borderId="0" applyNumberFormat="0" applyBorder="0" applyAlignment="0" applyProtection="0"/>
    <xf numFmtId="174" fontId="1" fillId="39" borderId="0" applyNumberFormat="0" applyBorder="0" applyAlignment="0" applyProtection="0"/>
    <xf numFmtId="174" fontId="1" fillId="39" borderId="0" applyNumberFormat="0" applyBorder="0" applyAlignment="0" applyProtection="0"/>
    <xf numFmtId="174" fontId="1" fillId="39" borderId="0" applyNumberFormat="0" applyBorder="0" applyAlignment="0" applyProtection="0"/>
    <xf numFmtId="174" fontId="1" fillId="39" borderId="0" applyNumberFormat="0" applyBorder="0" applyAlignment="0" applyProtection="0"/>
    <xf numFmtId="174" fontId="1" fillId="39" borderId="0" applyNumberFormat="0" applyBorder="0" applyAlignment="0" applyProtection="0"/>
    <xf numFmtId="174" fontId="1" fillId="39" borderId="0" applyNumberFormat="0" applyBorder="0" applyAlignment="0" applyProtection="0"/>
    <xf numFmtId="174" fontId="1" fillId="39" borderId="0" applyNumberFormat="0" applyBorder="0" applyAlignment="0" applyProtection="0"/>
    <xf numFmtId="174" fontId="1" fillId="39" borderId="0" applyNumberFormat="0" applyBorder="0" applyAlignment="0" applyProtection="0"/>
    <xf numFmtId="174" fontId="1" fillId="39" borderId="0" applyNumberFormat="0" applyBorder="0" applyAlignment="0" applyProtection="0"/>
    <xf numFmtId="174" fontId="1" fillId="39" borderId="0" applyNumberFormat="0" applyBorder="0" applyAlignment="0" applyProtection="0"/>
    <xf numFmtId="174" fontId="1" fillId="39" borderId="0" applyNumberFormat="0" applyBorder="0" applyAlignment="0" applyProtection="0"/>
    <xf numFmtId="174" fontId="1" fillId="39" borderId="0" applyNumberFormat="0" applyBorder="0" applyAlignment="0" applyProtection="0"/>
    <xf numFmtId="174" fontId="1" fillId="39" borderId="0" applyNumberFormat="0" applyBorder="0" applyAlignment="0" applyProtection="0"/>
    <xf numFmtId="174" fontId="1" fillId="39" borderId="0" applyNumberFormat="0" applyBorder="0" applyAlignment="0" applyProtection="0"/>
    <xf numFmtId="174" fontId="1" fillId="39" borderId="0" applyNumberFormat="0" applyBorder="0" applyAlignment="0" applyProtection="0"/>
    <xf numFmtId="174" fontId="1" fillId="39" borderId="0" applyNumberFormat="0" applyBorder="0" applyAlignment="0" applyProtection="0"/>
    <xf numFmtId="174" fontId="1" fillId="39" borderId="0" applyNumberFormat="0" applyBorder="0" applyAlignment="0" applyProtection="0"/>
    <xf numFmtId="174" fontId="1" fillId="39" borderId="0" applyNumberFormat="0" applyBorder="0" applyAlignment="0" applyProtection="0"/>
    <xf numFmtId="174" fontId="1" fillId="39" borderId="0" applyNumberFormat="0" applyBorder="0" applyAlignment="0" applyProtection="0"/>
    <xf numFmtId="174" fontId="1" fillId="39" borderId="0" applyNumberFormat="0" applyBorder="0" applyAlignment="0" applyProtection="0"/>
    <xf numFmtId="174" fontId="1" fillId="39" borderId="0" applyNumberFormat="0" applyBorder="0" applyAlignment="0" applyProtection="0"/>
    <xf numFmtId="174" fontId="1" fillId="39" borderId="0" applyNumberFormat="0" applyBorder="0" applyAlignment="0" applyProtection="0"/>
    <xf numFmtId="174" fontId="1" fillId="39" borderId="0" applyNumberFormat="0" applyBorder="0" applyAlignment="0" applyProtection="0"/>
    <xf numFmtId="174" fontId="1" fillId="39" borderId="0" applyNumberFormat="0" applyBorder="0" applyAlignment="0" applyProtection="0"/>
    <xf numFmtId="174" fontId="1" fillId="39"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4"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37" borderId="0" applyNumberFormat="0" applyBorder="0" applyAlignment="0" applyProtection="0"/>
    <xf numFmtId="174" fontId="1" fillId="40" borderId="0" applyNumberFormat="0" applyBorder="0" applyAlignment="0" applyProtection="0"/>
    <xf numFmtId="174" fontId="1" fillId="40" borderId="0" applyNumberFormat="0" applyBorder="0" applyAlignment="0" applyProtection="0"/>
    <xf numFmtId="174" fontId="1" fillId="40" borderId="0" applyNumberFormat="0" applyBorder="0" applyAlignment="0" applyProtection="0"/>
    <xf numFmtId="174" fontId="1" fillId="40" borderId="0" applyNumberFormat="0" applyBorder="0" applyAlignment="0" applyProtection="0"/>
    <xf numFmtId="174" fontId="1" fillId="40" borderId="0" applyNumberFormat="0" applyBorder="0" applyAlignment="0" applyProtection="0"/>
    <xf numFmtId="174" fontId="1" fillId="40" borderId="0" applyNumberFormat="0" applyBorder="0" applyAlignment="0" applyProtection="0"/>
    <xf numFmtId="174" fontId="1" fillId="40" borderId="0" applyNumberFormat="0" applyBorder="0" applyAlignment="0" applyProtection="0"/>
    <xf numFmtId="174" fontId="1" fillId="40" borderId="0" applyNumberFormat="0" applyBorder="0" applyAlignment="0" applyProtection="0"/>
    <xf numFmtId="174" fontId="1" fillId="40" borderId="0" applyNumberFormat="0" applyBorder="0" applyAlignment="0" applyProtection="0"/>
    <xf numFmtId="174" fontId="1" fillId="40" borderId="0" applyNumberFormat="0" applyBorder="0" applyAlignment="0" applyProtection="0"/>
    <xf numFmtId="174" fontId="1" fillId="40" borderId="0" applyNumberFormat="0" applyBorder="0" applyAlignment="0" applyProtection="0"/>
    <xf numFmtId="174" fontId="1" fillId="40" borderId="0" applyNumberFormat="0" applyBorder="0" applyAlignment="0" applyProtection="0"/>
    <xf numFmtId="174" fontId="1" fillId="40" borderId="0" applyNumberFormat="0" applyBorder="0" applyAlignment="0" applyProtection="0"/>
    <xf numFmtId="174" fontId="1" fillId="40" borderId="0" applyNumberFormat="0" applyBorder="0" applyAlignment="0" applyProtection="0"/>
    <xf numFmtId="174" fontId="1" fillId="40" borderId="0" applyNumberFormat="0" applyBorder="0" applyAlignment="0" applyProtection="0"/>
    <xf numFmtId="174" fontId="1" fillId="40" borderId="0" applyNumberFormat="0" applyBorder="0" applyAlignment="0" applyProtection="0"/>
    <xf numFmtId="174" fontId="1" fillId="40" borderId="0" applyNumberFormat="0" applyBorder="0" applyAlignment="0" applyProtection="0"/>
    <xf numFmtId="174" fontId="1" fillId="40" borderId="0" applyNumberFormat="0" applyBorder="0" applyAlignment="0" applyProtection="0"/>
    <xf numFmtId="174" fontId="1" fillId="40" borderId="0" applyNumberFormat="0" applyBorder="0" applyAlignment="0" applyProtection="0"/>
    <xf numFmtId="174" fontId="1" fillId="40" borderId="0" applyNumberFormat="0" applyBorder="0" applyAlignment="0" applyProtection="0"/>
    <xf numFmtId="174" fontId="1" fillId="40" borderId="0" applyNumberFormat="0" applyBorder="0" applyAlignment="0" applyProtection="0"/>
    <xf numFmtId="174" fontId="1" fillId="40" borderId="0" applyNumberFormat="0" applyBorder="0" applyAlignment="0" applyProtection="0"/>
    <xf numFmtId="174" fontId="1" fillId="40" borderId="0" applyNumberFormat="0" applyBorder="0" applyAlignment="0" applyProtection="0"/>
    <xf numFmtId="174" fontId="1" fillId="40" borderId="0" applyNumberFormat="0" applyBorder="0" applyAlignment="0" applyProtection="0"/>
    <xf numFmtId="174" fontId="1" fillId="40" borderId="0" applyNumberFormat="0" applyBorder="0" applyAlignment="0" applyProtection="0"/>
    <xf numFmtId="174" fontId="1" fillId="40" borderId="0" applyNumberFormat="0" applyBorder="0" applyAlignment="0" applyProtection="0"/>
    <xf numFmtId="174" fontId="1" fillId="40" borderId="0" applyNumberFormat="0" applyBorder="0" applyAlignment="0" applyProtection="0"/>
    <xf numFmtId="174" fontId="1" fillId="40" borderId="0" applyNumberFormat="0" applyBorder="0" applyAlignment="0" applyProtection="0"/>
    <xf numFmtId="174" fontId="1" fillId="40" borderId="0" applyNumberFormat="0" applyBorder="0" applyAlignment="0" applyProtection="0"/>
    <xf numFmtId="174" fontId="1" fillId="40" borderId="0" applyNumberFormat="0" applyBorder="0" applyAlignment="0" applyProtection="0"/>
    <xf numFmtId="174" fontId="1" fillId="40" borderId="0" applyNumberFormat="0" applyBorder="0" applyAlignment="0" applyProtection="0"/>
    <xf numFmtId="174" fontId="1" fillId="40" borderId="0" applyNumberFormat="0" applyBorder="0" applyAlignment="0" applyProtection="0"/>
    <xf numFmtId="174" fontId="1" fillId="40" borderId="0" applyNumberFormat="0" applyBorder="0" applyAlignment="0" applyProtection="0"/>
    <xf numFmtId="174" fontId="1" fillId="40" borderId="0" applyNumberFormat="0" applyBorder="0" applyAlignment="0" applyProtection="0"/>
    <xf numFmtId="174" fontId="1" fillId="40" borderId="0" applyNumberFormat="0" applyBorder="0" applyAlignment="0" applyProtection="0"/>
    <xf numFmtId="174" fontId="1" fillId="40" borderId="0" applyNumberFormat="0" applyBorder="0" applyAlignment="0" applyProtection="0"/>
    <xf numFmtId="174" fontId="1" fillId="40" borderId="0" applyNumberFormat="0" applyBorder="0" applyAlignment="0" applyProtection="0"/>
    <xf numFmtId="174" fontId="1" fillId="40" borderId="0" applyNumberFormat="0" applyBorder="0" applyAlignment="0" applyProtection="0"/>
    <xf numFmtId="174" fontId="1" fillId="40" borderId="0" applyNumberFormat="0" applyBorder="0" applyAlignment="0" applyProtection="0"/>
    <xf numFmtId="174" fontId="1" fillId="40" borderId="0" applyNumberFormat="0" applyBorder="0" applyAlignment="0" applyProtection="0"/>
    <xf numFmtId="174" fontId="1" fillId="40" borderId="0" applyNumberFormat="0" applyBorder="0" applyAlignment="0" applyProtection="0"/>
    <xf numFmtId="174" fontId="1" fillId="40" borderId="0" applyNumberFormat="0" applyBorder="0" applyAlignment="0" applyProtection="0"/>
    <xf numFmtId="174" fontId="1" fillId="40" borderId="0" applyNumberFormat="0" applyBorder="0" applyAlignment="0" applyProtection="0"/>
    <xf numFmtId="174" fontId="1" fillId="40" borderId="0" applyNumberFormat="0" applyBorder="0" applyAlignment="0" applyProtection="0"/>
    <xf numFmtId="174" fontId="1" fillId="40" borderId="0" applyNumberFormat="0" applyBorder="0" applyAlignment="0" applyProtection="0"/>
    <xf numFmtId="174" fontId="1" fillId="40" borderId="0" applyNumberFormat="0" applyBorder="0" applyAlignment="0" applyProtection="0"/>
    <xf numFmtId="174" fontId="1" fillId="40" borderId="0" applyNumberFormat="0" applyBorder="0" applyAlignment="0" applyProtection="0"/>
    <xf numFmtId="174" fontId="1" fillId="40" borderId="0" applyNumberFormat="0" applyBorder="0" applyAlignment="0" applyProtection="0"/>
    <xf numFmtId="174" fontId="1" fillId="40" borderId="0" applyNumberFormat="0" applyBorder="0" applyAlignment="0" applyProtection="0"/>
    <xf numFmtId="174" fontId="71" fillId="41" borderId="0" applyNumberFormat="0" applyBorder="0" applyAlignment="0" applyProtection="0"/>
    <xf numFmtId="174" fontId="71" fillId="41" borderId="0" applyNumberFormat="0" applyBorder="0" applyAlignment="0" applyProtection="0"/>
    <xf numFmtId="174" fontId="71" fillId="41" borderId="0" applyNumberFormat="0" applyBorder="0" applyAlignment="0" applyProtection="0"/>
    <xf numFmtId="174" fontId="71" fillId="41" borderId="0" applyNumberFormat="0" applyBorder="0" applyAlignment="0" applyProtection="0"/>
    <xf numFmtId="174" fontId="71" fillId="41" borderId="0" applyNumberFormat="0" applyBorder="0" applyAlignment="0" applyProtection="0"/>
    <xf numFmtId="174" fontId="71" fillId="41" borderId="0" applyNumberFormat="0" applyBorder="0" applyAlignment="0" applyProtection="0"/>
    <xf numFmtId="174" fontId="71" fillId="41" borderId="0" applyNumberFormat="0" applyBorder="0" applyAlignment="0" applyProtection="0"/>
    <xf numFmtId="174" fontId="71" fillId="41" borderId="0" applyNumberFormat="0" applyBorder="0" applyAlignment="0" applyProtection="0"/>
    <xf numFmtId="174" fontId="71" fillId="41" borderId="0" applyNumberFormat="0" applyBorder="0" applyAlignment="0" applyProtection="0"/>
    <xf numFmtId="174" fontId="71" fillId="41" borderId="0" applyNumberFormat="0" applyBorder="0" applyAlignment="0" applyProtection="0"/>
    <xf numFmtId="174" fontId="71" fillId="41" borderId="0" applyNumberFormat="0" applyBorder="0" applyAlignment="0" applyProtection="0"/>
    <xf numFmtId="174" fontId="71" fillId="41" borderId="0" applyNumberFormat="0" applyBorder="0" applyAlignment="0" applyProtection="0"/>
    <xf numFmtId="174" fontId="71" fillId="41" borderId="0" applyNumberFormat="0" applyBorder="0" applyAlignment="0" applyProtection="0"/>
    <xf numFmtId="174" fontId="71" fillId="41" borderId="0" applyNumberFormat="0" applyBorder="0" applyAlignment="0" applyProtection="0"/>
    <xf numFmtId="174" fontId="71" fillId="41" borderId="0" applyNumberFormat="0" applyBorder="0" applyAlignment="0" applyProtection="0"/>
    <xf numFmtId="174" fontId="71" fillId="41" borderId="0" applyNumberFormat="0" applyBorder="0" applyAlignment="0" applyProtection="0"/>
    <xf numFmtId="174" fontId="71" fillId="41" borderId="0" applyNumberFormat="0" applyBorder="0" applyAlignment="0" applyProtection="0"/>
    <xf numFmtId="174" fontId="71" fillId="41" borderId="0" applyNumberFormat="0" applyBorder="0" applyAlignment="0" applyProtection="0"/>
    <xf numFmtId="174" fontId="71" fillId="41" borderId="0" applyNumberFormat="0" applyBorder="0" applyAlignment="0" applyProtection="0"/>
    <xf numFmtId="174" fontId="71" fillId="41" borderId="0" applyNumberFormat="0" applyBorder="0" applyAlignment="0" applyProtection="0"/>
    <xf numFmtId="174" fontId="71" fillId="41" borderId="0" applyNumberFormat="0" applyBorder="0" applyAlignment="0" applyProtection="0"/>
    <xf numFmtId="174" fontId="71" fillId="41" borderId="0" applyNumberFormat="0" applyBorder="0" applyAlignment="0" applyProtection="0"/>
    <xf numFmtId="174" fontId="71" fillId="41" borderId="0" applyNumberFormat="0" applyBorder="0" applyAlignment="0" applyProtection="0"/>
    <xf numFmtId="174" fontId="71" fillId="41" borderId="0" applyNumberFormat="0" applyBorder="0" applyAlignment="0" applyProtection="0"/>
    <xf numFmtId="174" fontId="71" fillId="41" borderId="0" applyNumberFormat="0" applyBorder="0" applyAlignment="0" applyProtection="0"/>
    <xf numFmtId="174" fontId="71" fillId="41" borderId="0" applyNumberFormat="0" applyBorder="0" applyAlignment="0" applyProtection="0"/>
    <xf numFmtId="174" fontId="71" fillId="41" borderId="0" applyNumberFormat="0" applyBorder="0" applyAlignment="0" applyProtection="0"/>
    <xf numFmtId="174" fontId="71" fillId="41" borderId="0" applyNumberFormat="0" applyBorder="0" applyAlignment="0" applyProtection="0"/>
    <xf numFmtId="174" fontId="71" fillId="41" borderId="0" applyNumberFormat="0" applyBorder="0" applyAlignment="0" applyProtection="0"/>
    <xf numFmtId="174" fontId="71" fillId="41" borderId="0" applyNumberFormat="0" applyBorder="0" applyAlignment="0" applyProtection="0"/>
    <xf numFmtId="174" fontId="71" fillId="41" borderId="0" applyNumberFormat="0" applyBorder="0" applyAlignment="0" applyProtection="0"/>
    <xf numFmtId="174" fontId="71" fillId="41" borderId="0" applyNumberFormat="0" applyBorder="0" applyAlignment="0" applyProtection="0"/>
    <xf numFmtId="174" fontId="71" fillId="41" borderId="0" applyNumberFormat="0" applyBorder="0" applyAlignment="0" applyProtection="0"/>
    <xf numFmtId="174" fontId="71" fillId="41" borderId="0" applyNumberFormat="0" applyBorder="0" applyAlignment="0" applyProtection="0"/>
    <xf numFmtId="174" fontId="71" fillId="41" borderId="0" applyNumberFormat="0" applyBorder="0" applyAlignment="0" applyProtection="0"/>
    <xf numFmtId="174" fontId="71" fillId="41" borderId="0" applyNumberFormat="0" applyBorder="0" applyAlignment="0" applyProtection="0"/>
    <xf numFmtId="174" fontId="71" fillId="41" borderId="0" applyNumberFormat="0" applyBorder="0" applyAlignment="0" applyProtection="0"/>
    <xf numFmtId="174" fontId="71" fillId="41" borderId="0" applyNumberFormat="0" applyBorder="0" applyAlignment="0" applyProtection="0"/>
    <xf numFmtId="174" fontId="71" fillId="41" borderId="0" applyNumberFormat="0" applyBorder="0" applyAlignment="0" applyProtection="0"/>
    <xf numFmtId="174" fontId="71" fillId="41" borderId="0" applyNumberFormat="0" applyBorder="0" applyAlignment="0" applyProtection="0"/>
    <xf numFmtId="174" fontId="71" fillId="41" borderId="0" applyNumberFormat="0" applyBorder="0" applyAlignment="0" applyProtection="0"/>
    <xf numFmtId="174" fontId="71" fillId="41" borderId="0" applyNumberFormat="0" applyBorder="0" applyAlignment="0" applyProtection="0"/>
    <xf numFmtId="174" fontId="71" fillId="41" borderId="0" applyNumberFormat="0" applyBorder="0" applyAlignment="0" applyProtection="0"/>
    <xf numFmtId="174" fontId="71" fillId="41" borderId="0" applyNumberFormat="0" applyBorder="0" applyAlignment="0" applyProtection="0"/>
    <xf numFmtId="174" fontId="71" fillId="41" borderId="0" applyNumberFormat="0" applyBorder="0" applyAlignment="0" applyProtection="0"/>
    <xf numFmtId="174" fontId="71" fillId="41" borderId="0" applyNumberFormat="0" applyBorder="0" applyAlignment="0" applyProtection="0"/>
    <xf numFmtId="174" fontId="71" fillId="41" borderId="0" applyNumberFormat="0" applyBorder="0" applyAlignment="0" applyProtection="0"/>
    <xf numFmtId="174" fontId="71" fillId="41" borderId="0" applyNumberFormat="0" applyBorder="0" applyAlignment="0" applyProtection="0"/>
    <xf numFmtId="174" fontId="71" fillId="41" borderId="0" applyNumberFormat="0" applyBorder="0" applyAlignment="0" applyProtection="0"/>
    <xf numFmtId="174" fontId="71" fillId="38" borderId="0" applyNumberFormat="0" applyBorder="0" applyAlignment="0" applyProtection="0"/>
    <xf numFmtId="174" fontId="71" fillId="38" borderId="0" applyNumberFormat="0" applyBorder="0" applyAlignment="0" applyProtection="0"/>
    <xf numFmtId="174" fontId="71" fillId="38" borderId="0" applyNumberFormat="0" applyBorder="0" applyAlignment="0" applyProtection="0"/>
    <xf numFmtId="174" fontId="71" fillId="38" borderId="0" applyNumberFormat="0" applyBorder="0" applyAlignment="0" applyProtection="0"/>
    <xf numFmtId="174" fontId="71" fillId="38" borderId="0" applyNumberFormat="0" applyBorder="0" applyAlignment="0" applyProtection="0"/>
    <xf numFmtId="174" fontId="71" fillId="38" borderId="0" applyNumberFormat="0" applyBorder="0" applyAlignment="0" applyProtection="0"/>
    <xf numFmtId="174" fontId="71" fillId="38" borderId="0" applyNumberFormat="0" applyBorder="0" applyAlignment="0" applyProtection="0"/>
    <xf numFmtId="174" fontId="71" fillId="38" borderId="0" applyNumberFormat="0" applyBorder="0" applyAlignment="0" applyProtection="0"/>
    <xf numFmtId="174" fontId="71" fillId="38" borderId="0" applyNumberFormat="0" applyBorder="0" applyAlignment="0" applyProtection="0"/>
    <xf numFmtId="174" fontId="71" fillId="38" borderId="0" applyNumberFormat="0" applyBorder="0" applyAlignment="0" applyProtection="0"/>
    <xf numFmtId="174" fontId="71" fillId="38" borderId="0" applyNumberFormat="0" applyBorder="0" applyAlignment="0" applyProtection="0"/>
    <xf numFmtId="174" fontId="71" fillId="38" borderId="0" applyNumberFormat="0" applyBorder="0" applyAlignment="0" applyProtection="0"/>
    <xf numFmtId="174" fontId="71" fillId="38" borderId="0" applyNumberFormat="0" applyBorder="0" applyAlignment="0" applyProtection="0"/>
    <xf numFmtId="174" fontId="71" fillId="38" borderId="0" applyNumberFormat="0" applyBorder="0" applyAlignment="0" applyProtection="0"/>
    <xf numFmtId="174" fontId="71" fillId="38" borderId="0" applyNumberFormat="0" applyBorder="0" applyAlignment="0" applyProtection="0"/>
    <xf numFmtId="174" fontId="71" fillId="38" borderId="0" applyNumberFormat="0" applyBorder="0" applyAlignment="0" applyProtection="0"/>
    <xf numFmtId="174" fontId="71" fillId="38" borderId="0" applyNumberFormat="0" applyBorder="0" applyAlignment="0" applyProtection="0"/>
    <xf numFmtId="174" fontId="71" fillId="38" borderId="0" applyNumberFormat="0" applyBorder="0" applyAlignment="0" applyProtection="0"/>
    <xf numFmtId="174" fontId="71" fillId="38" borderId="0" applyNumberFormat="0" applyBorder="0" applyAlignment="0" applyProtection="0"/>
    <xf numFmtId="174" fontId="71" fillId="38" borderId="0" applyNumberFormat="0" applyBorder="0" applyAlignment="0" applyProtection="0"/>
    <xf numFmtId="174" fontId="71" fillId="38" borderId="0" applyNumberFormat="0" applyBorder="0" applyAlignment="0" applyProtection="0"/>
    <xf numFmtId="174" fontId="71" fillId="38" borderId="0" applyNumberFormat="0" applyBorder="0" applyAlignment="0" applyProtection="0"/>
    <xf numFmtId="174" fontId="71" fillId="38" borderId="0" applyNumberFormat="0" applyBorder="0" applyAlignment="0" applyProtection="0"/>
    <xf numFmtId="174" fontId="71" fillId="38" borderId="0" applyNumberFormat="0" applyBorder="0" applyAlignment="0" applyProtection="0"/>
    <xf numFmtId="174" fontId="71" fillId="38" borderId="0" applyNumberFormat="0" applyBorder="0" applyAlignment="0" applyProtection="0"/>
    <xf numFmtId="174" fontId="71" fillId="38" borderId="0" applyNumberFormat="0" applyBorder="0" applyAlignment="0" applyProtection="0"/>
    <xf numFmtId="174" fontId="71" fillId="38" borderId="0" applyNumberFormat="0" applyBorder="0" applyAlignment="0" applyProtection="0"/>
    <xf numFmtId="174" fontId="71" fillId="38" borderId="0" applyNumberFormat="0" applyBorder="0" applyAlignment="0" applyProtection="0"/>
    <xf numFmtId="174" fontId="71" fillId="38" borderId="0" applyNumberFormat="0" applyBorder="0" applyAlignment="0" applyProtection="0"/>
    <xf numFmtId="174" fontId="71" fillId="38" borderId="0" applyNumberFormat="0" applyBorder="0" applyAlignment="0" applyProtection="0"/>
    <xf numFmtId="174" fontId="71" fillId="38" borderId="0" applyNumberFormat="0" applyBorder="0" applyAlignment="0" applyProtection="0"/>
    <xf numFmtId="174" fontId="71" fillId="38" borderId="0" applyNumberFormat="0" applyBorder="0" applyAlignment="0" applyProtection="0"/>
    <xf numFmtId="174" fontId="71" fillId="38" borderId="0" applyNumberFormat="0" applyBorder="0" applyAlignment="0" applyProtection="0"/>
    <xf numFmtId="174" fontId="71" fillId="38" borderId="0" applyNumberFormat="0" applyBorder="0" applyAlignment="0" applyProtection="0"/>
    <xf numFmtId="174" fontId="71" fillId="38" borderId="0" applyNumberFormat="0" applyBorder="0" applyAlignment="0" applyProtection="0"/>
    <xf numFmtId="174" fontId="71" fillId="38" borderId="0" applyNumberFormat="0" applyBorder="0" applyAlignment="0" applyProtection="0"/>
    <xf numFmtId="174" fontId="71" fillId="38" borderId="0" applyNumberFormat="0" applyBorder="0" applyAlignment="0" applyProtection="0"/>
    <xf numFmtId="174" fontId="71" fillId="38" borderId="0" applyNumberFormat="0" applyBorder="0" applyAlignment="0" applyProtection="0"/>
    <xf numFmtId="174" fontId="71" fillId="38" borderId="0" applyNumberFormat="0" applyBorder="0" applyAlignment="0" applyProtection="0"/>
    <xf numFmtId="174" fontId="71" fillId="38" borderId="0" applyNumberFormat="0" applyBorder="0" applyAlignment="0" applyProtection="0"/>
    <xf numFmtId="174" fontId="71" fillId="38" borderId="0" applyNumberFormat="0" applyBorder="0" applyAlignment="0" applyProtection="0"/>
    <xf numFmtId="174" fontId="71" fillId="38" borderId="0" applyNumberFormat="0" applyBorder="0" applyAlignment="0" applyProtection="0"/>
    <xf numFmtId="174" fontId="71" fillId="38" borderId="0" applyNumberFormat="0" applyBorder="0" applyAlignment="0" applyProtection="0"/>
    <xf numFmtId="174" fontId="71" fillId="38" borderId="0" applyNumberFormat="0" applyBorder="0" applyAlignment="0" applyProtection="0"/>
    <xf numFmtId="174" fontId="71" fillId="38" borderId="0" applyNumberFormat="0" applyBorder="0" applyAlignment="0" applyProtection="0"/>
    <xf numFmtId="174" fontId="71" fillId="38" borderId="0" applyNumberFormat="0" applyBorder="0" applyAlignment="0" applyProtection="0"/>
    <xf numFmtId="174" fontId="71" fillId="38" borderId="0" applyNumberFormat="0" applyBorder="0" applyAlignment="0" applyProtection="0"/>
    <xf numFmtId="174" fontId="71" fillId="38" borderId="0" applyNumberFormat="0" applyBorder="0" applyAlignment="0" applyProtection="0"/>
    <xf numFmtId="174" fontId="71" fillId="38" borderId="0" applyNumberFormat="0" applyBorder="0" applyAlignment="0" applyProtection="0"/>
    <xf numFmtId="174" fontId="71" fillId="39" borderId="0" applyNumberFormat="0" applyBorder="0" applyAlignment="0" applyProtection="0"/>
    <xf numFmtId="174" fontId="71" fillId="39" borderId="0" applyNumberFormat="0" applyBorder="0" applyAlignment="0" applyProtection="0"/>
    <xf numFmtId="174" fontId="71" fillId="39" borderId="0" applyNumberFormat="0" applyBorder="0" applyAlignment="0" applyProtection="0"/>
    <xf numFmtId="174" fontId="71" fillId="39" borderId="0" applyNumberFormat="0" applyBorder="0" applyAlignment="0" applyProtection="0"/>
    <xf numFmtId="174" fontId="71" fillId="39" borderId="0" applyNumberFormat="0" applyBorder="0" applyAlignment="0" applyProtection="0"/>
    <xf numFmtId="174" fontId="71" fillId="39" borderId="0" applyNumberFormat="0" applyBorder="0" applyAlignment="0" applyProtection="0"/>
    <xf numFmtId="174" fontId="71" fillId="39" borderId="0" applyNumberFormat="0" applyBorder="0" applyAlignment="0" applyProtection="0"/>
    <xf numFmtId="174" fontId="71" fillId="39" borderId="0" applyNumberFormat="0" applyBorder="0" applyAlignment="0" applyProtection="0"/>
    <xf numFmtId="174" fontId="71" fillId="39" borderId="0" applyNumberFormat="0" applyBorder="0" applyAlignment="0" applyProtection="0"/>
    <xf numFmtId="174" fontId="71" fillId="39" borderId="0" applyNumberFormat="0" applyBorder="0" applyAlignment="0" applyProtection="0"/>
    <xf numFmtId="174" fontId="71" fillId="39" borderId="0" applyNumberFormat="0" applyBorder="0" applyAlignment="0" applyProtection="0"/>
    <xf numFmtId="174" fontId="71" fillId="39" borderId="0" applyNumberFormat="0" applyBorder="0" applyAlignment="0" applyProtection="0"/>
    <xf numFmtId="174" fontId="71" fillId="39" borderId="0" applyNumberFormat="0" applyBorder="0" applyAlignment="0" applyProtection="0"/>
    <xf numFmtId="174" fontId="71" fillId="39" borderId="0" applyNumberFormat="0" applyBorder="0" applyAlignment="0" applyProtection="0"/>
    <xf numFmtId="174" fontId="71" fillId="39" borderId="0" applyNumberFormat="0" applyBorder="0" applyAlignment="0" applyProtection="0"/>
    <xf numFmtId="174" fontId="71" fillId="39" borderId="0" applyNumberFormat="0" applyBorder="0" applyAlignment="0" applyProtection="0"/>
    <xf numFmtId="174" fontId="71" fillId="39" borderId="0" applyNumberFormat="0" applyBorder="0" applyAlignment="0" applyProtection="0"/>
    <xf numFmtId="174" fontId="71" fillId="39" borderId="0" applyNumberFormat="0" applyBorder="0" applyAlignment="0" applyProtection="0"/>
    <xf numFmtId="174" fontId="71" fillId="39" borderId="0" applyNumberFormat="0" applyBorder="0" applyAlignment="0" applyProtection="0"/>
    <xf numFmtId="174" fontId="71" fillId="39" borderId="0" applyNumberFormat="0" applyBorder="0" applyAlignment="0" applyProtection="0"/>
    <xf numFmtId="174" fontId="71" fillId="39" borderId="0" applyNumberFormat="0" applyBorder="0" applyAlignment="0" applyProtection="0"/>
    <xf numFmtId="174" fontId="71" fillId="39" borderId="0" applyNumberFormat="0" applyBorder="0" applyAlignment="0" applyProtection="0"/>
    <xf numFmtId="174" fontId="71" fillId="39" borderId="0" applyNumberFormat="0" applyBorder="0" applyAlignment="0" applyProtection="0"/>
    <xf numFmtId="174" fontId="71" fillId="39" borderId="0" applyNumberFormat="0" applyBorder="0" applyAlignment="0" applyProtection="0"/>
    <xf numFmtId="174" fontId="71" fillId="39" borderId="0" applyNumberFormat="0" applyBorder="0" applyAlignment="0" applyProtection="0"/>
    <xf numFmtId="174" fontId="71" fillId="39" borderId="0" applyNumberFormat="0" applyBorder="0" applyAlignment="0" applyProtection="0"/>
    <xf numFmtId="174" fontId="71" fillId="39" borderId="0" applyNumberFormat="0" applyBorder="0" applyAlignment="0" applyProtection="0"/>
    <xf numFmtId="174" fontId="71" fillId="39" borderId="0" applyNumberFormat="0" applyBorder="0" applyAlignment="0" applyProtection="0"/>
    <xf numFmtId="174" fontId="71" fillId="39" borderId="0" applyNumberFormat="0" applyBorder="0" applyAlignment="0" applyProtection="0"/>
    <xf numFmtId="174" fontId="71" fillId="39" borderId="0" applyNumberFormat="0" applyBorder="0" applyAlignment="0" applyProtection="0"/>
    <xf numFmtId="174" fontId="71" fillId="39" borderId="0" applyNumberFormat="0" applyBorder="0" applyAlignment="0" applyProtection="0"/>
    <xf numFmtId="174" fontId="71" fillId="39" borderId="0" applyNumberFormat="0" applyBorder="0" applyAlignment="0" applyProtection="0"/>
    <xf numFmtId="174" fontId="71" fillId="39" borderId="0" applyNumberFormat="0" applyBorder="0" applyAlignment="0" applyProtection="0"/>
    <xf numFmtId="174" fontId="71" fillId="39" borderId="0" applyNumberFormat="0" applyBorder="0" applyAlignment="0" applyProtection="0"/>
    <xf numFmtId="174" fontId="71" fillId="39" borderId="0" applyNumberFormat="0" applyBorder="0" applyAlignment="0" applyProtection="0"/>
    <xf numFmtId="174" fontId="71" fillId="39" borderId="0" applyNumberFormat="0" applyBorder="0" applyAlignment="0" applyProtection="0"/>
    <xf numFmtId="174" fontId="71" fillId="39" borderId="0" applyNumberFormat="0" applyBorder="0" applyAlignment="0" applyProtection="0"/>
    <xf numFmtId="174" fontId="71" fillId="39" borderId="0" applyNumberFormat="0" applyBorder="0" applyAlignment="0" applyProtection="0"/>
    <xf numFmtId="174" fontId="71" fillId="39" borderId="0" applyNumberFormat="0" applyBorder="0" applyAlignment="0" applyProtection="0"/>
    <xf numFmtId="174" fontId="71" fillId="39" borderId="0" applyNumberFormat="0" applyBorder="0" applyAlignment="0" applyProtection="0"/>
    <xf numFmtId="174" fontId="71" fillId="39" borderId="0" applyNumberFormat="0" applyBorder="0" applyAlignment="0" applyProtection="0"/>
    <xf numFmtId="174" fontId="71" fillId="39" borderId="0" applyNumberFormat="0" applyBorder="0" applyAlignment="0" applyProtection="0"/>
    <xf numFmtId="174" fontId="71" fillId="39" borderId="0" applyNumberFormat="0" applyBorder="0" applyAlignment="0" applyProtection="0"/>
    <xf numFmtId="174" fontId="71" fillId="39" borderId="0" applyNumberFormat="0" applyBorder="0" applyAlignment="0" applyProtection="0"/>
    <xf numFmtId="174" fontId="71" fillId="39" borderId="0" applyNumberFormat="0" applyBorder="0" applyAlignment="0" applyProtection="0"/>
    <xf numFmtId="174" fontId="71" fillId="39" borderId="0" applyNumberFormat="0" applyBorder="0" applyAlignment="0" applyProtection="0"/>
    <xf numFmtId="174" fontId="71" fillId="39" borderId="0" applyNumberFormat="0" applyBorder="0" applyAlignment="0" applyProtection="0"/>
    <xf numFmtId="174" fontId="71" fillId="39" borderId="0" applyNumberFormat="0" applyBorder="0" applyAlignment="0" applyProtection="0"/>
    <xf numFmtId="174" fontId="71" fillId="39"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4" borderId="0" applyNumberFormat="0" applyBorder="0" applyAlignment="0" applyProtection="0"/>
    <xf numFmtId="174" fontId="71" fillId="44" borderId="0" applyNumberFormat="0" applyBorder="0" applyAlignment="0" applyProtection="0"/>
    <xf numFmtId="174" fontId="71" fillId="44" borderId="0" applyNumberFormat="0" applyBorder="0" applyAlignment="0" applyProtection="0"/>
    <xf numFmtId="174" fontId="71" fillId="44" borderId="0" applyNumberFormat="0" applyBorder="0" applyAlignment="0" applyProtection="0"/>
    <xf numFmtId="174" fontId="71" fillId="44" borderId="0" applyNumberFormat="0" applyBorder="0" applyAlignment="0" applyProtection="0"/>
    <xf numFmtId="174" fontId="71" fillId="44" borderId="0" applyNumberFormat="0" applyBorder="0" applyAlignment="0" applyProtection="0"/>
    <xf numFmtId="174" fontId="71" fillId="44" borderId="0" applyNumberFormat="0" applyBorder="0" applyAlignment="0" applyProtection="0"/>
    <xf numFmtId="174" fontId="71" fillId="44" borderId="0" applyNumberFormat="0" applyBorder="0" applyAlignment="0" applyProtection="0"/>
    <xf numFmtId="174" fontId="71" fillId="44" borderId="0" applyNumberFormat="0" applyBorder="0" applyAlignment="0" applyProtection="0"/>
    <xf numFmtId="174" fontId="71" fillId="44" borderId="0" applyNumberFormat="0" applyBorder="0" applyAlignment="0" applyProtection="0"/>
    <xf numFmtId="174" fontId="71" fillId="44" borderId="0" applyNumberFormat="0" applyBorder="0" applyAlignment="0" applyProtection="0"/>
    <xf numFmtId="174" fontId="71" fillId="44" borderId="0" applyNumberFormat="0" applyBorder="0" applyAlignment="0" applyProtection="0"/>
    <xf numFmtId="174" fontId="71" fillId="44" borderId="0" applyNumberFormat="0" applyBorder="0" applyAlignment="0" applyProtection="0"/>
    <xf numFmtId="174" fontId="71" fillId="44" borderId="0" applyNumberFormat="0" applyBorder="0" applyAlignment="0" applyProtection="0"/>
    <xf numFmtId="174" fontId="71" fillId="44" borderId="0" applyNumberFormat="0" applyBorder="0" applyAlignment="0" applyProtection="0"/>
    <xf numFmtId="174" fontId="71" fillId="44" borderId="0" applyNumberFormat="0" applyBorder="0" applyAlignment="0" applyProtection="0"/>
    <xf numFmtId="174" fontId="71" fillId="44" borderId="0" applyNumberFormat="0" applyBorder="0" applyAlignment="0" applyProtection="0"/>
    <xf numFmtId="174" fontId="71" fillId="44" borderId="0" applyNumberFormat="0" applyBorder="0" applyAlignment="0" applyProtection="0"/>
    <xf numFmtId="174" fontId="71" fillId="44" borderId="0" applyNumberFormat="0" applyBorder="0" applyAlignment="0" applyProtection="0"/>
    <xf numFmtId="174" fontId="71" fillId="44" borderId="0" applyNumberFormat="0" applyBorder="0" applyAlignment="0" applyProtection="0"/>
    <xf numFmtId="174" fontId="71" fillId="44" borderId="0" applyNumberFormat="0" applyBorder="0" applyAlignment="0" applyProtection="0"/>
    <xf numFmtId="174" fontId="71" fillId="44" borderId="0" applyNumberFormat="0" applyBorder="0" applyAlignment="0" applyProtection="0"/>
    <xf numFmtId="174" fontId="71" fillId="44" borderId="0" applyNumberFormat="0" applyBorder="0" applyAlignment="0" applyProtection="0"/>
    <xf numFmtId="174" fontId="71" fillId="44" borderId="0" applyNumberFormat="0" applyBorder="0" applyAlignment="0" applyProtection="0"/>
    <xf numFmtId="174" fontId="71" fillId="44" borderId="0" applyNumberFormat="0" applyBorder="0" applyAlignment="0" applyProtection="0"/>
    <xf numFmtId="174" fontId="71" fillId="44" borderId="0" applyNumberFormat="0" applyBorder="0" applyAlignment="0" applyProtection="0"/>
    <xf numFmtId="174" fontId="71" fillId="44" borderId="0" applyNumberFormat="0" applyBorder="0" applyAlignment="0" applyProtection="0"/>
    <xf numFmtId="174" fontId="71" fillId="44" borderId="0" applyNumberFormat="0" applyBorder="0" applyAlignment="0" applyProtection="0"/>
    <xf numFmtId="174" fontId="71" fillId="44" borderId="0" applyNumberFormat="0" applyBorder="0" applyAlignment="0" applyProtection="0"/>
    <xf numFmtId="174" fontId="71" fillId="44" borderId="0" applyNumberFormat="0" applyBorder="0" applyAlignment="0" applyProtection="0"/>
    <xf numFmtId="174" fontId="71" fillId="44" borderId="0" applyNumberFormat="0" applyBorder="0" applyAlignment="0" applyProtection="0"/>
    <xf numFmtId="174" fontId="71" fillId="44" borderId="0" applyNumberFormat="0" applyBorder="0" applyAlignment="0" applyProtection="0"/>
    <xf numFmtId="174" fontId="71" fillId="44" borderId="0" applyNumberFormat="0" applyBorder="0" applyAlignment="0" applyProtection="0"/>
    <xf numFmtId="174" fontId="71" fillId="44" borderId="0" applyNumberFormat="0" applyBorder="0" applyAlignment="0" applyProtection="0"/>
    <xf numFmtId="174" fontId="71" fillId="44" borderId="0" applyNumberFormat="0" applyBorder="0" applyAlignment="0" applyProtection="0"/>
    <xf numFmtId="174" fontId="71" fillId="44" borderId="0" applyNumberFormat="0" applyBorder="0" applyAlignment="0" applyProtection="0"/>
    <xf numFmtId="174" fontId="71" fillId="44" borderId="0" applyNumberFormat="0" applyBorder="0" applyAlignment="0" applyProtection="0"/>
    <xf numFmtId="174" fontId="71" fillId="44" borderId="0" applyNumberFormat="0" applyBorder="0" applyAlignment="0" applyProtection="0"/>
    <xf numFmtId="174" fontId="71" fillId="44" borderId="0" applyNumberFormat="0" applyBorder="0" applyAlignment="0" applyProtection="0"/>
    <xf numFmtId="174" fontId="71" fillId="44" borderId="0" applyNumberFormat="0" applyBorder="0" applyAlignment="0" applyProtection="0"/>
    <xf numFmtId="174" fontId="71" fillId="44" borderId="0" applyNumberFormat="0" applyBorder="0" applyAlignment="0" applyProtection="0"/>
    <xf numFmtId="174" fontId="71" fillId="44" borderId="0" applyNumberFormat="0" applyBorder="0" applyAlignment="0" applyProtection="0"/>
    <xf numFmtId="174" fontId="71" fillId="44" borderId="0" applyNumberFormat="0" applyBorder="0" applyAlignment="0" applyProtection="0"/>
    <xf numFmtId="174" fontId="71" fillId="44" borderId="0" applyNumberFormat="0" applyBorder="0" applyAlignment="0" applyProtection="0"/>
    <xf numFmtId="174" fontId="71" fillId="44" borderId="0" applyNumberFormat="0" applyBorder="0" applyAlignment="0" applyProtection="0"/>
    <xf numFmtId="174" fontId="71" fillId="44" borderId="0" applyNumberFormat="0" applyBorder="0" applyAlignment="0" applyProtection="0"/>
    <xf numFmtId="174" fontId="71" fillId="44" borderId="0" applyNumberFormat="0" applyBorder="0" applyAlignment="0" applyProtection="0"/>
    <xf numFmtId="174" fontId="71" fillId="44" borderId="0" applyNumberFormat="0" applyBorder="0" applyAlignment="0" applyProtection="0"/>
    <xf numFmtId="174" fontId="71" fillId="44"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71" fillId="47" borderId="0" applyNumberFormat="0" applyBorder="0" applyAlignment="0" applyProtection="0"/>
    <xf numFmtId="174" fontId="71" fillId="48" borderId="0" applyNumberFormat="0" applyBorder="0" applyAlignment="0" applyProtection="0"/>
    <xf numFmtId="174" fontId="71" fillId="48" borderId="0" applyNumberFormat="0" applyBorder="0" applyAlignment="0" applyProtection="0"/>
    <xf numFmtId="174" fontId="71" fillId="48" borderId="0" applyNumberFormat="0" applyBorder="0" applyAlignment="0" applyProtection="0"/>
    <xf numFmtId="174" fontId="71" fillId="48" borderId="0" applyNumberFormat="0" applyBorder="0" applyAlignment="0" applyProtection="0"/>
    <xf numFmtId="174" fontId="71" fillId="48" borderId="0" applyNumberFormat="0" applyBorder="0" applyAlignment="0" applyProtection="0"/>
    <xf numFmtId="174" fontId="71" fillId="48" borderId="0" applyNumberFormat="0" applyBorder="0" applyAlignment="0" applyProtection="0"/>
    <xf numFmtId="174" fontId="71" fillId="48" borderId="0" applyNumberFormat="0" applyBorder="0" applyAlignment="0" applyProtection="0"/>
    <xf numFmtId="174" fontId="71" fillId="48" borderId="0" applyNumberFormat="0" applyBorder="0" applyAlignment="0" applyProtection="0"/>
    <xf numFmtId="174" fontId="71" fillId="48" borderId="0" applyNumberFormat="0" applyBorder="0" applyAlignment="0" applyProtection="0"/>
    <xf numFmtId="174" fontId="71" fillId="48" borderId="0" applyNumberFormat="0" applyBorder="0" applyAlignment="0" applyProtection="0"/>
    <xf numFmtId="174" fontId="71" fillId="48" borderId="0" applyNumberFormat="0" applyBorder="0" applyAlignment="0" applyProtection="0"/>
    <xf numFmtId="174" fontId="71" fillId="48" borderId="0" applyNumberFormat="0" applyBorder="0" applyAlignment="0" applyProtection="0"/>
    <xf numFmtId="174" fontId="71" fillId="48" borderId="0" applyNumberFormat="0" applyBorder="0" applyAlignment="0" applyProtection="0"/>
    <xf numFmtId="174" fontId="71" fillId="48" borderId="0" applyNumberFormat="0" applyBorder="0" applyAlignment="0" applyProtection="0"/>
    <xf numFmtId="174" fontId="71" fillId="48" borderId="0" applyNumberFormat="0" applyBorder="0" applyAlignment="0" applyProtection="0"/>
    <xf numFmtId="174" fontId="71" fillId="48" borderId="0" applyNumberFormat="0" applyBorder="0" applyAlignment="0" applyProtection="0"/>
    <xf numFmtId="174" fontId="71" fillId="48" borderId="0" applyNumberFormat="0" applyBorder="0" applyAlignment="0" applyProtection="0"/>
    <xf numFmtId="174" fontId="71" fillId="48" borderId="0" applyNumberFormat="0" applyBorder="0" applyAlignment="0" applyProtection="0"/>
    <xf numFmtId="174" fontId="71" fillId="48" borderId="0" applyNumberFormat="0" applyBorder="0" applyAlignment="0" applyProtection="0"/>
    <xf numFmtId="174" fontId="71" fillId="48" borderId="0" applyNumberFormat="0" applyBorder="0" applyAlignment="0" applyProtection="0"/>
    <xf numFmtId="174" fontId="71" fillId="48" borderId="0" applyNumberFormat="0" applyBorder="0" applyAlignment="0" applyProtection="0"/>
    <xf numFmtId="174" fontId="71" fillId="48" borderId="0" applyNumberFormat="0" applyBorder="0" applyAlignment="0" applyProtection="0"/>
    <xf numFmtId="0" fontId="71" fillId="49" borderId="0" applyNumberFormat="0" applyBorder="0" applyAlignment="0" applyProtection="0"/>
    <xf numFmtId="174" fontId="71" fillId="48" borderId="0" applyNumberFormat="0" applyBorder="0" applyAlignment="0" applyProtection="0"/>
    <xf numFmtId="174" fontId="71" fillId="48" borderId="0" applyNumberFormat="0" applyBorder="0" applyAlignment="0" applyProtection="0"/>
    <xf numFmtId="174" fontId="71" fillId="48" borderId="0" applyNumberFormat="0" applyBorder="0" applyAlignment="0" applyProtection="0"/>
    <xf numFmtId="174" fontId="71" fillId="48" borderId="0" applyNumberFormat="0" applyBorder="0" applyAlignment="0" applyProtection="0"/>
    <xf numFmtId="174" fontId="71" fillId="48" borderId="0" applyNumberFormat="0" applyBorder="0" applyAlignment="0" applyProtection="0"/>
    <xf numFmtId="174" fontId="71" fillId="48" borderId="0" applyNumberFormat="0" applyBorder="0" applyAlignment="0" applyProtection="0"/>
    <xf numFmtId="174" fontId="71" fillId="48" borderId="0" applyNumberFormat="0" applyBorder="0" applyAlignment="0" applyProtection="0"/>
    <xf numFmtId="174" fontId="71" fillId="48" borderId="0" applyNumberFormat="0" applyBorder="0" applyAlignment="0" applyProtection="0"/>
    <xf numFmtId="174" fontId="71" fillId="48" borderId="0" applyNumberFormat="0" applyBorder="0" applyAlignment="0" applyProtection="0"/>
    <xf numFmtId="174" fontId="71" fillId="48" borderId="0" applyNumberFormat="0" applyBorder="0" applyAlignment="0" applyProtection="0"/>
    <xf numFmtId="174" fontId="71" fillId="48" borderId="0" applyNumberFormat="0" applyBorder="0" applyAlignment="0" applyProtection="0"/>
    <xf numFmtId="174" fontId="71" fillId="48" borderId="0" applyNumberFormat="0" applyBorder="0" applyAlignment="0" applyProtection="0"/>
    <xf numFmtId="174" fontId="71" fillId="48" borderId="0" applyNumberFormat="0" applyBorder="0" applyAlignment="0" applyProtection="0"/>
    <xf numFmtId="174" fontId="71" fillId="48" borderId="0" applyNumberFormat="0" applyBorder="0" applyAlignment="0" applyProtection="0"/>
    <xf numFmtId="174" fontId="71" fillId="48" borderId="0" applyNumberFormat="0" applyBorder="0" applyAlignment="0" applyProtection="0"/>
    <xf numFmtId="174" fontId="71" fillId="48" borderId="0" applyNumberFormat="0" applyBorder="0" applyAlignment="0" applyProtection="0"/>
    <xf numFmtId="174" fontId="71" fillId="48" borderId="0" applyNumberFormat="0" applyBorder="0" applyAlignment="0" applyProtection="0"/>
    <xf numFmtId="174" fontId="71" fillId="48" borderId="0" applyNumberFormat="0" applyBorder="0" applyAlignment="0" applyProtection="0"/>
    <xf numFmtId="174" fontId="71" fillId="48" borderId="0" applyNumberFormat="0" applyBorder="0" applyAlignment="0" applyProtection="0"/>
    <xf numFmtId="174" fontId="71" fillId="48" borderId="0" applyNumberFormat="0" applyBorder="0" applyAlignment="0" applyProtection="0"/>
    <xf numFmtId="0" fontId="71" fillId="49" borderId="0" applyNumberFormat="0" applyBorder="0" applyAlignment="0" applyProtection="0"/>
    <xf numFmtId="174" fontId="71" fillId="48" borderId="0" applyNumberFormat="0" applyBorder="0" applyAlignment="0" applyProtection="0"/>
    <xf numFmtId="0" fontId="71" fillId="49" borderId="0" applyNumberFormat="0" applyBorder="0" applyAlignment="0" applyProtection="0"/>
    <xf numFmtId="174" fontId="71" fillId="48" borderId="0" applyNumberFormat="0" applyBorder="0" applyAlignment="0" applyProtection="0"/>
    <xf numFmtId="0" fontId="71" fillId="49" borderId="0" applyNumberFormat="0" applyBorder="0" applyAlignment="0" applyProtection="0"/>
    <xf numFmtId="174" fontId="71" fillId="48" borderId="0" applyNumberFormat="0" applyBorder="0" applyAlignment="0" applyProtection="0"/>
    <xf numFmtId="174" fontId="71" fillId="48" borderId="0" applyNumberFormat="0" applyBorder="0" applyAlignment="0" applyProtection="0"/>
    <xf numFmtId="0" fontId="71" fillId="49" borderId="0" applyNumberFormat="0" applyBorder="0" applyAlignment="0" applyProtection="0"/>
    <xf numFmtId="174" fontId="71" fillId="48" borderId="0" applyNumberFormat="0" applyBorder="0" applyAlignment="0" applyProtection="0"/>
    <xf numFmtId="0" fontId="71" fillId="49" borderId="0" applyNumberFormat="0" applyBorder="0" applyAlignment="0" applyProtection="0"/>
    <xf numFmtId="174" fontId="71" fillId="48" borderId="0" applyNumberFormat="0" applyBorder="0" applyAlignment="0" applyProtection="0"/>
    <xf numFmtId="0" fontId="71" fillId="49" borderId="0" applyNumberFormat="0" applyBorder="0" applyAlignment="0" applyProtection="0"/>
    <xf numFmtId="174" fontId="71" fillId="48"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71" fillId="52" borderId="0" applyNumberFormat="0" applyBorder="0" applyAlignment="0" applyProtection="0"/>
    <xf numFmtId="174" fontId="71" fillId="53" borderId="0" applyNumberFormat="0" applyBorder="0" applyAlignment="0" applyProtection="0"/>
    <xf numFmtId="174" fontId="71" fillId="53" borderId="0" applyNumberFormat="0" applyBorder="0" applyAlignment="0" applyProtection="0"/>
    <xf numFmtId="174" fontId="71" fillId="53" borderId="0" applyNumberFormat="0" applyBorder="0" applyAlignment="0" applyProtection="0"/>
    <xf numFmtId="174" fontId="71" fillId="53" borderId="0" applyNumberFormat="0" applyBorder="0" applyAlignment="0" applyProtection="0"/>
    <xf numFmtId="174" fontId="71" fillId="53" borderId="0" applyNumberFormat="0" applyBorder="0" applyAlignment="0" applyProtection="0"/>
    <xf numFmtId="174" fontId="71" fillId="53" borderId="0" applyNumberFormat="0" applyBorder="0" applyAlignment="0" applyProtection="0"/>
    <xf numFmtId="174" fontId="71" fillId="53" borderId="0" applyNumberFormat="0" applyBorder="0" applyAlignment="0" applyProtection="0"/>
    <xf numFmtId="174" fontId="71" fillId="53" borderId="0" applyNumberFormat="0" applyBorder="0" applyAlignment="0" applyProtection="0"/>
    <xf numFmtId="174" fontId="71" fillId="53" borderId="0" applyNumberFormat="0" applyBorder="0" applyAlignment="0" applyProtection="0"/>
    <xf numFmtId="174" fontId="71" fillId="53" borderId="0" applyNumberFormat="0" applyBorder="0" applyAlignment="0" applyProtection="0"/>
    <xf numFmtId="174" fontId="71" fillId="53" borderId="0" applyNumberFormat="0" applyBorder="0" applyAlignment="0" applyProtection="0"/>
    <xf numFmtId="174" fontId="71" fillId="53" borderId="0" applyNumberFormat="0" applyBorder="0" applyAlignment="0" applyProtection="0"/>
    <xf numFmtId="174" fontId="71" fillId="53" borderId="0" applyNumberFormat="0" applyBorder="0" applyAlignment="0" applyProtection="0"/>
    <xf numFmtId="174" fontId="71" fillId="53" borderId="0" applyNumberFormat="0" applyBorder="0" applyAlignment="0" applyProtection="0"/>
    <xf numFmtId="174" fontId="71" fillId="53" borderId="0" applyNumberFormat="0" applyBorder="0" applyAlignment="0" applyProtection="0"/>
    <xf numFmtId="174" fontId="71" fillId="53" borderId="0" applyNumberFormat="0" applyBorder="0" applyAlignment="0" applyProtection="0"/>
    <xf numFmtId="174" fontId="71" fillId="53" borderId="0" applyNumberFormat="0" applyBorder="0" applyAlignment="0" applyProtection="0"/>
    <xf numFmtId="174" fontId="71" fillId="53" borderId="0" applyNumberFormat="0" applyBorder="0" applyAlignment="0" applyProtection="0"/>
    <xf numFmtId="174" fontId="71" fillId="53" borderId="0" applyNumberFormat="0" applyBorder="0" applyAlignment="0" applyProtection="0"/>
    <xf numFmtId="174" fontId="71" fillId="53" borderId="0" applyNumberFormat="0" applyBorder="0" applyAlignment="0" applyProtection="0"/>
    <xf numFmtId="174" fontId="71" fillId="53" borderId="0" applyNumberFormat="0" applyBorder="0" applyAlignment="0" applyProtection="0"/>
    <xf numFmtId="174" fontId="71" fillId="53" borderId="0" applyNumberFormat="0" applyBorder="0" applyAlignment="0" applyProtection="0"/>
    <xf numFmtId="0" fontId="71" fillId="54" borderId="0" applyNumberFormat="0" applyBorder="0" applyAlignment="0" applyProtection="0"/>
    <xf numFmtId="174" fontId="71" fillId="53" borderId="0" applyNumberFormat="0" applyBorder="0" applyAlignment="0" applyProtection="0"/>
    <xf numFmtId="174" fontId="71" fillId="53" borderId="0" applyNumberFormat="0" applyBorder="0" applyAlignment="0" applyProtection="0"/>
    <xf numFmtId="174" fontId="71" fillId="53" borderId="0" applyNumberFormat="0" applyBorder="0" applyAlignment="0" applyProtection="0"/>
    <xf numFmtId="174" fontId="71" fillId="53" borderId="0" applyNumberFormat="0" applyBorder="0" applyAlignment="0" applyProtection="0"/>
    <xf numFmtId="174" fontId="71" fillId="53" borderId="0" applyNumberFormat="0" applyBorder="0" applyAlignment="0" applyProtection="0"/>
    <xf numFmtId="174" fontId="71" fillId="53" borderId="0" applyNumberFormat="0" applyBorder="0" applyAlignment="0" applyProtection="0"/>
    <xf numFmtId="174" fontId="71" fillId="53" borderId="0" applyNumberFormat="0" applyBorder="0" applyAlignment="0" applyProtection="0"/>
    <xf numFmtId="174" fontId="71" fillId="53" borderId="0" applyNumberFormat="0" applyBorder="0" applyAlignment="0" applyProtection="0"/>
    <xf numFmtId="174" fontId="71" fillId="53" borderId="0" applyNumberFormat="0" applyBorder="0" applyAlignment="0" applyProtection="0"/>
    <xf numFmtId="174" fontId="71" fillId="53" borderId="0" applyNumberFormat="0" applyBorder="0" applyAlignment="0" applyProtection="0"/>
    <xf numFmtId="174" fontId="71" fillId="53" borderId="0" applyNumberFormat="0" applyBorder="0" applyAlignment="0" applyProtection="0"/>
    <xf numFmtId="174" fontId="71" fillId="53" borderId="0" applyNumberFormat="0" applyBorder="0" applyAlignment="0" applyProtection="0"/>
    <xf numFmtId="174" fontId="71" fillId="53" borderId="0" applyNumberFormat="0" applyBorder="0" applyAlignment="0" applyProtection="0"/>
    <xf numFmtId="174" fontId="71" fillId="53" borderId="0" applyNumberFormat="0" applyBorder="0" applyAlignment="0" applyProtection="0"/>
    <xf numFmtId="174" fontId="71" fillId="53" borderId="0" applyNumberFormat="0" applyBorder="0" applyAlignment="0" applyProtection="0"/>
    <xf numFmtId="174" fontId="71" fillId="53" borderId="0" applyNumberFormat="0" applyBorder="0" applyAlignment="0" applyProtection="0"/>
    <xf numFmtId="174" fontId="71" fillId="53" borderId="0" applyNumberFormat="0" applyBorder="0" applyAlignment="0" applyProtection="0"/>
    <xf numFmtId="174" fontId="71" fillId="53" borderId="0" applyNumberFormat="0" applyBorder="0" applyAlignment="0" applyProtection="0"/>
    <xf numFmtId="174" fontId="71" fillId="53" borderId="0" applyNumberFormat="0" applyBorder="0" applyAlignment="0" applyProtection="0"/>
    <xf numFmtId="174" fontId="71" fillId="53" borderId="0" applyNumberFormat="0" applyBorder="0" applyAlignment="0" applyProtection="0"/>
    <xf numFmtId="0" fontId="71" fillId="54" borderId="0" applyNumberFormat="0" applyBorder="0" applyAlignment="0" applyProtection="0"/>
    <xf numFmtId="174" fontId="71" fillId="53" borderId="0" applyNumberFormat="0" applyBorder="0" applyAlignment="0" applyProtection="0"/>
    <xf numFmtId="0" fontId="71" fillId="54" borderId="0" applyNumberFormat="0" applyBorder="0" applyAlignment="0" applyProtection="0"/>
    <xf numFmtId="174" fontId="71" fillId="53" borderId="0" applyNumberFormat="0" applyBorder="0" applyAlignment="0" applyProtection="0"/>
    <xf numFmtId="0" fontId="71" fillId="54" borderId="0" applyNumberFormat="0" applyBorder="0" applyAlignment="0" applyProtection="0"/>
    <xf numFmtId="174" fontId="71" fillId="53" borderId="0" applyNumberFormat="0" applyBorder="0" applyAlignment="0" applyProtection="0"/>
    <xf numFmtId="174" fontId="71" fillId="53" borderId="0" applyNumberFormat="0" applyBorder="0" applyAlignment="0" applyProtection="0"/>
    <xf numFmtId="0" fontId="71" fillId="54" borderId="0" applyNumberFormat="0" applyBorder="0" applyAlignment="0" applyProtection="0"/>
    <xf numFmtId="174" fontId="71" fillId="53" borderId="0" applyNumberFormat="0" applyBorder="0" applyAlignment="0" applyProtection="0"/>
    <xf numFmtId="0" fontId="71" fillId="54" borderId="0" applyNumberFormat="0" applyBorder="0" applyAlignment="0" applyProtection="0"/>
    <xf numFmtId="174" fontId="71" fillId="53" borderId="0" applyNumberFormat="0" applyBorder="0" applyAlignment="0" applyProtection="0"/>
    <xf numFmtId="0" fontId="71" fillId="54" borderId="0" applyNumberFormat="0" applyBorder="0" applyAlignment="0" applyProtection="0"/>
    <xf numFmtId="174" fontId="71" fillId="53" borderId="0" applyNumberFormat="0" applyBorder="0" applyAlignment="0" applyProtection="0"/>
    <xf numFmtId="0" fontId="1" fillId="55" borderId="0" applyNumberFormat="0" applyBorder="0" applyAlignment="0" applyProtection="0"/>
    <xf numFmtId="0" fontId="1" fillId="56" borderId="0" applyNumberFormat="0" applyBorder="0" applyAlignment="0" applyProtection="0"/>
    <xf numFmtId="0" fontId="71" fillId="57" borderId="0" applyNumberFormat="0" applyBorder="0" applyAlignment="0" applyProtection="0"/>
    <xf numFmtId="174" fontId="71" fillId="58" borderId="0" applyNumberFormat="0" applyBorder="0" applyAlignment="0" applyProtection="0"/>
    <xf numFmtId="174" fontId="71" fillId="58" borderId="0" applyNumberFormat="0" applyBorder="0" applyAlignment="0" applyProtection="0"/>
    <xf numFmtId="174" fontId="71" fillId="58" borderId="0" applyNumberFormat="0" applyBorder="0" applyAlignment="0" applyProtection="0"/>
    <xf numFmtId="174" fontId="71" fillId="58" borderId="0" applyNumberFormat="0" applyBorder="0" applyAlignment="0" applyProtection="0"/>
    <xf numFmtId="174" fontId="71" fillId="58" borderId="0" applyNumberFormat="0" applyBorder="0" applyAlignment="0" applyProtection="0"/>
    <xf numFmtId="174" fontId="71" fillId="58" borderId="0" applyNumberFormat="0" applyBorder="0" applyAlignment="0" applyProtection="0"/>
    <xf numFmtId="174" fontId="71" fillId="58" borderId="0" applyNumberFormat="0" applyBorder="0" applyAlignment="0" applyProtection="0"/>
    <xf numFmtId="174" fontId="71" fillId="58" borderId="0" applyNumberFormat="0" applyBorder="0" applyAlignment="0" applyProtection="0"/>
    <xf numFmtId="174" fontId="71" fillId="58" borderId="0" applyNumberFormat="0" applyBorder="0" applyAlignment="0" applyProtection="0"/>
    <xf numFmtId="174" fontId="71" fillId="58" borderId="0" applyNumberFormat="0" applyBorder="0" applyAlignment="0" applyProtection="0"/>
    <xf numFmtId="174" fontId="71" fillId="58" borderId="0" applyNumberFormat="0" applyBorder="0" applyAlignment="0" applyProtection="0"/>
    <xf numFmtId="174" fontId="71" fillId="58" borderId="0" applyNumberFormat="0" applyBorder="0" applyAlignment="0" applyProtection="0"/>
    <xf numFmtId="174" fontId="71" fillId="58" borderId="0" applyNumberFormat="0" applyBorder="0" applyAlignment="0" applyProtection="0"/>
    <xf numFmtId="174" fontId="71" fillId="58" borderId="0" applyNumberFormat="0" applyBorder="0" applyAlignment="0" applyProtection="0"/>
    <xf numFmtId="174" fontId="71" fillId="58" borderId="0" applyNumberFormat="0" applyBorder="0" applyAlignment="0" applyProtection="0"/>
    <xf numFmtId="174" fontId="71" fillId="58" borderId="0" applyNumberFormat="0" applyBorder="0" applyAlignment="0" applyProtection="0"/>
    <xf numFmtId="174" fontId="71" fillId="58" borderId="0" applyNumberFormat="0" applyBorder="0" applyAlignment="0" applyProtection="0"/>
    <xf numFmtId="174" fontId="71" fillId="58" borderId="0" applyNumberFormat="0" applyBorder="0" applyAlignment="0" applyProtection="0"/>
    <xf numFmtId="174" fontId="71" fillId="58" borderId="0" applyNumberFormat="0" applyBorder="0" applyAlignment="0" applyProtection="0"/>
    <xf numFmtId="174" fontId="71" fillId="58" borderId="0" applyNumberFormat="0" applyBorder="0" applyAlignment="0" applyProtection="0"/>
    <xf numFmtId="174" fontId="71" fillId="58" borderId="0" applyNumberFormat="0" applyBorder="0" applyAlignment="0" applyProtection="0"/>
    <xf numFmtId="174" fontId="71" fillId="58" borderId="0" applyNumberFormat="0" applyBorder="0" applyAlignment="0" applyProtection="0"/>
    <xf numFmtId="0" fontId="71" fillId="59" borderId="0" applyNumberFormat="0" applyBorder="0" applyAlignment="0" applyProtection="0"/>
    <xf numFmtId="174" fontId="71" fillId="58" borderId="0" applyNumberFormat="0" applyBorder="0" applyAlignment="0" applyProtection="0"/>
    <xf numFmtId="174" fontId="71" fillId="58" borderId="0" applyNumberFormat="0" applyBorder="0" applyAlignment="0" applyProtection="0"/>
    <xf numFmtId="174" fontId="71" fillId="58" borderId="0" applyNumberFormat="0" applyBorder="0" applyAlignment="0" applyProtection="0"/>
    <xf numFmtId="174" fontId="71" fillId="58" borderId="0" applyNumberFormat="0" applyBorder="0" applyAlignment="0" applyProtection="0"/>
    <xf numFmtId="174" fontId="71" fillId="58" borderId="0" applyNumberFormat="0" applyBorder="0" applyAlignment="0" applyProtection="0"/>
    <xf numFmtId="174" fontId="71" fillId="58" borderId="0" applyNumberFormat="0" applyBorder="0" applyAlignment="0" applyProtection="0"/>
    <xf numFmtId="174" fontId="71" fillId="58" borderId="0" applyNumberFormat="0" applyBorder="0" applyAlignment="0" applyProtection="0"/>
    <xf numFmtId="174" fontId="71" fillId="58" borderId="0" applyNumberFormat="0" applyBorder="0" applyAlignment="0" applyProtection="0"/>
    <xf numFmtId="174" fontId="71" fillId="58" borderId="0" applyNumberFormat="0" applyBorder="0" applyAlignment="0" applyProtection="0"/>
    <xf numFmtId="174" fontId="71" fillId="58" borderId="0" applyNumberFormat="0" applyBorder="0" applyAlignment="0" applyProtection="0"/>
    <xf numFmtId="174" fontId="71" fillId="58" borderId="0" applyNumberFormat="0" applyBorder="0" applyAlignment="0" applyProtection="0"/>
    <xf numFmtId="174" fontId="71" fillId="58" borderId="0" applyNumberFormat="0" applyBorder="0" applyAlignment="0" applyProtection="0"/>
    <xf numFmtId="174" fontId="71" fillId="58" borderId="0" applyNumberFormat="0" applyBorder="0" applyAlignment="0" applyProtection="0"/>
    <xf numFmtId="174" fontId="71" fillId="58" borderId="0" applyNumberFormat="0" applyBorder="0" applyAlignment="0" applyProtection="0"/>
    <xf numFmtId="174" fontId="71" fillId="58" borderId="0" applyNumberFormat="0" applyBorder="0" applyAlignment="0" applyProtection="0"/>
    <xf numFmtId="174" fontId="71" fillId="58" borderId="0" applyNumberFormat="0" applyBorder="0" applyAlignment="0" applyProtection="0"/>
    <xf numFmtId="174" fontId="71" fillId="58" borderId="0" applyNumberFormat="0" applyBorder="0" applyAlignment="0" applyProtection="0"/>
    <xf numFmtId="174" fontId="71" fillId="58" borderId="0" applyNumberFormat="0" applyBorder="0" applyAlignment="0" applyProtection="0"/>
    <xf numFmtId="174" fontId="71" fillId="58" borderId="0" applyNumberFormat="0" applyBorder="0" applyAlignment="0" applyProtection="0"/>
    <xf numFmtId="174" fontId="71" fillId="58" borderId="0" applyNumberFormat="0" applyBorder="0" applyAlignment="0" applyProtection="0"/>
    <xf numFmtId="0" fontId="71" fillId="59" borderId="0" applyNumberFormat="0" applyBorder="0" applyAlignment="0" applyProtection="0"/>
    <xf numFmtId="174" fontId="71" fillId="58" borderId="0" applyNumberFormat="0" applyBorder="0" applyAlignment="0" applyProtection="0"/>
    <xf numFmtId="0" fontId="71" fillId="59" borderId="0" applyNumberFormat="0" applyBorder="0" applyAlignment="0" applyProtection="0"/>
    <xf numFmtId="174" fontId="71" fillId="58" borderId="0" applyNumberFormat="0" applyBorder="0" applyAlignment="0" applyProtection="0"/>
    <xf numFmtId="0" fontId="71" fillId="59" borderId="0" applyNumberFormat="0" applyBorder="0" applyAlignment="0" applyProtection="0"/>
    <xf numFmtId="174" fontId="71" fillId="58" borderId="0" applyNumberFormat="0" applyBorder="0" applyAlignment="0" applyProtection="0"/>
    <xf numFmtId="174" fontId="71" fillId="58" borderId="0" applyNumberFormat="0" applyBorder="0" applyAlignment="0" applyProtection="0"/>
    <xf numFmtId="0" fontId="71" fillId="59" borderId="0" applyNumberFormat="0" applyBorder="0" applyAlignment="0" applyProtection="0"/>
    <xf numFmtId="174" fontId="71" fillId="58" borderId="0" applyNumberFormat="0" applyBorder="0" applyAlignment="0" applyProtection="0"/>
    <xf numFmtId="0" fontId="71" fillId="59" borderId="0" applyNumberFormat="0" applyBorder="0" applyAlignment="0" applyProtection="0"/>
    <xf numFmtId="174" fontId="71" fillId="58" borderId="0" applyNumberFormat="0" applyBorder="0" applyAlignment="0" applyProtection="0"/>
    <xf numFmtId="0" fontId="71" fillId="59" borderId="0" applyNumberFormat="0" applyBorder="0" applyAlignment="0" applyProtection="0"/>
    <xf numFmtId="174" fontId="71" fillId="58" borderId="0" applyNumberFormat="0" applyBorder="0" applyAlignment="0" applyProtection="0"/>
    <xf numFmtId="0" fontId="1" fillId="50" borderId="0" applyNumberFormat="0" applyBorder="0" applyAlignment="0" applyProtection="0"/>
    <xf numFmtId="0" fontId="1" fillId="60" borderId="0" applyNumberFormat="0" applyBorder="0" applyAlignment="0" applyProtection="0"/>
    <xf numFmtId="0" fontId="71" fillId="51"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0" fontId="71" fillId="61"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0" fontId="71" fillId="61" borderId="0" applyNumberFormat="0" applyBorder="0" applyAlignment="0" applyProtection="0"/>
    <xf numFmtId="174" fontId="71" fillId="42" borderId="0" applyNumberFormat="0" applyBorder="0" applyAlignment="0" applyProtection="0"/>
    <xf numFmtId="0" fontId="71" fillId="61" borderId="0" applyNumberFormat="0" applyBorder="0" applyAlignment="0" applyProtection="0"/>
    <xf numFmtId="174" fontId="71" fillId="42" borderId="0" applyNumberFormat="0" applyBorder="0" applyAlignment="0" applyProtection="0"/>
    <xf numFmtId="0" fontId="71" fillId="61" borderId="0" applyNumberFormat="0" applyBorder="0" applyAlignment="0" applyProtection="0"/>
    <xf numFmtId="174" fontId="71" fillId="42" borderId="0" applyNumberFormat="0" applyBorder="0" applyAlignment="0" applyProtection="0"/>
    <xf numFmtId="174" fontId="71" fillId="42" borderId="0" applyNumberFormat="0" applyBorder="0" applyAlignment="0" applyProtection="0"/>
    <xf numFmtId="0" fontId="71" fillId="61" borderId="0" applyNumberFormat="0" applyBorder="0" applyAlignment="0" applyProtection="0"/>
    <xf numFmtId="174" fontId="71" fillId="42" borderId="0" applyNumberFormat="0" applyBorder="0" applyAlignment="0" applyProtection="0"/>
    <xf numFmtId="0" fontId="71" fillId="61" borderId="0" applyNumberFormat="0" applyBorder="0" applyAlignment="0" applyProtection="0"/>
    <xf numFmtId="174" fontId="71" fillId="42" borderId="0" applyNumberFormat="0" applyBorder="0" applyAlignment="0" applyProtection="0"/>
    <xf numFmtId="0" fontId="71" fillId="61" borderId="0" applyNumberFormat="0" applyBorder="0" applyAlignment="0" applyProtection="0"/>
    <xf numFmtId="174" fontId="71" fillId="42" borderId="0" applyNumberFormat="0" applyBorder="0" applyAlignment="0" applyProtection="0"/>
    <xf numFmtId="0" fontId="1" fillId="62" borderId="0" applyNumberFormat="0" applyBorder="0" applyAlignment="0" applyProtection="0"/>
    <xf numFmtId="0" fontId="1" fillId="63" borderId="0" applyNumberFormat="0" applyBorder="0" applyAlignment="0" applyProtection="0"/>
    <xf numFmtId="0" fontId="71" fillId="47"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0" fontId="71" fillId="47"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0" fontId="71" fillId="47" borderId="0" applyNumberFormat="0" applyBorder="0" applyAlignment="0" applyProtection="0"/>
    <xf numFmtId="174" fontId="71" fillId="43" borderId="0" applyNumberFormat="0" applyBorder="0" applyAlignment="0" applyProtection="0"/>
    <xf numFmtId="0" fontId="71" fillId="47" borderId="0" applyNumberFormat="0" applyBorder="0" applyAlignment="0" applyProtection="0"/>
    <xf numFmtId="174" fontId="71" fillId="43" borderId="0" applyNumberFormat="0" applyBorder="0" applyAlignment="0" applyProtection="0"/>
    <xf numFmtId="0" fontId="71" fillId="47" borderId="0" applyNumberFormat="0" applyBorder="0" applyAlignment="0" applyProtection="0"/>
    <xf numFmtId="174" fontId="71" fillId="43" borderId="0" applyNumberFormat="0" applyBorder="0" applyAlignment="0" applyProtection="0"/>
    <xf numFmtId="174" fontId="71" fillId="43" borderId="0" applyNumberFormat="0" applyBorder="0" applyAlignment="0" applyProtection="0"/>
    <xf numFmtId="0" fontId="71" fillId="47" borderId="0" applyNumberFormat="0" applyBorder="0" applyAlignment="0" applyProtection="0"/>
    <xf numFmtId="174" fontId="71" fillId="43" borderId="0" applyNumberFormat="0" applyBorder="0" applyAlignment="0" applyProtection="0"/>
    <xf numFmtId="0" fontId="71" fillId="47" borderId="0" applyNumberFormat="0" applyBorder="0" applyAlignment="0" applyProtection="0"/>
    <xf numFmtId="174" fontId="71" fillId="43" borderId="0" applyNumberFormat="0" applyBorder="0" applyAlignment="0" applyProtection="0"/>
    <xf numFmtId="0" fontId="71" fillId="47" borderId="0" applyNumberFormat="0" applyBorder="0" applyAlignment="0" applyProtection="0"/>
    <xf numFmtId="174" fontId="71" fillId="43"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71" fillId="66" borderId="0" applyNumberFormat="0" applyBorder="0" applyAlignment="0" applyProtection="0"/>
    <xf numFmtId="174" fontId="71" fillId="67" borderId="0" applyNumberFormat="0" applyBorder="0" applyAlignment="0" applyProtection="0"/>
    <xf numFmtId="174" fontId="71" fillId="67" borderId="0" applyNumberFormat="0" applyBorder="0" applyAlignment="0" applyProtection="0"/>
    <xf numFmtId="174" fontId="71" fillId="67" borderId="0" applyNumberFormat="0" applyBorder="0" applyAlignment="0" applyProtection="0"/>
    <xf numFmtId="174" fontId="71" fillId="67" borderId="0" applyNumberFormat="0" applyBorder="0" applyAlignment="0" applyProtection="0"/>
    <xf numFmtId="174" fontId="71" fillId="67" borderId="0" applyNumberFormat="0" applyBorder="0" applyAlignment="0" applyProtection="0"/>
    <xf numFmtId="174" fontId="71" fillId="67" borderId="0" applyNumberFormat="0" applyBorder="0" applyAlignment="0" applyProtection="0"/>
    <xf numFmtId="174" fontId="71" fillId="67" borderId="0" applyNumberFormat="0" applyBorder="0" applyAlignment="0" applyProtection="0"/>
    <xf numFmtId="174" fontId="71" fillId="67" borderId="0" applyNumberFormat="0" applyBorder="0" applyAlignment="0" applyProtection="0"/>
    <xf numFmtId="174" fontId="71" fillId="67" borderId="0" applyNumberFormat="0" applyBorder="0" applyAlignment="0" applyProtection="0"/>
    <xf numFmtId="174" fontId="71" fillId="67" borderId="0" applyNumberFormat="0" applyBorder="0" applyAlignment="0" applyProtection="0"/>
    <xf numFmtId="174" fontId="71" fillId="67" borderId="0" applyNumberFormat="0" applyBorder="0" applyAlignment="0" applyProtection="0"/>
    <xf numFmtId="174" fontId="71" fillId="67" borderId="0" applyNumberFormat="0" applyBorder="0" applyAlignment="0" applyProtection="0"/>
    <xf numFmtId="174" fontId="71" fillId="67" borderId="0" applyNumberFormat="0" applyBorder="0" applyAlignment="0" applyProtection="0"/>
    <xf numFmtId="174" fontId="71" fillId="67" borderId="0" applyNumberFormat="0" applyBorder="0" applyAlignment="0" applyProtection="0"/>
    <xf numFmtId="174" fontId="71" fillId="67" borderId="0" applyNumberFormat="0" applyBorder="0" applyAlignment="0" applyProtection="0"/>
    <xf numFmtId="174" fontId="71" fillId="67" borderId="0" applyNumberFormat="0" applyBorder="0" applyAlignment="0" applyProtection="0"/>
    <xf numFmtId="174" fontId="71" fillId="67" borderId="0" applyNumberFormat="0" applyBorder="0" applyAlignment="0" applyProtection="0"/>
    <xf numFmtId="174" fontId="71" fillId="67" borderId="0" applyNumberFormat="0" applyBorder="0" applyAlignment="0" applyProtection="0"/>
    <xf numFmtId="174" fontId="71" fillId="67" borderId="0" applyNumberFormat="0" applyBorder="0" applyAlignment="0" applyProtection="0"/>
    <xf numFmtId="174" fontId="71" fillId="67" borderId="0" applyNumberFormat="0" applyBorder="0" applyAlignment="0" applyProtection="0"/>
    <xf numFmtId="174" fontId="71" fillId="67" borderId="0" applyNumberFormat="0" applyBorder="0" applyAlignment="0" applyProtection="0"/>
    <xf numFmtId="174" fontId="71" fillId="67" borderId="0" applyNumberFormat="0" applyBorder="0" applyAlignment="0" applyProtection="0"/>
    <xf numFmtId="0" fontId="71" fillId="68" borderId="0" applyNumberFormat="0" applyBorder="0" applyAlignment="0" applyProtection="0"/>
    <xf numFmtId="174" fontId="71" fillId="67" borderId="0" applyNumberFormat="0" applyBorder="0" applyAlignment="0" applyProtection="0"/>
    <xf numFmtId="174" fontId="71" fillId="67" borderId="0" applyNumberFormat="0" applyBorder="0" applyAlignment="0" applyProtection="0"/>
    <xf numFmtId="174" fontId="71" fillId="67" borderId="0" applyNumberFormat="0" applyBorder="0" applyAlignment="0" applyProtection="0"/>
    <xf numFmtId="174" fontId="71" fillId="67" borderId="0" applyNumberFormat="0" applyBorder="0" applyAlignment="0" applyProtection="0"/>
    <xf numFmtId="174" fontId="71" fillId="67" borderId="0" applyNumberFormat="0" applyBorder="0" applyAlignment="0" applyProtection="0"/>
    <xf numFmtId="174" fontId="71" fillId="67" borderId="0" applyNumberFormat="0" applyBorder="0" applyAlignment="0" applyProtection="0"/>
    <xf numFmtId="174" fontId="71" fillId="67" borderId="0" applyNumberFormat="0" applyBorder="0" applyAlignment="0" applyProtection="0"/>
    <xf numFmtId="174" fontId="71" fillId="67" borderId="0" applyNumberFormat="0" applyBorder="0" applyAlignment="0" applyProtection="0"/>
    <xf numFmtId="174" fontId="71" fillId="67" borderId="0" applyNumberFormat="0" applyBorder="0" applyAlignment="0" applyProtection="0"/>
    <xf numFmtId="174" fontId="71" fillId="67" borderId="0" applyNumberFormat="0" applyBorder="0" applyAlignment="0" applyProtection="0"/>
    <xf numFmtId="174" fontId="71" fillId="67" borderId="0" applyNumberFormat="0" applyBorder="0" applyAlignment="0" applyProtection="0"/>
    <xf numFmtId="174" fontId="71" fillId="67" borderId="0" applyNumberFormat="0" applyBorder="0" applyAlignment="0" applyProtection="0"/>
    <xf numFmtId="174" fontId="71" fillId="67" borderId="0" applyNumberFormat="0" applyBorder="0" applyAlignment="0" applyProtection="0"/>
    <xf numFmtId="174" fontId="71" fillId="67" borderId="0" applyNumberFormat="0" applyBorder="0" applyAlignment="0" applyProtection="0"/>
    <xf numFmtId="174" fontId="71" fillId="67" borderId="0" applyNumberFormat="0" applyBorder="0" applyAlignment="0" applyProtection="0"/>
    <xf numFmtId="174" fontId="71" fillId="67" borderId="0" applyNumberFormat="0" applyBorder="0" applyAlignment="0" applyProtection="0"/>
    <xf numFmtId="174" fontId="71" fillId="67" borderId="0" applyNumberFormat="0" applyBorder="0" applyAlignment="0" applyProtection="0"/>
    <xf numFmtId="174" fontId="71" fillId="67" borderId="0" applyNumberFormat="0" applyBorder="0" applyAlignment="0" applyProtection="0"/>
    <xf numFmtId="174" fontId="71" fillId="67" borderId="0" applyNumberFormat="0" applyBorder="0" applyAlignment="0" applyProtection="0"/>
    <xf numFmtId="174" fontId="71" fillId="67" borderId="0" applyNumberFormat="0" applyBorder="0" applyAlignment="0" applyProtection="0"/>
    <xf numFmtId="0" fontId="71" fillId="68" borderId="0" applyNumberFormat="0" applyBorder="0" applyAlignment="0" applyProtection="0"/>
    <xf numFmtId="174" fontId="71" fillId="67" borderId="0" applyNumberFormat="0" applyBorder="0" applyAlignment="0" applyProtection="0"/>
    <xf numFmtId="0" fontId="71" fillId="68" borderId="0" applyNumberFormat="0" applyBorder="0" applyAlignment="0" applyProtection="0"/>
    <xf numFmtId="174" fontId="71" fillId="67" borderId="0" applyNumberFormat="0" applyBorder="0" applyAlignment="0" applyProtection="0"/>
    <xf numFmtId="0" fontId="71" fillId="68" borderId="0" applyNumberFormat="0" applyBorder="0" applyAlignment="0" applyProtection="0"/>
    <xf numFmtId="174" fontId="71" fillId="67" borderId="0" applyNumberFormat="0" applyBorder="0" applyAlignment="0" applyProtection="0"/>
    <xf numFmtId="174" fontId="71" fillId="67" borderId="0" applyNumberFormat="0" applyBorder="0" applyAlignment="0" applyProtection="0"/>
    <xf numFmtId="0" fontId="71" fillId="68" borderId="0" applyNumberFormat="0" applyBorder="0" applyAlignment="0" applyProtection="0"/>
    <xf numFmtId="174" fontId="71" fillId="67" borderId="0" applyNumberFormat="0" applyBorder="0" applyAlignment="0" applyProtection="0"/>
    <xf numFmtId="0" fontId="71" fillId="68" borderId="0" applyNumberFormat="0" applyBorder="0" applyAlignment="0" applyProtection="0"/>
    <xf numFmtId="174" fontId="71" fillId="67" borderId="0" applyNumberFormat="0" applyBorder="0" applyAlignment="0" applyProtection="0"/>
    <xf numFmtId="0" fontId="71" fillId="68" borderId="0" applyNumberFormat="0" applyBorder="0" applyAlignment="0" applyProtection="0"/>
    <xf numFmtId="174" fontId="71" fillId="67" borderId="0" applyNumberFormat="0" applyBorder="0" applyAlignment="0" applyProtection="0"/>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72" fillId="0" borderId="55" applyBorder="0"/>
    <xf numFmtId="174" fontId="72" fillId="0" borderId="55" applyBorder="0"/>
    <xf numFmtId="174" fontId="72" fillId="0" borderId="55" applyBorder="0"/>
    <xf numFmtId="174" fontId="72" fillId="0" borderId="55" applyBorder="0"/>
    <xf numFmtId="174" fontId="72" fillId="0" borderId="55" applyBorder="0"/>
    <xf numFmtId="174" fontId="72" fillId="0" borderId="55" applyBorder="0"/>
    <xf numFmtId="174" fontId="72" fillId="0" borderId="55" applyBorder="0"/>
    <xf numFmtId="174" fontId="72" fillId="0" borderId="55" applyBorder="0"/>
    <xf numFmtId="174" fontId="72" fillId="0" borderId="55" applyBorder="0"/>
    <xf numFmtId="174" fontId="72" fillId="0" borderId="55" applyBorder="0"/>
    <xf numFmtId="174" fontId="72" fillId="0" borderId="55" applyBorder="0"/>
    <xf numFmtId="174" fontId="72" fillId="0" borderId="55" applyBorder="0"/>
    <xf numFmtId="174" fontId="72" fillId="0" borderId="55" applyBorder="0"/>
    <xf numFmtId="174" fontId="72" fillId="0" borderId="55" applyBorder="0"/>
    <xf numFmtId="174" fontId="72" fillId="0" borderId="55" applyBorder="0"/>
    <xf numFmtId="174" fontId="72" fillId="0" borderId="55" applyBorder="0"/>
    <xf numFmtId="174" fontId="72" fillId="0" borderId="55" applyBorder="0"/>
    <xf numFmtId="174" fontId="72" fillId="0" borderId="55" applyBorder="0"/>
    <xf numFmtId="174" fontId="72" fillId="0" borderId="55" applyBorder="0"/>
    <xf numFmtId="174" fontId="72" fillId="0" borderId="55" applyBorder="0"/>
    <xf numFmtId="174" fontId="72" fillId="0" borderId="55" applyBorder="0"/>
    <xf numFmtId="174" fontId="72" fillId="0" borderId="55" applyBorder="0"/>
    <xf numFmtId="174" fontId="72" fillId="0" borderId="55" applyBorder="0"/>
    <xf numFmtId="174" fontId="72" fillId="0" borderId="55" applyBorder="0"/>
    <xf numFmtId="174" fontId="72" fillId="0" borderId="55" applyBorder="0"/>
    <xf numFmtId="174" fontId="72" fillId="0" borderId="55" applyBorder="0"/>
    <xf numFmtId="174" fontId="72" fillId="0" borderId="55" applyBorder="0"/>
    <xf numFmtId="174" fontId="72" fillId="0" borderId="55" applyBorder="0"/>
    <xf numFmtId="174" fontId="72" fillId="0" borderId="55" applyBorder="0"/>
    <xf numFmtId="174" fontId="72" fillId="0" borderId="55" applyBorder="0"/>
    <xf numFmtId="174" fontId="72" fillId="0" borderId="55" applyBorder="0"/>
    <xf numFmtId="174" fontId="72" fillId="0" borderId="55" applyBorder="0"/>
    <xf numFmtId="174" fontId="72" fillId="0" borderId="55" applyBorder="0"/>
    <xf numFmtId="174" fontId="72" fillId="0" borderId="55" applyBorder="0"/>
    <xf numFmtId="174" fontId="72" fillId="0" borderId="55" applyBorder="0"/>
    <xf numFmtId="174" fontId="72" fillId="0" borderId="55" applyBorder="0"/>
    <xf numFmtId="174" fontId="72" fillId="0" borderId="47" applyBorder="0"/>
    <xf numFmtId="174" fontId="72" fillId="0" borderId="47" applyBorder="0"/>
    <xf numFmtId="174" fontId="72" fillId="0" borderId="47" applyBorder="0"/>
    <xf numFmtId="174" fontId="72" fillId="0" borderId="47" applyBorder="0"/>
    <xf numFmtId="174" fontId="72" fillId="0" borderId="47" applyBorder="0"/>
    <xf numFmtId="174" fontId="72" fillId="0" borderId="47" applyBorder="0"/>
    <xf numFmtId="174" fontId="72" fillId="0" borderId="47" applyBorder="0"/>
    <xf numFmtId="174" fontId="72" fillId="0" borderId="47" applyBorder="0"/>
    <xf numFmtId="174" fontId="72" fillId="0" borderId="47" applyBorder="0"/>
    <xf numFmtId="174" fontId="72" fillId="0" borderId="47" applyBorder="0"/>
    <xf numFmtId="174" fontId="72" fillId="0" borderId="47" applyBorder="0"/>
    <xf numFmtId="174" fontId="72" fillId="0" borderId="47" applyBorder="0"/>
    <xf numFmtId="174" fontId="72" fillId="0" borderId="47" applyBorder="0"/>
    <xf numFmtId="174" fontId="72" fillId="0" borderId="47" applyBorder="0"/>
    <xf numFmtId="174" fontId="72" fillId="0" borderId="47" applyBorder="0"/>
    <xf numFmtId="174" fontId="72" fillId="0" borderId="47" applyBorder="0"/>
    <xf numFmtId="174" fontId="72" fillId="0" borderId="47" applyBorder="0"/>
    <xf numFmtId="174" fontId="72" fillId="0" borderId="47" applyBorder="0"/>
    <xf numFmtId="174" fontId="72" fillId="0" borderId="47" applyBorder="0"/>
    <xf numFmtId="174" fontId="72" fillId="0" borderId="47" applyBorder="0"/>
    <xf numFmtId="174" fontId="72" fillId="0" borderId="47" applyBorder="0"/>
    <xf numFmtId="174" fontId="72" fillId="0" borderId="47" applyBorder="0"/>
    <xf numFmtId="174" fontId="72" fillId="0" borderId="47" applyBorder="0"/>
    <xf numFmtId="174" fontId="72" fillId="0" borderId="47" applyBorder="0"/>
    <xf numFmtId="174" fontId="72" fillId="0" borderId="47" applyBorder="0"/>
    <xf numFmtId="174" fontId="72" fillId="0" borderId="47" applyBorder="0"/>
    <xf numFmtId="174" fontId="72" fillId="0" borderId="47" applyBorder="0"/>
    <xf numFmtId="174" fontId="72" fillId="0" borderId="47" applyBorder="0"/>
    <xf numFmtId="174" fontId="72" fillId="0" borderId="47" applyBorder="0"/>
    <xf numFmtId="174" fontId="72" fillId="0" borderId="47" applyBorder="0"/>
    <xf numFmtId="174" fontId="72" fillId="0" borderId="47" applyBorder="0"/>
    <xf numFmtId="174" fontId="72" fillId="0" borderId="47" applyBorder="0"/>
    <xf numFmtId="174" fontId="72" fillId="0" borderId="47" applyBorder="0"/>
    <xf numFmtId="174" fontId="72" fillId="0" borderId="47" applyBorder="0"/>
    <xf numFmtId="174" fontId="72" fillId="0" borderId="47" applyBorder="0"/>
    <xf numFmtId="174" fontId="72" fillId="0" borderId="47" applyBorder="0"/>
    <xf numFmtId="174" fontId="12" fillId="69" borderId="51">
      <alignment horizontal="left"/>
    </xf>
    <xf numFmtId="174" fontId="12" fillId="69" borderId="51">
      <alignment horizontal="left"/>
    </xf>
    <xf numFmtId="174" fontId="12" fillId="69" borderId="51">
      <alignment horizontal="left"/>
    </xf>
    <xf numFmtId="174" fontId="12" fillId="69" borderId="51">
      <alignment horizontal="left"/>
    </xf>
    <xf numFmtId="174" fontId="12" fillId="69" borderId="51">
      <alignment horizontal="left"/>
    </xf>
    <xf numFmtId="174" fontId="12" fillId="69" borderId="51">
      <alignment horizontal="left"/>
    </xf>
    <xf numFmtId="174" fontId="12" fillId="69" borderId="51">
      <alignment horizontal="left"/>
    </xf>
    <xf numFmtId="174" fontId="12" fillId="69" borderId="51">
      <alignment horizontal="left"/>
    </xf>
    <xf numFmtId="174" fontId="12" fillId="69" borderId="51">
      <alignment horizontal="left"/>
    </xf>
    <xf numFmtId="174" fontId="12" fillId="69" borderId="51">
      <alignment horizontal="left"/>
    </xf>
    <xf numFmtId="174" fontId="12" fillId="69" borderId="51">
      <alignment horizontal="left"/>
    </xf>
    <xf numFmtId="174" fontId="12" fillId="69" borderId="51">
      <alignment horizontal="left"/>
    </xf>
    <xf numFmtId="174" fontId="12" fillId="69" borderId="51">
      <alignment horizontal="left"/>
    </xf>
    <xf numFmtId="174" fontId="12" fillId="69" borderId="51">
      <alignment horizontal="left"/>
    </xf>
    <xf numFmtId="174" fontId="12" fillId="69" borderId="51">
      <alignment horizontal="left"/>
    </xf>
    <xf numFmtId="174" fontId="12" fillId="69" borderId="51">
      <alignment horizontal="left"/>
    </xf>
    <xf numFmtId="174" fontId="12" fillId="69" borderId="51">
      <alignment horizontal="left"/>
    </xf>
    <xf numFmtId="174" fontId="12" fillId="69" borderId="51">
      <alignment horizontal="left"/>
    </xf>
    <xf numFmtId="174" fontId="12" fillId="69" borderId="51">
      <alignment horizontal="left"/>
    </xf>
    <xf numFmtId="174" fontId="12" fillId="69" borderId="51">
      <alignment horizontal="left"/>
    </xf>
    <xf numFmtId="174" fontId="12" fillId="69" borderId="51">
      <alignment horizontal="left"/>
    </xf>
    <xf numFmtId="174" fontId="12" fillId="69" borderId="51">
      <alignment horizontal="left"/>
    </xf>
    <xf numFmtId="174" fontId="12" fillId="69" borderId="51">
      <alignment horizontal="left"/>
    </xf>
    <xf numFmtId="174" fontId="12" fillId="69" borderId="51">
      <alignment horizontal="left"/>
    </xf>
    <xf numFmtId="174" fontId="12" fillId="69" borderId="51">
      <alignment horizontal="left"/>
    </xf>
    <xf numFmtId="174" fontId="12" fillId="69" borderId="51">
      <alignment horizontal="left"/>
    </xf>
    <xf numFmtId="174" fontId="12" fillId="69" borderId="51">
      <alignment horizontal="left"/>
    </xf>
    <xf numFmtId="174" fontId="12" fillId="69" borderId="51">
      <alignment horizontal="left"/>
    </xf>
    <xf numFmtId="174" fontId="12" fillId="69" borderId="51">
      <alignment horizontal="left"/>
    </xf>
    <xf numFmtId="174" fontId="12" fillId="69" borderId="51">
      <alignment horizontal="left"/>
    </xf>
    <xf numFmtId="174" fontId="12" fillId="69" borderId="51">
      <alignment horizontal="left"/>
    </xf>
    <xf numFmtId="174" fontId="12" fillId="69" borderId="51">
      <alignment horizontal="left"/>
    </xf>
    <xf numFmtId="174" fontId="12" fillId="69" borderId="51">
      <alignment horizontal="left"/>
    </xf>
    <xf numFmtId="174" fontId="12" fillId="69" borderId="51">
      <alignment horizontal="left"/>
    </xf>
    <xf numFmtId="174" fontId="12" fillId="69" borderId="51">
      <alignment horizontal="left"/>
    </xf>
    <xf numFmtId="174" fontId="12" fillId="69" borderId="51">
      <alignment horizontal="left"/>
    </xf>
    <xf numFmtId="174" fontId="12" fillId="69" borderId="51">
      <alignment horizontal="left"/>
    </xf>
    <xf numFmtId="174" fontId="12" fillId="69" borderId="51">
      <alignment horizontal="left"/>
    </xf>
    <xf numFmtId="174" fontId="12" fillId="69" borderId="51">
      <alignment horizontal="left"/>
    </xf>
    <xf numFmtId="174" fontId="12" fillId="69" borderId="51">
      <alignment horizontal="left"/>
    </xf>
    <xf numFmtId="174" fontId="12" fillId="69" borderId="51">
      <alignment horizontal="left"/>
    </xf>
    <xf numFmtId="174" fontId="12" fillId="69" borderId="51">
      <alignment horizontal="left"/>
    </xf>
    <xf numFmtId="174" fontId="12" fillId="69" borderId="51">
      <alignment horizontal="left"/>
    </xf>
    <xf numFmtId="174" fontId="12" fillId="69" borderId="51">
      <alignment horizontal="left"/>
    </xf>
    <xf numFmtId="174" fontId="12" fillId="69" borderId="51">
      <alignment horizontal="left"/>
    </xf>
    <xf numFmtId="174" fontId="12" fillId="69" borderId="51">
      <alignment horizontal="left"/>
    </xf>
    <xf numFmtId="174" fontId="12" fillId="69" borderId="51">
      <alignment horizontal="left"/>
    </xf>
    <xf numFmtId="174" fontId="12" fillId="69" borderId="51">
      <alignment horizontal="left"/>
    </xf>
    <xf numFmtId="174" fontId="12" fillId="69" borderId="51">
      <alignment horizontal="left"/>
    </xf>
    <xf numFmtId="174" fontId="12" fillId="69" borderId="51">
      <alignment horizontal="left"/>
    </xf>
    <xf numFmtId="174" fontId="12" fillId="69" borderId="51">
      <alignment horizontal="left"/>
    </xf>
    <xf numFmtId="174" fontId="12" fillId="69" borderId="51">
      <alignment horizontal="left"/>
    </xf>
    <xf numFmtId="174" fontId="12" fillId="69" borderId="51">
      <alignment horizontal="left"/>
    </xf>
    <xf numFmtId="174" fontId="12" fillId="69" borderId="51">
      <alignment horizontal="left"/>
    </xf>
    <xf numFmtId="174" fontId="12" fillId="69" borderId="51">
      <alignment horizontal="left"/>
    </xf>
    <xf numFmtId="174" fontId="12" fillId="69" borderId="51">
      <alignment horizontal="left"/>
    </xf>
    <xf numFmtId="174" fontId="12" fillId="69" borderId="51">
      <alignment horizontal="left"/>
    </xf>
    <xf numFmtId="174" fontId="12" fillId="69" borderId="51">
      <alignment horizontal="left"/>
    </xf>
    <xf numFmtId="174" fontId="12" fillId="69" borderId="51">
      <alignment horizontal="left"/>
    </xf>
    <xf numFmtId="174" fontId="12" fillId="69" borderId="51">
      <alignment horizontal="left"/>
    </xf>
    <xf numFmtId="174" fontId="12" fillId="69" borderId="51">
      <alignment horizontal="left"/>
    </xf>
    <xf numFmtId="174" fontId="12" fillId="69" borderId="51">
      <alignment horizontal="left"/>
    </xf>
    <xf numFmtId="174" fontId="12" fillId="69" borderId="51">
      <alignment horizontal="left"/>
    </xf>
    <xf numFmtId="174" fontId="12" fillId="69" borderId="51">
      <alignment horizontal="left"/>
    </xf>
    <xf numFmtId="174" fontId="12" fillId="69" borderId="51">
      <alignment horizontal="left"/>
    </xf>
    <xf numFmtId="174" fontId="12" fillId="69" borderId="51">
      <alignment horizontal="left"/>
    </xf>
    <xf numFmtId="174" fontId="12" fillId="69" borderId="51">
      <alignment horizontal="left"/>
    </xf>
    <xf numFmtId="174" fontId="12" fillId="69" borderId="51">
      <alignment horizontal="left"/>
    </xf>
    <xf numFmtId="174" fontId="12" fillId="69" borderId="51">
      <alignment horizontal="left"/>
    </xf>
    <xf numFmtId="174" fontId="12" fillId="69" borderId="51">
      <alignment horizontal="left"/>
    </xf>
    <xf numFmtId="174" fontId="12" fillId="69" borderId="51">
      <alignment horizontal="left"/>
    </xf>
    <xf numFmtId="174" fontId="12" fillId="69" borderId="51">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15">
      <alignment horizontal="lef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19">
      <alignment horizontal="righ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9" fillId="69" borderId="51">
      <alignment horizontal="left"/>
    </xf>
    <xf numFmtId="174" fontId="73" fillId="32" borderId="0" applyNumberFormat="0" applyBorder="0" applyAlignment="0" applyProtection="0"/>
    <xf numFmtId="174" fontId="73" fillId="32" borderId="0" applyNumberFormat="0" applyBorder="0" applyAlignment="0" applyProtection="0"/>
    <xf numFmtId="174" fontId="73" fillId="32" borderId="0" applyNumberFormat="0" applyBorder="0" applyAlignment="0" applyProtection="0"/>
    <xf numFmtId="174" fontId="73" fillId="32" borderId="0" applyNumberFormat="0" applyBorder="0" applyAlignment="0" applyProtection="0"/>
    <xf numFmtId="174" fontId="73" fillId="32" borderId="0" applyNumberFormat="0" applyBorder="0" applyAlignment="0" applyProtection="0"/>
    <xf numFmtId="174" fontId="73" fillId="32" borderId="0" applyNumberFormat="0" applyBorder="0" applyAlignment="0" applyProtection="0"/>
    <xf numFmtId="174" fontId="73" fillId="32" borderId="0" applyNumberFormat="0" applyBorder="0" applyAlignment="0" applyProtection="0"/>
    <xf numFmtId="174" fontId="73" fillId="32" borderId="0" applyNumberFormat="0" applyBorder="0" applyAlignment="0" applyProtection="0"/>
    <xf numFmtId="174" fontId="73" fillId="32" borderId="0" applyNumberFormat="0" applyBorder="0" applyAlignment="0" applyProtection="0"/>
    <xf numFmtId="174" fontId="73" fillId="32" borderId="0" applyNumberFormat="0" applyBorder="0" applyAlignment="0" applyProtection="0"/>
    <xf numFmtId="174" fontId="73" fillId="32" borderId="0" applyNumberFormat="0" applyBorder="0" applyAlignment="0" applyProtection="0"/>
    <xf numFmtId="174" fontId="73" fillId="32" borderId="0" applyNumberFormat="0" applyBorder="0" applyAlignment="0" applyProtection="0"/>
    <xf numFmtId="174" fontId="73" fillId="32" borderId="0" applyNumberFormat="0" applyBorder="0" applyAlignment="0" applyProtection="0"/>
    <xf numFmtId="174" fontId="73" fillId="32" borderId="0" applyNumberFormat="0" applyBorder="0" applyAlignment="0" applyProtection="0"/>
    <xf numFmtId="174" fontId="73" fillId="32" borderId="0" applyNumberFormat="0" applyBorder="0" applyAlignment="0" applyProtection="0"/>
    <xf numFmtId="174" fontId="73" fillId="32" borderId="0" applyNumberFormat="0" applyBorder="0" applyAlignment="0" applyProtection="0"/>
    <xf numFmtId="174" fontId="73" fillId="32" borderId="0" applyNumberFormat="0" applyBorder="0" applyAlignment="0" applyProtection="0"/>
    <xf numFmtId="174" fontId="73" fillId="32" borderId="0" applyNumberFormat="0" applyBorder="0" applyAlignment="0" applyProtection="0"/>
    <xf numFmtId="174" fontId="73" fillId="32" borderId="0" applyNumberFormat="0" applyBorder="0" applyAlignment="0" applyProtection="0"/>
    <xf numFmtId="174" fontId="73" fillId="32" borderId="0" applyNumberFormat="0" applyBorder="0" applyAlignment="0" applyProtection="0"/>
    <xf numFmtId="174" fontId="73" fillId="32" borderId="0" applyNumberFormat="0" applyBorder="0" applyAlignment="0" applyProtection="0"/>
    <xf numFmtId="174" fontId="73" fillId="32" borderId="0" applyNumberFormat="0" applyBorder="0" applyAlignment="0" applyProtection="0"/>
    <xf numFmtId="0" fontId="74" fillId="64" borderId="0" applyNumberFormat="0" applyBorder="0" applyAlignment="0" applyProtection="0"/>
    <xf numFmtId="174" fontId="73" fillId="32" borderId="0" applyNumberFormat="0" applyBorder="0" applyAlignment="0" applyProtection="0"/>
    <xf numFmtId="174" fontId="73" fillId="32" borderId="0" applyNumberFormat="0" applyBorder="0" applyAlignment="0" applyProtection="0"/>
    <xf numFmtId="174" fontId="73" fillId="32" borderId="0" applyNumberFormat="0" applyBorder="0" applyAlignment="0" applyProtection="0"/>
    <xf numFmtId="174" fontId="73" fillId="32" borderId="0" applyNumberFormat="0" applyBorder="0" applyAlignment="0" applyProtection="0"/>
    <xf numFmtId="174" fontId="73" fillId="32" borderId="0" applyNumberFormat="0" applyBorder="0" applyAlignment="0" applyProtection="0"/>
    <xf numFmtId="174" fontId="73" fillId="32" borderId="0" applyNumberFormat="0" applyBorder="0" applyAlignment="0" applyProtection="0"/>
    <xf numFmtId="174" fontId="73" fillId="32" borderId="0" applyNumberFormat="0" applyBorder="0" applyAlignment="0" applyProtection="0"/>
    <xf numFmtId="174" fontId="73" fillId="32" borderId="0" applyNumberFormat="0" applyBorder="0" applyAlignment="0" applyProtection="0"/>
    <xf numFmtId="174" fontId="73" fillId="32" borderId="0" applyNumberFormat="0" applyBorder="0" applyAlignment="0" applyProtection="0"/>
    <xf numFmtId="174" fontId="73" fillId="32" borderId="0" applyNumberFormat="0" applyBorder="0" applyAlignment="0" applyProtection="0"/>
    <xf numFmtId="174" fontId="73" fillId="32" borderId="0" applyNumberFormat="0" applyBorder="0" applyAlignment="0" applyProtection="0"/>
    <xf numFmtId="174" fontId="73" fillId="32" borderId="0" applyNumberFormat="0" applyBorder="0" applyAlignment="0" applyProtection="0"/>
    <xf numFmtId="174" fontId="73" fillId="32" borderId="0" applyNumberFormat="0" applyBorder="0" applyAlignment="0" applyProtection="0"/>
    <xf numFmtId="174" fontId="73" fillId="32" borderId="0" applyNumberFormat="0" applyBorder="0" applyAlignment="0" applyProtection="0"/>
    <xf numFmtId="174" fontId="73" fillId="32" borderId="0" applyNumberFormat="0" applyBorder="0" applyAlignment="0" applyProtection="0"/>
    <xf numFmtId="174" fontId="73" fillId="32" borderId="0" applyNumberFormat="0" applyBorder="0" applyAlignment="0" applyProtection="0"/>
    <xf numFmtId="174" fontId="73" fillId="32" borderId="0" applyNumberFormat="0" applyBorder="0" applyAlignment="0" applyProtection="0"/>
    <xf numFmtId="174" fontId="73" fillId="32" borderId="0" applyNumberFormat="0" applyBorder="0" applyAlignment="0" applyProtection="0"/>
    <xf numFmtId="174" fontId="73" fillId="32" borderId="0" applyNumberFormat="0" applyBorder="0" applyAlignment="0" applyProtection="0"/>
    <xf numFmtId="174" fontId="73" fillId="32" borderId="0" applyNumberFormat="0" applyBorder="0" applyAlignment="0" applyProtection="0"/>
    <xf numFmtId="174" fontId="73" fillId="32" borderId="0" applyNumberFormat="0" applyBorder="0" applyAlignment="0" applyProtection="0"/>
    <xf numFmtId="174" fontId="73" fillId="32" borderId="0" applyNumberFormat="0" applyBorder="0" applyAlignment="0" applyProtection="0"/>
    <xf numFmtId="174" fontId="73" fillId="32" borderId="0" applyNumberFormat="0" applyBorder="0" applyAlignment="0" applyProtection="0"/>
    <xf numFmtId="174" fontId="73" fillId="32" borderId="0" applyNumberFormat="0" applyBorder="0" applyAlignment="0" applyProtection="0"/>
    <xf numFmtId="174" fontId="73" fillId="32" borderId="0" applyNumberFormat="0" applyBorder="0" applyAlignment="0" applyProtection="0"/>
    <xf numFmtId="174" fontId="73" fillId="32" borderId="0" applyNumberFormat="0" applyBorder="0" applyAlignment="0" applyProtection="0"/>
    <xf numFmtId="174" fontId="73" fillId="32" borderId="0" applyNumberFormat="0" applyBorder="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0" fontId="76" fillId="71" borderId="57"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0" fontId="76" fillId="71" borderId="57"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7" fillId="72" borderId="58" applyNumberFormat="0" applyAlignment="0" applyProtection="0"/>
    <xf numFmtId="174" fontId="77" fillId="72" borderId="58" applyNumberFormat="0" applyAlignment="0" applyProtection="0"/>
    <xf numFmtId="174" fontId="77" fillId="72" borderId="58" applyNumberFormat="0" applyAlignment="0" applyProtection="0"/>
    <xf numFmtId="174" fontId="77" fillId="72" borderId="58" applyNumberFormat="0" applyAlignment="0" applyProtection="0"/>
    <xf numFmtId="174" fontId="77" fillId="72" borderId="58" applyNumberFormat="0" applyAlignment="0" applyProtection="0"/>
    <xf numFmtId="174" fontId="77" fillId="72" borderId="58" applyNumberFormat="0" applyAlignment="0" applyProtection="0"/>
    <xf numFmtId="174" fontId="77" fillId="72" borderId="58" applyNumberFormat="0" applyAlignment="0" applyProtection="0"/>
    <xf numFmtId="174" fontId="77" fillId="72" borderId="58" applyNumberFormat="0" applyAlignment="0" applyProtection="0"/>
    <xf numFmtId="174" fontId="77" fillId="72" borderId="58" applyNumberFormat="0" applyAlignment="0" applyProtection="0"/>
    <xf numFmtId="174" fontId="77" fillId="72" borderId="58" applyNumberFormat="0" applyAlignment="0" applyProtection="0"/>
    <xf numFmtId="174" fontId="77" fillId="72" borderId="58" applyNumberFormat="0" applyAlignment="0" applyProtection="0"/>
    <xf numFmtId="174" fontId="77" fillId="72" borderId="58" applyNumberFormat="0" applyAlignment="0" applyProtection="0"/>
    <xf numFmtId="174" fontId="77" fillId="72" borderId="58" applyNumberFormat="0" applyAlignment="0" applyProtection="0"/>
    <xf numFmtId="174" fontId="77" fillId="72" borderId="58" applyNumberFormat="0" applyAlignment="0" applyProtection="0"/>
    <xf numFmtId="174" fontId="77" fillId="72" borderId="58" applyNumberFormat="0" applyAlignment="0" applyProtection="0"/>
    <xf numFmtId="174" fontId="77" fillId="72" borderId="58" applyNumberFormat="0" applyAlignment="0" applyProtection="0"/>
    <xf numFmtId="174" fontId="77" fillId="72" borderId="58" applyNumberFormat="0" applyAlignment="0" applyProtection="0"/>
    <xf numFmtId="174" fontId="77" fillId="72" borderId="58" applyNumberFormat="0" applyAlignment="0" applyProtection="0"/>
    <xf numFmtId="174" fontId="77" fillId="72" borderId="58" applyNumberFormat="0" applyAlignment="0" applyProtection="0"/>
    <xf numFmtId="174" fontId="77" fillId="72" borderId="58" applyNumberFormat="0" applyAlignment="0" applyProtection="0"/>
    <xf numFmtId="174" fontId="77" fillId="72" borderId="58" applyNumberFormat="0" applyAlignment="0" applyProtection="0"/>
    <xf numFmtId="174" fontId="77" fillId="72" borderId="58" applyNumberFormat="0" applyAlignment="0" applyProtection="0"/>
    <xf numFmtId="0" fontId="77" fillId="61" borderId="58" applyNumberFormat="0" applyAlignment="0" applyProtection="0"/>
    <xf numFmtId="174" fontId="77" fillId="72" borderId="58" applyNumberFormat="0" applyAlignment="0" applyProtection="0"/>
    <xf numFmtId="174" fontId="77" fillId="72" borderId="58" applyNumberFormat="0" applyAlignment="0" applyProtection="0"/>
    <xf numFmtId="174" fontId="77" fillId="72" borderId="58" applyNumberFormat="0" applyAlignment="0" applyProtection="0"/>
    <xf numFmtId="174" fontId="77" fillId="72" borderId="58" applyNumberFormat="0" applyAlignment="0" applyProtection="0"/>
    <xf numFmtId="174" fontId="77" fillId="72" borderId="58" applyNumberFormat="0" applyAlignment="0" applyProtection="0"/>
    <xf numFmtId="174" fontId="77" fillId="72" borderId="58" applyNumberFormat="0" applyAlignment="0" applyProtection="0"/>
    <xf numFmtId="174" fontId="77" fillId="72" borderId="58" applyNumberFormat="0" applyAlignment="0" applyProtection="0"/>
    <xf numFmtId="174" fontId="77" fillId="72" borderId="58" applyNumberFormat="0" applyAlignment="0" applyProtection="0"/>
    <xf numFmtId="174" fontId="77" fillId="72" borderId="58" applyNumberFormat="0" applyAlignment="0" applyProtection="0"/>
    <xf numFmtId="174" fontId="77" fillId="72" borderId="58" applyNumberFormat="0" applyAlignment="0" applyProtection="0"/>
    <xf numFmtId="174" fontId="77" fillId="72" borderId="58" applyNumberFormat="0" applyAlignment="0" applyProtection="0"/>
    <xf numFmtId="174" fontId="77" fillId="72" borderId="58" applyNumberFormat="0" applyAlignment="0" applyProtection="0"/>
    <xf numFmtId="174" fontId="77" fillId="72" borderId="58" applyNumberFormat="0" applyAlignment="0" applyProtection="0"/>
    <xf numFmtId="174" fontId="77" fillId="72" borderId="58" applyNumberFormat="0" applyAlignment="0" applyProtection="0"/>
    <xf numFmtId="174" fontId="77" fillId="72" borderId="58" applyNumberFormat="0" applyAlignment="0" applyProtection="0"/>
    <xf numFmtId="174" fontId="77" fillId="72" borderId="58" applyNumberFormat="0" applyAlignment="0" applyProtection="0"/>
    <xf numFmtId="174" fontId="77" fillId="72" borderId="58" applyNumberFormat="0" applyAlignment="0" applyProtection="0"/>
    <xf numFmtId="174" fontId="77" fillId="72" borderId="58" applyNumberFormat="0" applyAlignment="0" applyProtection="0"/>
    <xf numFmtId="174" fontId="77" fillId="72" borderId="58" applyNumberFormat="0" applyAlignment="0" applyProtection="0"/>
    <xf numFmtId="174" fontId="77" fillId="72" borderId="58" applyNumberFormat="0" applyAlignment="0" applyProtection="0"/>
    <xf numFmtId="174" fontId="77" fillId="72" borderId="58" applyNumberFormat="0" applyAlignment="0" applyProtection="0"/>
    <xf numFmtId="174" fontId="77" fillId="72" borderId="58" applyNumberFormat="0" applyAlignment="0" applyProtection="0"/>
    <xf numFmtId="174" fontId="77" fillId="72" borderId="58" applyNumberFormat="0" applyAlignment="0" applyProtection="0"/>
    <xf numFmtId="174" fontId="77" fillId="72" borderId="58" applyNumberFormat="0" applyAlignment="0" applyProtection="0"/>
    <xf numFmtId="174" fontId="77" fillId="72" borderId="58" applyNumberFormat="0" applyAlignment="0" applyProtection="0"/>
    <xf numFmtId="174" fontId="77" fillId="72" borderId="58" applyNumberFormat="0" applyAlignment="0" applyProtection="0"/>
    <xf numFmtId="174" fontId="77" fillId="72" borderId="58" applyNumberFormat="0" applyAlignment="0" applyProtection="0"/>
    <xf numFmtId="41"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164" fontId="78" fillId="0" borderId="0" applyFont="0" applyFill="0" applyBorder="0" applyAlignment="0" applyProtection="0">
      <alignment vertical="top"/>
    </xf>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4" fontId="22"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2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4" fontId="80"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176"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6" fontId="9" fillId="0" borderId="0" applyFont="0" applyFill="0" applyBorder="0" applyAlignment="0" applyProtection="0"/>
    <xf numFmtId="177" fontId="9"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165" fontId="1" fillId="0" borderId="0"/>
    <xf numFmtId="171" fontId="1" fillId="0" borderId="0"/>
    <xf numFmtId="43" fontId="9" fillId="0" borderId="0" applyFont="0" applyFill="0" applyBorder="0" applyAlignment="0" applyProtection="0"/>
    <xf numFmtId="43" fontId="9" fillId="0" borderId="0" applyFill="0" applyBorder="0" applyAlignment="0" applyProtection="0"/>
    <xf numFmtId="171" fontId="1" fillId="0" borderId="0"/>
    <xf numFmtId="164"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8"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ill="0" applyBorder="0" applyAlignment="0" applyProtection="0"/>
    <xf numFmtId="43" fontId="9" fillId="0" borderId="0" applyFill="0" applyBorder="0" applyAlignment="0" applyProtection="0"/>
    <xf numFmtId="43" fontId="9" fillId="0" borderId="0" applyFill="0" applyBorder="0" applyAlignment="0" applyProtection="0"/>
    <xf numFmtId="43" fontId="9" fillId="0" borderId="0" applyFill="0" applyBorder="0" applyAlignment="0" applyProtection="0"/>
    <xf numFmtId="43" fontId="9" fillId="0" borderId="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 fillId="0" borderId="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7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9" fillId="0" borderId="0" applyFont="0" applyFill="0" applyBorder="0" applyAlignment="0" applyProtection="0"/>
    <xf numFmtId="164" fontId="8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4" fontId="7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43" fontId="9" fillId="0" borderId="0" applyFont="0" applyFill="0" applyBorder="0" applyAlignment="0" applyProtection="0"/>
    <xf numFmtId="43" fontId="2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22"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22" fillId="0" borderId="0" applyFont="0" applyFill="0" applyBorder="0" applyAlignment="0" applyProtection="0"/>
    <xf numFmtId="164" fontId="1"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9"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164" fontId="22" fillId="0" borderId="0" applyFont="0" applyFill="0" applyBorder="0" applyAlignment="0" applyProtection="0"/>
    <xf numFmtId="178"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164"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2" fillId="0" borderId="0" applyFont="0" applyFill="0" applyBorder="0" applyAlignment="0" applyProtection="0"/>
    <xf numFmtId="43" fontId="1" fillId="0" borderId="0" applyFont="0" applyFill="0" applyBorder="0" applyAlignment="0" applyProtection="0"/>
    <xf numFmtId="43" fontId="8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2"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78" fillId="0" borderId="0" applyFont="0" applyFill="0" applyBorder="0" applyAlignment="0" applyProtection="0">
      <alignment vertical="top"/>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164"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79" fillId="0" borderId="0" applyFont="0" applyFill="0" applyBorder="0" applyAlignment="0" applyProtection="0"/>
    <xf numFmtId="43" fontId="9" fillId="0" borderId="0" applyFont="0" applyFill="0" applyBorder="0" applyAlignment="0" applyProtection="0"/>
    <xf numFmtId="17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4" fontId="7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2" fillId="0" borderId="0" applyFont="0" applyFill="0" applyBorder="0" applyAlignment="0" applyProtection="0"/>
    <xf numFmtId="43" fontId="7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4" fontId="2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9"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180" fontId="9" fillId="0" borderId="0" applyFont="0" applyFill="0" applyBorder="0" applyAlignment="0" applyProtection="0"/>
    <xf numFmtId="181" fontId="1" fillId="0" borderId="0" applyFont="0" applyFill="0" applyBorder="0" applyAlignment="0" applyProtection="0"/>
    <xf numFmtId="180" fontId="9" fillId="0" borderId="0" applyFont="0" applyFill="0" applyBorder="0" applyAlignment="0" applyProtection="0"/>
    <xf numFmtId="181"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83" fillId="0" borderId="0" applyFont="0" applyFill="0" applyBorder="0" applyAlignment="0" applyProtection="0"/>
    <xf numFmtId="180" fontId="9" fillId="0" borderId="0" applyFont="0" applyFill="0" applyBorder="0" applyAlignment="0" applyProtection="0"/>
    <xf numFmtId="180" fontId="9" fillId="0" borderId="0" applyFont="0" applyFill="0" applyBorder="0" applyAlignment="0" applyProtection="0"/>
    <xf numFmtId="180" fontId="9" fillId="0" borderId="0" applyFont="0" applyFill="0" applyBorder="0" applyAlignment="0" applyProtection="0"/>
    <xf numFmtId="180" fontId="9" fillId="0" borderId="0" applyFont="0" applyFill="0" applyBorder="0" applyAlignment="0" applyProtection="0"/>
    <xf numFmtId="180" fontId="9" fillId="0" borderId="0" applyFont="0" applyFill="0" applyBorder="0" applyAlignment="0" applyProtection="0"/>
    <xf numFmtId="180" fontId="9" fillId="0" borderId="0" applyFont="0" applyFill="0" applyBorder="0" applyAlignment="0" applyProtection="0"/>
    <xf numFmtId="181" fontId="1" fillId="0" borderId="0" applyFont="0" applyFill="0" applyBorder="0" applyAlignment="0" applyProtection="0"/>
    <xf numFmtId="181" fontId="22" fillId="0" borderId="0" applyFont="0" applyFill="0" applyBorder="0" applyAlignment="0" applyProtection="0"/>
    <xf numFmtId="0" fontId="84" fillId="73" borderId="0" applyNumberFormat="0" applyBorder="0" applyAlignment="0" applyProtection="0"/>
    <xf numFmtId="0" fontId="84" fillId="74" borderId="0" applyNumberFormat="0" applyBorder="0" applyAlignment="0" applyProtection="0"/>
    <xf numFmtId="0" fontId="84" fillId="7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4" fontId="85" fillId="0" borderId="0" applyNumberFormat="0" applyFill="0" applyBorder="0" applyAlignment="0" applyProtection="0"/>
    <xf numFmtId="174" fontId="85" fillId="0" borderId="0" applyNumberFormat="0" applyFill="0" applyBorder="0" applyAlignment="0" applyProtection="0"/>
    <xf numFmtId="174" fontId="85" fillId="0" borderId="0" applyNumberFormat="0" applyFill="0" applyBorder="0" applyAlignment="0" applyProtection="0"/>
    <xf numFmtId="174" fontId="85" fillId="0" borderId="0" applyNumberFormat="0" applyFill="0" applyBorder="0" applyAlignment="0" applyProtection="0"/>
    <xf numFmtId="174" fontId="85" fillId="0" borderId="0" applyNumberFormat="0" applyFill="0" applyBorder="0" applyAlignment="0" applyProtection="0"/>
    <xf numFmtId="174" fontId="85" fillId="0" borderId="0" applyNumberFormat="0" applyFill="0" applyBorder="0" applyAlignment="0" applyProtection="0"/>
    <xf numFmtId="174" fontId="85" fillId="0" borderId="0" applyNumberFormat="0" applyFill="0" applyBorder="0" applyAlignment="0" applyProtection="0"/>
    <xf numFmtId="174" fontId="85" fillId="0" borderId="0" applyNumberFormat="0" applyFill="0" applyBorder="0" applyAlignment="0" applyProtection="0"/>
    <xf numFmtId="174" fontId="85" fillId="0" borderId="0" applyNumberFormat="0" applyFill="0" applyBorder="0" applyAlignment="0" applyProtection="0"/>
    <xf numFmtId="174" fontId="85" fillId="0" borderId="0" applyNumberFormat="0" applyFill="0" applyBorder="0" applyAlignment="0" applyProtection="0"/>
    <xf numFmtId="174" fontId="85" fillId="0" borderId="0" applyNumberFormat="0" applyFill="0" applyBorder="0" applyAlignment="0" applyProtection="0"/>
    <xf numFmtId="174" fontId="85" fillId="0" borderId="0" applyNumberFormat="0" applyFill="0" applyBorder="0" applyAlignment="0" applyProtection="0"/>
    <xf numFmtId="174" fontId="85" fillId="0" borderId="0" applyNumberFormat="0" applyFill="0" applyBorder="0" applyAlignment="0" applyProtection="0"/>
    <xf numFmtId="174" fontId="85" fillId="0" borderId="0" applyNumberFormat="0" applyFill="0" applyBorder="0" applyAlignment="0" applyProtection="0"/>
    <xf numFmtId="174" fontId="85" fillId="0" borderId="0" applyNumberFormat="0" applyFill="0" applyBorder="0" applyAlignment="0" applyProtection="0"/>
    <xf numFmtId="174" fontId="85" fillId="0" borderId="0" applyNumberFormat="0" applyFill="0" applyBorder="0" applyAlignment="0" applyProtection="0"/>
    <xf numFmtId="174" fontId="85" fillId="0" borderId="0" applyNumberFormat="0" applyFill="0" applyBorder="0" applyAlignment="0" applyProtection="0"/>
    <xf numFmtId="174" fontId="85" fillId="0" borderId="0" applyNumberFormat="0" applyFill="0" applyBorder="0" applyAlignment="0" applyProtection="0"/>
    <xf numFmtId="174" fontId="85" fillId="0" borderId="0" applyNumberFormat="0" applyFill="0" applyBorder="0" applyAlignment="0" applyProtection="0"/>
    <xf numFmtId="174" fontId="85" fillId="0" borderId="0" applyNumberFormat="0" applyFill="0" applyBorder="0" applyAlignment="0" applyProtection="0"/>
    <xf numFmtId="174" fontId="85" fillId="0" borderId="0" applyNumberFormat="0" applyFill="0" applyBorder="0" applyAlignment="0" applyProtection="0"/>
    <xf numFmtId="174" fontId="85" fillId="0" borderId="0" applyNumberFormat="0" applyFill="0" applyBorder="0" applyAlignment="0" applyProtection="0"/>
    <xf numFmtId="174" fontId="85" fillId="0" borderId="0" applyNumberFormat="0" applyFill="0" applyBorder="0" applyAlignment="0" applyProtection="0"/>
    <xf numFmtId="174" fontId="85" fillId="0" borderId="0" applyNumberFormat="0" applyFill="0" applyBorder="0" applyAlignment="0" applyProtection="0"/>
    <xf numFmtId="174" fontId="85" fillId="0" borderId="0" applyNumberFormat="0" applyFill="0" applyBorder="0" applyAlignment="0" applyProtection="0"/>
    <xf numFmtId="174" fontId="85" fillId="0" borderId="0" applyNumberFormat="0" applyFill="0" applyBorder="0" applyAlignment="0" applyProtection="0"/>
    <xf numFmtId="174" fontId="85" fillId="0" borderId="0" applyNumberFormat="0" applyFill="0" applyBorder="0" applyAlignment="0" applyProtection="0"/>
    <xf numFmtId="174" fontId="85" fillId="0" borderId="0" applyNumberFormat="0" applyFill="0" applyBorder="0" applyAlignment="0" applyProtection="0"/>
    <xf numFmtId="174" fontId="85" fillId="0" borderId="0" applyNumberFormat="0" applyFill="0" applyBorder="0" applyAlignment="0" applyProtection="0"/>
    <xf numFmtId="174" fontId="85" fillId="0" borderId="0" applyNumberFormat="0" applyFill="0" applyBorder="0" applyAlignment="0" applyProtection="0"/>
    <xf numFmtId="174" fontId="85" fillId="0" borderId="0" applyNumberFormat="0" applyFill="0" applyBorder="0" applyAlignment="0" applyProtection="0"/>
    <xf numFmtId="174" fontId="85" fillId="0" borderId="0" applyNumberFormat="0" applyFill="0" applyBorder="0" applyAlignment="0" applyProtection="0"/>
    <xf numFmtId="174" fontId="85" fillId="0" borderId="0" applyNumberFormat="0" applyFill="0" applyBorder="0" applyAlignment="0" applyProtection="0"/>
    <xf numFmtId="174" fontId="85" fillId="0" borderId="0" applyNumberFormat="0" applyFill="0" applyBorder="0" applyAlignment="0" applyProtection="0"/>
    <xf numFmtId="174" fontId="85" fillId="0" borderId="0" applyNumberFormat="0" applyFill="0" applyBorder="0" applyAlignment="0" applyProtection="0"/>
    <xf numFmtId="174" fontId="85" fillId="0" borderId="0" applyNumberFormat="0" applyFill="0" applyBorder="0" applyAlignment="0" applyProtection="0"/>
    <xf numFmtId="174" fontId="85" fillId="0" borderId="0" applyNumberFormat="0" applyFill="0" applyBorder="0" applyAlignment="0" applyProtection="0"/>
    <xf numFmtId="174" fontId="85" fillId="0" borderId="0" applyNumberFormat="0" applyFill="0" applyBorder="0" applyAlignment="0" applyProtection="0"/>
    <xf numFmtId="174" fontId="85" fillId="0" borderId="0" applyNumberFormat="0" applyFill="0" applyBorder="0" applyAlignment="0" applyProtection="0"/>
    <xf numFmtId="174" fontId="85" fillId="0" borderId="0" applyNumberFormat="0" applyFill="0" applyBorder="0" applyAlignment="0" applyProtection="0"/>
    <xf numFmtId="174" fontId="85" fillId="0" borderId="0" applyNumberFormat="0" applyFill="0" applyBorder="0" applyAlignment="0" applyProtection="0"/>
    <xf numFmtId="174" fontId="85" fillId="0" borderId="0" applyNumberFormat="0" applyFill="0" applyBorder="0" applyAlignment="0" applyProtection="0"/>
    <xf numFmtId="174" fontId="85" fillId="0" borderId="0" applyNumberFormat="0" applyFill="0" applyBorder="0" applyAlignment="0" applyProtection="0"/>
    <xf numFmtId="174" fontId="85" fillId="0" borderId="0" applyNumberFormat="0" applyFill="0" applyBorder="0" applyAlignment="0" applyProtection="0"/>
    <xf numFmtId="174" fontId="85" fillId="0" borderId="0" applyNumberFormat="0" applyFill="0" applyBorder="0" applyAlignment="0" applyProtection="0"/>
    <xf numFmtId="174" fontId="85" fillId="0" borderId="0" applyNumberFormat="0" applyFill="0" applyBorder="0" applyAlignment="0" applyProtection="0"/>
    <xf numFmtId="174" fontId="85" fillId="0" borderId="0" applyNumberFormat="0" applyFill="0" applyBorder="0" applyAlignment="0" applyProtection="0"/>
    <xf numFmtId="174" fontId="85" fillId="0" borderId="0" applyNumberFormat="0" applyFill="0" applyBorder="0" applyAlignment="0" applyProtection="0"/>
    <xf numFmtId="174" fontId="85" fillId="0" borderId="0" applyNumberFormat="0" applyFill="0" applyBorder="0" applyAlignment="0" applyProtection="0"/>
    <xf numFmtId="182" fontId="70" fillId="0" borderId="0">
      <alignment horizontal="right"/>
    </xf>
    <xf numFmtId="174" fontId="86" fillId="33" borderId="0" applyNumberFormat="0" applyBorder="0" applyAlignment="0" applyProtection="0"/>
    <xf numFmtId="174" fontId="86" fillId="33" borderId="0" applyNumberFormat="0" applyBorder="0" applyAlignment="0" applyProtection="0"/>
    <xf numFmtId="174" fontId="86" fillId="33" borderId="0" applyNumberFormat="0" applyBorder="0" applyAlignment="0" applyProtection="0"/>
    <xf numFmtId="174" fontId="86" fillId="33" borderId="0" applyNumberFormat="0" applyBorder="0" applyAlignment="0" applyProtection="0"/>
    <xf numFmtId="174" fontId="86" fillId="33" borderId="0" applyNumberFormat="0" applyBorder="0" applyAlignment="0" applyProtection="0"/>
    <xf numFmtId="174" fontId="86" fillId="33" borderId="0" applyNumberFormat="0" applyBorder="0" applyAlignment="0" applyProtection="0"/>
    <xf numFmtId="174" fontId="86" fillId="33" borderId="0" applyNumberFormat="0" applyBorder="0" applyAlignment="0" applyProtection="0"/>
    <xf numFmtId="174" fontId="86" fillId="33" borderId="0" applyNumberFormat="0" applyBorder="0" applyAlignment="0" applyProtection="0"/>
    <xf numFmtId="174" fontId="86" fillId="33" borderId="0" applyNumberFormat="0" applyBorder="0" applyAlignment="0" applyProtection="0"/>
    <xf numFmtId="174" fontId="86" fillId="33" borderId="0" applyNumberFormat="0" applyBorder="0" applyAlignment="0" applyProtection="0"/>
    <xf numFmtId="174" fontId="86" fillId="33" borderId="0" applyNumberFormat="0" applyBorder="0" applyAlignment="0" applyProtection="0"/>
    <xf numFmtId="174" fontId="86" fillId="33" borderId="0" applyNumberFormat="0" applyBorder="0" applyAlignment="0" applyProtection="0"/>
    <xf numFmtId="174" fontId="86" fillId="33" borderId="0" applyNumberFormat="0" applyBorder="0" applyAlignment="0" applyProtection="0"/>
    <xf numFmtId="174" fontId="86" fillId="33" borderId="0" applyNumberFormat="0" applyBorder="0" applyAlignment="0" applyProtection="0"/>
    <xf numFmtId="174" fontId="86" fillId="33" borderId="0" applyNumberFormat="0" applyBorder="0" applyAlignment="0" applyProtection="0"/>
    <xf numFmtId="174" fontId="86" fillId="33" borderId="0" applyNumberFormat="0" applyBorder="0" applyAlignment="0" applyProtection="0"/>
    <xf numFmtId="174" fontId="86" fillId="33" borderId="0" applyNumberFormat="0" applyBorder="0" applyAlignment="0" applyProtection="0"/>
    <xf numFmtId="174" fontId="86" fillId="33" borderId="0" applyNumberFormat="0" applyBorder="0" applyAlignment="0" applyProtection="0"/>
    <xf numFmtId="174" fontId="86" fillId="33" borderId="0" applyNumberFormat="0" applyBorder="0" applyAlignment="0" applyProtection="0"/>
    <xf numFmtId="174" fontId="86" fillId="33" borderId="0" applyNumberFormat="0" applyBorder="0" applyAlignment="0" applyProtection="0"/>
    <xf numFmtId="174" fontId="86" fillId="33" borderId="0" applyNumberFormat="0" applyBorder="0" applyAlignment="0" applyProtection="0"/>
    <xf numFmtId="174" fontId="86" fillId="33" borderId="0" applyNumberFormat="0" applyBorder="0" applyAlignment="0" applyProtection="0"/>
    <xf numFmtId="0" fontId="1" fillId="56" borderId="0" applyNumberFormat="0" applyBorder="0" applyAlignment="0" applyProtection="0"/>
    <xf numFmtId="174" fontId="86" fillId="33" borderId="0" applyNumberFormat="0" applyBorder="0" applyAlignment="0" applyProtection="0"/>
    <xf numFmtId="174" fontId="86" fillId="33" borderId="0" applyNumberFormat="0" applyBorder="0" applyAlignment="0" applyProtection="0"/>
    <xf numFmtId="174" fontId="86" fillId="33" borderId="0" applyNumberFormat="0" applyBorder="0" applyAlignment="0" applyProtection="0"/>
    <xf numFmtId="174" fontId="86" fillId="33" borderId="0" applyNumberFormat="0" applyBorder="0" applyAlignment="0" applyProtection="0"/>
    <xf numFmtId="174" fontId="86" fillId="33" borderId="0" applyNumberFormat="0" applyBorder="0" applyAlignment="0" applyProtection="0"/>
    <xf numFmtId="174" fontId="86" fillId="33" borderId="0" applyNumberFormat="0" applyBorder="0" applyAlignment="0" applyProtection="0"/>
    <xf numFmtId="174" fontId="86" fillId="33" borderId="0" applyNumberFormat="0" applyBorder="0" applyAlignment="0" applyProtection="0"/>
    <xf numFmtId="174" fontId="86" fillId="33" borderId="0" applyNumberFormat="0" applyBorder="0" applyAlignment="0" applyProtection="0"/>
    <xf numFmtId="174" fontId="86" fillId="33" borderId="0" applyNumberFormat="0" applyBorder="0" applyAlignment="0" applyProtection="0"/>
    <xf numFmtId="174" fontId="86" fillId="33" borderId="0" applyNumberFormat="0" applyBorder="0" applyAlignment="0" applyProtection="0"/>
    <xf numFmtId="174" fontId="86" fillId="33" borderId="0" applyNumberFormat="0" applyBorder="0" applyAlignment="0" applyProtection="0"/>
    <xf numFmtId="174" fontId="86" fillId="33" borderId="0" applyNumberFormat="0" applyBorder="0" applyAlignment="0" applyProtection="0"/>
    <xf numFmtId="174" fontId="86" fillId="33" borderId="0" applyNumberFormat="0" applyBorder="0" applyAlignment="0" applyProtection="0"/>
    <xf numFmtId="174" fontId="86" fillId="33" borderId="0" applyNumberFormat="0" applyBorder="0" applyAlignment="0" applyProtection="0"/>
    <xf numFmtId="174" fontId="86" fillId="33" borderId="0" applyNumberFormat="0" applyBorder="0" applyAlignment="0" applyProtection="0"/>
    <xf numFmtId="174" fontId="86" fillId="33" borderId="0" applyNumberFormat="0" applyBorder="0" applyAlignment="0" applyProtection="0"/>
    <xf numFmtId="174" fontId="86" fillId="33" borderId="0" applyNumberFormat="0" applyBorder="0" applyAlignment="0" applyProtection="0"/>
    <xf numFmtId="174" fontId="86" fillId="33" borderId="0" applyNumberFormat="0" applyBorder="0" applyAlignment="0" applyProtection="0"/>
    <xf numFmtId="174" fontId="86" fillId="33" borderId="0" applyNumberFormat="0" applyBorder="0" applyAlignment="0" applyProtection="0"/>
    <xf numFmtId="174" fontId="86" fillId="33" borderId="0" applyNumberFormat="0" applyBorder="0" applyAlignment="0" applyProtection="0"/>
    <xf numFmtId="174" fontId="86" fillId="33" borderId="0" applyNumberFormat="0" applyBorder="0" applyAlignment="0" applyProtection="0"/>
    <xf numFmtId="174" fontId="86" fillId="33" borderId="0" applyNumberFormat="0" applyBorder="0" applyAlignment="0" applyProtection="0"/>
    <xf numFmtId="174" fontId="86" fillId="33" borderId="0" applyNumberFormat="0" applyBorder="0" applyAlignment="0" applyProtection="0"/>
    <xf numFmtId="174" fontId="86" fillId="33" borderId="0" applyNumberFormat="0" applyBorder="0" applyAlignment="0" applyProtection="0"/>
    <xf numFmtId="174" fontId="86" fillId="33" borderId="0" applyNumberFormat="0" applyBorder="0" applyAlignment="0" applyProtection="0"/>
    <xf numFmtId="174" fontId="86" fillId="33" borderId="0" applyNumberFormat="0" applyBorder="0" applyAlignment="0" applyProtection="0"/>
    <xf numFmtId="174" fontId="86" fillId="33" borderId="0" applyNumberFormat="0" applyBorder="0" applyAlignment="0" applyProtection="0"/>
    <xf numFmtId="174" fontId="87" fillId="0" borderId="59" applyNumberFormat="0" applyFill="0" applyAlignment="0" applyProtection="0"/>
    <xf numFmtId="174" fontId="87" fillId="0" borderId="59" applyNumberFormat="0" applyFill="0" applyAlignment="0" applyProtection="0"/>
    <xf numFmtId="174" fontId="87" fillId="0" borderId="59" applyNumberFormat="0" applyFill="0" applyAlignment="0" applyProtection="0"/>
    <xf numFmtId="174" fontId="87" fillId="0" borderId="59" applyNumberFormat="0" applyFill="0" applyAlignment="0" applyProtection="0"/>
    <xf numFmtId="174" fontId="87" fillId="0" borderId="59" applyNumberFormat="0" applyFill="0" applyAlignment="0" applyProtection="0"/>
    <xf numFmtId="174" fontId="87" fillId="0" borderId="59" applyNumberFormat="0" applyFill="0" applyAlignment="0" applyProtection="0"/>
    <xf numFmtId="174" fontId="87" fillId="0" borderId="59" applyNumberFormat="0" applyFill="0" applyAlignment="0" applyProtection="0"/>
    <xf numFmtId="174" fontId="87" fillId="0" borderId="59" applyNumberFormat="0" applyFill="0" applyAlignment="0" applyProtection="0"/>
    <xf numFmtId="174" fontId="87" fillId="0" borderId="59" applyNumberFormat="0" applyFill="0" applyAlignment="0" applyProtection="0"/>
    <xf numFmtId="174" fontId="87" fillId="0" borderId="59" applyNumberFormat="0" applyFill="0" applyAlignment="0" applyProtection="0"/>
    <xf numFmtId="174" fontId="87" fillId="0" borderId="59" applyNumberFormat="0" applyFill="0" applyAlignment="0" applyProtection="0"/>
    <xf numFmtId="174" fontId="87" fillId="0" borderId="59" applyNumberFormat="0" applyFill="0" applyAlignment="0" applyProtection="0"/>
    <xf numFmtId="174" fontId="87" fillId="0" borderId="59" applyNumberFormat="0" applyFill="0" applyAlignment="0" applyProtection="0"/>
    <xf numFmtId="174" fontId="87" fillId="0" borderId="59" applyNumberFormat="0" applyFill="0" applyAlignment="0" applyProtection="0"/>
    <xf numFmtId="174" fontId="87" fillId="0" borderId="59" applyNumberFormat="0" applyFill="0" applyAlignment="0" applyProtection="0"/>
    <xf numFmtId="174" fontId="87" fillId="0" borderId="59" applyNumberFormat="0" applyFill="0" applyAlignment="0" applyProtection="0"/>
    <xf numFmtId="174" fontId="87" fillId="0" borderId="59" applyNumberFormat="0" applyFill="0" applyAlignment="0" applyProtection="0"/>
    <xf numFmtId="174" fontId="87" fillId="0" borderId="59" applyNumberFormat="0" applyFill="0" applyAlignment="0" applyProtection="0"/>
    <xf numFmtId="174" fontId="87" fillId="0" borderId="59" applyNumberFormat="0" applyFill="0" applyAlignment="0" applyProtection="0"/>
    <xf numFmtId="174" fontId="87" fillId="0" borderId="59" applyNumberFormat="0" applyFill="0" applyAlignment="0" applyProtection="0"/>
    <xf numFmtId="174" fontId="87" fillId="0" borderId="59" applyNumberFormat="0" applyFill="0" applyAlignment="0" applyProtection="0"/>
    <xf numFmtId="174" fontId="87" fillId="0" borderId="59" applyNumberFormat="0" applyFill="0" applyAlignment="0" applyProtection="0"/>
    <xf numFmtId="0" fontId="88" fillId="0" borderId="60" applyNumberFormat="0" applyFill="0" applyAlignment="0" applyProtection="0"/>
    <xf numFmtId="174" fontId="87" fillId="0" borderId="59" applyNumberFormat="0" applyFill="0" applyAlignment="0" applyProtection="0"/>
    <xf numFmtId="174" fontId="87" fillId="0" borderId="59" applyNumberFormat="0" applyFill="0" applyAlignment="0" applyProtection="0"/>
    <xf numFmtId="174" fontId="87" fillId="0" borderId="59" applyNumberFormat="0" applyFill="0" applyAlignment="0" applyProtection="0"/>
    <xf numFmtId="174" fontId="87" fillId="0" borderId="59" applyNumberFormat="0" applyFill="0" applyAlignment="0" applyProtection="0"/>
    <xf numFmtId="174" fontId="87" fillId="0" borderId="59" applyNumberFormat="0" applyFill="0" applyAlignment="0" applyProtection="0"/>
    <xf numFmtId="174" fontId="87" fillId="0" borderId="59" applyNumberFormat="0" applyFill="0" applyAlignment="0" applyProtection="0"/>
    <xf numFmtId="174" fontId="87" fillId="0" borderId="59" applyNumberFormat="0" applyFill="0" applyAlignment="0" applyProtection="0"/>
    <xf numFmtId="174" fontId="87" fillId="0" borderId="59" applyNumberFormat="0" applyFill="0" applyAlignment="0" applyProtection="0"/>
    <xf numFmtId="174" fontId="87" fillId="0" borderId="59" applyNumberFormat="0" applyFill="0" applyAlignment="0" applyProtection="0"/>
    <xf numFmtId="174" fontId="87" fillId="0" borderId="59" applyNumberFormat="0" applyFill="0" applyAlignment="0" applyProtection="0"/>
    <xf numFmtId="174" fontId="87" fillId="0" borderId="59" applyNumberFormat="0" applyFill="0" applyAlignment="0" applyProtection="0"/>
    <xf numFmtId="174" fontId="87" fillId="0" borderId="59" applyNumberFormat="0" applyFill="0" applyAlignment="0" applyProtection="0"/>
    <xf numFmtId="174" fontId="87" fillId="0" borderId="59" applyNumberFormat="0" applyFill="0" applyAlignment="0" applyProtection="0"/>
    <xf numFmtId="174" fontId="87" fillId="0" borderId="59" applyNumberFormat="0" applyFill="0" applyAlignment="0" applyProtection="0"/>
    <xf numFmtId="174" fontId="87" fillId="0" borderId="59" applyNumberFormat="0" applyFill="0" applyAlignment="0" applyProtection="0"/>
    <xf numFmtId="174" fontId="87" fillId="0" borderId="59" applyNumberFormat="0" applyFill="0" applyAlignment="0" applyProtection="0"/>
    <xf numFmtId="174" fontId="87" fillId="0" borderId="59" applyNumberFormat="0" applyFill="0" applyAlignment="0" applyProtection="0"/>
    <xf numFmtId="174" fontId="87" fillId="0" borderId="59" applyNumberFormat="0" applyFill="0" applyAlignment="0" applyProtection="0"/>
    <xf numFmtId="174" fontId="87" fillId="0" borderId="59" applyNumberFormat="0" applyFill="0" applyAlignment="0" applyProtection="0"/>
    <xf numFmtId="174" fontId="87" fillId="0" borderId="59" applyNumberFormat="0" applyFill="0" applyAlignment="0" applyProtection="0"/>
    <xf numFmtId="174" fontId="87" fillId="0" borderId="59" applyNumberFormat="0" applyFill="0" applyAlignment="0" applyProtection="0"/>
    <xf numFmtId="174" fontId="87" fillId="0" borderId="59" applyNumberFormat="0" applyFill="0" applyAlignment="0" applyProtection="0"/>
    <xf numFmtId="174" fontId="87" fillId="0" borderId="59" applyNumberFormat="0" applyFill="0" applyAlignment="0" applyProtection="0"/>
    <xf numFmtId="174" fontId="87" fillId="0" borderId="59" applyNumberFormat="0" applyFill="0" applyAlignment="0" applyProtection="0"/>
    <xf numFmtId="174" fontId="87" fillId="0" borderId="59" applyNumberFormat="0" applyFill="0" applyAlignment="0" applyProtection="0"/>
    <xf numFmtId="174" fontId="87" fillId="0" borderId="59" applyNumberFormat="0" applyFill="0" applyAlignment="0" applyProtection="0"/>
    <xf numFmtId="174" fontId="87" fillId="0" borderId="59" applyNumberFormat="0" applyFill="0" applyAlignment="0" applyProtection="0"/>
    <xf numFmtId="174" fontId="89" fillId="0" borderId="61" applyNumberFormat="0" applyFill="0" applyAlignment="0" applyProtection="0"/>
    <xf numFmtId="174" fontId="89" fillId="0" borderId="61" applyNumberFormat="0" applyFill="0" applyAlignment="0" applyProtection="0"/>
    <xf numFmtId="174" fontId="89" fillId="0" borderId="61" applyNumberFormat="0" applyFill="0" applyAlignment="0" applyProtection="0"/>
    <xf numFmtId="174" fontId="89" fillId="0" borderId="61" applyNumberFormat="0" applyFill="0" applyAlignment="0" applyProtection="0"/>
    <xf numFmtId="174" fontId="89" fillId="0" borderId="61" applyNumberFormat="0" applyFill="0" applyAlignment="0" applyProtection="0"/>
    <xf numFmtId="174" fontId="89" fillId="0" borderId="61" applyNumberFormat="0" applyFill="0" applyAlignment="0" applyProtection="0"/>
    <xf numFmtId="174" fontId="89" fillId="0" borderId="61" applyNumberFormat="0" applyFill="0" applyAlignment="0" applyProtection="0"/>
    <xf numFmtId="174" fontId="89" fillId="0" borderId="61" applyNumberFormat="0" applyFill="0" applyAlignment="0" applyProtection="0"/>
    <xf numFmtId="174" fontId="89" fillId="0" borderId="61" applyNumberFormat="0" applyFill="0" applyAlignment="0" applyProtection="0"/>
    <xf numFmtId="174" fontId="89" fillId="0" borderId="61" applyNumberFormat="0" applyFill="0" applyAlignment="0" applyProtection="0"/>
    <xf numFmtId="174" fontId="89" fillId="0" borderId="61" applyNumberFormat="0" applyFill="0" applyAlignment="0" applyProtection="0"/>
    <xf numFmtId="174" fontId="89" fillId="0" borderId="61" applyNumberFormat="0" applyFill="0" applyAlignment="0" applyProtection="0"/>
    <xf numFmtId="174" fontId="89" fillId="0" borderId="61" applyNumberFormat="0" applyFill="0" applyAlignment="0" applyProtection="0"/>
    <xf numFmtId="174" fontId="89" fillId="0" borderId="61" applyNumberFormat="0" applyFill="0" applyAlignment="0" applyProtection="0"/>
    <xf numFmtId="174" fontId="89" fillId="0" borderId="61" applyNumberFormat="0" applyFill="0" applyAlignment="0" applyProtection="0"/>
    <xf numFmtId="174" fontId="89" fillId="0" borderId="61" applyNumberFormat="0" applyFill="0" applyAlignment="0" applyProtection="0"/>
    <xf numFmtId="174" fontId="89" fillId="0" borderId="61" applyNumberFormat="0" applyFill="0" applyAlignment="0" applyProtection="0"/>
    <xf numFmtId="174" fontId="89" fillId="0" borderId="61" applyNumberFormat="0" applyFill="0" applyAlignment="0" applyProtection="0"/>
    <xf numFmtId="174" fontId="89" fillId="0" borderId="61" applyNumberFormat="0" applyFill="0" applyAlignment="0" applyProtection="0"/>
    <xf numFmtId="174" fontId="89" fillId="0" borderId="61" applyNumberFormat="0" applyFill="0" applyAlignment="0" applyProtection="0"/>
    <xf numFmtId="174" fontId="89" fillId="0" borderId="61" applyNumberFormat="0" applyFill="0" applyAlignment="0" applyProtection="0"/>
    <xf numFmtId="174" fontId="89" fillId="0" borderId="61" applyNumberFormat="0" applyFill="0" applyAlignment="0" applyProtection="0"/>
    <xf numFmtId="0" fontId="90" fillId="0" borderId="62" applyNumberFormat="0" applyFill="0" applyAlignment="0" applyProtection="0"/>
    <xf numFmtId="174" fontId="89" fillId="0" borderId="61" applyNumberFormat="0" applyFill="0" applyAlignment="0" applyProtection="0"/>
    <xf numFmtId="174" fontId="89" fillId="0" borderId="61" applyNumberFormat="0" applyFill="0" applyAlignment="0" applyProtection="0"/>
    <xf numFmtId="174" fontId="89" fillId="0" borderId="61" applyNumberFormat="0" applyFill="0" applyAlignment="0" applyProtection="0"/>
    <xf numFmtId="174" fontId="89" fillId="0" borderId="61" applyNumberFormat="0" applyFill="0" applyAlignment="0" applyProtection="0"/>
    <xf numFmtId="174" fontId="89" fillId="0" borderId="61" applyNumberFormat="0" applyFill="0" applyAlignment="0" applyProtection="0"/>
    <xf numFmtId="174" fontId="89" fillId="0" borderId="61" applyNumberFormat="0" applyFill="0" applyAlignment="0" applyProtection="0"/>
    <xf numFmtId="174" fontId="89" fillId="0" borderId="61" applyNumberFormat="0" applyFill="0" applyAlignment="0" applyProtection="0"/>
    <xf numFmtId="174" fontId="89" fillId="0" borderId="61" applyNumberFormat="0" applyFill="0" applyAlignment="0" applyProtection="0"/>
    <xf numFmtId="174" fontId="89" fillId="0" borderId="61" applyNumberFormat="0" applyFill="0" applyAlignment="0" applyProtection="0"/>
    <xf numFmtId="174" fontId="89" fillId="0" borderId="61" applyNumberFormat="0" applyFill="0" applyAlignment="0" applyProtection="0"/>
    <xf numFmtId="174" fontId="89" fillId="0" borderId="61" applyNumberFormat="0" applyFill="0" applyAlignment="0" applyProtection="0"/>
    <xf numFmtId="174" fontId="89" fillId="0" borderId="61" applyNumberFormat="0" applyFill="0" applyAlignment="0" applyProtection="0"/>
    <xf numFmtId="174" fontId="89" fillId="0" borderId="61" applyNumberFormat="0" applyFill="0" applyAlignment="0" applyProtection="0"/>
    <xf numFmtId="174" fontId="89" fillId="0" borderId="61" applyNumberFormat="0" applyFill="0" applyAlignment="0" applyProtection="0"/>
    <xf numFmtId="174" fontId="89" fillId="0" borderId="61" applyNumberFormat="0" applyFill="0" applyAlignment="0" applyProtection="0"/>
    <xf numFmtId="174" fontId="89" fillId="0" borderId="61" applyNumberFormat="0" applyFill="0" applyAlignment="0" applyProtection="0"/>
    <xf numFmtId="174" fontId="89" fillId="0" borderId="61" applyNumberFormat="0" applyFill="0" applyAlignment="0" applyProtection="0"/>
    <xf numFmtId="174" fontId="89" fillId="0" borderId="61" applyNumberFormat="0" applyFill="0" applyAlignment="0" applyProtection="0"/>
    <xf numFmtId="174" fontId="89" fillId="0" borderId="61" applyNumberFormat="0" applyFill="0" applyAlignment="0" applyProtection="0"/>
    <xf numFmtId="174" fontId="89" fillId="0" borderId="61" applyNumberFormat="0" applyFill="0" applyAlignment="0" applyProtection="0"/>
    <xf numFmtId="174" fontId="89" fillId="0" borderId="61" applyNumberFormat="0" applyFill="0" applyAlignment="0" applyProtection="0"/>
    <xf numFmtId="174" fontId="89" fillId="0" borderId="61" applyNumberFormat="0" applyFill="0" applyAlignment="0" applyProtection="0"/>
    <xf numFmtId="174" fontId="89" fillId="0" borderId="61" applyNumberFormat="0" applyFill="0" applyAlignment="0" applyProtection="0"/>
    <xf numFmtId="174" fontId="89" fillId="0" borderId="61" applyNumberFormat="0" applyFill="0" applyAlignment="0" applyProtection="0"/>
    <xf numFmtId="174" fontId="89" fillId="0" borderId="61" applyNumberFormat="0" applyFill="0" applyAlignment="0" applyProtection="0"/>
    <xf numFmtId="174" fontId="89" fillId="0" borderId="61" applyNumberFormat="0" applyFill="0" applyAlignment="0" applyProtection="0"/>
    <xf numFmtId="174" fontId="89" fillId="0" borderId="61" applyNumberFormat="0" applyFill="0" applyAlignment="0" applyProtection="0"/>
    <xf numFmtId="174" fontId="91" fillId="0" borderId="63" applyNumberFormat="0" applyFill="0" applyAlignment="0" applyProtection="0"/>
    <xf numFmtId="174" fontId="91" fillId="0" borderId="63" applyNumberFormat="0" applyFill="0" applyAlignment="0" applyProtection="0"/>
    <xf numFmtId="174" fontId="91" fillId="0" borderId="63" applyNumberFormat="0" applyFill="0" applyAlignment="0" applyProtection="0"/>
    <xf numFmtId="174" fontId="91" fillId="0" borderId="63" applyNumberFormat="0" applyFill="0" applyAlignment="0" applyProtection="0"/>
    <xf numFmtId="174" fontId="91" fillId="0" borderId="63" applyNumberFormat="0" applyFill="0" applyAlignment="0" applyProtection="0"/>
    <xf numFmtId="174" fontId="91" fillId="0" borderId="63" applyNumberFormat="0" applyFill="0" applyAlignment="0" applyProtection="0"/>
    <xf numFmtId="174" fontId="91" fillId="0" borderId="63" applyNumberFormat="0" applyFill="0" applyAlignment="0" applyProtection="0"/>
    <xf numFmtId="174" fontId="91" fillId="0" borderId="63" applyNumberFormat="0" applyFill="0" applyAlignment="0" applyProtection="0"/>
    <xf numFmtId="174" fontId="91" fillId="0" borderId="63" applyNumberFormat="0" applyFill="0" applyAlignment="0" applyProtection="0"/>
    <xf numFmtId="174" fontId="91" fillId="0" borderId="63" applyNumberFormat="0" applyFill="0" applyAlignment="0" applyProtection="0"/>
    <xf numFmtId="174" fontId="91" fillId="0" borderId="63" applyNumberFormat="0" applyFill="0" applyAlignment="0" applyProtection="0"/>
    <xf numFmtId="174" fontId="91" fillId="0" borderId="63" applyNumberFormat="0" applyFill="0" applyAlignment="0" applyProtection="0"/>
    <xf numFmtId="174" fontId="91" fillId="0" borderId="63" applyNumberFormat="0" applyFill="0" applyAlignment="0" applyProtection="0"/>
    <xf numFmtId="174" fontId="91" fillId="0" borderId="63" applyNumberFormat="0" applyFill="0" applyAlignment="0" applyProtection="0"/>
    <xf numFmtId="174" fontId="91" fillId="0" borderId="63" applyNumberFormat="0" applyFill="0" applyAlignment="0" applyProtection="0"/>
    <xf numFmtId="174" fontId="91" fillId="0" borderId="63" applyNumberFormat="0" applyFill="0" applyAlignment="0" applyProtection="0"/>
    <xf numFmtId="174" fontId="91" fillId="0" borderId="63" applyNumberFormat="0" applyFill="0" applyAlignment="0" applyProtection="0"/>
    <xf numFmtId="174" fontId="91" fillId="0" borderId="63" applyNumberFormat="0" applyFill="0" applyAlignment="0" applyProtection="0"/>
    <xf numFmtId="174" fontId="91" fillId="0" borderId="63" applyNumberFormat="0" applyFill="0" applyAlignment="0" applyProtection="0"/>
    <xf numFmtId="174" fontId="91" fillId="0" borderId="63" applyNumberFormat="0" applyFill="0" applyAlignment="0" applyProtection="0"/>
    <xf numFmtId="174" fontId="91" fillId="0" borderId="63" applyNumberFormat="0" applyFill="0" applyAlignment="0" applyProtection="0"/>
    <xf numFmtId="174" fontId="91" fillId="0" borderId="63" applyNumberFormat="0" applyFill="0" applyAlignment="0" applyProtection="0"/>
    <xf numFmtId="0" fontId="92" fillId="0" borderId="64" applyNumberFormat="0" applyFill="0" applyAlignment="0" applyProtection="0"/>
    <xf numFmtId="174" fontId="91" fillId="0" borderId="63" applyNumberFormat="0" applyFill="0" applyAlignment="0" applyProtection="0"/>
    <xf numFmtId="174" fontId="91" fillId="0" borderId="63" applyNumberFormat="0" applyFill="0" applyAlignment="0" applyProtection="0"/>
    <xf numFmtId="174" fontId="91" fillId="0" borderId="63" applyNumberFormat="0" applyFill="0" applyAlignment="0" applyProtection="0"/>
    <xf numFmtId="174" fontId="91" fillId="0" borderId="63" applyNumberFormat="0" applyFill="0" applyAlignment="0" applyProtection="0"/>
    <xf numFmtId="174" fontId="91" fillId="0" borderId="63" applyNumberFormat="0" applyFill="0" applyAlignment="0" applyProtection="0"/>
    <xf numFmtId="174" fontId="91" fillId="0" borderId="63" applyNumberFormat="0" applyFill="0" applyAlignment="0" applyProtection="0"/>
    <xf numFmtId="174" fontId="91" fillId="0" borderId="63" applyNumberFormat="0" applyFill="0" applyAlignment="0" applyProtection="0"/>
    <xf numFmtId="174" fontId="91" fillId="0" borderId="63" applyNumberFormat="0" applyFill="0" applyAlignment="0" applyProtection="0"/>
    <xf numFmtId="174" fontId="91" fillId="0" borderId="63" applyNumberFormat="0" applyFill="0" applyAlignment="0" applyProtection="0"/>
    <xf numFmtId="174" fontId="91" fillId="0" borderId="63" applyNumberFormat="0" applyFill="0" applyAlignment="0" applyProtection="0"/>
    <xf numFmtId="174" fontId="91" fillId="0" borderId="63" applyNumberFormat="0" applyFill="0" applyAlignment="0" applyProtection="0"/>
    <xf numFmtId="174" fontId="91" fillId="0" borderId="63" applyNumberFormat="0" applyFill="0" applyAlignment="0" applyProtection="0"/>
    <xf numFmtId="174" fontId="91" fillId="0" borderId="63" applyNumberFormat="0" applyFill="0" applyAlignment="0" applyProtection="0"/>
    <xf numFmtId="174" fontId="91" fillId="0" borderId="63" applyNumberFormat="0" applyFill="0" applyAlignment="0" applyProtection="0"/>
    <xf numFmtId="174" fontId="91" fillId="0" borderId="63" applyNumberFormat="0" applyFill="0" applyAlignment="0" applyProtection="0"/>
    <xf numFmtId="174" fontId="91" fillId="0" borderId="63" applyNumberFormat="0" applyFill="0" applyAlignment="0" applyProtection="0"/>
    <xf numFmtId="174" fontId="91" fillId="0" borderId="63" applyNumberFormat="0" applyFill="0" applyAlignment="0" applyProtection="0"/>
    <xf numFmtId="174" fontId="91" fillId="0" borderId="63" applyNumberFormat="0" applyFill="0" applyAlignment="0" applyProtection="0"/>
    <xf numFmtId="174" fontId="91" fillId="0" borderId="63" applyNumberFormat="0" applyFill="0" applyAlignment="0" applyProtection="0"/>
    <xf numFmtId="174" fontId="91" fillId="0" borderId="63" applyNumberFormat="0" applyFill="0" applyAlignment="0" applyProtection="0"/>
    <xf numFmtId="174" fontId="91" fillId="0" borderId="63" applyNumberFormat="0" applyFill="0" applyAlignment="0" applyProtection="0"/>
    <xf numFmtId="174" fontId="91" fillId="0" borderId="63" applyNumberFormat="0" applyFill="0" applyAlignment="0" applyProtection="0"/>
    <xf numFmtId="174" fontId="91" fillId="0" borderId="63" applyNumberFormat="0" applyFill="0" applyAlignment="0" applyProtection="0"/>
    <xf numFmtId="174" fontId="91" fillId="0" borderId="63" applyNumberFormat="0" applyFill="0" applyAlignment="0" applyProtection="0"/>
    <xf numFmtId="174" fontId="91" fillId="0" borderId="63" applyNumberFormat="0" applyFill="0" applyAlignment="0" applyProtection="0"/>
    <xf numFmtId="174" fontId="91" fillId="0" borderId="63" applyNumberFormat="0" applyFill="0" applyAlignment="0" applyProtection="0"/>
    <xf numFmtId="174" fontId="91" fillId="0" borderId="63" applyNumberFormat="0" applyFill="0" applyAlignment="0" applyProtection="0"/>
    <xf numFmtId="174" fontId="91" fillId="0" borderId="0" applyNumberFormat="0" applyFill="0" applyBorder="0" applyAlignment="0" applyProtection="0"/>
    <xf numFmtId="174" fontId="91" fillId="0" borderId="0" applyNumberFormat="0" applyFill="0" applyBorder="0" applyAlignment="0" applyProtection="0"/>
    <xf numFmtId="174" fontId="91" fillId="0" borderId="0" applyNumberFormat="0" applyFill="0" applyBorder="0" applyAlignment="0" applyProtection="0"/>
    <xf numFmtId="174" fontId="91" fillId="0" borderId="0" applyNumberFormat="0" applyFill="0" applyBorder="0" applyAlignment="0" applyProtection="0"/>
    <xf numFmtId="174" fontId="91" fillId="0" borderId="0" applyNumberFormat="0" applyFill="0" applyBorder="0" applyAlignment="0" applyProtection="0"/>
    <xf numFmtId="174" fontId="91" fillId="0" borderId="0" applyNumberFormat="0" applyFill="0" applyBorder="0" applyAlignment="0" applyProtection="0"/>
    <xf numFmtId="174" fontId="91" fillId="0" borderId="0" applyNumberFormat="0" applyFill="0" applyBorder="0" applyAlignment="0" applyProtection="0"/>
    <xf numFmtId="174" fontId="91" fillId="0" borderId="0" applyNumberFormat="0" applyFill="0" applyBorder="0" applyAlignment="0" applyProtection="0"/>
    <xf numFmtId="174" fontId="91" fillId="0" borderId="0" applyNumberFormat="0" applyFill="0" applyBorder="0" applyAlignment="0" applyProtection="0"/>
    <xf numFmtId="174" fontId="91" fillId="0" borderId="0" applyNumberFormat="0" applyFill="0" applyBorder="0" applyAlignment="0" applyProtection="0"/>
    <xf numFmtId="174" fontId="91" fillId="0" borderId="0" applyNumberFormat="0" applyFill="0" applyBorder="0" applyAlignment="0" applyProtection="0"/>
    <xf numFmtId="174" fontId="91" fillId="0" borderId="0" applyNumberFormat="0" applyFill="0" applyBorder="0" applyAlignment="0" applyProtection="0"/>
    <xf numFmtId="174" fontId="91" fillId="0" borderId="0" applyNumberFormat="0" applyFill="0" applyBorder="0" applyAlignment="0" applyProtection="0"/>
    <xf numFmtId="174" fontId="91" fillId="0" borderId="0" applyNumberFormat="0" applyFill="0" applyBorder="0" applyAlignment="0" applyProtection="0"/>
    <xf numFmtId="174" fontId="91" fillId="0" borderId="0" applyNumberFormat="0" applyFill="0" applyBorder="0" applyAlignment="0" applyProtection="0"/>
    <xf numFmtId="174" fontId="91" fillId="0" borderId="0" applyNumberFormat="0" applyFill="0" applyBorder="0" applyAlignment="0" applyProtection="0"/>
    <xf numFmtId="174" fontId="91" fillId="0" borderId="0" applyNumberFormat="0" applyFill="0" applyBorder="0" applyAlignment="0" applyProtection="0"/>
    <xf numFmtId="174" fontId="91" fillId="0" borderId="0" applyNumberFormat="0" applyFill="0" applyBorder="0" applyAlignment="0" applyProtection="0"/>
    <xf numFmtId="174" fontId="91" fillId="0" borderId="0" applyNumberFormat="0" applyFill="0" applyBorder="0" applyAlignment="0" applyProtection="0"/>
    <xf numFmtId="174" fontId="91" fillId="0" borderId="0" applyNumberFormat="0" applyFill="0" applyBorder="0" applyAlignment="0" applyProtection="0"/>
    <xf numFmtId="174" fontId="91" fillId="0" borderId="0" applyNumberFormat="0" applyFill="0" applyBorder="0" applyAlignment="0" applyProtection="0"/>
    <xf numFmtId="174" fontId="91" fillId="0" borderId="0" applyNumberFormat="0" applyFill="0" applyBorder="0" applyAlignment="0" applyProtection="0"/>
    <xf numFmtId="0" fontId="92" fillId="0" borderId="0" applyNumberFormat="0" applyFill="0" applyBorder="0" applyAlignment="0" applyProtection="0"/>
    <xf numFmtId="174" fontId="91" fillId="0" borderId="0" applyNumberFormat="0" applyFill="0" applyBorder="0" applyAlignment="0" applyProtection="0"/>
    <xf numFmtId="174" fontId="91" fillId="0" borderId="0" applyNumberFormat="0" applyFill="0" applyBorder="0" applyAlignment="0" applyProtection="0"/>
    <xf numFmtId="174" fontId="91" fillId="0" borderId="0" applyNumberFormat="0" applyFill="0" applyBorder="0" applyAlignment="0" applyProtection="0"/>
    <xf numFmtId="174" fontId="91" fillId="0" borderId="0" applyNumberFormat="0" applyFill="0" applyBorder="0" applyAlignment="0" applyProtection="0"/>
    <xf numFmtId="174" fontId="91" fillId="0" borderId="0" applyNumberFormat="0" applyFill="0" applyBorder="0" applyAlignment="0" applyProtection="0"/>
    <xf numFmtId="174" fontId="91" fillId="0" borderId="0" applyNumberFormat="0" applyFill="0" applyBorder="0" applyAlignment="0" applyProtection="0"/>
    <xf numFmtId="174" fontId="91" fillId="0" borderId="0" applyNumberFormat="0" applyFill="0" applyBorder="0" applyAlignment="0" applyProtection="0"/>
    <xf numFmtId="174" fontId="91" fillId="0" borderId="0" applyNumberFormat="0" applyFill="0" applyBorder="0" applyAlignment="0" applyProtection="0"/>
    <xf numFmtId="174" fontId="91" fillId="0" borderId="0" applyNumberFormat="0" applyFill="0" applyBorder="0" applyAlignment="0" applyProtection="0"/>
    <xf numFmtId="174" fontId="91" fillId="0" borderId="0" applyNumberFormat="0" applyFill="0" applyBorder="0" applyAlignment="0" applyProtection="0"/>
    <xf numFmtId="174" fontId="91" fillId="0" borderId="0" applyNumberFormat="0" applyFill="0" applyBorder="0" applyAlignment="0" applyProtection="0"/>
    <xf numFmtId="174" fontId="91" fillId="0" borderId="0" applyNumberFormat="0" applyFill="0" applyBorder="0" applyAlignment="0" applyProtection="0"/>
    <xf numFmtId="174" fontId="91" fillId="0" borderId="0" applyNumberFormat="0" applyFill="0" applyBorder="0" applyAlignment="0" applyProtection="0"/>
    <xf numFmtId="174" fontId="91" fillId="0" borderId="0" applyNumberFormat="0" applyFill="0" applyBorder="0" applyAlignment="0" applyProtection="0"/>
    <xf numFmtId="174" fontId="91" fillId="0" borderId="0" applyNumberFormat="0" applyFill="0" applyBorder="0" applyAlignment="0" applyProtection="0"/>
    <xf numFmtId="174" fontId="91" fillId="0" borderId="0" applyNumberFormat="0" applyFill="0" applyBorder="0" applyAlignment="0" applyProtection="0"/>
    <xf numFmtId="174" fontId="91" fillId="0" borderId="0" applyNumberFormat="0" applyFill="0" applyBorder="0" applyAlignment="0" applyProtection="0"/>
    <xf numFmtId="174" fontId="91" fillId="0" borderId="0" applyNumberFormat="0" applyFill="0" applyBorder="0" applyAlignment="0" applyProtection="0"/>
    <xf numFmtId="174" fontId="91" fillId="0" borderId="0" applyNumberFormat="0" applyFill="0" applyBorder="0" applyAlignment="0" applyProtection="0"/>
    <xf numFmtId="174" fontId="91" fillId="0" borderId="0" applyNumberFormat="0" applyFill="0" applyBorder="0" applyAlignment="0" applyProtection="0"/>
    <xf numFmtId="174" fontId="91" fillId="0" borderId="0" applyNumberFormat="0" applyFill="0" applyBorder="0" applyAlignment="0" applyProtection="0"/>
    <xf numFmtId="174" fontId="91" fillId="0" borderId="0" applyNumberFormat="0" applyFill="0" applyBorder="0" applyAlignment="0" applyProtection="0"/>
    <xf numFmtId="174" fontId="91" fillId="0" borderId="0" applyNumberFormat="0" applyFill="0" applyBorder="0" applyAlignment="0" applyProtection="0"/>
    <xf numFmtId="174" fontId="91" fillId="0" borderId="0" applyNumberFormat="0" applyFill="0" applyBorder="0" applyAlignment="0" applyProtection="0"/>
    <xf numFmtId="174" fontId="91" fillId="0" borderId="0" applyNumberFormat="0" applyFill="0" applyBorder="0" applyAlignment="0" applyProtection="0"/>
    <xf numFmtId="174" fontId="91" fillId="0" borderId="0" applyNumberFormat="0" applyFill="0" applyBorder="0" applyAlignment="0" applyProtection="0"/>
    <xf numFmtId="174" fontId="91" fillId="0" borderId="0" applyNumberFormat="0" applyFill="0" applyBorder="0" applyAlignment="0" applyProtection="0"/>
    <xf numFmtId="174" fontId="93" fillId="0" borderId="0" applyNumberFormat="0" applyFill="0" applyBorder="0" applyAlignment="0" applyProtection="0">
      <alignment vertical="top"/>
      <protection locked="0"/>
    </xf>
    <xf numFmtId="0" fontId="94" fillId="0" borderId="0" applyNumberFormat="0" applyFill="0" applyBorder="0" applyAlignment="0" applyProtection="0">
      <alignment vertical="top"/>
      <protection locked="0"/>
    </xf>
    <xf numFmtId="0" fontId="95" fillId="0" borderId="0" applyNumberFormat="0" applyFill="0" applyBorder="0" applyAlignment="0" applyProtection="0">
      <alignment vertical="top"/>
      <protection locked="0"/>
    </xf>
    <xf numFmtId="174" fontId="93" fillId="0" borderId="0" applyNumberFormat="0" applyFill="0" applyBorder="0" applyAlignment="0" applyProtection="0">
      <alignment vertical="top"/>
      <protection locked="0"/>
    </xf>
    <xf numFmtId="174" fontId="93" fillId="0" borderId="0" applyNumberFormat="0" applyFill="0" applyBorder="0" applyAlignment="0" applyProtection="0">
      <alignment vertical="top"/>
      <protection locked="0"/>
    </xf>
    <xf numFmtId="174" fontId="93" fillId="0" borderId="0" applyNumberFormat="0" applyFill="0" applyBorder="0" applyAlignment="0" applyProtection="0">
      <alignment vertical="top"/>
      <protection locked="0"/>
    </xf>
    <xf numFmtId="174" fontId="93" fillId="0" borderId="0" applyNumberFormat="0" applyFill="0" applyBorder="0" applyAlignment="0" applyProtection="0">
      <alignment vertical="top"/>
      <protection locked="0"/>
    </xf>
    <xf numFmtId="174" fontId="93" fillId="0" borderId="0" applyNumberFormat="0" applyFill="0" applyBorder="0" applyAlignment="0" applyProtection="0">
      <alignment vertical="top"/>
      <protection locked="0"/>
    </xf>
    <xf numFmtId="174" fontId="93" fillId="0" borderId="0" applyNumberFormat="0" applyFill="0" applyBorder="0" applyAlignment="0" applyProtection="0">
      <alignment vertical="top"/>
      <protection locked="0"/>
    </xf>
    <xf numFmtId="174" fontId="93" fillId="0" borderId="0" applyNumberFormat="0" applyFill="0" applyBorder="0" applyAlignment="0" applyProtection="0">
      <alignment vertical="top"/>
      <protection locked="0"/>
    </xf>
    <xf numFmtId="174" fontId="93" fillId="0" borderId="0" applyNumberFormat="0" applyFill="0" applyBorder="0" applyAlignment="0" applyProtection="0">
      <alignment vertical="top"/>
      <protection locked="0"/>
    </xf>
    <xf numFmtId="0" fontId="95" fillId="0" borderId="0" applyNumberFormat="0" applyFill="0" applyBorder="0" applyAlignment="0" applyProtection="0">
      <alignment vertical="top"/>
      <protection locked="0"/>
    </xf>
    <xf numFmtId="0" fontId="94" fillId="0" borderId="0" applyNumberFormat="0" applyFill="0" applyBorder="0" applyAlignment="0" applyProtection="0">
      <alignment vertical="top"/>
      <protection locked="0"/>
    </xf>
    <xf numFmtId="174" fontId="93" fillId="0" borderId="0" applyNumberFormat="0" applyFill="0" applyBorder="0" applyAlignment="0" applyProtection="0">
      <alignment vertical="top"/>
      <protection locked="0"/>
    </xf>
    <xf numFmtId="174" fontId="93" fillId="0" borderId="0" applyNumberFormat="0" applyFill="0" applyBorder="0" applyAlignment="0" applyProtection="0">
      <alignment vertical="top"/>
      <protection locked="0"/>
    </xf>
    <xf numFmtId="174" fontId="93" fillId="0" borderId="0" applyNumberFormat="0" applyFill="0" applyBorder="0" applyAlignment="0" applyProtection="0">
      <alignment vertical="top"/>
      <protection locked="0"/>
    </xf>
    <xf numFmtId="174" fontId="93" fillId="0" borderId="0" applyNumberFormat="0" applyFill="0" applyBorder="0" applyAlignment="0" applyProtection="0">
      <alignment vertical="top"/>
      <protection locked="0"/>
    </xf>
    <xf numFmtId="174" fontId="93" fillId="0" borderId="0" applyNumberFormat="0" applyFill="0" applyBorder="0" applyAlignment="0" applyProtection="0">
      <alignment vertical="top"/>
      <protection locked="0"/>
    </xf>
    <xf numFmtId="0" fontId="94"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96" fillId="0" borderId="0" applyNumberFormat="0" applyFill="0" applyBorder="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0" fontId="98" fillId="65" borderId="57"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0" fontId="98" fillId="65" borderId="57"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9" fillId="0" borderId="65" applyNumberFormat="0" applyFill="0" applyAlignment="0" applyProtection="0"/>
    <xf numFmtId="174" fontId="99" fillId="0" borderId="65" applyNumberFormat="0" applyFill="0" applyAlignment="0" applyProtection="0"/>
    <xf numFmtId="174" fontId="99" fillId="0" borderId="65" applyNumberFormat="0" applyFill="0" applyAlignment="0" applyProtection="0"/>
    <xf numFmtId="174" fontId="99" fillId="0" borderId="65" applyNumberFormat="0" applyFill="0" applyAlignment="0" applyProtection="0"/>
    <xf numFmtId="174" fontId="99" fillId="0" borderId="65" applyNumberFormat="0" applyFill="0" applyAlignment="0" applyProtection="0"/>
    <xf numFmtId="174" fontId="99" fillId="0" borderId="65" applyNumberFormat="0" applyFill="0" applyAlignment="0" applyProtection="0"/>
    <xf numFmtId="174" fontId="99" fillId="0" borderId="65" applyNumberFormat="0" applyFill="0" applyAlignment="0" applyProtection="0"/>
    <xf numFmtId="174" fontId="99" fillId="0" borderId="65" applyNumberFormat="0" applyFill="0" applyAlignment="0" applyProtection="0"/>
    <xf numFmtId="174" fontId="99" fillId="0" borderId="65" applyNumberFormat="0" applyFill="0" applyAlignment="0" applyProtection="0"/>
    <xf numFmtId="174" fontId="99" fillId="0" borderId="65" applyNumberFormat="0" applyFill="0" applyAlignment="0" applyProtection="0"/>
    <xf numFmtId="174" fontId="99" fillId="0" borderId="65" applyNumberFormat="0" applyFill="0" applyAlignment="0" applyProtection="0"/>
    <xf numFmtId="174" fontId="99" fillId="0" borderId="65" applyNumberFormat="0" applyFill="0" applyAlignment="0" applyProtection="0"/>
    <xf numFmtId="174" fontId="99" fillId="0" borderId="65" applyNumberFormat="0" applyFill="0" applyAlignment="0" applyProtection="0"/>
    <xf numFmtId="174" fontId="99" fillId="0" borderId="65" applyNumberFormat="0" applyFill="0" applyAlignment="0" applyProtection="0"/>
    <xf numFmtId="174" fontId="99" fillId="0" borderId="65" applyNumberFormat="0" applyFill="0" applyAlignment="0" applyProtection="0"/>
    <xf numFmtId="174" fontId="99" fillId="0" borderId="65" applyNumberFormat="0" applyFill="0" applyAlignment="0" applyProtection="0"/>
    <xf numFmtId="174" fontId="99" fillId="0" borderId="65" applyNumberFormat="0" applyFill="0" applyAlignment="0" applyProtection="0"/>
    <xf numFmtId="174" fontId="99" fillId="0" borderId="65" applyNumberFormat="0" applyFill="0" applyAlignment="0" applyProtection="0"/>
    <xf numFmtId="174" fontId="99" fillId="0" borderId="65" applyNumberFormat="0" applyFill="0" applyAlignment="0" applyProtection="0"/>
    <xf numFmtId="174" fontId="99" fillId="0" borderId="65" applyNumberFormat="0" applyFill="0" applyAlignment="0" applyProtection="0"/>
    <xf numFmtId="174" fontId="99" fillId="0" borderId="65" applyNumberFormat="0" applyFill="0" applyAlignment="0" applyProtection="0"/>
    <xf numFmtId="174" fontId="99" fillId="0" borderId="65" applyNumberFormat="0" applyFill="0" applyAlignment="0" applyProtection="0"/>
    <xf numFmtId="0" fontId="86" fillId="0" borderId="66" applyNumberFormat="0" applyFill="0" applyAlignment="0" applyProtection="0"/>
    <xf numFmtId="174" fontId="99" fillId="0" borderId="65" applyNumberFormat="0" applyFill="0" applyAlignment="0" applyProtection="0"/>
    <xf numFmtId="174" fontId="99" fillId="0" borderId="65" applyNumberFormat="0" applyFill="0" applyAlignment="0" applyProtection="0"/>
    <xf numFmtId="174" fontId="99" fillId="0" borderId="65" applyNumberFormat="0" applyFill="0" applyAlignment="0" applyProtection="0"/>
    <xf numFmtId="174" fontId="99" fillId="0" borderId="65" applyNumberFormat="0" applyFill="0" applyAlignment="0" applyProtection="0"/>
    <xf numFmtId="174" fontId="99" fillId="0" borderId="65" applyNumberFormat="0" applyFill="0" applyAlignment="0" applyProtection="0"/>
    <xf numFmtId="174" fontId="99" fillId="0" borderId="65" applyNumberFormat="0" applyFill="0" applyAlignment="0" applyProtection="0"/>
    <xf numFmtId="174" fontId="99" fillId="0" borderId="65" applyNumberFormat="0" applyFill="0" applyAlignment="0" applyProtection="0"/>
    <xf numFmtId="174" fontId="99" fillId="0" borderId="65" applyNumberFormat="0" applyFill="0" applyAlignment="0" applyProtection="0"/>
    <xf numFmtId="174" fontId="99" fillId="0" borderId="65" applyNumberFormat="0" applyFill="0" applyAlignment="0" applyProtection="0"/>
    <xf numFmtId="174" fontId="99" fillId="0" borderId="65" applyNumberFormat="0" applyFill="0" applyAlignment="0" applyProtection="0"/>
    <xf numFmtId="174" fontId="99" fillId="0" borderId="65" applyNumberFormat="0" applyFill="0" applyAlignment="0" applyProtection="0"/>
    <xf numFmtId="174" fontId="99" fillId="0" borderId="65" applyNumberFormat="0" applyFill="0" applyAlignment="0" applyProtection="0"/>
    <xf numFmtId="174" fontId="99" fillId="0" borderId="65" applyNumberFormat="0" applyFill="0" applyAlignment="0" applyProtection="0"/>
    <xf numFmtId="174" fontId="99" fillId="0" borderId="65" applyNumberFormat="0" applyFill="0" applyAlignment="0" applyProtection="0"/>
    <xf numFmtId="174" fontId="99" fillId="0" borderId="65" applyNumberFormat="0" applyFill="0" applyAlignment="0" applyProtection="0"/>
    <xf numFmtId="174" fontId="99" fillId="0" borderId="65" applyNumberFormat="0" applyFill="0" applyAlignment="0" applyProtection="0"/>
    <xf numFmtId="174" fontId="99" fillId="0" borderId="65" applyNumberFormat="0" applyFill="0" applyAlignment="0" applyProtection="0"/>
    <xf numFmtId="174" fontId="99" fillId="0" borderId="65" applyNumberFormat="0" applyFill="0" applyAlignment="0" applyProtection="0"/>
    <xf numFmtId="174" fontId="99" fillId="0" borderId="65" applyNumberFormat="0" applyFill="0" applyAlignment="0" applyProtection="0"/>
    <xf numFmtId="174" fontId="99" fillId="0" borderId="65" applyNumberFormat="0" applyFill="0" applyAlignment="0" applyProtection="0"/>
    <xf numFmtId="174" fontId="99" fillId="0" borderId="65" applyNumberFormat="0" applyFill="0" applyAlignment="0" applyProtection="0"/>
    <xf numFmtId="174" fontId="99" fillId="0" borderId="65" applyNumberFormat="0" applyFill="0" applyAlignment="0" applyProtection="0"/>
    <xf numFmtId="174" fontId="99" fillId="0" borderId="65" applyNumberFormat="0" applyFill="0" applyAlignment="0" applyProtection="0"/>
    <xf numFmtId="174" fontId="99" fillId="0" borderId="65" applyNumberFormat="0" applyFill="0" applyAlignment="0" applyProtection="0"/>
    <xf numFmtId="174" fontId="99" fillId="0" borderId="65" applyNumberFormat="0" applyFill="0" applyAlignment="0" applyProtection="0"/>
    <xf numFmtId="174" fontId="99" fillId="0" borderId="65" applyNumberFormat="0" applyFill="0" applyAlignment="0" applyProtection="0"/>
    <xf numFmtId="174" fontId="99" fillId="0" borderId="65" applyNumberFormat="0" applyFill="0" applyAlignment="0" applyProtection="0"/>
    <xf numFmtId="174" fontId="100" fillId="76" borderId="0" applyNumberFormat="0" applyBorder="0" applyAlignment="0" applyProtection="0"/>
    <xf numFmtId="174" fontId="100" fillId="76" borderId="0" applyNumberFormat="0" applyBorder="0" applyAlignment="0" applyProtection="0"/>
    <xf numFmtId="174" fontId="100" fillId="76" borderId="0" applyNumberFormat="0" applyBorder="0" applyAlignment="0" applyProtection="0"/>
    <xf numFmtId="174" fontId="100" fillId="76" borderId="0" applyNumberFormat="0" applyBorder="0" applyAlignment="0" applyProtection="0"/>
    <xf numFmtId="174" fontId="100" fillId="76" borderId="0" applyNumberFormat="0" applyBorder="0" applyAlignment="0" applyProtection="0"/>
    <xf numFmtId="174" fontId="100" fillId="76" borderId="0" applyNumberFormat="0" applyBorder="0" applyAlignment="0" applyProtection="0"/>
    <xf numFmtId="174" fontId="100" fillId="76" borderId="0" applyNumberFormat="0" applyBorder="0" applyAlignment="0" applyProtection="0"/>
    <xf numFmtId="174" fontId="100" fillId="76" borderId="0" applyNumberFormat="0" applyBorder="0" applyAlignment="0" applyProtection="0"/>
    <xf numFmtId="174" fontId="100" fillId="76" borderId="0" applyNumberFormat="0" applyBorder="0" applyAlignment="0" applyProtection="0"/>
    <xf numFmtId="174" fontId="100" fillId="76" borderId="0" applyNumberFormat="0" applyBorder="0" applyAlignment="0" applyProtection="0"/>
    <xf numFmtId="174" fontId="100" fillId="76" borderId="0" applyNumberFormat="0" applyBorder="0" applyAlignment="0" applyProtection="0"/>
    <xf numFmtId="174" fontId="100" fillId="76" borderId="0" applyNumberFormat="0" applyBorder="0" applyAlignment="0" applyProtection="0"/>
    <xf numFmtId="174" fontId="100" fillId="76" borderId="0" applyNumberFormat="0" applyBorder="0" applyAlignment="0" applyProtection="0"/>
    <xf numFmtId="174" fontId="100" fillId="76" borderId="0" applyNumberFormat="0" applyBorder="0" applyAlignment="0" applyProtection="0"/>
    <xf numFmtId="174" fontId="100" fillId="76" borderId="0" applyNumberFormat="0" applyBorder="0" applyAlignment="0" applyProtection="0"/>
    <xf numFmtId="174" fontId="100" fillId="76" borderId="0" applyNumberFormat="0" applyBorder="0" applyAlignment="0" applyProtection="0"/>
    <xf numFmtId="174" fontId="100" fillId="76" borderId="0" applyNumberFormat="0" applyBorder="0" applyAlignment="0" applyProtection="0"/>
    <xf numFmtId="174" fontId="100" fillId="76" borderId="0" applyNumberFormat="0" applyBorder="0" applyAlignment="0" applyProtection="0"/>
    <xf numFmtId="174" fontId="100" fillId="76" borderId="0" applyNumberFormat="0" applyBorder="0" applyAlignment="0" applyProtection="0"/>
    <xf numFmtId="174" fontId="100" fillId="76" borderId="0" applyNumberFormat="0" applyBorder="0" applyAlignment="0" applyProtection="0"/>
    <xf numFmtId="174" fontId="100" fillId="76" borderId="0" applyNumberFormat="0" applyBorder="0" applyAlignment="0" applyProtection="0"/>
    <xf numFmtId="174" fontId="100" fillId="76" borderId="0" applyNumberFormat="0" applyBorder="0" applyAlignment="0" applyProtection="0"/>
    <xf numFmtId="0" fontId="86" fillId="65" borderId="0" applyNumberFormat="0" applyBorder="0" applyAlignment="0" applyProtection="0"/>
    <xf numFmtId="174" fontId="100" fillId="76" borderId="0" applyNumberFormat="0" applyBorder="0" applyAlignment="0" applyProtection="0"/>
    <xf numFmtId="174" fontId="100" fillId="76" borderId="0" applyNumberFormat="0" applyBorder="0" applyAlignment="0" applyProtection="0"/>
    <xf numFmtId="174" fontId="100" fillId="76" borderId="0" applyNumberFormat="0" applyBorder="0" applyAlignment="0" applyProtection="0"/>
    <xf numFmtId="174" fontId="100" fillId="76" borderId="0" applyNumberFormat="0" applyBorder="0" applyAlignment="0" applyProtection="0"/>
    <xf numFmtId="174" fontId="100" fillId="76" borderId="0" applyNumberFormat="0" applyBorder="0" applyAlignment="0" applyProtection="0"/>
    <xf numFmtId="174" fontId="100" fillId="76" borderId="0" applyNumberFormat="0" applyBorder="0" applyAlignment="0" applyProtection="0"/>
    <xf numFmtId="174" fontId="100" fillId="76" borderId="0" applyNumberFormat="0" applyBorder="0" applyAlignment="0" applyProtection="0"/>
    <xf numFmtId="174" fontId="100" fillId="76" borderId="0" applyNumberFormat="0" applyBorder="0" applyAlignment="0" applyProtection="0"/>
    <xf numFmtId="174" fontId="100" fillId="76" borderId="0" applyNumberFormat="0" applyBorder="0" applyAlignment="0" applyProtection="0"/>
    <xf numFmtId="174" fontId="100" fillId="76" borderId="0" applyNumberFormat="0" applyBorder="0" applyAlignment="0" applyProtection="0"/>
    <xf numFmtId="174" fontId="100" fillId="76" borderId="0" applyNumberFormat="0" applyBorder="0" applyAlignment="0" applyProtection="0"/>
    <xf numFmtId="174" fontId="100" fillId="76" borderId="0" applyNumberFormat="0" applyBorder="0" applyAlignment="0" applyProtection="0"/>
    <xf numFmtId="174" fontId="100" fillId="76" borderId="0" applyNumberFormat="0" applyBorder="0" applyAlignment="0" applyProtection="0"/>
    <xf numFmtId="174" fontId="100" fillId="76" borderId="0" applyNumberFormat="0" applyBorder="0" applyAlignment="0" applyProtection="0"/>
    <xf numFmtId="174" fontId="100" fillId="76" borderId="0" applyNumberFormat="0" applyBorder="0" applyAlignment="0" applyProtection="0"/>
    <xf numFmtId="174" fontId="100" fillId="76" borderId="0" applyNumberFormat="0" applyBorder="0" applyAlignment="0" applyProtection="0"/>
    <xf numFmtId="174" fontId="100" fillId="76" borderId="0" applyNumberFormat="0" applyBorder="0" applyAlignment="0" applyProtection="0"/>
    <xf numFmtId="174" fontId="100" fillId="76" borderId="0" applyNumberFormat="0" applyBorder="0" applyAlignment="0" applyProtection="0"/>
    <xf numFmtId="174" fontId="100" fillId="76" borderId="0" applyNumberFormat="0" applyBorder="0" applyAlignment="0" applyProtection="0"/>
    <xf numFmtId="174" fontId="100" fillId="76" borderId="0" applyNumberFormat="0" applyBorder="0" applyAlignment="0" applyProtection="0"/>
    <xf numFmtId="174" fontId="100" fillId="76" borderId="0" applyNumberFormat="0" applyBorder="0" applyAlignment="0" applyProtection="0"/>
    <xf numFmtId="174" fontId="100" fillId="76" borderId="0" applyNumberFormat="0" applyBorder="0" applyAlignment="0" applyProtection="0"/>
    <xf numFmtId="174" fontId="100" fillId="76" borderId="0" applyNumberFormat="0" applyBorder="0" applyAlignment="0" applyProtection="0"/>
    <xf numFmtId="174" fontId="100" fillId="76" borderId="0" applyNumberFormat="0" applyBorder="0" applyAlignment="0" applyProtection="0"/>
    <xf numFmtId="174" fontId="100" fillId="76" borderId="0" applyNumberFormat="0" applyBorder="0" applyAlignment="0" applyProtection="0"/>
    <xf numFmtId="174" fontId="100" fillId="76" borderId="0" applyNumberFormat="0" applyBorder="0" applyAlignment="0" applyProtection="0"/>
    <xf numFmtId="174" fontId="100" fillId="76" borderId="0" applyNumberFormat="0" applyBorder="0" applyAlignment="0" applyProtection="0"/>
    <xf numFmtId="0" fontId="9" fillId="0" borderId="0"/>
    <xf numFmtId="0" fontId="22" fillId="0" borderId="0"/>
    <xf numFmtId="0" fontId="22" fillId="0" borderId="0"/>
    <xf numFmtId="0" fontId="22" fillId="0" borderId="0"/>
    <xf numFmtId="0" fontId="22" fillId="0" borderId="0"/>
    <xf numFmtId="0" fontId="22" fillId="0" borderId="0"/>
    <xf numFmtId="0" fontId="22" fillId="0" borderId="0"/>
    <xf numFmtId="183" fontId="22" fillId="0" borderId="0"/>
    <xf numFmtId="0" fontId="79" fillId="0" borderId="0"/>
    <xf numFmtId="0" fontId="22" fillId="0" borderId="0"/>
    <xf numFmtId="0" fontId="22" fillId="0" borderId="0"/>
    <xf numFmtId="0" fontId="22" fillId="0" borderId="0"/>
    <xf numFmtId="0" fontId="79" fillId="0" borderId="0"/>
    <xf numFmtId="0" fontId="22" fillId="0" borderId="0"/>
    <xf numFmtId="0" fontId="22" fillId="0" borderId="0"/>
    <xf numFmtId="0" fontId="79" fillId="0" borderId="0"/>
    <xf numFmtId="0" fontId="79" fillId="0" borderId="0"/>
    <xf numFmtId="0" fontId="22" fillId="0" borderId="0"/>
    <xf numFmtId="183" fontId="22" fillId="0" borderId="0"/>
    <xf numFmtId="0" fontId="79" fillId="0" borderId="0"/>
    <xf numFmtId="0" fontId="79" fillId="0" borderId="0"/>
    <xf numFmtId="0" fontId="79" fillId="0" borderId="0"/>
    <xf numFmtId="183" fontId="9" fillId="0" borderId="0"/>
    <xf numFmtId="0" fontId="79" fillId="0" borderId="0"/>
    <xf numFmtId="0" fontId="22" fillId="0" borderId="0"/>
    <xf numFmtId="0" fontId="79" fillId="0" borderId="0"/>
    <xf numFmtId="0" fontId="79" fillId="0" borderId="0"/>
    <xf numFmtId="183" fontId="9" fillId="0" borderId="0"/>
    <xf numFmtId="0" fontId="79" fillId="0" borderId="0"/>
    <xf numFmtId="0" fontId="79" fillId="0" borderId="0"/>
    <xf numFmtId="0" fontId="22" fillId="0" borderId="0"/>
    <xf numFmtId="0" fontId="22" fillId="0" borderId="0"/>
    <xf numFmtId="183" fontId="22" fillId="0" borderId="0"/>
    <xf numFmtId="0" fontId="79" fillId="0" borderId="0"/>
    <xf numFmtId="0" fontId="22" fillId="0" borderId="0"/>
    <xf numFmtId="0" fontId="22" fillId="0" borderId="0"/>
    <xf numFmtId="0" fontId="79" fillId="0" borderId="0"/>
    <xf numFmtId="0" fontId="22" fillId="0" borderId="0"/>
    <xf numFmtId="0" fontId="22" fillId="0" borderId="0"/>
    <xf numFmtId="0" fontId="79" fillId="0" borderId="0"/>
    <xf numFmtId="174" fontId="9" fillId="0" borderId="0"/>
    <xf numFmtId="183" fontId="22" fillId="0" borderId="0"/>
    <xf numFmtId="0" fontId="9" fillId="0" borderId="0"/>
    <xf numFmtId="0" fontId="9" fillId="0" borderId="0"/>
    <xf numFmtId="183" fontId="9" fillId="0" borderId="0"/>
    <xf numFmtId="0" fontId="22" fillId="0" borderId="0"/>
    <xf numFmtId="0" fontId="22" fillId="0" borderId="0"/>
    <xf numFmtId="183" fontId="9" fillId="0" borderId="0"/>
    <xf numFmtId="174" fontId="22" fillId="0" borderId="0"/>
    <xf numFmtId="174" fontId="9" fillId="0" borderId="0"/>
    <xf numFmtId="183" fontId="9" fillId="0" borderId="0"/>
    <xf numFmtId="174" fontId="9" fillId="0" borderId="0"/>
    <xf numFmtId="174" fontId="9" fillId="0" borderId="0"/>
    <xf numFmtId="174" fontId="9" fillId="0" borderId="0"/>
    <xf numFmtId="183" fontId="9" fillId="0" borderId="0"/>
    <xf numFmtId="174" fontId="9" fillId="0" borderId="0"/>
    <xf numFmtId="174" fontId="9" fillId="0" borderId="0"/>
    <xf numFmtId="174" fontId="9" fillId="0" borderId="0"/>
    <xf numFmtId="179"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0" fontId="9" fillId="0" borderId="0"/>
    <xf numFmtId="0" fontId="9" fillId="0" borderId="0"/>
    <xf numFmtId="174" fontId="9" fillId="0" borderId="0"/>
    <xf numFmtId="174" fontId="9" fillId="0" borderId="0"/>
    <xf numFmtId="174" fontId="9" fillId="0" borderId="0"/>
    <xf numFmtId="183" fontId="9" fillId="0" borderId="0"/>
    <xf numFmtId="174" fontId="9" fillId="0" borderId="0"/>
    <xf numFmtId="174" fontId="9" fillId="0" borderId="0"/>
    <xf numFmtId="174" fontId="9" fillId="0" borderId="0"/>
    <xf numFmtId="174" fontId="9" fillId="0" borderId="0"/>
    <xf numFmtId="174" fontId="9" fillId="0" borderId="0"/>
    <xf numFmtId="0" fontId="22" fillId="0" borderId="0"/>
    <xf numFmtId="0" fontId="22" fillId="0" borderId="0"/>
    <xf numFmtId="179" fontId="9" fillId="0" borderId="0"/>
    <xf numFmtId="0" fontId="22" fillId="0" borderId="0"/>
    <xf numFmtId="0" fontId="22" fillId="0" borderId="0"/>
    <xf numFmtId="0" fontId="9" fillId="0" borderId="0"/>
    <xf numFmtId="174" fontId="9" fillId="0" borderId="0"/>
    <xf numFmtId="174" fontId="9" fillId="0" borderId="0"/>
    <xf numFmtId="174" fontId="9" fillId="0" borderId="0"/>
    <xf numFmtId="174" fontId="9" fillId="0" borderId="0"/>
    <xf numFmtId="174" fontId="9" fillId="0" borderId="0"/>
    <xf numFmtId="0" fontId="78" fillId="0" borderId="0">
      <alignment vertical="top"/>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 fillId="0" borderId="0"/>
    <xf numFmtId="0" fontId="2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9" fillId="0" borderId="0"/>
    <xf numFmtId="0" fontId="2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 fillId="0" borderId="0"/>
    <xf numFmtId="0" fontId="22" fillId="0" borderId="0"/>
    <xf numFmtId="0" fontId="22" fillId="0" borderId="0"/>
    <xf numFmtId="0" fontId="22" fillId="0" borderId="0"/>
    <xf numFmtId="0" fontId="1" fillId="0" borderId="0"/>
    <xf numFmtId="0" fontId="22" fillId="0" borderId="0"/>
    <xf numFmtId="0" fontId="22" fillId="0" borderId="0"/>
    <xf numFmtId="0" fontId="22" fillId="0" borderId="0"/>
    <xf numFmtId="0" fontId="22" fillId="0" borderId="0"/>
    <xf numFmtId="0" fontId="22" fillId="0" borderId="0"/>
    <xf numFmtId="0" fontId="22" fillId="0" borderId="0"/>
    <xf numFmtId="0" fontId="1" fillId="0" borderId="0"/>
    <xf numFmtId="0" fontId="1" fillId="0" borderId="0"/>
    <xf numFmtId="0" fontId="1" fillId="0" borderId="0"/>
    <xf numFmtId="0" fontId="1" fillId="0" borderId="0"/>
    <xf numFmtId="0" fontId="1" fillId="0" borderId="0"/>
    <xf numFmtId="0" fontId="1" fillId="0" borderId="0"/>
    <xf numFmtId="0" fontId="22" fillId="0" borderId="0"/>
    <xf numFmtId="0" fontId="22" fillId="0" borderId="0"/>
    <xf numFmtId="0" fontId="1" fillId="0" borderId="0"/>
    <xf numFmtId="0" fontId="22" fillId="0" borderId="0"/>
    <xf numFmtId="0" fontId="22" fillId="0" borderId="0"/>
    <xf numFmtId="0" fontId="1" fillId="0" borderId="0"/>
    <xf numFmtId="0" fontId="22" fillId="0" borderId="0"/>
    <xf numFmtId="0" fontId="1" fillId="0" borderId="0"/>
    <xf numFmtId="0" fontId="22" fillId="0" borderId="0"/>
    <xf numFmtId="0" fontId="22" fillId="0" borderId="0"/>
    <xf numFmtId="0" fontId="22" fillId="0" borderId="0"/>
    <xf numFmtId="0" fontId="1" fillId="0" borderId="0"/>
    <xf numFmtId="0" fontId="22" fillId="0" borderId="0"/>
    <xf numFmtId="0" fontId="22" fillId="0" borderId="0"/>
    <xf numFmtId="0" fontId="22" fillId="0" borderId="0"/>
    <xf numFmtId="0" fontId="22" fillId="0" borderId="0"/>
    <xf numFmtId="0" fontId="22" fillId="0" borderId="0"/>
    <xf numFmtId="0" fontId="22" fillId="0" borderId="0"/>
    <xf numFmtId="0" fontId="1" fillId="0" borderId="0"/>
    <xf numFmtId="0" fontId="1" fillId="0" borderId="0"/>
    <xf numFmtId="0" fontId="22" fillId="0" borderId="0"/>
    <xf numFmtId="0" fontId="1" fillId="0" borderId="0"/>
    <xf numFmtId="0" fontId="1" fillId="0" borderId="0"/>
    <xf numFmtId="0" fontId="1" fillId="0" borderId="0"/>
    <xf numFmtId="0" fontId="1" fillId="0" borderId="0"/>
    <xf numFmtId="0" fontId="1" fillId="0" borderId="0"/>
    <xf numFmtId="0" fontId="1" fillId="0" borderId="0"/>
    <xf numFmtId="0" fontId="22" fillId="0" borderId="0"/>
    <xf numFmtId="0" fontId="22" fillId="0" borderId="0"/>
    <xf numFmtId="0" fontId="1"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 fillId="0" borderId="0"/>
    <xf numFmtId="0" fontId="1" fillId="0" borderId="0"/>
    <xf numFmtId="0" fontId="1"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 fillId="0" borderId="0"/>
    <xf numFmtId="0" fontId="1" fillId="0" borderId="0"/>
    <xf numFmtId="0" fontId="1" fillId="0" borderId="0"/>
    <xf numFmtId="0" fontId="22" fillId="0" borderId="0"/>
    <xf numFmtId="0" fontId="1" fillId="0" borderId="0"/>
    <xf numFmtId="0" fontId="22" fillId="0" borderId="0"/>
    <xf numFmtId="0" fontId="1" fillId="0" borderId="0"/>
    <xf numFmtId="0" fontId="1" fillId="0" borderId="0"/>
    <xf numFmtId="0" fontId="1" fillId="0" borderId="0"/>
    <xf numFmtId="0" fontId="1" fillId="0" borderId="0"/>
    <xf numFmtId="0" fontId="1" fillId="0" borderId="0"/>
    <xf numFmtId="0" fontId="1" fillId="0" borderId="0"/>
    <xf numFmtId="0" fontId="22" fillId="0" borderId="0"/>
    <xf numFmtId="0" fontId="22" fillId="0" borderId="0"/>
    <xf numFmtId="0" fontId="22" fillId="0" borderId="0"/>
    <xf numFmtId="0" fontId="22" fillId="0" borderId="0"/>
    <xf numFmtId="0" fontId="2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4" fontId="1" fillId="0" borderId="0"/>
    <xf numFmtId="174" fontId="1" fillId="0" borderId="0"/>
    <xf numFmtId="174" fontId="1" fillId="0" borderId="0"/>
    <xf numFmtId="174"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22" fillId="0" borderId="0"/>
    <xf numFmtId="0" fontId="1" fillId="0" borderId="0"/>
    <xf numFmtId="0" fontId="1" fillId="0" borderId="0"/>
    <xf numFmtId="0" fontId="1" fillId="0" borderId="0"/>
    <xf numFmtId="0" fontId="1" fillId="0" borderId="0"/>
    <xf numFmtId="0" fontId="1" fillId="0" borderId="0"/>
    <xf numFmtId="0" fontId="1" fillId="0" borderId="0"/>
    <xf numFmtId="0" fontId="22" fillId="0" borderId="0"/>
    <xf numFmtId="0" fontId="22" fillId="0" borderId="0"/>
    <xf numFmtId="0" fontId="22" fillId="0" borderId="0"/>
    <xf numFmtId="0" fontId="22" fillId="0" borderId="0"/>
    <xf numFmtId="0" fontId="22" fillId="0" borderId="0"/>
    <xf numFmtId="0" fontId="1" fillId="0" borderId="0"/>
    <xf numFmtId="0" fontId="22" fillId="0" borderId="0"/>
    <xf numFmtId="0" fontId="1" fillId="0" borderId="0"/>
    <xf numFmtId="0" fontId="1" fillId="0" borderId="0"/>
    <xf numFmtId="0" fontId="1" fillId="0" borderId="0"/>
    <xf numFmtId="0" fontId="1" fillId="0" borderId="0"/>
    <xf numFmtId="0" fontId="1" fillId="0" borderId="0"/>
    <xf numFmtId="0" fontId="1" fillId="0" borderId="0"/>
    <xf numFmtId="0" fontId="22" fillId="0" borderId="0"/>
    <xf numFmtId="0" fontId="1" fillId="0" borderId="0"/>
    <xf numFmtId="0" fontId="1" fillId="0" borderId="0"/>
    <xf numFmtId="0" fontId="22" fillId="0" borderId="0"/>
    <xf numFmtId="0" fontId="1" fillId="0" borderId="0"/>
    <xf numFmtId="0" fontId="22" fillId="0" borderId="0"/>
    <xf numFmtId="0" fontId="1" fillId="0" borderId="0"/>
    <xf numFmtId="0" fontId="2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0" fontId="2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9" fillId="0" borderId="0"/>
    <xf numFmtId="0" fontId="1" fillId="0" borderId="0"/>
    <xf numFmtId="0" fontId="79" fillId="0" borderId="0"/>
    <xf numFmtId="0" fontId="1" fillId="0" borderId="0"/>
    <xf numFmtId="0" fontId="1" fillId="0" borderId="0"/>
    <xf numFmtId="0" fontId="22" fillId="0" borderId="0"/>
    <xf numFmtId="0" fontId="22" fillId="0" borderId="0"/>
    <xf numFmtId="0" fontId="22" fillId="0" borderId="0"/>
    <xf numFmtId="183" fontId="9" fillId="0" borderId="0"/>
    <xf numFmtId="174" fontId="9" fillId="0" borderId="0"/>
    <xf numFmtId="174" fontId="1" fillId="0" borderId="0"/>
    <xf numFmtId="174" fontId="1" fillId="0" borderId="0"/>
    <xf numFmtId="174" fontId="1" fillId="0" borderId="0"/>
    <xf numFmtId="174" fontId="1" fillId="0" borderId="0"/>
    <xf numFmtId="174" fontId="9" fillId="0" borderId="0"/>
    <xf numFmtId="174" fontId="9" fillId="0" borderId="0"/>
    <xf numFmtId="174" fontId="9" fillId="0" borderId="0"/>
    <xf numFmtId="0" fontId="27" fillId="0" borderId="0"/>
    <xf numFmtId="0" fontId="1" fillId="0" borderId="0"/>
    <xf numFmtId="0" fontId="79" fillId="0" borderId="0"/>
    <xf numFmtId="0" fontId="1" fillId="0" borderId="0"/>
    <xf numFmtId="0" fontId="9" fillId="0" borderId="0"/>
    <xf numFmtId="0" fontId="1" fillId="0" borderId="0"/>
    <xf numFmtId="0" fontId="1" fillId="0" borderId="0"/>
    <xf numFmtId="0" fontId="22" fillId="0" borderId="0"/>
    <xf numFmtId="0" fontId="22" fillId="0" borderId="0"/>
    <xf numFmtId="0" fontId="22" fillId="0" borderId="0"/>
    <xf numFmtId="174" fontId="9" fillId="0" borderId="0"/>
    <xf numFmtId="174" fontId="9" fillId="0" borderId="0"/>
    <xf numFmtId="174" fontId="9" fillId="0" borderId="0"/>
    <xf numFmtId="174" fontId="9" fillId="0" borderId="0"/>
    <xf numFmtId="0" fontId="22" fillId="0" borderId="0"/>
    <xf numFmtId="0" fontId="9" fillId="0" borderId="0"/>
    <xf numFmtId="179" fontId="9" fillId="0" borderId="0"/>
    <xf numFmtId="0" fontId="22" fillId="0" borderId="0"/>
    <xf numFmtId="0" fontId="22" fillId="0" borderId="0"/>
    <xf numFmtId="174" fontId="9" fillId="0" borderId="0"/>
    <xf numFmtId="179" fontId="9" fillId="0" borderId="0"/>
    <xf numFmtId="0" fontId="9" fillId="0" borderId="0"/>
    <xf numFmtId="174" fontId="9" fillId="0" borderId="0"/>
    <xf numFmtId="0" fontId="9" fillId="0" borderId="0"/>
    <xf numFmtId="0" fontId="9" fillId="0" borderId="0"/>
    <xf numFmtId="0" fontId="22" fillId="0" borderId="0"/>
    <xf numFmtId="174" fontId="9" fillId="0" borderId="0"/>
    <xf numFmtId="174" fontId="22" fillId="0" borderId="0"/>
    <xf numFmtId="0" fontId="22" fillId="0" borderId="0"/>
    <xf numFmtId="0" fontId="22" fillId="0" borderId="0"/>
    <xf numFmtId="0" fontId="22" fillId="0" borderId="0"/>
    <xf numFmtId="0" fontId="22"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0"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0" fontId="9" fillId="0" borderId="0"/>
    <xf numFmtId="179" fontId="22" fillId="0" borderId="0"/>
    <xf numFmtId="179" fontId="22" fillId="0" borderId="0"/>
    <xf numFmtId="179" fontId="22" fillId="0" borderId="0"/>
    <xf numFmtId="179" fontId="22" fillId="0" borderId="0"/>
    <xf numFmtId="179" fontId="22" fillId="0" borderId="0"/>
    <xf numFmtId="179" fontId="22" fillId="0" borderId="0"/>
    <xf numFmtId="179" fontId="22" fillId="0" borderId="0"/>
    <xf numFmtId="179" fontId="22" fillId="0" borderId="0"/>
    <xf numFmtId="174" fontId="9" fillId="0" borderId="0"/>
    <xf numFmtId="179" fontId="22" fillId="0" borderId="0"/>
    <xf numFmtId="179" fontId="22" fillId="0" borderId="0"/>
    <xf numFmtId="179" fontId="22" fillId="0" borderId="0"/>
    <xf numFmtId="179" fontId="22" fillId="0" borderId="0"/>
    <xf numFmtId="179" fontId="22" fillId="0" borderId="0"/>
    <xf numFmtId="179" fontId="22" fillId="0" borderId="0"/>
    <xf numFmtId="183" fontId="22"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83" fontId="22" fillId="0" borderId="0"/>
    <xf numFmtId="0" fontId="9" fillId="0" borderId="0"/>
    <xf numFmtId="0" fontId="9" fillId="0" borderId="0"/>
    <xf numFmtId="0" fontId="9" fillId="0" borderId="0"/>
    <xf numFmtId="0" fontId="9" fillId="0" borderId="0"/>
    <xf numFmtId="0" fontId="9" fillId="0" borderId="0"/>
    <xf numFmtId="0" fontId="9" fillId="0" borderId="0" applyNumberFormat="0" applyFill="0" applyBorder="0" applyAlignment="0" applyProtection="0"/>
    <xf numFmtId="174" fontId="9" fillId="0" borderId="0"/>
    <xf numFmtId="179" fontId="22" fillId="0" borderId="0"/>
    <xf numFmtId="179" fontId="22" fillId="0" borderId="0"/>
    <xf numFmtId="0" fontId="9" fillId="0" borderId="0"/>
    <xf numFmtId="0" fontId="22" fillId="0" borderId="0"/>
    <xf numFmtId="0" fontId="22" fillId="0" borderId="0"/>
    <xf numFmtId="174" fontId="9" fillId="0" borderId="0"/>
    <xf numFmtId="174" fontId="9" fillId="0" borderId="0"/>
    <xf numFmtId="179" fontId="22" fillId="0" borderId="0"/>
    <xf numFmtId="179" fontId="22" fillId="0" borderId="0"/>
    <xf numFmtId="174" fontId="9" fillId="0" borderId="0"/>
    <xf numFmtId="0" fontId="22" fillId="0" borderId="0"/>
    <xf numFmtId="0" fontId="22"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83" fontId="22"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174" fontId="9" fillId="0" borderId="0"/>
    <xf numFmtId="0" fontId="22" fillId="0" borderId="0"/>
    <xf numFmtId="0" fontId="22" fillId="0" borderId="0"/>
    <xf numFmtId="0" fontId="22" fillId="0" borderId="0"/>
    <xf numFmtId="0" fontId="22" fillId="0" borderId="0"/>
    <xf numFmtId="0" fontId="22" fillId="0" borderId="0"/>
    <xf numFmtId="0" fontId="22" fillId="0" borderId="0"/>
    <xf numFmtId="183" fontId="22" fillId="0" borderId="0"/>
    <xf numFmtId="0" fontId="22" fillId="0" borderId="0"/>
    <xf numFmtId="0" fontId="22" fillId="0" borderId="0"/>
    <xf numFmtId="0" fontId="22" fillId="0" borderId="0"/>
    <xf numFmtId="179" fontId="22" fillId="0" borderId="0"/>
    <xf numFmtId="179" fontId="22" fillId="0" borderId="0"/>
    <xf numFmtId="179" fontId="22" fillId="0" borderId="0"/>
    <xf numFmtId="0" fontId="22" fillId="0" borderId="0"/>
    <xf numFmtId="0" fontId="22" fillId="0" borderId="0"/>
    <xf numFmtId="0" fontId="22" fillId="0" borderId="0"/>
    <xf numFmtId="179" fontId="22" fillId="0" borderId="0"/>
    <xf numFmtId="179" fontId="22" fillId="0" borderId="0"/>
    <xf numFmtId="179" fontId="22" fillId="0" borderId="0"/>
    <xf numFmtId="0" fontId="22" fillId="0" borderId="0"/>
    <xf numFmtId="179" fontId="22" fillId="0" borderId="0"/>
    <xf numFmtId="183" fontId="22" fillId="0" borderId="0"/>
    <xf numFmtId="0" fontId="9" fillId="0" borderId="0" applyNumberFormat="0" applyFill="0" applyBorder="0" applyAlignment="0" applyProtection="0"/>
    <xf numFmtId="0" fontId="9" fillId="0" borderId="0" applyNumberFormat="0" applyFill="0" applyBorder="0" applyAlignment="0" applyProtection="0"/>
    <xf numFmtId="174" fontId="9" fillId="0" borderId="0"/>
    <xf numFmtId="179" fontId="22" fillId="0" borderId="0"/>
    <xf numFmtId="183" fontId="9" fillId="0" borderId="0"/>
    <xf numFmtId="183" fontId="22" fillId="0" borderId="0"/>
    <xf numFmtId="174" fontId="9" fillId="0" borderId="0"/>
    <xf numFmtId="0" fontId="22" fillId="0" borderId="0"/>
    <xf numFmtId="183" fontId="9" fillId="0" borderId="0"/>
    <xf numFmtId="0" fontId="9" fillId="0" borderId="0"/>
    <xf numFmtId="0" fontId="9" fillId="0" borderId="0"/>
    <xf numFmtId="179" fontId="22" fillId="0" borderId="0"/>
    <xf numFmtId="183" fontId="9" fillId="0" borderId="0"/>
    <xf numFmtId="174" fontId="9" fillId="0" borderId="0"/>
    <xf numFmtId="0" fontId="22" fillId="0" borderId="0"/>
    <xf numFmtId="0" fontId="22" fillId="0" borderId="0"/>
    <xf numFmtId="174" fontId="9" fillId="0" borderId="0"/>
    <xf numFmtId="174" fontId="9" fillId="0" borderId="0"/>
    <xf numFmtId="174" fontId="9" fillId="0" borderId="0"/>
    <xf numFmtId="0" fontId="22" fillId="0" borderId="0"/>
    <xf numFmtId="0" fontId="22" fillId="0" borderId="0"/>
    <xf numFmtId="0" fontId="22" fillId="0" borderId="0"/>
    <xf numFmtId="0" fontId="22" fillId="0" borderId="0"/>
    <xf numFmtId="0" fontId="9" fillId="0" borderId="0"/>
    <xf numFmtId="0" fontId="9" fillId="0" borderId="0"/>
    <xf numFmtId="0" fontId="9" fillId="0" borderId="0"/>
    <xf numFmtId="0" fontId="9" fillId="0" borderId="0"/>
    <xf numFmtId="0" fontId="9" fillId="0" borderId="0"/>
    <xf numFmtId="0" fontId="9" fillId="0" borderId="0"/>
    <xf numFmtId="0" fontId="2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2" fillId="0" borderId="0"/>
    <xf numFmtId="0" fontId="9" fillId="0" borderId="0"/>
    <xf numFmtId="0" fontId="22" fillId="0" borderId="0"/>
    <xf numFmtId="0" fontId="9" fillId="0" borderId="0"/>
    <xf numFmtId="0" fontId="9" fillId="0" borderId="0"/>
    <xf numFmtId="0" fontId="9" fillId="0" borderId="0"/>
    <xf numFmtId="0" fontId="22" fillId="0" borderId="0"/>
    <xf numFmtId="174" fontId="22" fillId="0" borderId="0"/>
    <xf numFmtId="0" fontId="9" fillId="0" borderId="0"/>
    <xf numFmtId="0" fontId="9" fillId="0" borderId="0"/>
    <xf numFmtId="0" fontId="9" fillId="0" borderId="0"/>
    <xf numFmtId="0" fontId="22" fillId="0" borderId="0"/>
    <xf numFmtId="0" fontId="22" fillId="0" borderId="0"/>
    <xf numFmtId="0" fontId="9" fillId="0" borderId="0"/>
    <xf numFmtId="0" fontId="78" fillId="0" borderId="0">
      <alignment vertical="top"/>
    </xf>
    <xf numFmtId="0" fontId="9" fillId="0" borderId="0"/>
    <xf numFmtId="0" fontId="9" fillId="0" borderId="0"/>
    <xf numFmtId="0" fontId="22" fillId="0" borderId="0"/>
    <xf numFmtId="0" fontId="22" fillId="0" borderId="0"/>
    <xf numFmtId="0" fontId="22" fillId="0" borderId="0"/>
    <xf numFmtId="0" fontId="22" fillId="0" borderId="0"/>
    <xf numFmtId="0" fontId="22" fillId="0" borderId="0"/>
    <xf numFmtId="0" fontId="9" fillId="0" borderId="0"/>
    <xf numFmtId="0" fontId="22" fillId="0" borderId="0"/>
    <xf numFmtId="0" fontId="9" fillId="0" borderId="0"/>
    <xf numFmtId="0" fontId="9" fillId="0" borderId="0"/>
    <xf numFmtId="0" fontId="22" fillId="0" borderId="0"/>
    <xf numFmtId="183" fontId="9" fillId="0" borderId="0"/>
    <xf numFmtId="0" fontId="22" fillId="0" borderId="0"/>
    <xf numFmtId="0" fontId="82" fillId="0" borderId="0"/>
    <xf numFmtId="0" fontId="22" fillId="0" borderId="0"/>
    <xf numFmtId="0" fontId="22" fillId="0" borderId="0"/>
    <xf numFmtId="0" fontId="22" fillId="0" borderId="0"/>
    <xf numFmtId="0" fontId="22" fillId="0" borderId="0"/>
    <xf numFmtId="0" fontId="22" fillId="0" borderId="0"/>
    <xf numFmtId="0" fontId="2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9" fillId="77" borderId="0"/>
    <xf numFmtId="0" fontId="2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2" fillId="0" borderId="0"/>
    <xf numFmtId="0" fontId="9" fillId="0" borderId="0"/>
    <xf numFmtId="0" fontId="9" fillId="0" borderId="0"/>
    <xf numFmtId="0" fontId="9" fillId="0" borderId="0"/>
    <xf numFmtId="0" fontId="22" fillId="0" borderId="0"/>
    <xf numFmtId="174" fontId="22" fillId="0" borderId="0"/>
    <xf numFmtId="0" fontId="9" fillId="0" borderId="0"/>
    <xf numFmtId="0" fontId="9" fillId="0" borderId="0"/>
    <xf numFmtId="0" fontId="9" fillId="0" borderId="0"/>
    <xf numFmtId="0" fontId="22" fillId="0" borderId="0"/>
    <xf numFmtId="0" fontId="22" fillId="0" borderId="0"/>
    <xf numFmtId="0" fontId="9" fillId="0" borderId="0"/>
    <xf numFmtId="0" fontId="9" fillId="0" borderId="0"/>
    <xf numFmtId="0" fontId="22" fillId="0" borderId="0"/>
    <xf numFmtId="0" fontId="22" fillId="0" borderId="0"/>
    <xf numFmtId="0" fontId="22" fillId="0" borderId="0"/>
    <xf numFmtId="0" fontId="22" fillId="0" borderId="0"/>
    <xf numFmtId="0" fontId="22" fillId="0" borderId="0"/>
    <xf numFmtId="0" fontId="9" fillId="0" borderId="0"/>
    <xf numFmtId="0" fontId="22" fillId="0" borderId="0"/>
    <xf numFmtId="0" fontId="9" fillId="0" borderId="0"/>
    <xf numFmtId="0" fontId="9" fillId="0" borderId="0"/>
    <xf numFmtId="0" fontId="22" fillId="0" borderId="0"/>
    <xf numFmtId="183" fontId="9" fillId="0" borderId="0"/>
    <xf numFmtId="0" fontId="22" fillId="0" borderId="0"/>
    <xf numFmtId="0" fontId="9" fillId="0" borderId="0"/>
    <xf numFmtId="0" fontId="22" fillId="0" borderId="0"/>
    <xf numFmtId="0" fontId="22" fillId="0" borderId="0"/>
    <xf numFmtId="0" fontId="22" fillId="0" borderId="0"/>
    <xf numFmtId="0" fontId="22" fillId="0" borderId="0"/>
    <xf numFmtId="0" fontId="22" fillId="0" borderId="0"/>
    <xf numFmtId="0" fontId="22" fillId="0" borderId="0"/>
    <xf numFmtId="174" fontId="9" fillId="0" borderId="0">
      <alignment vertical="top"/>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2" fillId="0" borderId="0"/>
    <xf numFmtId="0" fontId="22" fillId="0" borderId="0"/>
    <xf numFmtId="0" fontId="22" fillId="0" borderId="0"/>
    <xf numFmtId="0" fontId="22" fillId="0" borderId="0"/>
    <xf numFmtId="0" fontId="22" fillId="0" borderId="0"/>
    <xf numFmtId="183" fontId="9" fillId="0" borderId="0"/>
    <xf numFmtId="0" fontId="9" fillId="0" borderId="0"/>
    <xf numFmtId="0" fontId="59" fillId="77" borderId="0"/>
    <xf numFmtId="0" fontId="22" fillId="0" borderId="0"/>
    <xf numFmtId="174" fontId="83" fillId="0" borderId="0">
      <alignment vertical="top"/>
    </xf>
    <xf numFmtId="174" fontId="22" fillId="0" borderId="0"/>
    <xf numFmtId="174" fontId="22" fillId="0" borderId="0"/>
    <xf numFmtId="174" fontId="22" fillId="0" borderId="0"/>
    <xf numFmtId="174" fontId="22" fillId="0" borderId="0"/>
    <xf numFmtId="174" fontId="83" fillId="0" borderId="0">
      <alignment vertical="top"/>
    </xf>
    <xf numFmtId="174" fontId="83" fillId="0" borderId="0">
      <alignment vertical="top"/>
    </xf>
    <xf numFmtId="174" fontId="83" fillId="0" borderId="0">
      <alignment vertical="top"/>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9" fillId="0" borderId="0"/>
    <xf numFmtId="0" fontId="9" fillId="0" borderId="0"/>
    <xf numFmtId="0" fontId="22" fillId="0" borderId="0"/>
    <xf numFmtId="174" fontId="101" fillId="0" borderId="0"/>
    <xf numFmtId="183" fontId="22" fillId="0" borderId="0"/>
    <xf numFmtId="0" fontId="22" fillId="0" borderId="0"/>
    <xf numFmtId="174" fontId="101" fillId="0" borderId="0"/>
    <xf numFmtId="174" fontId="101" fillId="0" borderId="0"/>
    <xf numFmtId="174" fontId="101" fillId="0" borderId="0"/>
    <xf numFmtId="174" fontId="101" fillId="0" borderId="0"/>
    <xf numFmtId="174" fontId="101" fillId="0" borderId="0"/>
    <xf numFmtId="183" fontId="22" fillId="0" borderId="0"/>
    <xf numFmtId="174" fontId="101" fillId="0" borderId="0"/>
    <xf numFmtId="0" fontId="22" fillId="0" borderId="0"/>
    <xf numFmtId="0" fontId="22" fillId="0" borderId="0"/>
    <xf numFmtId="174" fontId="101" fillId="0" borderId="0"/>
    <xf numFmtId="0" fontId="22" fillId="0" borderId="0"/>
    <xf numFmtId="0" fontId="22" fillId="0" borderId="0"/>
    <xf numFmtId="174" fontId="101" fillId="0" borderId="0"/>
    <xf numFmtId="0" fontId="22" fillId="0" borderId="0"/>
    <xf numFmtId="0" fontId="22" fillId="0" borderId="0"/>
    <xf numFmtId="0" fontId="22" fillId="0" borderId="0"/>
    <xf numFmtId="0" fontId="22" fillId="0" borderId="0"/>
    <xf numFmtId="183" fontId="22" fillId="0" borderId="0"/>
    <xf numFmtId="0" fontId="22" fillId="0" borderId="0"/>
    <xf numFmtId="0" fontId="22" fillId="0" borderId="0"/>
    <xf numFmtId="0" fontId="22" fillId="0" borderId="0"/>
    <xf numFmtId="183" fontId="22" fillId="0" borderId="0"/>
    <xf numFmtId="174" fontId="101" fillId="0" borderId="0"/>
    <xf numFmtId="0" fontId="22" fillId="0" borderId="0"/>
    <xf numFmtId="0" fontId="22" fillId="0" borderId="0"/>
    <xf numFmtId="0" fontId="22" fillId="0" borderId="0"/>
    <xf numFmtId="174" fontId="101" fillId="0" borderId="0"/>
    <xf numFmtId="0" fontId="22" fillId="0" borderId="0"/>
    <xf numFmtId="0" fontId="22" fillId="0" borderId="0"/>
    <xf numFmtId="174" fontId="101" fillId="0" borderId="0"/>
    <xf numFmtId="0" fontId="22" fillId="0" borderId="0"/>
    <xf numFmtId="0" fontId="22" fillId="0" borderId="0"/>
    <xf numFmtId="174" fontId="101" fillId="0" borderId="0"/>
    <xf numFmtId="174" fontId="101" fillId="0" borderId="0"/>
    <xf numFmtId="174" fontId="101"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174" fontId="9" fillId="0" borderId="0"/>
    <xf numFmtId="0" fontId="9" fillId="0" borderId="0"/>
    <xf numFmtId="0" fontId="22" fillId="0" borderId="0"/>
    <xf numFmtId="0" fontId="22" fillId="0" borderId="0"/>
    <xf numFmtId="0" fontId="22" fillId="0" borderId="0"/>
    <xf numFmtId="183"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183" fontId="22" fillId="0" borderId="0"/>
    <xf numFmtId="174" fontId="9" fillId="0" borderId="0"/>
    <xf numFmtId="174" fontId="9" fillId="0" borderId="0"/>
    <xf numFmtId="174" fontId="9" fillId="0" borderId="0"/>
    <xf numFmtId="174" fontId="9" fillId="0" borderId="0"/>
    <xf numFmtId="183" fontId="22" fillId="0" borderId="0"/>
    <xf numFmtId="0" fontId="9" fillId="0" borderId="0"/>
    <xf numFmtId="0" fontId="82" fillId="0" borderId="0"/>
    <xf numFmtId="0" fontId="9" fillId="0" borderId="0"/>
    <xf numFmtId="0" fontId="22" fillId="0" borderId="0"/>
    <xf numFmtId="0" fontId="22" fillId="0" borderId="0"/>
    <xf numFmtId="183" fontId="22" fillId="0" borderId="0"/>
    <xf numFmtId="174" fontId="9" fillId="0" borderId="0"/>
    <xf numFmtId="0" fontId="22" fillId="0" borderId="0"/>
    <xf numFmtId="0" fontId="22" fillId="0" borderId="0"/>
    <xf numFmtId="0" fontId="22" fillId="0" borderId="0"/>
    <xf numFmtId="174" fontId="9" fillId="0" borderId="0"/>
    <xf numFmtId="0" fontId="22" fillId="0" borderId="0"/>
    <xf numFmtId="0" fontId="22" fillId="0" borderId="0"/>
    <xf numFmtId="174" fontId="9" fillId="0" borderId="0"/>
    <xf numFmtId="0" fontId="22" fillId="0" borderId="0"/>
    <xf numFmtId="0" fontId="22" fillId="0" borderId="0"/>
    <xf numFmtId="174" fontId="9" fillId="0" borderId="0"/>
    <xf numFmtId="174" fontId="9" fillId="0" borderId="0"/>
    <xf numFmtId="174"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74" fontId="9" fillId="0" borderId="0"/>
    <xf numFmtId="174" fontId="9" fillId="0" borderId="0"/>
    <xf numFmtId="174" fontId="9" fillId="0" borderId="0"/>
    <xf numFmtId="174" fontId="9" fillId="0" borderId="0"/>
    <xf numFmtId="0" fontId="2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3" fontId="9" fillId="0" borderId="0"/>
    <xf numFmtId="0" fontId="79" fillId="0" borderId="0"/>
    <xf numFmtId="0" fontId="9" fillId="0" borderId="0"/>
    <xf numFmtId="0" fontId="9" fillId="0" borderId="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0" fontId="59" fillId="64" borderId="5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0" fontId="59" fillId="64" borderId="5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0" fontId="102" fillId="71"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0" fontId="102" fillId="71"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9" fontId="79" fillId="0" borderId="0" applyFont="0" applyFill="0" applyBorder="0" applyAlignment="0" applyProtection="0"/>
    <xf numFmtId="9" fontId="79" fillId="0" borderId="0" applyFont="0" applyFill="0" applyBorder="0" applyAlignment="0" applyProtection="0"/>
    <xf numFmtId="9" fontId="7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03" fillId="0" borderId="0" applyNumberFormat="0" applyFill="0" applyBorder="0" applyAlignment="0" applyProtection="0"/>
    <xf numFmtId="0" fontId="104" fillId="0" borderId="0" applyNumberFormat="0" applyFill="0" applyBorder="0" applyAlignment="0" applyProtection="0"/>
    <xf numFmtId="4" fontId="59" fillId="76" borderId="57" applyNumberFormat="0" applyProtection="0">
      <alignment vertical="center"/>
    </xf>
    <xf numFmtId="4" fontId="59" fillId="76" borderId="57" applyNumberFormat="0" applyProtection="0">
      <alignment vertical="center"/>
    </xf>
    <xf numFmtId="4" fontId="105" fillId="79" borderId="57" applyNumberFormat="0" applyProtection="0">
      <alignment vertical="center"/>
    </xf>
    <xf numFmtId="4" fontId="105" fillId="79" borderId="57" applyNumberFormat="0" applyProtection="0">
      <alignment vertical="center"/>
    </xf>
    <xf numFmtId="4" fontId="59" fillId="79" borderId="57" applyNumberFormat="0" applyProtection="0">
      <alignment horizontal="left" vertical="center" indent="1"/>
    </xf>
    <xf numFmtId="4" fontId="59" fillId="79" borderId="57" applyNumberFormat="0" applyProtection="0">
      <alignment horizontal="left" vertical="center" indent="1"/>
    </xf>
    <xf numFmtId="0" fontId="106" fillId="76" borderId="69" applyNumberFormat="0" applyProtection="0">
      <alignment horizontal="left" vertical="top" indent="1"/>
    </xf>
    <xf numFmtId="0" fontId="106" fillId="76" borderId="69" applyNumberFormat="0" applyProtection="0">
      <alignment horizontal="left" vertical="top" indent="1"/>
    </xf>
    <xf numFmtId="4" fontId="59" fillId="43" borderId="57" applyNumberFormat="0" applyProtection="0">
      <alignment horizontal="left" vertical="center" indent="1"/>
    </xf>
    <xf numFmtId="4" fontId="107" fillId="80" borderId="0" applyNumberFormat="0" applyProtection="0">
      <alignment horizontal="left" vertical="center" indent="1"/>
    </xf>
    <xf numFmtId="4" fontId="59" fillId="43" borderId="57" applyNumberFormat="0" applyProtection="0">
      <alignment horizontal="left" vertical="center" indent="1"/>
    </xf>
    <xf numFmtId="4" fontId="59" fillId="32" borderId="57" applyNumberFormat="0" applyProtection="0">
      <alignment horizontal="right" vertical="center"/>
    </xf>
    <xf numFmtId="4" fontId="59" fillId="32" borderId="57" applyNumberFormat="0" applyProtection="0">
      <alignment horizontal="right" vertical="center"/>
    </xf>
    <xf numFmtId="4" fontId="59" fillId="81" borderId="57" applyNumberFormat="0" applyProtection="0">
      <alignment horizontal="right" vertical="center"/>
    </xf>
    <xf numFmtId="4" fontId="59" fillId="81" borderId="57" applyNumberFormat="0" applyProtection="0">
      <alignment horizontal="right" vertical="center"/>
    </xf>
    <xf numFmtId="4" fontId="59" fillId="53" borderId="41" applyNumberFormat="0" applyProtection="0">
      <alignment horizontal="right" vertical="center"/>
    </xf>
    <xf numFmtId="4" fontId="59" fillId="53" borderId="41" applyNumberFormat="0" applyProtection="0">
      <alignment horizontal="right" vertical="center"/>
    </xf>
    <xf numFmtId="4" fontId="59" fillId="40" borderId="57" applyNumberFormat="0" applyProtection="0">
      <alignment horizontal="right" vertical="center"/>
    </xf>
    <xf numFmtId="4" fontId="59" fillId="40" borderId="57" applyNumberFormat="0" applyProtection="0">
      <alignment horizontal="right" vertical="center"/>
    </xf>
    <xf numFmtId="4" fontId="59" fillId="44" borderId="57" applyNumberFormat="0" applyProtection="0">
      <alignment horizontal="right" vertical="center"/>
    </xf>
    <xf numFmtId="4" fontId="59" fillId="44" borderId="57" applyNumberFormat="0" applyProtection="0">
      <alignment horizontal="right" vertical="center"/>
    </xf>
    <xf numFmtId="4" fontId="59" fillId="67" borderId="57" applyNumberFormat="0" applyProtection="0">
      <alignment horizontal="right" vertical="center"/>
    </xf>
    <xf numFmtId="4" fontId="59" fillId="67" borderId="57" applyNumberFormat="0" applyProtection="0">
      <alignment horizontal="right" vertical="center"/>
    </xf>
    <xf numFmtId="4" fontId="59" fillId="58" borderId="57" applyNumberFormat="0" applyProtection="0">
      <alignment horizontal="right" vertical="center"/>
    </xf>
    <xf numFmtId="4" fontId="59" fillId="58" borderId="57" applyNumberFormat="0" applyProtection="0">
      <alignment horizontal="right" vertical="center"/>
    </xf>
    <xf numFmtId="4" fontId="59" fillId="82" borderId="57" applyNumberFormat="0" applyProtection="0">
      <alignment horizontal="right" vertical="center"/>
    </xf>
    <xf numFmtId="4" fontId="59" fillId="82" borderId="57" applyNumberFormat="0" applyProtection="0">
      <alignment horizontal="right" vertical="center"/>
    </xf>
    <xf numFmtId="4" fontId="59" fillId="39" borderId="57" applyNumberFormat="0" applyProtection="0">
      <alignment horizontal="right" vertical="center"/>
    </xf>
    <xf numFmtId="4" fontId="59" fillId="39" borderId="57" applyNumberFormat="0" applyProtection="0">
      <alignment horizontal="right" vertical="center"/>
    </xf>
    <xf numFmtId="4" fontId="59" fillId="83" borderId="41" applyNumberFormat="0" applyProtection="0">
      <alignment horizontal="left" vertical="center" indent="1"/>
    </xf>
    <xf numFmtId="4" fontId="59" fillId="83" borderId="41" applyNumberFormat="0" applyProtection="0">
      <alignment horizontal="left" vertical="center" indent="1"/>
    </xf>
    <xf numFmtId="4" fontId="9" fillId="84" borderId="41" applyNumberFormat="0" applyProtection="0">
      <alignment horizontal="left" vertical="center" indent="1"/>
    </xf>
    <xf numFmtId="4" fontId="9" fillId="84" borderId="41" applyNumberFormat="0" applyProtection="0">
      <alignment horizontal="left" vertical="center" indent="1"/>
    </xf>
    <xf numFmtId="4" fontId="9" fillId="84" borderId="41" applyNumberFormat="0" applyProtection="0">
      <alignment horizontal="left" vertical="center" indent="1"/>
    </xf>
    <xf numFmtId="4" fontId="9" fillId="84" borderId="41" applyNumberFormat="0" applyProtection="0">
      <alignment horizontal="left" vertical="center" indent="1"/>
    </xf>
    <xf numFmtId="4" fontId="59" fillId="80" borderId="57" applyNumberFormat="0" applyProtection="0">
      <alignment horizontal="right" vertical="center"/>
    </xf>
    <xf numFmtId="4" fontId="59" fillId="80" borderId="57" applyNumberFormat="0" applyProtection="0">
      <alignment horizontal="right" vertical="center"/>
    </xf>
    <xf numFmtId="4" fontId="59" fillId="85" borderId="41" applyNumberFormat="0" applyProtection="0">
      <alignment horizontal="left" vertical="center" indent="1"/>
    </xf>
    <xf numFmtId="4" fontId="59" fillId="85" borderId="41" applyNumberFormat="0" applyProtection="0">
      <alignment horizontal="left" vertical="center" indent="1"/>
    </xf>
    <xf numFmtId="4" fontId="59" fillId="80" borderId="41" applyNumberFormat="0" applyProtection="0">
      <alignment horizontal="left" vertical="center" indent="1"/>
    </xf>
    <xf numFmtId="4" fontId="59" fillId="80" borderId="41" applyNumberFormat="0" applyProtection="0">
      <alignment horizontal="left" vertical="center" indent="1"/>
    </xf>
    <xf numFmtId="0" fontId="59" fillId="70" borderId="57" applyNumberFormat="0" applyProtection="0">
      <alignment horizontal="left" vertical="center" indent="1"/>
    </xf>
    <xf numFmtId="0" fontId="59" fillId="70" borderId="57" applyNumberFormat="0" applyProtection="0">
      <alignment horizontal="left" vertical="center" indent="1"/>
    </xf>
    <xf numFmtId="0" fontId="59" fillId="84" borderId="69" applyNumberFormat="0" applyProtection="0">
      <alignment horizontal="left" vertical="top" indent="1"/>
    </xf>
    <xf numFmtId="0" fontId="59" fillId="84" borderId="69" applyNumberFormat="0" applyProtection="0">
      <alignment horizontal="left" vertical="top" indent="1"/>
    </xf>
    <xf numFmtId="0" fontId="59" fillId="86" borderId="57" applyNumberFormat="0" applyProtection="0">
      <alignment horizontal="left" vertical="center" indent="1"/>
    </xf>
    <xf numFmtId="0" fontId="59" fillId="86" borderId="57" applyNumberFormat="0" applyProtection="0">
      <alignment horizontal="left" vertical="center" indent="1"/>
    </xf>
    <xf numFmtId="0" fontId="59" fillId="80" borderId="69" applyNumberFormat="0" applyProtection="0">
      <alignment horizontal="left" vertical="top" indent="1"/>
    </xf>
    <xf numFmtId="0" fontId="59" fillId="80" borderId="69" applyNumberFormat="0" applyProtection="0">
      <alignment horizontal="left" vertical="top" indent="1"/>
    </xf>
    <xf numFmtId="0" fontId="59" fillId="37" borderId="57" applyNumberFormat="0" applyProtection="0">
      <alignment horizontal="left" vertical="center" indent="1"/>
    </xf>
    <xf numFmtId="0" fontId="59" fillId="37" borderId="57" applyNumberFormat="0" applyProtection="0">
      <alignment horizontal="left" vertical="center" indent="1"/>
    </xf>
    <xf numFmtId="0" fontId="59" fillId="37" borderId="69" applyNumberFormat="0" applyProtection="0">
      <alignment horizontal="left" vertical="top" indent="1"/>
    </xf>
    <xf numFmtId="0" fontId="59" fillId="37" borderId="69" applyNumberFormat="0" applyProtection="0">
      <alignment horizontal="left" vertical="top" indent="1"/>
    </xf>
    <xf numFmtId="0" fontId="59" fillId="85" borderId="57" applyNumberFormat="0" applyProtection="0">
      <alignment horizontal="left" vertical="center" indent="1"/>
    </xf>
    <xf numFmtId="0" fontId="59" fillId="85" borderId="57" applyNumberFormat="0" applyProtection="0">
      <alignment horizontal="left" vertical="center" indent="1"/>
    </xf>
    <xf numFmtId="0" fontId="59" fillId="85" borderId="69" applyNumberFormat="0" applyProtection="0">
      <alignment horizontal="left" vertical="top" indent="1"/>
    </xf>
    <xf numFmtId="0" fontId="59" fillId="85" borderId="69" applyNumberFormat="0" applyProtection="0">
      <alignment horizontal="left" vertical="top" indent="1"/>
    </xf>
    <xf numFmtId="0" fontId="59" fillId="87" borderId="70" applyNumberFormat="0">
      <protection locked="0"/>
    </xf>
    <xf numFmtId="0" fontId="59" fillId="87" borderId="70" applyNumberFormat="0">
      <protection locked="0"/>
    </xf>
    <xf numFmtId="0" fontId="108" fillId="84" borderId="71" applyBorder="0"/>
    <xf numFmtId="0" fontId="108" fillId="84" borderId="71" applyBorder="0"/>
    <xf numFmtId="4" fontId="109" fillId="78" borderId="69" applyNumberFormat="0" applyProtection="0">
      <alignment vertical="center"/>
    </xf>
    <xf numFmtId="4" fontId="109" fillId="78" borderId="69" applyNumberFormat="0" applyProtection="0">
      <alignment vertical="center"/>
    </xf>
    <xf numFmtId="4" fontId="105" fillId="88" borderId="1" applyNumberFormat="0" applyProtection="0">
      <alignment vertical="center"/>
    </xf>
    <xf numFmtId="4" fontId="105" fillId="88" borderId="1" applyNumberFormat="0" applyProtection="0">
      <alignment vertical="center"/>
    </xf>
    <xf numFmtId="4" fontId="109" fillId="70" borderId="69" applyNumberFormat="0" applyProtection="0">
      <alignment horizontal="left" vertical="center" indent="1"/>
    </xf>
    <xf numFmtId="4" fontId="109" fillId="70" borderId="69" applyNumberFormat="0" applyProtection="0">
      <alignment horizontal="left" vertical="center" indent="1"/>
    </xf>
    <xf numFmtId="0" fontId="109" fillId="78" borderId="69" applyNumberFormat="0" applyProtection="0">
      <alignment horizontal="left" vertical="top" indent="1"/>
    </xf>
    <xf numFmtId="0" fontId="109" fillId="78" borderId="69" applyNumberFormat="0" applyProtection="0">
      <alignment horizontal="left" vertical="top" indent="1"/>
    </xf>
    <xf numFmtId="4" fontId="59" fillId="0" borderId="57"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59" fillId="0" borderId="57" applyNumberFormat="0" applyProtection="0">
      <alignment horizontal="right" vertical="center"/>
    </xf>
    <xf numFmtId="4" fontId="105" fillId="69" borderId="57"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05" fillId="69" borderId="57" applyNumberFormat="0" applyProtection="0">
      <alignment horizontal="right" vertical="center"/>
    </xf>
    <xf numFmtId="4" fontId="59" fillId="43" borderId="57"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59" fillId="43" borderId="57" applyNumberFormat="0" applyProtection="0">
      <alignment horizontal="left" vertical="center" indent="1"/>
    </xf>
    <xf numFmtId="0" fontId="109" fillId="80" borderId="69" applyNumberFormat="0" applyProtection="0">
      <alignment horizontal="left" vertical="top" indent="1"/>
    </xf>
    <xf numFmtId="0" fontId="109" fillId="80" borderId="69" applyNumberFormat="0" applyProtection="0">
      <alignment horizontal="left" vertical="top" indent="1"/>
    </xf>
    <xf numFmtId="4" fontId="111" fillId="89" borderId="41" applyNumberFormat="0" applyProtection="0">
      <alignment horizontal="left" vertical="center" indent="1"/>
    </xf>
    <xf numFmtId="4" fontId="111" fillId="89" borderId="41" applyNumberFormat="0" applyProtection="0">
      <alignment horizontal="left" vertical="center" indent="1"/>
    </xf>
    <xf numFmtId="0" fontId="59" fillId="90" borderId="1"/>
    <xf numFmtId="0" fontId="59" fillId="90" borderId="1"/>
    <xf numFmtId="4" fontId="112" fillId="87" borderId="57" applyNumberFormat="0" applyProtection="0">
      <alignment horizontal="right" vertical="center"/>
    </xf>
    <xf numFmtId="4" fontId="112" fillId="87" borderId="57" applyNumberFormat="0" applyProtection="0">
      <alignment horizontal="right" vertical="center"/>
    </xf>
    <xf numFmtId="0" fontId="113" fillId="0" borderId="0" applyNumberFormat="0" applyFill="0" applyBorder="0" applyAlignment="0" applyProtection="0"/>
    <xf numFmtId="174" fontId="78" fillId="0" borderId="0">
      <alignment vertical="top"/>
    </xf>
    <xf numFmtId="174" fontId="78" fillId="0" borderId="0">
      <alignment vertical="top"/>
    </xf>
    <xf numFmtId="174" fontId="78" fillId="0" borderId="0">
      <alignment vertical="top"/>
    </xf>
    <xf numFmtId="174" fontId="78" fillId="0" borderId="0">
      <alignment vertical="top"/>
    </xf>
    <xf numFmtId="174" fontId="78" fillId="0" borderId="0">
      <alignment vertical="top"/>
    </xf>
    <xf numFmtId="174" fontId="78" fillId="0" borderId="0">
      <alignment vertical="top"/>
    </xf>
    <xf numFmtId="174" fontId="78" fillId="0" borderId="0">
      <alignment vertical="top"/>
    </xf>
    <xf numFmtId="174" fontId="78" fillId="0" borderId="0">
      <alignment vertical="top"/>
    </xf>
    <xf numFmtId="174" fontId="78" fillId="0" borderId="0">
      <alignment vertical="top"/>
    </xf>
    <xf numFmtId="174" fontId="78" fillId="0" borderId="0">
      <alignment vertical="top"/>
    </xf>
    <xf numFmtId="174" fontId="78" fillId="0" borderId="0">
      <alignment vertical="top"/>
    </xf>
    <xf numFmtId="174" fontId="78" fillId="0" borderId="0">
      <alignment vertical="top"/>
    </xf>
    <xf numFmtId="174" fontId="78" fillId="0" borderId="0">
      <alignment vertical="top"/>
    </xf>
    <xf numFmtId="174" fontId="78" fillId="0" borderId="0">
      <alignment vertical="top"/>
    </xf>
    <xf numFmtId="174" fontId="78" fillId="0" borderId="0">
      <alignment vertical="top"/>
    </xf>
    <xf numFmtId="174" fontId="78" fillId="0" borderId="0">
      <alignment vertical="top"/>
    </xf>
    <xf numFmtId="174" fontId="78" fillId="0" borderId="0">
      <alignment vertical="top"/>
    </xf>
    <xf numFmtId="174" fontId="78" fillId="0" borderId="0">
      <alignment vertical="top"/>
    </xf>
    <xf numFmtId="174" fontId="114" fillId="0" borderId="0" applyNumberFormat="0" applyFill="0" applyBorder="0" applyAlignment="0" applyProtection="0"/>
    <xf numFmtId="174" fontId="114" fillId="0" borderId="0" applyNumberFormat="0" applyFill="0" applyBorder="0" applyAlignment="0" applyProtection="0"/>
    <xf numFmtId="174" fontId="114" fillId="0" borderId="0" applyNumberFormat="0" applyFill="0" applyBorder="0" applyAlignment="0" applyProtection="0"/>
    <xf numFmtId="174" fontId="114" fillId="0" borderId="0" applyNumberFormat="0" applyFill="0" applyBorder="0" applyAlignment="0" applyProtection="0"/>
    <xf numFmtId="174" fontId="114" fillId="0" borderId="0" applyNumberFormat="0" applyFill="0" applyBorder="0" applyAlignment="0" applyProtection="0"/>
    <xf numFmtId="174" fontId="114" fillId="0" borderId="0" applyNumberFormat="0" applyFill="0" applyBorder="0" applyAlignment="0" applyProtection="0"/>
    <xf numFmtId="174" fontId="114" fillId="0" borderId="0" applyNumberFormat="0" applyFill="0" applyBorder="0" applyAlignment="0" applyProtection="0"/>
    <xf numFmtId="174" fontId="114" fillId="0" borderId="0" applyNumberFormat="0" applyFill="0" applyBorder="0" applyAlignment="0" applyProtection="0"/>
    <xf numFmtId="174" fontId="114" fillId="0" borderId="0" applyNumberFormat="0" applyFill="0" applyBorder="0" applyAlignment="0" applyProtection="0"/>
    <xf numFmtId="174" fontId="114" fillId="0" borderId="0" applyNumberFormat="0" applyFill="0" applyBorder="0" applyAlignment="0" applyProtection="0"/>
    <xf numFmtId="174" fontId="114" fillId="0" borderId="0" applyNumberFormat="0" applyFill="0" applyBorder="0" applyAlignment="0" applyProtection="0"/>
    <xf numFmtId="174" fontId="114" fillId="0" borderId="0" applyNumberFormat="0" applyFill="0" applyBorder="0" applyAlignment="0" applyProtection="0"/>
    <xf numFmtId="174" fontId="114" fillId="0" borderId="0" applyNumberFormat="0" applyFill="0" applyBorder="0" applyAlignment="0" applyProtection="0"/>
    <xf numFmtId="174" fontId="114" fillId="0" borderId="0" applyNumberFormat="0" applyFill="0" applyBorder="0" applyAlignment="0" applyProtection="0"/>
    <xf numFmtId="174" fontId="114" fillId="0" borderId="0" applyNumberFormat="0" applyFill="0" applyBorder="0" applyAlignment="0" applyProtection="0"/>
    <xf numFmtId="174" fontId="114" fillId="0" borderId="0" applyNumberFormat="0" applyFill="0" applyBorder="0" applyAlignment="0" applyProtection="0"/>
    <xf numFmtId="174" fontId="114" fillId="0" borderId="0" applyNumberFormat="0" applyFill="0" applyBorder="0" applyAlignment="0" applyProtection="0"/>
    <xf numFmtId="174" fontId="114" fillId="0" borderId="0" applyNumberFormat="0" applyFill="0" applyBorder="0" applyAlignment="0" applyProtection="0"/>
    <xf numFmtId="174" fontId="114" fillId="0" borderId="0" applyNumberFormat="0" applyFill="0" applyBorder="0" applyAlignment="0" applyProtection="0"/>
    <xf numFmtId="174" fontId="114" fillId="0" borderId="0" applyNumberFormat="0" applyFill="0" applyBorder="0" applyAlignment="0" applyProtection="0"/>
    <xf numFmtId="174" fontId="114" fillId="0" borderId="0" applyNumberFormat="0" applyFill="0" applyBorder="0" applyAlignment="0" applyProtection="0"/>
    <xf numFmtId="174" fontId="114" fillId="0" borderId="0" applyNumberFormat="0" applyFill="0" applyBorder="0" applyAlignment="0" applyProtection="0"/>
    <xf numFmtId="174" fontId="114" fillId="0" borderId="0" applyNumberFormat="0" applyFill="0" applyBorder="0" applyAlignment="0" applyProtection="0"/>
    <xf numFmtId="174" fontId="114" fillId="0" borderId="0" applyNumberFormat="0" applyFill="0" applyBorder="0" applyAlignment="0" applyProtection="0"/>
    <xf numFmtId="174" fontId="114" fillId="0" borderId="0" applyNumberFormat="0" applyFill="0" applyBorder="0" applyAlignment="0" applyProtection="0"/>
    <xf numFmtId="174" fontId="114" fillId="0" borderId="0" applyNumberFormat="0" applyFill="0" applyBorder="0" applyAlignment="0" applyProtection="0"/>
    <xf numFmtId="174" fontId="114" fillId="0" borderId="0" applyNumberFormat="0" applyFill="0" applyBorder="0" applyAlignment="0" applyProtection="0"/>
    <xf numFmtId="174" fontId="114" fillId="0" borderId="0" applyNumberFormat="0" applyFill="0" applyBorder="0" applyAlignment="0" applyProtection="0"/>
    <xf numFmtId="174" fontId="114" fillId="0" borderId="0" applyNumberFormat="0" applyFill="0" applyBorder="0" applyAlignment="0" applyProtection="0"/>
    <xf numFmtId="174" fontId="114" fillId="0" borderId="0" applyNumberFormat="0" applyFill="0" applyBorder="0" applyAlignment="0" applyProtection="0"/>
    <xf numFmtId="174" fontId="114" fillId="0" borderId="0" applyNumberFormat="0" applyFill="0" applyBorder="0" applyAlignment="0" applyProtection="0"/>
    <xf numFmtId="174" fontId="114" fillId="0" borderId="0" applyNumberFormat="0" applyFill="0" applyBorder="0" applyAlignment="0" applyProtection="0"/>
    <xf numFmtId="174" fontId="114" fillId="0" borderId="0" applyNumberFormat="0" applyFill="0" applyBorder="0" applyAlignment="0" applyProtection="0"/>
    <xf numFmtId="174" fontId="114" fillId="0" borderId="0" applyNumberFormat="0" applyFill="0" applyBorder="0" applyAlignment="0" applyProtection="0"/>
    <xf numFmtId="174" fontId="114" fillId="0" borderId="0" applyNumberFormat="0" applyFill="0" applyBorder="0" applyAlignment="0" applyProtection="0"/>
    <xf numFmtId="174" fontId="114" fillId="0" borderId="0" applyNumberFormat="0" applyFill="0" applyBorder="0" applyAlignment="0" applyProtection="0"/>
    <xf numFmtId="174" fontId="114" fillId="0" borderId="0" applyNumberFormat="0" applyFill="0" applyBorder="0" applyAlignment="0" applyProtection="0"/>
    <xf numFmtId="174" fontId="114" fillId="0" borderId="0" applyNumberFormat="0" applyFill="0" applyBorder="0" applyAlignment="0" applyProtection="0"/>
    <xf numFmtId="174" fontId="114" fillId="0" borderId="0" applyNumberFormat="0" applyFill="0" applyBorder="0" applyAlignment="0" applyProtection="0"/>
    <xf numFmtId="174" fontId="114" fillId="0" borderId="0" applyNumberFormat="0" applyFill="0" applyBorder="0" applyAlignment="0" applyProtection="0"/>
    <xf numFmtId="174" fontId="114" fillId="0" borderId="0" applyNumberFormat="0" applyFill="0" applyBorder="0" applyAlignment="0" applyProtection="0"/>
    <xf numFmtId="174" fontId="114" fillId="0" borderId="0" applyNumberFormat="0" applyFill="0" applyBorder="0" applyAlignment="0" applyProtection="0"/>
    <xf numFmtId="174" fontId="114" fillId="0" borderId="0" applyNumberFormat="0" applyFill="0" applyBorder="0" applyAlignment="0" applyProtection="0"/>
    <xf numFmtId="174" fontId="114" fillId="0" borderId="0" applyNumberFormat="0" applyFill="0" applyBorder="0" applyAlignment="0" applyProtection="0"/>
    <xf numFmtId="174" fontId="114" fillId="0" borderId="0" applyNumberFormat="0" applyFill="0" applyBorder="0" applyAlignment="0" applyProtection="0"/>
    <xf numFmtId="174" fontId="114" fillId="0" borderId="0" applyNumberFormat="0" applyFill="0" applyBorder="0" applyAlignment="0" applyProtection="0"/>
    <xf numFmtId="174" fontId="114" fillId="0" borderId="0" applyNumberFormat="0" applyFill="0" applyBorder="0" applyAlignment="0" applyProtection="0"/>
    <xf numFmtId="174" fontId="114" fillId="0" borderId="0" applyNumberFormat="0" applyFill="0" applyBorder="0" applyAlignment="0" applyProtection="0"/>
    <xf numFmtId="174" fontId="114" fillId="0" borderId="0" applyNumberFormat="0" applyFill="0" applyBorder="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0" fontId="84" fillId="0" borderId="73"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0" fontId="84" fillId="0" borderId="73"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115" fillId="0" borderId="0" applyNumberFormat="0" applyFill="0" applyBorder="0" applyAlignment="0" applyProtection="0"/>
    <xf numFmtId="174" fontId="115" fillId="0" borderId="0" applyNumberFormat="0" applyFill="0" applyBorder="0" applyAlignment="0" applyProtection="0"/>
    <xf numFmtId="174" fontId="115" fillId="0" borderId="0" applyNumberFormat="0" applyFill="0" applyBorder="0" applyAlignment="0" applyProtection="0"/>
    <xf numFmtId="174" fontId="115" fillId="0" borderId="0" applyNumberFormat="0" applyFill="0" applyBorder="0" applyAlignment="0" applyProtection="0"/>
    <xf numFmtId="174" fontId="115" fillId="0" borderId="0" applyNumberFormat="0" applyFill="0" applyBorder="0" applyAlignment="0" applyProtection="0"/>
    <xf numFmtId="174" fontId="115" fillId="0" borderId="0" applyNumberFormat="0" applyFill="0" applyBorder="0" applyAlignment="0" applyProtection="0"/>
    <xf numFmtId="174" fontId="115" fillId="0" borderId="0" applyNumberFormat="0" applyFill="0" applyBorder="0" applyAlignment="0" applyProtection="0"/>
    <xf numFmtId="174" fontId="115" fillId="0" borderId="0" applyNumberFormat="0" applyFill="0" applyBorder="0" applyAlignment="0" applyProtection="0"/>
    <xf numFmtId="174" fontId="115" fillId="0" borderId="0" applyNumberFormat="0" applyFill="0" applyBorder="0" applyAlignment="0" applyProtection="0"/>
    <xf numFmtId="174" fontId="115" fillId="0" borderId="0" applyNumberFormat="0" applyFill="0" applyBorder="0" applyAlignment="0" applyProtection="0"/>
    <xf numFmtId="174" fontId="115" fillId="0" borderId="0" applyNumberFormat="0" applyFill="0" applyBorder="0" applyAlignment="0" applyProtection="0"/>
    <xf numFmtId="174" fontId="115" fillId="0" borderId="0" applyNumberFormat="0" applyFill="0" applyBorder="0" applyAlignment="0" applyProtection="0"/>
    <xf numFmtId="174" fontId="115" fillId="0" borderId="0" applyNumberFormat="0" applyFill="0" applyBorder="0" applyAlignment="0" applyProtection="0"/>
    <xf numFmtId="174" fontId="115" fillId="0" borderId="0" applyNumberFormat="0" applyFill="0" applyBorder="0" applyAlignment="0" applyProtection="0"/>
    <xf numFmtId="174" fontId="115" fillId="0" borderId="0" applyNumberFormat="0" applyFill="0" applyBorder="0" applyAlignment="0" applyProtection="0"/>
    <xf numFmtId="174" fontId="115" fillId="0" borderId="0" applyNumberFormat="0" applyFill="0" applyBorder="0" applyAlignment="0" applyProtection="0"/>
    <xf numFmtId="174" fontId="115" fillId="0" borderId="0" applyNumberFormat="0" applyFill="0" applyBorder="0" applyAlignment="0" applyProtection="0"/>
    <xf numFmtId="174" fontId="115" fillId="0" borderId="0" applyNumberFormat="0" applyFill="0" applyBorder="0" applyAlignment="0" applyProtection="0"/>
    <xf numFmtId="174" fontId="115" fillId="0" borderId="0" applyNumberFormat="0" applyFill="0" applyBorder="0" applyAlignment="0" applyProtection="0"/>
    <xf numFmtId="174" fontId="115" fillId="0" borderId="0" applyNumberFormat="0" applyFill="0" applyBorder="0" applyAlignment="0" applyProtection="0"/>
    <xf numFmtId="174" fontId="115" fillId="0" borderId="0" applyNumberFormat="0" applyFill="0" applyBorder="0" applyAlignment="0" applyProtection="0"/>
    <xf numFmtId="174" fontId="115" fillId="0" borderId="0" applyNumberFormat="0" applyFill="0" applyBorder="0" applyAlignment="0" applyProtection="0"/>
    <xf numFmtId="0" fontId="116" fillId="0" borderId="0" applyNumberFormat="0" applyFill="0" applyBorder="0" applyAlignment="0" applyProtection="0"/>
    <xf numFmtId="174" fontId="115" fillId="0" borderId="0" applyNumberFormat="0" applyFill="0" applyBorder="0" applyAlignment="0" applyProtection="0"/>
    <xf numFmtId="174" fontId="115" fillId="0" borderId="0" applyNumberFormat="0" applyFill="0" applyBorder="0" applyAlignment="0" applyProtection="0"/>
    <xf numFmtId="174" fontId="115" fillId="0" borderId="0" applyNumberFormat="0" applyFill="0" applyBorder="0" applyAlignment="0" applyProtection="0"/>
    <xf numFmtId="174" fontId="115" fillId="0" borderId="0" applyNumberFormat="0" applyFill="0" applyBorder="0" applyAlignment="0" applyProtection="0"/>
    <xf numFmtId="174" fontId="115" fillId="0" borderId="0" applyNumberFormat="0" applyFill="0" applyBorder="0" applyAlignment="0" applyProtection="0"/>
    <xf numFmtId="174" fontId="115" fillId="0" borderId="0" applyNumberFormat="0" applyFill="0" applyBorder="0" applyAlignment="0" applyProtection="0"/>
    <xf numFmtId="174" fontId="115" fillId="0" borderId="0" applyNumberFormat="0" applyFill="0" applyBorder="0" applyAlignment="0" applyProtection="0"/>
    <xf numFmtId="174" fontId="115" fillId="0" borderId="0" applyNumberFormat="0" applyFill="0" applyBorder="0" applyAlignment="0" applyProtection="0"/>
    <xf numFmtId="174" fontId="115" fillId="0" borderId="0" applyNumberFormat="0" applyFill="0" applyBorder="0" applyAlignment="0" applyProtection="0"/>
    <xf numFmtId="174" fontId="115" fillId="0" borderId="0" applyNumberFormat="0" applyFill="0" applyBorder="0" applyAlignment="0" applyProtection="0"/>
    <xf numFmtId="174" fontId="115" fillId="0" borderId="0" applyNumberFormat="0" applyFill="0" applyBorder="0" applyAlignment="0" applyProtection="0"/>
    <xf numFmtId="174" fontId="115" fillId="0" borderId="0" applyNumberFormat="0" applyFill="0" applyBorder="0" applyAlignment="0" applyProtection="0"/>
    <xf numFmtId="174" fontId="115" fillId="0" borderId="0" applyNumberFormat="0" applyFill="0" applyBorder="0" applyAlignment="0" applyProtection="0"/>
    <xf numFmtId="174" fontId="115" fillId="0" borderId="0" applyNumberFormat="0" applyFill="0" applyBorder="0" applyAlignment="0" applyProtection="0"/>
    <xf numFmtId="174" fontId="115" fillId="0" borderId="0" applyNumberFormat="0" applyFill="0" applyBorder="0" applyAlignment="0" applyProtection="0"/>
    <xf numFmtId="174" fontId="115" fillId="0" borderId="0" applyNumberFormat="0" applyFill="0" applyBorder="0" applyAlignment="0" applyProtection="0"/>
    <xf numFmtId="174" fontId="115" fillId="0" borderId="0" applyNumberFormat="0" applyFill="0" applyBorder="0" applyAlignment="0" applyProtection="0"/>
    <xf numFmtId="174" fontId="115" fillId="0" borderId="0" applyNumberFormat="0" applyFill="0" applyBorder="0" applyAlignment="0" applyProtection="0"/>
    <xf numFmtId="174" fontId="115" fillId="0" borderId="0" applyNumberFormat="0" applyFill="0" applyBorder="0" applyAlignment="0" applyProtection="0"/>
    <xf numFmtId="174" fontId="115" fillId="0" borderId="0" applyNumberFormat="0" applyFill="0" applyBorder="0" applyAlignment="0" applyProtection="0"/>
    <xf numFmtId="174" fontId="115" fillId="0" borderId="0" applyNumberFormat="0" applyFill="0" applyBorder="0" applyAlignment="0" applyProtection="0"/>
    <xf numFmtId="174" fontId="115" fillId="0" borderId="0" applyNumberFormat="0" applyFill="0" applyBorder="0" applyAlignment="0" applyProtection="0"/>
    <xf numFmtId="174" fontId="115" fillId="0" borderId="0" applyNumberFormat="0" applyFill="0" applyBorder="0" applyAlignment="0" applyProtection="0"/>
    <xf numFmtId="174" fontId="115" fillId="0" borderId="0" applyNumberFormat="0" applyFill="0" applyBorder="0" applyAlignment="0" applyProtection="0"/>
    <xf numFmtId="174" fontId="115" fillId="0" borderId="0" applyNumberFormat="0" applyFill="0" applyBorder="0" applyAlignment="0" applyProtection="0"/>
    <xf numFmtId="174" fontId="115" fillId="0" borderId="0" applyNumberFormat="0" applyFill="0" applyBorder="0" applyAlignment="0" applyProtection="0"/>
    <xf numFmtId="174" fontId="115" fillId="0" borderId="0" applyNumberFormat="0" applyFill="0" applyBorder="0" applyAlignment="0" applyProtection="0"/>
    <xf numFmtId="0" fontId="9" fillId="78" borderId="0" applyNumberFormat="0" applyFont="0" applyBorder="0" applyAlignment="0" applyProtection="0"/>
    <xf numFmtId="0" fontId="9" fillId="0" borderId="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71" fillId="41" borderId="0" applyNumberFormat="0" applyBorder="0" applyAlignment="0" applyProtection="0"/>
    <xf numFmtId="0" fontId="71" fillId="38" borderId="0" applyNumberFormat="0" applyBorder="0" applyAlignment="0" applyProtection="0"/>
    <xf numFmtId="0" fontId="71" fillId="39" borderId="0" applyNumberFormat="0" applyBorder="0" applyAlignment="0" applyProtection="0"/>
    <xf numFmtId="0" fontId="71" fillId="42" borderId="0" applyNumberFormat="0" applyBorder="0" applyAlignment="0" applyProtection="0"/>
    <xf numFmtId="0" fontId="71" fillId="43" borderId="0" applyNumberFormat="0" applyBorder="0" applyAlignment="0" applyProtection="0"/>
    <xf numFmtId="0" fontId="71" fillId="44" borderId="0" applyNumberFormat="0" applyBorder="0" applyAlignment="0" applyProtection="0"/>
    <xf numFmtId="0" fontId="71" fillId="48" borderId="0" applyNumberFormat="0" applyBorder="0" applyAlignment="0" applyProtection="0"/>
    <xf numFmtId="0" fontId="71" fillId="53" borderId="0" applyNumberFormat="0" applyBorder="0" applyAlignment="0" applyProtection="0"/>
    <xf numFmtId="0" fontId="71" fillId="58" borderId="0" applyNumberFormat="0" applyBorder="0" applyAlignment="0" applyProtection="0"/>
    <xf numFmtId="0" fontId="71" fillId="42" borderId="0" applyNumberFormat="0" applyBorder="0" applyAlignment="0" applyProtection="0"/>
    <xf numFmtId="0" fontId="71" fillId="43" borderId="0" applyNumberFormat="0" applyBorder="0" applyAlignment="0" applyProtection="0"/>
    <xf numFmtId="0" fontId="71" fillId="67" borderId="0" applyNumberFormat="0" applyBorder="0" applyAlignment="0" applyProtection="0"/>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5"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9" fillId="0" borderId="54"/>
    <xf numFmtId="174" fontId="72" fillId="0" borderId="55" applyBorder="0"/>
    <xf numFmtId="174" fontId="72" fillId="0" borderId="55" applyBorder="0"/>
    <xf numFmtId="174" fontId="72" fillId="0" borderId="55" applyBorder="0"/>
    <xf numFmtId="174" fontId="72" fillId="0" borderId="55" applyBorder="0"/>
    <xf numFmtId="174" fontId="72" fillId="0" borderId="55" applyBorder="0"/>
    <xf numFmtId="174" fontId="72" fillId="0" borderId="55" applyBorder="0"/>
    <xf numFmtId="174" fontId="72" fillId="0" borderId="55" applyBorder="0"/>
    <xf numFmtId="174" fontId="72" fillId="0" borderId="55" applyBorder="0"/>
    <xf numFmtId="174" fontId="72" fillId="0" borderId="55" applyBorder="0"/>
    <xf numFmtId="174" fontId="72" fillId="0" borderId="55" applyBorder="0"/>
    <xf numFmtId="174" fontId="72" fillId="0" borderId="55" applyBorder="0"/>
    <xf numFmtId="174" fontId="72" fillId="0" borderId="55" applyBorder="0"/>
    <xf numFmtId="174" fontId="72" fillId="0" borderId="55" applyBorder="0"/>
    <xf numFmtId="174" fontId="72" fillId="0" borderId="55" applyBorder="0"/>
    <xf numFmtId="174" fontId="72" fillId="0" borderId="55" applyBorder="0"/>
    <xf numFmtId="174" fontId="72" fillId="0" borderId="55" applyBorder="0"/>
    <xf numFmtId="174" fontId="72" fillId="0" borderId="55" applyBorder="0"/>
    <xf numFmtId="174" fontId="72" fillId="0" borderId="55" applyBorder="0"/>
    <xf numFmtId="174" fontId="72" fillId="0" borderId="47" applyBorder="0"/>
    <xf numFmtId="174" fontId="72" fillId="0" borderId="47" applyBorder="0"/>
    <xf numFmtId="174" fontId="72" fillId="0" borderId="47" applyBorder="0"/>
    <xf numFmtId="174" fontId="72" fillId="0" borderId="47" applyBorder="0"/>
    <xf numFmtId="174" fontId="72" fillId="0" borderId="47" applyBorder="0"/>
    <xf numFmtId="174" fontId="72" fillId="0" borderId="47" applyBorder="0"/>
    <xf numFmtId="174" fontId="72" fillId="0" borderId="47" applyBorder="0"/>
    <xf numFmtId="174" fontId="72" fillId="0" borderId="47" applyBorder="0"/>
    <xf numFmtId="174" fontId="72" fillId="0" borderId="47" applyBorder="0"/>
    <xf numFmtId="174" fontId="72" fillId="0" borderId="47" applyBorder="0"/>
    <xf numFmtId="174" fontId="72" fillId="0" borderId="47" applyBorder="0"/>
    <xf numFmtId="174" fontId="72" fillId="0" borderId="47" applyBorder="0"/>
    <xf numFmtId="174" fontId="72" fillId="0" borderId="47" applyBorder="0"/>
    <xf numFmtId="174" fontId="72" fillId="0" borderId="47" applyBorder="0"/>
    <xf numFmtId="174" fontId="72" fillId="0" borderId="47" applyBorder="0"/>
    <xf numFmtId="174" fontId="72" fillId="0" borderId="47" applyBorder="0"/>
    <xf numFmtId="174" fontId="72" fillId="0" borderId="47" applyBorder="0"/>
    <xf numFmtId="174" fontId="72" fillId="0" borderId="47" applyBorder="0"/>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74">
      <alignment horizontal="lef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53">
      <alignment horizontal="righ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174" fontId="9" fillId="69" borderId="14">
      <alignment horizontal="left"/>
    </xf>
    <xf numFmtId="0" fontId="73" fillId="32" borderId="0" applyNumberFormat="0" applyBorder="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0" fontId="76" fillId="71" borderId="57" applyNumberFormat="0" applyAlignment="0" applyProtection="0"/>
    <xf numFmtId="174" fontId="75" fillId="70" borderId="56" applyNumberFormat="0" applyAlignment="0" applyProtection="0"/>
    <xf numFmtId="0"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174" fontId="75" fillId="70" borderId="56" applyNumberFormat="0" applyAlignment="0" applyProtection="0"/>
    <xf numFmtId="0" fontId="77" fillId="72" borderId="58" applyNumberFormat="0" applyAlignment="0" applyProtection="0"/>
    <xf numFmtId="43" fontId="11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85" fillId="0" borderId="0" applyNumberFormat="0" applyFill="0" applyBorder="0" applyAlignment="0" applyProtection="0"/>
    <xf numFmtId="0" fontId="86" fillId="33" borderId="0" applyNumberFormat="0" applyBorder="0" applyAlignment="0" applyProtection="0"/>
    <xf numFmtId="0" fontId="87" fillId="0" borderId="59" applyNumberFormat="0" applyFill="0" applyAlignment="0" applyProtection="0"/>
    <xf numFmtId="0" fontId="89" fillId="0" borderId="61" applyNumberFormat="0" applyFill="0" applyAlignment="0" applyProtection="0"/>
    <xf numFmtId="0" fontId="91" fillId="0" borderId="63" applyNumberFormat="0" applyFill="0" applyAlignment="0" applyProtection="0"/>
    <xf numFmtId="0" fontId="91" fillId="0" borderId="0" applyNumberFormat="0" applyFill="0" applyBorder="0" applyAlignment="0" applyProtection="0"/>
    <xf numFmtId="0" fontId="23" fillId="0" borderId="0" applyNumberFormat="0" applyFill="0" applyBorder="0" applyAlignment="0" applyProtection="0">
      <alignment vertical="top"/>
      <protection locked="0"/>
    </xf>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0" fontId="98" fillId="65" borderId="57" applyNumberFormat="0" applyAlignment="0" applyProtection="0"/>
    <xf numFmtId="174" fontId="97" fillId="36" borderId="56" applyNumberFormat="0" applyAlignment="0" applyProtection="0"/>
    <xf numFmtId="0"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174" fontId="97" fillId="36" borderId="56" applyNumberFormat="0" applyAlignment="0" applyProtection="0"/>
    <xf numFmtId="0" fontId="99" fillId="0" borderId="65" applyNumberFormat="0" applyFill="0" applyAlignment="0" applyProtection="0"/>
    <xf numFmtId="0" fontId="100" fillId="76" borderId="0" applyNumberFormat="0" applyBorder="0" applyAlignment="0" applyProtection="0"/>
    <xf numFmtId="0" fontId="1" fillId="0" borderId="0"/>
    <xf numFmtId="0" fontId="118" fillId="0" borderId="0"/>
    <xf numFmtId="0" fontId="118" fillId="0" borderId="0"/>
    <xf numFmtId="0" fontId="1" fillId="0" borderId="0"/>
    <xf numFmtId="0" fontId="9" fillId="0" borderId="0"/>
    <xf numFmtId="0" fontId="9" fillId="0" borderId="0"/>
    <xf numFmtId="0" fontId="9" fillId="0" borderId="0"/>
    <xf numFmtId="0" fontId="9" fillId="0" borderId="0"/>
    <xf numFmtId="0" fontId="9" fillId="0" borderId="0"/>
    <xf numFmtId="0" fontId="9" fillId="0" borderId="0"/>
    <xf numFmtId="0" fontId="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 fillId="0" borderId="0"/>
    <xf numFmtId="0" fontId="9" fillId="0" borderId="0"/>
    <xf numFmtId="0" fontId="9" fillId="0" borderId="0"/>
    <xf numFmtId="0" fontId="9" fillId="0" borderId="0"/>
    <xf numFmtId="0" fontId="9" fillId="0" borderId="0"/>
    <xf numFmtId="0" fontId="9" fillId="0" borderId="0"/>
    <xf numFmtId="0" fontId="9" fillId="0" borderId="0"/>
    <xf numFmtId="0" fontId="1" fillId="0" borderId="0"/>
    <xf numFmtId="0" fontId="119" fillId="0" borderId="0"/>
    <xf numFmtId="0" fontId="1" fillId="0" borderId="0"/>
    <xf numFmtId="0" fontId="1" fillId="0" borderId="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0" fontId="59" fillId="64" borderId="57" applyNumberFormat="0" applyFont="0" applyAlignment="0" applyProtection="0"/>
    <xf numFmtId="174" fontId="9" fillId="78" borderId="67" applyNumberFormat="0" applyFont="0" applyAlignment="0" applyProtection="0"/>
    <xf numFmtId="0" fontId="1"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0"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9" fillId="78" borderId="67" applyNumberFormat="0" applyFon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0" fontId="102" fillId="71" borderId="68" applyNumberFormat="0" applyAlignment="0" applyProtection="0"/>
    <xf numFmtId="174" fontId="102" fillId="70" borderId="68" applyNumberFormat="0" applyAlignment="0" applyProtection="0"/>
    <xf numFmtId="0"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174" fontId="102" fillId="70" borderId="68" applyNumberFormat="0" applyAlignment="0" applyProtection="0"/>
    <xf numFmtId="9" fontId="1" fillId="0" borderId="0" applyFont="0" applyFill="0" applyBorder="0" applyAlignment="0" applyProtection="0"/>
    <xf numFmtId="9" fontId="1" fillId="0" borderId="0" applyFont="0" applyFill="0" applyBorder="0" applyAlignment="0" applyProtection="0"/>
    <xf numFmtId="9" fontId="22" fillId="0" borderId="0" applyFont="0" applyFill="0" applyBorder="0" applyAlignment="0" applyProtection="0"/>
    <xf numFmtId="4" fontId="59" fillId="76" borderId="57" applyNumberFormat="0" applyProtection="0">
      <alignment vertical="center"/>
    </xf>
    <xf numFmtId="4" fontId="105" fillId="79" borderId="57" applyNumberFormat="0" applyProtection="0">
      <alignment vertical="center"/>
    </xf>
    <xf numFmtId="4" fontId="59" fillId="79" borderId="57" applyNumberFormat="0" applyProtection="0">
      <alignment horizontal="left" vertical="center" indent="1"/>
    </xf>
    <xf numFmtId="0" fontId="106" fillId="76" borderId="69" applyNumberFormat="0" applyProtection="0">
      <alignment horizontal="left" vertical="top" indent="1"/>
    </xf>
    <xf numFmtId="4" fontId="59" fillId="43" borderId="57" applyNumberFormat="0" applyProtection="0">
      <alignment horizontal="left" vertical="center" indent="1"/>
    </xf>
    <xf numFmtId="4" fontId="59" fillId="32" borderId="57" applyNumberFormat="0" applyProtection="0">
      <alignment horizontal="right" vertical="center"/>
    </xf>
    <xf numFmtId="4" fontId="59" fillId="81" borderId="57" applyNumberFormat="0" applyProtection="0">
      <alignment horizontal="right" vertical="center"/>
    </xf>
    <xf numFmtId="4" fontId="59" fillId="53" borderId="41" applyNumberFormat="0" applyProtection="0">
      <alignment horizontal="right" vertical="center"/>
    </xf>
    <xf numFmtId="4" fontId="59" fillId="40" borderId="57" applyNumberFormat="0" applyProtection="0">
      <alignment horizontal="right" vertical="center"/>
    </xf>
    <xf numFmtId="4" fontId="59" fillId="44" borderId="57" applyNumberFormat="0" applyProtection="0">
      <alignment horizontal="right" vertical="center"/>
    </xf>
    <xf numFmtId="4" fontId="59" fillId="67" borderId="57" applyNumberFormat="0" applyProtection="0">
      <alignment horizontal="right" vertical="center"/>
    </xf>
    <xf numFmtId="4" fontId="59" fillId="58" borderId="57" applyNumberFormat="0" applyProtection="0">
      <alignment horizontal="right" vertical="center"/>
    </xf>
    <xf numFmtId="4" fontId="59" fillId="82" borderId="57" applyNumberFormat="0" applyProtection="0">
      <alignment horizontal="right" vertical="center"/>
    </xf>
    <xf numFmtId="4" fontId="59" fillId="39" borderId="57" applyNumberFormat="0" applyProtection="0">
      <alignment horizontal="right" vertical="center"/>
    </xf>
    <xf numFmtId="4" fontId="59" fillId="83" borderId="41" applyNumberFormat="0" applyProtection="0">
      <alignment horizontal="left" vertical="center" indent="1"/>
    </xf>
    <xf numFmtId="4" fontId="9" fillId="84" borderId="41" applyNumberFormat="0" applyProtection="0">
      <alignment horizontal="left" vertical="center" indent="1"/>
    </xf>
    <xf numFmtId="4" fontId="9" fillId="84" borderId="41" applyNumberFormat="0" applyProtection="0">
      <alignment horizontal="left" vertical="center" indent="1"/>
    </xf>
    <xf numFmtId="4" fontId="59" fillId="80" borderId="57" applyNumberFormat="0" applyProtection="0">
      <alignment horizontal="right" vertical="center"/>
    </xf>
    <xf numFmtId="4" fontId="59" fillId="85" borderId="41" applyNumberFormat="0" applyProtection="0">
      <alignment horizontal="left" vertical="center" indent="1"/>
    </xf>
    <xf numFmtId="4" fontId="59" fillId="80" borderId="41" applyNumberFormat="0" applyProtection="0">
      <alignment horizontal="left" vertical="center" indent="1"/>
    </xf>
    <xf numFmtId="0" fontId="59" fillId="70" borderId="57" applyNumberFormat="0" applyProtection="0">
      <alignment horizontal="left" vertical="center" indent="1"/>
    </xf>
    <xf numFmtId="0" fontId="59" fillId="84" borderId="69" applyNumberFormat="0" applyProtection="0">
      <alignment horizontal="left" vertical="top" indent="1"/>
    </xf>
    <xf numFmtId="0" fontId="59" fillId="86" borderId="57" applyNumberFormat="0" applyProtection="0">
      <alignment horizontal="left" vertical="center" indent="1"/>
    </xf>
    <xf numFmtId="0" fontId="59" fillId="80" borderId="69" applyNumberFormat="0" applyProtection="0">
      <alignment horizontal="left" vertical="top" indent="1"/>
    </xf>
    <xf numFmtId="0" fontId="59" fillId="37" borderId="57" applyNumberFormat="0" applyProtection="0">
      <alignment horizontal="left" vertical="center" indent="1"/>
    </xf>
    <xf numFmtId="0" fontId="59" fillId="37" borderId="69" applyNumberFormat="0" applyProtection="0">
      <alignment horizontal="left" vertical="top" indent="1"/>
    </xf>
    <xf numFmtId="0" fontId="59" fillId="85" borderId="57" applyNumberFormat="0" applyProtection="0">
      <alignment horizontal="left" vertical="center" indent="1"/>
    </xf>
    <xf numFmtId="0" fontId="59" fillId="85" borderId="69" applyNumberFormat="0" applyProtection="0">
      <alignment horizontal="left" vertical="top" indent="1"/>
    </xf>
    <xf numFmtId="0" fontId="59" fillId="87" borderId="70" applyNumberFormat="0">
      <protection locked="0"/>
    </xf>
    <xf numFmtId="0" fontId="108" fillId="84" borderId="71" applyBorder="0"/>
    <xf numFmtId="4" fontId="109" fillId="78" borderId="69" applyNumberFormat="0" applyProtection="0">
      <alignment vertical="center"/>
    </xf>
    <xf numFmtId="4" fontId="105" fillId="88" borderId="75" applyNumberFormat="0" applyProtection="0">
      <alignment vertical="center"/>
    </xf>
    <xf numFmtId="4" fontId="109" fillId="70" borderId="69" applyNumberFormat="0" applyProtection="0">
      <alignment horizontal="left" vertical="center" indent="1"/>
    </xf>
    <xf numFmtId="0" fontId="109" fillId="78" borderId="69" applyNumberFormat="0" applyProtection="0">
      <alignment horizontal="left" vertical="top" indent="1"/>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78" fillId="85" borderId="69" applyNumberFormat="0" applyProtection="0">
      <alignment horizontal="right" vertical="center"/>
    </xf>
    <xf numFmtId="4" fontId="59" fillId="0" borderId="57"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10" fillId="85" borderId="69" applyNumberFormat="0" applyProtection="0">
      <alignment horizontal="right" vertical="center"/>
    </xf>
    <xf numFmtId="4" fontId="105" fillId="69" borderId="57" applyNumberFormat="0" applyProtection="0">
      <alignment horizontal="right" vertical="center"/>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78" fillId="80" borderId="69" applyNumberFormat="0" applyProtection="0">
      <alignment horizontal="left" vertical="center" indent="1"/>
    </xf>
    <xf numFmtId="4" fontId="59" fillId="43" borderId="57" applyNumberFormat="0" applyProtection="0">
      <alignment horizontal="left" vertical="center" indent="1"/>
    </xf>
    <xf numFmtId="0" fontId="109" fillId="80" borderId="69" applyNumberFormat="0" applyProtection="0">
      <alignment horizontal="left" vertical="top" indent="1"/>
    </xf>
    <xf numFmtId="4" fontId="111" fillId="89" borderId="41" applyNumberFormat="0" applyProtection="0">
      <alignment horizontal="left" vertical="center" indent="1"/>
    </xf>
    <xf numFmtId="0" fontId="59" fillId="90" borderId="75"/>
    <xf numFmtId="4" fontId="112" fillId="87" borderId="57" applyNumberFormat="0" applyProtection="0">
      <alignment horizontal="right" vertical="center"/>
    </xf>
    <xf numFmtId="0" fontId="114" fillId="0" borderId="0" applyNumberFormat="0" applyFill="0" applyBorder="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0" fontId="84" fillId="0" borderId="73" applyNumberFormat="0" applyFill="0" applyAlignment="0" applyProtection="0"/>
    <xf numFmtId="174" fontId="84" fillId="0" borderId="72" applyNumberFormat="0" applyFill="0" applyAlignment="0" applyProtection="0"/>
    <xf numFmtId="0"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174" fontId="84" fillId="0" borderId="72" applyNumberFormat="0" applyFill="0" applyAlignment="0" applyProtection="0"/>
    <xf numFmtId="0" fontId="115" fillId="0" borderId="0" applyNumberForma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22" fillId="0" borderId="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0" fontId="22" fillId="0" borderId="0"/>
    <xf numFmtId="43" fontId="22" fillId="0" borderId="0" applyFont="0" applyFill="0" applyBorder="0" applyAlignment="0" applyProtection="0"/>
    <xf numFmtId="0" fontId="22" fillId="0" borderId="0"/>
    <xf numFmtId="43" fontId="22" fillId="0" borderId="0" applyFont="0" applyFill="0" applyBorder="0" applyAlignment="0" applyProtection="0"/>
    <xf numFmtId="0" fontId="9" fillId="0" borderId="0"/>
    <xf numFmtId="0" fontId="9" fillId="0" borderId="0"/>
    <xf numFmtId="0" fontId="96" fillId="0" borderId="0" applyNumberFormat="0" applyFill="0" applyBorder="0" applyAlignment="0" applyProtection="0"/>
  </cellStyleXfs>
  <cellXfs count="3744">
    <xf numFmtId="0" fontId="0" fillId="0" borderId="0" xfId="0"/>
    <xf numFmtId="0" fontId="26" fillId="0" borderId="0" xfId="0" applyFont="1"/>
    <xf numFmtId="0" fontId="27" fillId="0" borderId="0" xfId="0" applyFont="1"/>
    <xf numFmtId="0" fontId="29" fillId="0" borderId="0" xfId="0" applyFont="1"/>
    <xf numFmtId="0" fontId="31" fillId="0" borderId="0" xfId="0" applyFont="1"/>
    <xf numFmtId="3" fontId="31" fillId="0" borderId="0" xfId="0" applyNumberFormat="1" applyFont="1"/>
    <xf numFmtId="0" fontId="33" fillId="0" borderId="0" xfId="0" applyFont="1"/>
    <xf numFmtId="0" fontId="33" fillId="0" borderId="0" xfId="0" applyFont="1" applyAlignment="1">
      <alignment horizontal="center" vertical="center"/>
    </xf>
    <xf numFmtId="0" fontId="33" fillId="0" borderId="0" xfId="0" applyFont="1" applyAlignment="1">
      <alignment horizontal="center"/>
    </xf>
    <xf numFmtId="43" fontId="0" fillId="0" borderId="0" xfId="0" applyNumberFormat="1"/>
    <xf numFmtId="3" fontId="0" fillId="0" borderId="0" xfId="0" applyNumberFormat="1"/>
    <xf numFmtId="0" fontId="34" fillId="0" borderId="0" xfId="0" applyFont="1"/>
    <xf numFmtId="0" fontId="35" fillId="0" borderId="0" xfId="0" applyFont="1"/>
    <xf numFmtId="165" fontId="29" fillId="0" borderId="0" xfId="1" applyNumberFormat="1" applyFont="1" applyFill="1" applyBorder="1" applyAlignment="1">
      <alignment horizontal="center"/>
    </xf>
    <xf numFmtId="165" fontId="0" fillId="0" borderId="0" xfId="0" applyNumberFormat="1"/>
    <xf numFmtId="0" fontId="24" fillId="0" borderId="0" xfId="0" applyFont="1"/>
    <xf numFmtId="10" fontId="0" fillId="0" borderId="0" xfId="0" applyNumberFormat="1"/>
    <xf numFmtId="2" fontId="22" fillId="0" borderId="0" xfId="1" applyNumberFormat="1" applyFont="1" applyFill="1"/>
    <xf numFmtId="4" fontId="27" fillId="0" borderId="2" xfId="1" applyNumberFormat="1" applyFont="1" applyFill="1" applyBorder="1"/>
    <xf numFmtId="10" fontId="22" fillId="0" borderId="0" xfId="1" applyNumberFormat="1" applyFont="1"/>
    <xf numFmtId="1" fontId="22" fillId="0" borderId="0" xfId="1" applyNumberFormat="1" applyFont="1"/>
    <xf numFmtId="1" fontId="22" fillId="0" borderId="0" xfId="1" applyNumberFormat="1" applyFont="1" applyFill="1"/>
    <xf numFmtId="1" fontId="22" fillId="0" borderId="0" xfId="1" applyNumberFormat="1" applyFont="1" applyBorder="1"/>
    <xf numFmtId="165" fontId="27" fillId="0" borderId="0" xfId="1" applyNumberFormat="1" applyFont="1" applyFill="1" applyBorder="1" applyAlignment="1">
      <alignment horizontal="center"/>
    </xf>
    <xf numFmtId="0" fontId="28" fillId="6" borderId="3" xfId="0" applyFont="1" applyFill="1" applyBorder="1"/>
    <xf numFmtId="0" fontId="28" fillId="6" borderId="4" xfId="0" applyFont="1" applyFill="1" applyBorder="1"/>
    <xf numFmtId="0" fontId="28" fillId="6" borderId="4" xfId="0" applyFont="1" applyFill="1" applyBorder="1" applyAlignment="1">
      <alignment horizontal="center"/>
    </xf>
    <xf numFmtId="0" fontId="28" fillId="4" borderId="5" xfId="0" applyFont="1" applyFill="1" applyBorder="1"/>
    <xf numFmtId="0" fontId="30" fillId="0" borderId="0" xfId="0" applyFont="1"/>
    <xf numFmtId="0" fontId="32" fillId="0" borderId="0" xfId="0" applyFont="1"/>
    <xf numFmtId="0" fontId="32" fillId="3" borderId="0" xfId="0" applyFont="1" applyFill="1"/>
    <xf numFmtId="0" fontId="33" fillId="3" borderId="0" xfId="0" applyFont="1" applyFill="1"/>
    <xf numFmtId="0" fontId="30" fillId="3" borderId="0" xfId="0" applyFont="1" applyFill="1"/>
    <xf numFmtId="0" fontId="28" fillId="2" borderId="3" xfId="0" applyFont="1" applyFill="1" applyBorder="1"/>
    <xf numFmtId="0" fontId="28" fillId="2" borderId="4" xfId="0" applyFont="1" applyFill="1" applyBorder="1"/>
    <xf numFmtId="0" fontId="28" fillId="2" borderId="4" xfId="0" applyFont="1" applyFill="1" applyBorder="1" applyAlignment="1">
      <alignment horizontal="center"/>
    </xf>
    <xf numFmtId="0" fontId="36" fillId="0" borderId="0" xfId="0" applyFont="1"/>
    <xf numFmtId="0" fontId="2" fillId="0" borderId="0" xfId="0" applyFont="1" applyAlignment="1">
      <alignment horizontal="left" vertical="center"/>
    </xf>
    <xf numFmtId="0" fontId="0" fillId="9" borderId="0" xfId="0" applyFill="1"/>
    <xf numFmtId="0" fontId="0" fillId="0" borderId="0" xfId="0" applyAlignment="1">
      <alignment vertical="center"/>
    </xf>
    <xf numFmtId="165" fontId="29" fillId="0" borderId="0" xfId="1" applyNumberFormat="1" applyFont="1" applyFill="1" applyBorder="1" applyAlignment="1">
      <alignment horizontal="left" vertical="center"/>
    </xf>
    <xf numFmtId="0" fontId="0" fillId="0" borderId="0" xfId="0" applyAlignment="1">
      <alignment horizontal="left" vertical="center"/>
    </xf>
    <xf numFmtId="0" fontId="28" fillId="0" borderId="0" xfId="0" applyFont="1"/>
    <xf numFmtId="0" fontId="0" fillId="0" borderId="0" xfId="0" applyAlignment="1">
      <alignment horizontal="center" vertical="center"/>
    </xf>
    <xf numFmtId="0" fontId="32" fillId="0" borderId="0" xfId="0" applyFont="1" applyAlignment="1">
      <alignment horizontal="left" vertical="center"/>
    </xf>
    <xf numFmtId="0" fontId="27" fillId="0" borderId="0" xfId="0" applyFont="1" applyAlignment="1">
      <alignment horizontal="center" vertical="center"/>
    </xf>
    <xf numFmtId="0" fontId="32" fillId="11" borderId="0" xfId="0" applyFont="1" applyFill="1" applyAlignment="1">
      <alignment horizontal="left" vertical="center"/>
    </xf>
    <xf numFmtId="165" fontId="22" fillId="11" borderId="0" xfId="1" applyNumberFormat="1" applyFont="1" applyFill="1" applyBorder="1"/>
    <xf numFmtId="165" fontId="22" fillId="12" borderId="0" xfId="1" applyNumberFormat="1" applyFont="1" applyFill="1" applyBorder="1"/>
    <xf numFmtId="165" fontId="22" fillId="0" borderId="0" xfId="1" applyNumberFormat="1" applyFont="1" applyBorder="1"/>
    <xf numFmtId="165" fontId="22" fillId="13" borderId="0" xfId="1" applyNumberFormat="1" applyFont="1" applyFill="1" applyBorder="1"/>
    <xf numFmtId="0" fontId="3" fillId="0" borderId="0" xfId="0" applyFont="1" applyAlignment="1">
      <alignment horizontal="left" vertical="center"/>
    </xf>
    <xf numFmtId="0" fontId="2" fillId="0" borderId="0" xfId="0" applyFont="1" applyAlignment="1">
      <alignment vertical="center"/>
    </xf>
    <xf numFmtId="0" fontId="2" fillId="0" borderId="0" xfId="0" applyFont="1" applyAlignment="1">
      <alignment horizontal="left"/>
    </xf>
    <xf numFmtId="0" fontId="2" fillId="0" borderId="0" xfId="0" applyFont="1"/>
    <xf numFmtId="0" fontId="2" fillId="0" borderId="4" xfId="0" applyFont="1" applyBorder="1" applyAlignment="1">
      <alignment horizontal="center"/>
    </xf>
    <xf numFmtId="0" fontId="2" fillId="0" borderId="4" xfId="0" applyFont="1" applyBorder="1" applyAlignment="1">
      <alignment horizontal="center" vertical="center" wrapText="1"/>
    </xf>
    <xf numFmtId="0" fontId="4" fillId="0" borderId="0" xfId="0" applyFont="1" applyAlignment="1">
      <alignment horizontal="center" wrapText="1"/>
    </xf>
    <xf numFmtId="165" fontId="22" fillId="0" borderId="0" xfId="1" applyNumberFormat="1" applyFont="1"/>
    <xf numFmtId="0" fontId="4" fillId="9" borderId="0" xfId="0" applyFont="1" applyFill="1" applyAlignment="1">
      <alignment horizontal="center" wrapText="1"/>
    </xf>
    <xf numFmtId="0" fontId="2" fillId="0" borderId="4" xfId="0" applyFont="1" applyBorder="1"/>
    <xf numFmtId="0" fontId="2" fillId="0" borderId="0" xfId="0" applyFont="1" applyAlignment="1">
      <alignment horizontal="center"/>
    </xf>
    <xf numFmtId="0" fontId="8" fillId="0" borderId="0" xfId="0" applyFont="1" applyAlignment="1">
      <alignment vertical="center"/>
    </xf>
    <xf numFmtId="0" fontId="2" fillId="0" borderId="7" xfId="0" applyFont="1" applyBorder="1"/>
    <xf numFmtId="0" fontId="2" fillId="0" borderId="8" xfId="0" applyFont="1" applyBorder="1"/>
    <xf numFmtId="0" fontId="2" fillId="0" borderId="9" xfId="0" applyFont="1" applyBorder="1"/>
    <xf numFmtId="165" fontId="2" fillId="0" borderId="0" xfId="1" applyNumberFormat="1" applyFont="1"/>
    <xf numFmtId="0" fontId="3" fillId="0" borderId="0" xfId="0" applyFont="1"/>
    <xf numFmtId="0" fontId="0" fillId="15" borderId="0" xfId="0" applyFill="1"/>
    <xf numFmtId="0" fontId="7" fillId="0" borderId="0" xfId="0" applyFont="1" applyAlignment="1">
      <alignment horizontal="center" vertical="center"/>
    </xf>
    <xf numFmtId="165" fontId="28" fillId="2" borderId="24" xfId="1" applyNumberFormat="1" applyFont="1" applyFill="1" applyBorder="1"/>
    <xf numFmtId="165" fontId="22" fillId="16" borderId="0" xfId="1" applyNumberFormat="1" applyFont="1" applyFill="1"/>
    <xf numFmtId="0" fontId="0" fillId="16" borderId="0" xfId="0" applyFill="1"/>
    <xf numFmtId="0" fontId="27" fillId="16" borderId="0" xfId="0" applyFont="1" applyFill="1" applyAlignment="1">
      <alignment horizontal="center" vertical="center"/>
    </xf>
    <xf numFmtId="165" fontId="2" fillId="0" borderId="0" xfId="2" applyNumberFormat="1" applyFont="1" applyBorder="1"/>
    <xf numFmtId="0" fontId="10" fillId="0" borderId="0" xfId="0" applyFont="1" applyAlignment="1">
      <alignment horizontal="center"/>
    </xf>
    <xf numFmtId="0" fontId="10" fillId="0" borderId="0" xfId="0" applyFont="1" applyAlignment="1">
      <alignment horizontal="center" vertical="center"/>
    </xf>
    <xf numFmtId="165" fontId="2" fillId="0" borderId="0" xfId="0" applyNumberFormat="1" applyFont="1"/>
    <xf numFmtId="165" fontId="22" fillId="0" borderId="0" xfId="1" applyNumberFormat="1" applyFont="1" applyAlignment="1">
      <alignment vertical="center"/>
    </xf>
    <xf numFmtId="0" fontId="28" fillId="4" borderId="5" xfId="0" applyFont="1" applyFill="1" applyBorder="1" applyAlignment="1">
      <alignment vertical="center"/>
    </xf>
    <xf numFmtId="4" fontId="28" fillId="4" borderId="5" xfId="0" applyNumberFormat="1" applyFont="1" applyFill="1" applyBorder="1" applyAlignment="1">
      <alignment vertical="center"/>
    </xf>
    <xf numFmtId="165" fontId="22" fillId="0" borderId="0" xfId="1" applyNumberFormat="1" applyFont="1" applyFill="1"/>
    <xf numFmtId="0" fontId="11" fillId="0" borderId="0" xfId="0" applyFont="1" applyAlignment="1">
      <alignment vertical="center"/>
    </xf>
    <xf numFmtId="0" fontId="10" fillId="0" borderId="0" xfId="0" applyFont="1"/>
    <xf numFmtId="165" fontId="10" fillId="0" borderId="27" xfId="2" applyNumberFormat="1" applyFont="1" applyFill="1" applyBorder="1" applyAlignment="1">
      <alignment horizontal="center" vertical="center"/>
    </xf>
    <xf numFmtId="0" fontId="10" fillId="17" borderId="0" xfId="0" applyFont="1" applyFill="1" applyAlignment="1">
      <alignment horizontal="center" vertical="center"/>
    </xf>
    <xf numFmtId="165" fontId="10" fillId="17" borderId="27" xfId="2" applyNumberFormat="1" applyFont="1" applyFill="1" applyBorder="1" applyAlignment="1">
      <alignment horizontal="center" vertical="center"/>
    </xf>
    <xf numFmtId="0" fontId="28" fillId="2" borderId="5" xfId="0" applyFont="1" applyFill="1" applyBorder="1" applyAlignment="1">
      <alignment vertical="center"/>
    </xf>
    <xf numFmtId="4" fontId="28" fillId="2" borderId="5" xfId="0" applyNumberFormat="1" applyFont="1" applyFill="1" applyBorder="1" applyAlignment="1">
      <alignment vertical="center"/>
    </xf>
    <xf numFmtId="0" fontId="24" fillId="0" borderId="0" xfId="0" applyFont="1" applyAlignment="1">
      <alignment vertical="center"/>
    </xf>
    <xf numFmtId="165" fontId="2" fillId="0" borderId="0" xfId="1" applyNumberFormat="1" applyFont="1" applyBorder="1"/>
    <xf numFmtId="0" fontId="28" fillId="6" borderId="2" xfId="0" applyFont="1" applyFill="1" applyBorder="1" applyAlignment="1">
      <alignment horizontal="center"/>
    </xf>
    <xf numFmtId="0" fontId="0" fillId="0" borderId="5" xfId="0" applyBorder="1"/>
    <xf numFmtId="0" fontId="24" fillId="0" borderId="0" xfId="0" applyFont="1" applyAlignment="1">
      <alignment horizontal="center"/>
    </xf>
    <xf numFmtId="0" fontId="24" fillId="13" borderId="0" xfId="0" applyFont="1" applyFill="1" applyAlignment="1">
      <alignment horizontal="center"/>
    </xf>
    <xf numFmtId="0" fontId="7" fillId="13" borderId="0" xfId="0" applyFont="1" applyFill="1" applyAlignment="1">
      <alignment horizontal="center" vertical="center" wrapText="1"/>
    </xf>
    <xf numFmtId="165" fontId="7" fillId="13" borderId="0" xfId="1" applyNumberFormat="1" applyFont="1" applyFill="1" applyBorder="1" applyAlignment="1">
      <alignment vertical="center"/>
    </xf>
    <xf numFmtId="165" fontId="27" fillId="13" borderId="0" xfId="1" applyNumberFormat="1" applyFont="1" applyFill="1" applyBorder="1" applyAlignment="1">
      <alignment horizontal="center" vertical="center"/>
    </xf>
    <xf numFmtId="165" fontId="27" fillId="16" borderId="0" xfId="1" applyNumberFormat="1" applyFont="1" applyFill="1" applyBorder="1" applyAlignment="1">
      <alignment horizontal="center" vertical="center"/>
    </xf>
    <xf numFmtId="43" fontId="22" fillId="0" borderId="0" xfId="1" applyFont="1"/>
    <xf numFmtId="4" fontId="28" fillId="4" borderId="4" xfId="0" applyNumberFormat="1" applyFont="1" applyFill="1" applyBorder="1" applyAlignment="1">
      <alignment vertical="center"/>
    </xf>
    <xf numFmtId="0" fontId="28" fillId="2" borderId="3" xfId="0" applyFont="1" applyFill="1" applyBorder="1" applyAlignment="1">
      <alignment horizontal="center"/>
    </xf>
    <xf numFmtId="165" fontId="10" fillId="0" borderId="0" xfId="2" applyNumberFormat="1" applyFont="1" applyFill="1" applyBorder="1" applyAlignment="1">
      <alignment horizontal="center" vertical="center"/>
    </xf>
    <xf numFmtId="165" fontId="27" fillId="0" borderId="0" xfId="1" applyNumberFormat="1" applyFont="1" applyFill="1" applyBorder="1" applyAlignment="1">
      <alignment horizontal="center" vertical="center"/>
    </xf>
    <xf numFmtId="0" fontId="25" fillId="16" borderId="0" xfId="0" applyFont="1" applyFill="1"/>
    <xf numFmtId="165" fontId="10" fillId="17" borderId="27" xfId="1" applyNumberFormat="1" applyFont="1" applyFill="1" applyBorder="1" applyAlignment="1">
      <alignment horizontal="center" vertical="center"/>
    </xf>
    <xf numFmtId="170" fontId="22" fillId="0" borderId="0" xfId="1" applyNumberFormat="1" applyFont="1" applyAlignment="1">
      <alignment horizontal="center" vertical="center"/>
    </xf>
    <xf numFmtId="165" fontId="37" fillId="0" borderId="0" xfId="1" applyNumberFormat="1" applyFont="1" applyFill="1" applyBorder="1" applyAlignment="1">
      <alignment horizontal="center" vertical="center"/>
    </xf>
    <xf numFmtId="165" fontId="0" fillId="15" borderId="0" xfId="0" applyNumberFormat="1" applyFill="1"/>
    <xf numFmtId="165" fontId="2" fillId="0" borderId="0" xfId="1" applyNumberFormat="1" applyFont="1" applyFill="1" applyBorder="1"/>
    <xf numFmtId="165" fontId="22" fillId="0" borderId="2" xfId="1" applyNumberFormat="1" applyFont="1" applyFill="1" applyBorder="1"/>
    <xf numFmtId="2" fontId="22" fillId="0" borderId="0" xfId="1" applyNumberFormat="1" applyFont="1"/>
    <xf numFmtId="4" fontId="27" fillId="0" borderId="0" xfId="1" applyNumberFormat="1" applyFont="1" applyFill="1" applyBorder="1"/>
    <xf numFmtId="0" fontId="0" fillId="0" borderId="0" xfId="0" applyAlignment="1">
      <alignment horizontal="center" vertical="center" wrapText="1"/>
    </xf>
    <xf numFmtId="10" fontId="22" fillId="0" borderId="0" xfId="10" applyNumberFormat="1" applyFont="1"/>
    <xf numFmtId="0" fontId="0" fillId="0" borderId="2" xfId="0" applyBorder="1" applyAlignment="1">
      <alignment horizontal="center" vertical="center" wrapText="1"/>
    </xf>
    <xf numFmtId="0" fontId="2" fillId="0" borderId="0" xfId="0" applyFont="1" applyAlignment="1">
      <alignment horizontal="center" vertical="center" wrapText="1"/>
    </xf>
    <xf numFmtId="0" fontId="2" fillId="15" borderId="9" xfId="0" applyFont="1" applyFill="1" applyBorder="1"/>
    <xf numFmtId="0" fontId="0" fillId="12" borderId="0" xfId="0" applyFill="1"/>
    <xf numFmtId="0" fontId="41" fillId="0" borderId="0" xfId="0" applyFont="1"/>
    <xf numFmtId="43" fontId="22" fillId="12" borderId="0" xfId="1" applyFont="1" applyFill="1"/>
    <xf numFmtId="43" fontId="22" fillId="0" borderId="0" xfId="1" applyFont="1" applyFill="1"/>
    <xf numFmtId="0" fontId="42" fillId="0" borderId="0" xfId="0" applyFont="1"/>
    <xf numFmtId="0" fontId="0" fillId="0" borderId="6" xfId="0" applyBorder="1"/>
    <xf numFmtId="0" fontId="24" fillId="17" borderId="0" xfId="0" applyFont="1" applyFill="1"/>
    <xf numFmtId="43" fontId="24" fillId="0" borderId="0" xfId="1" applyFont="1"/>
    <xf numFmtId="0" fontId="42" fillId="17" borderId="0" xfId="0" applyFont="1" applyFill="1"/>
    <xf numFmtId="0" fontId="0" fillId="17" borderId="0" xfId="0" applyFill="1"/>
    <xf numFmtId="165" fontId="22" fillId="12" borderId="0" xfId="1" applyNumberFormat="1" applyFont="1" applyFill="1"/>
    <xf numFmtId="43" fontId="24" fillId="18" borderId="0" xfId="1" applyFont="1" applyFill="1" applyAlignment="1">
      <alignment horizontal="center"/>
    </xf>
    <xf numFmtId="43" fontId="22" fillId="18" borderId="0" xfId="1" applyFont="1" applyFill="1"/>
    <xf numFmtId="165" fontId="22" fillId="18" borderId="0" xfId="1" applyNumberFormat="1" applyFont="1" applyFill="1"/>
    <xf numFmtId="3" fontId="22" fillId="18" borderId="0" xfId="1" applyNumberFormat="1" applyFont="1" applyFill="1"/>
    <xf numFmtId="43" fontId="24" fillId="18" borderId="0" xfId="1" applyFont="1" applyFill="1"/>
    <xf numFmtId="2" fontId="24" fillId="18" borderId="0" xfId="0" applyNumberFormat="1" applyFont="1" applyFill="1"/>
    <xf numFmtId="10" fontId="24" fillId="18" borderId="0" xfId="10" applyNumberFormat="1" applyFont="1" applyFill="1"/>
    <xf numFmtId="0" fontId="0" fillId="18" borderId="0" xfId="0" applyFill="1"/>
    <xf numFmtId="43" fontId="24" fillId="19" borderId="0" xfId="1" applyFont="1" applyFill="1" applyAlignment="1">
      <alignment horizontal="center"/>
    </xf>
    <xf numFmtId="43" fontId="22" fillId="19" borderId="0" xfId="1" applyFont="1" applyFill="1"/>
    <xf numFmtId="165" fontId="22" fillId="19" borderId="0" xfId="1" applyNumberFormat="1" applyFont="1" applyFill="1"/>
    <xf numFmtId="43" fontId="22" fillId="19" borderId="0" xfId="1" applyFont="1" applyFill="1" applyAlignment="1">
      <alignment horizontal="center" vertical="center"/>
    </xf>
    <xf numFmtId="3" fontId="0" fillId="19" borderId="0" xfId="0" applyNumberFormat="1" applyFill="1"/>
    <xf numFmtId="3" fontId="22" fillId="19" borderId="0" xfId="1" applyNumberFormat="1" applyFont="1" applyFill="1"/>
    <xf numFmtId="43" fontId="24" fillId="19" borderId="0" xfId="1" applyFont="1" applyFill="1"/>
    <xf numFmtId="2" fontId="24" fillId="19" borderId="0" xfId="0" applyNumberFormat="1" applyFont="1" applyFill="1"/>
    <xf numFmtId="10" fontId="24" fillId="19" borderId="0" xfId="10" applyNumberFormat="1" applyFont="1" applyFill="1"/>
    <xf numFmtId="0" fontId="0" fillId="19" borderId="0" xfId="0" applyFill="1"/>
    <xf numFmtId="2" fontId="22" fillId="18" borderId="0" xfId="1" applyNumberFormat="1" applyFont="1" applyFill="1"/>
    <xf numFmtId="0" fontId="0" fillId="15" borderId="0" xfId="0" applyFill="1" applyAlignment="1">
      <alignment horizontal="center" vertical="center"/>
    </xf>
    <xf numFmtId="0" fontId="23" fillId="0" borderId="0" xfId="9" quotePrefix="1" applyAlignment="1" applyProtection="1">
      <alignment vertical="center"/>
    </xf>
    <xf numFmtId="0" fontId="23" fillId="0" borderId="0" xfId="9" quotePrefix="1" applyAlignment="1" applyProtection="1"/>
    <xf numFmtId="43" fontId="31" fillId="0" borderId="0" xfId="1" applyFont="1"/>
    <xf numFmtId="43" fontId="22" fillId="0" borderId="0" xfId="1" applyFont="1" applyAlignment="1">
      <alignment horizontal="center" vertical="center"/>
    </xf>
    <xf numFmtId="43" fontId="22" fillId="0" borderId="0" xfId="1" applyFont="1" applyBorder="1"/>
    <xf numFmtId="165" fontId="7" fillId="17" borderId="0" xfId="2" applyNumberFormat="1" applyFont="1" applyFill="1" applyBorder="1" applyAlignment="1">
      <alignment horizontal="center" vertical="center"/>
    </xf>
    <xf numFmtId="0" fontId="7" fillId="17" borderId="0" xfId="0" applyFont="1" applyFill="1" applyAlignment="1">
      <alignment vertical="center"/>
    </xf>
    <xf numFmtId="37" fontId="0" fillId="0" borderId="0" xfId="0" applyNumberFormat="1"/>
    <xf numFmtId="165" fontId="22" fillId="0" borderId="0" xfId="1" applyNumberFormat="1" applyFont="1" applyFill="1" applyBorder="1"/>
    <xf numFmtId="0" fontId="0" fillId="0" borderId="16" xfId="0" applyBorder="1" applyAlignment="1">
      <alignment horizontal="left" vertical="center" wrapText="1"/>
    </xf>
    <xf numFmtId="43" fontId="22" fillId="0" borderId="14" xfId="1" applyFont="1" applyBorder="1" applyAlignment="1">
      <alignment horizontal="left" vertical="center" wrapText="1"/>
    </xf>
    <xf numFmtId="0" fontId="0" fillId="0" borderId="13" xfId="0" applyBorder="1" applyAlignment="1">
      <alignment horizontal="center" vertical="center" wrapText="1"/>
    </xf>
    <xf numFmtId="165" fontId="22" fillId="0" borderId="14" xfId="1" applyNumberFormat="1" applyFont="1" applyBorder="1" applyAlignment="1">
      <alignment horizontal="left" vertical="center" wrapText="1"/>
    </xf>
    <xf numFmtId="0" fontId="24" fillId="0" borderId="16" xfId="0" applyFont="1" applyBorder="1" applyAlignment="1">
      <alignment horizontal="center" vertical="center" wrapText="1"/>
    </xf>
    <xf numFmtId="0" fontId="24" fillId="0" borderId="14" xfId="0" applyFont="1" applyBorder="1" applyAlignment="1">
      <alignment horizontal="center" vertical="center" wrapText="1"/>
    </xf>
    <xf numFmtId="0" fontId="35" fillId="15" borderId="0" xfId="0" applyFont="1" applyFill="1"/>
    <xf numFmtId="0" fontId="28" fillId="15" borderId="3" xfId="0" applyFont="1" applyFill="1" applyBorder="1"/>
    <xf numFmtId="0" fontId="44" fillId="15" borderId="0" xfId="0" applyFont="1" applyFill="1"/>
    <xf numFmtId="0" fontId="28" fillId="0" borderId="5" xfId="0" applyFont="1" applyBorder="1" applyAlignment="1">
      <alignment horizontal="center"/>
    </xf>
    <xf numFmtId="0" fontId="24" fillId="0" borderId="4" xfId="0" applyFont="1" applyBorder="1" applyAlignment="1">
      <alignment horizontal="center"/>
    </xf>
    <xf numFmtId="0" fontId="28" fillId="0" borderId="3" xfId="0" applyFont="1" applyBorder="1"/>
    <xf numFmtId="0" fontId="28" fillId="0" borderId="4" xfId="0" applyFont="1" applyBorder="1"/>
    <xf numFmtId="0" fontId="28" fillId="0" borderId="4" xfId="0" applyFont="1" applyBorder="1" applyAlignment="1">
      <alignment horizontal="center"/>
    </xf>
    <xf numFmtId="0" fontId="46" fillId="15" borderId="0" xfId="0" applyFont="1" applyFill="1"/>
    <xf numFmtId="0" fontId="48" fillId="15" borderId="0" xfId="0" applyFont="1" applyFill="1" applyAlignment="1">
      <alignment horizontal="left" indent="1"/>
    </xf>
    <xf numFmtId="0" fontId="18" fillId="15" borderId="0" xfId="0" applyFont="1" applyFill="1" applyAlignment="1">
      <alignment horizontal="left"/>
    </xf>
    <xf numFmtId="0" fontId="44" fillId="0" borderId="0" xfId="0" applyFont="1"/>
    <xf numFmtId="0" fontId="28" fillId="2" borderId="0" xfId="0" applyFont="1" applyFill="1" applyAlignment="1">
      <alignment horizontal="center" vertical="center"/>
    </xf>
    <xf numFmtId="0" fontId="2" fillId="0" borderId="9" xfId="0" applyFont="1" applyBorder="1" applyAlignment="1">
      <alignment wrapText="1"/>
    </xf>
    <xf numFmtId="43" fontId="2" fillId="0" borderId="0" xfId="2" applyFont="1" applyBorder="1"/>
    <xf numFmtId="165" fontId="2" fillId="0" borderId="0" xfId="2" applyNumberFormat="1" applyFont="1" applyFill="1" applyBorder="1"/>
    <xf numFmtId="1" fontId="2" fillId="0" borderId="0" xfId="0" applyNumberFormat="1" applyFont="1"/>
    <xf numFmtId="1" fontId="2" fillId="0" borderId="0" xfId="2" applyNumberFormat="1" applyFont="1" applyFill="1" applyBorder="1"/>
    <xf numFmtId="43" fontId="2" fillId="0" borderId="0" xfId="1" applyFont="1" applyFill="1" applyBorder="1"/>
    <xf numFmtId="43" fontId="2" fillId="0" borderId="0" xfId="2" applyFont="1" applyFill="1" applyBorder="1"/>
    <xf numFmtId="167" fontId="2" fillId="0" borderId="0" xfId="2" applyNumberFormat="1" applyFont="1" applyFill="1" applyBorder="1"/>
    <xf numFmtId="0" fontId="22" fillId="0" borderId="0" xfId="1" applyNumberFormat="1" applyFont="1"/>
    <xf numFmtId="165" fontId="0" fillId="0" borderId="0" xfId="1" applyNumberFormat="1" applyFont="1"/>
    <xf numFmtId="10" fontId="24" fillId="0" borderId="0" xfId="0" applyNumberFormat="1" applyFont="1"/>
    <xf numFmtId="2" fontId="24" fillId="0" borderId="0" xfId="1" applyNumberFormat="1" applyFont="1"/>
    <xf numFmtId="0" fontId="26" fillId="5" borderId="19" xfId="0" applyFont="1" applyFill="1" applyBorder="1" applyAlignment="1">
      <alignment vertical="center" wrapText="1"/>
    </xf>
    <xf numFmtId="0" fontId="26" fillId="5" borderId="0" xfId="0" applyFont="1" applyFill="1" applyAlignment="1">
      <alignment vertical="center" wrapText="1"/>
    </xf>
    <xf numFmtId="0" fontId="11" fillId="0" borderId="0" xfId="0" applyFont="1" applyAlignment="1">
      <alignment horizontal="left" vertical="center"/>
    </xf>
    <xf numFmtId="0" fontId="10" fillId="0" borderId="0" xfId="0" applyFont="1" applyAlignment="1">
      <alignment horizontal="left" vertical="center"/>
    </xf>
    <xf numFmtId="165" fontId="0" fillId="0" borderId="0" xfId="1" applyNumberFormat="1" applyFont="1" applyFill="1"/>
    <xf numFmtId="165" fontId="35" fillId="0" borderId="0" xfId="0" applyNumberFormat="1" applyFont="1"/>
    <xf numFmtId="0" fontId="24" fillId="0" borderId="0" xfId="0" applyFont="1" applyAlignment="1">
      <alignment horizontal="center" vertical="center"/>
    </xf>
    <xf numFmtId="0" fontId="2" fillId="0" borderId="0" xfId="0" applyFont="1" applyAlignment="1">
      <alignment horizontal="center" vertical="center"/>
    </xf>
    <xf numFmtId="165" fontId="0" fillId="0" borderId="0" xfId="0" applyNumberFormat="1" applyAlignment="1">
      <alignment vertical="center"/>
    </xf>
    <xf numFmtId="0" fontId="48" fillId="0" borderId="3" xfId="0" applyFont="1" applyBorder="1"/>
    <xf numFmtId="0" fontId="47" fillId="0" borderId="0" xfId="0" applyFont="1" applyAlignment="1">
      <alignment horizontal="left" indent="1"/>
    </xf>
    <xf numFmtId="0" fontId="48" fillId="0" borderId="0" xfId="0" applyFont="1" applyAlignment="1">
      <alignment horizontal="left" indent="1"/>
    </xf>
    <xf numFmtId="0" fontId="45" fillId="0" borderId="0" xfId="0" applyFont="1"/>
    <xf numFmtId="0" fontId="23" fillId="0" borderId="0" xfId="9" quotePrefix="1" applyFill="1" applyAlignment="1" applyProtection="1"/>
    <xf numFmtId="0" fontId="26" fillId="0" borderId="6" xfId="0" applyFont="1" applyBorder="1" applyAlignment="1">
      <alignment vertical="center"/>
    </xf>
    <xf numFmtId="0" fontId="46" fillId="0" borderId="0" xfId="0" applyFont="1"/>
    <xf numFmtId="0" fontId="50" fillId="0" borderId="0" xfId="0" applyFont="1"/>
    <xf numFmtId="165" fontId="27" fillId="0" borderId="4" xfId="1" applyNumberFormat="1" applyFont="1" applyFill="1" applyBorder="1" applyAlignment="1">
      <alignment horizontal="center" vertical="center"/>
    </xf>
    <xf numFmtId="165" fontId="2" fillId="16" borderId="0" xfId="0" applyNumberFormat="1" applyFont="1" applyFill="1"/>
    <xf numFmtId="0" fontId="18" fillId="0" borderId="0" xfId="0" applyFont="1" applyAlignment="1">
      <alignment horizontal="left"/>
    </xf>
    <xf numFmtId="0" fontId="2" fillId="9" borderId="4" xfId="0" applyFont="1" applyFill="1" applyBorder="1" applyAlignment="1">
      <alignment horizontal="center" vertical="center" wrapText="1"/>
    </xf>
    <xf numFmtId="0" fontId="2" fillId="9" borderId="4" xfId="0" applyFont="1" applyFill="1" applyBorder="1" applyAlignment="1">
      <alignment horizontal="center"/>
    </xf>
    <xf numFmtId="0" fontId="48" fillId="0" borderId="0" xfId="0" applyFont="1" applyAlignment="1">
      <alignment horizontal="left" vertical="top" wrapText="1"/>
    </xf>
    <xf numFmtId="0" fontId="18" fillId="0" borderId="0" xfId="0" applyFont="1" applyAlignment="1">
      <alignment horizontal="left" vertical="top" wrapText="1"/>
    </xf>
    <xf numFmtId="0" fontId="44" fillId="0" borderId="0" xfId="0" applyFont="1" applyAlignment="1">
      <alignment horizontal="left" vertical="center" wrapText="1"/>
    </xf>
    <xf numFmtId="0" fontId="26" fillId="0" borderId="0" xfId="0" applyFont="1" applyAlignment="1">
      <alignment horizontal="center" vertical="center"/>
    </xf>
    <xf numFmtId="0" fontId="32" fillId="0" borderId="0" xfId="0" applyFont="1" applyAlignment="1">
      <alignment horizontal="left"/>
    </xf>
    <xf numFmtId="0" fontId="32" fillId="0" borderId="4" xfId="0" applyFont="1" applyBorder="1" applyAlignment="1">
      <alignment horizontal="center" vertical="center"/>
    </xf>
    <xf numFmtId="0" fontId="43" fillId="0" borderId="0" xfId="9" quotePrefix="1" applyFont="1" applyFill="1" applyAlignment="1" applyProtection="1"/>
    <xf numFmtId="0" fontId="26" fillId="0" borderId="0" xfId="0" applyFont="1" applyAlignment="1">
      <alignment horizontal="left" vertical="center"/>
    </xf>
    <xf numFmtId="2" fontId="26" fillId="0" borderId="0" xfId="0" applyNumberFormat="1" applyFont="1" applyAlignment="1">
      <alignment vertical="center"/>
    </xf>
    <xf numFmtId="165" fontId="30" fillId="0" borderId="0" xfId="1" applyNumberFormat="1" applyFont="1" applyFill="1"/>
    <xf numFmtId="165" fontId="30" fillId="0" borderId="0" xfId="0" applyNumberFormat="1" applyFont="1"/>
    <xf numFmtId="0" fontId="18" fillId="0" borderId="0" xfId="0" applyFont="1" applyAlignment="1">
      <alignment vertical="top" wrapText="1"/>
    </xf>
    <xf numFmtId="0" fontId="44" fillId="0" borderId="0" xfId="0" applyFont="1" applyAlignment="1">
      <alignment vertical="center" wrapText="1"/>
    </xf>
    <xf numFmtId="0" fontId="48" fillId="0" borderId="0" xfId="0" applyFont="1" applyAlignment="1">
      <alignment vertical="top" wrapText="1"/>
    </xf>
    <xf numFmtId="2" fontId="27" fillId="0" borderId="0" xfId="0" applyNumberFormat="1" applyFont="1"/>
    <xf numFmtId="0" fontId="28" fillId="0" borderId="0" xfId="0" applyFont="1" applyAlignment="1">
      <alignment horizontal="center"/>
    </xf>
    <xf numFmtId="170" fontId="22" fillId="0" borderId="0" xfId="1" applyNumberFormat="1" applyFont="1" applyFill="1" applyAlignment="1">
      <alignment horizontal="center" vertical="center"/>
    </xf>
    <xf numFmtId="0" fontId="29" fillId="0" borderId="4" xfId="0" applyFont="1" applyBorder="1" applyAlignment="1">
      <alignment vertical="center" wrapText="1"/>
    </xf>
    <xf numFmtId="1" fontId="22" fillId="0" borderId="0" xfId="1" applyNumberFormat="1" applyFont="1" applyFill="1" applyBorder="1"/>
    <xf numFmtId="43" fontId="31" fillId="0" borderId="0" xfId="1" applyFont="1" applyFill="1"/>
    <xf numFmtId="10" fontId="22" fillId="0" borderId="0" xfId="1" applyNumberFormat="1" applyFont="1" applyFill="1"/>
    <xf numFmtId="0" fontId="51" fillId="0" borderId="0" xfId="0" applyFont="1"/>
    <xf numFmtId="0" fontId="48" fillId="0" borderId="0" xfId="0" applyFont="1"/>
    <xf numFmtId="0" fontId="44" fillId="0" borderId="0" xfId="0" applyFont="1" applyAlignment="1">
      <alignment vertical="top" wrapText="1"/>
    </xf>
    <xf numFmtId="165" fontId="2" fillId="0" borderId="4" xfId="1" applyNumberFormat="1" applyFont="1" applyFill="1" applyBorder="1" applyAlignment="1">
      <alignment vertical="center"/>
    </xf>
    <xf numFmtId="0" fontId="3" fillId="0" borderId="0" xfId="0" applyFont="1" applyAlignment="1">
      <alignment vertical="center"/>
    </xf>
    <xf numFmtId="165" fontId="27" fillId="0" borderId="0" xfId="1" applyNumberFormat="1" applyFont="1" applyFill="1"/>
    <xf numFmtId="0" fontId="53" fillId="0" borderId="0" xfId="0" applyFont="1"/>
    <xf numFmtId="165" fontId="53" fillId="0" borderId="0" xfId="1" applyNumberFormat="1" applyFont="1" applyFill="1"/>
    <xf numFmtId="165" fontId="27" fillId="0" borderId="0" xfId="0" applyNumberFormat="1" applyFont="1"/>
    <xf numFmtId="0" fontId="29" fillId="0" borderId="0" xfId="0" applyFont="1" applyAlignment="1">
      <alignment horizontal="center"/>
    </xf>
    <xf numFmtId="165" fontId="29" fillId="0" borderId="0" xfId="1" applyNumberFormat="1" applyFont="1" applyFill="1"/>
    <xf numFmtId="165" fontId="28" fillId="0" borderId="3" xfId="1" applyNumberFormat="1" applyFont="1" applyFill="1" applyBorder="1" applyAlignment="1">
      <alignment horizontal="center"/>
    </xf>
    <xf numFmtId="165" fontId="28" fillId="0" borderId="4" xfId="1" applyNumberFormat="1" applyFont="1" applyFill="1" applyBorder="1" applyAlignment="1">
      <alignment horizontal="center"/>
    </xf>
    <xf numFmtId="0" fontId="49" fillId="0" borderId="0" xfId="0" applyFont="1"/>
    <xf numFmtId="39" fontId="28" fillId="0" borderId="0" xfId="1" applyNumberFormat="1" applyFont="1" applyFill="1" applyBorder="1" applyAlignment="1">
      <alignment horizontal="center" vertical="center"/>
    </xf>
    <xf numFmtId="4" fontId="28" fillId="0" borderId="0" xfId="0" applyNumberFormat="1" applyFont="1" applyAlignment="1">
      <alignment horizontal="center" vertical="center"/>
    </xf>
    <xf numFmtId="2" fontId="29" fillId="0" borderId="0" xfId="0" applyNumberFormat="1" applyFont="1"/>
    <xf numFmtId="165" fontId="28" fillId="0" borderId="0" xfId="1" applyNumberFormat="1" applyFont="1" applyFill="1" applyBorder="1" applyAlignment="1">
      <alignment horizontal="center" vertical="center"/>
    </xf>
    <xf numFmtId="0" fontId="44" fillId="16" borderId="0" xfId="0" applyFont="1" applyFill="1"/>
    <xf numFmtId="165" fontId="28" fillId="0" borderId="0" xfId="1" applyNumberFormat="1" applyFont="1" applyFill="1" applyBorder="1" applyAlignment="1">
      <alignment vertical="center"/>
    </xf>
    <xf numFmtId="165" fontId="10" fillId="0" borderId="0" xfId="1" applyNumberFormat="1" applyFont="1" applyFill="1" applyAlignment="1">
      <alignment horizontal="center" vertical="center"/>
    </xf>
    <xf numFmtId="165" fontId="7" fillId="0" borderId="0" xfId="1" applyNumberFormat="1" applyFont="1" applyFill="1"/>
    <xf numFmtId="165" fontId="7" fillId="0" borderId="0" xfId="1" applyNumberFormat="1" applyFont="1" applyFill="1" applyAlignment="1">
      <alignment vertical="center"/>
    </xf>
    <xf numFmtId="165" fontId="10" fillId="0" borderId="0" xfId="1" applyNumberFormat="1" applyFont="1" applyFill="1" applyAlignment="1">
      <alignment vertical="center"/>
    </xf>
    <xf numFmtId="165" fontId="24" fillId="0" borderId="0" xfId="1" applyNumberFormat="1" applyFont="1" applyFill="1"/>
    <xf numFmtId="0" fontId="27" fillId="0" borderId="0" xfId="0" applyFont="1" applyAlignment="1">
      <alignment horizontal="center"/>
    </xf>
    <xf numFmtId="0" fontId="30" fillId="0" borderId="0" xfId="0" applyFont="1" applyAlignment="1">
      <alignment vertical="center"/>
    </xf>
    <xf numFmtId="0" fontId="34" fillId="0" borderId="0" xfId="0" applyFont="1" applyAlignment="1">
      <alignment vertical="center"/>
    </xf>
    <xf numFmtId="0" fontId="7" fillId="0" borderId="0" xfId="0" applyFont="1" applyAlignment="1">
      <alignment horizontal="center" vertical="center" wrapText="1"/>
    </xf>
    <xf numFmtId="0" fontId="7" fillId="0" borderId="7" xfId="0" applyFont="1" applyBorder="1" applyAlignment="1">
      <alignment horizontal="right"/>
    </xf>
    <xf numFmtId="0" fontId="7" fillId="0" borderId="9" xfId="0" applyFont="1" applyBorder="1" applyAlignment="1">
      <alignment horizontal="right"/>
    </xf>
    <xf numFmtId="0" fontId="7" fillId="0" borderId="10" xfId="0" applyFont="1" applyBorder="1" applyAlignment="1">
      <alignment horizontal="right"/>
    </xf>
    <xf numFmtId="165" fontId="2" fillId="0" borderId="0" xfId="1" applyNumberFormat="1" applyFont="1" applyFill="1" applyBorder="1" applyAlignment="1">
      <alignment vertical="center"/>
    </xf>
    <xf numFmtId="172" fontId="28" fillId="2" borderId="24" xfId="1" applyNumberFormat="1" applyFont="1" applyFill="1" applyBorder="1"/>
    <xf numFmtId="165" fontId="33" fillId="0" borderId="0" xfId="1" applyNumberFormat="1" applyFont="1" applyBorder="1" applyAlignment="1">
      <alignment horizontal="center" vertical="center"/>
    </xf>
    <xf numFmtId="165" fontId="33" fillId="0" borderId="0" xfId="1" applyNumberFormat="1" applyFont="1" applyBorder="1" applyAlignment="1">
      <alignment horizontal="center"/>
    </xf>
    <xf numFmtId="165" fontId="30" fillId="3" borderId="0" xfId="1" applyNumberFormat="1" applyFont="1" applyFill="1"/>
    <xf numFmtId="165" fontId="28" fillId="2" borderId="24" xfId="1" applyNumberFormat="1" applyFont="1" applyFill="1" applyBorder="1" applyAlignment="1">
      <alignment vertical="center"/>
    </xf>
    <xf numFmtId="165" fontId="24" fillId="0" borderId="0" xfId="1" applyNumberFormat="1" applyFont="1" applyAlignment="1">
      <alignment vertical="center"/>
    </xf>
    <xf numFmtId="165" fontId="24" fillId="0" borderId="0" xfId="0" applyNumberFormat="1" applyFont="1" applyAlignment="1">
      <alignment vertical="center"/>
    </xf>
    <xf numFmtId="165" fontId="0" fillId="0" borderId="0" xfId="1" applyNumberFormat="1" applyFont="1" applyFill="1" applyBorder="1" applyAlignment="1">
      <alignment vertical="center"/>
    </xf>
    <xf numFmtId="165" fontId="0" fillId="0" borderId="0" xfId="1" applyNumberFormat="1" applyFont="1" applyFill="1" applyBorder="1"/>
    <xf numFmtId="0" fontId="3" fillId="0" borderId="0" xfId="0" applyFont="1" applyAlignment="1">
      <alignment horizontal="center" vertical="center"/>
    </xf>
    <xf numFmtId="165" fontId="26" fillId="0" borderId="26" xfId="1" applyNumberFormat="1" applyFont="1" applyFill="1" applyBorder="1" applyAlignment="1">
      <alignment vertical="center"/>
    </xf>
    <xf numFmtId="165" fontId="26" fillId="0" borderId="22" xfId="1" applyNumberFormat="1" applyFont="1" applyFill="1" applyBorder="1" applyAlignment="1">
      <alignment vertical="center"/>
    </xf>
    <xf numFmtId="43" fontId="26" fillId="0" borderId="23" xfId="0" applyNumberFormat="1" applyFont="1" applyBorder="1" applyAlignment="1">
      <alignment vertical="center"/>
    </xf>
    <xf numFmtId="165" fontId="3" fillId="0" borderId="0" xfId="1" applyNumberFormat="1" applyFont="1" applyFill="1" applyBorder="1" applyAlignment="1">
      <alignment horizontal="center" vertical="center"/>
    </xf>
    <xf numFmtId="165" fontId="3" fillId="0" borderId="0" xfId="1" applyNumberFormat="1" applyFont="1" applyFill="1" applyBorder="1" applyAlignment="1">
      <alignment vertical="center"/>
    </xf>
    <xf numFmtId="43" fontId="0" fillId="0" borderId="0" xfId="1" applyFont="1" applyBorder="1"/>
    <xf numFmtId="165" fontId="52" fillId="0" borderId="0" xfId="1" applyNumberFormat="1" applyFont="1" applyBorder="1"/>
    <xf numFmtId="43" fontId="2" fillId="0" borderId="0" xfId="1" applyFont="1" applyBorder="1"/>
    <xf numFmtId="0" fontId="2" fillId="0" borderId="29" xfId="0" applyFont="1" applyBorder="1"/>
    <xf numFmtId="43" fontId="2" fillId="0" borderId="0" xfId="1" applyFont="1" applyFill="1" applyBorder="1" applyAlignment="1">
      <alignment vertical="center"/>
    </xf>
    <xf numFmtId="165" fontId="2" fillId="0" borderId="0" xfId="1" applyNumberFormat="1" applyFont="1" applyFill="1" applyBorder="1" applyAlignment="1">
      <alignment horizontal="right" vertical="center"/>
    </xf>
    <xf numFmtId="165" fontId="3" fillId="0" borderId="0" xfId="1" applyNumberFormat="1" applyFont="1" applyFill="1" applyBorder="1" applyAlignment="1">
      <alignment horizontal="center" vertical="center" wrapText="1"/>
    </xf>
    <xf numFmtId="165" fontId="3" fillId="0" borderId="0" xfId="1" applyNumberFormat="1" applyFont="1" applyFill="1" applyBorder="1" applyAlignment="1">
      <alignment horizontal="right" vertical="center"/>
    </xf>
    <xf numFmtId="165" fontId="3" fillId="0" borderId="0" xfId="1" applyNumberFormat="1" applyFont="1" applyFill="1" applyBorder="1" applyAlignment="1">
      <alignment horizontal="left" vertical="center" wrapText="1"/>
    </xf>
    <xf numFmtId="165" fontId="3" fillId="0" borderId="0" xfId="2" applyNumberFormat="1" applyFont="1" applyFill="1" applyBorder="1" applyAlignment="1">
      <alignment horizontal="center" vertical="center"/>
    </xf>
    <xf numFmtId="165" fontId="3" fillId="0" borderId="0" xfId="8" applyNumberFormat="1" applyFont="1" applyFill="1" applyBorder="1" applyAlignment="1">
      <alignment vertical="center"/>
    </xf>
    <xf numFmtId="165" fontId="27" fillId="0" borderId="0" xfId="1" applyNumberFormat="1" applyFont="1" applyFill="1" applyBorder="1"/>
    <xf numFmtId="0" fontId="27" fillId="0" borderId="0" xfId="0" applyFont="1" applyAlignment="1">
      <alignment vertical="center"/>
    </xf>
    <xf numFmtId="165" fontId="27" fillId="0" borderId="0" xfId="1" applyNumberFormat="1" applyFont="1" applyFill="1" applyBorder="1" applyAlignment="1">
      <alignment vertical="center"/>
    </xf>
    <xf numFmtId="0" fontId="46" fillId="0" borderId="0" xfId="0" applyFont="1" applyAlignment="1">
      <alignment vertical="center"/>
    </xf>
    <xf numFmtId="0" fontId="26" fillId="0" borderId="0" xfId="0" applyFont="1" applyAlignment="1">
      <alignment vertical="center"/>
    </xf>
    <xf numFmtId="0" fontId="2" fillId="0" borderId="3" xfId="0" applyFont="1" applyBorder="1" applyAlignment="1">
      <alignment horizontal="center" vertical="center"/>
    </xf>
    <xf numFmtId="0" fontId="7" fillId="0" borderId="40" xfId="0" applyFont="1" applyBorder="1" applyAlignment="1">
      <alignment horizontal="right"/>
    </xf>
    <xf numFmtId="0" fontId="7" fillId="0" borderId="38" xfId="0" applyFont="1" applyBorder="1" applyAlignment="1">
      <alignment horizontal="right"/>
    </xf>
    <xf numFmtId="0" fontId="7" fillId="0" borderId="39" xfId="0" applyFont="1" applyBorder="1" applyAlignment="1">
      <alignment horizontal="right"/>
    </xf>
    <xf numFmtId="0" fontId="7" fillId="0" borderId="0" xfId="0" applyFont="1" applyAlignment="1">
      <alignment horizontal="right"/>
    </xf>
    <xf numFmtId="43" fontId="7" fillId="0" borderId="0" xfId="1" applyFont="1" applyFill="1" applyBorder="1"/>
    <xf numFmtId="43" fontId="7" fillId="0" borderId="0" xfId="2" applyFont="1" applyFill="1" applyBorder="1"/>
    <xf numFmtId="0" fontId="7" fillId="0" borderId="29" xfId="0" applyFont="1" applyBorder="1" applyAlignment="1">
      <alignment horizontal="right"/>
    </xf>
    <xf numFmtId="0" fontId="10" fillId="0" borderId="0" xfId="0" applyFont="1" applyAlignment="1">
      <alignment horizontal="right" vertical="center"/>
    </xf>
    <xf numFmtId="165" fontId="2" fillId="0" borderId="0" xfId="0" applyNumberFormat="1" applyFont="1" applyAlignment="1">
      <alignment vertical="center"/>
    </xf>
    <xf numFmtId="0" fontId="29" fillId="0" borderId="0" xfId="0" applyFont="1" applyAlignment="1">
      <alignment vertical="center" wrapText="1"/>
    </xf>
    <xf numFmtId="0" fontId="29" fillId="0" borderId="0" xfId="0" applyFont="1" applyAlignment="1">
      <alignment vertical="center"/>
    </xf>
    <xf numFmtId="0" fontId="2" fillId="0" borderId="3" xfId="0" applyFont="1" applyBorder="1" applyAlignment="1">
      <alignment horizontal="center" vertical="center" wrapText="1"/>
    </xf>
    <xf numFmtId="165" fontId="2" fillId="0" borderId="3" xfId="0" applyNumberFormat="1" applyFont="1" applyBorder="1" applyAlignment="1">
      <alignment horizontal="center" vertical="center"/>
    </xf>
    <xf numFmtId="165" fontId="2" fillId="0" borderId="3" xfId="1" applyNumberFormat="1" applyFont="1" applyFill="1" applyBorder="1" applyAlignment="1">
      <alignment horizontal="center" vertical="center"/>
    </xf>
    <xf numFmtId="165" fontId="2" fillId="0" borderId="4" xfId="1" applyNumberFormat="1" applyFont="1" applyFill="1" applyBorder="1" applyAlignment="1">
      <alignment horizontal="center" vertical="center"/>
    </xf>
    <xf numFmtId="165" fontId="5" fillId="0" borderId="0" xfId="1" applyNumberFormat="1" applyFont="1" applyFill="1" applyBorder="1"/>
    <xf numFmtId="165" fontId="3" fillId="0" borderId="0" xfId="1" applyNumberFormat="1" applyFont="1" applyFill="1" applyBorder="1"/>
    <xf numFmtId="0" fontId="56" fillId="0" borderId="0" xfId="0" applyFont="1" applyAlignment="1">
      <alignment vertical="center"/>
    </xf>
    <xf numFmtId="165" fontId="2" fillId="0" borderId="0" xfId="1" applyNumberFormat="1" applyFont="1" applyFill="1" applyBorder="1" applyAlignment="1">
      <alignment horizontal="center" vertical="center"/>
    </xf>
    <xf numFmtId="165" fontId="29" fillId="0" borderId="0" xfId="0" applyNumberFormat="1" applyFont="1"/>
    <xf numFmtId="165" fontId="2" fillId="9" borderId="3" xfId="1" applyNumberFormat="1" applyFont="1" applyFill="1" applyBorder="1" applyAlignment="1">
      <alignment horizontal="center" vertical="center"/>
    </xf>
    <xf numFmtId="165" fontId="2" fillId="9" borderId="4" xfId="1" applyNumberFormat="1" applyFont="1" applyFill="1" applyBorder="1" applyAlignment="1">
      <alignment horizontal="center" vertical="center"/>
    </xf>
    <xf numFmtId="165" fontId="2" fillId="9" borderId="4" xfId="0" applyNumberFormat="1" applyFont="1" applyFill="1" applyBorder="1" applyAlignment="1">
      <alignment vertical="center"/>
    </xf>
    <xf numFmtId="165" fontId="2" fillId="23" borderId="3" xfId="0" applyNumberFormat="1" applyFont="1" applyFill="1" applyBorder="1" applyAlignment="1">
      <alignment horizontal="center" vertical="center"/>
    </xf>
    <xf numFmtId="165" fontId="2" fillId="23" borderId="4" xfId="0" applyNumberFormat="1" applyFont="1" applyFill="1" applyBorder="1" applyAlignment="1">
      <alignment vertical="center"/>
    </xf>
    <xf numFmtId="165" fontId="2" fillId="9" borderId="3" xfId="0" applyNumberFormat="1" applyFont="1" applyFill="1" applyBorder="1" applyAlignment="1">
      <alignment horizontal="center" vertical="center"/>
    </xf>
    <xf numFmtId="165" fontId="2" fillId="23" borderId="4" xfId="0" applyNumberFormat="1" applyFont="1" applyFill="1" applyBorder="1" applyAlignment="1">
      <alignment horizontal="center" vertical="center"/>
    </xf>
    <xf numFmtId="165" fontId="2" fillId="25" borderId="3" xfId="1" applyNumberFormat="1" applyFont="1" applyFill="1" applyBorder="1" applyAlignment="1">
      <alignment horizontal="center" vertical="center"/>
    </xf>
    <xf numFmtId="165" fontId="2" fillId="23" borderId="4" xfId="2" applyNumberFormat="1" applyFont="1" applyFill="1" applyBorder="1" applyAlignment="1">
      <alignment horizontal="center" vertical="center"/>
    </xf>
    <xf numFmtId="165" fontId="2" fillId="25" borderId="4" xfId="1" applyNumberFormat="1" applyFont="1" applyFill="1" applyBorder="1" applyAlignment="1">
      <alignment horizontal="center" vertical="center"/>
    </xf>
    <xf numFmtId="165" fontId="2" fillId="23" borderId="3" xfId="1" applyNumberFormat="1" applyFont="1" applyFill="1" applyBorder="1" applyAlignment="1">
      <alignment horizontal="center" vertical="center"/>
    </xf>
    <xf numFmtId="39" fontId="0" fillId="0" borderId="0" xfId="0" applyNumberFormat="1" applyAlignment="1">
      <alignment vertical="center"/>
    </xf>
    <xf numFmtId="0" fontId="48" fillId="0" borderId="0" xfId="0" applyFont="1" applyAlignment="1">
      <alignment horizontal="left" vertical="center" wrapText="1"/>
    </xf>
    <xf numFmtId="0" fontId="18" fillId="0" borderId="0" xfId="0" applyFont="1" applyAlignment="1">
      <alignment horizontal="left" vertical="center" wrapText="1"/>
    </xf>
    <xf numFmtId="0" fontId="44" fillId="0" borderId="0" xfId="0" applyFont="1" applyAlignment="1">
      <alignment horizontal="left" vertical="top" wrapText="1"/>
    </xf>
    <xf numFmtId="0" fontId="4" fillId="0" borderId="4" xfId="0" applyFont="1" applyBorder="1" applyAlignment="1">
      <alignment horizontal="center" wrapText="1"/>
    </xf>
    <xf numFmtId="43" fontId="2" fillId="0" borderId="4" xfId="0" applyNumberFormat="1" applyFont="1" applyBorder="1" applyAlignment="1">
      <alignment horizontal="center" vertical="center"/>
    </xf>
    <xf numFmtId="165" fontId="2" fillId="9" borderId="4" xfId="0" applyNumberFormat="1" applyFont="1" applyFill="1" applyBorder="1" applyAlignment="1">
      <alignment horizontal="center" vertical="center"/>
    </xf>
    <xf numFmtId="165" fontId="2" fillId="0" borderId="4" xfId="0" applyNumberFormat="1" applyFont="1" applyBorder="1" applyAlignment="1">
      <alignment horizontal="center" vertical="center"/>
    </xf>
    <xf numFmtId="165" fontId="52" fillId="9" borderId="4" xfId="2" applyNumberFormat="1" applyFont="1" applyFill="1" applyBorder="1" applyAlignment="1">
      <alignment horizontal="center" vertical="center"/>
    </xf>
    <xf numFmtId="165" fontId="52" fillId="0" borderId="4" xfId="2" applyNumberFormat="1" applyFont="1" applyBorder="1" applyAlignment="1">
      <alignment horizontal="center" vertical="center"/>
    </xf>
    <xf numFmtId="165" fontId="2" fillId="9" borderId="4" xfId="2" applyNumberFormat="1" applyFont="1" applyFill="1" applyBorder="1" applyAlignment="1">
      <alignment horizontal="center" vertical="center"/>
    </xf>
    <xf numFmtId="165" fontId="2" fillId="0" borderId="4" xfId="2" applyNumberFormat="1" applyFont="1" applyFill="1" applyBorder="1" applyAlignment="1">
      <alignment horizontal="center" vertical="center"/>
    </xf>
    <xf numFmtId="165" fontId="2" fillId="25" borderId="4" xfId="2" applyNumberFormat="1" applyFont="1" applyFill="1" applyBorder="1" applyAlignment="1">
      <alignment horizontal="center" vertical="center"/>
    </xf>
    <xf numFmtId="165" fontId="2" fillId="0" borderId="4" xfId="1" applyNumberFormat="1" applyFont="1" applyBorder="1" applyAlignment="1">
      <alignment horizontal="center" vertical="center"/>
    </xf>
    <xf numFmtId="43" fontId="2" fillId="0" borderId="0" xfId="1" applyFont="1" applyFill="1"/>
    <xf numFmtId="0" fontId="27" fillId="9" borderId="0" xfId="0" applyFont="1" applyFill="1" applyAlignment="1">
      <alignment horizontal="center" vertical="center"/>
    </xf>
    <xf numFmtId="165" fontId="27" fillId="9" borderId="0" xfId="1" applyNumberFormat="1" applyFont="1" applyFill="1"/>
    <xf numFmtId="43" fontId="0" fillId="0" borderId="0" xfId="1" applyFont="1"/>
    <xf numFmtId="165" fontId="2" fillId="0" borderId="0" xfId="1" applyNumberFormat="1" applyFont="1" applyFill="1"/>
    <xf numFmtId="2" fontId="0" fillId="0" borderId="0" xfId="0" applyNumberFormat="1"/>
    <xf numFmtId="0" fontId="28" fillId="0" borderId="3" xfId="0" applyFont="1" applyBorder="1" applyAlignment="1">
      <alignment horizontal="center"/>
    </xf>
    <xf numFmtId="0" fontId="28" fillId="0" borderId="4" xfId="0" applyFont="1" applyBorder="1" applyAlignment="1">
      <alignment horizontal="center" vertical="center"/>
    </xf>
    <xf numFmtId="0" fontId="28" fillId="4" borderId="4" xfId="0" applyFont="1" applyFill="1" applyBorder="1" applyAlignment="1">
      <alignment horizontal="center" vertical="center"/>
    </xf>
    <xf numFmtId="0" fontId="26" fillId="5" borderId="0" xfId="0" applyFont="1" applyFill="1" applyAlignment="1">
      <alignment horizontal="center" vertical="center"/>
    </xf>
    <xf numFmtId="0" fontId="28" fillId="6" borderId="3" xfId="0" applyFont="1" applyFill="1" applyBorder="1" applyAlignment="1">
      <alignment horizontal="center"/>
    </xf>
    <xf numFmtId="0" fontId="28" fillId="0" borderId="2" xfId="0" applyFont="1" applyBorder="1" applyAlignment="1">
      <alignment horizontal="center"/>
    </xf>
    <xf numFmtId="0" fontId="0" fillId="25" borderId="0" xfId="0" applyFill="1"/>
    <xf numFmtId="43" fontId="0" fillId="25" borderId="0" xfId="0" applyNumberFormat="1" applyFill="1"/>
    <xf numFmtId="43" fontId="0" fillId="25" borderId="0" xfId="1" applyFont="1" applyFill="1"/>
    <xf numFmtId="0" fontId="29" fillId="0" borderId="3" xfId="0" applyFont="1" applyBorder="1"/>
    <xf numFmtId="0" fontId="28" fillId="4" borderId="4" xfId="0" applyFont="1" applyFill="1" applyBorder="1" applyAlignment="1">
      <alignment horizontal="left" vertical="center"/>
    </xf>
    <xf numFmtId="4" fontId="13" fillId="4" borderId="4" xfId="0" applyNumberFormat="1" applyFont="1" applyFill="1" applyBorder="1" applyAlignment="1">
      <alignment vertical="center"/>
    </xf>
    <xf numFmtId="43" fontId="0" fillId="9" borderId="0" xfId="0" applyNumberFormat="1" applyFill="1"/>
    <xf numFmtId="43" fontId="0" fillId="9" borderId="0" xfId="1" applyFont="1" applyFill="1"/>
    <xf numFmtId="165" fontId="0" fillId="0" borderId="0" xfId="1" applyNumberFormat="1" applyFont="1" applyAlignment="1">
      <alignment horizontal="center" vertical="center"/>
    </xf>
    <xf numFmtId="3" fontId="57" fillId="0" borderId="14" xfId="0" applyNumberFormat="1" applyFont="1" applyBorder="1" applyAlignment="1">
      <alignment horizontal="right" wrapText="1"/>
    </xf>
    <xf numFmtId="0" fontId="32" fillId="15" borderId="0" xfId="0" applyFont="1" applyFill="1"/>
    <xf numFmtId="0" fontId="33" fillId="15" borderId="0" xfId="0" applyFont="1" applyFill="1"/>
    <xf numFmtId="0" fontId="30" fillId="15" borderId="0" xfId="0" applyFont="1" applyFill="1"/>
    <xf numFmtId="0" fontId="28" fillId="2" borderId="0" xfId="0" applyFont="1" applyFill="1" applyAlignment="1">
      <alignment horizontal="center"/>
    </xf>
    <xf numFmtId="43" fontId="0" fillId="15" borderId="0" xfId="0" applyNumberFormat="1" applyFill="1"/>
    <xf numFmtId="43" fontId="0" fillId="15" borderId="0" xfId="1" applyFont="1" applyFill="1"/>
    <xf numFmtId="0" fontId="25" fillId="0" borderId="0" xfId="0" applyFont="1"/>
    <xf numFmtId="0" fontId="60" fillId="0" borderId="0" xfId="0" applyFont="1" applyAlignment="1">
      <alignment horizontal="center" readingOrder="1"/>
    </xf>
    <xf numFmtId="166" fontId="33" fillId="0" borderId="0" xfId="0" applyNumberFormat="1" applyFont="1" applyAlignment="1">
      <alignment horizontal="center" vertical="center" readingOrder="2"/>
    </xf>
    <xf numFmtId="0" fontId="0" fillId="11" borderId="0" xfId="0" applyFill="1" applyAlignment="1">
      <alignment horizontal="center" vertical="center"/>
    </xf>
    <xf numFmtId="0" fontId="0" fillId="11" borderId="0" xfId="0" applyFill="1"/>
    <xf numFmtId="165" fontId="32" fillId="11" borderId="3" xfId="1" applyNumberFormat="1" applyFont="1" applyFill="1" applyBorder="1" applyAlignment="1">
      <alignment horizontal="right"/>
    </xf>
    <xf numFmtId="165" fontId="32" fillId="11" borderId="0" xfId="1" applyNumberFormat="1" applyFont="1" applyFill="1" applyBorder="1" applyAlignment="1">
      <alignment horizontal="right"/>
    </xf>
    <xf numFmtId="165" fontId="32" fillId="0" borderId="0" xfId="1" applyNumberFormat="1" applyFont="1" applyFill="1" applyBorder="1" applyAlignment="1">
      <alignment horizontal="right"/>
    </xf>
    <xf numFmtId="165" fontId="32" fillId="0" borderId="0" xfId="1" applyNumberFormat="1" applyFont="1" applyFill="1" applyBorder="1" applyAlignment="1">
      <alignment vertical="center"/>
    </xf>
    <xf numFmtId="0" fontId="35" fillId="11" borderId="0" xfId="0" applyFont="1" applyFill="1" applyAlignment="1">
      <alignment horizontal="center" vertical="center"/>
    </xf>
    <xf numFmtId="165" fontId="32" fillId="0" borderId="0" xfId="1" applyNumberFormat="1" applyFont="1" applyFill="1" applyBorder="1" applyAlignment="1">
      <alignment horizontal="left" vertical="center"/>
    </xf>
    <xf numFmtId="165" fontId="27" fillId="0" borderId="0" xfId="1" applyNumberFormat="1" applyFont="1"/>
    <xf numFmtId="0" fontId="3" fillId="0" borderId="6" xfId="0" applyFont="1" applyBorder="1" applyAlignment="1">
      <alignment horizontal="center" vertical="center" wrapText="1"/>
    </xf>
    <xf numFmtId="165" fontId="26" fillId="0" borderId="0" xfId="1" applyNumberFormat="1" applyFont="1" applyFill="1" applyBorder="1" applyAlignment="1">
      <alignment vertical="center"/>
    </xf>
    <xf numFmtId="0" fontId="48" fillId="0" borderId="0" xfId="0" applyFont="1" applyAlignment="1">
      <alignment vertical="center"/>
    </xf>
    <xf numFmtId="165" fontId="27" fillId="0" borderId="0" xfId="1" applyNumberFormat="1" applyFont="1" applyFill="1" applyAlignment="1">
      <alignment vertical="center"/>
    </xf>
    <xf numFmtId="4" fontId="26" fillId="0" borderId="0" xfId="0" applyNumberFormat="1" applyFont="1" applyAlignment="1">
      <alignment horizontal="center" vertical="center"/>
    </xf>
    <xf numFmtId="165" fontId="26" fillId="0" borderId="0" xfId="1" applyNumberFormat="1" applyFont="1" applyFill="1" applyBorder="1" applyAlignment="1">
      <alignment horizontal="center" vertical="center"/>
    </xf>
    <xf numFmtId="0" fontId="48" fillId="0" borderId="0" xfId="0" applyFont="1" applyAlignment="1">
      <alignment vertical="center" wrapText="1"/>
    </xf>
    <xf numFmtId="0" fontId="2" fillId="0" borderId="0" xfId="0" applyFont="1" applyAlignment="1">
      <alignment wrapText="1"/>
    </xf>
    <xf numFmtId="0" fontId="56" fillId="0" borderId="0" xfId="9" quotePrefix="1" applyFont="1" applyFill="1" applyAlignment="1" applyProtection="1"/>
    <xf numFmtId="0" fontId="3" fillId="0" borderId="0" xfId="0" applyFont="1" applyAlignment="1">
      <alignment vertical="center" wrapText="1"/>
    </xf>
    <xf numFmtId="43" fontId="27" fillId="0" borderId="0" xfId="0" applyNumberFormat="1" applyFont="1"/>
    <xf numFmtId="165" fontId="24" fillId="0" borderId="0" xfId="0" applyNumberFormat="1" applyFont="1"/>
    <xf numFmtId="165" fontId="2" fillId="0" borderId="0" xfId="1" applyNumberFormat="1" applyFont="1" applyFill="1" applyAlignment="1">
      <alignment vertical="center"/>
    </xf>
    <xf numFmtId="0" fontId="27" fillId="0" borderId="0" xfId="0" applyFont="1" applyAlignment="1">
      <alignment horizontal="center" vertical="center" wrapText="1"/>
    </xf>
    <xf numFmtId="165" fontId="27" fillId="0" borderId="0" xfId="0" applyNumberFormat="1" applyFont="1" applyAlignment="1">
      <alignment vertical="center"/>
    </xf>
    <xf numFmtId="0" fontId="10" fillId="0" borderId="4" xfId="0" applyFont="1" applyBorder="1" applyAlignment="1">
      <alignment horizontal="center" vertical="center"/>
    </xf>
    <xf numFmtId="0" fontId="7" fillId="0" borderId="0" xfId="0" applyFont="1"/>
    <xf numFmtId="0" fontId="7" fillId="0" borderId="0" xfId="0" applyFont="1" applyAlignment="1">
      <alignment vertical="center"/>
    </xf>
    <xf numFmtId="0" fontId="10" fillId="0" borderId="0" xfId="0" applyFont="1" applyAlignment="1">
      <alignment vertical="center"/>
    </xf>
    <xf numFmtId="169" fontId="0" fillId="0" borderId="0" xfId="0" applyNumberFormat="1"/>
    <xf numFmtId="0" fontId="3" fillId="29" borderId="0" xfId="0" applyFont="1" applyFill="1" applyAlignment="1">
      <alignment horizontal="left" vertical="center"/>
    </xf>
    <xf numFmtId="165" fontId="8" fillId="29" borderId="0" xfId="1" applyNumberFormat="1" applyFont="1" applyFill="1" applyBorder="1" applyAlignment="1">
      <alignment vertical="center"/>
    </xf>
    <xf numFmtId="165" fontId="22" fillId="29" borderId="0" xfId="1" applyNumberFormat="1" applyFont="1" applyFill="1" applyBorder="1"/>
    <xf numFmtId="0" fontId="2" fillId="29" borderId="0" xfId="0" applyFont="1" applyFill="1" applyAlignment="1">
      <alignment vertical="center"/>
    </xf>
    <xf numFmtId="0" fontId="8" fillId="29" borderId="0" xfId="0" applyFont="1" applyFill="1" applyAlignment="1">
      <alignment vertical="center"/>
    </xf>
    <xf numFmtId="0" fontId="3" fillId="29" borderId="0" xfId="0" applyFont="1" applyFill="1" applyAlignment="1">
      <alignment vertical="center"/>
    </xf>
    <xf numFmtId="0" fontId="27" fillId="0" borderId="0" xfId="0" applyFont="1" applyAlignment="1">
      <alignment horizontal="right"/>
    </xf>
    <xf numFmtId="0" fontId="3" fillId="0" borderId="0" xfId="0" applyFont="1" applyAlignment="1">
      <alignment horizontal="center" wrapText="1"/>
    </xf>
    <xf numFmtId="3" fontId="2" fillId="0" borderId="0" xfId="0" applyNumberFormat="1" applyFont="1" applyAlignment="1">
      <alignment vertical="center"/>
    </xf>
    <xf numFmtId="3" fontId="2" fillId="0" borderId="0" xfId="0" applyNumberFormat="1" applyFont="1" applyAlignment="1">
      <alignment wrapText="1"/>
    </xf>
    <xf numFmtId="1" fontId="2" fillId="0" borderId="0" xfId="0" applyNumberFormat="1" applyFont="1" applyAlignment="1">
      <alignment vertical="center"/>
    </xf>
    <xf numFmtId="0" fontId="27" fillId="0" borderId="0" xfId="0" applyFont="1" applyAlignment="1">
      <alignment vertical="center" wrapText="1"/>
    </xf>
    <xf numFmtId="165" fontId="3" fillId="0" borderId="0" xfId="1" applyNumberFormat="1" applyFont="1" applyBorder="1" applyAlignment="1">
      <alignment horizontal="center" vertical="center"/>
    </xf>
    <xf numFmtId="165" fontId="2" fillId="0" borderId="0" xfId="1" applyNumberFormat="1" applyFont="1" applyAlignment="1">
      <alignment vertical="center"/>
    </xf>
    <xf numFmtId="165" fontId="37" fillId="0" borderId="0" xfId="1" applyNumberFormat="1" applyFont="1" applyFill="1" applyAlignment="1">
      <alignment vertical="center"/>
    </xf>
    <xf numFmtId="43" fontId="37" fillId="0" borderId="0" xfId="1" applyFont="1" applyFill="1" applyAlignment="1">
      <alignment vertical="center"/>
    </xf>
    <xf numFmtId="165" fontId="37" fillId="0" borderId="0" xfId="1" applyNumberFormat="1" applyFont="1" applyFill="1" applyBorder="1" applyAlignment="1">
      <alignment vertical="center"/>
    </xf>
    <xf numFmtId="165" fontId="3" fillId="0" borderId="0" xfId="0" applyNumberFormat="1" applyFont="1" applyAlignment="1">
      <alignment vertical="center"/>
    </xf>
    <xf numFmtId="165" fontId="3" fillId="0" borderId="0" xfId="2" applyNumberFormat="1" applyFont="1" applyFill="1" applyBorder="1" applyAlignment="1">
      <alignment vertical="center"/>
    </xf>
    <xf numFmtId="3" fontId="3" fillId="0" borderId="0" xfId="2" applyNumberFormat="1" applyFont="1" applyFill="1" applyBorder="1" applyAlignment="1">
      <alignment vertical="center"/>
    </xf>
    <xf numFmtId="0" fontId="38" fillId="0" borderId="0" xfId="0" applyFont="1" applyAlignment="1">
      <alignment vertical="center"/>
    </xf>
    <xf numFmtId="2" fontId="3" fillId="0" borderId="0" xfId="0" applyNumberFormat="1" applyFont="1" applyAlignment="1">
      <alignment horizontal="left" vertical="center"/>
    </xf>
    <xf numFmtId="165" fontId="26" fillId="0" borderId="0" xfId="1" applyNumberFormat="1" applyFont="1" applyBorder="1" applyAlignment="1">
      <alignment horizontal="center" vertical="center"/>
    </xf>
    <xf numFmtId="0" fontId="26" fillId="0" borderId="0" xfId="0" applyFont="1" applyAlignment="1">
      <alignment vertical="center" wrapText="1"/>
    </xf>
    <xf numFmtId="0" fontId="2" fillId="15" borderId="0" xfId="0" applyFont="1" applyFill="1" applyAlignment="1">
      <alignment vertical="center"/>
    </xf>
    <xf numFmtId="165" fontId="2" fillId="0" borderId="0" xfId="1" applyNumberFormat="1" applyFont="1" applyBorder="1" applyAlignment="1">
      <alignment horizontal="right" vertical="center"/>
    </xf>
    <xf numFmtId="165" fontId="3" fillId="0" borderId="0" xfId="1" applyNumberFormat="1" applyFont="1" applyBorder="1" applyAlignment="1">
      <alignment horizontal="right" vertical="center"/>
    </xf>
    <xf numFmtId="165" fontId="38" fillId="0" borderId="0" xfId="1" applyNumberFormat="1" applyFont="1" applyFill="1" applyBorder="1" applyAlignment="1">
      <alignment horizontal="center" vertical="center" wrapText="1"/>
    </xf>
    <xf numFmtId="43" fontId="3" fillId="0" borderId="0" xfId="0" applyNumberFormat="1" applyFont="1" applyAlignment="1">
      <alignment horizontal="center" vertical="center"/>
    </xf>
    <xf numFmtId="3" fontId="3" fillId="0" borderId="0" xfId="2" applyNumberFormat="1" applyFont="1" applyFill="1" applyBorder="1" applyAlignment="1">
      <alignment horizontal="center" vertical="center"/>
    </xf>
    <xf numFmtId="165" fontId="38" fillId="0" borderId="0" xfId="1" applyNumberFormat="1" applyFont="1" applyFill="1" applyBorder="1" applyAlignment="1">
      <alignment horizontal="left" vertical="center" wrapText="1"/>
    </xf>
    <xf numFmtId="3" fontId="3" fillId="0" borderId="0" xfId="2" applyNumberFormat="1" applyFont="1" applyBorder="1" applyAlignment="1">
      <alignment horizontal="center" vertical="center"/>
    </xf>
    <xf numFmtId="3" fontId="2" fillId="0" borderId="0" xfId="0" applyNumberFormat="1" applyFont="1" applyAlignment="1">
      <alignment horizontal="center" vertical="center"/>
    </xf>
    <xf numFmtId="165" fontId="38" fillId="0" borderId="0" xfId="1" applyNumberFormat="1" applyFont="1" applyBorder="1" applyAlignment="1">
      <alignment horizontal="right" vertical="center"/>
    </xf>
    <xf numFmtId="3" fontId="38" fillId="0" borderId="0" xfId="2" applyNumberFormat="1" applyFont="1" applyFill="1" applyBorder="1" applyAlignment="1">
      <alignment horizontal="center" vertical="center"/>
    </xf>
    <xf numFmtId="43" fontId="27" fillId="0" borderId="0" xfId="0" applyNumberFormat="1" applyFont="1" applyAlignment="1">
      <alignment vertical="center"/>
    </xf>
    <xf numFmtId="0" fontId="2" fillId="0" borderId="0" xfId="0" applyFont="1" applyAlignment="1">
      <alignment vertical="center" wrapText="1"/>
    </xf>
    <xf numFmtId="165" fontId="3" fillId="0" borderId="27" xfId="1" applyNumberFormat="1" applyFont="1" applyFill="1" applyBorder="1" applyAlignment="1">
      <alignment horizontal="center" vertical="center"/>
    </xf>
    <xf numFmtId="0" fontId="27" fillId="0" borderId="0" xfId="0" applyFont="1" applyAlignment="1">
      <alignment wrapText="1"/>
    </xf>
    <xf numFmtId="0" fontId="54" fillId="0" borderId="0" xfId="0" applyFont="1" applyAlignment="1">
      <alignment horizontal="center" vertical="center" wrapText="1"/>
    </xf>
    <xf numFmtId="0" fontId="54" fillId="0" borderId="0" xfId="0" applyFont="1" applyAlignment="1">
      <alignment horizontal="center" vertical="center"/>
    </xf>
    <xf numFmtId="0" fontId="3" fillId="0" borderId="0" xfId="0" applyFont="1" applyAlignment="1">
      <alignment horizontal="center" vertical="center" wrapText="1"/>
    </xf>
    <xf numFmtId="0" fontId="53" fillId="0" borderId="0" xfId="0" applyFont="1" applyAlignment="1">
      <alignment vertical="center"/>
    </xf>
    <xf numFmtId="165" fontId="53" fillId="0" borderId="0" xfId="1" applyNumberFormat="1" applyFont="1" applyFill="1" applyBorder="1" applyAlignment="1">
      <alignment vertical="center"/>
    </xf>
    <xf numFmtId="43" fontId="53" fillId="0" borderId="0" xfId="0" applyNumberFormat="1" applyFont="1" applyAlignment="1">
      <alignment vertical="center"/>
    </xf>
    <xf numFmtId="43" fontId="53" fillId="0" borderId="0" xfId="1" applyFont="1" applyFill="1" applyBorder="1" applyAlignment="1">
      <alignment vertical="center"/>
    </xf>
    <xf numFmtId="0" fontId="54" fillId="0" borderId="0" xfId="0" applyFont="1" applyAlignment="1">
      <alignment vertical="center"/>
    </xf>
    <xf numFmtId="0" fontId="122" fillId="0" borderId="0" xfId="0" applyFont="1" applyAlignment="1">
      <alignment vertical="center"/>
    </xf>
    <xf numFmtId="0" fontId="37" fillId="0" borderId="0" xfId="0" applyFont="1"/>
    <xf numFmtId="43" fontId="67" fillId="0" borderId="0" xfId="0" applyNumberFormat="1" applyFont="1"/>
    <xf numFmtId="0" fontId="67" fillId="0" borderId="0" xfId="0" applyFont="1"/>
    <xf numFmtId="0" fontId="124" fillId="0" borderId="0" xfId="0" applyFont="1"/>
    <xf numFmtId="3" fontId="3" fillId="0" borderId="0" xfId="0" applyNumberFormat="1" applyFont="1" applyAlignment="1">
      <alignment horizontal="center" vertical="center"/>
    </xf>
    <xf numFmtId="165" fontId="3" fillId="0" borderId="0" xfId="8" applyNumberFormat="1" applyFont="1" applyFill="1" applyBorder="1" applyAlignment="1">
      <alignment vertical="center" wrapText="1"/>
    </xf>
    <xf numFmtId="165" fontId="3" fillId="0" borderId="0" xfId="7" applyNumberFormat="1" applyFont="1" applyFill="1" applyBorder="1" applyAlignment="1">
      <alignment vertical="center" wrapText="1"/>
    </xf>
    <xf numFmtId="165" fontId="38" fillId="0" borderId="0" xfId="1" applyNumberFormat="1" applyFont="1" applyFill="1" applyBorder="1" applyAlignment="1">
      <alignment vertical="center"/>
    </xf>
    <xf numFmtId="0" fontId="26" fillId="0" borderId="0" xfId="0" applyFont="1" applyAlignment="1">
      <alignment horizontal="center" vertical="center" wrapText="1"/>
    </xf>
    <xf numFmtId="3" fontId="3" fillId="0" borderId="0" xfId="0" applyNumberFormat="1" applyFont="1" applyAlignment="1">
      <alignment vertical="center"/>
    </xf>
    <xf numFmtId="165" fontId="2" fillId="0" borderId="0" xfId="2" applyNumberFormat="1" applyFont="1" applyFill="1" applyBorder="1" applyAlignment="1">
      <alignment vertical="center"/>
    </xf>
    <xf numFmtId="165" fontId="2" fillId="0" borderId="0" xfId="2" applyNumberFormat="1" applyFont="1" applyFill="1" applyBorder="1" applyAlignment="1">
      <alignment horizontal="right" vertical="center"/>
    </xf>
    <xf numFmtId="165" fontId="3" fillId="0" borderId="0" xfId="2" applyNumberFormat="1" applyFont="1" applyFill="1" applyBorder="1" applyAlignment="1">
      <alignment horizontal="left" vertical="center"/>
    </xf>
    <xf numFmtId="165" fontId="3" fillId="0" borderId="0" xfId="1" applyNumberFormat="1" applyFont="1" applyFill="1" applyAlignment="1">
      <alignment vertical="center"/>
    </xf>
    <xf numFmtId="165" fontId="3" fillId="0" borderId="0" xfId="1" quotePrefix="1" applyNumberFormat="1" applyFont="1" applyFill="1" applyBorder="1" applyAlignment="1">
      <alignment horizontal="center" vertical="center"/>
    </xf>
    <xf numFmtId="165" fontId="8" fillId="0" borderId="0" xfId="1" applyNumberFormat="1" applyFont="1" applyFill="1" applyAlignment="1">
      <alignment vertical="center"/>
    </xf>
    <xf numFmtId="165" fontId="3" fillId="0" borderId="0" xfId="1" applyNumberFormat="1" applyFont="1" applyFill="1" applyAlignment="1">
      <alignment horizontal="center" vertical="center"/>
    </xf>
    <xf numFmtId="0" fontId="36" fillId="0" borderId="0" xfId="0" applyFont="1" applyAlignment="1">
      <alignment vertical="center"/>
    </xf>
    <xf numFmtId="165" fontId="27" fillId="0" borderId="0" xfId="1" applyNumberFormat="1" applyFont="1" applyBorder="1" applyAlignment="1">
      <alignment vertical="center"/>
    </xf>
    <xf numFmtId="165" fontId="27" fillId="0" borderId="0" xfId="1" applyNumberFormat="1" applyFont="1" applyBorder="1" applyAlignment="1">
      <alignment horizontal="center" vertical="center"/>
    </xf>
    <xf numFmtId="0" fontId="3" fillId="0" borderId="0" xfId="1" applyNumberFormat="1" applyFont="1" applyFill="1" applyBorder="1" applyAlignment="1">
      <alignment vertical="center"/>
    </xf>
    <xf numFmtId="0" fontId="27" fillId="0" borderId="0" xfId="0" applyFont="1" applyAlignment="1">
      <alignment horizontal="left" vertical="center"/>
    </xf>
    <xf numFmtId="165" fontId="2" fillId="0" borderId="3" xfId="1" applyNumberFormat="1" applyFont="1" applyBorder="1" applyAlignment="1">
      <alignment vertical="center"/>
    </xf>
    <xf numFmtId="165" fontId="2" fillId="0" borderId="0" xfId="1" applyNumberFormat="1" applyFont="1" applyBorder="1" applyAlignment="1">
      <alignment vertical="center"/>
    </xf>
    <xf numFmtId="165" fontId="3" fillId="0" borderId="0" xfId="0" applyNumberFormat="1" applyFont="1" applyAlignment="1">
      <alignment horizontal="left" vertical="center"/>
    </xf>
    <xf numFmtId="165" fontId="27" fillId="30" borderId="0" xfId="1" applyNumberFormat="1" applyFont="1" applyFill="1" applyBorder="1" applyAlignment="1">
      <alignment vertical="center"/>
    </xf>
    <xf numFmtId="37" fontId="27" fillId="0" borderId="0" xfId="1" applyNumberFormat="1" applyFont="1" applyFill="1" applyBorder="1" applyAlignment="1">
      <alignment vertical="center"/>
    </xf>
    <xf numFmtId="165" fontId="27" fillId="0" borderId="0" xfId="1" applyNumberFormat="1" applyFont="1" applyBorder="1" applyAlignment="1">
      <alignment horizontal="right" vertical="center"/>
    </xf>
    <xf numFmtId="165" fontId="26" fillId="0" borderId="0" xfId="0" applyNumberFormat="1" applyFont="1" applyAlignment="1">
      <alignment horizontal="center" vertical="center"/>
    </xf>
    <xf numFmtId="165" fontId="27" fillId="7" borderId="0" xfId="1" applyNumberFormat="1" applyFont="1" applyFill="1" applyBorder="1" applyAlignment="1">
      <alignment vertical="center"/>
    </xf>
    <xf numFmtId="165" fontId="27" fillId="7" borderId="0" xfId="1" applyNumberFormat="1" applyFont="1" applyFill="1" applyBorder="1" applyAlignment="1">
      <alignment horizontal="right" vertical="center"/>
    </xf>
    <xf numFmtId="0" fontId="48" fillId="0" borderId="0" xfId="0" applyFont="1" applyAlignment="1">
      <alignment horizontal="left" vertical="center"/>
    </xf>
    <xf numFmtId="10" fontId="27" fillId="0" borderId="0" xfId="0" applyNumberFormat="1" applyFont="1" applyAlignment="1">
      <alignment vertical="center"/>
    </xf>
    <xf numFmtId="0" fontId="27" fillId="0" borderId="0" xfId="0" applyFont="1" applyAlignment="1">
      <alignment horizontal="right" vertical="center"/>
    </xf>
    <xf numFmtId="43" fontId="26" fillId="0" borderId="0" xfId="1" applyFont="1" applyFill="1" applyBorder="1" applyAlignment="1">
      <alignment vertical="center"/>
    </xf>
    <xf numFmtId="165" fontId="2" fillId="0" borderId="18" xfId="1" applyNumberFormat="1" applyFont="1" applyFill="1" applyBorder="1" applyAlignment="1">
      <alignment vertical="center"/>
    </xf>
    <xf numFmtId="165" fontId="3" fillId="0" borderId="21" xfId="1" applyNumberFormat="1" applyFont="1" applyFill="1" applyBorder="1" applyAlignment="1">
      <alignment vertical="center"/>
    </xf>
    <xf numFmtId="165" fontId="37" fillId="0" borderId="0" xfId="1" applyNumberFormat="1" applyFont="1" applyBorder="1" applyAlignment="1">
      <alignment vertical="center"/>
    </xf>
    <xf numFmtId="165" fontId="3" fillId="21" borderId="21" xfId="1" applyNumberFormat="1" applyFont="1" applyFill="1" applyBorder="1" applyAlignment="1">
      <alignment horizontal="center" vertical="center"/>
    </xf>
    <xf numFmtId="0" fontId="2" fillId="0" borderId="0" xfId="0" applyFont="1" applyAlignment="1">
      <alignment horizontal="left" indent="1"/>
    </xf>
    <xf numFmtId="2" fontId="27" fillId="0" borderId="0" xfId="0" applyNumberFormat="1" applyFont="1" applyAlignment="1">
      <alignment vertical="center"/>
    </xf>
    <xf numFmtId="43" fontId="2" fillId="0" borderId="0" xfId="0" applyNumberFormat="1" applyFont="1" applyAlignment="1">
      <alignment vertical="center"/>
    </xf>
    <xf numFmtId="0" fontId="26" fillId="0" borderId="0" xfId="0" applyFont="1" applyAlignment="1">
      <alignment horizontal="left" vertical="center" wrapText="1"/>
    </xf>
    <xf numFmtId="43" fontId="2" fillId="0" borderId="0" xfId="0" applyNumberFormat="1" applyFont="1"/>
    <xf numFmtId="165" fontId="2" fillId="0" borderId="3" xfId="1" applyNumberFormat="1" applyFont="1" applyFill="1" applyBorder="1" applyAlignment="1">
      <alignment vertical="center"/>
    </xf>
    <xf numFmtId="165" fontId="26" fillId="0" borderId="0" xfId="1" applyNumberFormat="1" applyFont="1" applyFill="1" applyBorder="1" applyAlignment="1">
      <alignment horizontal="left" vertical="center"/>
    </xf>
    <xf numFmtId="165" fontId="2" fillId="0" borderId="0" xfId="1" applyNumberFormat="1" applyFont="1" applyFill="1" applyBorder="1" applyAlignment="1">
      <alignment horizontal="left" vertical="center"/>
    </xf>
    <xf numFmtId="165" fontId="2" fillId="0" borderId="0" xfId="0" applyNumberFormat="1" applyFont="1" applyAlignment="1">
      <alignment horizontal="center" vertical="center"/>
    </xf>
    <xf numFmtId="0" fontId="26" fillId="0" borderId="0" xfId="0" applyFont="1" applyAlignment="1">
      <alignment horizontal="center"/>
    </xf>
    <xf numFmtId="49" fontId="27" fillId="0" borderId="0" xfId="0" applyNumberFormat="1" applyFont="1" applyAlignment="1">
      <alignment horizontal="center" vertical="center"/>
    </xf>
    <xf numFmtId="0" fontId="62" fillId="0" borderId="0" xfId="9" quotePrefix="1" applyFont="1" applyFill="1" applyAlignment="1" applyProtection="1">
      <alignment vertical="center"/>
    </xf>
    <xf numFmtId="0" fontId="26" fillId="0" borderId="0" xfId="0" applyFont="1" applyAlignment="1">
      <alignment wrapText="1"/>
    </xf>
    <xf numFmtId="0" fontId="62" fillId="0" borderId="0" xfId="9" applyFont="1" applyFill="1" applyAlignment="1" applyProtection="1">
      <alignment vertical="center" wrapText="1"/>
    </xf>
    <xf numFmtId="165" fontId="27" fillId="0" borderId="45" xfId="1" applyNumberFormat="1" applyFont="1" applyFill="1" applyBorder="1" applyAlignment="1">
      <alignment vertical="center"/>
    </xf>
    <xf numFmtId="165" fontId="26" fillId="0" borderId="13" xfId="1" applyNumberFormat="1" applyFont="1" applyFill="1" applyBorder="1" applyAlignment="1">
      <alignment vertical="center"/>
    </xf>
    <xf numFmtId="0" fontId="128" fillId="0" borderId="0" xfId="0" applyFont="1"/>
    <xf numFmtId="0" fontId="128" fillId="0" borderId="0" xfId="0" applyFont="1" applyAlignment="1">
      <alignment vertical="center" wrapText="1"/>
    </xf>
    <xf numFmtId="0" fontId="26" fillId="0" borderId="0" xfId="25" applyFont="1" applyAlignment="1">
      <alignment vertical="center"/>
    </xf>
    <xf numFmtId="0" fontId="129" fillId="0" borderId="0" xfId="0" applyFont="1" applyAlignment="1">
      <alignment vertical="top"/>
    </xf>
    <xf numFmtId="0" fontId="128" fillId="0" borderId="0" xfId="0" applyFont="1" applyAlignment="1">
      <alignment vertical="top"/>
    </xf>
    <xf numFmtId="165" fontId="3" fillId="0" borderId="0" xfId="1" applyNumberFormat="1" applyFont="1" applyFill="1" applyAlignment="1">
      <alignment horizontal="left" vertical="center"/>
    </xf>
    <xf numFmtId="0" fontId="3" fillId="0" borderId="0" xfId="1" applyNumberFormat="1" applyFont="1" applyFill="1" applyBorder="1" applyAlignment="1">
      <alignment horizontal="left" vertical="center"/>
    </xf>
    <xf numFmtId="165" fontId="26" fillId="0" borderId="0" xfId="1" applyNumberFormat="1" applyFont="1" applyFill="1" applyBorder="1" applyAlignment="1">
      <alignment horizontal="center" vertical="center" wrapText="1"/>
    </xf>
    <xf numFmtId="165" fontId="2" fillId="0" borderId="45" xfId="0" applyNumberFormat="1" applyFont="1" applyBorder="1" applyAlignment="1">
      <alignment vertical="center"/>
    </xf>
    <xf numFmtId="165" fontId="27" fillId="0" borderId="0" xfId="1" applyNumberFormat="1" applyFont="1" applyAlignment="1">
      <alignment vertical="center"/>
    </xf>
    <xf numFmtId="184" fontId="57" fillId="0" borderId="0" xfId="0" applyNumberFormat="1" applyFont="1" applyAlignment="1">
      <alignment horizontal="right" vertical="center"/>
    </xf>
    <xf numFmtId="165" fontId="2" fillId="0" borderId="0" xfId="0" applyNumberFormat="1" applyFont="1" applyAlignment="1">
      <alignment horizontal="left" vertical="center"/>
    </xf>
    <xf numFmtId="43" fontId="2" fillId="0" borderId="0" xfId="1" applyFont="1" applyFill="1" applyAlignment="1">
      <alignment vertical="center"/>
    </xf>
    <xf numFmtId="0" fontId="57" fillId="0" borderId="0" xfId="0" applyFont="1" applyAlignment="1">
      <alignment wrapText="1"/>
    </xf>
    <xf numFmtId="165" fontId="3" fillId="21" borderId="21" xfId="1" applyNumberFormat="1" applyFont="1" applyFill="1" applyBorder="1" applyAlignment="1">
      <alignment vertical="center"/>
    </xf>
    <xf numFmtId="0" fontId="128" fillId="0" borderId="0" xfId="0" applyFont="1" applyAlignment="1">
      <alignment horizontal="left" vertical="center" indent="5"/>
    </xf>
    <xf numFmtId="0" fontId="128" fillId="0" borderId="0" xfId="0" quotePrefix="1" applyFont="1" applyAlignment="1">
      <alignment horizontal="center" vertical="center"/>
    </xf>
    <xf numFmtId="0" fontId="131" fillId="0" borderId="0" xfId="0" applyFont="1" applyAlignment="1">
      <alignment vertical="center" wrapText="1"/>
    </xf>
    <xf numFmtId="165" fontId="3" fillId="21" borderId="20" xfId="1" applyNumberFormat="1" applyFont="1" applyFill="1" applyBorder="1" applyAlignment="1">
      <alignment horizontal="center" vertical="center"/>
    </xf>
    <xf numFmtId="165" fontId="2" fillId="0" borderId="32" xfId="1" applyNumberFormat="1" applyFont="1" applyFill="1" applyBorder="1" applyAlignment="1">
      <alignment vertical="center"/>
    </xf>
    <xf numFmtId="165" fontId="2" fillId="0" borderId="0" xfId="1" quotePrefix="1" applyNumberFormat="1" applyFont="1" applyFill="1" applyBorder="1" applyAlignment="1">
      <alignment horizontal="center" vertical="center"/>
    </xf>
    <xf numFmtId="165" fontId="3" fillId="0" borderId="0" xfId="1" applyNumberFormat="1" applyFont="1" applyFill="1" applyBorder="1" applyAlignment="1">
      <alignment horizontal="left" vertical="center"/>
    </xf>
    <xf numFmtId="43" fontId="27" fillId="0" borderId="0" xfId="1" applyFont="1" applyFill="1" applyBorder="1" applyAlignment="1">
      <alignment vertical="center"/>
    </xf>
    <xf numFmtId="0" fontId="51" fillId="0" borderId="0" xfId="0" applyFont="1" applyAlignment="1">
      <alignment vertical="center"/>
    </xf>
    <xf numFmtId="0" fontId="51" fillId="0" borderId="0" xfId="0" applyFont="1" applyAlignment="1">
      <alignment horizontal="left" vertical="center" wrapText="1"/>
    </xf>
    <xf numFmtId="0" fontId="57" fillId="0" borderId="0" xfId="0" applyFont="1" applyAlignment="1">
      <alignment vertical="center"/>
    </xf>
    <xf numFmtId="0" fontId="133" fillId="0" borderId="0" xfId="0" applyFont="1"/>
    <xf numFmtId="0" fontId="26" fillId="0" borderId="0" xfId="25" applyFont="1" applyAlignment="1">
      <alignment horizontal="right" vertical="center"/>
    </xf>
    <xf numFmtId="165" fontId="26" fillId="0" borderId="0" xfId="2" applyNumberFormat="1" applyFont="1" applyFill="1" applyBorder="1" applyAlignment="1">
      <alignment vertical="center"/>
    </xf>
    <xf numFmtId="0" fontId="26" fillId="0" borderId="0" xfId="0" applyFont="1" applyAlignment="1">
      <alignment horizontal="right" vertical="center"/>
    </xf>
    <xf numFmtId="165" fontId="27" fillId="0" borderId="18" xfId="1" applyNumberFormat="1" applyFont="1" applyFill="1" applyBorder="1" applyAlignment="1">
      <alignment vertical="center"/>
    </xf>
    <xf numFmtId="165" fontId="27" fillId="0" borderId="34" xfId="1" applyNumberFormat="1" applyFont="1" applyFill="1" applyBorder="1" applyAlignment="1">
      <alignment vertical="center"/>
    </xf>
    <xf numFmtId="0" fontId="27" fillId="0" borderId="18" xfId="0" applyFont="1" applyBorder="1" applyAlignment="1">
      <alignment vertical="center"/>
    </xf>
    <xf numFmtId="165" fontId="3" fillId="0" borderId="13" xfId="0" applyNumberFormat="1" applyFont="1" applyBorder="1" applyAlignment="1">
      <alignment horizontal="left" vertical="center"/>
    </xf>
    <xf numFmtId="165" fontId="2" fillId="0" borderId="4" xfId="0" applyNumberFormat="1" applyFont="1" applyBorder="1" applyAlignment="1">
      <alignment horizontal="left" vertical="center"/>
    </xf>
    <xf numFmtId="165" fontId="2" fillId="0" borderId="50" xfId="0" applyNumberFormat="1" applyFont="1" applyBorder="1" applyAlignment="1">
      <alignment horizontal="left" vertical="center"/>
    </xf>
    <xf numFmtId="165" fontId="2" fillId="0" borderId="45" xfId="0" applyNumberFormat="1" applyFont="1" applyBorder="1" applyAlignment="1">
      <alignment horizontal="left" vertical="center"/>
    </xf>
    <xf numFmtId="165" fontId="3" fillId="0" borderId="52" xfId="0" applyNumberFormat="1" applyFont="1" applyBorder="1" applyAlignment="1">
      <alignment horizontal="left" vertical="center"/>
    </xf>
    <xf numFmtId="0" fontId="2" fillId="0" borderId="0" xfId="0" applyFont="1" applyAlignment="1">
      <alignment horizontal="left" vertical="center" wrapText="1"/>
    </xf>
    <xf numFmtId="165" fontId="3" fillId="0" borderId="0" xfId="0" applyNumberFormat="1" applyFont="1" applyAlignment="1">
      <alignment vertical="center" wrapText="1"/>
    </xf>
    <xf numFmtId="173" fontId="27" fillId="0" borderId="0" xfId="1" applyNumberFormat="1" applyFont="1" applyFill="1" applyBorder="1" applyAlignment="1">
      <alignment vertical="center"/>
    </xf>
    <xf numFmtId="0" fontId="26" fillId="0" borderId="0" xfId="25" applyFont="1" applyAlignment="1">
      <alignment horizontal="left" vertical="center"/>
    </xf>
    <xf numFmtId="165" fontId="27" fillId="0" borderId="76" xfId="1" applyNumberFormat="1" applyFont="1" applyFill="1" applyBorder="1" applyAlignment="1">
      <alignment vertical="center"/>
    </xf>
    <xf numFmtId="0" fontId="27" fillId="0" borderId="50" xfId="0" applyFont="1" applyBorder="1" applyAlignment="1">
      <alignment vertical="center"/>
    </xf>
    <xf numFmtId="166" fontId="27" fillId="0" borderId="0" xfId="0" applyNumberFormat="1" applyFont="1" applyAlignment="1">
      <alignment vertical="center"/>
    </xf>
    <xf numFmtId="165" fontId="26" fillId="0" borderId="0" xfId="0" applyNumberFormat="1" applyFont="1" applyAlignment="1">
      <alignment vertical="center"/>
    </xf>
    <xf numFmtId="0" fontId="37" fillId="0" borderId="0" xfId="0" applyFont="1" applyAlignment="1">
      <alignment vertical="center"/>
    </xf>
    <xf numFmtId="3" fontId="27" fillId="0" borderId="0" xfId="15" applyNumberFormat="1" applyFont="1" applyAlignment="1">
      <alignment vertical="center"/>
    </xf>
    <xf numFmtId="3" fontId="27" fillId="0" borderId="0" xfId="0" applyNumberFormat="1" applyFont="1" applyAlignment="1">
      <alignment vertical="center"/>
    </xf>
    <xf numFmtId="165" fontId="27" fillId="0" borderId="0" xfId="15" applyNumberFormat="1" applyFont="1" applyAlignment="1">
      <alignment vertical="center"/>
    </xf>
    <xf numFmtId="3" fontId="26" fillId="0" borderId="0" xfId="15" applyNumberFormat="1" applyFont="1" applyAlignment="1">
      <alignment vertical="center"/>
    </xf>
    <xf numFmtId="10" fontId="27" fillId="0" borderId="0" xfId="10" applyNumberFormat="1" applyFont="1" applyFill="1" applyBorder="1" applyAlignment="1">
      <alignment vertical="center"/>
    </xf>
    <xf numFmtId="165" fontId="26" fillId="0" borderId="0" xfId="15" applyNumberFormat="1" applyFont="1" applyAlignment="1">
      <alignment vertical="center"/>
    </xf>
    <xf numFmtId="165" fontId="26" fillId="0" borderId="21" xfId="1" applyNumberFormat="1" applyFont="1" applyFill="1" applyBorder="1" applyAlignment="1">
      <alignment vertical="center"/>
    </xf>
    <xf numFmtId="0" fontId="27" fillId="0" borderId="2" xfId="0" applyFont="1" applyBorder="1" applyAlignment="1">
      <alignment vertical="center"/>
    </xf>
    <xf numFmtId="3" fontId="27" fillId="0" borderId="0" xfId="0" applyNumberFormat="1" applyFont="1" applyAlignment="1">
      <alignment horizontal="right" vertical="center"/>
    </xf>
    <xf numFmtId="165" fontId="27" fillId="0" borderId="0" xfId="1" applyNumberFormat="1" applyFont="1" applyFill="1" applyBorder="1" applyAlignment="1">
      <alignment horizontal="right" vertical="center"/>
    </xf>
    <xf numFmtId="0" fontId="27" fillId="30" borderId="0" xfId="0" applyFont="1" applyFill="1" applyAlignment="1">
      <alignment horizontal="right" vertical="center"/>
    </xf>
    <xf numFmtId="10" fontId="27" fillId="0" borderId="0" xfId="10" applyNumberFormat="1" applyFont="1" applyBorder="1" applyAlignment="1">
      <alignment vertical="center"/>
    </xf>
    <xf numFmtId="43" fontId="27" fillId="0" borderId="0" xfId="1" applyFont="1" applyAlignment="1">
      <alignment vertical="center"/>
    </xf>
    <xf numFmtId="9" fontId="27" fillId="0" borderId="0" xfId="10" applyFont="1" applyAlignment="1">
      <alignment vertical="center"/>
    </xf>
    <xf numFmtId="1" fontId="27" fillId="0" borderId="0" xfId="10" applyNumberFormat="1" applyFont="1" applyAlignment="1">
      <alignment vertical="center"/>
    </xf>
    <xf numFmtId="165" fontId="48" fillId="0" borderId="0" xfId="0" applyNumberFormat="1" applyFont="1" applyAlignment="1">
      <alignment vertical="center"/>
    </xf>
    <xf numFmtId="9" fontId="48" fillId="0" borderId="0" xfId="10" applyFont="1" applyFill="1" applyBorder="1" applyAlignment="1">
      <alignment vertical="center"/>
    </xf>
    <xf numFmtId="165" fontId="26" fillId="0" borderId="0" xfId="1" applyNumberFormat="1" applyFont="1" applyFill="1" applyAlignment="1">
      <alignment vertical="center"/>
    </xf>
    <xf numFmtId="165" fontId="22" fillId="30" borderId="0" xfId="1" applyNumberFormat="1" applyFont="1" applyFill="1" applyBorder="1" applyAlignment="1">
      <alignment vertical="center"/>
    </xf>
    <xf numFmtId="0" fontId="26" fillId="7" borderId="0" xfId="0" applyFont="1" applyFill="1" applyAlignment="1">
      <alignment vertical="center"/>
    </xf>
    <xf numFmtId="0" fontId="18" fillId="0" borderId="0" xfId="0" applyFont="1" applyAlignment="1">
      <alignment vertical="center" wrapText="1"/>
    </xf>
    <xf numFmtId="165" fontId="0" fillId="0" borderId="0" xfId="1" applyNumberFormat="1" applyFont="1" applyAlignment="1">
      <alignment vertical="center"/>
    </xf>
    <xf numFmtId="165" fontId="27" fillId="0" borderId="0" xfId="0" applyNumberFormat="1" applyFont="1" applyAlignment="1">
      <alignment vertical="center" wrapText="1"/>
    </xf>
    <xf numFmtId="165" fontId="36" fillId="0" borderId="0" xfId="1" applyNumberFormat="1" applyFont="1" applyFill="1" applyBorder="1" applyAlignment="1">
      <alignment vertical="center"/>
    </xf>
    <xf numFmtId="165" fontId="32" fillId="0" borderId="0" xfId="1" applyNumberFormat="1" applyFont="1" applyFill="1" applyBorder="1" applyAlignment="1">
      <alignment horizontal="center" vertical="center"/>
    </xf>
    <xf numFmtId="165" fontId="27" fillId="0" borderId="0" xfId="0" applyNumberFormat="1" applyFont="1" applyAlignment="1">
      <alignment horizontal="center" vertical="center"/>
    </xf>
    <xf numFmtId="2" fontId="27" fillId="0" borderId="0" xfId="1" applyNumberFormat="1" applyFont="1" applyFill="1" applyBorder="1" applyAlignment="1">
      <alignment horizontal="right" vertical="center"/>
    </xf>
    <xf numFmtId="2" fontId="0" fillId="0" borderId="0" xfId="0" applyNumberFormat="1" applyAlignment="1">
      <alignment vertical="center"/>
    </xf>
    <xf numFmtId="2" fontId="27" fillId="0" borderId="0" xfId="1" applyNumberFormat="1" applyFont="1" applyFill="1" applyBorder="1" applyAlignment="1">
      <alignment vertical="center"/>
    </xf>
    <xf numFmtId="2" fontId="26" fillId="0" borderId="0" xfId="1" applyNumberFormat="1" applyFont="1" applyFill="1" applyBorder="1" applyAlignment="1">
      <alignment horizontal="right" vertical="center"/>
    </xf>
    <xf numFmtId="2" fontId="24" fillId="0" borderId="0" xfId="0" applyNumberFormat="1" applyFont="1" applyAlignment="1">
      <alignment vertical="center"/>
    </xf>
    <xf numFmtId="43" fontId="0" fillId="0" borderId="0" xfId="1" applyFont="1" applyFill="1" applyBorder="1" applyAlignment="1">
      <alignment vertical="center"/>
    </xf>
    <xf numFmtId="0" fontId="44" fillId="0" borderId="0" xfId="0" applyFont="1" applyAlignment="1">
      <alignment vertical="center"/>
    </xf>
    <xf numFmtId="2" fontId="29" fillId="0" borderId="0" xfId="1" applyNumberFormat="1" applyFont="1" applyFill="1" applyBorder="1" applyAlignment="1">
      <alignment horizontal="right" vertical="center"/>
    </xf>
    <xf numFmtId="2" fontId="28" fillId="0" borderId="0" xfId="1" applyNumberFormat="1" applyFont="1" applyFill="1" applyBorder="1" applyAlignment="1">
      <alignment horizontal="right" vertical="center"/>
    </xf>
    <xf numFmtId="169" fontId="27" fillId="0" borderId="0" xfId="0" applyNumberFormat="1" applyFont="1" applyAlignment="1">
      <alignment vertical="center"/>
    </xf>
    <xf numFmtId="43" fontId="27" fillId="0" borderId="0" xfId="1" applyFont="1" applyFill="1" applyAlignment="1">
      <alignment vertical="center"/>
    </xf>
    <xf numFmtId="0" fontId="48" fillId="15" borderId="0" xfId="0" applyFont="1" applyFill="1" applyAlignment="1">
      <alignment vertical="center"/>
    </xf>
    <xf numFmtId="165" fontId="2" fillId="0" borderId="0" xfId="2" applyNumberFormat="1" applyFont="1" applyFill="1" applyBorder="1" applyAlignment="1">
      <alignment horizontal="center" vertical="center"/>
    </xf>
    <xf numFmtId="0" fontId="2" fillId="0" borderId="0" xfId="0" applyFont="1" applyAlignment="1">
      <alignment horizontal="right" vertical="center"/>
    </xf>
    <xf numFmtId="165" fontId="2" fillId="0" borderId="0" xfId="0" applyNumberFormat="1" applyFont="1" applyAlignment="1">
      <alignment horizontal="right" vertical="center"/>
    </xf>
    <xf numFmtId="173" fontId="2" fillId="0" borderId="0" xfId="2" applyNumberFormat="1" applyFont="1" applyFill="1" applyBorder="1" applyAlignment="1">
      <alignment horizontal="center" vertical="center"/>
    </xf>
    <xf numFmtId="37" fontId="27" fillId="0" borderId="0" xfId="0" applyNumberFormat="1" applyFont="1" applyAlignment="1">
      <alignment horizontal="right" vertical="center"/>
    </xf>
    <xf numFmtId="41" fontId="27" fillId="0" borderId="0" xfId="0" applyNumberFormat="1" applyFont="1" applyAlignment="1">
      <alignment horizontal="right" vertical="center"/>
    </xf>
    <xf numFmtId="3" fontId="2" fillId="0" borderId="0" xfId="2" applyNumberFormat="1" applyFont="1" applyFill="1" applyBorder="1" applyAlignment="1">
      <alignment horizontal="center" vertical="center"/>
    </xf>
    <xf numFmtId="165" fontId="3" fillId="0" borderId="27" xfId="1" applyNumberFormat="1" applyFont="1" applyFill="1" applyBorder="1" applyAlignment="1">
      <alignment vertical="center"/>
    </xf>
    <xf numFmtId="165" fontId="37" fillId="16" borderId="0" xfId="1" applyNumberFormat="1" applyFont="1" applyFill="1" applyAlignment="1">
      <alignment vertical="center"/>
    </xf>
    <xf numFmtId="165" fontId="37" fillId="0" borderId="0" xfId="0" applyNumberFormat="1" applyFont="1" applyAlignment="1">
      <alignment vertical="center"/>
    </xf>
    <xf numFmtId="9" fontId="3" fillId="0" borderId="0" xfId="1" applyNumberFormat="1" applyFont="1" applyFill="1" applyBorder="1" applyAlignment="1">
      <alignment vertical="center"/>
    </xf>
    <xf numFmtId="165" fontId="27" fillId="0" borderId="0" xfId="1" applyNumberFormat="1" applyFont="1" applyFill="1" applyBorder="1" applyAlignment="1">
      <alignment horizontal="left" vertical="center"/>
    </xf>
    <xf numFmtId="165" fontId="0" fillId="0" borderId="0" xfId="1" applyNumberFormat="1" applyFont="1" applyFill="1" applyAlignment="1">
      <alignment horizontal="left" vertical="center"/>
    </xf>
    <xf numFmtId="165" fontId="24" fillId="0" borderId="0" xfId="1" applyNumberFormat="1" applyFont="1" applyFill="1" applyAlignment="1">
      <alignment vertical="center"/>
    </xf>
    <xf numFmtId="165" fontId="0" fillId="0" borderId="0" xfId="1" applyNumberFormat="1" applyFont="1" applyFill="1" applyAlignment="1">
      <alignment vertical="center"/>
    </xf>
    <xf numFmtId="165" fontId="31" fillId="0" borderId="0" xfId="1" applyNumberFormat="1" applyFont="1" applyFill="1" applyAlignment="1">
      <alignment vertical="center"/>
    </xf>
    <xf numFmtId="165" fontId="52" fillId="0" borderId="0" xfId="1" applyNumberFormat="1" applyFont="1" applyFill="1" applyBorder="1" applyAlignment="1">
      <alignment vertical="center"/>
    </xf>
    <xf numFmtId="165" fontId="31" fillId="0" borderId="0" xfId="1" applyNumberFormat="1" applyFont="1" applyFill="1" applyBorder="1" applyAlignment="1">
      <alignment vertical="center"/>
    </xf>
    <xf numFmtId="165" fontId="123" fillId="0" borderId="0" xfId="1" applyNumberFormat="1" applyFont="1" applyFill="1" applyBorder="1" applyAlignment="1">
      <alignment vertical="center"/>
    </xf>
    <xf numFmtId="165" fontId="52" fillId="0" borderId="0" xfId="1" applyNumberFormat="1" applyFont="1" applyFill="1" applyBorder="1" applyAlignment="1">
      <alignment horizontal="left" vertical="center"/>
    </xf>
    <xf numFmtId="165" fontId="22" fillId="0" borderId="0" xfId="0" applyNumberFormat="1" applyFont="1" applyAlignment="1">
      <alignment horizontal="left" vertical="center"/>
    </xf>
    <xf numFmtId="0" fontId="23" fillId="0" borderId="0" xfId="9" applyFill="1" applyAlignment="1" applyProtection="1">
      <alignment vertical="center"/>
    </xf>
    <xf numFmtId="0" fontId="127" fillId="0" borderId="0" xfId="9" applyFont="1" applyFill="1" applyAlignment="1" applyProtection="1">
      <alignment vertical="center"/>
    </xf>
    <xf numFmtId="0" fontId="23" fillId="0" borderId="0" xfId="9" applyFill="1" applyAlignment="1" applyProtection="1">
      <alignment horizontal="right" vertical="center"/>
    </xf>
    <xf numFmtId="0" fontId="57" fillId="0" borderId="0" xfId="0" applyFont="1" applyAlignment="1">
      <alignment horizontal="left" vertical="center"/>
    </xf>
    <xf numFmtId="0" fontId="121" fillId="7" borderId="0" xfId="0" applyFont="1" applyFill="1" applyAlignment="1">
      <alignment vertical="center"/>
    </xf>
    <xf numFmtId="0" fontId="121" fillId="0" borderId="0" xfId="0" applyFont="1" applyAlignment="1">
      <alignment vertical="center"/>
    </xf>
    <xf numFmtId="0" fontId="18" fillId="0" borderId="0" xfId="0" applyFont="1" applyAlignment="1">
      <alignment horizontal="left" vertical="center"/>
    </xf>
    <xf numFmtId="0" fontId="26" fillId="3" borderId="0" xfId="0" applyFont="1" applyFill="1" applyAlignment="1">
      <alignment vertical="center"/>
    </xf>
    <xf numFmtId="2" fontId="2" fillId="0" borderId="0" xfId="0" applyNumberFormat="1" applyFont="1" applyAlignment="1">
      <alignment vertical="center"/>
    </xf>
    <xf numFmtId="0" fontId="37" fillId="0" borderId="0" xfId="0" applyFont="1" applyAlignment="1">
      <alignment horizontal="left" vertical="center"/>
    </xf>
    <xf numFmtId="165" fontId="27" fillId="0" borderId="0" xfId="10" applyNumberFormat="1" applyFont="1" applyFill="1" applyAlignment="1">
      <alignment vertical="center"/>
    </xf>
    <xf numFmtId="165" fontId="3" fillId="0" borderId="12" xfId="0" applyNumberFormat="1" applyFont="1" applyBorder="1" applyAlignment="1">
      <alignment horizontal="left" vertical="center"/>
    </xf>
    <xf numFmtId="185" fontId="57" fillId="0" borderId="0" xfId="0" applyNumberFormat="1" applyFont="1" applyAlignment="1">
      <alignment horizontal="right" vertical="center"/>
    </xf>
    <xf numFmtId="43" fontId="9" fillId="0" borderId="0" xfId="10" applyNumberFormat="1" applyFont="1" applyAlignment="1">
      <alignment vertical="center"/>
    </xf>
    <xf numFmtId="184" fontId="27" fillId="0" borderId="0" xfId="0" applyNumberFormat="1" applyFont="1" applyAlignment="1">
      <alignment vertical="center"/>
    </xf>
    <xf numFmtId="165" fontId="2" fillId="0" borderId="0" xfId="0" applyNumberFormat="1" applyFont="1" applyAlignment="1">
      <alignment horizontal="center" vertical="center" wrapText="1"/>
    </xf>
    <xf numFmtId="0" fontId="3" fillId="0" borderId="0" xfId="0" applyFont="1" applyAlignment="1">
      <alignment horizontal="left" vertical="center" wrapText="1"/>
    </xf>
    <xf numFmtId="165" fontId="26" fillId="0" borderId="0" xfId="1" applyNumberFormat="1" applyFont="1" applyAlignment="1">
      <alignment vertical="center"/>
    </xf>
    <xf numFmtId="165" fontId="26" fillId="0" borderId="0" xfId="0" applyNumberFormat="1" applyFont="1" applyAlignment="1">
      <alignment horizontal="left" vertical="center"/>
    </xf>
    <xf numFmtId="165" fontId="27" fillId="0" borderId="0" xfId="0" applyNumberFormat="1" applyFont="1" applyAlignment="1">
      <alignment horizontal="left" vertical="center"/>
    </xf>
    <xf numFmtId="2" fontId="27" fillId="0" borderId="4" xfId="1" applyNumberFormat="1" applyFont="1" applyFill="1" applyBorder="1" applyAlignment="1">
      <alignment vertical="center"/>
    </xf>
    <xf numFmtId="3" fontId="57" fillId="0" borderId="0" xfId="0" applyNumberFormat="1" applyFont="1"/>
    <xf numFmtId="0" fontId="57" fillId="0" borderId="0" xfId="0" applyFont="1"/>
    <xf numFmtId="3" fontId="60" fillId="0" borderId="0" xfId="0" applyNumberFormat="1" applyFont="1"/>
    <xf numFmtId="166" fontId="27" fillId="0" borderId="0" xfId="1" applyNumberFormat="1" applyFont="1" applyFill="1" applyBorder="1" applyAlignment="1">
      <alignment vertical="center"/>
    </xf>
    <xf numFmtId="185" fontId="27" fillId="0" borderId="0" xfId="0" applyNumberFormat="1" applyFont="1" applyAlignment="1">
      <alignment vertical="center"/>
    </xf>
    <xf numFmtId="166" fontId="27" fillId="0" borderId="0" xfId="1" applyNumberFormat="1" applyFont="1" applyBorder="1" applyAlignment="1">
      <alignment vertical="center"/>
    </xf>
    <xf numFmtId="166" fontId="26" fillId="0" borderId="0" xfId="1" applyNumberFormat="1" applyFont="1" applyBorder="1"/>
    <xf numFmtId="185" fontId="26" fillId="0" borderId="0" xfId="0" applyNumberFormat="1" applyFont="1"/>
    <xf numFmtId="186" fontId="27" fillId="0" borderId="0" xfId="0" applyNumberFormat="1" applyFont="1" applyAlignment="1">
      <alignment vertical="center"/>
    </xf>
    <xf numFmtId="0" fontId="3" fillId="0" borderId="0" xfId="0" applyFont="1" applyAlignment="1">
      <alignment horizontal="right" vertical="center"/>
    </xf>
    <xf numFmtId="43" fontId="48" fillId="0" borderId="0" xfId="1" applyFont="1" applyFill="1" applyAlignment="1">
      <alignment vertical="center"/>
    </xf>
    <xf numFmtId="43" fontId="48" fillId="0" borderId="0" xfId="1" applyFont="1" applyFill="1" applyAlignment="1">
      <alignment vertical="center" wrapText="1"/>
    </xf>
    <xf numFmtId="0" fontId="23" fillId="0" borderId="0" xfId="9" quotePrefix="1" applyFill="1" applyAlignment="1" applyProtection="1">
      <alignment vertical="center"/>
    </xf>
    <xf numFmtId="165" fontId="57" fillId="0" borderId="0" xfId="1" applyNumberFormat="1" applyFont="1" applyBorder="1"/>
    <xf numFmtId="165" fontId="3" fillId="0" borderId="0" xfId="8" applyNumberFormat="1" applyFont="1" applyFill="1" applyBorder="1" applyAlignment="1">
      <alignment horizontal="right" vertical="center" wrapText="1"/>
    </xf>
    <xf numFmtId="165" fontId="2" fillId="0" borderId="83" xfId="1" applyNumberFormat="1" applyFont="1" applyFill="1" applyBorder="1" applyAlignment="1">
      <alignment vertical="center"/>
    </xf>
    <xf numFmtId="165" fontId="2" fillId="21" borderId="83" xfId="1" applyNumberFormat="1" applyFont="1" applyFill="1" applyBorder="1" applyAlignment="1">
      <alignment vertical="center"/>
    </xf>
    <xf numFmtId="165" fontId="3" fillId="21" borderId="84" xfId="1" applyNumberFormat="1" applyFont="1" applyFill="1" applyBorder="1" applyAlignment="1">
      <alignment horizontal="center" vertical="center"/>
    </xf>
    <xf numFmtId="165" fontId="3" fillId="21" borderId="85" xfId="1" applyNumberFormat="1" applyFont="1" applyFill="1" applyBorder="1" applyAlignment="1">
      <alignment horizontal="center" vertical="center"/>
    </xf>
    <xf numFmtId="165" fontId="3" fillId="21" borderId="44" xfId="1" applyNumberFormat="1" applyFont="1" applyFill="1" applyBorder="1" applyAlignment="1">
      <alignment horizontal="center" vertical="center"/>
    </xf>
    <xf numFmtId="165" fontId="3" fillId="0" borderId="87" xfId="1" applyNumberFormat="1" applyFont="1" applyFill="1" applyBorder="1" applyAlignment="1">
      <alignment horizontal="center" vertical="center"/>
    </xf>
    <xf numFmtId="165" fontId="2" fillId="0" borderId="5" xfId="2" applyNumberFormat="1" applyFont="1" applyFill="1" applyBorder="1" applyAlignment="1">
      <alignment horizontal="center" vertical="center"/>
    </xf>
    <xf numFmtId="0" fontId="26" fillId="7" borderId="5" xfId="0" applyFont="1" applyFill="1" applyBorder="1" applyAlignment="1">
      <alignment horizontal="center" vertical="center"/>
    </xf>
    <xf numFmtId="0" fontId="130" fillId="0" borderId="0" xfId="0" applyFont="1"/>
    <xf numFmtId="0" fontId="130" fillId="0" borderId="2" xfId="0" applyFont="1" applyBorder="1"/>
    <xf numFmtId="0" fontId="130" fillId="0" borderId="80" xfId="0" applyFont="1" applyBorder="1"/>
    <xf numFmtId="0" fontId="135" fillId="0" borderId="0" xfId="0" applyFont="1"/>
    <xf numFmtId="0" fontId="130" fillId="0" borderId="5" xfId="0" applyFont="1" applyBorder="1"/>
    <xf numFmtId="0" fontId="130" fillId="0" borderId="6" xfId="0" applyFont="1" applyBorder="1"/>
    <xf numFmtId="0" fontId="130" fillId="0" borderId="28" xfId="0" applyFont="1" applyBorder="1"/>
    <xf numFmtId="0" fontId="9" fillId="0" borderId="0" xfId="25"/>
    <xf numFmtId="165" fontId="27" fillId="0" borderId="17" xfId="2" applyNumberFormat="1" applyFont="1" applyFill="1" applyBorder="1" applyAlignment="1">
      <alignment wrapText="1"/>
    </xf>
    <xf numFmtId="165" fontId="27" fillId="0" borderId="50" xfId="2" applyNumberFormat="1" applyFont="1" applyFill="1" applyBorder="1" applyAlignment="1">
      <alignment wrapText="1"/>
    </xf>
    <xf numFmtId="165" fontId="27" fillId="0" borderId="17" xfId="2" applyNumberFormat="1" applyFont="1" applyFill="1" applyBorder="1" applyAlignment="1">
      <alignment horizontal="center"/>
    </xf>
    <xf numFmtId="165" fontId="9" fillId="0" borderId="0" xfId="25" applyNumberFormat="1"/>
    <xf numFmtId="0" fontId="72" fillId="0" borderId="0" xfId="25" applyFont="1"/>
    <xf numFmtId="165" fontId="27" fillId="7" borderId="50" xfId="2" applyNumberFormat="1" applyFont="1" applyFill="1" applyBorder="1"/>
    <xf numFmtId="165" fontId="27" fillId="7" borderId="17" xfId="2" applyNumberFormat="1" applyFont="1" applyFill="1" applyBorder="1" applyAlignment="1">
      <alignment wrapText="1"/>
    </xf>
    <xf numFmtId="43" fontId="9" fillId="0" borderId="0" xfId="25" applyNumberFormat="1"/>
    <xf numFmtId="165" fontId="27" fillId="7" borderId="50" xfId="2" applyNumberFormat="1" applyFont="1" applyFill="1" applyBorder="1" applyAlignment="1">
      <alignment horizontal="center" wrapText="1"/>
    </xf>
    <xf numFmtId="165" fontId="27" fillId="7" borderId="98" xfId="2" applyNumberFormat="1" applyFont="1" applyFill="1" applyBorder="1" applyAlignment="1">
      <alignment wrapText="1"/>
    </xf>
    <xf numFmtId="165" fontId="27" fillId="7" borderId="50" xfId="2" applyNumberFormat="1" applyFont="1" applyFill="1" applyBorder="1" applyAlignment="1">
      <alignment horizontal="center" vertical="center" wrapText="1"/>
    </xf>
    <xf numFmtId="165" fontId="27" fillId="7" borderId="50" xfId="2" applyNumberFormat="1" applyFont="1" applyFill="1" applyBorder="1" applyAlignment="1">
      <alignment vertical="center"/>
    </xf>
    <xf numFmtId="165" fontId="27" fillId="7" borderId="17" xfId="2" applyNumberFormat="1" applyFont="1" applyFill="1" applyBorder="1" applyAlignment="1">
      <alignment vertical="center" wrapText="1"/>
    </xf>
    <xf numFmtId="165" fontId="27" fillId="7" borderId="98" xfId="2" applyNumberFormat="1" applyFont="1" applyFill="1" applyBorder="1" applyAlignment="1">
      <alignment vertical="center" wrapText="1"/>
    </xf>
    <xf numFmtId="165" fontId="27" fillId="7" borderId="50" xfId="2" applyNumberFormat="1" applyFont="1" applyFill="1" applyBorder="1" applyAlignment="1">
      <alignment vertical="center" wrapText="1"/>
    </xf>
    <xf numFmtId="165" fontId="27" fillId="7" borderId="84" xfId="2" applyNumberFormat="1" applyFont="1" applyFill="1" applyBorder="1" applyAlignment="1">
      <alignment vertical="center" wrapText="1"/>
    </xf>
    <xf numFmtId="165" fontId="27" fillId="7" borderId="17" xfId="2" applyNumberFormat="1" applyFont="1" applyFill="1" applyBorder="1" applyAlignment="1">
      <alignment vertical="center"/>
    </xf>
    <xf numFmtId="165" fontId="27" fillId="7" borderId="84" xfId="2" applyNumberFormat="1" applyFont="1" applyFill="1" applyBorder="1" applyAlignment="1">
      <alignment vertical="center"/>
    </xf>
    <xf numFmtId="165" fontId="27" fillId="7" borderId="85" xfId="2" applyNumberFormat="1" applyFont="1" applyFill="1" applyBorder="1" applyAlignment="1">
      <alignment vertical="center" wrapText="1"/>
    </xf>
    <xf numFmtId="3" fontId="57" fillId="0" borderId="0" xfId="0" applyNumberFormat="1" applyFont="1" applyAlignment="1">
      <alignment wrapText="1"/>
    </xf>
    <xf numFmtId="3" fontId="57" fillId="0" borderId="45" xfId="0" applyNumberFormat="1" applyFont="1" applyBorder="1" applyAlignment="1">
      <alignment wrapText="1"/>
    </xf>
    <xf numFmtId="0" fontId="57" fillId="0" borderId="45" xfId="0" applyFont="1" applyBorder="1" applyAlignment="1">
      <alignment wrapText="1"/>
    </xf>
    <xf numFmtId="3" fontId="2" fillId="0" borderId="0" xfId="0" applyNumberFormat="1" applyFont="1"/>
    <xf numFmtId="165" fontId="2" fillId="0" borderId="0" xfId="2" applyNumberFormat="1" applyFont="1" applyFill="1" applyBorder="1" applyAlignment="1">
      <alignment horizontal="center"/>
    </xf>
    <xf numFmtId="3" fontId="57" fillId="0" borderId="6" xfId="0" applyNumberFormat="1" applyFont="1" applyBorder="1"/>
    <xf numFmtId="0" fontId="57" fillId="0" borderId="6" xfId="0" applyFont="1" applyBorder="1"/>
    <xf numFmtId="166" fontId="9" fillId="0" borderId="0" xfId="25" applyNumberFormat="1"/>
    <xf numFmtId="165" fontId="2" fillId="7" borderId="0" xfId="2" applyNumberFormat="1" applyFont="1" applyFill="1" applyBorder="1" applyAlignment="1">
      <alignment horizontal="center"/>
    </xf>
    <xf numFmtId="165" fontId="27" fillId="7" borderId="98" xfId="2" applyNumberFormat="1" applyFont="1" applyFill="1" applyBorder="1" applyAlignment="1">
      <alignment vertical="center"/>
    </xf>
    <xf numFmtId="165" fontId="27" fillId="7" borderId="6" xfId="2" applyNumberFormat="1" applyFont="1" applyFill="1" applyBorder="1" applyAlignment="1">
      <alignment horizontal="center" vertical="center" wrapText="1"/>
    </xf>
    <xf numFmtId="165" fontId="27" fillId="7" borderId="6" xfId="2" applyNumberFormat="1" applyFont="1" applyFill="1" applyBorder="1" applyAlignment="1">
      <alignment vertical="center" wrapText="1"/>
    </xf>
    <xf numFmtId="165" fontId="2" fillId="21" borderId="86" xfId="1" applyNumberFormat="1" applyFont="1" applyFill="1" applyBorder="1" applyAlignment="1">
      <alignment vertical="center"/>
    </xf>
    <xf numFmtId="165" fontId="2" fillId="0" borderId="86" xfId="0" applyNumberFormat="1" applyFont="1" applyBorder="1" applyAlignment="1">
      <alignment vertical="center"/>
    </xf>
    <xf numFmtId="165" fontId="2" fillId="0" borderId="2" xfId="0" applyNumberFormat="1" applyFont="1" applyBorder="1" applyAlignment="1">
      <alignment vertical="center"/>
    </xf>
    <xf numFmtId="165" fontId="27" fillId="0" borderId="0" xfId="2" applyNumberFormat="1" applyFont="1" applyFill="1" applyBorder="1"/>
    <xf numFmtId="43" fontId="27" fillId="0" borderId="0" xfId="2" applyFont="1" applyFill="1" applyBorder="1"/>
    <xf numFmtId="165" fontId="27" fillId="0" borderId="0" xfId="2" applyNumberFormat="1" applyFont="1" applyFill="1" applyBorder="1" applyAlignment="1">
      <alignment horizontal="center"/>
    </xf>
    <xf numFmtId="166" fontId="0" fillId="0" borderId="0" xfId="0" applyNumberFormat="1"/>
    <xf numFmtId="166" fontId="27" fillId="0" borderId="0" xfId="1" applyNumberFormat="1" applyFont="1" applyFill="1" applyBorder="1"/>
    <xf numFmtId="165" fontId="0" fillId="0" borderId="4" xfId="1" applyNumberFormat="1" applyFont="1" applyFill="1" applyBorder="1"/>
    <xf numFmtId="3" fontId="57" fillId="91" borderId="4" xfId="0" applyNumberFormat="1" applyFont="1" applyFill="1" applyBorder="1"/>
    <xf numFmtId="3" fontId="2" fillId="0" borderId="28" xfId="0" applyNumberFormat="1" applyFont="1" applyBorder="1"/>
    <xf numFmtId="165" fontId="3" fillId="0" borderId="0" xfId="0" applyNumberFormat="1" applyFont="1" applyAlignment="1">
      <alignment horizontal="center" vertical="center" wrapText="1"/>
    </xf>
    <xf numFmtId="165" fontId="2" fillId="0" borderId="0" xfId="2" applyNumberFormat="1" applyFont="1" applyBorder="1" applyAlignment="1">
      <alignment horizontal="center" vertical="center"/>
    </xf>
    <xf numFmtId="3" fontId="0" fillId="0" borderId="0" xfId="0" applyNumberFormat="1" applyAlignment="1">
      <alignment vertical="center"/>
    </xf>
    <xf numFmtId="165" fontId="3" fillId="0" borderId="0" xfId="0" applyNumberFormat="1" applyFont="1"/>
    <xf numFmtId="0" fontId="130" fillId="0" borderId="18" xfId="0" applyFont="1" applyBorder="1"/>
    <xf numFmtId="0" fontId="130" fillId="0" borderId="45" xfId="0" applyFont="1" applyBorder="1"/>
    <xf numFmtId="0" fontId="130" fillId="0" borderId="33" xfId="0" applyFont="1" applyBorder="1"/>
    <xf numFmtId="0" fontId="142" fillId="0" borderId="18" xfId="0" applyFont="1" applyBorder="1"/>
    <xf numFmtId="0" fontId="142" fillId="0" borderId="50" xfId="0" applyFont="1" applyBorder="1"/>
    <xf numFmtId="0" fontId="142" fillId="0" borderId="6" xfId="0" applyFont="1" applyBorder="1"/>
    <xf numFmtId="3" fontId="57" fillId="0" borderId="4" xfId="0" applyNumberFormat="1" applyFont="1" applyBorder="1"/>
    <xf numFmtId="3" fontId="57" fillId="0" borderId="28" xfId="0" applyNumberFormat="1" applyFont="1" applyBorder="1"/>
    <xf numFmtId="3" fontId="57" fillId="0" borderId="4" xfId="0" applyNumberFormat="1" applyFont="1" applyBorder="1" applyAlignment="1">
      <alignment wrapText="1"/>
    </xf>
    <xf numFmtId="3" fontId="57" fillId="0" borderId="28" xfId="0" applyNumberFormat="1" applyFont="1" applyBorder="1" applyAlignment="1">
      <alignment wrapText="1"/>
    </xf>
    <xf numFmtId="9" fontId="57" fillId="0" borderId="28" xfId="0" applyNumberFormat="1" applyFont="1" applyBorder="1"/>
    <xf numFmtId="9" fontId="57" fillId="0" borderId="4" xfId="0" applyNumberFormat="1" applyFont="1" applyBorder="1"/>
    <xf numFmtId="9" fontId="57" fillId="0" borderId="28" xfId="0" applyNumberFormat="1" applyFont="1" applyBorder="1" applyAlignment="1">
      <alignment wrapText="1"/>
    </xf>
    <xf numFmtId="3" fontId="57" fillId="91" borderId="28" xfId="0" applyNumberFormat="1" applyFont="1" applyFill="1" applyBorder="1"/>
    <xf numFmtId="9" fontId="57" fillId="91" borderId="28" xfId="0" applyNumberFormat="1" applyFont="1" applyFill="1" applyBorder="1"/>
    <xf numFmtId="165" fontId="3" fillId="21" borderId="21" xfId="1" applyNumberFormat="1" applyFont="1" applyFill="1" applyBorder="1" applyAlignment="1">
      <alignment horizontal="right" vertical="center"/>
    </xf>
    <xf numFmtId="0" fontId="26" fillId="0" borderId="0" xfId="0" applyFont="1" applyAlignment="1">
      <alignment horizontal="left"/>
    </xf>
    <xf numFmtId="187" fontId="27" fillId="0" borderId="0" xfId="1" applyNumberFormat="1" applyFont="1" applyAlignment="1">
      <alignment vertical="center"/>
    </xf>
    <xf numFmtId="3" fontId="57" fillId="0" borderId="86" xfId="0" applyNumberFormat="1" applyFont="1" applyBorder="1" applyAlignment="1">
      <alignment vertical="center" wrapText="1"/>
    </xf>
    <xf numFmtId="0" fontId="144" fillId="0" borderId="0" xfId="0" applyFont="1"/>
    <xf numFmtId="0" fontId="130" fillId="0" borderId="45" xfId="0" applyFont="1" applyBorder="1" applyAlignment="1">
      <alignment vertical="center"/>
    </xf>
    <xf numFmtId="3" fontId="57" fillId="0" borderId="45" xfId="0" applyNumberFormat="1" applyFont="1" applyBorder="1" applyAlignment="1">
      <alignment vertical="center" wrapText="1"/>
    </xf>
    <xf numFmtId="3" fontId="57" fillId="91" borderId="45" xfId="0" applyNumberFormat="1" applyFont="1" applyFill="1" applyBorder="1" applyAlignment="1">
      <alignment vertical="center" wrapText="1"/>
    </xf>
    <xf numFmtId="3" fontId="143" fillId="0" borderId="45" xfId="0" applyNumberFormat="1" applyFont="1" applyBorder="1" applyAlignment="1">
      <alignment vertical="center"/>
    </xf>
    <xf numFmtId="0" fontId="57" fillId="91" borderId="45" xfId="0" applyFont="1" applyFill="1" applyBorder="1" applyAlignment="1">
      <alignment vertical="center" wrapText="1"/>
    </xf>
    <xf numFmtId="3" fontId="60" fillId="91" borderId="45" xfId="0" applyNumberFormat="1" applyFont="1" applyFill="1" applyBorder="1" applyAlignment="1">
      <alignment vertical="center" wrapText="1"/>
    </xf>
    <xf numFmtId="0" fontId="57" fillId="93" borderId="45" xfId="0" applyFont="1" applyFill="1" applyBorder="1" applyAlignment="1">
      <alignment vertical="center" wrapText="1"/>
    </xf>
    <xf numFmtId="3" fontId="57" fillId="91" borderId="36" xfId="0" applyNumberFormat="1" applyFont="1" applyFill="1" applyBorder="1" applyAlignment="1">
      <alignment vertical="center" wrapText="1"/>
    </xf>
    <xf numFmtId="3" fontId="60" fillId="91" borderId="13" xfId="0" applyNumberFormat="1" applyFont="1" applyFill="1" applyBorder="1" applyAlignment="1">
      <alignment vertical="center" wrapText="1"/>
    </xf>
    <xf numFmtId="3" fontId="57" fillId="91" borderId="13" xfId="0" applyNumberFormat="1" applyFont="1" applyFill="1" applyBorder="1" applyAlignment="1">
      <alignment vertical="center" wrapText="1"/>
    </xf>
    <xf numFmtId="3" fontId="57" fillId="0" borderId="36" xfId="0" applyNumberFormat="1" applyFont="1" applyBorder="1" applyAlignment="1">
      <alignment vertical="center" wrapText="1"/>
    </xf>
    <xf numFmtId="0" fontId="142" fillId="0" borderId="45" xfId="0" applyFont="1" applyBorder="1" applyAlignment="1">
      <alignment vertical="center"/>
    </xf>
    <xf numFmtId="0" fontId="57" fillId="0" borderId="45" xfId="0" applyFont="1" applyBorder="1" applyAlignment="1">
      <alignment vertical="center"/>
    </xf>
    <xf numFmtId="3" fontId="57" fillId="0" borderId="45" xfId="0" applyNumberFormat="1" applyFont="1" applyBorder="1" applyAlignment="1">
      <alignment vertical="center"/>
    </xf>
    <xf numFmtId="3" fontId="60" fillId="0" borderId="45" xfId="0" applyNumberFormat="1" applyFont="1" applyBorder="1" applyAlignment="1">
      <alignment vertical="center"/>
    </xf>
    <xf numFmtId="3" fontId="57" fillId="0" borderId="36" xfId="0" applyNumberFormat="1" applyFont="1" applyBorder="1" applyAlignment="1">
      <alignment vertical="center"/>
    </xf>
    <xf numFmtId="3" fontId="60" fillId="0" borderId="13" xfId="0" applyNumberFormat="1" applyFont="1" applyBorder="1" applyAlignment="1">
      <alignment vertical="center"/>
    </xf>
    <xf numFmtId="3" fontId="130" fillId="0" borderId="45" xfId="0" applyNumberFormat="1" applyFont="1" applyBorder="1" applyAlignment="1">
      <alignment vertical="center"/>
    </xf>
    <xf numFmtId="166" fontId="57" fillId="0" borderId="45" xfId="1" applyNumberFormat="1" applyFont="1" applyBorder="1" applyAlignment="1">
      <alignment vertical="center"/>
    </xf>
    <xf numFmtId="3" fontId="57" fillId="0" borderId="84" xfId="0" applyNumberFormat="1" applyFont="1" applyBorder="1" applyAlignment="1">
      <alignment vertical="center"/>
    </xf>
    <xf numFmtId="0" fontId="57" fillId="0" borderId="84" xfId="0" applyFont="1" applyBorder="1" applyAlignment="1">
      <alignment vertical="center"/>
    </xf>
    <xf numFmtId="3" fontId="57" fillId="0" borderId="84" xfId="0" applyNumberFormat="1" applyFont="1" applyBorder="1" applyAlignment="1">
      <alignment vertical="center" wrapText="1"/>
    </xf>
    <xf numFmtId="0" fontId="57" fillId="0" borderId="84" xfId="0" applyFont="1" applyBorder="1" applyAlignment="1">
      <alignment vertical="center" wrapText="1"/>
    </xf>
    <xf numFmtId="3" fontId="57" fillId="0" borderId="109" xfId="0" applyNumberFormat="1" applyFont="1" applyBorder="1" applyAlignment="1">
      <alignment vertical="center" wrapText="1"/>
    </xf>
    <xf numFmtId="3" fontId="60" fillId="0" borderId="103" xfId="0" applyNumberFormat="1" applyFont="1" applyBorder="1" applyAlignment="1">
      <alignment vertical="center"/>
    </xf>
    <xf numFmtId="3" fontId="60" fillId="0" borderId="84" xfId="0" applyNumberFormat="1" applyFont="1" applyBorder="1" applyAlignment="1">
      <alignment vertical="center"/>
    </xf>
    <xf numFmtId="3" fontId="57" fillId="0" borderId="109" xfId="0" applyNumberFormat="1" applyFont="1" applyBorder="1" applyAlignment="1">
      <alignment vertical="center"/>
    </xf>
    <xf numFmtId="0" fontId="57" fillId="0" borderId="45" xfId="0" applyFont="1" applyBorder="1" applyAlignment="1">
      <alignment vertical="center" wrapText="1"/>
    </xf>
    <xf numFmtId="43" fontId="57" fillId="0" borderId="45" xfId="1" applyFont="1" applyBorder="1" applyAlignment="1">
      <alignment wrapText="1"/>
    </xf>
    <xf numFmtId="0" fontId="57" fillId="0" borderId="50" xfId="0" applyFont="1" applyBorder="1" applyAlignment="1">
      <alignment vertical="center"/>
    </xf>
    <xf numFmtId="3" fontId="57" fillId="0" borderId="50" xfId="0" applyNumberFormat="1" applyFont="1" applyBorder="1" applyAlignment="1">
      <alignment vertical="center"/>
    </xf>
    <xf numFmtId="3" fontId="60" fillId="0" borderId="50" xfId="0" applyNumberFormat="1" applyFont="1" applyBorder="1" applyAlignment="1">
      <alignment vertical="center"/>
    </xf>
    <xf numFmtId="3" fontId="57" fillId="0" borderId="51" xfId="0" applyNumberFormat="1" applyFont="1" applyBorder="1" applyAlignment="1">
      <alignment vertical="center"/>
    </xf>
    <xf numFmtId="43" fontId="3" fillId="93" borderId="45" xfId="1" applyFont="1" applyFill="1" applyBorder="1" applyAlignment="1">
      <alignment vertical="center"/>
    </xf>
    <xf numFmtId="3" fontId="60" fillId="0" borderId="12" xfId="0" applyNumberFormat="1" applyFont="1" applyBorder="1" applyAlignment="1">
      <alignment vertical="center"/>
    </xf>
    <xf numFmtId="0" fontId="2" fillId="91" borderId="45" xfId="0" applyFont="1" applyFill="1" applyBorder="1" applyAlignment="1">
      <alignment vertical="center" wrapText="1"/>
    </xf>
    <xf numFmtId="3" fontId="2" fillId="0" borderId="45" xfId="0" applyNumberFormat="1" applyFont="1" applyBorder="1" applyAlignment="1">
      <alignment vertical="center" wrapText="1"/>
    </xf>
    <xf numFmtId="3" fontId="2" fillId="91" borderId="45" xfId="0" applyNumberFormat="1" applyFont="1" applyFill="1" applyBorder="1" applyAlignment="1">
      <alignment vertical="center" wrapText="1"/>
    </xf>
    <xf numFmtId="3" fontId="2" fillId="91" borderId="36" xfId="0" applyNumberFormat="1" applyFont="1" applyFill="1" applyBorder="1" applyAlignment="1">
      <alignment vertical="center" wrapText="1"/>
    </xf>
    <xf numFmtId="3" fontId="3" fillId="91" borderId="13" xfId="0" applyNumberFormat="1" applyFont="1" applyFill="1" applyBorder="1" applyAlignment="1">
      <alignment vertical="center" wrapText="1"/>
    </xf>
    <xf numFmtId="0" fontId="57" fillId="91" borderId="84" xfId="0" applyFont="1" applyFill="1" applyBorder="1" applyAlignment="1">
      <alignment vertical="center" wrapText="1"/>
    </xf>
    <xf numFmtId="3" fontId="57" fillId="91" borderId="84" xfId="0" applyNumberFormat="1" applyFont="1" applyFill="1" applyBorder="1" applyAlignment="1">
      <alignment vertical="center" wrapText="1"/>
    </xf>
    <xf numFmtId="0" fontId="57" fillId="93" borderId="84" xfId="0" applyFont="1" applyFill="1" applyBorder="1" applyAlignment="1">
      <alignment vertical="center" wrapText="1"/>
    </xf>
    <xf numFmtId="3" fontId="57" fillId="91" borderId="109" xfId="0" applyNumberFormat="1" applyFont="1" applyFill="1" applyBorder="1" applyAlignment="1">
      <alignment vertical="center" wrapText="1"/>
    </xf>
    <xf numFmtId="0" fontId="57" fillId="0" borderId="98" xfId="0" applyFont="1" applyBorder="1" applyAlignment="1">
      <alignment vertical="center"/>
    </xf>
    <xf numFmtId="3" fontId="60" fillId="0" borderId="13" xfId="0" applyNumberFormat="1" applyFont="1" applyBorder="1" applyAlignment="1">
      <alignment vertical="center" wrapText="1"/>
    </xf>
    <xf numFmtId="0" fontId="142" fillId="0" borderId="127" xfId="0" applyFont="1" applyBorder="1"/>
    <xf numFmtId="0" fontId="57" fillId="0" borderId="6" xfId="0" applyFont="1" applyBorder="1" applyAlignment="1">
      <alignment vertical="center"/>
    </xf>
    <xf numFmtId="0" fontId="57" fillId="0" borderId="51" xfId="0" applyFont="1" applyBorder="1" applyAlignment="1">
      <alignment vertical="center"/>
    </xf>
    <xf numFmtId="0" fontId="57" fillId="0" borderId="126" xfId="0" applyFont="1" applyBorder="1" applyAlignment="1">
      <alignment vertical="center"/>
    </xf>
    <xf numFmtId="0" fontId="57" fillId="0" borderId="120" xfId="0" applyFont="1" applyBorder="1" applyAlignment="1">
      <alignment vertical="center"/>
    </xf>
    <xf numFmtId="0" fontId="57" fillId="0" borderId="124" xfId="0" applyFont="1" applyBorder="1" applyAlignment="1">
      <alignment vertical="center"/>
    </xf>
    <xf numFmtId="3" fontId="57" fillId="0" borderId="0" xfId="0" applyNumberFormat="1" applyFont="1" applyAlignment="1">
      <alignment vertical="center"/>
    </xf>
    <xf numFmtId="3" fontId="57" fillId="0" borderId="6" xfId="0" applyNumberFormat="1" applyFont="1" applyBorder="1" applyAlignment="1">
      <alignment vertical="center"/>
    </xf>
    <xf numFmtId="3" fontId="2" fillId="0" borderId="36" xfId="0" applyNumberFormat="1" applyFont="1" applyBorder="1" applyAlignment="1">
      <alignment vertical="center" wrapText="1"/>
    </xf>
    <xf numFmtId="0" fontId="37" fillId="0" borderId="6" xfId="0" applyFont="1" applyBorder="1" applyAlignment="1">
      <alignment vertical="center"/>
    </xf>
    <xf numFmtId="0" fontId="37" fillId="0" borderId="50" xfId="0" applyFont="1" applyBorder="1" applyAlignment="1">
      <alignment vertical="center"/>
    </xf>
    <xf numFmtId="3" fontId="60" fillId="0" borderId="6" xfId="0" applyNumberFormat="1" applyFont="1" applyBorder="1" applyAlignment="1">
      <alignment vertical="center"/>
    </xf>
    <xf numFmtId="3" fontId="2" fillId="0" borderId="51" xfId="0" applyNumberFormat="1" applyFont="1" applyBorder="1" applyAlignment="1">
      <alignment vertical="center"/>
    </xf>
    <xf numFmtId="3" fontId="60" fillId="0" borderId="11" xfId="0" applyNumberFormat="1" applyFont="1" applyBorder="1" applyAlignment="1">
      <alignment vertical="center"/>
    </xf>
    <xf numFmtId="0" fontId="2" fillId="0" borderId="45" xfId="0" applyFont="1" applyBorder="1" applyAlignment="1">
      <alignment vertical="center" wrapText="1"/>
    </xf>
    <xf numFmtId="3" fontId="3" fillId="0" borderId="45" xfId="0" applyNumberFormat="1" applyFont="1" applyBorder="1" applyAlignment="1">
      <alignment vertical="center" wrapText="1"/>
    </xf>
    <xf numFmtId="3" fontId="3" fillId="0" borderId="13" xfId="0" applyNumberFormat="1" applyFont="1" applyBorder="1" applyAlignment="1">
      <alignment vertical="center" wrapText="1"/>
    </xf>
    <xf numFmtId="0" fontId="142" fillId="0" borderId="18" xfId="0" applyFont="1" applyBorder="1" applyAlignment="1">
      <alignment vertical="center"/>
    </xf>
    <xf numFmtId="0" fontId="57" fillId="0" borderId="18" xfId="0" applyFont="1" applyBorder="1"/>
    <xf numFmtId="165" fontId="37" fillId="0" borderId="0" xfId="1" applyNumberFormat="1" applyFont="1" applyAlignment="1">
      <alignment vertical="center"/>
    </xf>
    <xf numFmtId="0" fontId="57" fillId="0" borderId="45" xfId="0" applyFont="1" applyBorder="1"/>
    <xf numFmtId="3" fontId="57" fillId="0" borderId="45" xfId="0" applyNumberFormat="1" applyFont="1" applyBorder="1"/>
    <xf numFmtId="3" fontId="57" fillId="0" borderId="18" xfId="0" applyNumberFormat="1" applyFont="1" applyBorder="1"/>
    <xf numFmtId="165" fontId="2" fillId="0" borderId="6" xfId="0" applyNumberFormat="1" applyFont="1" applyBorder="1" applyAlignment="1">
      <alignment vertical="center"/>
    </xf>
    <xf numFmtId="165" fontId="57" fillId="91" borderId="18" xfId="0" applyNumberFormat="1" applyFont="1" applyFill="1" applyBorder="1" applyAlignment="1">
      <alignment vertical="center"/>
    </xf>
    <xf numFmtId="165" fontId="57" fillId="91" borderId="32" xfId="0" applyNumberFormat="1" applyFont="1" applyFill="1" applyBorder="1" applyAlignment="1">
      <alignment vertical="center"/>
    </xf>
    <xf numFmtId="165" fontId="57" fillId="91" borderId="6" xfId="0" applyNumberFormat="1" applyFont="1" applyFill="1" applyBorder="1" applyAlignment="1">
      <alignment vertical="center" wrapText="1"/>
    </xf>
    <xf numFmtId="165" fontId="2" fillId="0" borderId="6" xfId="0" applyNumberFormat="1" applyFont="1" applyBorder="1" applyAlignment="1">
      <alignment vertical="center" wrapText="1"/>
    </xf>
    <xf numFmtId="165" fontId="57" fillId="0" borderId="18" xfId="0" applyNumberFormat="1" applyFont="1" applyBorder="1" applyAlignment="1">
      <alignment vertical="center"/>
    </xf>
    <xf numFmtId="165" fontId="57" fillId="0" borderId="45" xfId="0" applyNumberFormat="1" applyFont="1" applyBorder="1" applyAlignment="1">
      <alignment vertical="center"/>
    </xf>
    <xf numFmtId="165" fontId="57" fillId="0" borderId="6" xfId="0" applyNumberFormat="1" applyFont="1" applyBorder="1" applyAlignment="1">
      <alignment vertical="center"/>
    </xf>
    <xf numFmtId="165" fontId="2" fillId="0" borderId="36" xfId="0" applyNumberFormat="1" applyFont="1" applyBorder="1" applyAlignment="1">
      <alignment vertical="center"/>
    </xf>
    <xf numFmtId="165" fontId="2" fillId="0" borderId="18" xfId="0" applyNumberFormat="1" applyFont="1" applyBorder="1" applyAlignment="1">
      <alignment vertical="center"/>
    </xf>
    <xf numFmtId="165" fontId="2" fillId="0" borderId="32" xfId="0" applyNumberFormat="1" applyFont="1" applyBorder="1" applyAlignment="1">
      <alignment vertical="center"/>
    </xf>
    <xf numFmtId="165" fontId="2" fillId="0" borderId="18" xfId="0" applyNumberFormat="1" applyFont="1" applyBorder="1" applyAlignment="1">
      <alignment vertical="center" wrapText="1"/>
    </xf>
    <xf numFmtId="165" fontId="2" fillId="0" borderId="45" xfId="0" applyNumberFormat="1" applyFont="1" applyBorder="1" applyAlignment="1">
      <alignment vertical="center" wrapText="1"/>
    </xf>
    <xf numFmtId="165" fontId="3" fillId="0" borderId="18" xfId="0" applyNumberFormat="1" applyFont="1" applyBorder="1" applyAlignment="1">
      <alignment vertical="center"/>
    </xf>
    <xf numFmtId="165" fontId="57" fillId="0" borderId="28" xfId="0" applyNumberFormat="1" applyFont="1" applyBorder="1" applyAlignment="1">
      <alignment vertical="center"/>
    </xf>
    <xf numFmtId="165" fontId="57" fillId="0" borderId="18" xfId="1" applyNumberFormat="1" applyFont="1" applyBorder="1" applyAlignment="1">
      <alignment vertical="center"/>
    </xf>
    <xf numFmtId="165" fontId="57" fillId="0" borderId="45" xfId="1" applyNumberFormat="1" applyFont="1" applyBorder="1" applyAlignment="1">
      <alignment vertical="center"/>
    </xf>
    <xf numFmtId="165" fontId="57" fillId="0" borderId="6" xfId="1" applyNumberFormat="1" applyFont="1" applyBorder="1" applyAlignment="1">
      <alignment vertical="center"/>
    </xf>
    <xf numFmtId="165" fontId="57" fillId="0" borderId="18" xfId="0" applyNumberFormat="1" applyFont="1" applyBorder="1" applyAlignment="1">
      <alignment horizontal="right" vertical="center"/>
    </xf>
    <xf numFmtId="165" fontId="57" fillId="0" borderId="45" xfId="0" applyNumberFormat="1" applyFont="1" applyBorder="1" applyAlignment="1">
      <alignment horizontal="right" vertical="center"/>
    </xf>
    <xf numFmtId="165" fontId="57" fillId="0" borderId="6" xfId="0" applyNumberFormat="1" applyFont="1" applyBorder="1" applyAlignment="1">
      <alignment horizontal="right" vertical="center"/>
    </xf>
    <xf numFmtId="165" fontId="2" fillId="0" borderId="6" xfId="1" applyNumberFormat="1" applyFont="1" applyBorder="1" applyAlignment="1">
      <alignment vertical="center"/>
    </xf>
    <xf numFmtId="165" fontId="2" fillId="0" borderId="45" xfId="1" applyNumberFormat="1" applyFont="1" applyBorder="1" applyAlignment="1">
      <alignment vertical="center"/>
    </xf>
    <xf numFmtId="0" fontId="57" fillId="0" borderId="28" xfId="0" applyFont="1" applyBorder="1" applyAlignment="1">
      <alignment vertical="center"/>
    </xf>
    <xf numFmtId="165" fontId="2" fillId="21" borderId="131" xfId="1" applyNumberFormat="1" applyFont="1" applyFill="1" applyBorder="1" applyAlignment="1">
      <alignment vertical="center"/>
    </xf>
    <xf numFmtId="165" fontId="2" fillId="21" borderId="21" xfId="1" applyNumberFormat="1" applyFont="1" applyFill="1" applyBorder="1" applyAlignment="1">
      <alignment vertical="center"/>
    </xf>
    <xf numFmtId="165" fontId="147" fillId="0" borderId="28" xfId="0" applyNumberFormat="1" applyFont="1" applyBorder="1" applyAlignment="1">
      <alignment vertical="center"/>
    </xf>
    <xf numFmtId="165" fontId="148" fillId="21" borderId="131" xfId="1" applyNumberFormat="1" applyFont="1" applyFill="1" applyBorder="1" applyAlignment="1">
      <alignment vertical="center"/>
    </xf>
    <xf numFmtId="3" fontId="147" fillId="0" borderId="18" xfId="0" applyNumberFormat="1" applyFont="1" applyBorder="1" applyAlignment="1">
      <alignment vertical="center"/>
    </xf>
    <xf numFmtId="165" fontId="147" fillId="0" borderId="45" xfId="0" applyNumberFormat="1" applyFont="1" applyBorder="1" applyAlignment="1">
      <alignment vertical="center"/>
    </xf>
    <xf numFmtId="165" fontId="148" fillId="21" borderId="21" xfId="1" applyNumberFormat="1" applyFont="1" applyFill="1" applyBorder="1" applyAlignment="1">
      <alignment vertical="center"/>
    </xf>
    <xf numFmtId="165" fontId="149" fillId="0" borderId="45" xfId="0" applyNumberFormat="1" applyFont="1" applyBorder="1" applyAlignment="1">
      <alignment vertical="center"/>
    </xf>
    <xf numFmtId="165" fontId="149" fillId="0" borderId="6" xfId="0" applyNumberFormat="1" applyFont="1" applyBorder="1" applyAlignment="1">
      <alignment vertical="center"/>
    </xf>
    <xf numFmtId="165" fontId="150" fillId="21" borderId="21" xfId="1" applyNumberFormat="1" applyFont="1" applyFill="1" applyBorder="1" applyAlignment="1">
      <alignment vertical="center"/>
    </xf>
    <xf numFmtId="165" fontId="2" fillId="0" borderId="6" xfId="0" applyNumberFormat="1" applyFont="1" applyBorder="1" applyAlignment="1">
      <alignment horizontal="right"/>
    </xf>
    <xf numFmtId="165" fontId="2" fillId="0" borderId="18" xfId="0" applyNumberFormat="1" applyFont="1" applyBorder="1" applyAlignment="1">
      <alignment horizontal="right"/>
    </xf>
    <xf numFmtId="165" fontId="2" fillId="0" borderId="45" xfId="0" applyNumberFormat="1" applyFont="1" applyBorder="1" applyAlignment="1">
      <alignment horizontal="right"/>
    </xf>
    <xf numFmtId="165" fontId="2" fillId="21" borderId="21" xfId="1" applyNumberFormat="1" applyFont="1" applyFill="1" applyBorder="1" applyAlignment="1">
      <alignment horizontal="right" vertical="center"/>
    </xf>
    <xf numFmtId="165" fontId="2" fillId="0" borderId="45" xfId="0" applyNumberFormat="1" applyFont="1" applyBorder="1" applyAlignment="1">
      <alignment horizontal="right" vertical="center"/>
    </xf>
    <xf numFmtId="165" fontId="2" fillId="0" borderId="6" xfId="0" applyNumberFormat="1" applyFont="1" applyBorder="1" applyAlignment="1">
      <alignment horizontal="right" vertical="center"/>
    </xf>
    <xf numFmtId="165" fontId="27" fillId="0" borderId="0" xfId="1" applyNumberFormat="1" applyFont="1" applyAlignment="1">
      <alignment horizontal="left" vertical="center"/>
    </xf>
    <xf numFmtId="188" fontId="27" fillId="0" borderId="0" xfId="0" applyNumberFormat="1" applyFont="1" applyAlignment="1">
      <alignment vertical="center"/>
    </xf>
    <xf numFmtId="165" fontId="3" fillId="0" borderId="0" xfId="12495" applyNumberFormat="1" applyFont="1" applyFill="1" applyBorder="1" applyAlignment="1">
      <alignment vertical="center"/>
    </xf>
    <xf numFmtId="0" fontId="7" fillId="0" borderId="4" xfId="0" applyFont="1" applyBorder="1" applyAlignment="1">
      <alignment vertical="center" wrapText="1"/>
    </xf>
    <xf numFmtId="43" fontId="7" fillId="0" borderId="4" xfId="1" applyFont="1" applyBorder="1" applyAlignment="1">
      <alignment vertical="center" wrapText="1"/>
    </xf>
    <xf numFmtId="165" fontId="3" fillId="0" borderId="0" xfId="1" applyNumberFormat="1" applyFont="1" applyAlignment="1">
      <alignment horizontal="center" vertical="center" wrapText="1"/>
    </xf>
    <xf numFmtId="43" fontId="2" fillId="0" borderId="0" xfId="1" applyFont="1"/>
    <xf numFmtId="166" fontId="2" fillId="0" borderId="0" xfId="1" applyNumberFormat="1" applyFont="1" applyFill="1" applyBorder="1" applyAlignment="1">
      <alignment vertical="center"/>
    </xf>
    <xf numFmtId="3" fontId="57" fillId="91" borderId="86" xfId="0" applyNumberFormat="1" applyFont="1" applyFill="1" applyBorder="1" applyAlignment="1">
      <alignment vertical="center" wrapText="1"/>
    </xf>
    <xf numFmtId="3" fontId="57" fillId="0" borderId="86" xfId="0" applyNumberFormat="1" applyFont="1" applyBorder="1" applyAlignment="1">
      <alignment vertical="center"/>
    </xf>
    <xf numFmtId="3" fontId="2" fillId="0" borderId="88" xfId="0" applyNumberFormat="1" applyFont="1" applyBorder="1" applyAlignment="1">
      <alignment vertical="center" wrapText="1"/>
    </xf>
    <xf numFmtId="3" fontId="2" fillId="91" borderId="86" xfId="0" applyNumberFormat="1" applyFont="1" applyFill="1" applyBorder="1" applyAlignment="1">
      <alignment vertical="center" wrapText="1"/>
    </xf>
    <xf numFmtId="165" fontId="57" fillId="0" borderId="0" xfId="0" applyNumberFormat="1" applyFont="1"/>
    <xf numFmtId="165" fontId="27" fillId="0" borderId="0" xfId="1" applyNumberFormat="1" applyFont="1" applyBorder="1"/>
    <xf numFmtId="3" fontId="27" fillId="0" borderId="0" xfId="0" applyNumberFormat="1" applyFont="1"/>
    <xf numFmtId="43" fontId="27" fillId="0" borderId="0" xfId="1" applyFont="1" applyBorder="1"/>
    <xf numFmtId="0" fontId="57" fillId="91" borderId="0" xfId="0" applyFont="1" applyFill="1" applyAlignment="1">
      <alignment wrapText="1"/>
    </xf>
    <xf numFmtId="165" fontId="2" fillId="0" borderId="0" xfId="25" applyNumberFormat="1" applyFont="1"/>
    <xf numFmtId="0" fontId="2" fillId="0" borderId="0" xfId="25" applyFont="1"/>
    <xf numFmtId="0" fontId="12" fillId="0" borderId="0" xfId="25" applyFont="1"/>
    <xf numFmtId="165" fontId="26" fillId="0" borderId="0" xfId="2" applyNumberFormat="1" applyFont="1" applyFill="1" applyBorder="1" applyAlignment="1">
      <alignment wrapText="1"/>
    </xf>
    <xf numFmtId="165" fontId="27" fillId="0" borderId="0" xfId="2" applyNumberFormat="1" applyFont="1" applyFill="1" applyBorder="1" applyAlignment="1">
      <alignment wrapText="1"/>
    </xf>
    <xf numFmtId="165" fontId="24" fillId="0" borderId="0" xfId="1" applyNumberFormat="1" applyFont="1" applyFill="1" applyBorder="1"/>
    <xf numFmtId="0" fontId="2" fillId="7" borderId="32" xfId="25" applyFont="1" applyFill="1" applyBorder="1" applyAlignment="1">
      <alignment horizontal="center"/>
    </xf>
    <xf numFmtId="165" fontId="2" fillId="7" borderId="18" xfId="2" applyNumberFormat="1" applyFont="1" applyFill="1" applyBorder="1" applyAlignment="1">
      <alignment vertical="center"/>
    </xf>
    <xf numFmtId="165" fontId="2" fillId="7" borderId="32" xfId="2" applyNumberFormat="1" applyFont="1" applyFill="1" applyBorder="1" applyAlignment="1">
      <alignment vertical="center"/>
    </xf>
    <xf numFmtId="165" fontId="2" fillId="7" borderId="45" xfId="2" applyNumberFormat="1" applyFont="1" applyFill="1" applyBorder="1" applyAlignment="1">
      <alignment vertical="center"/>
    </xf>
    <xf numFmtId="165" fontId="2" fillId="7" borderId="6" xfId="2" applyNumberFormat="1" applyFont="1" applyFill="1" applyBorder="1" applyAlignment="1">
      <alignment vertical="center"/>
    </xf>
    <xf numFmtId="165" fontId="3" fillId="0" borderId="45" xfId="2" applyNumberFormat="1" applyFont="1" applyFill="1" applyBorder="1" applyAlignment="1">
      <alignment vertical="center"/>
    </xf>
    <xf numFmtId="165" fontId="3" fillId="0" borderId="6" xfId="2" applyNumberFormat="1" applyFont="1" applyFill="1" applyBorder="1" applyAlignment="1">
      <alignment vertical="center"/>
    </xf>
    <xf numFmtId="165" fontId="2" fillId="0" borderId="45" xfId="2" applyNumberFormat="1" applyFont="1" applyFill="1" applyBorder="1" applyAlignment="1">
      <alignment vertical="center"/>
    </xf>
    <xf numFmtId="165" fontId="2" fillId="0" borderId="6" xfId="2" applyNumberFormat="1" applyFont="1" applyFill="1" applyBorder="1" applyAlignment="1">
      <alignment vertical="center"/>
    </xf>
    <xf numFmtId="0" fontId="3" fillId="0" borderId="0" xfId="25" applyFont="1"/>
    <xf numFmtId="0" fontId="3" fillId="0" borderId="0" xfId="25" applyFont="1" applyAlignment="1">
      <alignment horizontal="center"/>
    </xf>
    <xf numFmtId="165" fontId="3" fillId="0" borderId="0" xfId="2" applyNumberFormat="1" applyFont="1" applyFill="1" applyBorder="1"/>
    <xf numFmtId="0" fontId="2" fillId="7" borderId="0" xfId="25" applyFont="1" applyFill="1"/>
    <xf numFmtId="165" fontId="2" fillId="7" borderId="0" xfId="1" applyNumberFormat="1" applyFont="1" applyFill="1"/>
    <xf numFmtId="186" fontId="9" fillId="0" borderId="0" xfId="25" applyNumberFormat="1"/>
    <xf numFmtId="165" fontId="2" fillId="0" borderId="18" xfId="2" applyNumberFormat="1" applyFont="1" applyFill="1" applyBorder="1"/>
    <xf numFmtId="165" fontId="2" fillId="0" borderId="18" xfId="2" applyNumberFormat="1" applyFont="1" applyBorder="1" applyAlignment="1">
      <alignment vertical="center"/>
    </xf>
    <xf numFmtId="165" fontId="2" fillId="0" borderId="32" xfId="2" applyNumberFormat="1" applyFont="1" applyBorder="1" applyAlignment="1">
      <alignment vertical="center"/>
    </xf>
    <xf numFmtId="165" fontId="2" fillId="0" borderId="33" xfId="2" applyNumberFormat="1" applyFont="1" applyBorder="1" applyAlignment="1">
      <alignment vertical="center"/>
    </xf>
    <xf numFmtId="0" fontId="2" fillId="7" borderId="134" xfId="25" applyFont="1" applyFill="1" applyBorder="1" applyAlignment="1">
      <alignment horizontal="center" vertical="center"/>
    </xf>
    <xf numFmtId="0" fontId="2" fillId="7" borderId="6" xfId="25" applyFont="1" applyFill="1" applyBorder="1" applyAlignment="1">
      <alignment horizontal="center" vertical="center"/>
    </xf>
    <xf numFmtId="165" fontId="2" fillId="0" borderId="136" xfId="2" applyNumberFormat="1" applyFont="1" applyBorder="1" applyAlignment="1">
      <alignment vertical="center"/>
    </xf>
    <xf numFmtId="43" fontId="9" fillId="0" borderId="126" xfId="25" applyNumberFormat="1" applyBorder="1" applyAlignment="1">
      <alignment vertical="center"/>
    </xf>
    <xf numFmtId="43" fontId="9" fillId="0" borderId="120" xfId="25" applyNumberFormat="1" applyBorder="1" applyAlignment="1">
      <alignment vertical="center"/>
    </xf>
    <xf numFmtId="0" fontId="2" fillId="0" borderId="37" xfId="25" applyFont="1" applyBorder="1" applyAlignment="1">
      <alignment horizontal="center" vertical="center"/>
    </xf>
    <xf numFmtId="165" fontId="2" fillId="0" borderId="18" xfId="2" applyNumberFormat="1" applyFont="1" applyFill="1" applyBorder="1" applyAlignment="1">
      <alignment vertical="center"/>
    </xf>
    <xf numFmtId="165" fontId="2" fillId="0" borderId="37" xfId="2" applyNumberFormat="1" applyFont="1" applyFill="1" applyBorder="1" applyAlignment="1">
      <alignment vertical="center"/>
    </xf>
    <xf numFmtId="0" fontId="2" fillId="7" borderId="28" xfId="25" applyFont="1" applyFill="1" applyBorder="1" applyAlignment="1">
      <alignment horizontal="center" vertical="center"/>
    </xf>
    <xf numFmtId="165" fontId="2" fillId="0" borderId="135" xfId="2" applyNumberFormat="1" applyFont="1" applyBorder="1" applyAlignment="1">
      <alignment vertical="center"/>
    </xf>
    <xf numFmtId="165" fontId="2" fillId="7" borderId="18" xfId="1" applyNumberFormat="1" applyFont="1" applyFill="1" applyBorder="1" applyAlignment="1">
      <alignment vertical="center"/>
    </xf>
    <xf numFmtId="165" fontId="2" fillId="0" borderId="32" xfId="1" applyNumberFormat="1" applyFont="1" applyBorder="1" applyAlignment="1">
      <alignment vertical="center"/>
    </xf>
    <xf numFmtId="165" fontId="2" fillId="7" borderId="32" xfId="1" applyNumberFormat="1" applyFont="1" applyFill="1" applyBorder="1" applyAlignment="1">
      <alignment vertical="center"/>
    </xf>
    <xf numFmtId="0" fontId="2" fillId="7" borderId="135" xfId="25" applyFont="1" applyFill="1" applyBorder="1" applyAlignment="1">
      <alignment horizontal="center" vertical="center"/>
    </xf>
    <xf numFmtId="0" fontId="2" fillId="7" borderId="5" xfId="25" applyFont="1" applyFill="1" applyBorder="1" applyAlignment="1">
      <alignment horizontal="center" vertical="center"/>
    </xf>
    <xf numFmtId="0" fontId="9" fillId="0" borderId="0" xfId="25" applyAlignment="1">
      <alignment wrapText="1"/>
    </xf>
    <xf numFmtId="165" fontId="9" fillId="0" borderId="0" xfId="1" applyNumberFormat="1" applyFont="1" applyFill="1"/>
    <xf numFmtId="165" fontId="2" fillId="0" borderId="4" xfId="2" applyNumberFormat="1" applyFont="1" applyFill="1" applyBorder="1" applyAlignment="1">
      <alignment vertical="center"/>
    </xf>
    <xf numFmtId="165" fontId="3" fillId="0" borderId="4" xfId="2" applyNumberFormat="1" applyFont="1" applyFill="1" applyBorder="1" applyAlignment="1">
      <alignment vertical="center"/>
    </xf>
    <xf numFmtId="165" fontId="2" fillId="0" borderId="32" xfId="2" applyNumberFormat="1" applyFont="1" applyFill="1" applyBorder="1"/>
    <xf numFmtId="0" fontId="2" fillId="0" borderId="28" xfId="25" applyFont="1" applyBorder="1" applyAlignment="1">
      <alignment horizontal="center" vertical="center"/>
    </xf>
    <xf numFmtId="165" fontId="2" fillId="0" borderId="135" xfId="2" applyNumberFormat="1" applyFont="1" applyFill="1" applyBorder="1" applyAlignment="1">
      <alignment vertical="center"/>
    </xf>
    <xf numFmtId="165" fontId="2" fillId="0" borderId="37" xfId="1" applyNumberFormat="1" applyFont="1" applyFill="1" applyBorder="1" applyAlignment="1">
      <alignment vertical="center"/>
    </xf>
    <xf numFmtId="0" fontId="2" fillId="0" borderId="6" xfId="25" applyFont="1" applyBorder="1" applyAlignment="1">
      <alignment horizontal="center" vertical="center"/>
    </xf>
    <xf numFmtId="165" fontId="2" fillId="0" borderId="32" xfId="2" applyNumberFormat="1" applyFont="1" applyFill="1" applyBorder="1" applyAlignment="1">
      <alignment vertical="center"/>
    </xf>
    <xf numFmtId="165" fontId="2" fillId="0" borderId="136" xfId="2" applyNumberFormat="1" applyFont="1" applyFill="1" applyBorder="1" applyAlignment="1">
      <alignment vertical="center"/>
    </xf>
    <xf numFmtId="0" fontId="2" fillId="0" borderId="5" xfId="25" applyFont="1" applyBorder="1" applyAlignment="1">
      <alignment horizontal="center" vertical="center"/>
    </xf>
    <xf numFmtId="0" fontId="2" fillId="0" borderId="134" xfId="25" applyFont="1" applyBorder="1" applyAlignment="1">
      <alignment horizontal="center" vertical="center"/>
    </xf>
    <xf numFmtId="0" fontId="2" fillId="0" borderId="134" xfId="25" applyFont="1" applyBorder="1" applyAlignment="1">
      <alignment horizontal="center"/>
    </xf>
    <xf numFmtId="0" fontId="2" fillId="0" borderId="32" xfId="25" applyFont="1" applyBorder="1" applyAlignment="1">
      <alignment horizontal="center"/>
    </xf>
    <xf numFmtId="165" fontId="27" fillId="0" borderId="50" xfId="2" applyNumberFormat="1" applyFont="1" applyFill="1" applyBorder="1" applyAlignment="1">
      <alignment horizontal="center" vertical="center" wrapText="1"/>
    </xf>
    <xf numFmtId="165" fontId="27" fillId="0" borderId="50" xfId="2" applyNumberFormat="1" applyFont="1" applyFill="1" applyBorder="1" applyAlignment="1">
      <alignment vertical="center"/>
    </xf>
    <xf numFmtId="165" fontId="27" fillId="0" borderId="17" xfId="2" applyNumberFormat="1" applyFont="1" applyFill="1" applyBorder="1" applyAlignment="1">
      <alignment vertical="center" wrapText="1"/>
    </xf>
    <xf numFmtId="165" fontId="27" fillId="0" borderId="45" xfId="2" applyNumberFormat="1" applyFont="1" applyFill="1" applyBorder="1" applyAlignment="1">
      <alignment vertical="center" wrapText="1"/>
    </xf>
    <xf numFmtId="165" fontId="27" fillId="0" borderId="50" xfId="2" applyNumberFormat="1" applyFont="1" applyFill="1" applyBorder="1" applyAlignment="1">
      <alignment vertical="center" wrapText="1"/>
    </xf>
    <xf numFmtId="165" fontId="27" fillId="0" borderId="17" xfId="2" applyNumberFormat="1" applyFont="1" applyFill="1" applyBorder="1" applyAlignment="1">
      <alignment horizontal="center" vertical="center"/>
    </xf>
    <xf numFmtId="165" fontId="26" fillId="0" borderId="12" xfId="2" applyNumberFormat="1" applyFont="1" applyFill="1" applyBorder="1" applyAlignment="1">
      <alignment vertical="center" wrapText="1"/>
    </xf>
    <xf numFmtId="3" fontId="57" fillId="91" borderId="6" xfId="0" applyNumberFormat="1" applyFont="1" applyFill="1" applyBorder="1" applyAlignment="1">
      <alignment vertical="center" wrapText="1"/>
    </xf>
    <xf numFmtId="0" fontId="57" fillId="91" borderId="6" xfId="0" applyFont="1" applyFill="1" applyBorder="1" applyAlignment="1">
      <alignment vertical="center" wrapText="1"/>
    </xf>
    <xf numFmtId="3" fontId="57" fillId="91" borderId="136" xfId="0" applyNumberFormat="1" applyFont="1" applyFill="1" applyBorder="1" applyAlignment="1">
      <alignment vertical="center" wrapText="1"/>
    </xf>
    <xf numFmtId="0" fontId="57" fillId="91" borderId="136" xfId="0" applyFont="1" applyFill="1" applyBorder="1" applyAlignment="1">
      <alignment vertical="center" wrapText="1"/>
    </xf>
    <xf numFmtId="165" fontId="27" fillId="7" borderId="6" xfId="2" applyNumberFormat="1" applyFont="1" applyFill="1" applyBorder="1" applyAlignment="1">
      <alignment vertical="center"/>
    </xf>
    <xf numFmtId="165" fontId="27" fillId="7" borderId="101" xfId="2" applyNumberFormat="1" applyFont="1" applyFill="1" applyBorder="1" applyAlignment="1">
      <alignment vertical="center" wrapText="1"/>
    </xf>
    <xf numFmtId="0" fontId="57" fillId="91" borderId="116" xfId="0" applyFont="1" applyFill="1" applyBorder="1" applyAlignment="1">
      <alignment vertical="center" wrapText="1"/>
    </xf>
    <xf numFmtId="0" fontId="57" fillId="91" borderId="50" xfId="0" applyFont="1" applyFill="1" applyBorder="1" applyAlignment="1">
      <alignment vertical="center" wrapText="1"/>
    </xf>
    <xf numFmtId="3" fontId="57" fillId="91" borderId="116" xfId="0" applyNumberFormat="1" applyFont="1" applyFill="1" applyBorder="1" applyAlignment="1">
      <alignment vertical="center" wrapText="1"/>
    </xf>
    <xf numFmtId="3" fontId="57" fillId="91" borderId="50" xfId="0" applyNumberFormat="1" applyFont="1" applyFill="1" applyBorder="1" applyAlignment="1">
      <alignment vertical="center" wrapText="1"/>
    </xf>
    <xf numFmtId="165" fontId="27" fillId="7" borderId="85" xfId="1" applyNumberFormat="1" applyFont="1" applyFill="1" applyBorder="1" applyAlignment="1">
      <alignment vertical="center" wrapText="1"/>
    </xf>
    <xf numFmtId="3" fontId="57" fillId="91" borderId="117" xfId="0" applyNumberFormat="1" applyFont="1" applyFill="1" applyBorder="1" applyAlignment="1">
      <alignment vertical="center" wrapText="1"/>
    </xf>
    <xf numFmtId="3" fontId="57" fillId="91" borderId="102" xfId="0" applyNumberFormat="1" applyFont="1" applyFill="1" applyBorder="1" applyAlignment="1">
      <alignment vertical="center" wrapText="1"/>
    </xf>
    <xf numFmtId="0" fontId="57" fillId="91" borderId="107" xfId="0" applyFont="1" applyFill="1" applyBorder="1" applyAlignment="1">
      <alignment vertical="center" wrapText="1"/>
    </xf>
    <xf numFmtId="3" fontId="57" fillId="91" borderId="51" xfId="0" applyNumberFormat="1" applyFont="1" applyFill="1" applyBorder="1" applyAlignment="1">
      <alignment vertical="center" wrapText="1"/>
    </xf>
    <xf numFmtId="165" fontId="27" fillId="7" borderId="116" xfId="2" applyNumberFormat="1" applyFont="1" applyFill="1" applyBorder="1" applyAlignment="1">
      <alignment horizontal="center" vertical="center" wrapText="1"/>
    </xf>
    <xf numFmtId="165" fontId="27" fillId="0" borderId="84" xfId="2" applyNumberFormat="1" applyFont="1" applyFill="1" applyBorder="1" applyAlignment="1">
      <alignment vertical="center" wrapText="1"/>
    </xf>
    <xf numFmtId="165" fontId="26" fillId="0" borderId="13" xfId="2" applyNumberFormat="1" applyFont="1" applyFill="1" applyBorder="1" applyAlignment="1">
      <alignment vertical="center" wrapText="1"/>
    </xf>
    <xf numFmtId="165" fontId="26" fillId="0" borderId="16" xfId="2" applyNumberFormat="1" applyFont="1" applyFill="1" applyBorder="1" applyAlignment="1">
      <alignment vertical="center" wrapText="1"/>
    </xf>
    <xf numFmtId="165" fontId="26" fillId="0" borderId="53" xfId="2" applyNumberFormat="1" applyFont="1" applyFill="1" applyBorder="1" applyAlignment="1">
      <alignment vertical="center" wrapText="1"/>
    </xf>
    <xf numFmtId="165" fontId="26" fillId="0" borderId="11" xfId="2" applyNumberFormat="1" applyFont="1" applyFill="1" applyBorder="1" applyAlignment="1">
      <alignment vertical="center" wrapText="1"/>
    </xf>
    <xf numFmtId="165" fontId="26" fillId="0" borderId="103" xfId="2" applyNumberFormat="1" applyFont="1" applyFill="1" applyBorder="1" applyAlignment="1">
      <alignment vertical="center" wrapText="1"/>
    </xf>
    <xf numFmtId="165" fontId="26" fillId="0" borderId="12" xfId="2" applyNumberFormat="1" applyFont="1" applyFill="1" applyBorder="1" applyAlignment="1">
      <alignment vertical="center"/>
    </xf>
    <xf numFmtId="165" fontId="60" fillId="0" borderId="12" xfId="2" applyNumberFormat="1" applyFont="1" applyFill="1" applyBorder="1" applyAlignment="1">
      <alignment vertical="center"/>
    </xf>
    <xf numFmtId="165" fontId="27" fillId="0" borderId="84" xfId="2" applyNumberFormat="1" applyFont="1" applyFill="1" applyBorder="1" applyAlignment="1">
      <alignment horizontal="center" vertical="center"/>
    </xf>
    <xf numFmtId="165" fontId="26" fillId="0" borderId="145" xfId="2" applyNumberFormat="1" applyFont="1" applyFill="1" applyBorder="1" applyAlignment="1">
      <alignment vertical="center" wrapText="1"/>
    </xf>
    <xf numFmtId="165" fontId="60" fillId="0" borderId="103" xfId="2" applyNumberFormat="1" applyFont="1" applyFill="1" applyBorder="1" applyAlignment="1">
      <alignment vertical="center" wrapText="1"/>
    </xf>
    <xf numFmtId="165" fontId="57" fillId="0" borderId="84" xfId="2" applyNumberFormat="1" applyFont="1" applyFill="1" applyBorder="1" applyAlignment="1">
      <alignment vertical="center" wrapText="1"/>
    </xf>
    <xf numFmtId="165" fontId="27" fillId="7" borderId="136" xfId="2" applyNumberFormat="1" applyFont="1" applyFill="1" applyBorder="1" applyAlignment="1">
      <alignment vertical="center"/>
    </xf>
    <xf numFmtId="165" fontId="26" fillId="0" borderId="31" xfId="2" applyNumberFormat="1" applyFont="1" applyFill="1" applyBorder="1" applyAlignment="1">
      <alignment vertical="center" wrapText="1"/>
    </xf>
    <xf numFmtId="165" fontId="26" fillId="0" borderId="11" xfId="2" applyNumberFormat="1" applyFont="1" applyFill="1" applyBorder="1" applyAlignment="1">
      <alignment vertical="center"/>
    </xf>
    <xf numFmtId="165" fontId="26" fillId="0" borderId="100" xfId="2" applyNumberFormat="1" applyFont="1" applyFill="1" applyBorder="1" applyAlignment="1">
      <alignment vertical="center"/>
    </xf>
    <xf numFmtId="165" fontId="60" fillId="0" borderId="31" xfId="2" applyNumberFormat="1" applyFont="1" applyFill="1" applyBorder="1" applyAlignment="1">
      <alignment vertical="center" wrapText="1"/>
    </xf>
    <xf numFmtId="165" fontId="60" fillId="0" borderId="13" xfId="2" applyNumberFormat="1" applyFont="1" applyFill="1" applyBorder="1" applyAlignment="1">
      <alignment vertical="center" wrapText="1"/>
    </xf>
    <xf numFmtId="165" fontId="57" fillId="7" borderId="136" xfId="2" applyNumberFormat="1" applyFont="1" applyFill="1" applyBorder="1" applyAlignment="1">
      <alignment vertical="center" wrapText="1"/>
    </xf>
    <xf numFmtId="165" fontId="57" fillId="7" borderId="17" xfId="2" applyNumberFormat="1" applyFont="1" applyFill="1" applyBorder="1" applyAlignment="1">
      <alignment vertical="center" wrapText="1"/>
    </xf>
    <xf numFmtId="165" fontId="57" fillId="7" borderId="84" xfId="2" applyNumberFormat="1" applyFont="1" applyFill="1" applyBorder="1" applyAlignment="1">
      <alignment vertical="center" wrapText="1"/>
    </xf>
    <xf numFmtId="165" fontId="57" fillId="7" borderId="50" xfId="2" applyNumberFormat="1" applyFont="1" applyFill="1" applyBorder="1" applyAlignment="1">
      <alignment vertical="center"/>
    </xf>
    <xf numFmtId="165" fontId="27" fillId="0" borderId="17" xfId="2" applyNumberFormat="1" applyFont="1" applyFill="1" applyBorder="1" applyAlignment="1">
      <alignment vertical="center"/>
    </xf>
    <xf numFmtId="165" fontId="27" fillId="0" borderId="136" xfId="2" applyNumberFormat="1" applyFont="1" applyFill="1" applyBorder="1" applyAlignment="1">
      <alignment vertical="center"/>
    </xf>
    <xf numFmtId="165" fontId="27" fillId="0" borderId="101" xfId="2" applyNumberFormat="1" applyFont="1" applyFill="1" applyBorder="1" applyAlignment="1">
      <alignment vertical="center"/>
    </xf>
    <xf numFmtId="165" fontId="27" fillId="0" borderId="99" xfId="2" applyNumberFormat="1" applyFont="1" applyFill="1" applyBorder="1" applyAlignment="1">
      <alignment vertical="center"/>
    </xf>
    <xf numFmtId="165" fontId="27" fillId="0" borderId="47" xfId="2" applyNumberFormat="1" applyFont="1" applyFill="1" applyBorder="1" applyAlignment="1">
      <alignment vertical="center"/>
    </xf>
    <xf numFmtId="165" fontId="27" fillId="0" borderId="46" xfId="2" applyNumberFormat="1" applyFont="1" applyFill="1" applyBorder="1" applyAlignment="1">
      <alignment vertical="center"/>
    </xf>
    <xf numFmtId="165" fontId="27" fillId="0" borderId="13" xfId="2" applyNumberFormat="1" applyFont="1" applyFill="1" applyBorder="1" applyAlignment="1">
      <alignment vertical="center" wrapText="1"/>
    </xf>
    <xf numFmtId="165" fontId="26" fillId="0" borderId="103" xfId="2" applyNumberFormat="1" applyFont="1" applyFill="1" applyBorder="1" applyAlignment="1">
      <alignment vertical="center"/>
    </xf>
    <xf numFmtId="165" fontId="26" fillId="0" borderId="47" xfId="2" applyNumberFormat="1" applyFont="1" applyFill="1" applyBorder="1" applyAlignment="1">
      <alignment vertical="center"/>
    </xf>
    <xf numFmtId="165" fontId="26" fillId="0" borderId="46" xfId="2" applyNumberFormat="1" applyFont="1" applyFill="1" applyBorder="1" applyAlignment="1">
      <alignment vertical="center"/>
    </xf>
    <xf numFmtId="165" fontId="26" fillId="0" borderId="118" xfId="2" applyNumberFormat="1" applyFont="1" applyFill="1" applyBorder="1" applyAlignment="1">
      <alignment vertical="center"/>
    </xf>
    <xf numFmtId="165" fontId="27" fillId="0" borderId="31" xfId="2" applyNumberFormat="1" applyFont="1" applyFill="1" applyBorder="1" applyAlignment="1">
      <alignment vertical="center" wrapText="1"/>
    </xf>
    <xf numFmtId="165" fontId="27" fillId="0" borderId="6" xfId="2" applyNumberFormat="1" applyFont="1" applyFill="1" applyBorder="1" applyAlignment="1">
      <alignment vertical="center" wrapText="1"/>
    </xf>
    <xf numFmtId="165" fontId="27" fillId="7" borderId="136" xfId="2" applyNumberFormat="1" applyFont="1" applyFill="1" applyBorder="1" applyAlignment="1">
      <alignment vertical="center" wrapText="1"/>
    </xf>
    <xf numFmtId="165" fontId="27" fillId="0" borderId="136" xfId="2" applyNumberFormat="1" applyFont="1" applyFill="1" applyBorder="1" applyAlignment="1">
      <alignment vertical="center" wrapText="1"/>
    </xf>
    <xf numFmtId="165" fontId="26" fillId="0" borderId="51" xfId="2" applyNumberFormat="1" applyFont="1" applyFill="1" applyBorder="1" applyAlignment="1">
      <alignment vertical="center"/>
    </xf>
    <xf numFmtId="3" fontId="57" fillId="91" borderId="50" xfId="0" applyNumberFormat="1" applyFont="1" applyFill="1" applyBorder="1" applyAlignment="1">
      <alignment vertical="center"/>
    </xf>
    <xf numFmtId="3" fontId="57" fillId="91" borderId="17" xfId="0" applyNumberFormat="1" applyFont="1" applyFill="1" applyBorder="1" applyAlignment="1">
      <alignment vertical="center" wrapText="1"/>
    </xf>
    <xf numFmtId="3" fontId="140" fillId="0" borderId="17" xfId="0" applyNumberFormat="1" applyFont="1" applyBorder="1" applyAlignment="1">
      <alignment vertical="center" wrapText="1"/>
    </xf>
    <xf numFmtId="3" fontId="140" fillId="0" borderId="45" xfId="0" applyNumberFormat="1" applyFont="1" applyBorder="1" applyAlignment="1">
      <alignment vertical="center" wrapText="1"/>
    </xf>
    <xf numFmtId="0" fontId="57" fillId="91" borderId="50" xfId="0" applyFont="1" applyFill="1" applyBorder="1" applyAlignment="1">
      <alignment vertical="center"/>
    </xf>
    <xf numFmtId="0" fontId="57" fillId="91" borderId="17" xfId="0" applyFont="1" applyFill="1" applyBorder="1" applyAlignment="1">
      <alignment vertical="center" wrapText="1"/>
    </xf>
    <xf numFmtId="3" fontId="57" fillId="91" borderId="51" xfId="0" applyNumberFormat="1" applyFont="1" applyFill="1" applyBorder="1" applyAlignment="1">
      <alignment vertical="center"/>
    </xf>
    <xf numFmtId="3" fontId="57" fillId="91" borderId="19" xfId="0" applyNumberFormat="1" applyFont="1" applyFill="1" applyBorder="1" applyAlignment="1">
      <alignment vertical="center" wrapText="1"/>
    </xf>
    <xf numFmtId="165" fontId="27" fillId="0" borderId="51" xfId="2" applyNumberFormat="1" applyFont="1" applyFill="1" applyBorder="1" applyAlignment="1">
      <alignment vertical="center"/>
    </xf>
    <xf numFmtId="165" fontId="2" fillId="7" borderId="50" xfId="1" applyNumberFormat="1" applyFont="1" applyFill="1" applyBorder="1" applyAlignment="1">
      <alignment horizontal="center" vertical="center" wrapText="1"/>
    </xf>
    <xf numFmtId="165" fontId="2" fillId="7" borderId="50" xfId="1" applyNumberFormat="1" applyFont="1" applyFill="1" applyBorder="1" applyAlignment="1">
      <alignment vertical="center"/>
    </xf>
    <xf numFmtId="165" fontId="2" fillId="7" borderId="17" xfId="1" applyNumberFormat="1" applyFont="1" applyFill="1" applyBorder="1" applyAlignment="1">
      <alignment vertical="center" wrapText="1"/>
    </xf>
    <xf numFmtId="165" fontId="2" fillId="7" borderId="18" xfId="1" applyNumberFormat="1" applyFont="1" applyFill="1" applyBorder="1" applyAlignment="1">
      <alignment vertical="center" wrapText="1"/>
    </xf>
    <xf numFmtId="165" fontId="2" fillId="0" borderId="50" xfId="2" applyNumberFormat="1" applyFont="1" applyFill="1" applyBorder="1" applyAlignment="1">
      <alignment vertical="center" wrapText="1"/>
    </xf>
    <xf numFmtId="165" fontId="2" fillId="0" borderId="17" xfId="2" applyNumberFormat="1" applyFont="1" applyFill="1" applyBorder="1" applyAlignment="1">
      <alignment vertical="center" wrapText="1"/>
    </xf>
    <xf numFmtId="165" fontId="2" fillId="0" borderId="17" xfId="2" applyNumberFormat="1" applyFont="1" applyFill="1" applyBorder="1" applyAlignment="1">
      <alignment horizontal="center" vertical="center"/>
    </xf>
    <xf numFmtId="165" fontId="2" fillId="0" borderId="50" xfId="2" applyNumberFormat="1" applyFont="1" applyBorder="1" applyAlignment="1">
      <alignment vertical="center" wrapText="1"/>
    </xf>
    <xf numFmtId="165" fontId="2" fillId="0" borderId="6" xfId="2" applyNumberFormat="1" applyFont="1" applyBorder="1" applyAlignment="1">
      <alignment vertical="center" wrapText="1"/>
    </xf>
    <xf numFmtId="165" fontId="2" fillId="0" borderId="45" xfId="2" applyNumberFormat="1" applyFont="1" applyBorder="1" applyAlignment="1">
      <alignment vertical="center" wrapText="1"/>
    </xf>
    <xf numFmtId="165" fontId="2" fillId="7" borderId="136" xfId="1" applyNumberFormat="1" applyFont="1" applyFill="1" applyBorder="1" applyAlignment="1">
      <alignment vertical="center"/>
    </xf>
    <xf numFmtId="165" fontId="2" fillId="7" borderId="50" xfId="1" applyNumberFormat="1" applyFont="1" applyFill="1" applyBorder="1" applyAlignment="1">
      <alignment vertical="center" wrapText="1"/>
    </xf>
    <xf numFmtId="165" fontId="2" fillId="7" borderId="45" xfId="1" applyNumberFormat="1" applyFont="1" applyFill="1" applyBorder="1" applyAlignment="1">
      <alignment vertical="center" wrapText="1"/>
    </xf>
    <xf numFmtId="165" fontId="3" fillId="0" borderId="12" xfId="2" applyNumberFormat="1" applyFont="1" applyFill="1" applyBorder="1" applyAlignment="1">
      <alignment vertical="center" wrapText="1"/>
    </xf>
    <xf numFmtId="165" fontId="3" fillId="0" borderId="11" xfId="2" applyNumberFormat="1" applyFont="1" applyFill="1" applyBorder="1" applyAlignment="1">
      <alignment vertical="center" wrapText="1"/>
    </xf>
    <xf numFmtId="165" fontId="3" fillId="0" borderId="13" xfId="2" applyNumberFormat="1" applyFont="1" applyFill="1" applyBorder="1" applyAlignment="1">
      <alignment vertical="center" wrapText="1"/>
    </xf>
    <xf numFmtId="165" fontId="3" fillId="0" borderId="13" xfId="2" applyNumberFormat="1" applyFont="1" applyBorder="1" applyAlignment="1">
      <alignment vertical="center" wrapText="1"/>
    </xf>
    <xf numFmtId="165" fontId="3" fillId="0" borderId="31" xfId="2" applyNumberFormat="1" applyFont="1" applyBorder="1" applyAlignment="1">
      <alignment vertical="center" wrapText="1"/>
    </xf>
    <xf numFmtId="165" fontId="3" fillId="0" borderId="12" xfId="2" applyNumberFormat="1" applyFont="1" applyFill="1" applyBorder="1" applyAlignment="1">
      <alignment vertical="center"/>
    </xf>
    <xf numFmtId="165" fontId="3" fillId="0" borderId="11" xfId="2" applyNumberFormat="1" applyFont="1" applyFill="1" applyBorder="1" applyAlignment="1">
      <alignment vertical="center"/>
    </xf>
    <xf numFmtId="165" fontId="3" fillId="0" borderId="13" xfId="2" applyNumberFormat="1" applyFont="1" applyFill="1" applyBorder="1" applyAlignment="1">
      <alignment vertical="center"/>
    </xf>
    <xf numFmtId="165" fontId="2" fillId="7" borderId="6" xfId="1" applyNumberFormat="1" applyFont="1" applyFill="1" applyBorder="1" applyAlignment="1">
      <alignment vertical="center"/>
    </xf>
    <xf numFmtId="165" fontId="2" fillId="7" borderId="0" xfId="1" applyNumberFormat="1" applyFont="1" applyFill="1" applyBorder="1" applyAlignment="1">
      <alignment vertical="center" wrapText="1"/>
    </xf>
    <xf numFmtId="165" fontId="2" fillId="7" borderId="120" xfId="1" applyNumberFormat="1" applyFont="1" applyFill="1" applyBorder="1" applyAlignment="1">
      <alignment vertical="center" wrapText="1"/>
    </xf>
    <xf numFmtId="165" fontId="27" fillId="0" borderId="120" xfId="2" applyNumberFormat="1" applyFont="1" applyFill="1" applyBorder="1" applyAlignment="1">
      <alignment vertical="center" wrapText="1"/>
    </xf>
    <xf numFmtId="165" fontId="2" fillId="7" borderId="6" xfId="1" applyNumberFormat="1" applyFont="1" applyFill="1" applyBorder="1" applyAlignment="1">
      <alignment vertical="center" wrapText="1"/>
    </xf>
    <xf numFmtId="165" fontId="2" fillId="7" borderId="136" xfId="1" applyNumberFormat="1" applyFont="1" applyFill="1" applyBorder="1" applyAlignment="1">
      <alignment vertical="center" wrapText="1"/>
    </xf>
    <xf numFmtId="165" fontId="2" fillId="7" borderId="115" xfId="1" applyNumberFormat="1" applyFont="1" applyFill="1" applyBorder="1" applyAlignment="1">
      <alignment vertical="center" wrapText="1"/>
    </xf>
    <xf numFmtId="165" fontId="2" fillId="0" borderId="136" xfId="2" applyNumberFormat="1" applyFont="1" applyBorder="1" applyAlignment="1">
      <alignment vertical="center" wrapText="1"/>
    </xf>
    <xf numFmtId="165" fontId="3" fillId="0" borderId="11" xfId="2" applyNumberFormat="1" applyFont="1" applyBorder="1" applyAlignment="1">
      <alignment vertical="center" wrapText="1"/>
    </xf>
    <xf numFmtId="165" fontId="3" fillId="0" borderId="47" xfId="2" applyNumberFormat="1" applyFont="1" applyFill="1" applyBorder="1" applyAlignment="1">
      <alignment vertical="center"/>
    </xf>
    <xf numFmtId="165" fontId="3" fillId="0" borderId="46" xfId="2" applyNumberFormat="1" applyFont="1" applyFill="1" applyBorder="1" applyAlignment="1">
      <alignment vertical="center"/>
    </xf>
    <xf numFmtId="165" fontId="3" fillId="0" borderId="35" xfId="2" applyNumberFormat="1" applyFont="1" applyFill="1" applyBorder="1" applyAlignment="1">
      <alignment vertical="center"/>
    </xf>
    <xf numFmtId="165" fontId="141" fillId="7" borderId="50" xfId="2" applyNumberFormat="1" applyFont="1" applyFill="1" applyBorder="1" applyAlignment="1">
      <alignment vertical="center" wrapText="1"/>
    </xf>
    <xf numFmtId="165" fontId="141" fillId="7" borderId="50" xfId="2" applyNumberFormat="1" applyFont="1" applyFill="1" applyBorder="1" applyAlignment="1">
      <alignment vertical="center"/>
    </xf>
    <xf numFmtId="165" fontId="141" fillId="7" borderId="17" xfId="2" applyNumberFormat="1" applyFont="1" applyFill="1" applyBorder="1" applyAlignment="1">
      <alignment vertical="center" wrapText="1"/>
    </xf>
    <xf numFmtId="165" fontId="141" fillId="7" borderId="84" xfId="2" applyNumberFormat="1" applyFont="1" applyFill="1" applyBorder="1" applyAlignment="1">
      <alignment vertical="center" wrapText="1"/>
    </xf>
    <xf numFmtId="165" fontId="141" fillId="7" borderId="17" xfId="2" applyNumberFormat="1" applyFont="1" applyFill="1" applyBorder="1" applyAlignment="1">
      <alignment vertical="center"/>
    </xf>
    <xf numFmtId="165" fontId="141" fillId="7" borderId="136" xfId="2" applyNumberFormat="1" applyFont="1" applyFill="1" applyBorder="1" applyAlignment="1">
      <alignment vertical="center" wrapText="1"/>
    </xf>
    <xf numFmtId="165" fontId="141" fillId="7" borderId="136" xfId="2" applyNumberFormat="1" applyFont="1" applyFill="1" applyBorder="1" applyAlignment="1">
      <alignment vertical="center"/>
    </xf>
    <xf numFmtId="165" fontId="26" fillId="0" borderId="47" xfId="1" applyNumberFormat="1" applyFont="1" applyBorder="1" applyAlignment="1">
      <alignment vertical="center"/>
    </xf>
    <xf numFmtId="165" fontId="2" fillId="0" borderId="50" xfId="2" applyNumberFormat="1" applyFont="1" applyFill="1" applyBorder="1" applyAlignment="1">
      <alignment horizontal="center" vertical="center" wrapText="1"/>
    </xf>
    <xf numFmtId="165" fontId="2" fillId="0" borderId="50" xfId="2" applyNumberFormat="1" applyFont="1" applyFill="1" applyBorder="1" applyAlignment="1">
      <alignment vertical="center"/>
    </xf>
    <xf numFmtId="165" fontId="2" fillId="0" borderId="95" xfId="2" applyNumberFormat="1" applyFont="1" applyFill="1" applyBorder="1" applyAlignment="1">
      <alignment horizontal="center" vertical="center" wrapText="1"/>
    </xf>
    <xf numFmtId="165" fontId="2" fillId="0" borderId="96" xfId="2" applyNumberFormat="1" applyFont="1" applyFill="1" applyBorder="1" applyAlignment="1">
      <alignment horizontal="center" vertical="center" wrapText="1"/>
    </xf>
    <xf numFmtId="165" fontId="2" fillId="0" borderId="96" xfId="2" applyNumberFormat="1" applyFont="1" applyFill="1" applyBorder="1" applyAlignment="1">
      <alignment vertical="center"/>
    </xf>
    <xf numFmtId="165" fontId="2" fillId="0" borderId="97" xfId="2" applyNumberFormat="1" applyFont="1" applyFill="1" applyBorder="1" applyAlignment="1">
      <alignment vertical="center" wrapText="1"/>
    </xf>
    <xf numFmtId="165" fontId="3" fillId="0" borderId="31" xfId="2" applyNumberFormat="1" applyFont="1" applyFill="1" applyBorder="1" applyAlignment="1">
      <alignment vertical="center" wrapText="1"/>
    </xf>
    <xf numFmtId="165" fontId="2" fillId="0" borderId="147" xfId="2" applyNumberFormat="1" applyFont="1" applyFill="1" applyBorder="1" applyAlignment="1">
      <alignment vertical="center" wrapText="1"/>
    </xf>
    <xf numFmtId="165" fontId="2" fillId="0" borderId="6" xfId="2" applyNumberFormat="1" applyFont="1" applyFill="1" applyBorder="1" applyAlignment="1">
      <alignment vertical="center" wrapText="1"/>
    </xf>
    <xf numFmtId="165" fontId="2" fillId="0" borderId="147" xfId="2" applyNumberFormat="1" applyFont="1" applyFill="1" applyBorder="1" applyAlignment="1">
      <alignment horizontal="center" vertical="center"/>
    </xf>
    <xf numFmtId="165" fontId="2" fillId="0" borderId="151" xfId="2" applyNumberFormat="1" applyFont="1" applyFill="1" applyBorder="1" applyAlignment="1">
      <alignment vertical="center" wrapText="1"/>
    </xf>
    <xf numFmtId="165" fontId="2" fillId="0" borderId="50" xfId="1" applyNumberFormat="1" applyFont="1" applyFill="1" applyBorder="1" applyAlignment="1">
      <alignment vertical="center" wrapText="1"/>
    </xf>
    <xf numFmtId="165" fontId="2" fillId="0" borderId="6" xfId="1" applyNumberFormat="1" applyFont="1" applyFill="1" applyBorder="1" applyAlignment="1">
      <alignment vertical="center" wrapText="1"/>
    </xf>
    <xf numFmtId="165" fontId="2" fillId="0" borderId="45" xfId="1" applyNumberFormat="1" applyFont="1" applyFill="1" applyBorder="1" applyAlignment="1">
      <alignment vertical="center" wrapText="1"/>
    </xf>
    <xf numFmtId="165" fontId="2" fillId="0" borderId="17" xfId="1" applyNumberFormat="1" applyFont="1" applyFill="1" applyBorder="1" applyAlignment="1">
      <alignment vertical="center" wrapText="1"/>
    </xf>
    <xf numFmtId="165" fontId="2" fillId="0" borderId="51" xfId="1" applyNumberFormat="1" applyFont="1" applyFill="1" applyBorder="1" applyAlignment="1">
      <alignment vertical="center" wrapText="1"/>
    </xf>
    <xf numFmtId="165" fontId="2" fillId="0" borderId="136" xfId="1" applyNumberFormat="1" applyFont="1" applyFill="1" applyBorder="1" applyAlignment="1">
      <alignment vertical="center" wrapText="1"/>
    </xf>
    <xf numFmtId="165" fontId="2" fillId="0" borderId="36" xfId="1" applyNumberFormat="1" applyFont="1" applyFill="1" applyBorder="1" applyAlignment="1">
      <alignment vertical="center" wrapText="1"/>
    </xf>
    <xf numFmtId="165" fontId="3" fillId="0" borderId="12" xfId="1" applyNumberFormat="1" applyFont="1" applyFill="1" applyBorder="1" applyAlignment="1">
      <alignment vertical="center" wrapText="1"/>
    </xf>
    <xf numFmtId="165" fontId="3" fillId="0" borderId="11" xfId="1" applyNumberFormat="1" applyFont="1" applyFill="1" applyBorder="1" applyAlignment="1">
      <alignment vertical="center" wrapText="1"/>
    </xf>
    <xf numFmtId="165" fontId="3" fillId="0" borderId="13" xfId="1" applyNumberFormat="1" applyFont="1" applyFill="1" applyBorder="1" applyAlignment="1">
      <alignment vertical="center" wrapText="1"/>
    </xf>
    <xf numFmtId="165" fontId="2" fillId="0" borderId="50" xfId="1" applyNumberFormat="1" applyFont="1" applyFill="1" applyBorder="1" applyAlignment="1">
      <alignment vertical="center"/>
    </xf>
    <xf numFmtId="165" fontId="2" fillId="0" borderId="6" xfId="1" applyNumberFormat="1" applyFont="1" applyFill="1" applyBorder="1" applyAlignment="1">
      <alignment vertical="center"/>
    </xf>
    <xf numFmtId="165" fontId="2" fillId="0" borderId="45" xfId="1" applyNumberFormat="1" applyFont="1" applyFill="1" applyBorder="1" applyAlignment="1">
      <alignment vertical="center"/>
    </xf>
    <xf numFmtId="165" fontId="3" fillId="0" borderId="31" xfId="1" applyNumberFormat="1" applyFont="1" applyFill="1" applyBorder="1" applyAlignment="1">
      <alignment vertical="center" wrapText="1"/>
    </xf>
    <xf numFmtId="165" fontId="3" fillId="0" borderId="47" xfId="1" applyNumberFormat="1" applyFont="1" applyFill="1" applyBorder="1" applyAlignment="1">
      <alignment vertical="center"/>
    </xf>
    <xf numFmtId="165" fontId="3" fillId="0" borderId="46" xfId="1" applyNumberFormat="1" applyFont="1" applyFill="1" applyBorder="1" applyAlignment="1">
      <alignment vertical="center"/>
    </xf>
    <xf numFmtId="165" fontId="3" fillId="0" borderId="35" xfId="1" applyNumberFormat="1" applyFont="1" applyFill="1" applyBorder="1" applyAlignment="1">
      <alignment vertical="center"/>
    </xf>
    <xf numFmtId="165" fontId="2" fillId="0" borderId="94" xfId="2" applyNumberFormat="1" applyFont="1" applyFill="1" applyBorder="1" applyAlignment="1">
      <alignment vertical="center" wrapText="1"/>
    </xf>
    <xf numFmtId="165" fontId="2" fillId="0" borderId="98" xfId="2" applyNumberFormat="1" applyFont="1" applyFill="1" applyBorder="1" applyAlignment="1">
      <alignment horizontal="center" vertical="center"/>
    </xf>
    <xf numFmtId="165" fontId="2" fillId="0" borderId="109" xfId="1" applyNumberFormat="1" applyFont="1" applyFill="1" applyBorder="1" applyAlignment="1">
      <alignment vertical="center" wrapText="1"/>
    </xf>
    <xf numFmtId="165" fontId="2" fillId="0" borderId="84" xfId="1" applyNumberFormat="1" applyFont="1" applyFill="1" applyBorder="1" applyAlignment="1">
      <alignment vertical="center" wrapText="1"/>
    </xf>
    <xf numFmtId="165" fontId="2" fillId="0" borderId="84" xfId="1" applyNumberFormat="1" applyFont="1" applyFill="1" applyBorder="1" applyAlignment="1">
      <alignment vertical="center"/>
    </xf>
    <xf numFmtId="165" fontId="2" fillId="0" borderId="17" xfId="1" applyNumberFormat="1" applyFont="1" applyFill="1" applyBorder="1" applyAlignment="1">
      <alignment vertical="center"/>
    </xf>
    <xf numFmtId="165" fontId="2" fillId="0" borderId="113" xfId="1" applyNumberFormat="1" applyFont="1" applyFill="1" applyBorder="1" applyAlignment="1">
      <alignment vertical="center"/>
    </xf>
    <xf numFmtId="165" fontId="2" fillId="0" borderId="109" xfId="1" applyNumberFormat="1" applyFont="1" applyFill="1" applyBorder="1" applyAlignment="1">
      <alignment vertical="center"/>
    </xf>
    <xf numFmtId="165" fontId="2" fillId="0" borderId="83" xfId="1" applyNumberFormat="1" applyFont="1" applyFill="1" applyBorder="1" applyAlignment="1">
      <alignment vertical="center" wrapText="1"/>
    </xf>
    <xf numFmtId="165" fontId="2" fillId="0" borderId="19" xfId="1" applyNumberFormat="1" applyFont="1" applyFill="1" applyBorder="1" applyAlignment="1">
      <alignment vertical="center" wrapText="1"/>
    </xf>
    <xf numFmtId="165" fontId="2" fillId="0" borderId="101" xfId="1" applyNumberFormat="1" applyFont="1" applyFill="1" applyBorder="1" applyAlignment="1">
      <alignment vertical="center" wrapText="1"/>
    </xf>
    <xf numFmtId="165" fontId="2" fillId="0" borderId="51" xfId="1" applyNumberFormat="1" applyFont="1" applyFill="1" applyBorder="1" applyAlignment="1">
      <alignment vertical="center"/>
    </xf>
    <xf numFmtId="165" fontId="2" fillId="0" borderId="111" xfId="1" applyNumberFormat="1" applyFont="1" applyFill="1" applyBorder="1" applyAlignment="1">
      <alignment vertical="center"/>
    </xf>
    <xf numFmtId="165" fontId="2" fillId="0" borderId="98" xfId="1" applyNumberFormat="1" applyFont="1" applyFill="1" applyBorder="1" applyAlignment="1">
      <alignment vertical="center" wrapText="1"/>
    </xf>
    <xf numFmtId="165" fontId="3" fillId="0" borderId="112" xfId="1" applyNumberFormat="1" applyFont="1" applyFill="1" applyBorder="1" applyAlignment="1">
      <alignment vertical="center" wrapText="1"/>
    </xf>
    <xf numFmtId="165" fontId="3" fillId="0" borderId="84" xfId="1" applyNumberFormat="1" applyFont="1" applyFill="1" applyBorder="1" applyAlignment="1">
      <alignment vertical="center" wrapText="1"/>
    </xf>
    <xf numFmtId="165" fontId="2" fillId="0" borderId="136" xfId="1" applyNumberFormat="1" applyFont="1" applyFill="1" applyBorder="1" applyAlignment="1">
      <alignment vertical="center"/>
    </xf>
    <xf numFmtId="165" fontId="3" fillId="0" borderId="118" xfId="1" applyNumberFormat="1" applyFont="1" applyFill="1" applyBorder="1" applyAlignment="1">
      <alignment vertical="center"/>
    </xf>
    <xf numFmtId="165" fontId="3" fillId="0" borderId="145" xfId="1" applyNumberFormat="1" applyFont="1" applyFill="1" applyBorder="1" applyAlignment="1">
      <alignment vertical="center" wrapText="1"/>
    </xf>
    <xf numFmtId="165" fontId="3" fillId="0" borderId="103" xfId="1" applyNumberFormat="1" applyFont="1" applyFill="1" applyBorder="1" applyAlignment="1">
      <alignment vertical="center" wrapText="1"/>
    </xf>
    <xf numFmtId="165" fontId="2" fillId="0" borderId="101" xfId="1" applyNumberFormat="1" applyFont="1" applyFill="1" applyBorder="1" applyAlignment="1">
      <alignment vertical="center"/>
    </xf>
    <xf numFmtId="165" fontId="2" fillId="0" borderId="136" xfId="2" applyNumberFormat="1" applyFont="1" applyFill="1" applyBorder="1" applyAlignment="1">
      <alignment vertical="center" wrapText="1"/>
    </xf>
    <xf numFmtId="165" fontId="2" fillId="0" borderId="50" xfId="1" applyNumberFormat="1" applyFont="1" applyFill="1" applyBorder="1" applyAlignment="1">
      <alignment horizontal="center" vertical="center" wrapText="1"/>
    </xf>
    <xf numFmtId="165" fontId="2" fillId="0" borderId="85" xfId="1" applyNumberFormat="1" applyFont="1" applyFill="1" applyBorder="1" applyAlignment="1">
      <alignment vertical="center" wrapText="1"/>
    </xf>
    <xf numFmtId="165" fontId="3" fillId="0" borderId="114" xfId="1" applyNumberFormat="1" applyFont="1" applyFill="1" applyBorder="1" applyAlignment="1">
      <alignment vertical="center" wrapText="1"/>
    </xf>
    <xf numFmtId="165" fontId="3" fillId="0" borderId="51" xfId="1" applyNumberFormat="1" applyFont="1" applyFill="1" applyBorder="1" applyAlignment="1">
      <alignment vertical="center"/>
    </xf>
    <xf numFmtId="165" fontId="2" fillId="0" borderId="105" xfId="1" applyNumberFormat="1" applyFont="1" applyFill="1" applyBorder="1" applyAlignment="1">
      <alignment vertical="center" wrapText="1"/>
    </xf>
    <xf numFmtId="165" fontId="2" fillId="0" borderId="108" xfId="1" applyNumberFormat="1" applyFont="1" applyFill="1" applyBorder="1" applyAlignment="1">
      <alignment vertical="center"/>
    </xf>
    <xf numFmtId="165" fontId="2" fillId="0" borderId="98" xfId="1" applyNumberFormat="1" applyFont="1" applyFill="1" applyBorder="1" applyAlignment="1">
      <alignment horizontal="center" vertical="center"/>
    </xf>
    <xf numFmtId="165" fontId="2" fillId="0" borderId="105" xfId="1" applyNumberFormat="1" applyFont="1" applyFill="1" applyBorder="1" applyAlignment="1">
      <alignment vertical="center"/>
    </xf>
    <xf numFmtId="165" fontId="2" fillId="0" borderId="106" xfId="1" applyNumberFormat="1" applyFont="1" applyFill="1" applyBorder="1" applyAlignment="1">
      <alignment vertical="center" wrapText="1"/>
    </xf>
    <xf numFmtId="165" fontId="2" fillId="0" borderId="107" xfId="1" applyNumberFormat="1" applyFont="1" applyFill="1" applyBorder="1" applyAlignment="1">
      <alignment vertical="center" wrapText="1"/>
    </xf>
    <xf numFmtId="165" fontId="2" fillId="0" borderId="107" xfId="1" applyNumberFormat="1" applyFont="1" applyFill="1" applyBorder="1" applyAlignment="1">
      <alignment vertical="center"/>
    </xf>
    <xf numFmtId="165" fontId="2" fillId="0" borderId="115" xfId="1" applyNumberFormat="1" applyFont="1" applyFill="1" applyBorder="1" applyAlignment="1">
      <alignment vertical="center"/>
    </xf>
    <xf numFmtId="165" fontId="2" fillId="0" borderId="0" xfId="1" applyNumberFormat="1" applyFont="1" applyFill="1" applyAlignment="1">
      <alignment vertical="center" wrapText="1"/>
    </xf>
    <xf numFmtId="165" fontId="2" fillId="0" borderId="94" xfId="1" applyNumberFormat="1" applyFont="1" applyFill="1" applyBorder="1" applyAlignment="1">
      <alignment vertical="center" wrapText="1"/>
    </xf>
    <xf numFmtId="165" fontId="148" fillId="0" borderId="99" xfId="1" applyNumberFormat="1" applyFont="1" applyFill="1" applyBorder="1" applyAlignment="1">
      <alignment vertical="center"/>
    </xf>
    <xf numFmtId="165" fontId="148" fillId="0" borderId="50" xfId="1" applyNumberFormat="1" applyFont="1" applyFill="1" applyBorder="1" applyAlignment="1">
      <alignment vertical="center" wrapText="1"/>
    </xf>
    <xf numFmtId="165" fontId="148" fillId="0" borderId="50" xfId="1" applyNumberFormat="1" applyFont="1" applyFill="1" applyBorder="1" applyAlignment="1">
      <alignment vertical="center"/>
    </xf>
    <xf numFmtId="165" fontId="148" fillId="0" borderId="17" xfId="1" applyNumberFormat="1" applyFont="1" applyFill="1" applyBorder="1" applyAlignment="1">
      <alignment vertical="center" wrapText="1"/>
    </xf>
    <xf numFmtId="165" fontId="148" fillId="0" borderId="84" xfId="1" applyNumberFormat="1" applyFont="1" applyFill="1" applyBorder="1" applyAlignment="1">
      <alignment vertical="center" wrapText="1"/>
    </xf>
    <xf numFmtId="165" fontId="148" fillId="0" borderId="17" xfId="1" applyNumberFormat="1" applyFont="1" applyFill="1" applyBorder="1" applyAlignment="1">
      <alignment vertical="center"/>
    </xf>
    <xf numFmtId="165" fontId="148" fillId="0" borderId="84" xfId="1" applyNumberFormat="1" applyFont="1" applyFill="1" applyBorder="1" applyAlignment="1">
      <alignment vertical="center"/>
    </xf>
    <xf numFmtId="165" fontId="3" fillId="0" borderId="53" xfId="1" applyNumberFormat="1" applyFont="1" applyFill="1" applyBorder="1" applyAlignment="1">
      <alignment vertical="center" wrapText="1"/>
    </xf>
    <xf numFmtId="165" fontId="3" fillId="0" borderId="110" xfId="1" applyNumberFormat="1" applyFont="1" applyFill="1" applyBorder="1" applyAlignment="1">
      <alignment vertical="center"/>
    </xf>
    <xf numFmtId="165" fontId="27" fillId="0" borderId="45" xfId="2" applyNumberFormat="1" applyFont="1" applyFill="1" applyBorder="1" applyAlignment="1">
      <alignment horizontal="center" vertical="center"/>
    </xf>
    <xf numFmtId="165" fontId="27" fillId="7" borderId="18" xfId="2" applyNumberFormat="1" applyFont="1" applyFill="1" applyBorder="1" applyAlignment="1">
      <alignment vertical="center" wrapText="1"/>
    </xf>
    <xf numFmtId="165" fontId="27" fillId="7" borderId="104" xfId="2" applyNumberFormat="1" applyFont="1" applyFill="1" applyBorder="1" applyAlignment="1">
      <alignment vertical="center" wrapText="1"/>
    </xf>
    <xf numFmtId="165" fontId="27" fillId="0" borderId="21" xfId="2" applyNumberFormat="1" applyFont="1" applyFill="1" applyBorder="1" applyAlignment="1">
      <alignment vertical="center" wrapText="1"/>
    </xf>
    <xf numFmtId="0" fontId="27" fillId="7" borderId="0" xfId="0" applyFont="1" applyFill="1" applyAlignment="1">
      <alignment wrapText="1"/>
    </xf>
    <xf numFmtId="165" fontId="24" fillId="0" borderId="0" xfId="1" applyNumberFormat="1" applyFont="1" applyBorder="1"/>
    <xf numFmtId="3" fontId="57" fillId="91" borderId="0" xfId="0" applyNumberFormat="1" applyFont="1" applyFill="1" applyAlignment="1">
      <alignment wrapText="1"/>
    </xf>
    <xf numFmtId="165" fontId="37" fillId="0" borderId="0" xfId="1" applyNumberFormat="1" applyFont="1" applyBorder="1"/>
    <xf numFmtId="3" fontId="57" fillId="92" borderId="4" xfId="0" applyNumberFormat="1" applyFont="1" applyFill="1" applyBorder="1" applyAlignment="1">
      <alignment vertical="center"/>
    </xf>
    <xf numFmtId="3" fontId="57" fillId="92" borderId="28" xfId="0" applyNumberFormat="1" applyFont="1" applyFill="1" applyBorder="1" applyAlignment="1">
      <alignment vertical="center"/>
    </xf>
    <xf numFmtId="0" fontId="130" fillId="0" borderId="136" xfId="0" applyFont="1" applyBorder="1"/>
    <xf numFmtId="0" fontId="3" fillId="0" borderId="136" xfId="0" applyFont="1" applyBorder="1" applyAlignment="1">
      <alignment horizontal="left" vertical="center" wrapText="1"/>
    </xf>
    <xf numFmtId="3" fontId="2" fillId="0" borderId="136" xfId="0" applyNumberFormat="1" applyFont="1" applyBorder="1" applyAlignment="1">
      <alignment vertical="center"/>
    </xf>
    <xf numFmtId="165" fontId="3" fillId="21" borderId="139" xfId="1" applyNumberFormat="1" applyFont="1" applyFill="1" applyBorder="1" applyAlignment="1">
      <alignment horizontal="center" vertical="center"/>
    </xf>
    <xf numFmtId="165" fontId="3" fillId="21" borderId="139" xfId="1" applyNumberFormat="1" applyFont="1" applyFill="1" applyBorder="1" applyAlignment="1">
      <alignment horizontal="right" vertical="center"/>
    </xf>
    <xf numFmtId="165" fontId="3" fillId="21" borderId="139" xfId="1" applyNumberFormat="1" applyFont="1" applyFill="1" applyBorder="1" applyAlignment="1">
      <alignment vertical="center"/>
    </xf>
    <xf numFmtId="165" fontId="2" fillId="21" borderId="139" xfId="1" applyNumberFormat="1" applyFont="1" applyFill="1" applyBorder="1" applyAlignment="1">
      <alignment vertical="center"/>
    </xf>
    <xf numFmtId="165" fontId="148" fillId="21" borderId="139" xfId="1" applyNumberFormat="1" applyFont="1" applyFill="1" applyBorder="1" applyAlignment="1">
      <alignment vertical="center"/>
    </xf>
    <xf numFmtId="165" fontId="150" fillId="21" borderId="139" xfId="1" applyNumberFormat="1" applyFont="1" applyFill="1" applyBorder="1" applyAlignment="1">
      <alignment vertical="center"/>
    </xf>
    <xf numFmtId="165" fontId="2" fillId="21" borderId="139" xfId="1" applyNumberFormat="1" applyFont="1" applyFill="1" applyBorder="1" applyAlignment="1">
      <alignment horizontal="right" vertical="center"/>
    </xf>
    <xf numFmtId="0" fontId="10" fillId="0" borderId="136" xfId="0" applyFont="1" applyBorder="1" applyAlignment="1">
      <alignment horizontal="center" vertical="center" wrapText="1"/>
    </xf>
    <xf numFmtId="165" fontId="7" fillId="0" borderId="136" xfId="1" applyNumberFormat="1" applyFont="1" applyFill="1" applyBorder="1" applyAlignment="1">
      <alignment vertical="center"/>
    </xf>
    <xf numFmtId="165" fontId="10" fillId="0" borderId="136" xfId="2" applyNumberFormat="1" applyFont="1" applyFill="1" applyBorder="1" applyAlignment="1">
      <alignment horizontal="center" vertical="center"/>
    </xf>
    <xf numFmtId="165" fontId="10" fillId="0" borderId="136" xfId="1" applyNumberFormat="1" applyFont="1" applyFill="1" applyBorder="1" applyAlignment="1">
      <alignment horizontal="center" vertical="center"/>
    </xf>
    <xf numFmtId="0" fontId="3" fillId="96" borderId="4" xfId="0" applyFont="1" applyFill="1" applyBorder="1" applyAlignment="1">
      <alignment horizontal="center" vertical="center"/>
    </xf>
    <xf numFmtId="165" fontId="57" fillId="102" borderId="0" xfId="0" applyNumberFormat="1" applyFont="1" applyFill="1" applyAlignment="1">
      <alignment vertical="center"/>
    </xf>
    <xf numFmtId="0" fontId="27" fillId="4" borderId="86" xfId="0" applyFont="1" applyFill="1" applyBorder="1" applyAlignment="1">
      <alignment vertical="center"/>
    </xf>
    <xf numFmtId="0" fontId="27" fillId="4" borderId="3" xfId="0" applyFont="1" applyFill="1" applyBorder="1" applyAlignment="1">
      <alignment vertical="center"/>
    </xf>
    <xf numFmtId="0" fontId="3" fillId="96" borderId="4" xfId="0" applyFont="1" applyFill="1" applyBorder="1" applyAlignment="1">
      <alignment horizontal="center" vertical="center" wrapText="1"/>
    </xf>
    <xf numFmtId="3" fontId="57" fillId="101" borderId="4" xfId="0" applyNumberFormat="1" applyFont="1" applyFill="1" applyBorder="1" applyAlignment="1">
      <alignment vertical="center"/>
    </xf>
    <xf numFmtId="3" fontId="57" fillId="102" borderId="4" xfId="0" applyNumberFormat="1" applyFont="1" applyFill="1" applyBorder="1" applyAlignment="1">
      <alignment vertical="center"/>
    </xf>
    <xf numFmtId="0" fontId="3" fillId="99" borderId="35" xfId="0" applyFont="1" applyFill="1" applyBorder="1" applyAlignment="1">
      <alignment vertical="center" wrapText="1"/>
    </xf>
    <xf numFmtId="0" fontId="3" fillId="99" borderId="36" xfId="0" applyFont="1" applyFill="1" applyBorder="1" applyAlignment="1">
      <alignment vertical="center" wrapText="1"/>
    </xf>
    <xf numFmtId="0" fontId="3" fillId="99" borderId="19" xfId="0" applyFont="1" applyFill="1" applyBorder="1" applyAlignment="1">
      <alignment vertical="center" wrapText="1"/>
    </xf>
    <xf numFmtId="0" fontId="3" fillId="99" borderId="13" xfId="0" applyFont="1" applyFill="1" applyBorder="1" applyAlignment="1">
      <alignment horizontal="center" wrapText="1"/>
    </xf>
    <xf numFmtId="0" fontId="3" fillId="99" borderId="35" xfId="0" applyFont="1" applyFill="1" applyBorder="1" applyAlignment="1">
      <alignment horizontal="center" wrapText="1"/>
    </xf>
    <xf numFmtId="0" fontId="3" fillId="99" borderId="16" xfId="0" applyFont="1" applyFill="1" applyBorder="1" applyAlignment="1">
      <alignment horizontal="center" wrapText="1"/>
    </xf>
    <xf numFmtId="0" fontId="3" fillId="99" borderId="14" xfId="0" applyFont="1" applyFill="1" applyBorder="1" applyAlignment="1">
      <alignment horizontal="center" wrapText="1"/>
    </xf>
    <xf numFmtId="0" fontId="3" fillId="99" borderId="123" xfId="0" applyFont="1" applyFill="1" applyBorder="1" applyAlignment="1">
      <alignment horizontal="center" wrapText="1"/>
    </xf>
    <xf numFmtId="0" fontId="2" fillId="4" borderId="45" xfId="25" applyFont="1" applyFill="1" applyBorder="1" applyAlignment="1">
      <alignment horizontal="center" vertical="center"/>
    </xf>
    <xf numFmtId="0" fontId="3" fillId="4" borderId="17" xfId="25" applyFont="1" applyFill="1" applyBorder="1" applyAlignment="1">
      <alignment horizontal="left" vertical="center" wrapText="1"/>
    </xf>
    <xf numFmtId="0" fontId="3" fillId="4" borderId="13" xfId="25" applyFont="1" applyFill="1" applyBorder="1" applyAlignment="1">
      <alignment horizontal="center" vertical="center"/>
    </xf>
    <xf numFmtId="0" fontId="3" fillId="4" borderId="31" xfId="25" applyFont="1" applyFill="1" applyBorder="1" applyAlignment="1">
      <alignment vertical="center" wrapText="1"/>
    </xf>
    <xf numFmtId="0" fontId="3" fillId="4" borderId="31" xfId="25" applyFont="1" applyFill="1" applyBorder="1" applyAlignment="1">
      <alignment vertical="center"/>
    </xf>
    <xf numFmtId="0" fontId="3" fillId="30" borderId="13" xfId="25" applyFont="1" applyFill="1" applyBorder="1" applyAlignment="1">
      <alignment horizontal="center" vertical="center"/>
    </xf>
    <xf numFmtId="0" fontId="3" fillId="30" borderId="31" xfId="25" applyFont="1" applyFill="1" applyBorder="1" applyAlignment="1">
      <alignment vertical="center" wrapText="1"/>
    </xf>
    <xf numFmtId="165" fontId="3" fillId="30" borderId="12" xfId="2" applyNumberFormat="1" applyFont="1" applyFill="1" applyBorder="1" applyAlignment="1">
      <alignment vertical="center" wrapText="1"/>
    </xf>
    <xf numFmtId="165" fontId="3" fillId="30" borderId="11" xfId="2" applyNumberFormat="1" applyFont="1" applyFill="1" applyBorder="1" applyAlignment="1">
      <alignment vertical="center" wrapText="1"/>
    </xf>
    <xf numFmtId="165" fontId="3" fillId="30" borderId="13" xfId="2" applyNumberFormat="1" applyFont="1" applyFill="1" applyBorder="1" applyAlignment="1">
      <alignment vertical="center" wrapText="1"/>
    </xf>
    <xf numFmtId="0" fontId="3" fillId="100" borderId="13" xfId="25" applyFont="1" applyFill="1" applyBorder="1" applyAlignment="1">
      <alignment horizontal="center" vertical="center"/>
    </xf>
    <xf numFmtId="0" fontId="3" fillId="100" borderId="31" xfId="25" applyFont="1" applyFill="1" applyBorder="1" applyAlignment="1">
      <alignment vertical="center" wrapText="1"/>
    </xf>
    <xf numFmtId="165" fontId="3" fillId="100" borderId="12" xfId="2" applyNumberFormat="1" applyFont="1" applyFill="1" applyBorder="1" applyAlignment="1">
      <alignment vertical="center" wrapText="1"/>
    </xf>
    <xf numFmtId="165" fontId="3" fillId="100" borderId="11" xfId="2" applyNumberFormat="1" applyFont="1" applyFill="1" applyBorder="1" applyAlignment="1">
      <alignment vertical="center" wrapText="1"/>
    </xf>
    <xf numFmtId="165" fontId="3" fillId="100" borderId="13" xfId="2" applyNumberFormat="1" applyFont="1" applyFill="1" applyBorder="1" applyAlignment="1">
      <alignment vertical="center" wrapText="1"/>
    </xf>
    <xf numFmtId="165" fontId="3" fillId="103" borderId="12" xfId="2" applyNumberFormat="1" applyFont="1" applyFill="1" applyBorder="1" applyAlignment="1">
      <alignment vertical="center" wrapText="1"/>
    </xf>
    <xf numFmtId="165" fontId="2" fillId="104" borderId="45" xfId="2" applyNumberFormat="1" applyFont="1" applyFill="1" applyBorder="1" applyAlignment="1">
      <alignment vertical="center" wrapText="1"/>
    </xf>
    <xf numFmtId="165" fontId="3" fillId="104" borderId="12" xfId="2" applyNumberFormat="1" applyFont="1" applyFill="1" applyBorder="1" applyAlignment="1">
      <alignment vertical="center" wrapText="1"/>
    </xf>
    <xf numFmtId="165" fontId="2" fillId="104" borderId="45" xfId="2" applyNumberFormat="1" applyFont="1" applyFill="1" applyBorder="1" applyAlignment="1">
      <alignment vertical="center"/>
    </xf>
    <xf numFmtId="165" fontId="3" fillId="104" borderId="13" xfId="2" applyNumberFormat="1" applyFont="1" applyFill="1" applyBorder="1" applyAlignment="1">
      <alignment vertical="center" wrapText="1"/>
    </xf>
    <xf numFmtId="0" fontId="54" fillId="95" borderId="13" xfId="0" applyFont="1" applyFill="1" applyBorder="1"/>
    <xf numFmtId="0" fontId="3" fillId="99" borderId="42" xfId="0" applyFont="1" applyFill="1" applyBorder="1" applyAlignment="1">
      <alignment vertical="center" wrapText="1"/>
    </xf>
    <xf numFmtId="0" fontId="3" fillId="99" borderId="47" xfId="0" applyFont="1" applyFill="1" applyBorder="1" applyAlignment="1">
      <alignment vertical="center" wrapText="1"/>
    </xf>
    <xf numFmtId="0" fontId="3" fillId="99" borderId="51" xfId="0" applyFont="1" applyFill="1" applyBorder="1" applyAlignment="1">
      <alignment horizontal="center" wrapText="1"/>
    </xf>
    <xf numFmtId="0" fontId="3" fillId="99" borderId="36" xfId="0" applyFont="1" applyFill="1" applyBorder="1" applyAlignment="1">
      <alignment horizontal="center" wrapText="1"/>
    </xf>
    <xf numFmtId="0" fontId="2" fillId="23" borderId="45" xfId="25" applyFont="1" applyFill="1" applyBorder="1" applyAlignment="1">
      <alignment horizontal="center" vertical="center"/>
    </xf>
    <xf numFmtId="0" fontId="3" fillId="23" borderId="17" xfId="25" applyFont="1" applyFill="1" applyBorder="1" applyAlignment="1">
      <alignment horizontal="left" vertical="center" wrapText="1"/>
    </xf>
    <xf numFmtId="0" fontId="2" fillId="4" borderId="17" xfId="25" applyFont="1" applyFill="1" applyBorder="1" applyAlignment="1">
      <alignment horizontal="center" vertical="center"/>
    </xf>
    <xf numFmtId="0" fontId="154" fillId="4" borderId="0" xfId="0" applyFont="1" applyFill="1" applyAlignment="1">
      <alignment vertical="center" wrapText="1"/>
    </xf>
    <xf numFmtId="165" fontId="3" fillId="4" borderId="13" xfId="25" applyNumberFormat="1" applyFont="1" applyFill="1" applyBorder="1" applyAlignment="1">
      <alignment horizontal="center" vertical="center"/>
    </xf>
    <xf numFmtId="165" fontId="3" fillId="30" borderId="12" xfId="1" applyNumberFormat="1" applyFont="1" applyFill="1" applyBorder="1" applyAlignment="1">
      <alignment vertical="center" wrapText="1"/>
    </xf>
    <xf numFmtId="165" fontId="3" fillId="30" borderId="11" xfId="1" applyNumberFormat="1" applyFont="1" applyFill="1" applyBorder="1" applyAlignment="1">
      <alignment vertical="center" wrapText="1"/>
    </xf>
    <xf numFmtId="165" fontId="3" fillId="30" borderId="13" xfId="1" applyNumberFormat="1" applyFont="1" applyFill="1" applyBorder="1" applyAlignment="1">
      <alignment vertical="center" wrapText="1"/>
    </xf>
    <xf numFmtId="165" fontId="3" fillId="30" borderId="12" xfId="1" applyNumberFormat="1" applyFont="1" applyFill="1" applyBorder="1" applyAlignment="1">
      <alignment vertical="center"/>
    </xf>
    <xf numFmtId="165" fontId="3" fillId="30" borderId="11" xfId="1" applyNumberFormat="1" applyFont="1" applyFill="1" applyBorder="1" applyAlignment="1">
      <alignment vertical="center"/>
    </xf>
    <xf numFmtId="165" fontId="3" fillId="30" borderId="13" xfId="1" applyNumberFormat="1" applyFont="1" applyFill="1" applyBorder="1" applyAlignment="1">
      <alignment vertical="center"/>
    </xf>
    <xf numFmtId="0" fontId="3" fillId="4" borderId="42" xfId="25" applyFont="1" applyFill="1" applyBorder="1" applyAlignment="1">
      <alignment vertical="center"/>
    </xf>
    <xf numFmtId="0" fontId="3" fillId="4" borderId="35" xfId="25" applyFont="1" applyFill="1" applyBorder="1" applyAlignment="1">
      <alignment horizontal="center" vertical="center"/>
    </xf>
    <xf numFmtId="165" fontId="2" fillId="103" borderId="101" xfId="2" applyNumberFormat="1" applyFont="1" applyFill="1" applyBorder="1" applyAlignment="1">
      <alignment horizontal="center" vertical="center"/>
    </xf>
    <xf numFmtId="165" fontId="2" fillId="103" borderId="50" xfId="1" applyNumberFormat="1" applyFont="1" applyFill="1" applyBorder="1" applyAlignment="1">
      <alignment vertical="center" wrapText="1"/>
    </xf>
    <xf numFmtId="165" fontId="3" fillId="103" borderId="13" xfId="1" applyNumberFormat="1" applyFont="1" applyFill="1" applyBorder="1" applyAlignment="1">
      <alignment vertical="center" wrapText="1"/>
    </xf>
    <xf numFmtId="165" fontId="3" fillId="103" borderId="47" xfId="1" applyNumberFormat="1" applyFont="1" applyFill="1" applyBorder="1" applyAlignment="1">
      <alignment vertical="center"/>
    </xf>
    <xf numFmtId="165" fontId="2" fillId="104" borderId="153" xfId="2" applyNumberFormat="1" applyFont="1" applyFill="1" applyBorder="1" applyAlignment="1">
      <alignment vertical="center" wrapText="1"/>
    </xf>
    <xf numFmtId="165" fontId="3" fillId="104" borderId="12" xfId="1" applyNumberFormat="1" applyFont="1" applyFill="1" applyBorder="1" applyAlignment="1">
      <alignment vertical="center" wrapText="1"/>
    </xf>
    <xf numFmtId="165" fontId="2" fillId="104" borderId="50" xfId="1" applyNumberFormat="1" applyFont="1" applyFill="1" applyBorder="1" applyAlignment="1">
      <alignment vertical="center" wrapText="1"/>
    </xf>
    <xf numFmtId="165" fontId="3" fillId="104" borderId="47" xfId="1" applyNumberFormat="1" applyFont="1" applyFill="1" applyBorder="1" applyAlignment="1">
      <alignment vertical="center"/>
    </xf>
    <xf numFmtId="165" fontId="2" fillId="104" borderId="151" xfId="2" applyNumberFormat="1" applyFont="1" applyFill="1" applyBorder="1" applyAlignment="1">
      <alignment vertical="center"/>
    </xf>
    <xf numFmtId="165" fontId="3" fillId="104" borderId="13" xfId="1" applyNumberFormat="1" applyFont="1" applyFill="1" applyBorder="1" applyAlignment="1">
      <alignment vertical="center" wrapText="1"/>
    </xf>
    <xf numFmtId="165" fontId="2" fillId="104" borderId="45" xfId="1" applyNumberFormat="1" applyFont="1" applyFill="1" applyBorder="1" applyAlignment="1">
      <alignment vertical="center" wrapText="1"/>
    </xf>
    <xf numFmtId="165" fontId="3" fillId="104" borderId="35" xfId="1" applyNumberFormat="1" applyFont="1" applyFill="1" applyBorder="1" applyAlignment="1">
      <alignment vertical="center"/>
    </xf>
    <xf numFmtId="0" fontId="2" fillId="4" borderId="45" xfId="25" applyFont="1" applyFill="1" applyBorder="1" applyAlignment="1">
      <alignment horizontal="center"/>
    </xf>
    <xf numFmtId="0" fontId="3" fillId="4" borderId="17" xfId="25" applyFont="1" applyFill="1" applyBorder="1" applyAlignment="1">
      <alignment horizontal="left" wrapText="1"/>
    </xf>
    <xf numFmtId="0" fontId="3" fillId="4" borderId="13" xfId="25" applyFont="1" applyFill="1" applyBorder="1" applyAlignment="1">
      <alignment horizontal="center"/>
    </xf>
    <xf numFmtId="0" fontId="3" fillId="4" borderId="13" xfId="25" applyFont="1" applyFill="1" applyBorder="1" applyAlignment="1">
      <alignment vertical="center"/>
    </xf>
    <xf numFmtId="0" fontId="3" fillId="4" borderId="35" xfId="25" applyFont="1" applyFill="1" applyBorder="1" applyAlignment="1">
      <alignment horizontal="center"/>
    </xf>
    <xf numFmtId="165" fontId="2" fillId="104" borderId="98" xfId="2" applyNumberFormat="1" applyFont="1" applyFill="1" applyBorder="1" applyAlignment="1">
      <alignment vertical="center" wrapText="1"/>
    </xf>
    <xf numFmtId="165" fontId="3" fillId="104" borderId="103" xfId="1" applyNumberFormat="1" applyFont="1" applyFill="1" applyBorder="1" applyAlignment="1">
      <alignment vertical="center" wrapText="1"/>
    </xf>
    <xf numFmtId="165" fontId="2" fillId="104" borderId="84" xfId="1" applyNumberFormat="1" applyFont="1" applyFill="1" applyBorder="1" applyAlignment="1">
      <alignment vertical="center" wrapText="1"/>
    </xf>
    <xf numFmtId="0" fontId="3" fillId="30" borderId="13" xfId="25" applyFont="1" applyFill="1" applyBorder="1" applyAlignment="1">
      <alignment horizontal="center"/>
    </xf>
    <xf numFmtId="165" fontId="3" fillId="30" borderId="145" xfId="1" applyNumberFormat="1" applyFont="1" applyFill="1" applyBorder="1" applyAlignment="1">
      <alignment vertical="center" wrapText="1"/>
    </xf>
    <xf numFmtId="165" fontId="3" fillId="30" borderId="103" xfId="1" applyNumberFormat="1" applyFont="1" applyFill="1" applyBorder="1" applyAlignment="1">
      <alignment vertical="center" wrapText="1"/>
    </xf>
    <xf numFmtId="165" fontId="2" fillId="103" borderId="50" xfId="2" applyNumberFormat="1" applyFont="1" applyFill="1" applyBorder="1" applyAlignment="1">
      <alignment vertical="center" wrapText="1"/>
    </xf>
    <xf numFmtId="165" fontId="2" fillId="104" borderId="50" xfId="2" applyNumberFormat="1" applyFont="1" applyFill="1" applyBorder="1" applyAlignment="1">
      <alignment vertical="center" wrapText="1"/>
    </xf>
    <xf numFmtId="165" fontId="3" fillId="103" borderId="13" xfId="2" applyNumberFormat="1" applyFont="1" applyFill="1" applyBorder="1" applyAlignment="1">
      <alignment vertical="center" wrapText="1"/>
    </xf>
    <xf numFmtId="165" fontId="3" fillId="103" borderId="47" xfId="2" applyNumberFormat="1" applyFont="1" applyFill="1" applyBorder="1" applyAlignment="1">
      <alignment vertical="center"/>
    </xf>
    <xf numFmtId="165" fontId="3" fillId="103" borderId="12" xfId="2" applyNumberFormat="1" applyFont="1" applyFill="1" applyBorder="1" applyAlignment="1">
      <alignment vertical="center"/>
    </xf>
    <xf numFmtId="165" fontId="3" fillId="30" borderId="13" xfId="2" applyNumberFormat="1" applyFont="1" applyFill="1" applyBorder="1" applyAlignment="1">
      <alignment vertical="center"/>
    </xf>
    <xf numFmtId="165" fontId="3" fillId="104" borderId="35" xfId="2" applyNumberFormat="1" applyFont="1" applyFill="1" applyBorder="1" applyAlignment="1">
      <alignment vertical="center"/>
    </xf>
    <xf numFmtId="165" fontId="3" fillId="104" borderId="13" xfId="2" applyNumberFormat="1" applyFont="1" applyFill="1" applyBorder="1" applyAlignment="1">
      <alignment vertical="center"/>
    </xf>
    <xf numFmtId="165" fontId="3" fillId="104" borderId="12" xfId="2" applyNumberFormat="1" applyFont="1" applyFill="1" applyBorder="1" applyAlignment="1">
      <alignment vertical="center"/>
    </xf>
    <xf numFmtId="165" fontId="3" fillId="30" borderId="12" xfId="2" applyNumberFormat="1" applyFont="1" applyFill="1" applyBorder="1" applyAlignment="1">
      <alignment vertical="center"/>
    </xf>
    <xf numFmtId="165" fontId="3" fillId="30" borderId="11" xfId="2" applyNumberFormat="1" applyFont="1" applyFill="1" applyBorder="1" applyAlignment="1">
      <alignment vertical="center"/>
    </xf>
    <xf numFmtId="165" fontId="2" fillId="103" borderId="45" xfId="1" applyNumberFormat="1" applyFont="1" applyFill="1" applyBorder="1" applyAlignment="1">
      <alignment horizontal="center" vertical="center"/>
    </xf>
    <xf numFmtId="165" fontId="3" fillId="30" borderId="103" xfId="1" applyNumberFormat="1" applyFont="1" applyFill="1" applyBorder="1" applyAlignment="1">
      <alignment vertical="center"/>
    </xf>
    <xf numFmtId="165" fontId="2" fillId="104" borderId="18" xfId="2" applyNumberFormat="1" applyFont="1" applyFill="1" applyBorder="1" applyAlignment="1">
      <alignment vertical="center"/>
    </xf>
    <xf numFmtId="0" fontId="2" fillId="4" borderId="35" xfId="25" applyFont="1" applyFill="1" applyBorder="1" applyAlignment="1">
      <alignment horizontal="center" vertical="center"/>
    </xf>
    <xf numFmtId="0" fontId="2" fillId="4" borderId="13" xfId="25" applyFont="1" applyFill="1" applyBorder="1" applyAlignment="1">
      <alignment horizontal="center" vertical="center"/>
    </xf>
    <xf numFmtId="0" fontId="54" fillId="95" borderId="13" xfId="0" applyFont="1" applyFill="1" applyBorder="1" applyAlignment="1">
      <alignment vertical="center"/>
    </xf>
    <xf numFmtId="165" fontId="3" fillId="104" borderId="46" xfId="1" applyNumberFormat="1" applyFont="1" applyFill="1" applyBorder="1" applyAlignment="1">
      <alignment vertical="center"/>
    </xf>
    <xf numFmtId="0" fontId="68" fillId="99" borderId="42" xfId="25" applyFont="1" applyFill="1" applyBorder="1" applyAlignment="1">
      <alignment horizontal="center" wrapText="1"/>
    </xf>
    <xf numFmtId="0" fontId="68" fillId="99" borderId="19" xfId="25" applyFont="1" applyFill="1" applyBorder="1" applyAlignment="1">
      <alignment horizontal="center" wrapText="1"/>
    </xf>
    <xf numFmtId="0" fontId="26" fillId="99" borderId="19" xfId="25" applyFont="1" applyFill="1" applyBorder="1" applyAlignment="1">
      <alignment horizontal="center" wrapText="1"/>
    </xf>
    <xf numFmtId="0" fontId="26" fillId="99" borderId="13" xfId="0" applyFont="1" applyFill="1" applyBorder="1" applyAlignment="1">
      <alignment horizontal="center" wrapText="1"/>
    </xf>
    <xf numFmtId="0" fontId="26" fillId="99" borderId="35" xfId="0" applyFont="1" applyFill="1" applyBorder="1" applyAlignment="1">
      <alignment horizontal="center" wrapText="1"/>
    </xf>
    <xf numFmtId="0" fontId="26" fillId="99" borderId="42" xfId="0" applyFont="1" applyFill="1" applyBorder="1" applyAlignment="1">
      <alignment horizontal="center" wrapText="1"/>
    </xf>
    <xf numFmtId="0" fontId="26" fillId="99" borderId="47" xfId="0" applyFont="1" applyFill="1" applyBorder="1" applyAlignment="1">
      <alignment horizontal="center" wrapText="1"/>
    </xf>
    <xf numFmtId="0" fontId="68" fillId="99" borderId="53" xfId="25" applyFont="1" applyFill="1" applyBorder="1" applyAlignment="1">
      <alignment horizontal="center" wrapText="1"/>
    </xf>
    <xf numFmtId="0" fontId="26" fillId="99" borderId="16" xfId="0" applyFont="1" applyFill="1" applyBorder="1" applyAlignment="1">
      <alignment horizontal="center" wrapText="1"/>
    </xf>
    <xf numFmtId="0" fontId="26" fillId="99" borderId="53" xfId="0" applyFont="1" applyFill="1" applyBorder="1" applyAlignment="1">
      <alignment horizontal="center" wrapText="1"/>
    </xf>
    <xf numFmtId="0" fontId="26" fillId="99" borderId="14" xfId="0" applyFont="1" applyFill="1" applyBorder="1" applyAlignment="1">
      <alignment horizontal="center" wrapText="1"/>
    </xf>
    <xf numFmtId="0" fontId="26" fillId="99" borderId="19" xfId="25" applyFont="1" applyFill="1" applyBorder="1" applyAlignment="1">
      <alignment horizontal="center" vertical="center" wrapText="1"/>
    </xf>
    <xf numFmtId="0" fontId="27" fillId="4" borderId="45" xfId="25" applyFont="1" applyFill="1" applyBorder="1" applyAlignment="1">
      <alignment horizontal="center"/>
    </xf>
    <xf numFmtId="0" fontId="26" fillId="4" borderId="17" xfId="25" applyFont="1" applyFill="1" applyBorder="1" applyAlignment="1">
      <alignment horizontal="left" vertical="center" wrapText="1"/>
    </xf>
    <xf numFmtId="0" fontId="26" fillId="4" borderId="13" xfId="25" applyFont="1" applyFill="1" applyBorder="1" applyAlignment="1">
      <alignment horizontal="center" vertical="center"/>
    </xf>
    <xf numFmtId="0" fontId="27" fillId="4" borderId="45" xfId="25" applyFont="1" applyFill="1" applyBorder="1" applyAlignment="1">
      <alignment horizontal="center" vertical="center"/>
    </xf>
    <xf numFmtId="165" fontId="2" fillId="103" borderId="45" xfId="2" applyNumberFormat="1" applyFont="1" applyFill="1" applyBorder="1" applyAlignment="1">
      <alignment horizontal="center" vertical="center"/>
    </xf>
    <xf numFmtId="165" fontId="26" fillId="103" borderId="12" xfId="2" applyNumberFormat="1" applyFont="1" applyFill="1" applyBorder="1" applyAlignment="1">
      <alignment vertical="center" wrapText="1"/>
    </xf>
    <xf numFmtId="165" fontId="27" fillId="103" borderId="50" xfId="2" applyNumberFormat="1" applyFont="1" applyFill="1" applyBorder="1" applyAlignment="1">
      <alignment vertical="center" wrapText="1"/>
    </xf>
    <xf numFmtId="165" fontId="27" fillId="104" borderId="45" xfId="2" applyNumberFormat="1" applyFont="1" applyFill="1" applyBorder="1" applyAlignment="1">
      <alignment vertical="center" wrapText="1"/>
    </xf>
    <xf numFmtId="165" fontId="26" fillId="104" borderId="12" xfId="2" applyNumberFormat="1" applyFont="1" applyFill="1" applyBorder="1" applyAlignment="1">
      <alignment vertical="center" wrapText="1"/>
    </xf>
    <xf numFmtId="165" fontId="27" fillId="104" borderId="50" xfId="2" applyNumberFormat="1" applyFont="1" applyFill="1" applyBorder="1" applyAlignment="1">
      <alignment vertical="center" wrapText="1"/>
    </xf>
    <xf numFmtId="165" fontId="27" fillId="104" borderId="28" xfId="2" applyNumberFormat="1" applyFont="1" applyFill="1" applyBorder="1" applyAlignment="1">
      <alignment vertical="center"/>
    </xf>
    <xf numFmtId="0" fontId="26" fillId="30" borderId="13" xfId="25" applyFont="1" applyFill="1" applyBorder="1" applyAlignment="1">
      <alignment horizontal="center" vertical="center"/>
    </xf>
    <xf numFmtId="165" fontId="26" fillId="30" borderId="12" xfId="2" applyNumberFormat="1" applyFont="1" applyFill="1" applyBorder="1" applyAlignment="1">
      <alignment vertical="center" wrapText="1"/>
    </xf>
    <xf numFmtId="165" fontId="26" fillId="30" borderId="13" xfId="2" applyNumberFormat="1" applyFont="1" applyFill="1" applyBorder="1" applyAlignment="1">
      <alignment vertical="center" wrapText="1"/>
    </xf>
    <xf numFmtId="0" fontId="26" fillId="99" borderId="46" xfId="0" applyFont="1" applyFill="1" applyBorder="1" applyAlignment="1">
      <alignment horizontal="center" wrapText="1"/>
    </xf>
    <xf numFmtId="0" fontId="27" fillId="4" borderId="18" xfId="25" applyFont="1" applyFill="1" applyBorder="1" applyAlignment="1">
      <alignment horizontal="center" vertical="center"/>
    </xf>
    <xf numFmtId="0" fontId="138" fillId="4" borderId="0" xfId="0" applyFont="1" applyFill="1" applyAlignment="1">
      <alignment vertical="center" wrapText="1"/>
    </xf>
    <xf numFmtId="165" fontId="26" fillId="103" borderId="13" xfId="2" applyNumberFormat="1" applyFont="1" applyFill="1" applyBorder="1" applyAlignment="1">
      <alignment vertical="center" wrapText="1"/>
    </xf>
    <xf numFmtId="165" fontId="26" fillId="103" borderId="12" xfId="2" applyNumberFormat="1" applyFont="1" applyFill="1" applyBorder="1" applyAlignment="1">
      <alignment vertical="center"/>
    </xf>
    <xf numFmtId="165" fontId="27" fillId="104" borderId="84" xfId="2" applyNumberFormat="1" applyFont="1" applyFill="1" applyBorder="1" applyAlignment="1">
      <alignment vertical="center" wrapText="1"/>
    </xf>
    <xf numFmtId="165" fontId="60" fillId="104" borderId="12" xfId="2" applyNumberFormat="1" applyFont="1" applyFill="1" applyBorder="1" applyAlignment="1">
      <alignment vertical="center" wrapText="1"/>
    </xf>
    <xf numFmtId="165" fontId="57" fillId="104" borderId="50" xfId="2" applyNumberFormat="1" applyFont="1" applyFill="1" applyBorder="1" applyAlignment="1">
      <alignment vertical="center" wrapText="1"/>
    </xf>
    <xf numFmtId="165" fontId="60" fillId="104" borderId="12" xfId="2" applyNumberFormat="1" applyFont="1" applyFill="1" applyBorder="1" applyAlignment="1">
      <alignment vertical="center"/>
    </xf>
    <xf numFmtId="165" fontId="27" fillId="104" borderId="104" xfId="2" applyNumberFormat="1" applyFont="1" applyFill="1" applyBorder="1" applyAlignment="1">
      <alignment vertical="center" wrapText="1"/>
    </xf>
    <xf numFmtId="165" fontId="26" fillId="104" borderId="16" xfId="2" applyNumberFormat="1" applyFont="1" applyFill="1" applyBorder="1" applyAlignment="1">
      <alignment vertical="center" wrapText="1"/>
    </xf>
    <xf numFmtId="165" fontId="26" fillId="104" borderId="12" xfId="2" applyNumberFormat="1" applyFont="1" applyFill="1" applyBorder="1" applyAlignment="1">
      <alignment vertical="center"/>
    </xf>
    <xf numFmtId="3" fontId="57" fillId="91" borderId="150" xfId="0" applyNumberFormat="1" applyFont="1" applyFill="1" applyBorder="1" applyAlignment="1">
      <alignment vertical="center" wrapText="1"/>
    </xf>
    <xf numFmtId="165" fontId="26" fillId="0" borderId="155" xfId="2" applyNumberFormat="1" applyFont="1" applyFill="1" applyBorder="1" applyAlignment="1">
      <alignment vertical="center" wrapText="1"/>
    </xf>
    <xf numFmtId="3" fontId="57" fillId="91" borderId="115" xfId="0" applyNumberFormat="1" applyFont="1" applyFill="1" applyBorder="1" applyAlignment="1">
      <alignment vertical="center" wrapText="1"/>
    </xf>
    <xf numFmtId="165" fontId="26" fillId="0" borderId="14" xfId="2" applyNumberFormat="1" applyFont="1" applyFill="1" applyBorder="1" applyAlignment="1">
      <alignment vertical="center" wrapText="1"/>
    </xf>
    <xf numFmtId="165" fontId="27" fillId="104" borderId="18" xfId="2" applyNumberFormat="1" applyFont="1" applyFill="1" applyBorder="1" applyAlignment="1">
      <alignment vertical="center" wrapText="1"/>
    </xf>
    <xf numFmtId="165" fontId="60" fillId="104" borderId="13" xfId="2" applyNumberFormat="1" applyFont="1" applyFill="1" applyBorder="1" applyAlignment="1">
      <alignment vertical="center" wrapText="1"/>
    </xf>
    <xf numFmtId="165" fontId="57" fillId="104" borderId="45" xfId="2" applyNumberFormat="1" applyFont="1" applyFill="1" applyBorder="1" applyAlignment="1">
      <alignment vertical="center" wrapText="1"/>
    </xf>
    <xf numFmtId="165" fontId="57" fillId="104" borderId="152" xfId="2" applyNumberFormat="1" applyFont="1" applyFill="1" applyBorder="1" applyAlignment="1">
      <alignment vertical="center" wrapText="1"/>
    </xf>
    <xf numFmtId="165" fontId="60" fillId="104" borderId="16" xfId="2" applyNumberFormat="1" applyFont="1" applyFill="1" applyBorder="1" applyAlignment="1">
      <alignment vertical="center" wrapText="1"/>
    </xf>
    <xf numFmtId="165" fontId="60" fillId="104" borderId="13" xfId="2" applyNumberFormat="1" applyFont="1" applyFill="1" applyBorder="1" applyAlignment="1">
      <alignment vertical="center"/>
    </xf>
    <xf numFmtId="165" fontId="27" fillId="104" borderId="18" xfId="2" applyNumberFormat="1" applyFont="1" applyFill="1" applyBorder="1" applyAlignment="1">
      <alignment vertical="center"/>
    </xf>
    <xf numFmtId="165" fontId="26" fillId="104" borderId="13" xfId="2" applyNumberFormat="1" applyFont="1" applyFill="1" applyBorder="1" applyAlignment="1">
      <alignment vertical="center" wrapText="1"/>
    </xf>
    <xf numFmtId="165" fontId="27" fillId="104" borderId="152" xfId="2" applyNumberFormat="1" applyFont="1" applyFill="1" applyBorder="1" applyAlignment="1">
      <alignment vertical="center" wrapText="1"/>
    </xf>
    <xf numFmtId="165" fontId="26" fillId="104" borderId="13" xfId="2" applyNumberFormat="1" applyFont="1" applyFill="1" applyBorder="1" applyAlignment="1">
      <alignment vertical="center"/>
    </xf>
    <xf numFmtId="165" fontId="26" fillId="30" borderId="11" xfId="2" applyNumberFormat="1" applyFont="1" applyFill="1" applyBorder="1" applyAlignment="1">
      <alignment vertical="center" wrapText="1"/>
    </xf>
    <xf numFmtId="165" fontId="26" fillId="30" borderId="103" xfId="2" applyNumberFormat="1" applyFont="1" applyFill="1" applyBorder="1" applyAlignment="1">
      <alignment vertical="center" wrapText="1"/>
    </xf>
    <xf numFmtId="165" fontId="26" fillId="30" borderId="125" xfId="2" applyNumberFormat="1" applyFont="1" applyFill="1" applyBorder="1" applyAlignment="1">
      <alignment vertical="center" wrapText="1"/>
    </xf>
    <xf numFmtId="165" fontId="60" fillId="30" borderId="13" xfId="2" applyNumberFormat="1" applyFont="1" applyFill="1" applyBorder="1" applyAlignment="1">
      <alignment vertical="center" wrapText="1"/>
    </xf>
    <xf numFmtId="165" fontId="26" fillId="30" borderId="12" xfId="2" applyNumberFormat="1" applyFont="1" applyFill="1" applyBorder="1" applyAlignment="1">
      <alignment vertical="center"/>
    </xf>
    <xf numFmtId="165" fontId="26" fillId="30" borderId="11" xfId="2" applyNumberFormat="1" applyFont="1" applyFill="1" applyBorder="1" applyAlignment="1">
      <alignment vertical="center"/>
    </xf>
    <xf numFmtId="165" fontId="60" fillId="30" borderId="13" xfId="2" applyNumberFormat="1" applyFont="1" applyFill="1" applyBorder="1" applyAlignment="1">
      <alignment vertical="center"/>
    </xf>
    <xf numFmtId="165" fontId="26" fillId="30" borderId="13" xfId="2" applyNumberFormat="1" applyFont="1" applyFill="1" applyBorder="1" applyAlignment="1">
      <alignment vertical="center"/>
    </xf>
    <xf numFmtId="165" fontId="60" fillId="104" borderId="103" xfId="2" applyNumberFormat="1" applyFont="1" applyFill="1" applyBorder="1" applyAlignment="1">
      <alignment vertical="center" wrapText="1"/>
    </xf>
    <xf numFmtId="165" fontId="57" fillId="104" borderId="84" xfId="2" applyNumberFormat="1" applyFont="1" applyFill="1" applyBorder="1" applyAlignment="1">
      <alignment vertical="center" wrapText="1"/>
    </xf>
    <xf numFmtId="165" fontId="26" fillId="104" borderId="103" xfId="2" applyNumberFormat="1" applyFont="1" applyFill="1" applyBorder="1" applyAlignment="1">
      <alignment vertical="center" wrapText="1"/>
    </xf>
    <xf numFmtId="165" fontId="26" fillId="30" borderId="145" xfId="2" applyNumberFormat="1" applyFont="1" applyFill="1" applyBorder="1" applyAlignment="1">
      <alignment vertical="center" wrapText="1"/>
    </xf>
    <xf numFmtId="165" fontId="60" fillId="30" borderId="103" xfId="2" applyNumberFormat="1" applyFont="1" applyFill="1" applyBorder="1" applyAlignment="1">
      <alignment vertical="center" wrapText="1"/>
    </xf>
    <xf numFmtId="165" fontId="60" fillId="30" borderId="12" xfId="2" applyNumberFormat="1" applyFont="1" applyFill="1" applyBorder="1" applyAlignment="1">
      <alignment vertical="center"/>
    </xf>
    <xf numFmtId="165" fontId="60" fillId="30" borderId="14" xfId="2" applyNumberFormat="1" applyFont="1" applyFill="1" applyBorder="1" applyAlignment="1">
      <alignment vertical="center"/>
    </xf>
    <xf numFmtId="0" fontId="54" fillId="95" borderId="35" xfId="0" applyFont="1" applyFill="1" applyBorder="1" applyAlignment="1">
      <alignment vertical="center"/>
    </xf>
    <xf numFmtId="165" fontId="27" fillId="104" borderId="45" xfId="2" applyNumberFormat="1" applyFont="1" applyFill="1" applyBorder="1" applyAlignment="1">
      <alignment vertical="center"/>
    </xf>
    <xf numFmtId="165" fontId="60" fillId="30" borderId="11" xfId="2" applyNumberFormat="1" applyFont="1" applyFill="1" applyBorder="1" applyAlignment="1">
      <alignment vertical="center" wrapText="1"/>
    </xf>
    <xf numFmtId="165" fontId="60" fillId="30" borderId="12" xfId="2" applyNumberFormat="1" applyFont="1" applyFill="1" applyBorder="1" applyAlignment="1">
      <alignment vertical="center" wrapText="1"/>
    </xf>
    <xf numFmtId="0" fontId="26" fillId="4" borderId="35" xfId="25" applyFont="1" applyFill="1" applyBorder="1" applyAlignment="1">
      <alignment horizontal="center" vertical="center"/>
    </xf>
    <xf numFmtId="165" fontId="26" fillId="104" borderId="47" xfId="2" applyNumberFormat="1" applyFont="1" applyFill="1" applyBorder="1" applyAlignment="1">
      <alignment vertical="center"/>
    </xf>
    <xf numFmtId="165" fontId="26" fillId="103" borderId="47" xfId="2" applyNumberFormat="1" applyFont="1" applyFill="1" applyBorder="1" applyAlignment="1">
      <alignment vertical="center"/>
    </xf>
    <xf numFmtId="165" fontId="60" fillId="104" borderId="146" xfId="2" applyNumberFormat="1" applyFont="1" applyFill="1" applyBorder="1" applyAlignment="1">
      <alignment vertical="center" wrapText="1"/>
    </xf>
    <xf numFmtId="165" fontId="57" fillId="104" borderId="104" xfId="2" applyNumberFormat="1" applyFont="1" applyFill="1" applyBorder="1" applyAlignment="1">
      <alignment vertical="center" wrapText="1"/>
    </xf>
    <xf numFmtId="165" fontId="60" fillId="104" borderId="47" xfId="2" applyNumberFormat="1" applyFont="1" applyFill="1" applyBorder="1" applyAlignment="1">
      <alignment vertical="center"/>
    </xf>
    <xf numFmtId="165" fontId="26" fillId="104" borderId="35" xfId="2" applyNumberFormat="1" applyFont="1" applyFill="1" applyBorder="1" applyAlignment="1">
      <alignment vertical="center"/>
    </xf>
    <xf numFmtId="165" fontId="26" fillId="30" borderId="146" xfId="2" applyNumberFormat="1" applyFont="1" applyFill="1" applyBorder="1" applyAlignment="1">
      <alignment vertical="center" wrapText="1"/>
    </xf>
    <xf numFmtId="165" fontId="60" fillId="30" borderId="146" xfId="2" applyNumberFormat="1" applyFont="1" applyFill="1" applyBorder="1" applyAlignment="1">
      <alignment vertical="center" wrapText="1"/>
    </xf>
    <xf numFmtId="0" fontId="26" fillId="99" borderId="51" xfId="0" applyFont="1" applyFill="1" applyBorder="1" applyAlignment="1">
      <alignment horizontal="center" wrapText="1"/>
    </xf>
    <xf numFmtId="0" fontId="26" fillId="99" borderId="36" xfId="0" applyFont="1" applyFill="1" applyBorder="1" applyAlignment="1">
      <alignment horizontal="center" wrapText="1"/>
    </xf>
    <xf numFmtId="0" fontId="26" fillId="4" borderId="17" xfId="25" applyFont="1" applyFill="1" applyBorder="1" applyAlignment="1">
      <alignment horizontal="left" wrapText="1"/>
    </xf>
    <xf numFmtId="165" fontId="2" fillId="103" borderId="45" xfId="2" applyNumberFormat="1" applyFont="1" applyFill="1" applyBorder="1" applyAlignment="1">
      <alignment horizontal="center"/>
    </xf>
    <xf numFmtId="165" fontId="54" fillId="0" borderId="12" xfId="2" applyNumberFormat="1" applyFont="1" applyFill="1" applyBorder="1" applyAlignment="1">
      <alignment vertical="center"/>
    </xf>
    <xf numFmtId="165" fontId="2" fillId="104" borderId="50" xfId="2" applyNumberFormat="1" applyFont="1" applyFill="1" applyBorder="1" applyAlignment="1">
      <alignment wrapText="1"/>
    </xf>
    <xf numFmtId="165" fontId="27" fillId="104" borderId="18" xfId="2" applyNumberFormat="1" applyFont="1" applyFill="1" applyBorder="1"/>
    <xf numFmtId="0" fontId="26" fillId="99" borderId="35" xfId="25" applyFont="1" applyFill="1" applyBorder="1" applyAlignment="1">
      <alignment horizontal="center"/>
    </xf>
    <xf numFmtId="0" fontId="26" fillId="99" borderId="36" xfId="25" applyFont="1" applyFill="1" applyBorder="1" applyAlignment="1">
      <alignment horizontal="center"/>
    </xf>
    <xf numFmtId="0" fontId="26" fillId="99" borderId="16" xfId="25" applyFont="1" applyFill="1" applyBorder="1" applyAlignment="1">
      <alignment horizontal="center"/>
    </xf>
    <xf numFmtId="0" fontId="26" fillId="99" borderId="19" xfId="0" applyFont="1" applyFill="1" applyBorder="1" applyAlignment="1">
      <alignment horizontal="center" wrapText="1"/>
    </xf>
    <xf numFmtId="0" fontId="26" fillId="99" borderId="0" xfId="0" applyFont="1" applyFill="1" applyAlignment="1">
      <alignment horizontal="center" wrapText="1"/>
    </xf>
    <xf numFmtId="165" fontId="27" fillId="0" borderId="94" xfId="2" applyNumberFormat="1" applyFont="1" applyFill="1" applyBorder="1" applyAlignment="1">
      <alignment horizontal="center" vertical="center"/>
    </xf>
    <xf numFmtId="165" fontId="27" fillId="7" borderId="101" xfId="2" applyNumberFormat="1" applyFont="1" applyFill="1" applyBorder="1" applyAlignment="1">
      <alignment vertical="center"/>
    </xf>
    <xf numFmtId="165" fontId="27" fillId="0" borderId="101" xfId="2" applyNumberFormat="1" applyFont="1" applyFill="1" applyBorder="1" applyAlignment="1">
      <alignment vertical="center" wrapText="1"/>
    </xf>
    <xf numFmtId="165" fontId="26" fillId="0" borderId="145" xfId="2" applyNumberFormat="1" applyFont="1" applyFill="1" applyBorder="1" applyAlignment="1">
      <alignment vertical="center"/>
    </xf>
    <xf numFmtId="165" fontId="26" fillId="30" borderId="145" xfId="2" applyNumberFormat="1" applyFont="1" applyFill="1" applyBorder="1" applyAlignment="1">
      <alignment vertical="center"/>
    </xf>
    <xf numFmtId="165" fontId="27" fillId="103" borderId="13" xfId="2" applyNumberFormat="1" applyFont="1" applyFill="1" applyBorder="1" applyAlignment="1">
      <alignment vertical="center" wrapText="1"/>
    </xf>
    <xf numFmtId="165" fontId="27" fillId="103" borderId="47" xfId="2" applyNumberFormat="1" applyFont="1" applyFill="1" applyBorder="1" applyAlignment="1">
      <alignment vertical="center"/>
    </xf>
    <xf numFmtId="165" fontId="27" fillId="7" borderId="94" xfId="2" applyNumberFormat="1" applyFont="1" applyFill="1" applyBorder="1" applyAlignment="1">
      <alignment vertical="center" wrapText="1"/>
    </xf>
    <xf numFmtId="165" fontId="27" fillId="7" borderId="136" xfId="1" applyNumberFormat="1" applyFont="1" applyFill="1" applyBorder="1" applyAlignment="1">
      <alignment vertical="center"/>
    </xf>
    <xf numFmtId="165" fontId="27" fillId="0" borderId="145" xfId="2" applyNumberFormat="1" applyFont="1" applyFill="1" applyBorder="1" applyAlignment="1">
      <alignment vertical="center" wrapText="1"/>
    </xf>
    <xf numFmtId="165" fontId="27" fillId="0" borderId="154" xfId="2" applyNumberFormat="1" applyFont="1" applyFill="1" applyBorder="1" applyAlignment="1">
      <alignment vertical="center"/>
    </xf>
    <xf numFmtId="165" fontId="57" fillId="104" borderId="18" xfId="2" applyNumberFormat="1" applyFont="1" applyFill="1" applyBorder="1" applyAlignment="1">
      <alignment vertical="center" wrapText="1"/>
    </xf>
    <xf numFmtId="165" fontId="57" fillId="104" borderId="13" xfId="2" applyNumberFormat="1" applyFont="1" applyFill="1" applyBorder="1" applyAlignment="1">
      <alignment vertical="center" wrapText="1"/>
    </xf>
    <xf numFmtId="165" fontId="57" fillId="104" borderId="35" xfId="2" applyNumberFormat="1" applyFont="1" applyFill="1" applyBorder="1" applyAlignment="1">
      <alignment vertical="center"/>
    </xf>
    <xf numFmtId="165" fontId="27" fillId="104" borderId="13" xfId="2" applyNumberFormat="1" applyFont="1" applyFill="1" applyBorder="1" applyAlignment="1">
      <alignment vertical="center" wrapText="1"/>
    </xf>
    <xf numFmtId="165" fontId="27" fillId="104" borderId="47" xfId="2" applyNumberFormat="1" applyFont="1" applyFill="1" applyBorder="1" applyAlignment="1">
      <alignment vertical="center"/>
    </xf>
    <xf numFmtId="165" fontId="27" fillId="104" borderId="35" xfId="2" applyNumberFormat="1" applyFont="1" applyFill="1" applyBorder="1" applyAlignment="1">
      <alignment vertical="center"/>
    </xf>
    <xf numFmtId="165" fontId="57" fillId="104" borderId="47" xfId="2" applyNumberFormat="1" applyFont="1" applyFill="1" applyBorder="1" applyAlignment="1">
      <alignment vertical="center"/>
    </xf>
    <xf numFmtId="165" fontId="27" fillId="104" borderId="98" xfId="2" applyNumberFormat="1" applyFont="1" applyFill="1" applyBorder="1" applyAlignment="1">
      <alignment horizontal="center" vertical="center"/>
    </xf>
    <xf numFmtId="165" fontId="27" fillId="104" borderId="84" xfId="2" applyNumberFormat="1" applyFont="1" applyFill="1" applyBorder="1" applyAlignment="1">
      <alignment vertical="center"/>
    </xf>
    <xf numFmtId="165" fontId="141" fillId="104" borderId="84" xfId="2" applyNumberFormat="1" applyFont="1" applyFill="1" applyBorder="1" applyAlignment="1">
      <alignment vertical="center"/>
    </xf>
    <xf numFmtId="165" fontId="26" fillId="104" borderId="47" xfId="1" applyNumberFormat="1" applyFont="1" applyFill="1" applyBorder="1" applyAlignment="1">
      <alignment vertical="center"/>
    </xf>
    <xf numFmtId="0" fontId="68" fillId="99" borderId="17" xfId="25" applyFont="1" applyFill="1" applyBorder="1" applyAlignment="1">
      <alignment horizontal="center" wrapText="1"/>
    </xf>
    <xf numFmtId="0" fontId="3" fillId="99" borderId="16" xfId="0" applyFont="1" applyFill="1" applyBorder="1" applyAlignment="1">
      <alignment horizontal="center" vertical="center" wrapText="1"/>
    </xf>
    <xf numFmtId="0" fontId="2" fillId="4" borderId="25" xfId="25" applyFont="1" applyFill="1" applyBorder="1" applyAlignment="1">
      <alignment vertical="center"/>
    </xf>
    <xf numFmtId="165" fontId="2" fillId="103" borderId="18" xfId="2" applyNumberFormat="1" applyFont="1" applyFill="1" applyBorder="1" applyAlignment="1">
      <alignment vertical="center"/>
    </xf>
    <xf numFmtId="165" fontId="2" fillId="103" borderId="45" xfId="2" applyNumberFormat="1" applyFont="1" applyFill="1" applyBorder="1" applyAlignment="1">
      <alignment vertical="center"/>
    </xf>
    <xf numFmtId="165" fontId="3" fillId="103" borderId="45" xfId="2" applyNumberFormat="1" applyFont="1" applyFill="1" applyBorder="1" applyAlignment="1">
      <alignment vertical="center"/>
    </xf>
    <xf numFmtId="165" fontId="2" fillId="104" borderId="37" xfId="2" applyNumberFormat="1" applyFont="1" applyFill="1" applyBorder="1" applyAlignment="1">
      <alignment vertical="center"/>
    </xf>
    <xf numFmtId="165" fontId="2" fillId="104" borderId="4" xfId="2" applyNumberFormat="1" applyFont="1" applyFill="1" applyBorder="1" applyAlignment="1">
      <alignment vertical="center"/>
    </xf>
    <xf numFmtId="165" fontId="3" fillId="104" borderId="4" xfId="2" applyNumberFormat="1" applyFont="1" applyFill="1" applyBorder="1" applyAlignment="1">
      <alignment vertical="center"/>
    </xf>
    <xf numFmtId="165" fontId="2" fillId="104" borderId="30" xfId="2" applyNumberFormat="1" applyFont="1" applyFill="1" applyBorder="1" applyAlignment="1">
      <alignment vertical="center"/>
    </xf>
    <xf numFmtId="165" fontId="2" fillId="104" borderId="76" xfId="2" applyNumberFormat="1" applyFont="1" applyFill="1" applyBorder="1" applyAlignment="1">
      <alignment vertical="center"/>
    </xf>
    <xf numFmtId="165" fontId="3" fillId="104" borderId="76" xfId="2" applyNumberFormat="1" applyFont="1" applyFill="1" applyBorder="1" applyAlignment="1">
      <alignment vertical="center"/>
    </xf>
    <xf numFmtId="0" fontId="3" fillId="30" borderId="26" xfId="25" applyFont="1" applyFill="1" applyBorder="1" applyAlignment="1">
      <alignment vertical="center"/>
    </xf>
    <xf numFmtId="0" fontId="3" fillId="30" borderId="22" xfId="25" applyFont="1" applyFill="1" applyBorder="1" applyAlignment="1">
      <alignment horizontal="center" vertical="center"/>
    </xf>
    <xf numFmtId="165" fontId="3" fillId="30" borderId="16" xfId="2" applyNumberFormat="1" applyFont="1" applyFill="1" applyBorder="1" applyAlignment="1">
      <alignment vertical="center"/>
    </xf>
    <xf numFmtId="165" fontId="3" fillId="30" borderId="133" xfId="2" applyNumberFormat="1" applyFont="1" applyFill="1" applyBorder="1" applyAlignment="1">
      <alignment vertical="center"/>
    </xf>
    <xf numFmtId="165" fontId="3" fillId="30" borderId="132" xfId="2" applyNumberFormat="1" applyFont="1" applyFill="1" applyBorder="1" applyAlignment="1">
      <alignment vertical="center"/>
    </xf>
    <xf numFmtId="0" fontId="54" fillId="95" borderId="49" xfId="0" applyFont="1" applyFill="1" applyBorder="1"/>
    <xf numFmtId="0" fontId="54" fillId="95" borderId="48" xfId="0" applyFont="1" applyFill="1" applyBorder="1"/>
    <xf numFmtId="0" fontId="2" fillId="4" borderId="18" xfId="25" applyFont="1" applyFill="1" applyBorder="1" applyAlignment="1">
      <alignment vertical="center"/>
    </xf>
    <xf numFmtId="165" fontId="2" fillId="103" borderId="25" xfId="2" applyNumberFormat="1" applyFont="1" applyFill="1" applyBorder="1" applyAlignment="1">
      <alignment vertical="center"/>
    </xf>
    <xf numFmtId="0" fontId="3" fillId="30" borderId="21" xfId="25" applyFont="1" applyFill="1" applyBorder="1" applyAlignment="1">
      <alignment vertical="center"/>
    </xf>
    <xf numFmtId="0" fontId="3" fillId="30" borderId="131" xfId="25" applyFont="1" applyFill="1" applyBorder="1" applyAlignment="1">
      <alignment horizontal="center" vertical="center"/>
    </xf>
    <xf numFmtId="165" fontId="2" fillId="30" borderId="26" xfId="2" applyNumberFormat="1" applyFont="1" applyFill="1" applyBorder="1" applyAlignment="1">
      <alignment vertical="center"/>
    </xf>
    <xf numFmtId="165" fontId="2" fillId="30" borderId="21" xfId="2" applyNumberFormat="1" applyFont="1" applyFill="1" applyBorder="1" applyAlignment="1">
      <alignment vertical="center"/>
    </xf>
    <xf numFmtId="165" fontId="2" fillId="30" borderId="131" xfId="2" applyNumberFormat="1" applyFont="1" applyFill="1" applyBorder="1" applyAlignment="1">
      <alignment vertical="center"/>
    </xf>
    <xf numFmtId="0" fontId="3" fillId="30" borderId="141" xfId="25" applyFont="1" applyFill="1" applyBorder="1" applyAlignment="1">
      <alignment vertical="center"/>
    </xf>
    <xf numFmtId="0" fontId="3" fillId="30" borderId="142" xfId="25" applyFont="1" applyFill="1" applyBorder="1" applyAlignment="1">
      <alignment horizontal="center" vertical="center"/>
    </xf>
    <xf numFmtId="165" fontId="2" fillId="30" borderId="137" xfId="2" applyNumberFormat="1" applyFont="1" applyFill="1" applyBorder="1" applyAlignment="1">
      <alignment vertical="center"/>
    </xf>
    <xf numFmtId="165" fontId="2" fillId="30" borderId="142" xfId="2" applyNumberFormat="1" applyFont="1" applyFill="1" applyBorder="1" applyAlignment="1">
      <alignment vertical="center"/>
    </xf>
    <xf numFmtId="165" fontId="2" fillId="30" borderId="143" xfId="2" applyNumberFormat="1" applyFont="1" applyFill="1" applyBorder="1" applyAlignment="1">
      <alignment vertical="center"/>
    </xf>
    <xf numFmtId="165" fontId="2" fillId="103" borderId="34" xfId="2" applyNumberFormat="1" applyFont="1" applyFill="1" applyBorder="1" applyAlignment="1">
      <alignment vertical="center"/>
    </xf>
    <xf numFmtId="0" fontId="3" fillId="30" borderId="139" xfId="25" applyFont="1" applyFill="1" applyBorder="1" applyAlignment="1">
      <alignment horizontal="center" vertical="center"/>
    </xf>
    <xf numFmtId="165" fontId="2" fillId="30" borderId="20" xfId="2" applyNumberFormat="1" applyFont="1" applyFill="1" applyBorder="1" applyAlignment="1">
      <alignment vertical="center"/>
    </xf>
    <xf numFmtId="165" fontId="2" fillId="30" borderId="139" xfId="2" applyNumberFormat="1" applyFont="1" applyFill="1" applyBorder="1" applyAlignment="1">
      <alignment vertical="center"/>
    </xf>
    <xf numFmtId="0" fontId="54" fillId="95" borderId="31" xfId="0" applyFont="1" applyFill="1" applyBorder="1"/>
    <xf numFmtId="165" fontId="2" fillId="30" borderId="144" xfId="2" applyNumberFormat="1" applyFont="1" applyFill="1" applyBorder="1" applyAlignment="1">
      <alignment vertical="center"/>
    </xf>
    <xf numFmtId="165" fontId="2" fillId="30" borderId="138" xfId="2" applyNumberFormat="1" applyFont="1" applyFill="1" applyBorder="1" applyAlignment="1">
      <alignment vertical="center"/>
    </xf>
    <xf numFmtId="165" fontId="2" fillId="30" borderId="138" xfId="1" applyNumberFormat="1" applyFont="1" applyFill="1" applyBorder="1" applyAlignment="1">
      <alignment vertical="center"/>
    </xf>
    <xf numFmtId="165" fontId="2" fillId="30" borderId="137" xfId="1" applyNumberFormat="1" applyFont="1" applyFill="1" applyBorder="1" applyAlignment="1">
      <alignment vertical="center"/>
    </xf>
    <xf numFmtId="0" fontId="54" fillId="95" borderId="12" xfId="0" applyFont="1" applyFill="1" applyBorder="1"/>
    <xf numFmtId="0" fontId="2" fillId="4" borderId="81" xfId="25" applyFont="1" applyFill="1" applyBorder="1" applyAlignment="1">
      <alignment vertical="center"/>
    </xf>
    <xf numFmtId="165" fontId="2" fillId="104" borderId="32" xfId="2" applyNumberFormat="1" applyFont="1" applyFill="1" applyBorder="1" applyAlignment="1">
      <alignment vertical="center"/>
    </xf>
    <xf numFmtId="165" fontId="2" fillId="104" borderId="33" xfId="2" applyNumberFormat="1" applyFont="1" applyFill="1" applyBorder="1" applyAlignment="1">
      <alignment vertical="center"/>
    </xf>
    <xf numFmtId="0" fontId="3" fillId="30" borderId="119" xfId="25" applyFont="1" applyFill="1" applyBorder="1" applyAlignment="1">
      <alignment horizontal="center" vertical="center"/>
    </xf>
    <xf numFmtId="165" fontId="2" fillId="30" borderId="44" xfId="2" applyNumberFormat="1" applyFont="1" applyFill="1" applyBorder="1" applyAlignment="1">
      <alignment vertical="center"/>
    </xf>
    <xf numFmtId="165" fontId="2" fillId="30" borderId="22" xfId="2" applyNumberFormat="1" applyFont="1" applyFill="1" applyBorder="1" applyAlignment="1">
      <alignment vertical="center"/>
    </xf>
    <xf numFmtId="165" fontId="2" fillId="30" borderId="23" xfId="2" applyNumberFormat="1" applyFont="1" applyFill="1" applyBorder="1" applyAlignment="1">
      <alignment vertical="center"/>
    </xf>
    <xf numFmtId="0" fontId="2" fillId="4" borderId="25" xfId="25" applyFont="1" applyFill="1" applyBorder="1"/>
    <xf numFmtId="165" fontId="2" fillId="103" borderId="18" xfId="2" applyNumberFormat="1" applyFont="1" applyFill="1" applyBorder="1"/>
    <xf numFmtId="165" fontId="2" fillId="104" borderId="32" xfId="2" applyNumberFormat="1" applyFont="1" applyFill="1" applyBorder="1"/>
    <xf numFmtId="165" fontId="2" fillId="104" borderId="33" xfId="2" applyNumberFormat="1" applyFont="1" applyFill="1" applyBorder="1"/>
    <xf numFmtId="0" fontId="3" fillId="30" borderId="26" xfId="25" applyFont="1" applyFill="1" applyBorder="1"/>
    <xf numFmtId="0" fontId="3" fillId="30" borderId="119" xfId="25" applyFont="1" applyFill="1" applyBorder="1" applyAlignment="1">
      <alignment horizontal="center"/>
    </xf>
    <xf numFmtId="165" fontId="2" fillId="30" borderId="21" xfId="2" applyNumberFormat="1" applyFont="1" applyFill="1" applyBorder="1"/>
    <xf numFmtId="165" fontId="2" fillId="30" borderId="139" xfId="2" applyNumberFormat="1" applyFont="1" applyFill="1" applyBorder="1"/>
    <xf numFmtId="165" fontId="2" fillId="30" borderId="44" xfId="2" applyNumberFormat="1" applyFont="1" applyFill="1" applyBorder="1"/>
    <xf numFmtId="0" fontId="3" fillId="30" borderId="139" xfId="25" applyFont="1" applyFill="1" applyBorder="1" applyAlignment="1">
      <alignment horizontal="center"/>
    </xf>
    <xf numFmtId="0" fontId="3" fillId="30" borderId="16" xfId="0" applyFont="1" applyFill="1" applyBorder="1"/>
    <xf numFmtId="165" fontId="2" fillId="30" borderId="139" xfId="1" applyNumberFormat="1" applyFont="1" applyFill="1" applyBorder="1"/>
    <xf numFmtId="165" fontId="2" fillId="30" borderId="21" xfId="1" applyNumberFormat="1" applyFont="1" applyFill="1" applyBorder="1"/>
    <xf numFmtId="0" fontId="9" fillId="30" borderId="44" xfId="25" applyFill="1" applyBorder="1"/>
    <xf numFmtId="165" fontId="3" fillId="104" borderId="45" xfId="2" applyNumberFormat="1" applyFont="1" applyFill="1" applyBorder="1" applyAlignment="1">
      <alignment vertical="center"/>
    </xf>
    <xf numFmtId="165" fontId="3" fillId="30" borderId="21" xfId="2" applyNumberFormat="1" applyFont="1" applyFill="1" applyBorder="1" applyAlignment="1">
      <alignment vertical="center"/>
    </xf>
    <xf numFmtId="165" fontId="2" fillId="104" borderId="136" xfId="2" applyNumberFormat="1" applyFont="1" applyFill="1" applyBorder="1" applyAlignment="1">
      <alignment vertical="center"/>
    </xf>
    <xf numFmtId="0" fontId="155" fillId="95" borderId="13" xfId="25" applyFont="1" applyFill="1" applyBorder="1"/>
    <xf numFmtId="165" fontId="2" fillId="103" borderId="134" xfId="2" applyNumberFormat="1" applyFont="1" applyFill="1" applyBorder="1" applyAlignment="1">
      <alignment vertical="center"/>
    </xf>
    <xf numFmtId="165" fontId="2" fillId="30" borderId="140" xfId="2" applyNumberFormat="1" applyFont="1" applyFill="1" applyBorder="1" applyAlignment="1">
      <alignment vertical="center"/>
    </xf>
    <xf numFmtId="0" fontId="2" fillId="4" borderId="19" xfId="0" applyFont="1" applyFill="1" applyBorder="1" applyAlignment="1">
      <alignment horizontal="center" vertical="center"/>
    </xf>
    <xf numFmtId="0" fontId="3" fillId="4" borderId="18" xfId="0" applyFont="1" applyFill="1" applyBorder="1" applyAlignment="1">
      <alignment horizontal="left" vertical="center" wrapText="1"/>
    </xf>
    <xf numFmtId="0" fontId="3" fillId="4" borderId="19" xfId="0" applyFont="1" applyFill="1" applyBorder="1" applyAlignment="1">
      <alignment horizontal="center" vertical="center"/>
    </xf>
    <xf numFmtId="0" fontId="3" fillId="4" borderId="13" xfId="0" applyFont="1" applyFill="1" applyBorder="1" applyAlignment="1">
      <alignment horizontal="center" vertical="center"/>
    </xf>
    <xf numFmtId="0" fontId="26" fillId="4" borderId="17" xfId="0" applyFont="1" applyFill="1" applyBorder="1" applyAlignment="1">
      <alignment horizontal="left" vertical="center" wrapText="1"/>
    </xf>
    <xf numFmtId="0" fontId="3" fillId="4" borderId="19" xfId="0" applyFont="1" applyFill="1" applyBorder="1" applyAlignment="1">
      <alignment horizontal="left" vertical="center" wrapText="1"/>
    </xf>
    <xf numFmtId="0" fontId="3" fillId="4" borderId="31" xfId="0" applyFont="1" applyFill="1" applyBorder="1" applyAlignment="1">
      <alignment horizontal="left" vertical="center" wrapText="1"/>
    </xf>
    <xf numFmtId="0" fontId="3" fillId="4" borderId="17" xfId="0" applyFont="1" applyFill="1" applyBorder="1" applyAlignment="1">
      <alignment horizontal="left" vertical="center" wrapText="1"/>
    </xf>
    <xf numFmtId="0" fontId="26" fillId="4" borderId="42" xfId="0" applyFont="1" applyFill="1" applyBorder="1" applyAlignment="1">
      <alignment vertical="center" wrapText="1"/>
    </xf>
    <xf numFmtId="0" fontId="27" fillId="103" borderId="18" xfId="0" applyFont="1" applyFill="1" applyBorder="1" applyAlignment="1">
      <alignment vertical="center"/>
    </xf>
    <xf numFmtId="165" fontId="3" fillId="103" borderId="13" xfId="0" applyNumberFormat="1" applyFont="1" applyFill="1" applyBorder="1" applyAlignment="1">
      <alignment horizontal="left" vertical="center"/>
    </xf>
    <xf numFmtId="165" fontId="2" fillId="103" borderId="45" xfId="0" applyNumberFormat="1" applyFont="1" applyFill="1" applyBorder="1" applyAlignment="1">
      <alignment horizontal="left" vertical="center"/>
    </xf>
    <xf numFmtId="0" fontId="3" fillId="30" borderId="13" xfId="0" applyFont="1" applyFill="1" applyBorder="1" applyAlignment="1">
      <alignment horizontal="center" vertical="center"/>
    </xf>
    <xf numFmtId="0" fontId="26" fillId="30" borderId="13" xfId="0" applyFont="1" applyFill="1" applyBorder="1" applyAlignment="1">
      <alignment vertical="center" wrapText="1"/>
    </xf>
    <xf numFmtId="165" fontId="3" fillId="30" borderId="13" xfId="0" applyNumberFormat="1" applyFont="1" applyFill="1" applyBorder="1" applyAlignment="1">
      <alignment horizontal="left" vertical="center"/>
    </xf>
    <xf numFmtId="0" fontId="3" fillId="30" borderId="53" xfId="0" applyFont="1" applyFill="1" applyBorder="1" applyAlignment="1">
      <alignment horizontal="center" vertical="center"/>
    </xf>
    <xf numFmtId="0" fontId="26" fillId="30" borderId="49" xfId="0" applyFont="1" applyFill="1" applyBorder="1" applyAlignment="1">
      <alignment vertical="center" wrapText="1"/>
    </xf>
    <xf numFmtId="165" fontId="3" fillId="30" borderId="52" xfId="0" applyNumberFormat="1" applyFont="1" applyFill="1" applyBorder="1" applyAlignment="1">
      <alignment horizontal="left" vertical="center"/>
    </xf>
    <xf numFmtId="165" fontId="3" fillId="30" borderId="48" xfId="0" applyNumberFormat="1" applyFont="1" applyFill="1" applyBorder="1" applyAlignment="1">
      <alignment horizontal="left" vertical="center"/>
    </xf>
    <xf numFmtId="0" fontId="3" fillId="4" borderId="45" xfId="0" applyFont="1" applyFill="1" applyBorder="1" applyAlignment="1">
      <alignment horizontal="left" vertical="center" wrapText="1"/>
    </xf>
    <xf numFmtId="0" fontId="3" fillId="4" borderId="13" xfId="0" applyFont="1" applyFill="1" applyBorder="1" applyAlignment="1">
      <alignment horizontal="left" vertical="center" wrapText="1"/>
    </xf>
    <xf numFmtId="0" fontId="3" fillId="4" borderId="36" xfId="0" applyFont="1" applyFill="1" applyBorder="1" applyAlignment="1">
      <alignment horizontal="left" vertical="center" wrapText="1"/>
    </xf>
    <xf numFmtId="0" fontId="26" fillId="4" borderId="45" xfId="0" applyFont="1" applyFill="1" applyBorder="1" applyAlignment="1">
      <alignment horizontal="left" vertical="center" wrapText="1"/>
    </xf>
    <xf numFmtId="0" fontId="26" fillId="4" borderId="18" xfId="0" applyFont="1" applyFill="1" applyBorder="1" applyAlignment="1">
      <alignment horizontal="left" vertical="center" wrapText="1"/>
    </xf>
    <xf numFmtId="0" fontId="3" fillId="4" borderId="13" xfId="0" applyFont="1" applyFill="1" applyBorder="1" applyAlignment="1">
      <alignment vertical="center" wrapText="1"/>
    </xf>
    <xf numFmtId="0" fontId="3" fillId="4" borderId="31" xfId="0" applyFont="1" applyFill="1" applyBorder="1" applyAlignment="1">
      <alignment vertical="center" wrapText="1"/>
    </xf>
    <xf numFmtId="0" fontId="3" fillId="4" borderId="35" xfId="0" applyFont="1" applyFill="1" applyBorder="1" applyAlignment="1">
      <alignment horizontal="center" vertical="center"/>
    </xf>
    <xf numFmtId="165" fontId="27" fillId="103" borderId="45" xfId="1" applyNumberFormat="1" applyFont="1" applyFill="1" applyBorder="1" applyAlignment="1">
      <alignment vertical="center"/>
    </xf>
    <xf numFmtId="3" fontId="60" fillId="103" borderId="45" xfId="0" applyNumberFormat="1" applyFont="1" applyFill="1" applyBorder="1" applyAlignment="1">
      <alignment vertical="center"/>
    </xf>
    <xf numFmtId="165" fontId="26" fillId="103" borderId="13" xfId="1" applyNumberFormat="1" applyFont="1" applyFill="1" applyBorder="1" applyAlignment="1">
      <alignment vertical="center"/>
    </xf>
    <xf numFmtId="0" fontId="38" fillId="105" borderId="50" xfId="0" applyFont="1" applyFill="1" applyBorder="1" applyAlignment="1">
      <alignment vertical="center"/>
    </xf>
    <xf numFmtId="0" fontId="3" fillId="30" borderId="31" xfId="0" applyFont="1" applyFill="1" applyBorder="1" applyAlignment="1">
      <alignment vertical="center" wrapText="1"/>
    </xf>
    <xf numFmtId="3" fontId="60" fillId="30" borderId="13" xfId="0" applyNumberFormat="1" applyFont="1" applyFill="1" applyBorder="1" applyAlignment="1">
      <alignment vertical="center"/>
    </xf>
    <xf numFmtId="3" fontId="60" fillId="30" borderId="12" xfId="0" applyNumberFormat="1" applyFont="1" applyFill="1" applyBorder="1" applyAlignment="1">
      <alignment vertical="center"/>
    </xf>
    <xf numFmtId="165" fontId="26" fillId="30" borderId="13" xfId="1" applyNumberFormat="1" applyFont="1" applyFill="1" applyBorder="1" applyAlignment="1">
      <alignment vertical="center"/>
    </xf>
    <xf numFmtId="0" fontId="3" fillId="30" borderId="31" xfId="0" applyFont="1" applyFill="1" applyBorder="1" applyAlignment="1">
      <alignment horizontal="center" vertical="center"/>
    </xf>
    <xf numFmtId="0" fontId="3" fillId="30" borderId="53" xfId="0" applyFont="1" applyFill="1" applyBorder="1" applyAlignment="1">
      <alignment vertical="center" wrapText="1"/>
    </xf>
    <xf numFmtId="3" fontId="60" fillId="30" borderId="16" xfId="0" applyNumberFormat="1" applyFont="1" applyFill="1" applyBorder="1" applyAlignment="1">
      <alignment vertical="center"/>
    </xf>
    <xf numFmtId="3" fontId="60" fillId="30" borderId="14" xfId="0" applyNumberFormat="1" applyFont="1" applyFill="1" applyBorder="1" applyAlignment="1">
      <alignment vertical="center"/>
    </xf>
    <xf numFmtId="0" fontId="38" fillId="0" borderId="50" xfId="0" applyFont="1" applyBorder="1" applyAlignment="1">
      <alignment vertical="center"/>
    </xf>
    <xf numFmtId="3" fontId="60" fillId="106" borderId="13" xfId="0" applyNumberFormat="1" applyFont="1" applyFill="1" applyBorder="1" applyAlignment="1">
      <alignment vertical="center" wrapText="1"/>
    </xf>
    <xf numFmtId="3" fontId="60" fillId="106" borderId="16" xfId="0" applyNumberFormat="1" applyFont="1" applyFill="1" applyBorder="1" applyAlignment="1">
      <alignment vertical="center" wrapText="1"/>
    </xf>
    <xf numFmtId="3" fontId="3" fillId="106" borderId="16" xfId="0" applyNumberFormat="1" applyFont="1" applyFill="1" applyBorder="1" applyAlignment="1">
      <alignment vertical="center" wrapText="1"/>
    </xf>
    <xf numFmtId="3" fontId="3" fillId="106" borderId="13" xfId="0" applyNumberFormat="1" applyFont="1" applyFill="1" applyBorder="1" applyAlignment="1">
      <alignment vertical="center" wrapText="1"/>
    </xf>
    <xf numFmtId="3" fontId="60" fillId="30" borderId="16" xfId="0" applyNumberFormat="1" applyFont="1" applyFill="1" applyBorder="1" applyAlignment="1">
      <alignment horizontal="right" vertical="center" wrapText="1"/>
    </xf>
    <xf numFmtId="3" fontId="60" fillId="30" borderId="45" xfId="0" applyNumberFormat="1" applyFont="1" applyFill="1" applyBorder="1" applyAlignment="1">
      <alignment wrapText="1"/>
    </xf>
    <xf numFmtId="0" fontId="3" fillId="30" borderId="16" xfId="0" applyFont="1" applyFill="1" applyBorder="1" applyAlignment="1">
      <alignment horizontal="left" vertical="center" wrapText="1"/>
    </xf>
    <xf numFmtId="0" fontId="3" fillId="30" borderId="13" xfId="0" applyFont="1" applyFill="1" applyBorder="1" applyAlignment="1">
      <alignment horizontal="left" vertical="center" wrapText="1"/>
    </xf>
    <xf numFmtId="0" fontId="3" fillId="30" borderId="16" xfId="0" applyFont="1" applyFill="1" applyBorder="1" applyAlignment="1">
      <alignment vertical="center" wrapText="1"/>
    </xf>
    <xf numFmtId="3" fontId="60" fillId="30" borderId="21" xfId="0" applyNumberFormat="1" applyFont="1" applyFill="1" applyBorder="1" applyAlignment="1">
      <alignment vertical="center"/>
    </xf>
    <xf numFmtId="0" fontId="3" fillId="30" borderId="13" xfId="0" applyFont="1" applyFill="1" applyBorder="1" applyAlignment="1">
      <alignment vertical="center" wrapText="1"/>
    </xf>
    <xf numFmtId="0" fontId="3" fillId="99" borderId="31" xfId="0" applyFont="1" applyFill="1" applyBorder="1" applyAlignment="1">
      <alignment horizontal="center" vertical="center"/>
    </xf>
    <xf numFmtId="0" fontId="3" fillId="99" borderId="11" xfId="0" applyFont="1" applyFill="1" applyBorder="1" applyAlignment="1">
      <alignment horizontal="center" vertical="center"/>
    </xf>
    <xf numFmtId="0" fontId="3" fillId="99" borderId="12" xfId="0" applyFont="1" applyFill="1" applyBorder="1" applyAlignment="1">
      <alignment horizontal="center" vertical="center"/>
    </xf>
    <xf numFmtId="0" fontId="27" fillId="99" borderId="53" xfId="0" applyFont="1" applyFill="1" applyBorder="1" applyAlignment="1">
      <alignment horizontal="center" vertical="center" wrapText="1"/>
    </xf>
    <xf numFmtId="165" fontId="26" fillId="0" borderId="0" xfId="1" applyNumberFormat="1" applyFont="1" applyFill="1" applyBorder="1" applyAlignment="1">
      <alignment horizontal="right" vertical="center"/>
    </xf>
    <xf numFmtId="0" fontId="27" fillId="0" borderId="4" xfId="0" applyFont="1" applyBorder="1" applyAlignment="1">
      <alignment vertical="center"/>
    </xf>
    <xf numFmtId="0" fontId="2" fillId="4" borderId="35" xfId="0" applyFont="1" applyFill="1" applyBorder="1" applyAlignment="1">
      <alignment horizontal="center" vertical="center"/>
    </xf>
    <xf numFmtId="0" fontId="3" fillId="4" borderId="50" xfId="0" applyFont="1" applyFill="1" applyBorder="1" applyAlignment="1">
      <alignment horizontal="left" vertical="center" wrapText="1"/>
    </xf>
    <xf numFmtId="0" fontId="2" fillId="4" borderId="36" xfId="0" applyFont="1" applyFill="1" applyBorder="1" applyAlignment="1">
      <alignment horizontal="center" vertical="center"/>
    </xf>
    <xf numFmtId="0" fontId="2" fillId="4" borderId="50" xfId="0" applyFont="1" applyFill="1" applyBorder="1" applyAlignment="1">
      <alignment horizontal="left" vertical="center" wrapText="1"/>
    </xf>
    <xf numFmtId="165" fontId="27" fillId="103" borderId="50" xfId="1" applyNumberFormat="1" applyFont="1" applyFill="1" applyBorder="1" applyAlignment="1">
      <alignment vertical="center"/>
    </xf>
    <xf numFmtId="0" fontId="3" fillId="4" borderId="6" xfId="0" applyFont="1" applyFill="1" applyBorder="1" applyAlignment="1">
      <alignment horizontal="left" vertical="center" wrapText="1"/>
    </xf>
    <xf numFmtId="0" fontId="2" fillId="4" borderId="136" xfId="0" applyFont="1" applyFill="1" applyBorder="1" applyAlignment="1">
      <alignment horizontal="left" vertical="center" wrapText="1"/>
    </xf>
    <xf numFmtId="0" fontId="2" fillId="4" borderId="6" xfId="0" applyFont="1" applyFill="1" applyBorder="1" applyAlignment="1">
      <alignment horizontal="left" vertical="center" wrapText="1"/>
    </xf>
    <xf numFmtId="0" fontId="3" fillId="30" borderId="53" xfId="0" applyFont="1" applyFill="1" applyBorder="1" applyAlignment="1">
      <alignment horizontal="left" vertical="center" wrapText="1"/>
    </xf>
    <xf numFmtId="3" fontId="60" fillId="30" borderId="16" xfId="0" applyNumberFormat="1" applyFont="1" applyFill="1" applyBorder="1" applyAlignment="1">
      <alignment vertical="center" wrapText="1"/>
    </xf>
    <xf numFmtId="0" fontId="3" fillId="99" borderId="13" xfId="0" applyFont="1" applyFill="1" applyBorder="1" applyAlignment="1">
      <alignment horizontal="center" vertical="center"/>
    </xf>
    <xf numFmtId="3" fontId="60" fillId="30" borderId="13" xfId="0" applyNumberFormat="1" applyFont="1" applyFill="1" applyBorder="1" applyAlignment="1">
      <alignment vertical="center" wrapText="1"/>
    </xf>
    <xf numFmtId="0" fontId="3" fillId="4" borderId="32" xfId="0" applyFont="1" applyFill="1" applyBorder="1" applyAlignment="1">
      <alignment horizontal="left" vertical="center" wrapText="1"/>
    </xf>
    <xf numFmtId="3" fontId="60" fillId="30" borderId="47" xfId="0" applyNumberFormat="1" applyFont="1" applyFill="1" applyBorder="1" applyAlignment="1">
      <alignment vertical="center" wrapText="1"/>
    </xf>
    <xf numFmtId="0" fontId="3" fillId="30" borderId="31" xfId="0" applyFont="1" applyFill="1" applyBorder="1" applyAlignment="1">
      <alignment horizontal="left" vertical="center" wrapText="1"/>
    </xf>
    <xf numFmtId="165" fontId="27" fillId="103" borderId="126" xfId="1" applyNumberFormat="1" applyFont="1" applyFill="1" applyBorder="1" applyAlignment="1">
      <alignment vertical="center"/>
    </xf>
    <xf numFmtId="165" fontId="26" fillId="30" borderId="16" xfId="1" applyNumberFormat="1" applyFont="1" applyFill="1" applyBorder="1" applyAlignment="1">
      <alignment vertical="center"/>
    </xf>
    <xf numFmtId="3" fontId="60" fillId="30" borderId="123" xfId="0" applyNumberFormat="1" applyFont="1" applyFill="1" applyBorder="1" applyAlignment="1">
      <alignment vertical="center"/>
    </xf>
    <xf numFmtId="3" fontId="60" fillId="30" borderId="122" xfId="0" applyNumberFormat="1" applyFont="1" applyFill="1" applyBorder="1" applyAlignment="1">
      <alignment vertical="center"/>
    </xf>
    <xf numFmtId="3" fontId="60" fillId="30" borderId="121" xfId="0" applyNumberFormat="1" applyFont="1" applyFill="1" applyBorder="1" applyAlignment="1">
      <alignment vertical="center"/>
    </xf>
    <xf numFmtId="3" fontId="3" fillId="30" borderId="13" xfId="0" applyNumberFormat="1" applyFont="1" applyFill="1" applyBorder="1" applyAlignment="1">
      <alignment vertical="center" wrapText="1"/>
    </xf>
    <xf numFmtId="3" fontId="3" fillId="30" borderId="16" xfId="0" applyNumberFormat="1" applyFont="1" applyFill="1" applyBorder="1" applyAlignment="1">
      <alignment vertical="center" wrapText="1"/>
    </xf>
    <xf numFmtId="0" fontId="10" fillId="99" borderId="13" xfId="0" applyFont="1" applyFill="1" applyBorder="1" applyAlignment="1">
      <alignment vertical="center" wrapText="1"/>
    </xf>
    <xf numFmtId="3" fontId="60" fillId="0" borderId="45" xfId="0" applyNumberFormat="1" applyFont="1" applyBorder="1" applyAlignment="1">
      <alignment vertical="center" wrapText="1"/>
    </xf>
    <xf numFmtId="0" fontId="27" fillId="30" borderId="0" xfId="0" applyFont="1" applyFill="1" applyAlignment="1">
      <alignment vertical="center"/>
    </xf>
    <xf numFmtId="0" fontId="54" fillId="95" borderId="35" xfId="0" applyFont="1" applyFill="1" applyBorder="1" applyAlignment="1">
      <alignment vertical="center" wrapText="1"/>
    </xf>
    <xf numFmtId="0" fontId="3" fillId="99" borderId="35" xfId="0" applyFont="1" applyFill="1" applyBorder="1" applyAlignment="1">
      <alignment horizontal="center" vertical="center"/>
    </xf>
    <xf numFmtId="165" fontId="3" fillId="4" borderId="34" xfId="7" applyNumberFormat="1" applyFont="1" applyFill="1" applyBorder="1" applyAlignment="1">
      <alignment vertical="center" wrapText="1"/>
    </xf>
    <xf numFmtId="165" fontId="3" fillId="4" borderId="20" xfId="8" applyNumberFormat="1" applyFont="1" applyFill="1" applyBorder="1" applyAlignment="1">
      <alignment vertical="center" wrapText="1"/>
    </xf>
    <xf numFmtId="165" fontId="3" fillId="103" borderId="139" xfId="0" applyNumberFormat="1" applyFont="1" applyFill="1" applyBorder="1" applyAlignment="1">
      <alignment vertical="center"/>
    </xf>
    <xf numFmtId="0" fontId="54" fillId="95" borderId="13" xfId="0" applyFont="1" applyFill="1" applyBorder="1" applyAlignment="1">
      <alignment vertical="center" wrapText="1"/>
    </xf>
    <xf numFmtId="165" fontId="3" fillId="4" borderId="45" xfId="1" applyNumberFormat="1" applyFont="1" applyFill="1" applyBorder="1" applyAlignment="1">
      <alignment vertical="center" wrapText="1"/>
    </xf>
    <xf numFmtId="165" fontId="3" fillId="4" borderId="21" xfId="1" applyNumberFormat="1" applyFont="1" applyFill="1" applyBorder="1" applyAlignment="1">
      <alignment vertical="center" wrapText="1"/>
    </xf>
    <xf numFmtId="165" fontId="2" fillId="103" borderId="50" xfId="1" applyNumberFormat="1" applyFont="1" applyFill="1" applyBorder="1" applyAlignment="1">
      <alignment vertical="center"/>
    </xf>
    <xf numFmtId="165" fontId="3" fillId="103" borderId="44" xfId="1" applyNumberFormat="1" applyFont="1" applyFill="1" applyBorder="1" applyAlignment="1">
      <alignment horizontal="center" vertical="center"/>
    </xf>
    <xf numFmtId="165" fontId="3" fillId="4" borderId="17" xfId="7" applyNumberFormat="1" applyFont="1" applyFill="1" applyBorder="1" applyAlignment="1">
      <alignment vertical="center" wrapText="1"/>
    </xf>
    <xf numFmtId="165" fontId="26" fillId="103" borderId="18" xfId="1" applyNumberFormat="1" applyFont="1" applyFill="1" applyBorder="1" applyAlignment="1">
      <alignment vertical="center"/>
    </xf>
    <xf numFmtId="3" fontId="2" fillId="103" borderId="45" xfId="0" applyNumberFormat="1" applyFont="1" applyFill="1" applyBorder="1" applyAlignment="1">
      <alignment vertical="center"/>
    </xf>
    <xf numFmtId="165" fontId="3" fillId="103" borderId="21" xfId="1" applyNumberFormat="1" applyFont="1" applyFill="1" applyBorder="1" applyAlignment="1">
      <alignment horizontal="center" vertical="center"/>
    </xf>
    <xf numFmtId="165" fontId="3" fillId="4" borderId="45" xfId="7" applyNumberFormat="1" applyFont="1" applyFill="1" applyBorder="1" applyAlignment="1">
      <alignment vertical="center" wrapText="1"/>
    </xf>
    <xf numFmtId="165" fontId="3" fillId="4" borderId="21" xfId="8" applyNumberFormat="1" applyFont="1" applyFill="1" applyBorder="1" applyAlignment="1">
      <alignment vertical="center" wrapText="1"/>
    </xf>
    <xf numFmtId="165" fontId="27" fillId="103" borderId="18" xfId="1" applyNumberFormat="1" applyFont="1" applyFill="1" applyBorder="1" applyAlignment="1">
      <alignment horizontal="right" vertical="center"/>
    </xf>
    <xf numFmtId="165" fontId="3" fillId="103" borderId="21" xfId="1" applyNumberFormat="1" applyFont="1" applyFill="1" applyBorder="1" applyAlignment="1">
      <alignment horizontal="right" vertical="center"/>
    </xf>
    <xf numFmtId="165" fontId="27" fillId="103" borderId="18" xfId="1" applyNumberFormat="1" applyFont="1" applyFill="1" applyBorder="1" applyAlignment="1">
      <alignment vertical="center"/>
    </xf>
    <xf numFmtId="165" fontId="2" fillId="103" borderId="45" xfId="0" applyNumberFormat="1" applyFont="1" applyFill="1" applyBorder="1" applyAlignment="1">
      <alignment vertical="center"/>
    </xf>
    <xf numFmtId="165" fontId="2" fillId="103" borderId="45" xfId="0" applyNumberFormat="1" applyFont="1" applyFill="1" applyBorder="1" applyAlignment="1">
      <alignment vertical="center" wrapText="1"/>
    </xf>
    <xf numFmtId="0" fontId="54" fillId="95" borderId="13" xfId="0" applyFont="1" applyFill="1" applyBorder="1" applyAlignment="1">
      <alignment horizontal="left" vertical="center"/>
    </xf>
    <xf numFmtId="165" fontId="2" fillId="103" borderId="46" xfId="0" applyNumberFormat="1" applyFont="1" applyFill="1" applyBorder="1" applyAlignment="1">
      <alignment vertical="center"/>
    </xf>
    <xf numFmtId="165" fontId="2" fillId="103" borderId="6" xfId="0" applyNumberFormat="1" applyFont="1" applyFill="1" applyBorder="1" applyAlignment="1">
      <alignment vertical="center"/>
    </xf>
    <xf numFmtId="0" fontId="26" fillId="99" borderId="13" xfId="0" applyFont="1" applyFill="1" applyBorder="1" applyAlignment="1">
      <alignment horizontal="center" vertical="center"/>
    </xf>
    <xf numFmtId="165" fontId="3" fillId="4" borderId="20" xfId="7" applyNumberFormat="1" applyFont="1" applyFill="1" applyBorder="1" applyAlignment="1">
      <alignment vertical="center" wrapText="1"/>
    </xf>
    <xf numFmtId="165" fontId="2" fillId="103" borderId="18" xfId="1" applyNumberFormat="1" applyFont="1" applyFill="1" applyBorder="1" applyAlignment="1">
      <alignment vertical="center"/>
    </xf>
    <xf numFmtId="165" fontId="57" fillId="105" borderId="126" xfId="0" applyNumberFormat="1" applyFont="1" applyFill="1" applyBorder="1" applyAlignment="1">
      <alignment vertical="center"/>
    </xf>
    <xf numFmtId="165" fontId="3" fillId="103" borderId="21" xfId="1" applyNumberFormat="1" applyFont="1" applyFill="1" applyBorder="1" applyAlignment="1">
      <alignment vertical="center"/>
    </xf>
    <xf numFmtId="165" fontId="3" fillId="99" borderId="31" xfId="1" applyNumberFormat="1" applyFont="1" applyFill="1" applyBorder="1" applyAlignment="1">
      <alignment horizontal="center" vertical="center"/>
    </xf>
    <xf numFmtId="165" fontId="3" fillId="99" borderId="13" xfId="1" applyNumberFormat="1" applyFont="1" applyFill="1" applyBorder="1" applyAlignment="1">
      <alignment horizontal="center" vertical="center"/>
    </xf>
    <xf numFmtId="165" fontId="146" fillId="4" borderId="34" xfId="7" applyNumberFormat="1" applyFont="1" applyFill="1" applyBorder="1" applyAlignment="1">
      <alignment vertical="center" wrapText="1"/>
    </xf>
    <xf numFmtId="165" fontId="146" fillId="4" borderId="20" xfId="7" applyNumberFormat="1" applyFont="1" applyFill="1" applyBorder="1" applyAlignment="1">
      <alignment vertical="center" wrapText="1"/>
    </xf>
    <xf numFmtId="165" fontId="148" fillId="103" borderId="18" xfId="1" applyNumberFormat="1" applyFont="1" applyFill="1" applyBorder="1" applyAlignment="1">
      <alignment vertical="center"/>
    </xf>
    <xf numFmtId="165" fontId="146" fillId="103" borderId="45" xfId="0" applyNumberFormat="1" applyFont="1" applyFill="1" applyBorder="1" applyAlignment="1">
      <alignment vertical="center"/>
    </xf>
    <xf numFmtId="165" fontId="146" fillId="103" borderId="21" xfId="1" applyNumberFormat="1" applyFont="1" applyFill="1" applyBorder="1" applyAlignment="1">
      <alignment vertical="center"/>
    </xf>
    <xf numFmtId="165" fontId="3" fillId="99" borderId="11" xfId="1" applyNumberFormat="1" applyFont="1" applyFill="1" applyBorder="1" applyAlignment="1">
      <alignment horizontal="center" vertical="center"/>
    </xf>
    <xf numFmtId="165" fontId="57" fillId="103" borderId="45" xfId="0" applyNumberFormat="1" applyFont="1" applyFill="1" applyBorder="1" applyAlignment="1">
      <alignment vertical="center"/>
    </xf>
    <xf numFmtId="165" fontId="150" fillId="103" borderId="18" xfId="1" applyNumberFormat="1" applyFont="1" applyFill="1" applyBorder="1" applyAlignment="1">
      <alignment vertical="center"/>
    </xf>
    <xf numFmtId="165" fontId="150" fillId="103" borderId="45" xfId="0" applyNumberFormat="1" applyFont="1" applyFill="1" applyBorder="1" applyAlignment="1">
      <alignment vertical="center"/>
    </xf>
    <xf numFmtId="165" fontId="151" fillId="103" borderId="21" xfId="1" applyNumberFormat="1" applyFont="1" applyFill="1" applyBorder="1" applyAlignment="1">
      <alignment vertical="center"/>
    </xf>
    <xf numFmtId="165" fontId="3" fillId="99" borderId="53" xfId="1" applyNumberFormat="1" applyFont="1" applyFill="1" applyBorder="1" applyAlignment="1">
      <alignment horizontal="center" vertical="center"/>
    </xf>
    <xf numFmtId="165" fontId="3" fillId="4" borderId="18" xfId="7" applyNumberFormat="1" applyFont="1" applyFill="1" applyBorder="1" applyAlignment="1">
      <alignment vertical="center" wrapText="1"/>
    </xf>
    <xf numFmtId="165" fontId="3" fillId="4" borderId="21" xfId="7" applyNumberFormat="1" applyFont="1" applyFill="1" applyBorder="1" applyAlignment="1">
      <alignment vertical="center" wrapText="1"/>
    </xf>
    <xf numFmtId="165" fontId="2" fillId="103" borderId="18" xfId="1" applyNumberFormat="1" applyFont="1" applyFill="1" applyBorder="1" applyAlignment="1">
      <alignment horizontal="right" vertical="center"/>
    </xf>
    <xf numFmtId="165" fontId="2" fillId="103" borderId="45" xfId="0" applyNumberFormat="1" applyFont="1" applyFill="1" applyBorder="1" applyAlignment="1">
      <alignment horizontal="right"/>
    </xf>
    <xf numFmtId="3" fontId="2" fillId="103" borderId="45" xfId="0" applyNumberFormat="1" applyFont="1" applyFill="1" applyBorder="1"/>
    <xf numFmtId="165" fontId="27" fillId="103" borderId="32" xfId="1" applyNumberFormat="1" applyFont="1" applyFill="1" applyBorder="1" applyAlignment="1">
      <alignment vertical="center"/>
    </xf>
    <xf numFmtId="165" fontId="26" fillId="103" borderId="139" xfId="1" applyNumberFormat="1" applyFont="1" applyFill="1" applyBorder="1" applyAlignment="1">
      <alignment vertical="center"/>
    </xf>
    <xf numFmtId="3" fontId="57" fillId="105" borderId="126" xfId="0" applyNumberFormat="1" applyFont="1" applyFill="1" applyBorder="1"/>
    <xf numFmtId="165" fontId="2" fillId="103" borderId="45" xfId="0" applyNumberFormat="1" applyFont="1" applyFill="1" applyBorder="1" applyAlignment="1">
      <alignment horizontal="right" vertical="center"/>
    </xf>
    <xf numFmtId="165" fontId="57" fillId="103" borderId="36" xfId="0" applyNumberFormat="1" applyFont="1" applyFill="1" applyBorder="1" applyAlignment="1">
      <alignment horizontal="right" vertical="center"/>
    </xf>
    <xf numFmtId="3" fontId="57" fillId="102" borderId="4" xfId="0" applyNumberFormat="1" applyFont="1" applyFill="1" applyBorder="1"/>
    <xf numFmtId="3" fontId="57" fillId="94" borderId="4" xfId="0" applyNumberFormat="1" applyFont="1" applyFill="1" applyBorder="1"/>
    <xf numFmtId="3" fontId="57" fillId="25" borderId="4" xfId="0" applyNumberFormat="1" applyFont="1" applyFill="1" applyBorder="1"/>
    <xf numFmtId="3" fontId="57" fillId="25" borderId="28" xfId="0" applyNumberFormat="1" applyFont="1" applyFill="1" applyBorder="1"/>
    <xf numFmtId="3" fontId="57" fillId="94" borderId="28" xfId="0" applyNumberFormat="1" applyFont="1" applyFill="1" applyBorder="1"/>
    <xf numFmtId="0" fontId="26" fillId="96" borderId="4" xfId="0" applyFont="1" applyFill="1" applyBorder="1" applyAlignment="1">
      <alignment horizontal="center" vertical="center"/>
    </xf>
    <xf numFmtId="0" fontId="26" fillId="96" borderId="4" xfId="0" applyFont="1" applyFill="1" applyBorder="1" applyAlignment="1">
      <alignment horizontal="center" vertical="center" wrapText="1"/>
    </xf>
    <xf numFmtId="3" fontId="57" fillId="7" borderId="4" xfId="0" applyNumberFormat="1" applyFont="1" applyFill="1" applyBorder="1"/>
    <xf numFmtId="0" fontId="26" fillId="96" borderId="5" xfId="0" applyFont="1" applyFill="1" applyBorder="1" applyAlignment="1">
      <alignment horizontal="center" vertical="center"/>
    </xf>
    <xf numFmtId="3" fontId="57" fillId="94" borderId="4" xfId="0" applyNumberFormat="1" applyFont="1" applyFill="1" applyBorder="1" applyAlignment="1">
      <alignment vertical="center"/>
    </xf>
    <xf numFmtId="3" fontId="57" fillId="25" borderId="28" xfId="0" applyNumberFormat="1" applyFont="1" applyFill="1" applyBorder="1" applyAlignment="1">
      <alignment vertical="center"/>
    </xf>
    <xf numFmtId="165" fontId="57" fillId="25" borderId="28" xfId="0" applyNumberFormat="1" applyFont="1" applyFill="1" applyBorder="1" applyAlignment="1">
      <alignment vertical="center"/>
    </xf>
    <xf numFmtId="0" fontId="3" fillId="96" borderId="3" xfId="0" applyFont="1" applyFill="1" applyBorder="1" applyAlignment="1">
      <alignment horizontal="center" vertical="center" wrapText="1"/>
    </xf>
    <xf numFmtId="2" fontId="27" fillId="0" borderId="156" xfId="0" applyNumberFormat="1" applyFont="1" applyBorder="1" applyAlignment="1">
      <alignment vertical="center"/>
    </xf>
    <xf numFmtId="2" fontId="27" fillId="0" borderId="4" xfId="0" applyNumberFormat="1" applyFont="1" applyBorder="1" applyAlignment="1">
      <alignment vertical="center"/>
    </xf>
    <xf numFmtId="2" fontId="27" fillId="94" borderId="156" xfId="0" applyNumberFormat="1" applyFont="1" applyFill="1" applyBorder="1" applyAlignment="1">
      <alignment vertical="center"/>
    </xf>
    <xf numFmtId="2" fontId="27" fillId="25" borderId="156" xfId="0" applyNumberFormat="1" applyFont="1" applyFill="1" applyBorder="1" applyAlignment="1">
      <alignment vertical="center"/>
    </xf>
    <xf numFmtId="0" fontId="27" fillId="4" borderId="5" xfId="0" applyFont="1" applyFill="1" applyBorder="1" applyAlignment="1">
      <alignment vertical="center"/>
    </xf>
    <xf numFmtId="0" fontId="26" fillId="0" borderId="169" xfId="0" applyFont="1" applyBorder="1" applyAlignment="1">
      <alignment horizontal="left" vertical="center"/>
    </xf>
    <xf numFmtId="0" fontId="54" fillId="95" borderId="171" xfId="0" applyFont="1" applyFill="1" applyBorder="1" applyAlignment="1">
      <alignment horizontal="center" vertical="center"/>
    </xf>
    <xf numFmtId="0" fontId="54" fillId="95" borderId="166" xfId="0" applyFont="1" applyFill="1" applyBorder="1" applyAlignment="1">
      <alignment horizontal="center" vertical="center"/>
    </xf>
    <xf numFmtId="165" fontId="27" fillId="0" borderId="156" xfId="1" applyNumberFormat="1" applyFont="1" applyFill="1" applyBorder="1" applyAlignment="1">
      <alignment vertical="center"/>
    </xf>
    <xf numFmtId="0" fontId="2" fillId="4" borderId="156" xfId="0" applyFont="1" applyFill="1" applyBorder="1" applyAlignment="1">
      <alignment vertical="center"/>
    </xf>
    <xf numFmtId="0" fontId="54" fillId="95" borderId="162" xfId="0" applyFont="1" applyFill="1" applyBorder="1" applyAlignment="1">
      <alignment horizontal="center" vertical="center"/>
    </xf>
    <xf numFmtId="0" fontId="54" fillId="95" borderId="6" xfId="0" applyFont="1" applyFill="1" applyBorder="1" applyAlignment="1">
      <alignment horizontal="center" vertical="center"/>
    </xf>
    <xf numFmtId="0" fontId="54" fillId="95" borderId="175" xfId="0" applyFont="1" applyFill="1" applyBorder="1" applyAlignment="1">
      <alignment horizontal="center" vertical="center"/>
    </xf>
    <xf numFmtId="165" fontId="27" fillId="0" borderId="4" xfId="1" applyNumberFormat="1" applyFont="1" applyFill="1" applyBorder="1" applyAlignment="1">
      <alignment vertical="center"/>
    </xf>
    <xf numFmtId="0" fontId="26" fillId="7" borderId="28" xfId="0" applyFont="1" applyFill="1" applyBorder="1" applyAlignment="1">
      <alignment horizontal="center" vertical="center"/>
    </xf>
    <xf numFmtId="0" fontId="54" fillId="95" borderId="177" xfId="0" applyFont="1" applyFill="1" applyBorder="1" applyAlignment="1">
      <alignment horizontal="center" vertical="center"/>
    </xf>
    <xf numFmtId="0" fontId="54" fillId="95" borderId="164" xfId="0" applyFont="1" applyFill="1" applyBorder="1" applyAlignment="1">
      <alignment horizontal="center" vertical="center"/>
    </xf>
    <xf numFmtId="0" fontId="54" fillId="95" borderId="174" xfId="0" applyFont="1" applyFill="1" applyBorder="1" applyAlignment="1">
      <alignment horizontal="center" vertical="center"/>
    </xf>
    <xf numFmtId="0" fontId="54" fillId="95" borderId="167" xfId="0" applyFont="1" applyFill="1" applyBorder="1" applyAlignment="1">
      <alignment horizontal="center" vertical="center"/>
    </xf>
    <xf numFmtId="43" fontId="27" fillId="0" borderId="156" xfId="1" applyFont="1" applyFill="1" applyBorder="1" applyAlignment="1">
      <alignment horizontal="center" vertical="center"/>
    </xf>
    <xf numFmtId="43" fontId="27" fillId="0" borderId="156" xfId="0" applyNumberFormat="1" applyFont="1" applyBorder="1" applyAlignment="1">
      <alignment vertical="center"/>
    </xf>
    <xf numFmtId="0" fontId="54" fillId="95" borderId="182" xfId="0" applyFont="1" applyFill="1" applyBorder="1" applyAlignment="1">
      <alignment horizontal="center" vertical="center"/>
    </xf>
    <xf numFmtId="0" fontId="54" fillId="95" borderId="183" xfId="0" applyFont="1" applyFill="1" applyBorder="1" applyAlignment="1">
      <alignment horizontal="center" vertical="center"/>
    </xf>
    <xf numFmtId="0" fontId="54" fillId="95" borderId="184" xfId="0" applyFont="1" applyFill="1" applyBorder="1" applyAlignment="1">
      <alignment horizontal="center" vertical="center"/>
    </xf>
    <xf numFmtId="0" fontId="27" fillId="4" borderId="4" xfId="0" applyFont="1" applyFill="1" applyBorder="1" applyAlignment="1">
      <alignment vertical="center" wrapText="1"/>
    </xf>
    <xf numFmtId="0" fontId="2" fillId="4" borderId="156" xfId="0" applyFont="1" applyFill="1" applyBorder="1" applyAlignment="1">
      <alignment vertical="center" wrapText="1"/>
    </xf>
    <xf numFmtId="0" fontId="26" fillId="7" borderId="6" xfId="0" applyFont="1" applyFill="1" applyBorder="1" applyAlignment="1">
      <alignment horizontal="center" vertical="center"/>
    </xf>
    <xf numFmtId="0" fontId="54" fillId="95" borderId="187" xfId="0" applyFont="1" applyFill="1" applyBorder="1" applyAlignment="1">
      <alignment horizontal="center" vertical="center"/>
    </xf>
    <xf numFmtId="0" fontId="54" fillId="95" borderId="188" xfId="0" applyFont="1" applyFill="1" applyBorder="1" applyAlignment="1">
      <alignment horizontal="center" vertical="center"/>
    </xf>
    <xf numFmtId="3" fontId="57" fillId="25" borderId="156" xfId="0" applyNumberFormat="1" applyFont="1" applyFill="1" applyBorder="1" applyAlignment="1">
      <alignment vertical="center"/>
    </xf>
    <xf numFmtId="0" fontId="54" fillId="95" borderId="163" xfId="0" applyFont="1" applyFill="1" applyBorder="1" applyAlignment="1">
      <alignment horizontal="center" vertical="center"/>
    </xf>
    <xf numFmtId="3" fontId="57" fillId="94" borderId="156" xfId="0" applyNumberFormat="1" applyFont="1" applyFill="1" applyBorder="1" applyAlignment="1">
      <alignment vertical="center"/>
    </xf>
    <xf numFmtId="0" fontId="54" fillId="95" borderId="190" xfId="0" applyFont="1" applyFill="1" applyBorder="1" applyAlignment="1">
      <alignment horizontal="center" vertical="center"/>
    </xf>
    <xf numFmtId="0" fontId="27" fillId="4" borderId="5" xfId="0" applyFont="1" applyFill="1" applyBorder="1" applyAlignment="1">
      <alignment horizontal="left" vertical="center" wrapText="1"/>
    </xf>
    <xf numFmtId="0" fontId="54" fillId="95" borderId="161" xfId="0" applyFont="1" applyFill="1" applyBorder="1" applyAlignment="1">
      <alignment horizontal="center" vertical="center"/>
    </xf>
    <xf numFmtId="0" fontId="54" fillId="95" borderId="157" xfId="0" applyFont="1" applyFill="1" applyBorder="1" applyAlignment="1">
      <alignment horizontal="center" vertical="center"/>
    </xf>
    <xf numFmtId="3" fontId="57" fillId="101" borderId="28" xfId="0" applyNumberFormat="1" applyFont="1" applyFill="1" applyBorder="1" applyAlignment="1">
      <alignment vertical="center"/>
    </xf>
    <xf numFmtId="165" fontId="26" fillId="25" borderId="86" xfId="1" applyNumberFormat="1" applyFont="1" applyFill="1" applyBorder="1" applyAlignment="1">
      <alignment horizontal="center" vertical="center"/>
    </xf>
    <xf numFmtId="165" fontId="3" fillId="108" borderId="86" xfId="1" applyNumberFormat="1" applyFont="1" applyFill="1" applyBorder="1" applyAlignment="1">
      <alignment vertical="center"/>
    </xf>
    <xf numFmtId="165" fontId="2" fillId="108" borderId="86" xfId="1" applyNumberFormat="1" applyFont="1" applyFill="1" applyBorder="1" applyAlignment="1">
      <alignment vertical="center"/>
    </xf>
    <xf numFmtId="165" fontId="2" fillId="108" borderId="89" xfId="1" applyNumberFormat="1" applyFont="1" applyFill="1" applyBorder="1" applyAlignment="1">
      <alignment vertical="center"/>
    </xf>
    <xf numFmtId="165" fontId="26" fillId="103" borderId="4" xfId="1" applyNumberFormat="1" applyFont="1" applyFill="1" applyBorder="1" applyAlignment="1">
      <alignment vertical="center"/>
    </xf>
    <xf numFmtId="165" fontId="26" fillId="103" borderId="4" xfId="0" applyNumberFormat="1" applyFont="1" applyFill="1" applyBorder="1" applyAlignment="1">
      <alignment vertical="center"/>
    </xf>
    <xf numFmtId="165" fontId="27" fillId="108" borderId="86" xfId="0" applyNumberFormat="1" applyFont="1" applyFill="1" applyBorder="1" applyAlignment="1">
      <alignment vertical="center"/>
    </xf>
    <xf numFmtId="165" fontId="26" fillId="103" borderId="28" xfId="1" applyNumberFormat="1" applyFont="1" applyFill="1" applyBorder="1" applyAlignment="1">
      <alignment horizontal="left" vertical="center"/>
    </xf>
    <xf numFmtId="9" fontId="26" fillId="103" borderId="4" xfId="10" applyFont="1" applyFill="1" applyBorder="1" applyAlignment="1">
      <alignment horizontal="center" vertical="center"/>
    </xf>
    <xf numFmtId="165" fontId="22" fillId="0" borderId="0" xfId="1" quotePrefix="1" applyNumberFormat="1" applyFont="1" applyFill="1" applyBorder="1" applyAlignment="1">
      <alignment vertical="center"/>
    </xf>
    <xf numFmtId="165" fontId="26" fillId="94" borderId="4" xfId="0" applyNumberFormat="1" applyFont="1" applyFill="1" applyBorder="1" applyAlignment="1">
      <alignment horizontal="left" vertical="center"/>
    </xf>
    <xf numFmtId="0" fontId="54" fillId="95" borderId="173" xfId="0" applyFont="1" applyFill="1" applyBorder="1" applyAlignment="1">
      <alignment horizontal="center" vertical="center"/>
    </xf>
    <xf numFmtId="0" fontId="54" fillId="95" borderId="192" xfId="0" applyFont="1" applyFill="1" applyBorder="1" applyAlignment="1">
      <alignment horizontal="center" vertical="center"/>
    </xf>
    <xf numFmtId="0" fontId="3" fillId="96" borderId="28" xfId="0" applyFont="1" applyFill="1" applyBorder="1" applyAlignment="1">
      <alignment horizontal="center" vertical="center" wrapText="1"/>
    </xf>
    <xf numFmtId="0" fontId="3" fillId="96" borderId="28" xfId="0" applyFont="1" applyFill="1" applyBorder="1" applyAlignment="1">
      <alignment horizontal="center" vertical="center"/>
    </xf>
    <xf numFmtId="2" fontId="2" fillId="4" borderId="4" xfId="0" applyNumberFormat="1" applyFont="1" applyFill="1" applyBorder="1" applyAlignment="1">
      <alignment vertical="center"/>
    </xf>
    <xf numFmtId="165" fontId="26" fillId="96" borderId="4" xfId="0" applyNumberFormat="1" applyFont="1" applyFill="1" applyBorder="1" applyAlignment="1">
      <alignment horizontal="center" vertical="center" wrapText="1"/>
    </xf>
    <xf numFmtId="165" fontId="3" fillId="96" borderId="3" xfId="0" applyNumberFormat="1" applyFont="1" applyFill="1" applyBorder="1" applyAlignment="1">
      <alignment horizontal="center" vertical="center" wrapText="1"/>
    </xf>
    <xf numFmtId="165" fontId="26" fillId="96" borderId="28" xfId="0" applyNumberFormat="1" applyFont="1" applyFill="1" applyBorder="1" applyAlignment="1">
      <alignment horizontal="center" vertical="center" wrapText="1"/>
    </xf>
    <xf numFmtId="0" fontId="27" fillId="4" borderId="4" xfId="0" applyFont="1" applyFill="1" applyBorder="1" applyAlignment="1">
      <alignment vertical="center"/>
    </xf>
    <xf numFmtId="0" fontId="26" fillId="96" borderId="4" xfId="0" applyFont="1" applyFill="1" applyBorder="1" applyAlignment="1">
      <alignment horizontal="left" vertical="center" wrapText="1"/>
    </xf>
    <xf numFmtId="0" fontId="26" fillId="96" borderId="28" xfId="0" applyFont="1" applyFill="1" applyBorder="1" applyAlignment="1">
      <alignment horizontal="center" vertical="center" wrapText="1"/>
    </xf>
    <xf numFmtId="0" fontId="3" fillId="97" borderId="4" xfId="0" applyFont="1" applyFill="1" applyBorder="1" applyAlignment="1">
      <alignment horizontal="center" vertical="center"/>
    </xf>
    <xf numFmtId="0" fontId="3" fillId="97" borderId="28" xfId="0" applyFont="1" applyFill="1" applyBorder="1" applyAlignment="1">
      <alignment horizontal="center" vertical="center"/>
    </xf>
    <xf numFmtId="0" fontId="2" fillId="4" borderId="4" xfId="0" applyFont="1" applyFill="1" applyBorder="1" applyAlignment="1">
      <alignment vertical="center"/>
    </xf>
    <xf numFmtId="0" fontId="54" fillId="98" borderId="162" xfId="0" applyFont="1" applyFill="1" applyBorder="1" applyAlignment="1">
      <alignment horizontal="center" vertical="center"/>
    </xf>
    <xf numFmtId="0" fontId="54" fillId="95" borderId="162" xfId="0" applyFont="1" applyFill="1" applyBorder="1" applyAlignment="1">
      <alignment horizontal="right" vertical="center"/>
    </xf>
    <xf numFmtId="0" fontId="54" fillId="95" borderId="162" xfId="0" applyFont="1" applyFill="1" applyBorder="1" applyAlignment="1">
      <alignment horizontal="center" vertical="center" wrapText="1"/>
    </xf>
    <xf numFmtId="0" fontId="26" fillId="96" borderId="28" xfId="0" applyFont="1" applyFill="1" applyBorder="1" applyAlignment="1">
      <alignment horizontal="center" vertical="center"/>
    </xf>
    <xf numFmtId="9" fontId="26" fillId="96" borderId="4" xfId="10" applyFont="1" applyFill="1" applyBorder="1" applyAlignment="1">
      <alignment horizontal="center" vertical="center"/>
    </xf>
    <xf numFmtId="0" fontId="26" fillId="96" borderId="6" xfId="0" applyFont="1" applyFill="1" applyBorder="1" applyAlignment="1">
      <alignment horizontal="center" vertical="center"/>
    </xf>
    <xf numFmtId="165" fontId="27" fillId="0" borderId="4" xfId="0" applyNumberFormat="1" applyFont="1" applyBorder="1" applyAlignment="1">
      <alignment vertical="center"/>
    </xf>
    <xf numFmtId="2" fontId="27" fillId="0" borderId="4" xfId="1" applyNumberFormat="1" applyFont="1" applyFill="1" applyBorder="1" applyAlignment="1">
      <alignment horizontal="right" vertical="center"/>
    </xf>
    <xf numFmtId="0" fontId="54" fillId="95" borderId="162" xfId="0" applyFont="1" applyFill="1" applyBorder="1" applyAlignment="1">
      <alignment horizontal="left" vertical="center" wrapText="1"/>
    </xf>
    <xf numFmtId="0" fontId="54" fillId="107" borderId="162" xfId="0" applyFont="1" applyFill="1" applyBorder="1" applyAlignment="1">
      <alignment horizontal="left" vertical="center" wrapText="1"/>
    </xf>
    <xf numFmtId="0" fontId="2" fillId="4" borderId="4" xfId="0" applyFont="1" applyFill="1" applyBorder="1" applyAlignment="1">
      <alignment horizontal="left" vertical="center"/>
    </xf>
    <xf numFmtId="0" fontId="2" fillId="0" borderId="4" xfId="0" applyFont="1" applyBorder="1" applyAlignment="1">
      <alignment horizontal="left" vertical="center"/>
    </xf>
    <xf numFmtId="0" fontId="3" fillId="99" borderId="4" xfId="0" applyFont="1" applyFill="1" applyBorder="1" applyAlignment="1">
      <alignment horizontal="center" vertical="center"/>
    </xf>
    <xf numFmtId="0" fontId="2" fillId="25" borderId="4" xfId="0" applyFont="1" applyFill="1" applyBorder="1" applyAlignment="1">
      <alignment horizontal="left" vertical="center"/>
    </xf>
    <xf numFmtId="0" fontId="2" fillId="4" borderId="4" xfId="25" applyFont="1" applyFill="1" applyBorder="1" applyAlignment="1">
      <alignment horizontal="left" vertical="center"/>
    </xf>
    <xf numFmtId="0" fontId="2" fillId="4" borderId="4" xfId="9" applyFont="1" applyFill="1" applyBorder="1" applyAlignment="1" applyProtection="1">
      <alignment horizontal="left" vertical="center"/>
    </xf>
    <xf numFmtId="165" fontId="22" fillId="0" borderId="4" xfId="1" applyNumberFormat="1" applyFont="1" applyFill="1" applyBorder="1" applyAlignment="1">
      <alignment vertical="center"/>
    </xf>
    <xf numFmtId="1" fontId="54" fillId="95" borderId="162" xfId="0" applyNumberFormat="1" applyFont="1" applyFill="1" applyBorder="1" applyAlignment="1">
      <alignment horizontal="center" vertical="center"/>
    </xf>
    <xf numFmtId="1" fontId="54" fillId="95" borderId="192" xfId="0" applyNumberFormat="1" applyFont="1" applyFill="1" applyBorder="1" applyAlignment="1">
      <alignment horizontal="center" vertical="center"/>
    </xf>
    <xf numFmtId="1" fontId="54" fillId="95" borderId="184" xfId="0" applyNumberFormat="1" applyFont="1" applyFill="1" applyBorder="1" applyAlignment="1">
      <alignment horizontal="center" vertical="center"/>
    </xf>
    <xf numFmtId="165" fontId="35" fillId="94" borderId="4" xfId="1" applyNumberFormat="1" applyFont="1" applyFill="1" applyBorder="1" applyAlignment="1">
      <alignment vertical="center"/>
    </xf>
    <xf numFmtId="165" fontId="2" fillId="0" borderId="4" xfId="1" applyNumberFormat="1" applyFont="1" applyBorder="1" applyAlignment="1">
      <alignment vertical="center"/>
    </xf>
    <xf numFmtId="165" fontId="2" fillId="25" borderId="4" xfId="1" applyNumberFormat="1" applyFont="1" applyFill="1" applyBorder="1" applyAlignment="1">
      <alignment vertical="center"/>
    </xf>
    <xf numFmtId="165" fontId="2" fillId="94" borderId="4" xfId="1" applyNumberFormat="1" applyFont="1" applyFill="1" applyBorder="1" applyAlignment="1">
      <alignment vertical="center"/>
    </xf>
    <xf numFmtId="165" fontId="2" fillId="4" borderId="4" xfId="1" applyNumberFormat="1" applyFont="1" applyFill="1" applyBorder="1" applyAlignment="1">
      <alignment vertical="center"/>
    </xf>
    <xf numFmtId="0" fontId="27" fillId="0" borderId="164" xfId="0" applyFont="1" applyBorder="1" applyAlignment="1">
      <alignment vertical="center" wrapText="1"/>
    </xf>
    <xf numFmtId="165" fontId="2" fillId="0" borderId="4" xfId="1" quotePrefix="1" applyNumberFormat="1" applyFont="1" applyFill="1" applyBorder="1" applyAlignment="1">
      <alignment vertical="center"/>
    </xf>
    <xf numFmtId="0" fontId="54" fillId="95" borderId="163" xfId="1" applyNumberFormat="1" applyFont="1" applyFill="1" applyBorder="1" applyAlignment="1">
      <alignment horizontal="left" vertical="center"/>
    </xf>
    <xf numFmtId="0" fontId="54" fillId="95" borderId="164" xfId="1" applyNumberFormat="1" applyFont="1" applyFill="1" applyBorder="1" applyAlignment="1">
      <alignment horizontal="left" vertical="center"/>
    </xf>
    <xf numFmtId="0" fontId="54" fillId="95" borderId="189" xfId="1" applyNumberFormat="1" applyFont="1" applyFill="1" applyBorder="1" applyAlignment="1">
      <alignment horizontal="left" vertical="center"/>
    </xf>
    <xf numFmtId="0" fontId="54" fillId="95" borderId="176" xfId="1" applyNumberFormat="1" applyFont="1" applyFill="1" applyBorder="1" applyAlignment="1">
      <alignment horizontal="left" vertical="center"/>
    </xf>
    <xf numFmtId="165" fontId="3" fillId="103" borderId="27" xfId="1" applyNumberFormat="1" applyFont="1" applyFill="1" applyBorder="1" applyAlignment="1">
      <alignment vertical="center"/>
    </xf>
    <xf numFmtId="0" fontId="2" fillId="0" borderId="4" xfId="0" applyFont="1" applyBorder="1" applyAlignment="1">
      <alignment vertical="center"/>
    </xf>
    <xf numFmtId="165" fontId="54" fillId="107" borderId="163" xfId="1" applyNumberFormat="1" applyFont="1" applyFill="1" applyBorder="1" applyAlignment="1">
      <alignment horizontal="left" vertical="center"/>
    </xf>
    <xf numFmtId="165" fontId="54" fillId="107" borderId="164" xfId="1" applyNumberFormat="1" applyFont="1" applyFill="1" applyBorder="1" applyAlignment="1">
      <alignment horizontal="left" vertical="center"/>
    </xf>
    <xf numFmtId="165" fontId="2" fillId="4" borderId="4" xfId="1" quotePrefix="1" applyNumberFormat="1" applyFont="1" applyFill="1" applyBorder="1" applyAlignment="1">
      <alignment vertical="center"/>
    </xf>
    <xf numFmtId="165" fontId="8" fillId="0" borderId="169" xfId="1" applyNumberFormat="1" applyFont="1" applyFill="1" applyBorder="1" applyAlignment="1">
      <alignment vertical="center"/>
    </xf>
    <xf numFmtId="165" fontId="26" fillId="0" borderId="169" xfId="1" applyNumberFormat="1" applyFont="1" applyFill="1" applyBorder="1" applyAlignment="1">
      <alignment horizontal="right" vertical="center"/>
    </xf>
    <xf numFmtId="0" fontId="0" fillId="0" borderId="169" xfId="0" applyBorder="1" applyAlignment="1">
      <alignment vertical="center"/>
    </xf>
    <xf numFmtId="0" fontId="54" fillId="107" borderId="162" xfId="1" applyNumberFormat="1" applyFont="1" applyFill="1" applyBorder="1" applyAlignment="1">
      <alignment horizontal="center" vertical="center"/>
    </xf>
    <xf numFmtId="165" fontId="3" fillId="0" borderId="169" xfId="1" applyNumberFormat="1" applyFont="1" applyFill="1" applyBorder="1" applyAlignment="1">
      <alignment vertical="center"/>
    </xf>
    <xf numFmtId="165" fontId="3" fillId="0" borderId="193" xfId="1" applyNumberFormat="1" applyFont="1" applyFill="1" applyBorder="1" applyAlignment="1">
      <alignment vertical="center"/>
    </xf>
    <xf numFmtId="165" fontId="2" fillId="0" borderId="193" xfId="1" applyNumberFormat="1" applyFont="1" applyFill="1" applyBorder="1" applyAlignment="1">
      <alignment vertical="center"/>
    </xf>
    <xf numFmtId="0" fontId="54" fillId="107" borderId="184" xfId="1" applyNumberFormat="1" applyFont="1" applyFill="1" applyBorder="1" applyAlignment="1">
      <alignment horizontal="center" vertical="center"/>
    </xf>
    <xf numFmtId="165" fontId="2" fillId="0" borderId="28" xfId="1" applyNumberFormat="1" applyFont="1" applyFill="1" applyBorder="1" applyAlignment="1">
      <alignment horizontal="center" vertical="center"/>
    </xf>
    <xf numFmtId="165" fontId="2" fillId="25" borderId="28" xfId="1" applyNumberFormat="1" applyFont="1" applyFill="1" applyBorder="1" applyAlignment="1">
      <alignment horizontal="center" vertical="center"/>
    </xf>
    <xf numFmtId="165" fontId="2" fillId="94" borderId="28" xfId="1" applyNumberFormat="1" applyFont="1" applyFill="1" applyBorder="1" applyAlignment="1">
      <alignment horizontal="center" vertical="center"/>
    </xf>
    <xf numFmtId="0" fontId="54" fillId="95" borderId="162" xfId="1" applyNumberFormat="1" applyFont="1" applyFill="1" applyBorder="1" applyAlignment="1">
      <alignment horizontal="center" vertical="center"/>
    </xf>
    <xf numFmtId="0" fontId="54" fillId="95" borderId="192" xfId="1" applyNumberFormat="1" applyFont="1" applyFill="1" applyBorder="1" applyAlignment="1">
      <alignment horizontal="center" vertical="center"/>
    </xf>
    <xf numFmtId="165" fontId="2" fillId="26" borderId="28" xfId="1" applyNumberFormat="1" applyFont="1" applyFill="1" applyBorder="1" applyAlignment="1">
      <alignment horizontal="center" vertical="center"/>
    </xf>
    <xf numFmtId="0" fontId="54" fillId="95" borderId="173" xfId="1" applyNumberFormat="1" applyFont="1" applyFill="1" applyBorder="1" applyAlignment="1">
      <alignment horizontal="center" vertical="center"/>
    </xf>
    <xf numFmtId="0" fontId="54" fillId="95" borderId="184" xfId="1" applyNumberFormat="1" applyFont="1" applyFill="1" applyBorder="1" applyAlignment="1">
      <alignment horizontal="center" vertical="center"/>
    </xf>
    <xf numFmtId="165" fontId="2" fillId="0" borderId="162" xfId="1" applyNumberFormat="1" applyFont="1" applyFill="1" applyBorder="1" applyAlignment="1">
      <alignment horizontal="center" vertical="center"/>
    </xf>
    <xf numFmtId="165" fontId="2" fillId="26" borderId="4" xfId="1" applyNumberFormat="1" applyFont="1" applyFill="1" applyBorder="1" applyAlignment="1">
      <alignment vertical="center"/>
    </xf>
    <xf numFmtId="165" fontId="54" fillId="107" borderId="189" xfId="1" applyNumberFormat="1" applyFont="1" applyFill="1" applyBorder="1" applyAlignment="1">
      <alignment horizontal="left" vertical="center"/>
    </xf>
    <xf numFmtId="165" fontId="54" fillId="107" borderId="176" xfId="1" applyNumberFormat="1" applyFont="1" applyFill="1" applyBorder="1" applyAlignment="1">
      <alignment horizontal="left" vertical="center"/>
    </xf>
    <xf numFmtId="0" fontId="3" fillId="23" borderId="136" xfId="0" applyFont="1" applyFill="1" applyBorder="1" applyAlignment="1">
      <alignment horizontal="center" vertical="center" wrapText="1"/>
    </xf>
    <xf numFmtId="0" fontId="3" fillId="4" borderId="136"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23" borderId="86" xfId="0" applyFont="1" applyFill="1" applyBorder="1" applyAlignment="1">
      <alignment horizontal="center" vertical="center" wrapText="1"/>
    </xf>
    <xf numFmtId="0" fontId="6" fillId="0" borderId="0" xfId="0" applyFont="1" applyAlignment="1">
      <alignment vertical="center" wrapText="1"/>
    </xf>
    <xf numFmtId="165" fontId="37" fillId="0" borderId="0" xfId="1" applyNumberFormat="1" applyFont="1" applyFill="1" applyBorder="1"/>
    <xf numFmtId="165" fontId="27" fillId="7" borderId="156" xfId="1" applyNumberFormat="1" applyFont="1" applyFill="1" applyBorder="1" applyAlignment="1">
      <alignment vertical="center"/>
    </xf>
    <xf numFmtId="165" fontId="27" fillId="7" borderId="4" xfId="1" applyNumberFormat="1" applyFont="1" applyFill="1" applyBorder="1" applyAlignment="1">
      <alignment vertical="center"/>
    </xf>
    <xf numFmtId="0" fontId="26" fillId="99" borderId="74" xfId="0" applyFont="1" applyFill="1" applyBorder="1" applyAlignment="1">
      <alignment horizontal="center" wrapText="1"/>
    </xf>
    <xf numFmtId="165" fontId="3" fillId="30" borderId="74" xfId="2" applyNumberFormat="1" applyFont="1" applyFill="1" applyBorder="1" applyAlignment="1">
      <alignment vertical="center"/>
    </xf>
    <xf numFmtId="0" fontId="60" fillId="0" borderId="0" xfId="0" applyFont="1" applyAlignment="1">
      <alignment vertical="center"/>
    </xf>
    <xf numFmtId="0" fontId="60" fillId="0" borderId="0" xfId="0" applyFont="1" applyAlignment="1">
      <alignment horizontal="left" vertical="center"/>
    </xf>
    <xf numFmtId="3" fontId="60" fillId="30" borderId="74" xfId="0" applyNumberFormat="1" applyFont="1" applyFill="1" applyBorder="1" applyAlignment="1">
      <alignment vertical="center"/>
    </xf>
    <xf numFmtId="0" fontId="26" fillId="0" borderId="74" xfId="25" applyFont="1" applyBorder="1" applyAlignment="1">
      <alignment horizontal="right" vertical="center"/>
    </xf>
    <xf numFmtId="165" fontId="26" fillId="0" borderId="74" xfId="1" applyNumberFormat="1" applyFont="1" applyFill="1" applyBorder="1" applyAlignment="1">
      <alignment horizontal="right" vertical="center"/>
    </xf>
    <xf numFmtId="165" fontId="26" fillId="0" borderId="74" xfId="1" applyNumberFormat="1" applyFont="1" applyFill="1" applyBorder="1" applyAlignment="1">
      <alignment vertical="center"/>
    </xf>
    <xf numFmtId="165" fontId="3" fillId="99" borderId="74" xfId="1" applyNumberFormat="1" applyFont="1" applyFill="1" applyBorder="1" applyAlignment="1">
      <alignment horizontal="center" vertical="center"/>
    </xf>
    <xf numFmtId="165" fontId="3" fillId="0" borderId="74" xfId="1" applyNumberFormat="1" applyFont="1" applyFill="1" applyBorder="1" applyAlignment="1">
      <alignment horizontal="left" vertical="center"/>
    </xf>
    <xf numFmtId="165" fontId="2" fillId="108" borderId="194" xfId="38" applyNumberFormat="1" applyFont="1" applyFill="1" applyBorder="1" applyAlignment="1">
      <alignment vertical="center"/>
    </xf>
    <xf numFmtId="165" fontId="2" fillId="0" borderId="194" xfId="1" applyNumberFormat="1" applyFont="1" applyFill="1" applyBorder="1" applyAlignment="1">
      <alignment vertical="center"/>
    </xf>
    <xf numFmtId="43" fontId="2" fillId="0" borderId="194" xfId="1" applyFont="1" applyFill="1" applyBorder="1" applyAlignment="1">
      <alignment vertical="center"/>
    </xf>
    <xf numFmtId="43" fontId="2" fillId="108" borderId="194" xfId="1" applyFont="1" applyFill="1" applyBorder="1" applyAlignment="1">
      <alignment vertical="center"/>
    </xf>
    <xf numFmtId="0" fontId="27" fillId="4" borderId="194" xfId="0" applyFont="1" applyFill="1" applyBorder="1" applyAlignment="1">
      <alignment vertical="center" wrapText="1"/>
    </xf>
    <xf numFmtId="3" fontId="2" fillId="91" borderId="194" xfId="0" applyNumberFormat="1" applyFont="1" applyFill="1" applyBorder="1" applyAlignment="1">
      <alignment vertical="center"/>
    </xf>
    <xf numFmtId="2" fontId="2" fillId="4" borderId="194" xfId="0" applyNumberFormat="1" applyFont="1" applyFill="1" applyBorder="1" applyAlignment="1">
      <alignment vertical="center"/>
    </xf>
    <xf numFmtId="165" fontId="2" fillId="0" borderId="194" xfId="1" applyNumberFormat="1" applyFont="1" applyBorder="1" applyAlignment="1">
      <alignment vertical="center"/>
    </xf>
    <xf numFmtId="165" fontId="2" fillId="108" borderId="194" xfId="1" applyNumberFormat="1" applyFont="1" applyFill="1" applyBorder="1" applyAlignment="1">
      <alignment vertical="center"/>
    </xf>
    <xf numFmtId="165" fontId="2" fillId="21" borderId="194" xfId="1" applyNumberFormat="1" applyFont="1" applyFill="1" applyBorder="1" applyAlignment="1">
      <alignment vertical="center"/>
    </xf>
    <xf numFmtId="3" fontId="2" fillId="92" borderId="195" xfId="0" applyNumberFormat="1" applyFont="1" applyFill="1" applyBorder="1" applyAlignment="1">
      <alignment vertical="center"/>
    </xf>
    <xf numFmtId="165" fontId="2" fillId="92" borderId="194" xfId="1" applyNumberFormat="1" applyFont="1" applyFill="1" applyBorder="1" applyAlignment="1">
      <alignment vertical="center"/>
    </xf>
    <xf numFmtId="0" fontId="3" fillId="103" borderId="194" xfId="0" applyFont="1" applyFill="1" applyBorder="1" applyAlignment="1">
      <alignment vertical="center"/>
    </xf>
    <xf numFmtId="165" fontId="3" fillId="103" borderId="194" xfId="0" applyNumberFormat="1" applyFont="1" applyFill="1" applyBorder="1" applyAlignment="1">
      <alignment vertical="center"/>
    </xf>
    <xf numFmtId="165" fontId="3" fillId="103" borderId="194" xfId="1" applyNumberFormat="1" applyFont="1" applyFill="1" applyBorder="1" applyAlignment="1">
      <alignment vertical="center"/>
    </xf>
    <xf numFmtId="0" fontId="24" fillId="0" borderId="194" xfId="0" applyFont="1" applyBorder="1" applyAlignment="1">
      <alignment horizontal="center" vertical="center" wrapText="1"/>
    </xf>
    <xf numFmtId="0" fontId="0" fillId="0" borderId="194" xfId="0" applyBorder="1" applyAlignment="1">
      <alignment horizontal="center" vertical="center" wrapText="1"/>
    </xf>
    <xf numFmtId="2" fontId="2" fillId="0" borderId="194" xfId="0" applyNumberFormat="1" applyFont="1" applyBorder="1" applyAlignment="1">
      <alignment vertical="center"/>
    </xf>
    <xf numFmtId="165" fontId="0" fillId="23" borderId="194" xfId="1" applyNumberFormat="1" applyFont="1" applyFill="1" applyBorder="1" applyAlignment="1">
      <alignment vertical="center"/>
    </xf>
    <xf numFmtId="43" fontId="0" fillId="0" borderId="194" xfId="0" applyNumberFormat="1" applyBorder="1" applyAlignment="1">
      <alignment vertical="center"/>
    </xf>
    <xf numFmtId="165" fontId="0" fillId="25" borderId="194" xfId="1" applyNumberFormat="1" applyFont="1" applyFill="1" applyBorder="1" applyAlignment="1">
      <alignment vertical="center"/>
    </xf>
    <xf numFmtId="0" fontId="29" fillId="0" borderId="194" xfId="0" applyFont="1" applyBorder="1" applyAlignment="1">
      <alignment vertical="center" wrapText="1"/>
    </xf>
    <xf numFmtId="165" fontId="0" fillId="9" borderId="194" xfId="1" applyNumberFormat="1" applyFont="1" applyFill="1" applyBorder="1" applyAlignment="1">
      <alignment vertical="center"/>
    </xf>
    <xf numFmtId="165" fontId="25" fillId="20" borderId="194" xfId="1" applyNumberFormat="1" applyFont="1" applyFill="1" applyBorder="1" applyAlignment="1">
      <alignment vertical="center"/>
    </xf>
    <xf numFmtId="165" fontId="0" fillId="20" borderId="194" xfId="1" applyNumberFormat="1" applyFont="1" applyFill="1" applyBorder="1" applyAlignment="1">
      <alignment vertical="center"/>
    </xf>
    <xf numFmtId="165" fontId="0" fillId="0" borderId="194" xfId="1" applyNumberFormat="1" applyFont="1" applyBorder="1" applyAlignment="1">
      <alignment vertical="center"/>
    </xf>
    <xf numFmtId="165" fontId="0" fillId="26" borderId="194" xfId="1" applyNumberFormat="1" applyFont="1" applyFill="1" applyBorder="1" applyAlignment="1">
      <alignment vertical="center"/>
    </xf>
    <xf numFmtId="0" fontId="24" fillId="0" borderId="194" xfId="0" applyFont="1" applyBorder="1" applyAlignment="1">
      <alignment vertical="center"/>
    </xf>
    <xf numFmtId="165" fontId="24" fillId="0" borderId="194" xfId="0" applyNumberFormat="1" applyFont="1" applyBorder="1" applyAlignment="1">
      <alignment vertical="center"/>
    </xf>
    <xf numFmtId="165" fontId="24" fillId="0" borderId="194" xfId="1" applyNumberFormat="1" applyFont="1" applyBorder="1" applyAlignment="1">
      <alignment vertical="center"/>
    </xf>
    <xf numFmtId="43" fontId="24" fillId="0" borderId="194" xfId="0" applyNumberFormat="1" applyFont="1" applyBorder="1" applyAlignment="1">
      <alignment vertical="center"/>
    </xf>
    <xf numFmtId="0" fontId="3" fillId="96" borderId="194" xfId="0" applyFont="1" applyFill="1" applyBorder="1" applyAlignment="1">
      <alignment horizontal="center" vertical="center"/>
    </xf>
    <xf numFmtId="165" fontId="27" fillId="0" borderId="194" xfId="1" applyNumberFormat="1" applyFont="1" applyBorder="1" applyAlignment="1">
      <alignment vertical="center"/>
    </xf>
    <xf numFmtId="2" fontId="27" fillId="0" borderId="194" xfId="0" applyNumberFormat="1" applyFont="1" applyBorder="1" applyAlignment="1">
      <alignment vertical="center"/>
    </xf>
    <xf numFmtId="165" fontId="2" fillId="0" borderId="194" xfId="0" applyNumberFormat="1" applyFont="1" applyBorder="1" applyAlignment="1">
      <alignment vertical="center"/>
    </xf>
    <xf numFmtId="2" fontId="27" fillId="0" borderId="194" xfId="1" applyNumberFormat="1" applyFont="1" applyFill="1" applyBorder="1" applyAlignment="1">
      <alignment vertical="center"/>
    </xf>
    <xf numFmtId="165" fontId="2" fillId="94" borderId="194" xfId="0" applyNumberFormat="1" applyFont="1" applyFill="1" applyBorder="1" applyAlignment="1">
      <alignment vertical="center"/>
    </xf>
    <xf numFmtId="2" fontId="27" fillId="94" borderId="194" xfId="1" applyNumberFormat="1" applyFont="1" applyFill="1" applyBorder="1" applyAlignment="1">
      <alignment vertical="center"/>
    </xf>
    <xf numFmtId="165" fontId="2" fillId="25" borderId="194" xfId="1" applyNumberFormat="1" applyFont="1" applyFill="1" applyBorder="1" applyAlignment="1">
      <alignment vertical="center"/>
    </xf>
    <xf numFmtId="43" fontId="2" fillId="25" borderId="194" xfId="1" applyFont="1" applyFill="1" applyBorder="1" applyAlignment="1">
      <alignment vertical="center"/>
    </xf>
    <xf numFmtId="165" fontId="27" fillId="0" borderId="194" xfId="1" applyNumberFormat="1" applyFont="1" applyFill="1" applyBorder="1" applyAlignment="1">
      <alignment vertical="center"/>
    </xf>
    <xf numFmtId="2" fontId="3" fillId="103" borderId="194" xfId="0" applyNumberFormat="1" applyFont="1" applyFill="1" applyBorder="1" applyAlignment="1">
      <alignment vertical="center"/>
    </xf>
    <xf numFmtId="165" fontId="26" fillId="103" borderId="194" xfId="1" applyNumberFormat="1" applyFont="1" applyFill="1" applyBorder="1" applyAlignment="1">
      <alignment vertical="center"/>
    </xf>
    <xf numFmtId="0" fontId="3" fillId="103" borderId="194" xfId="1" applyNumberFormat="1" applyFont="1" applyFill="1" applyBorder="1" applyAlignment="1">
      <alignment vertical="center"/>
    </xf>
    <xf numFmtId="0" fontId="26" fillId="96" borderId="194" xfId="0" applyFont="1" applyFill="1" applyBorder="1" applyAlignment="1">
      <alignment horizontal="center" vertical="center"/>
    </xf>
    <xf numFmtId="0" fontId="26" fillId="96" borderId="194" xfId="0" applyFont="1" applyFill="1" applyBorder="1" applyAlignment="1">
      <alignment horizontal="center" vertical="center" wrapText="1"/>
    </xf>
    <xf numFmtId="165" fontId="26" fillId="96" borderId="194" xfId="1" applyNumberFormat="1" applyFont="1" applyFill="1" applyBorder="1" applyAlignment="1">
      <alignment horizontal="center" vertical="center"/>
    </xf>
    <xf numFmtId="0" fontId="26" fillId="96" borderId="194" xfId="0" applyFont="1" applyFill="1" applyBorder="1" applyAlignment="1">
      <alignment vertical="center"/>
    </xf>
    <xf numFmtId="2" fontId="27" fillId="4" borderId="194" xfId="0" applyNumberFormat="1" applyFont="1" applyFill="1" applyBorder="1" applyAlignment="1">
      <alignment vertical="center"/>
    </xf>
    <xf numFmtId="165" fontId="2" fillId="0" borderId="194" xfId="38" applyNumberFormat="1" applyFont="1" applyFill="1" applyBorder="1" applyAlignment="1">
      <alignment vertical="center"/>
    </xf>
    <xf numFmtId="43" fontId="27" fillId="0" borderId="194" xfId="1" applyFont="1" applyFill="1" applyBorder="1" applyAlignment="1">
      <alignment vertical="center"/>
    </xf>
    <xf numFmtId="165" fontId="27" fillId="94" borderId="194" xfId="0" applyNumberFormat="1" applyFont="1" applyFill="1" applyBorder="1" applyAlignment="1">
      <alignment vertical="center"/>
    </xf>
    <xf numFmtId="43" fontId="27" fillId="94" borderId="194" xfId="0" applyNumberFormat="1" applyFont="1" applyFill="1" applyBorder="1" applyAlignment="1">
      <alignment vertical="center"/>
    </xf>
    <xf numFmtId="3" fontId="57" fillId="25" borderId="195" xfId="0" applyNumberFormat="1" applyFont="1" applyFill="1" applyBorder="1" applyAlignment="1">
      <alignment vertical="center"/>
    </xf>
    <xf numFmtId="43" fontId="27" fillId="0" borderId="194" xfId="0" applyNumberFormat="1" applyFont="1" applyBorder="1" applyAlignment="1">
      <alignment vertical="center"/>
    </xf>
    <xf numFmtId="3" fontId="2" fillId="25" borderId="195" xfId="0" applyNumberFormat="1" applyFont="1" applyFill="1" applyBorder="1" applyAlignment="1">
      <alignment vertical="center"/>
    </xf>
    <xf numFmtId="165" fontId="27" fillId="108" borderId="194" xfId="1" applyNumberFormat="1" applyFont="1" applyFill="1" applyBorder="1" applyAlignment="1">
      <alignment vertical="center"/>
    </xf>
    <xf numFmtId="165" fontId="2" fillId="0" borderId="196" xfId="38" applyNumberFormat="1" applyFont="1" applyFill="1" applyBorder="1" applyAlignment="1">
      <alignment vertical="center"/>
    </xf>
    <xf numFmtId="165" fontId="27" fillId="0" borderId="196" xfId="1" applyNumberFormat="1" applyFont="1" applyFill="1" applyBorder="1" applyAlignment="1">
      <alignment vertical="center"/>
    </xf>
    <xf numFmtId="165" fontId="3" fillId="103" borderId="194" xfId="38" applyNumberFormat="1" applyFont="1" applyFill="1" applyBorder="1" applyAlignment="1">
      <alignment vertical="center"/>
    </xf>
    <xf numFmtId="165" fontId="26" fillId="103" borderId="194" xfId="0" applyNumberFormat="1" applyFont="1" applyFill="1" applyBorder="1" applyAlignment="1">
      <alignment vertical="center"/>
    </xf>
    <xf numFmtId="0" fontId="27" fillId="0" borderId="194" xfId="0" applyFont="1" applyBorder="1" applyAlignment="1">
      <alignment vertical="center"/>
    </xf>
    <xf numFmtId="0" fontId="26" fillId="2" borderId="194" xfId="0" applyFont="1" applyFill="1" applyBorder="1" applyAlignment="1">
      <alignment vertical="center"/>
    </xf>
    <xf numFmtId="165" fontId="2" fillId="0" borderId="195" xfId="0" applyNumberFormat="1" applyFont="1" applyBorder="1" applyAlignment="1">
      <alignment vertical="center"/>
    </xf>
    <xf numFmtId="165" fontId="3" fillId="108" borderId="197" xfId="1" applyNumberFormat="1" applyFont="1" applyFill="1" applyBorder="1" applyAlignment="1">
      <alignment vertical="center"/>
    </xf>
    <xf numFmtId="165" fontId="2" fillId="94" borderId="194" xfId="1" applyNumberFormat="1" applyFont="1" applyFill="1" applyBorder="1" applyAlignment="1">
      <alignment vertical="center"/>
    </xf>
    <xf numFmtId="2" fontId="2" fillId="94" borderId="194" xfId="10" applyNumberFormat="1" applyFont="1" applyFill="1" applyBorder="1" applyAlignment="1">
      <alignment vertical="center"/>
    </xf>
    <xf numFmtId="165" fontId="27" fillId="0" borderId="195" xfId="1" applyNumberFormat="1" applyFont="1" applyBorder="1" applyAlignment="1">
      <alignment vertical="center"/>
    </xf>
    <xf numFmtId="165" fontId="27" fillId="108" borderId="197" xfId="0" applyNumberFormat="1" applyFont="1" applyFill="1" applyBorder="1" applyAlignment="1">
      <alignment vertical="center"/>
    </xf>
    <xf numFmtId="2" fontId="2" fillId="25" borderId="194" xfId="10" applyNumberFormat="1" applyFont="1" applyFill="1" applyBorder="1" applyAlignment="1">
      <alignment vertical="center"/>
    </xf>
    <xf numFmtId="0" fontId="27" fillId="4" borderId="194" xfId="0" applyFont="1" applyFill="1" applyBorder="1" applyAlignment="1">
      <alignment vertical="center"/>
    </xf>
    <xf numFmtId="165" fontId="3" fillId="108" borderId="195" xfId="1" applyNumberFormat="1" applyFont="1" applyFill="1" applyBorder="1" applyAlignment="1">
      <alignment vertical="center"/>
    </xf>
    <xf numFmtId="165" fontId="2" fillId="108" borderId="197" xfId="0" applyNumberFormat="1" applyFont="1" applyFill="1" applyBorder="1" applyAlignment="1">
      <alignment vertical="center"/>
    </xf>
    <xf numFmtId="165" fontId="2" fillId="108" borderId="195" xfId="0" applyNumberFormat="1" applyFont="1" applyFill="1" applyBorder="1" applyAlignment="1">
      <alignment vertical="center"/>
    </xf>
    <xf numFmtId="165" fontId="2" fillId="0" borderId="195" xfId="1" applyNumberFormat="1" applyFont="1" applyFill="1" applyBorder="1" applyAlignment="1">
      <alignment vertical="center"/>
    </xf>
    <xf numFmtId="165" fontId="2" fillId="94" borderId="195" xfId="1" applyNumberFormat="1" applyFont="1" applyFill="1" applyBorder="1" applyAlignment="1">
      <alignment vertical="center"/>
    </xf>
    <xf numFmtId="0" fontId="27" fillId="4" borderId="196" xfId="0" applyFont="1" applyFill="1" applyBorder="1" applyAlignment="1">
      <alignment vertical="center"/>
    </xf>
    <xf numFmtId="0" fontId="26" fillId="103" borderId="194" xfId="0" applyFont="1" applyFill="1" applyBorder="1" applyAlignment="1">
      <alignment vertical="center"/>
    </xf>
    <xf numFmtId="184" fontId="57" fillId="0" borderId="194" xfId="0" applyNumberFormat="1" applyFont="1" applyBorder="1" applyAlignment="1">
      <alignment horizontal="right" vertical="center"/>
    </xf>
    <xf numFmtId="166" fontId="27" fillId="0" borderId="194" xfId="0" applyNumberFormat="1" applyFont="1" applyBorder="1" applyAlignment="1">
      <alignment vertical="center"/>
    </xf>
    <xf numFmtId="166" fontId="27" fillId="94" borderId="194" xfId="0" applyNumberFormat="1" applyFont="1" applyFill="1" applyBorder="1" applyAlignment="1">
      <alignment vertical="center"/>
    </xf>
    <xf numFmtId="184" fontId="57" fillId="94" borderId="194" xfId="0" applyNumberFormat="1" applyFont="1" applyFill="1" applyBorder="1" applyAlignment="1">
      <alignment horizontal="right" vertical="center"/>
    </xf>
    <xf numFmtId="184" fontId="27" fillId="25" borderId="194" xfId="0" applyNumberFormat="1" applyFont="1" applyFill="1" applyBorder="1" applyAlignment="1">
      <alignment vertical="center"/>
    </xf>
    <xf numFmtId="0" fontId="27" fillId="4" borderId="196" xfId="0" applyFont="1" applyFill="1" applyBorder="1" applyAlignment="1">
      <alignment vertical="center" wrapText="1"/>
    </xf>
    <xf numFmtId="184" fontId="57" fillId="0" borderId="194" xfId="1" applyNumberFormat="1" applyFont="1" applyFill="1" applyBorder="1" applyAlignment="1">
      <alignment horizontal="right" vertical="center"/>
    </xf>
    <xf numFmtId="166" fontId="27" fillId="0" borderId="194" xfId="0" applyNumberFormat="1" applyFont="1" applyBorder="1" applyAlignment="1">
      <alignment horizontal="right" vertical="center"/>
    </xf>
    <xf numFmtId="184" fontId="26" fillId="103" borderId="194" xfId="0" applyNumberFormat="1" applyFont="1" applyFill="1" applyBorder="1" applyAlignment="1">
      <alignment horizontal="right" vertical="center"/>
    </xf>
    <xf numFmtId="166" fontId="26" fillId="103" borderId="194" xfId="0" applyNumberFormat="1" applyFont="1" applyFill="1" applyBorder="1" applyAlignment="1">
      <alignment vertical="center"/>
    </xf>
    <xf numFmtId="184" fontId="26" fillId="103" borderId="194" xfId="0" applyNumberFormat="1" applyFont="1" applyFill="1" applyBorder="1" applyAlignment="1">
      <alignment vertical="center"/>
    </xf>
    <xf numFmtId="0" fontId="28" fillId="0" borderId="195" xfId="0" applyFont="1" applyBorder="1"/>
    <xf numFmtId="0" fontId="29" fillId="0" borderId="198" xfId="0" applyFont="1" applyBorder="1"/>
    <xf numFmtId="0" fontId="29" fillId="0" borderId="197" xfId="0" applyFont="1" applyBorder="1"/>
    <xf numFmtId="0" fontId="29" fillId="0" borderId="194" xfId="0" applyFont="1" applyBorder="1" applyAlignment="1">
      <alignment horizontal="center" vertical="center" wrapText="1"/>
    </xf>
    <xf numFmtId="0" fontId="5" fillId="0" borderId="194" xfId="0" applyFont="1" applyBorder="1" applyAlignment="1">
      <alignment horizontal="center" vertical="center" wrapText="1"/>
    </xf>
    <xf numFmtId="0" fontId="29" fillId="0" borderId="196" xfId="0" applyFont="1" applyBorder="1" applyAlignment="1">
      <alignment horizontal="center" vertical="center"/>
    </xf>
    <xf numFmtId="0" fontId="29" fillId="0" borderId="194" xfId="0" applyFont="1" applyBorder="1"/>
    <xf numFmtId="165" fontId="29" fillId="0" borderId="194" xfId="1" applyNumberFormat="1" applyFont="1" applyFill="1" applyBorder="1" applyAlignment="1">
      <alignment vertical="center"/>
    </xf>
    <xf numFmtId="2" fontId="29" fillId="0" borderId="194" xfId="0" applyNumberFormat="1" applyFont="1" applyBorder="1" applyAlignment="1">
      <alignment vertical="center"/>
    </xf>
    <xf numFmtId="165" fontId="5" fillId="0" borderId="194" xfId="1" applyNumberFormat="1" applyFont="1" applyFill="1" applyBorder="1" applyAlignment="1">
      <alignment vertical="center"/>
    </xf>
    <xf numFmtId="43" fontId="29" fillId="0" borderId="194" xfId="1" applyFont="1" applyFill="1" applyBorder="1" applyAlignment="1">
      <alignment vertical="center"/>
    </xf>
    <xf numFmtId="0" fontId="28" fillId="0" borderId="194" xfId="0" applyFont="1" applyBorder="1"/>
    <xf numFmtId="0" fontId="28" fillId="0" borderId="194" xfId="0" applyFont="1" applyBorder="1" applyAlignment="1">
      <alignment vertical="center"/>
    </xf>
    <xf numFmtId="165" fontId="28" fillId="0" borderId="194" xfId="1" applyNumberFormat="1" applyFont="1" applyFill="1" applyBorder="1" applyAlignment="1">
      <alignment vertical="center"/>
    </xf>
    <xf numFmtId="0" fontId="26" fillId="97" borderId="194" xfId="0" applyFont="1" applyFill="1" applyBorder="1" applyAlignment="1">
      <alignment horizontal="center" vertical="center"/>
    </xf>
    <xf numFmtId="0" fontId="26" fillId="97" borderId="197" xfId="0" applyFont="1" applyFill="1" applyBorder="1" applyAlignment="1">
      <alignment horizontal="center" vertical="center"/>
    </xf>
    <xf numFmtId="0" fontId="26" fillId="97" borderId="195" xfId="0" applyFont="1" applyFill="1" applyBorder="1" applyAlignment="1">
      <alignment horizontal="center" vertical="center"/>
    </xf>
    <xf numFmtId="2" fontId="27" fillId="94" borderId="194" xfId="10" applyNumberFormat="1" applyFont="1" applyFill="1" applyBorder="1" applyAlignment="1">
      <alignment horizontal="right" vertical="center"/>
    </xf>
    <xf numFmtId="165" fontId="27" fillId="0" borderId="194" xfId="1" applyNumberFormat="1" applyFont="1" applyFill="1" applyBorder="1"/>
    <xf numFmtId="3" fontId="27" fillId="0" borderId="194" xfId="0" applyNumberFormat="1" applyFont="1" applyBorder="1"/>
    <xf numFmtId="165" fontId="27" fillId="0" borderId="194" xfId="1" applyNumberFormat="1" applyFont="1" applyFill="1" applyBorder="1" applyAlignment="1">
      <alignment horizontal="right" vertical="center"/>
    </xf>
    <xf numFmtId="3" fontId="57" fillId="25" borderId="194" xfId="0" applyNumberFormat="1" applyFont="1" applyFill="1" applyBorder="1" applyAlignment="1">
      <alignment horizontal="right" vertical="center"/>
    </xf>
    <xf numFmtId="2" fontId="27" fillId="25" borderId="194" xfId="10" applyNumberFormat="1" applyFont="1" applyFill="1" applyBorder="1" applyAlignment="1">
      <alignment horizontal="right" vertical="center"/>
    </xf>
    <xf numFmtId="0" fontId="2" fillId="0" borderId="194" xfId="0" applyFont="1" applyBorder="1" applyAlignment="1">
      <alignment vertical="center"/>
    </xf>
    <xf numFmtId="3" fontId="57" fillId="91" borderId="194" xfId="0" applyNumberFormat="1" applyFont="1" applyFill="1" applyBorder="1" applyAlignment="1">
      <alignment wrapText="1"/>
    </xf>
    <xf numFmtId="3" fontId="130" fillId="0" borderId="194" xfId="0" applyNumberFormat="1" applyFont="1" applyBorder="1"/>
    <xf numFmtId="165" fontId="57" fillId="0" borderId="194" xfId="1" applyNumberFormat="1" applyFont="1" applyBorder="1"/>
    <xf numFmtId="0" fontId="2" fillId="0" borderId="194" xfId="0" applyFont="1" applyBorder="1" applyAlignment="1">
      <alignment vertical="center" wrapText="1"/>
    </xf>
    <xf numFmtId="0" fontId="27" fillId="0" borderId="194" xfId="0" applyFont="1" applyBorder="1" applyAlignment="1">
      <alignment vertical="center" wrapText="1"/>
    </xf>
    <xf numFmtId="165" fontId="57" fillId="0" borderId="194" xfId="1" applyNumberFormat="1" applyFont="1" applyBorder="1" applyAlignment="1">
      <alignment vertical="center"/>
    </xf>
    <xf numFmtId="165" fontId="130" fillId="0" borderId="194" xfId="1" applyNumberFormat="1" applyFont="1" applyBorder="1"/>
    <xf numFmtId="165" fontId="57" fillId="0" borderId="194" xfId="1" applyNumberFormat="1" applyFont="1" applyFill="1" applyBorder="1"/>
    <xf numFmtId="0" fontId="27" fillId="0" borderId="194" xfId="0" applyFont="1" applyBorder="1" applyAlignment="1">
      <alignment horizontal="left" vertical="center"/>
    </xf>
    <xf numFmtId="43" fontId="27" fillId="0" borderId="194" xfId="0" applyNumberFormat="1" applyFont="1" applyBorder="1"/>
    <xf numFmtId="165" fontId="26" fillId="103" borderId="194" xfId="1" applyNumberFormat="1" applyFont="1" applyFill="1" applyBorder="1" applyAlignment="1">
      <alignment horizontal="center" vertical="center"/>
    </xf>
    <xf numFmtId="165" fontId="26" fillId="103" borderId="194" xfId="1" applyNumberFormat="1" applyFont="1" applyFill="1" applyBorder="1"/>
    <xf numFmtId="0" fontId="28" fillId="0" borderId="194" xfId="0" applyFont="1" applyBorder="1" applyAlignment="1">
      <alignment horizontal="center"/>
    </xf>
    <xf numFmtId="165" fontId="28" fillId="0" borderId="196" xfId="1" applyNumberFormat="1" applyFont="1" applyFill="1" applyBorder="1" applyAlignment="1">
      <alignment horizontal="center"/>
    </xf>
    <xf numFmtId="0" fontId="29" fillId="0" borderId="194" xfId="0" applyFont="1" applyBorder="1" applyAlignment="1">
      <alignment vertical="center"/>
    </xf>
    <xf numFmtId="165" fontId="29" fillId="0" borderId="194" xfId="1" applyNumberFormat="1" applyFont="1" applyFill="1" applyBorder="1" applyAlignment="1">
      <alignment horizontal="center" vertical="center"/>
    </xf>
    <xf numFmtId="43" fontId="29" fillId="0" borderId="194" xfId="1" applyFont="1" applyFill="1" applyBorder="1" applyAlignment="1">
      <alignment horizontal="right" vertical="center"/>
    </xf>
    <xf numFmtId="43" fontId="29" fillId="0" borderId="194" xfId="0" applyNumberFormat="1" applyFont="1" applyBorder="1" applyAlignment="1">
      <alignment vertical="center"/>
    </xf>
    <xf numFmtId="165" fontId="5" fillId="0" borderId="194" xfId="1" applyNumberFormat="1" applyFont="1" applyFill="1" applyBorder="1" applyAlignment="1">
      <alignment horizontal="center" vertical="center"/>
    </xf>
    <xf numFmtId="165" fontId="28" fillId="0" borderId="194" xfId="1" applyNumberFormat="1" applyFont="1" applyFill="1" applyBorder="1" applyAlignment="1">
      <alignment horizontal="center" vertical="center"/>
    </xf>
    <xf numFmtId="165" fontId="57" fillId="102" borderId="194" xfId="1" applyNumberFormat="1" applyFont="1" applyFill="1" applyBorder="1" applyAlignment="1">
      <alignment vertical="center"/>
    </xf>
    <xf numFmtId="3" fontId="2" fillId="25" borderId="194" xfId="0" applyNumberFormat="1" applyFont="1" applyFill="1" applyBorder="1" applyAlignment="1">
      <alignment vertical="center"/>
    </xf>
    <xf numFmtId="0" fontId="26" fillId="96" borderId="197" xfId="0" applyFont="1" applyFill="1" applyBorder="1" applyAlignment="1">
      <alignment horizontal="center" vertical="center"/>
    </xf>
    <xf numFmtId="0" fontId="26" fillId="96" borderId="196" xfId="0" applyFont="1" applyFill="1" applyBorder="1" applyAlignment="1">
      <alignment horizontal="center" vertical="center"/>
    </xf>
    <xf numFmtId="0" fontId="2" fillId="4" borderId="194" xfId="0" applyFont="1" applyFill="1" applyBorder="1" applyAlignment="1">
      <alignment vertical="center"/>
    </xf>
    <xf numFmtId="0" fontId="2" fillId="4" borderId="194" xfId="0" applyFont="1" applyFill="1" applyBorder="1" applyAlignment="1">
      <alignment vertical="center" wrapText="1"/>
    </xf>
    <xf numFmtId="165" fontId="2" fillId="0" borderId="194" xfId="1" applyNumberFormat="1" applyFont="1" applyFill="1" applyBorder="1" applyAlignment="1">
      <alignment horizontal="left" vertical="center"/>
    </xf>
    <xf numFmtId="165" fontId="0" fillId="0" borderId="194" xfId="2" applyNumberFormat="1" applyFont="1" applyFill="1" applyBorder="1" applyAlignment="1">
      <alignment vertical="center"/>
    </xf>
    <xf numFmtId="3" fontId="130" fillId="102" borderId="194" xfId="0" applyNumberFormat="1" applyFont="1" applyFill="1" applyBorder="1" applyAlignment="1">
      <alignment vertical="center"/>
    </xf>
    <xf numFmtId="3" fontId="130" fillId="101" borderId="194" xfId="0" applyNumberFormat="1" applyFont="1" applyFill="1" applyBorder="1" applyAlignment="1">
      <alignment vertical="center"/>
    </xf>
    <xf numFmtId="1" fontId="26" fillId="103" borderId="194" xfId="10" applyNumberFormat="1" applyFont="1" applyFill="1" applyBorder="1" applyAlignment="1">
      <alignment vertical="center"/>
    </xf>
    <xf numFmtId="0" fontId="3" fillId="96" borderId="197" xfId="0" applyFont="1" applyFill="1" applyBorder="1" applyAlignment="1">
      <alignment horizontal="center" vertical="center"/>
    </xf>
    <xf numFmtId="3" fontId="57" fillId="92" borderId="194" xfId="0" applyNumberFormat="1" applyFont="1" applyFill="1" applyBorder="1" applyAlignment="1">
      <alignment vertical="center"/>
    </xf>
    <xf numFmtId="3" fontId="57" fillId="92" borderId="197" xfId="0" applyNumberFormat="1" applyFont="1" applyFill="1" applyBorder="1" applyAlignment="1">
      <alignment vertical="center"/>
    </xf>
    <xf numFmtId="3" fontId="2" fillId="92" borderId="194" xfId="0" applyNumberFormat="1" applyFont="1" applyFill="1" applyBorder="1" applyAlignment="1">
      <alignment vertical="center"/>
    </xf>
    <xf numFmtId="165" fontId="2" fillId="108" borderId="194" xfId="1" applyNumberFormat="1" applyFont="1" applyFill="1" applyBorder="1" applyAlignment="1">
      <alignment horizontal="left" vertical="center"/>
    </xf>
    <xf numFmtId="165" fontId="3" fillId="96" borderId="194" xfId="0" applyNumberFormat="1" applyFont="1" applyFill="1" applyBorder="1" applyAlignment="1">
      <alignment horizontal="center" vertical="center"/>
    </xf>
    <xf numFmtId="165" fontId="2" fillId="103" borderId="200" xfId="2" applyNumberFormat="1" applyFont="1" applyFill="1" applyBorder="1" applyAlignment="1">
      <alignment horizontal="center" vertical="center"/>
    </xf>
    <xf numFmtId="0" fontId="2" fillId="4" borderId="200" xfId="25" quotePrefix="1" applyFont="1" applyFill="1" applyBorder="1" applyAlignment="1">
      <alignment horizontal="center" vertical="center"/>
    </xf>
    <xf numFmtId="0" fontId="2" fillId="4" borderId="201" xfId="25" applyFont="1" applyFill="1" applyBorder="1" applyAlignment="1">
      <alignment vertical="center" wrapText="1"/>
    </xf>
    <xf numFmtId="0" fontId="2" fillId="4" borderId="200" xfId="25" applyFont="1" applyFill="1" applyBorder="1" applyAlignment="1">
      <alignment horizontal="center" vertical="center"/>
    </xf>
    <xf numFmtId="165" fontId="2" fillId="103" borderId="202" xfId="2" applyNumberFormat="1" applyFont="1" applyFill="1" applyBorder="1" applyAlignment="1">
      <alignment vertical="center" wrapText="1"/>
    </xf>
    <xf numFmtId="165" fontId="2" fillId="0" borderId="202" xfId="2" applyNumberFormat="1" applyFont="1" applyFill="1" applyBorder="1" applyAlignment="1">
      <alignment vertical="center" wrapText="1"/>
    </xf>
    <xf numFmtId="165" fontId="2" fillId="104" borderId="202" xfId="2" applyNumberFormat="1" applyFont="1" applyFill="1" applyBorder="1" applyAlignment="1">
      <alignment vertical="center" wrapText="1"/>
    </xf>
    <xf numFmtId="165" fontId="2" fillId="0" borderId="198" xfId="2" applyNumberFormat="1" applyFont="1" applyFill="1" applyBorder="1" applyAlignment="1">
      <alignment vertical="center" wrapText="1"/>
    </xf>
    <xf numFmtId="165" fontId="2" fillId="104" borderId="200" xfId="2" applyNumberFormat="1" applyFont="1" applyFill="1" applyBorder="1" applyAlignment="1">
      <alignment vertical="center" wrapText="1"/>
    </xf>
    <xf numFmtId="0" fontId="137" fillId="4" borderId="200" xfId="45" applyFont="1" applyFill="1" applyBorder="1" applyAlignment="1" applyProtection="1">
      <alignment horizontal="center" vertical="center"/>
    </xf>
    <xf numFmtId="0" fontId="67" fillId="4" borderId="201" xfId="25" applyFont="1" applyFill="1" applyBorder="1" applyAlignment="1">
      <alignment horizontal="left" vertical="center"/>
    </xf>
    <xf numFmtId="0" fontId="3" fillId="4" borderId="200" xfId="25" applyFont="1" applyFill="1" applyBorder="1" applyAlignment="1">
      <alignment horizontal="center" vertical="center"/>
    </xf>
    <xf numFmtId="0" fontId="120" fillId="4" borderId="201" xfId="25" applyFont="1" applyFill="1" applyBorder="1" applyAlignment="1">
      <alignment vertical="center" wrapText="1"/>
    </xf>
    <xf numFmtId="0" fontId="139" fillId="4" borderId="200" xfId="45" applyFont="1" applyFill="1" applyBorder="1" applyAlignment="1" applyProtection="1">
      <alignment horizontal="center" vertical="center"/>
    </xf>
    <xf numFmtId="165" fontId="3" fillId="103" borderId="202" xfId="2" applyNumberFormat="1" applyFont="1" applyFill="1" applyBorder="1" applyAlignment="1">
      <alignment vertical="center" wrapText="1"/>
    </xf>
    <xf numFmtId="165" fontId="3" fillId="0" borderId="202" xfId="2" applyNumberFormat="1" applyFont="1" applyFill="1" applyBorder="1" applyAlignment="1">
      <alignment vertical="center" wrapText="1"/>
    </xf>
    <xf numFmtId="165" fontId="3" fillId="104" borderId="202" xfId="2" applyNumberFormat="1" applyFont="1" applyFill="1" applyBorder="1" applyAlignment="1">
      <alignment vertical="center" wrapText="1"/>
    </xf>
    <xf numFmtId="165" fontId="3" fillId="0" borderId="198" xfId="2" applyNumberFormat="1" applyFont="1" applyFill="1" applyBorder="1" applyAlignment="1">
      <alignment vertical="center" wrapText="1"/>
    </xf>
    <xf numFmtId="165" fontId="3" fillId="104" borderId="200" xfId="2" applyNumberFormat="1" applyFont="1" applyFill="1" applyBorder="1" applyAlignment="1">
      <alignment vertical="center" wrapText="1"/>
    </xf>
    <xf numFmtId="0" fontId="67" fillId="4" borderId="201" xfId="25" applyFont="1" applyFill="1" applyBorder="1" applyAlignment="1">
      <alignment horizontal="left" vertical="center" wrapText="1"/>
    </xf>
    <xf numFmtId="0" fontId="2" fillId="4" borderId="203" xfId="25" applyFont="1" applyFill="1" applyBorder="1" applyAlignment="1">
      <alignment horizontal="center" vertical="center"/>
    </xf>
    <xf numFmtId="0" fontId="2" fillId="4" borderId="204" xfId="25" applyFont="1" applyFill="1" applyBorder="1" applyAlignment="1">
      <alignment vertical="center" wrapText="1"/>
    </xf>
    <xf numFmtId="165" fontId="2" fillId="104" borderId="203" xfId="2" applyNumberFormat="1" applyFont="1" applyFill="1" applyBorder="1" applyAlignment="1">
      <alignment vertical="center" wrapText="1"/>
    </xf>
    <xf numFmtId="0" fontId="3" fillId="4" borderId="201" xfId="25" applyFont="1" applyFill="1" applyBorder="1" applyAlignment="1">
      <alignment horizontal="left" vertical="center" wrapText="1"/>
    </xf>
    <xf numFmtId="0" fontId="2" fillId="4" borderId="201" xfId="25" applyFont="1" applyFill="1" applyBorder="1" applyAlignment="1">
      <alignment horizontal="left" vertical="center" wrapText="1"/>
    </xf>
    <xf numFmtId="0" fontId="137" fillId="4" borderId="203" xfId="45" applyFont="1" applyFill="1" applyBorder="1" applyAlignment="1" applyProtection="1">
      <alignment horizontal="center" vertical="center"/>
    </xf>
    <xf numFmtId="0" fontId="2" fillId="4" borderId="200" xfId="0" applyFont="1" applyFill="1" applyBorder="1" applyAlignment="1">
      <alignment vertical="center" wrapText="1"/>
    </xf>
    <xf numFmtId="0" fontId="2" fillId="4" borderId="201" xfId="25" applyFont="1" applyFill="1" applyBorder="1" applyAlignment="1">
      <alignment horizontal="center" vertical="center"/>
    </xf>
    <xf numFmtId="165" fontId="2" fillId="103" borderId="205" xfId="2" applyNumberFormat="1" applyFont="1" applyFill="1" applyBorder="1" applyAlignment="1">
      <alignment vertical="center" wrapText="1"/>
    </xf>
    <xf numFmtId="165" fontId="2" fillId="0" borderId="206" xfId="2" applyNumberFormat="1" applyFont="1" applyFill="1" applyBorder="1" applyAlignment="1">
      <alignment vertical="center" wrapText="1"/>
    </xf>
    <xf numFmtId="165" fontId="2" fillId="0" borderId="202" xfId="2" applyNumberFormat="1" applyFont="1" applyFill="1" applyBorder="1" applyAlignment="1">
      <alignment vertical="center"/>
    </xf>
    <xf numFmtId="165" fontId="2" fillId="0" borderId="201" xfId="2" applyNumberFormat="1" applyFont="1" applyFill="1" applyBorder="1" applyAlignment="1">
      <alignment vertical="center" wrapText="1"/>
    </xf>
    <xf numFmtId="165" fontId="2" fillId="0" borderId="200" xfId="2" applyNumberFormat="1" applyFont="1" applyFill="1" applyBorder="1" applyAlignment="1">
      <alignment vertical="center" wrapText="1"/>
    </xf>
    <xf numFmtId="165" fontId="2" fillId="104" borderId="207" xfId="2" applyNumberFormat="1" applyFont="1" applyFill="1" applyBorder="1" applyAlignment="1">
      <alignment vertical="center" wrapText="1"/>
    </xf>
    <xf numFmtId="165" fontId="2" fillId="103" borderId="205" xfId="1" applyNumberFormat="1" applyFont="1" applyFill="1" applyBorder="1" applyAlignment="1">
      <alignment vertical="center" wrapText="1"/>
    </xf>
    <xf numFmtId="165" fontId="2" fillId="0" borderId="206" xfId="1" applyNumberFormat="1" applyFont="1" applyFill="1" applyBorder="1" applyAlignment="1">
      <alignment vertical="center" wrapText="1"/>
    </xf>
    <xf numFmtId="165" fontId="2" fillId="0" borderId="202" xfId="1" applyNumberFormat="1" applyFont="1" applyFill="1" applyBorder="1" applyAlignment="1">
      <alignment vertical="center" wrapText="1"/>
    </xf>
    <xf numFmtId="165" fontId="2" fillId="0" borderId="202" xfId="1" applyNumberFormat="1" applyFont="1" applyFill="1" applyBorder="1" applyAlignment="1">
      <alignment vertical="center"/>
    </xf>
    <xf numFmtId="165" fontId="2" fillId="0" borderId="198" xfId="1" applyNumberFormat="1" applyFont="1" applyFill="1" applyBorder="1" applyAlignment="1">
      <alignment vertical="center"/>
    </xf>
    <xf numFmtId="165" fontId="2" fillId="0" borderId="200" xfId="1" applyNumberFormat="1" applyFont="1" applyFill="1" applyBorder="1" applyAlignment="1">
      <alignment vertical="center"/>
    </xf>
    <xf numFmtId="165" fontId="2" fillId="104" borderId="207" xfId="1" applyNumberFormat="1" applyFont="1" applyFill="1" applyBorder="1" applyAlignment="1">
      <alignment vertical="center" wrapText="1"/>
    </xf>
    <xf numFmtId="165" fontId="2" fillId="0" borderId="198" xfId="1" applyNumberFormat="1" applyFont="1" applyFill="1" applyBorder="1" applyAlignment="1">
      <alignment vertical="center" wrapText="1"/>
    </xf>
    <xf numFmtId="165" fontId="2" fillId="0" borderId="200" xfId="1" applyNumberFormat="1" applyFont="1" applyFill="1" applyBorder="1" applyAlignment="1">
      <alignment vertical="center" wrapText="1"/>
    </xf>
    <xf numFmtId="165" fontId="2" fillId="104" borderId="200" xfId="1" applyNumberFormat="1" applyFont="1" applyFill="1" applyBorder="1" applyAlignment="1">
      <alignment vertical="center" wrapText="1"/>
    </xf>
    <xf numFmtId="0" fontId="137" fillId="4" borderId="201" xfId="45" applyFont="1" applyFill="1" applyBorder="1" applyAlignment="1" applyProtection="1">
      <alignment horizontal="center" vertical="center"/>
    </xf>
    <xf numFmtId="165" fontId="2" fillId="0" borderId="201" xfId="1" applyNumberFormat="1" applyFont="1" applyFill="1" applyBorder="1" applyAlignment="1">
      <alignment vertical="center" wrapText="1"/>
    </xf>
    <xf numFmtId="0" fontId="139" fillId="4" borderId="201" xfId="45" applyFont="1" applyFill="1" applyBorder="1" applyAlignment="1" applyProtection="1">
      <alignment horizontal="center" vertical="center"/>
    </xf>
    <xf numFmtId="165" fontId="3" fillId="103" borderId="205" xfId="1" applyNumberFormat="1" applyFont="1" applyFill="1" applyBorder="1" applyAlignment="1">
      <alignment vertical="center" wrapText="1"/>
    </xf>
    <xf numFmtId="165" fontId="3" fillId="0" borderId="206" xfId="1" applyNumberFormat="1" applyFont="1" applyFill="1" applyBorder="1" applyAlignment="1">
      <alignment vertical="center" wrapText="1"/>
    </xf>
    <xf numFmtId="165" fontId="3" fillId="0" borderId="205" xfId="1" applyNumberFormat="1" applyFont="1" applyFill="1" applyBorder="1" applyAlignment="1">
      <alignment vertical="center" wrapText="1"/>
    </xf>
    <xf numFmtId="165" fontId="3" fillId="0" borderId="200" xfId="1" applyNumberFormat="1" applyFont="1" applyFill="1" applyBorder="1" applyAlignment="1">
      <alignment vertical="center" wrapText="1"/>
    </xf>
    <xf numFmtId="165" fontId="3" fillId="104" borderId="207" xfId="1" applyNumberFormat="1" applyFont="1" applyFill="1" applyBorder="1" applyAlignment="1">
      <alignment vertical="center" wrapText="1"/>
    </xf>
    <xf numFmtId="165" fontId="3" fillId="0" borderId="198" xfId="1" applyNumberFormat="1" applyFont="1" applyFill="1" applyBorder="1" applyAlignment="1">
      <alignment vertical="center" wrapText="1"/>
    </xf>
    <xf numFmtId="165" fontId="3" fillId="104" borderId="200" xfId="1" applyNumberFormat="1" applyFont="1" applyFill="1" applyBorder="1" applyAlignment="1">
      <alignment vertical="center" wrapText="1"/>
    </xf>
    <xf numFmtId="165" fontId="2" fillId="104" borderId="200" xfId="1" applyNumberFormat="1" applyFont="1" applyFill="1" applyBorder="1" applyAlignment="1">
      <alignment vertical="center"/>
    </xf>
    <xf numFmtId="0" fontId="2" fillId="4" borderId="204" xfId="25" applyFont="1" applyFill="1" applyBorder="1" applyAlignment="1">
      <alignment horizontal="center" vertical="center"/>
    </xf>
    <xf numFmtId="165" fontId="2" fillId="103" borderId="208" xfId="1" applyNumberFormat="1" applyFont="1" applyFill="1" applyBorder="1" applyAlignment="1">
      <alignment vertical="center" wrapText="1"/>
    </xf>
    <xf numFmtId="165" fontId="2" fillId="0" borderId="209" xfId="1" applyNumberFormat="1" applyFont="1" applyFill="1" applyBorder="1" applyAlignment="1">
      <alignment vertical="center" wrapText="1"/>
    </xf>
    <xf numFmtId="165" fontId="2" fillId="0" borderId="204" xfId="1" applyNumberFormat="1" applyFont="1" applyFill="1" applyBorder="1" applyAlignment="1">
      <alignment vertical="center" wrapText="1"/>
    </xf>
    <xf numFmtId="165" fontId="2" fillId="0" borderId="203" xfId="1" applyNumberFormat="1" applyFont="1" applyFill="1" applyBorder="1" applyAlignment="1">
      <alignment vertical="center" wrapText="1"/>
    </xf>
    <xf numFmtId="165" fontId="2" fillId="104" borderId="203" xfId="1" applyNumberFormat="1" applyFont="1" applyFill="1" applyBorder="1" applyAlignment="1">
      <alignment vertical="center"/>
    </xf>
    <xf numFmtId="165" fontId="2" fillId="103" borderId="202" xfId="1" applyNumberFormat="1" applyFont="1" applyFill="1" applyBorder="1" applyAlignment="1">
      <alignment vertical="center" wrapText="1"/>
    </xf>
    <xf numFmtId="165" fontId="2" fillId="104" borderId="202" xfId="1" applyNumberFormat="1" applyFont="1" applyFill="1" applyBorder="1" applyAlignment="1">
      <alignment vertical="center" wrapText="1"/>
    </xf>
    <xf numFmtId="165" fontId="2" fillId="104" borderId="203" xfId="1" applyNumberFormat="1" applyFont="1" applyFill="1" applyBorder="1" applyAlignment="1">
      <alignment vertical="center" wrapText="1"/>
    </xf>
    <xf numFmtId="165" fontId="2" fillId="104" borderId="197" xfId="2" applyNumberFormat="1" applyFont="1" applyFill="1" applyBorder="1" applyAlignment="1">
      <alignment vertical="center"/>
    </xf>
    <xf numFmtId="0" fontId="2" fillId="4" borderId="200" xfId="25" quotePrefix="1" applyFont="1" applyFill="1" applyBorder="1" applyAlignment="1">
      <alignment horizontal="center"/>
    </xf>
    <xf numFmtId="0" fontId="2" fillId="4" borderId="201" xfId="25" applyFont="1" applyFill="1" applyBorder="1" applyAlignment="1">
      <alignment wrapText="1"/>
    </xf>
    <xf numFmtId="0" fontId="2" fillId="4" borderId="200" xfId="25" applyFont="1" applyFill="1" applyBorder="1" applyAlignment="1">
      <alignment horizontal="center"/>
    </xf>
    <xf numFmtId="165" fontId="2" fillId="0" borderId="205" xfId="1" applyNumberFormat="1" applyFont="1" applyFill="1" applyBorder="1" applyAlignment="1">
      <alignment vertical="center" wrapText="1"/>
    </xf>
    <xf numFmtId="165" fontId="2" fillId="104" borderId="210" xfId="1" applyNumberFormat="1" applyFont="1" applyFill="1" applyBorder="1" applyAlignment="1">
      <alignment vertical="center" wrapText="1"/>
    </xf>
    <xf numFmtId="165" fontId="2" fillId="0" borderId="210" xfId="1" applyNumberFormat="1" applyFont="1" applyFill="1" applyBorder="1" applyAlignment="1">
      <alignment vertical="center" wrapText="1"/>
    </xf>
    <xf numFmtId="0" fontId="137" fillId="4" borderId="200" xfId="45" applyFont="1" applyFill="1" applyBorder="1" applyAlignment="1" applyProtection="1">
      <alignment horizontal="center"/>
    </xf>
    <xf numFmtId="0" fontId="67" fillId="4" borderId="201" xfId="25" applyFont="1" applyFill="1" applyBorder="1" applyAlignment="1">
      <alignment horizontal="left" vertical="center" indent="2"/>
    </xf>
    <xf numFmtId="165" fontId="2" fillId="0" borderId="211" xfId="1" applyNumberFormat="1" applyFont="1" applyFill="1" applyBorder="1" applyAlignment="1">
      <alignment vertical="center" wrapText="1"/>
    </xf>
    <xf numFmtId="165" fontId="2" fillId="0" borderId="212" xfId="1" applyNumberFormat="1" applyFont="1" applyFill="1" applyBorder="1" applyAlignment="1">
      <alignment vertical="center" wrapText="1"/>
    </xf>
    <xf numFmtId="0" fontId="3" fillId="4" borderId="200" xfId="25" applyFont="1" applyFill="1" applyBorder="1" applyAlignment="1">
      <alignment horizontal="center"/>
    </xf>
    <xf numFmtId="0" fontId="120" fillId="4" borderId="201" xfId="25" applyFont="1" applyFill="1" applyBorder="1" applyAlignment="1">
      <alignment wrapText="1"/>
    </xf>
    <xf numFmtId="0" fontId="139" fillId="4" borderId="200" xfId="45" applyFont="1" applyFill="1" applyBorder="1" applyAlignment="1" applyProtection="1">
      <alignment horizontal="center"/>
    </xf>
    <xf numFmtId="165" fontId="3" fillId="103" borderId="202" xfId="1" applyNumberFormat="1" applyFont="1" applyFill="1" applyBorder="1" applyAlignment="1">
      <alignment vertical="center" wrapText="1"/>
    </xf>
    <xf numFmtId="165" fontId="3" fillId="0" borderId="202" xfId="1" applyNumberFormat="1" applyFont="1" applyFill="1" applyBorder="1" applyAlignment="1">
      <alignment vertical="center" wrapText="1"/>
    </xf>
    <xf numFmtId="165" fontId="3" fillId="104" borderId="210" xfId="1" applyNumberFormat="1" applyFont="1" applyFill="1" applyBorder="1" applyAlignment="1">
      <alignment vertical="center" wrapText="1"/>
    </xf>
    <xf numFmtId="165" fontId="3" fillId="104" borderId="202" xfId="1" applyNumberFormat="1" applyFont="1" applyFill="1" applyBorder="1" applyAlignment="1">
      <alignment vertical="center" wrapText="1"/>
    </xf>
    <xf numFmtId="0" fontId="67" fillId="4" borderId="201" xfId="25" applyFont="1" applyFill="1" applyBorder="1" applyAlignment="1">
      <alignment horizontal="left" wrapText="1" indent="2"/>
    </xf>
    <xf numFmtId="165" fontId="2" fillId="0" borderId="205" xfId="1" applyNumberFormat="1" applyFont="1" applyFill="1" applyBorder="1" applyAlignment="1">
      <alignment vertical="center"/>
    </xf>
    <xf numFmtId="165" fontId="2" fillId="0" borderId="210" xfId="1" applyNumberFormat="1" applyFont="1" applyFill="1" applyBorder="1" applyAlignment="1">
      <alignment vertical="center"/>
    </xf>
    <xf numFmtId="165" fontId="2" fillId="0" borderId="213" xfId="1" applyNumberFormat="1" applyFont="1" applyFill="1" applyBorder="1" applyAlignment="1">
      <alignment vertical="center"/>
    </xf>
    <xf numFmtId="165" fontId="2" fillId="0" borderId="201" xfId="1" applyNumberFormat="1" applyFont="1" applyFill="1" applyBorder="1" applyAlignment="1">
      <alignment vertical="center"/>
    </xf>
    <xf numFmtId="0" fontId="2" fillId="4" borderId="203" xfId="25" applyFont="1" applyFill="1" applyBorder="1" applyAlignment="1">
      <alignment horizontal="center"/>
    </xf>
    <xf numFmtId="0" fontId="2" fillId="4" borderId="204" xfId="25" applyFont="1" applyFill="1" applyBorder="1" applyAlignment="1">
      <alignment wrapText="1"/>
    </xf>
    <xf numFmtId="165" fontId="2" fillId="104" borderId="214" xfId="1" applyNumberFormat="1" applyFont="1" applyFill="1" applyBorder="1" applyAlignment="1">
      <alignment vertical="center" wrapText="1"/>
    </xf>
    <xf numFmtId="165" fontId="2" fillId="0" borderId="204" xfId="1" applyNumberFormat="1" applyFont="1" applyFill="1" applyBorder="1" applyAlignment="1">
      <alignment vertical="center"/>
    </xf>
    <xf numFmtId="0" fontId="3" fillId="4" borderId="201" xfId="25" applyFont="1" applyFill="1" applyBorder="1" applyAlignment="1">
      <alignment horizontal="left" wrapText="1"/>
    </xf>
    <xf numFmtId="0" fontId="2" fillId="4" borderId="201" xfId="25" applyFont="1" applyFill="1" applyBorder="1" applyAlignment="1">
      <alignment horizontal="left" wrapText="1"/>
    </xf>
    <xf numFmtId="0" fontId="137" fillId="4" borderId="203" xfId="45" applyFont="1" applyFill="1" applyBorder="1" applyAlignment="1" applyProtection="1">
      <alignment horizontal="center"/>
    </xf>
    <xf numFmtId="165" fontId="2" fillId="0" borderId="208" xfId="1" applyNumberFormat="1" applyFont="1" applyFill="1" applyBorder="1" applyAlignment="1">
      <alignment vertical="center"/>
    </xf>
    <xf numFmtId="165" fontId="2" fillId="0" borderId="214" xfId="1" applyNumberFormat="1" applyFont="1" applyFill="1" applyBorder="1" applyAlignment="1">
      <alignment vertical="center"/>
    </xf>
    <xf numFmtId="165" fontId="2" fillId="0" borderId="214" xfId="1" applyNumberFormat="1" applyFont="1" applyFill="1" applyBorder="1" applyAlignment="1">
      <alignment vertical="center" wrapText="1"/>
    </xf>
    <xf numFmtId="165" fontId="2" fillId="104" borderId="200" xfId="2" applyNumberFormat="1" applyFont="1" applyFill="1" applyBorder="1" applyAlignment="1">
      <alignment vertical="center"/>
    </xf>
    <xf numFmtId="165" fontId="3" fillId="0" borderId="210" xfId="1" applyNumberFormat="1" applyFont="1" applyFill="1" applyBorder="1" applyAlignment="1">
      <alignment vertical="center" wrapText="1"/>
    </xf>
    <xf numFmtId="165" fontId="2" fillId="0" borderId="198" xfId="2" applyNumberFormat="1" applyFont="1" applyFill="1" applyBorder="1" applyAlignment="1">
      <alignment vertical="center"/>
    </xf>
    <xf numFmtId="165" fontId="3" fillId="0" borderId="200" xfId="2" applyNumberFormat="1" applyFont="1" applyFill="1" applyBorder="1" applyAlignment="1">
      <alignment vertical="center" wrapText="1"/>
    </xf>
    <xf numFmtId="165" fontId="2" fillId="103" borderId="200" xfId="1" applyNumberFormat="1" applyFont="1" applyFill="1" applyBorder="1" applyAlignment="1">
      <alignment horizontal="center" vertical="center"/>
    </xf>
    <xf numFmtId="165" fontId="2" fillId="104" borderId="197" xfId="1" applyNumberFormat="1" applyFont="1" applyFill="1" applyBorder="1" applyAlignment="1">
      <alignment vertical="center"/>
    </xf>
    <xf numFmtId="165" fontId="2" fillId="0" borderId="203" xfId="1" applyNumberFormat="1" applyFont="1" applyFill="1" applyBorder="1" applyAlignment="1">
      <alignment vertical="center"/>
    </xf>
    <xf numFmtId="165" fontId="2" fillId="0" borderId="200" xfId="1" applyNumberFormat="1" applyFont="1" applyFill="1" applyBorder="1" applyAlignment="1">
      <alignment horizontal="center" vertical="center"/>
    </xf>
    <xf numFmtId="165" fontId="2" fillId="0" borderId="201" xfId="1" applyNumberFormat="1" applyFont="1" applyFill="1" applyBorder="1" applyAlignment="1">
      <alignment horizontal="center" vertical="center"/>
    </xf>
    <xf numFmtId="165" fontId="2" fillId="0" borderId="210" xfId="1" applyNumberFormat="1" applyFont="1" applyFill="1" applyBorder="1" applyAlignment="1">
      <alignment horizontal="center" vertical="center"/>
    </xf>
    <xf numFmtId="165" fontId="2" fillId="0" borderId="205" xfId="1" applyNumberFormat="1" applyFont="1" applyFill="1" applyBorder="1" applyAlignment="1">
      <alignment horizontal="center" vertical="center"/>
    </xf>
    <xf numFmtId="165" fontId="148" fillId="0" borderId="202" xfId="1" applyNumberFormat="1" applyFont="1" applyFill="1" applyBorder="1" applyAlignment="1">
      <alignment vertical="center" wrapText="1"/>
    </xf>
    <xf numFmtId="165" fontId="148" fillId="0" borderId="205" xfId="1" applyNumberFormat="1" applyFont="1" applyFill="1" applyBorder="1" applyAlignment="1">
      <alignment vertical="center"/>
    </xf>
    <xf numFmtId="165" fontId="148" fillId="0" borderId="201" xfId="1" applyNumberFormat="1" applyFont="1" applyFill="1" applyBorder="1" applyAlignment="1">
      <alignment vertical="center"/>
    </xf>
    <xf numFmtId="165" fontId="148" fillId="0" borderId="210" xfId="1" applyNumberFormat="1" applyFont="1" applyFill="1" applyBorder="1" applyAlignment="1">
      <alignment vertical="center"/>
    </xf>
    <xf numFmtId="165" fontId="148" fillId="0" borderId="202" xfId="1" applyNumberFormat="1" applyFont="1" applyFill="1" applyBorder="1" applyAlignment="1">
      <alignment vertical="center"/>
    </xf>
    <xf numFmtId="165" fontId="148" fillId="0" borderId="204" xfId="1" applyNumberFormat="1" applyFont="1" applyFill="1" applyBorder="1" applyAlignment="1">
      <alignment vertical="center"/>
    </xf>
    <xf numFmtId="165" fontId="148" fillId="0" borderId="214" xfId="1" applyNumberFormat="1" applyFont="1" applyFill="1" applyBorder="1" applyAlignment="1">
      <alignment vertical="center"/>
    </xf>
    <xf numFmtId="165" fontId="148" fillId="0" borderId="204" xfId="1" applyNumberFormat="1" applyFont="1" applyFill="1" applyBorder="1" applyAlignment="1">
      <alignment vertical="center" wrapText="1"/>
    </xf>
    <xf numFmtId="165" fontId="148" fillId="0" borderId="214" xfId="1" applyNumberFormat="1" applyFont="1" applyFill="1" applyBorder="1" applyAlignment="1">
      <alignment vertical="center" wrapText="1"/>
    </xf>
    <xf numFmtId="0" fontId="27" fillId="4" borderId="200" xfId="25" quotePrefix="1" applyFont="1" applyFill="1" applyBorder="1" applyAlignment="1">
      <alignment horizontal="center" vertical="center"/>
    </xf>
    <xf numFmtId="0" fontId="27" fillId="4" borderId="201" xfId="25" applyFont="1" applyFill="1" applyBorder="1" applyAlignment="1">
      <alignment vertical="center" wrapText="1"/>
    </xf>
    <xf numFmtId="165" fontId="27" fillId="103" borderId="202" xfId="2" applyNumberFormat="1" applyFont="1" applyFill="1" applyBorder="1" applyAlignment="1">
      <alignment vertical="center" wrapText="1"/>
    </xf>
    <xf numFmtId="165" fontId="27" fillId="0" borderId="202" xfId="2" applyNumberFormat="1" applyFont="1" applyFill="1" applyBorder="1" applyAlignment="1">
      <alignment vertical="center" wrapText="1"/>
    </xf>
    <xf numFmtId="165" fontId="27" fillId="104" borderId="202" xfId="2" applyNumberFormat="1" applyFont="1" applyFill="1" applyBorder="1" applyAlignment="1">
      <alignment vertical="center" wrapText="1"/>
    </xf>
    <xf numFmtId="165" fontId="27" fillId="0" borderId="200" xfId="2" applyNumberFormat="1" applyFont="1" applyFill="1" applyBorder="1" applyAlignment="1">
      <alignment vertical="center" wrapText="1"/>
    </xf>
    <xf numFmtId="0" fontId="27" fillId="4" borderId="200" xfId="25" applyFont="1" applyFill="1" applyBorder="1" applyAlignment="1">
      <alignment horizontal="center" vertical="center"/>
    </xf>
    <xf numFmtId="0" fontId="26" fillId="4" borderId="200" xfId="25" applyFont="1" applyFill="1" applyBorder="1" applyAlignment="1">
      <alignment horizontal="center" vertical="center"/>
    </xf>
    <xf numFmtId="0" fontId="50" fillId="4" borderId="201" xfId="25" applyFont="1" applyFill="1" applyBorder="1" applyAlignment="1">
      <alignment vertical="center" wrapText="1"/>
    </xf>
    <xf numFmtId="165" fontId="26" fillId="103" borderId="202" xfId="2" applyNumberFormat="1" applyFont="1" applyFill="1" applyBorder="1" applyAlignment="1">
      <alignment vertical="center" wrapText="1"/>
    </xf>
    <xf numFmtId="165" fontId="26" fillId="0" borderId="202" xfId="2" applyNumberFormat="1" applyFont="1" applyFill="1" applyBorder="1" applyAlignment="1">
      <alignment vertical="center" wrapText="1"/>
    </xf>
    <xf numFmtId="165" fontId="26" fillId="104" borderId="202" xfId="2" applyNumberFormat="1" applyFont="1" applyFill="1" applyBorder="1" applyAlignment="1">
      <alignment vertical="center" wrapText="1"/>
    </xf>
    <xf numFmtId="165" fontId="26" fillId="0" borderId="200" xfId="2" applyNumberFormat="1" applyFont="1" applyFill="1" applyBorder="1" applyAlignment="1">
      <alignment vertical="center" wrapText="1"/>
    </xf>
    <xf numFmtId="0" fontId="27" fillId="4" borderId="203" xfId="25" applyFont="1" applyFill="1" applyBorder="1" applyAlignment="1">
      <alignment horizontal="center" vertical="center"/>
    </xf>
    <xf numFmtId="165" fontId="27" fillId="0" borderId="203" xfId="2" applyNumberFormat="1" applyFont="1" applyFill="1" applyBorder="1" applyAlignment="1">
      <alignment vertical="center" wrapText="1"/>
    </xf>
    <xf numFmtId="0" fontId="26" fillId="4" borderId="201" xfId="25" applyFont="1" applyFill="1" applyBorder="1" applyAlignment="1">
      <alignment horizontal="left" vertical="center" wrapText="1"/>
    </xf>
    <xf numFmtId="0" fontId="27" fillId="4" borderId="204" xfId="25" applyFont="1" applyFill="1" applyBorder="1" applyAlignment="1">
      <alignment vertical="center" wrapText="1"/>
    </xf>
    <xf numFmtId="0" fontId="27" fillId="4" borderId="200" xfId="0" applyFont="1" applyFill="1" applyBorder="1" applyAlignment="1">
      <alignment vertical="center" wrapText="1"/>
    </xf>
    <xf numFmtId="165" fontId="27" fillId="103" borderId="205" xfId="2" applyNumberFormat="1" applyFont="1" applyFill="1" applyBorder="1" applyAlignment="1">
      <alignment vertical="center" wrapText="1"/>
    </xf>
    <xf numFmtId="165" fontId="27" fillId="7" borderId="206" xfId="2" applyNumberFormat="1" applyFont="1" applyFill="1" applyBorder="1" applyAlignment="1">
      <alignment vertical="center" wrapText="1"/>
    </xf>
    <xf numFmtId="165" fontId="27" fillId="7" borderId="198" xfId="2" applyNumberFormat="1" applyFont="1" applyFill="1" applyBorder="1" applyAlignment="1">
      <alignment vertical="center" wrapText="1"/>
    </xf>
    <xf numFmtId="165" fontId="27" fillId="7" borderId="210" xfId="2" applyNumberFormat="1" applyFont="1" applyFill="1" applyBorder="1" applyAlignment="1">
      <alignment vertical="center"/>
    </xf>
    <xf numFmtId="165" fontId="27" fillId="7" borderId="201" xfId="2" applyNumberFormat="1" applyFont="1" applyFill="1" applyBorder="1" applyAlignment="1">
      <alignment vertical="center" wrapText="1"/>
    </xf>
    <xf numFmtId="165" fontId="27" fillId="104" borderId="200" xfId="2" applyNumberFormat="1" applyFont="1" applyFill="1" applyBorder="1" applyAlignment="1">
      <alignment vertical="center" wrapText="1"/>
    </xf>
    <xf numFmtId="165" fontId="27" fillId="0" borderId="198" xfId="2" applyNumberFormat="1" applyFont="1" applyFill="1" applyBorder="1" applyAlignment="1">
      <alignment vertical="center" wrapText="1"/>
    </xf>
    <xf numFmtId="3" fontId="57" fillId="91" borderId="198" xfId="0" applyNumberFormat="1" applyFont="1" applyFill="1" applyBorder="1" applyAlignment="1">
      <alignment vertical="center" wrapText="1"/>
    </xf>
    <xf numFmtId="165" fontId="27" fillId="7" borderId="202" xfId="2" applyNumberFormat="1" applyFont="1" applyFill="1" applyBorder="1" applyAlignment="1">
      <alignment vertical="center"/>
    </xf>
    <xf numFmtId="165" fontId="27" fillId="7" borderId="198" xfId="2" applyNumberFormat="1" applyFont="1" applyFill="1" applyBorder="1" applyAlignment="1">
      <alignment vertical="center"/>
    </xf>
    <xf numFmtId="165" fontId="27" fillId="7" borderId="210" xfId="2" applyNumberFormat="1" applyFont="1" applyFill="1" applyBorder="1" applyAlignment="1">
      <alignment vertical="center" wrapText="1"/>
    </xf>
    <xf numFmtId="165" fontId="27" fillId="7" borderId="202" xfId="2" applyNumberFormat="1" applyFont="1" applyFill="1" applyBorder="1" applyAlignment="1">
      <alignment vertical="center" wrapText="1"/>
    </xf>
    <xf numFmtId="165" fontId="26" fillId="103" borderId="205" xfId="2" applyNumberFormat="1" applyFont="1" applyFill="1" applyBorder="1" applyAlignment="1">
      <alignment vertical="center" wrapText="1"/>
    </xf>
    <xf numFmtId="165" fontId="26" fillId="0" borderId="206" xfId="2" applyNumberFormat="1" applyFont="1" applyFill="1" applyBorder="1" applyAlignment="1">
      <alignment vertical="center" wrapText="1"/>
    </xf>
    <xf numFmtId="165" fontId="26" fillId="0" borderId="198" xfId="2" applyNumberFormat="1" applyFont="1" applyFill="1" applyBorder="1" applyAlignment="1">
      <alignment vertical="center" wrapText="1"/>
    </xf>
    <xf numFmtId="165" fontId="26" fillId="0" borderId="210" xfId="2" applyNumberFormat="1" applyFont="1" applyFill="1" applyBorder="1" applyAlignment="1">
      <alignment vertical="center" wrapText="1"/>
    </xf>
    <xf numFmtId="165" fontId="60" fillId="104" borderId="200" xfId="2" applyNumberFormat="1" applyFont="1" applyFill="1" applyBorder="1" applyAlignment="1">
      <alignment vertical="center" wrapText="1"/>
    </xf>
    <xf numFmtId="165" fontId="26" fillId="104" borderId="200" xfId="2" applyNumberFormat="1" applyFont="1" applyFill="1" applyBorder="1" applyAlignment="1">
      <alignment vertical="center" wrapText="1"/>
    </xf>
    <xf numFmtId="165" fontId="57" fillId="104" borderId="200" xfId="2" applyNumberFormat="1" applyFont="1" applyFill="1" applyBorder="1" applyAlignment="1">
      <alignment vertical="center" wrapText="1"/>
    </xf>
    <xf numFmtId="3" fontId="57" fillId="91" borderId="210" xfId="0" applyNumberFormat="1" applyFont="1" applyFill="1" applyBorder="1" applyAlignment="1">
      <alignment vertical="center" wrapText="1"/>
    </xf>
    <xf numFmtId="3" fontId="57" fillId="91" borderId="201" xfId="0" applyNumberFormat="1" applyFont="1" applyFill="1" applyBorder="1" applyAlignment="1">
      <alignment vertical="center" wrapText="1"/>
    </xf>
    <xf numFmtId="3" fontId="57" fillId="91" borderId="202" xfId="0" applyNumberFormat="1" applyFont="1" applyFill="1" applyBorder="1" applyAlignment="1">
      <alignment vertical="center" wrapText="1"/>
    </xf>
    <xf numFmtId="165" fontId="27" fillId="104" borderId="200" xfId="2" applyNumberFormat="1" applyFont="1" applyFill="1" applyBorder="1" applyAlignment="1">
      <alignment vertical="center"/>
    </xf>
    <xf numFmtId="165" fontId="27" fillId="7" borderId="201" xfId="2" applyNumberFormat="1" applyFont="1" applyFill="1" applyBorder="1" applyAlignment="1">
      <alignment vertical="center"/>
    </xf>
    <xf numFmtId="165" fontId="27" fillId="103" borderId="208" xfId="2" applyNumberFormat="1" applyFont="1" applyFill="1" applyBorder="1" applyAlignment="1">
      <alignment vertical="center" wrapText="1"/>
    </xf>
    <xf numFmtId="165" fontId="27" fillId="7" borderId="209" xfId="2" applyNumberFormat="1" applyFont="1" applyFill="1" applyBorder="1" applyAlignment="1">
      <alignment vertical="center" wrapText="1"/>
    </xf>
    <xf numFmtId="165" fontId="27" fillId="7" borderId="214" xfId="2" applyNumberFormat="1" applyFont="1" applyFill="1" applyBorder="1" applyAlignment="1">
      <alignment vertical="center"/>
    </xf>
    <xf numFmtId="3" fontId="57" fillId="91" borderId="204" xfId="0" applyNumberFormat="1" applyFont="1" applyFill="1" applyBorder="1" applyAlignment="1">
      <alignment vertical="center" wrapText="1"/>
    </xf>
    <xf numFmtId="165" fontId="57" fillId="104" borderId="203" xfId="2" applyNumberFormat="1" applyFont="1" applyFill="1" applyBorder="1" applyAlignment="1">
      <alignment vertical="center" wrapText="1"/>
    </xf>
    <xf numFmtId="165" fontId="27" fillId="104" borderId="203" xfId="2" applyNumberFormat="1" applyFont="1" applyFill="1" applyBorder="1" applyAlignment="1">
      <alignment vertical="center"/>
    </xf>
    <xf numFmtId="165" fontId="27" fillId="7" borderId="205" xfId="2" applyNumberFormat="1" applyFont="1" applyFill="1" applyBorder="1" applyAlignment="1">
      <alignment vertical="center" wrapText="1"/>
    </xf>
    <xf numFmtId="0" fontId="57" fillId="91" borderId="210" xfId="0" applyFont="1" applyFill="1" applyBorder="1" applyAlignment="1">
      <alignment vertical="center" wrapText="1"/>
    </xf>
    <xf numFmtId="3" fontId="57" fillId="91" borderId="206" xfId="0" applyNumberFormat="1" applyFont="1" applyFill="1" applyBorder="1" applyAlignment="1">
      <alignment vertical="center" wrapText="1"/>
    </xf>
    <xf numFmtId="165" fontId="27" fillId="104" borderId="210" xfId="2" applyNumberFormat="1" applyFont="1" applyFill="1" applyBorder="1" applyAlignment="1">
      <alignment vertical="center" wrapText="1"/>
    </xf>
    <xf numFmtId="165" fontId="27" fillId="0" borderId="210" xfId="2" applyNumberFormat="1" applyFont="1" applyFill="1" applyBorder="1" applyAlignment="1">
      <alignment vertical="center" wrapText="1"/>
    </xf>
    <xf numFmtId="165" fontId="27" fillId="0" borderId="205" xfId="2" applyNumberFormat="1" applyFont="1" applyFill="1" applyBorder="1" applyAlignment="1">
      <alignment vertical="center" wrapText="1"/>
    </xf>
    <xf numFmtId="165" fontId="26" fillId="0" borderId="205" xfId="2" applyNumberFormat="1" applyFont="1" applyFill="1" applyBorder="1" applyAlignment="1">
      <alignment vertical="center" wrapText="1"/>
    </xf>
    <xf numFmtId="165" fontId="60" fillId="104" borderId="210" xfId="2" applyNumberFormat="1" applyFont="1" applyFill="1" applyBorder="1" applyAlignment="1">
      <alignment vertical="center" wrapText="1"/>
    </xf>
    <xf numFmtId="165" fontId="57" fillId="104" borderId="210" xfId="2" applyNumberFormat="1" applyFont="1" applyFill="1" applyBorder="1" applyAlignment="1">
      <alignment vertical="center" wrapText="1"/>
    </xf>
    <xf numFmtId="165" fontId="27" fillId="7" borderId="205" xfId="2" applyNumberFormat="1" applyFont="1" applyFill="1" applyBorder="1" applyAlignment="1">
      <alignment vertical="center"/>
    </xf>
    <xf numFmtId="165" fontId="27" fillId="7" borderId="204" xfId="2" applyNumberFormat="1" applyFont="1" applyFill="1" applyBorder="1" applyAlignment="1">
      <alignment vertical="center" wrapText="1"/>
    </xf>
    <xf numFmtId="165" fontId="27" fillId="7" borderId="208" xfId="2" applyNumberFormat="1" applyFont="1" applyFill="1" applyBorder="1" applyAlignment="1">
      <alignment vertical="center" wrapText="1"/>
    </xf>
    <xf numFmtId="165" fontId="57" fillId="104" borderId="214" xfId="2" applyNumberFormat="1" applyFont="1" applyFill="1" applyBorder="1" applyAlignment="1">
      <alignment vertical="center" wrapText="1"/>
    </xf>
    <xf numFmtId="165" fontId="27" fillId="7" borderId="204" xfId="2" applyNumberFormat="1" applyFont="1" applyFill="1" applyBorder="1" applyAlignment="1">
      <alignment vertical="center"/>
    </xf>
    <xf numFmtId="165" fontId="27" fillId="7" borderId="208" xfId="2" applyNumberFormat="1" applyFont="1" applyFill="1" applyBorder="1" applyAlignment="1">
      <alignment vertical="center"/>
    </xf>
    <xf numFmtId="165" fontId="27" fillId="7" borderId="214" xfId="2" applyNumberFormat="1" applyFont="1" applyFill="1" applyBorder="1" applyAlignment="1">
      <alignment vertical="center" wrapText="1"/>
    </xf>
    <xf numFmtId="165" fontId="60" fillId="0" borderId="198" xfId="2" applyNumberFormat="1" applyFont="1" applyFill="1" applyBorder="1" applyAlignment="1">
      <alignment vertical="center" wrapText="1"/>
    </xf>
    <xf numFmtId="165" fontId="60" fillId="0" borderId="210" xfId="2" applyNumberFormat="1" applyFont="1" applyFill="1" applyBorder="1" applyAlignment="1">
      <alignment vertical="center" wrapText="1"/>
    </xf>
    <xf numFmtId="165" fontId="60" fillId="104" borderId="202" xfId="2" applyNumberFormat="1" applyFont="1" applyFill="1" applyBorder="1" applyAlignment="1">
      <alignment vertical="center" wrapText="1"/>
    </xf>
    <xf numFmtId="165" fontId="60" fillId="0" borderId="202" xfId="2" applyNumberFormat="1" applyFont="1" applyFill="1" applyBorder="1" applyAlignment="1">
      <alignment vertical="center" wrapText="1"/>
    </xf>
    <xf numFmtId="165" fontId="57" fillId="7" borderId="198" xfId="2" applyNumberFormat="1" applyFont="1" applyFill="1" applyBorder="1" applyAlignment="1">
      <alignment vertical="center" wrapText="1"/>
    </xf>
    <xf numFmtId="165" fontId="57" fillId="7" borderId="210" xfId="2" applyNumberFormat="1" applyFont="1" applyFill="1" applyBorder="1" applyAlignment="1">
      <alignment vertical="center" wrapText="1"/>
    </xf>
    <xf numFmtId="165" fontId="57" fillId="104" borderId="202" xfId="2" applyNumberFormat="1" applyFont="1" applyFill="1" applyBorder="1" applyAlignment="1">
      <alignment vertical="center" wrapText="1"/>
    </xf>
    <xf numFmtId="165" fontId="57" fillId="7" borderId="202" xfId="2" applyNumberFormat="1" applyFont="1" applyFill="1" applyBorder="1" applyAlignment="1">
      <alignment vertical="center"/>
    </xf>
    <xf numFmtId="165" fontId="27" fillId="0" borderId="198" xfId="2" applyNumberFormat="1" applyFont="1" applyFill="1" applyBorder="1" applyAlignment="1">
      <alignment vertical="center"/>
    </xf>
    <xf numFmtId="165" fontId="57" fillId="7" borderId="210" xfId="2" applyNumberFormat="1" applyFont="1" applyFill="1" applyBorder="1" applyAlignment="1">
      <alignment vertical="center"/>
    </xf>
    <xf numFmtId="165" fontId="57" fillId="7" borderId="214" xfId="2" applyNumberFormat="1" applyFont="1" applyFill="1" applyBorder="1" applyAlignment="1">
      <alignment vertical="center" wrapText="1"/>
    </xf>
    <xf numFmtId="165" fontId="27" fillId="104" borderId="203" xfId="2" applyNumberFormat="1" applyFont="1" applyFill="1" applyBorder="1" applyAlignment="1">
      <alignment vertical="center" wrapText="1"/>
    </xf>
    <xf numFmtId="165" fontId="57" fillId="7" borderId="201" xfId="2" applyNumberFormat="1" applyFont="1" applyFill="1" applyBorder="1" applyAlignment="1">
      <alignment vertical="center" wrapText="1"/>
    </xf>
    <xf numFmtId="165" fontId="27" fillId="0" borderId="205" xfId="2" applyNumberFormat="1" applyFont="1" applyFill="1" applyBorder="1" applyAlignment="1">
      <alignment vertical="center"/>
    </xf>
    <xf numFmtId="165" fontId="27" fillId="7" borderId="202" xfId="1" applyNumberFormat="1" applyFont="1" applyFill="1" applyBorder="1" applyAlignment="1">
      <alignment vertical="center"/>
    </xf>
    <xf numFmtId="165" fontId="27" fillId="7" borderId="201" xfId="1" applyNumberFormat="1" applyFont="1" applyFill="1" applyBorder="1" applyAlignment="1">
      <alignment vertical="center"/>
    </xf>
    <xf numFmtId="165" fontId="27" fillId="7" borderId="205" xfId="1" applyNumberFormat="1" applyFont="1" applyFill="1" applyBorder="1" applyAlignment="1">
      <alignment vertical="center"/>
    </xf>
    <xf numFmtId="165" fontId="57" fillId="0" borderId="202" xfId="2" applyNumberFormat="1" applyFont="1" applyBorder="1" applyAlignment="1">
      <alignment vertical="center" wrapText="1"/>
    </xf>
    <xf numFmtId="165" fontId="57" fillId="7" borderId="214" xfId="2" applyNumberFormat="1" applyFont="1" applyFill="1" applyBorder="1" applyAlignment="1">
      <alignment vertical="center"/>
    </xf>
    <xf numFmtId="165" fontId="27" fillId="0" borderId="207" xfId="2" applyNumberFormat="1" applyFont="1" applyFill="1" applyBorder="1" applyAlignment="1">
      <alignment vertical="center" wrapText="1"/>
    </xf>
    <xf numFmtId="165" fontId="27" fillId="104" borderId="207" xfId="2" applyNumberFormat="1" applyFont="1" applyFill="1" applyBorder="1" applyAlignment="1">
      <alignment vertical="center" wrapText="1"/>
    </xf>
    <xf numFmtId="165" fontId="57" fillId="104" borderId="207" xfId="2" applyNumberFormat="1" applyFont="1" applyFill="1" applyBorder="1" applyAlignment="1">
      <alignment vertical="center" wrapText="1"/>
    </xf>
    <xf numFmtId="165" fontId="26" fillId="0" borderId="207" xfId="2" applyNumberFormat="1" applyFont="1" applyFill="1" applyBorder="1" applyAlignment="1">
      <alignment vertical="center" wrapText="1"/>
    </xf>
    <xf numFmtId="165" fontId="60" fillId="104" borderId="207" xfId="2" applyNumberFormat="1" applyFont="1" applyFill="1" applyBorder="1" applyAlignment="1">
      <alignment vertical="center" wrapText="1"/>
    </xf>
    <xf numFmtId="165" fontId="27" fillId="0" borderId="200" xfId="2" applyNumberFormat="1" applyFont="1" applyFill="1" applyBorder="1" applyAlignment="1">
      <alignment vertical="center"/>
    </xf>
    <xf numFmtId="165" fontId="27" fillId="0" borderId="207" xfId="2" applyNumberFormat="1" applyFont="1" applyFill="1" applyBorder="1" applyAlignment="1">
      <alignment vertical="center"/>
    </xf>
    <xf numFmtId="165" fontId="27" fillId="0" borderId="202" xfId="2" applyNumberFormat="1" applyFont="1" applyFill="1" applyBorder="1" applyAlignment="1">
      <alignment vertical="center"/>
    </xf>
    <xf numFmtId="165" fontId="27" fillId="0" borderId="201" xfId="2" applyNumberFormat="1" applyFont="1" applyFill="1" applyBorder="1" applyAlignment="1">
      <alignment vertical="center" wrapText="1"/>
    </xf>
    <xf numFmtId="165" fontId="27" fillId="0" borderId="214" xfId="2" applyNumberFormat="1" applyFont="1" applyFill="1" applyBorder="1" applyAlignment="1">
      <alignment vertical="center"/>
    </xf>
    <xf numFmtId="165" fontId="27" fillId="0" borderId="204" xfId="2" applyNumberFormat="1" applyFont="1" applyFill="1" applyBorder="1" applyAlignment="1">
      <alignment vertical="center" wrapText="1"/>
    </xf>
    <xf numFmtId="165" fontId="27" fillId="0" borderId="214" xfId="2" applyNumberFormat="1" applyFont="1" applyFill="1" applyBorder="1" applyAlignment="1">
      <alignment vertical="center" wrapText="1"/>
    </xf>
    <xf numFmtId="165" fontId="27" fillId="0" borderId="202" xfId="2" applyNumberFormat="1" applyFont="1" applyBorder="1" applyAlignment="1">
      <alignment vertical="center" wrapText="1"/>
    </xf>
    <xf numFmtId="165" fontId="27" fillId="0" borderId="210" xfId="2" applyNumberFormat="1" applyFont="1" applyBorder="1" applyAlignment="1">
      <alignment vertical="center" wrapText="1"/>
    </xf>
    <xf numFmtId="165" fontId="27" fillId="7" borderId="200" xfId="2" applyNumberFormat="1" applyFont="1" applyFill="1" applyBorder="1" applyAlignment="1">
      <alignment vertical="center" wrapText="1"/>
    </xf>
    <xf numFmtId="41" fontId="27" fillId="7" borderId="202" xfId="2" applyNumberFormat="1" applyFont="1" applyFill="1" applyBorder="1" applyAlignment="1">
      <alignment vertical="center"/>
    </xf>
    <xf numFmtId="41" fontId="27" fillId="7" borderId="200" xfId="2" applyNumberFormat="1" applyFont="1" applyFill="1" applyBorder="1" applyAlignment="1">
      <alignment vertical="center" wrapText="1"/>
    </xf>
    <xf numFmtId="41" fontId="27" fillId="7" borderId="202" xfId="2" applyNumberFormat="1" applyFont="1" applyFill="1" applyBorder="1" applyAlignment="1">
      <alignment vertical="center" wrapText="1"/>
    </xf>
    <xf numFmtId="41" fontId="27" fillId="7" borderId="203" xfId="2" applyNumberFormat="1" applyFont="1" applyFill="1" applyBorder="1" applyAlignment="1">
      <alignment vertical="center"/>
    </xf>
    <xf numFmtId="165" fontId="27" fillId="0" borderId="198" xfId="2" applyNumberFormat="1" applyFont="1" applyBorder="1" applyAlignment="1">
      <alignment vertical="center" wrapText="1"/>
    </xf>
    <xf numFmtId="165" fontId="27" fillId="0" borderId="210" xfId="2" applyNumberFormat="1" applyFont="1" applyFill="1" applyBorder="1" applyAlignment="1">
      <alignment vertical="center"/>
    </xf>
    <xf numFmtId="165" fontId="27" fillId="0" borderId="201" xfId="2" applyNumberFormat="1" applyFont="1" applyFill="1" applyBorder="1" applyAlignment="1">
      <alignment vertical="center"/>
    </xf>
    <xf numFmtId="165" fontId="27" fillId="0" borderId="208" xfId="2" applyNumberFormat="1" applyFont="1" applyFill="1" applyBorder="1" applyAlignment="1">
      <alignment vertical="center" wrapText="1"/>
    </xf>
    <xf numFmtId="0" fontId="140" fillId="0" borderId="201" xfId="0" applyFont="1" applyBorder="1" applyAlignment="1">
      <alignment vertical="center" wrapText="1"/>
    </xf>
    <xf numFmtId="0" fontId="140" fillId="0" borderId="200" xfId="0" applyFont="1" applyBorder="1" applyAlignment="1">
      <alignment vertical="center" wrapText="1"/>
    </xf>
    <xf numFmtId="3" fontId="57" fillId="91" borderId="202" xfId="0" applyNumberFormat="1" applyFont="1" applyFill="1" applyBorder="1" applyAlignment="1">
      <alignment vertical="center"/>
    </xf>
    <xf numFmtId="3" fontId="140" fillId="0" borderId="201" xfId="0" applyNumberFormat="1" applyFont="1" applyBorder="1" applyAlignment="1">
      <alignment vertical="center" wrapText="1"/>
    </xf>
    <xf numFmtId="3" fontId="140" fillId="0" borderId="200" xfId="0" applyNumberFormat="1" applyFont="1" applyBorder="1" applyAlignment="1">
      <alignment vertical="center" wrapText="1"/>
    </xf>
    <xf numFmtId="0" fontId="57" fillId="91" borderId="202" xfId="0" applyFont="1" applyFill="1" applyBorder="1" applyAlignment="1">
      <alignment vertical="center"/>
    </xf>
    <xf numFmtId="0" fontId="57" fillId="91" borderId="201" xfId="0" applyFont="1" applyFill="1" applyBorder="1" applyAlignment="1">
      <alignment vertical="center" wrapText="1"/>
    </xf>
    <xf numFmtId="0" fontId="57" fillId="91" borderId="204" xfId="0" applyFont="1" applyFill="1" applyBorder="1" applyAlignment="1">
      <alignment vertical="center" wrapText="1"/>
    </xf>
    <xf numFmtId="165" fontId="27" fillId="0" borderId="196" xfId="2" applyNumberFormat="1" applyFont="1" applyFill="1" applyBorder="1" applyAlignment="1">
      <alignment vertical="center"/>
    </xf>
    <xf numFmtId="165" fontId="27" fillId="7" borderId="202" xfId="1" applyNumberFormat="1" applyFont="1" applyFill="1" applyBorder="1" applyAlignment="1">
      <alignment vertical="center" wrapText="1"/>
    </xf>
    <xf numFmtId="165" fontId="27" fillId="7" borderId="201" xfId="1" applyNumberFormat="1" applyFont="1" applyFill="1" applyBorder="1" applyAlignment="1">
      <alignment vertical="center" wrapText="1"/>
    </xf>
    <xf numFmtId="165" fontId="27" fillId="104" borderId="194" xfId="2" applyNumberFormat="1" applyFont="1" applyFill="1" applyBorder="1" applyAlignment="1">
      <alignment vertical="center"/>
    </xf>
    <xf numFmtId="165" fontId="2" fillId="7" borderId="202" xfId="1" applyNumberFormat="1" applyFont="1" applyFill="1" applyBorder="1" applyAlignment="1">
      <alignment vertical="center" wrapText="1"/>
    </xf>
    <xf numFmtId="165" fontId="2" fillId="7" borderId="202" xfId="1" applyNumberFormat="1" applyFont="1" applyFill="1" applyBorder="1" applyAlignment="1">
      <alignment vertical="center"/>
    </xf>
    <xf numFmtId="165" fontId="2" fillId="7" borderId="201" xfId="1" applyNumberFormat="1" applyFont="1" applyFill="1" applyBorder="1" applyAlignment="1">
      <alignment vertical="center" wrapText="1"/>
    </xf>
    <xf numFmtId="165" fontId="2" fillId="7" borderId="200" xfId="1" applyNumberFormat="1" applyFont="1" applyFill="1" applyBorder="1" applyAlignment="1">
      <alignment vertical="center" wrapText="1"/>
    </xf>
    <xf numFmtId="165" fontId="2" fillId="7" borderId="198" xfId="1" applyNumberFormat="1" applyFont="1" applyFill="1" applyBorder="1" applyAlignment="1">
      <alignment vertical="center"/>
    </xf>
    <xf numFmtId="165" fontId="2" fillId="7" borderId="200" xfId="1" applyNumberFormat="1" applyFont="1" applyFill="1" applyBorder="1" applyAlignment="1">
      <alignment vertical="center"/>
    </xf>
    <xf numFmtId="165" fontId="2" fillId="7" borderId="204" xfId="1" applyNumberFormat="1" applyFont="1" applyFill="1" applyBorder="1" applyAlignment="1">
      <alignment vertical="center" wrapText="1"/>
    </xf>
    <xf numFmtId="165" fontId="2" fillId="7" borderId="203" xfId="1" applyNumberFormat="1" applyFont="1" applyFill="1" applyBorder="1" applyAlignment="1">
      <alignment vertical="center" wrapText="1"/>
    </xf>
    <xf numFmtId="165" fontId="2" fillId="0" borderId="202" xfId="2" applyNumberFormat="1" applyFont="1" applyBorder="1" applyAlignment="1">
      <alignment vertical="center" wrapText="1"/>
    </xf>
    <xf numFmtId="165" fontId="2" fillId="0" borderId="198" xfId="2" applyNumberFormat="1" applyFont="1" applyBorder="1" applyAlignment="1">
      <alignment vertical="center" wrapText="1"/>
    </xf>
    <xf numFmtId="165" fontId="2" fillId="0" borderId="200" xfId="2" applyNumberFormat="1" applyFont="1" applyBorder="1" applyAlignment="1">
      <alignment vertical="center" wrapText="1"/>
    </xf>
    <xf numFmtId="165" fontId="2" fillId="7" borderId="203" xfId="1" applyNumberFormat="1" applyFont="1" applyFill="1" applyBorder="1" applyAlignment="1">
      <alignment vertical="center"/>
    </xf>
    <xf numFmtId="43" fontId="27" fillId="7" borderId="202" xfId="2" applyFont="1" applyFill="1" applyBorder="1" applyAlignment="1">
      <alignment vertical="center" wrapText="1"/>
    </xf>
    <xf numFmtId="43" fontId="27" fillId="7" borderId="202" xfId="2" applyFont="1" applyFill="1" applyBorder="1" applyAlignment="1">
      <alignment vertical="center"/>
    </xf>
    <xf numFmtId="43" fontId="27" fillId="7" borderId="198" xfId="2" applyFont="1" applyFill="1" applyBorder="1" applyAlignment="1">
      <alignment vertical="center"/>
    </xf>
    <xf numFmtId="43" fontId="27" fillId="7" borderId="210" xfId="2" applyFont="1" applyFill="1" applyBorder="1" applyAlignment="1">
      <alignment vertical="center"/>
    </xf>
    <xf numFmtId="165" fontId="137" fillId="7" borderId="200" xfId="2" applyNumberFormat="1" applyFont="1" applyFill="1" applyBorder="1" applyAlignment="1" applyProtection="1">
      <alignment horizontal="center" vertical="center"/>
    </xf>
    <xf numFmtId="165" fontId="2" fillId="0" borderId="198" xfId="1" applyNumberFormat="1" applyFont="1" applyBorder="1" applyAlignment="1">
      <alignment vertical="center"/>
    </xf>
    <xf numFmtId="165" fontId="2" fillId="0" borderId="200" xfId="1" applyNumberFormat="1" applyFont="1" applyBorder="1" applyAlignment="1">
      <alignment vertical="center"/>
    </xf>
    <xf numFmtId="165" fontId="36" fillId="0" borderId="202" xfId="0" applyNumberFormat="1" applyFont="1" applyBorder="1" applyAlignment="1">
      <alignment vertical="center"/>
    </xf>
    <xf numFmtId="165" fontId="2" fillId="7" borderId="198" xfId="1" applyNumberFormat="1" applyFont="1" applyFill="1" applyBorder="1" applyAlignment="1">
      <alignment vertical="center" wrapText="1"/>
    </xf>
    <xf numFmtId="165" fontId="27" fillId="104" borderId="197" xfId="2" applyNumberFormat="1" applyFont="1" applyFill="1" applyBorder="1" applyAlignment="1">
      <alignment vertical="center"/>
    </xf>
    <xf numFmtId="165" fontId="2" fillId="7" borderId="200" xfId="2" applyNumberFormat="1" applyFont="1" applyFill="1" applyBorder="1" applyAlignment="1">
      <alignment horizontal="center" vertical="center"/>
    </xf>
    <xf numFmtId="165" fontId="2" fillId="7" borderId="201" xfId="2" applyNumberFormat="1" applyFont="1" applyFill="1" applyBorder="1" applyAlignment="1">
      <alignment horizontal="center" vertical="center"/>
    </xf>
    <xf numFmtId="165" fontId="2" fillId="7" borderId="210" xfId="2" applyNumberFormat="1" applyFont="1" applyFill="1" applyBorder="1" applyAlignment="1">
      <alignment horizontal="center" vertical="center"/>
    </xf>
    <xf numFmtId="165" fontId="2" fillId="104" borderId="210" xfId="2" applyNumberFormat="1" applyFont="1" applyFill="1" applyBorder="1" applyAlignment="1">
      <alignment horizontal="center" vertical="center"/>
    </xf>
    <xf numFmtId="165" fontId="26" fillId="104" borderId="210" xfId="2" applyNumberFormat="1" applyFont="1" applyFill="1" applyBorder="1" applyAlignment="1">
      <alignment vertical="center" wrapText="1"/>
    </xf>
    <xf numFmtId="165" fontId="27" fillId="104" borderId="214" xfId="2" applyNumberFormat="1" applyFont="1" applyFill="1" applyBorder="1" applyAlignment="1">
      <alignment vertical="center"/>
    </xf>
    <xf numFmtId="165" fontId="27" fillId="104" borderId="210" xfId="2" applyNumberFormat="1" applyFont="1" applyFill="1" applyBorder="1" applyAlignment="1">
      <alignment vertical="center"/>
    </xf>
    <xf numFmtId="165" fontId="141" fillId="7" borderId="202" xfId="2" applyNumberFormat="1" applyFont="1" applyFill="1" applyBorder="1" applyAlignment="1">
      <alignment vertical="center" wrapText="1"/>
    </xf>
    <xf numFmtId="165" fontId="141" fillId="7" borderId="202" xfId="2" applyNumberFormat="1" applyFont="1" applyFill="1" applyBorder="1" applyAlignment="1">
      <alignment vertical="center"/>
    </xf>
    <xf numFmtId="165" fontId="141" fillId="7" borderId="201" xfId="2" applyNumberFormat="1" applyFont="1" applyFill="1" applyBorder="1" applyAlignment="1">
      <alignment vertical="center" wrapText="1"/>
    </xf>
    <xf numFmtId="165" fontId="141" fillId="7" borderId="210" xfId="2" applyNumberFormat="1" applyFont="1" applyFill="1" applyBorder="1" applyAlignment="1">
      <alignment vertical="center" wrapText="1"/>
    </xf>
    <xf numFmtId="165" fontId="141" fillId="7" borderId="201" xfId="2" applyNumberFormat="1" applyFont="1" applyFill="1" applyBorder="1" applyAlignment="1">
      <alignment vertical="center"/>
    </xf>
    <xf numFmtId="165" fontId="141" fillId="104" borderId="210" xfId="2" applyNumberFormat="1" applyFont="1" applyFill="1" applyBorder="1" applyAlignment="1">
      <alignment vertical="center"/>
    </xf>
    <xf numFmtId="165" fontId="141" fillId="7" borderId="214" xfId="2" applyNumberFormat="1" applyFont="1" applyFill="1" applyBorder="1" applyAlignment="1">
      <alignment vertical="center" wrapText="1"/>
    </xf>
    <xf numFmtId="165" fontId="141" fillId="104" borderId="214" xfId="2" applyNumberFormat="1" applyFont="1" applyFill="1" applyBorder="1" applyAlignment="1">
      <alignment vertical="center"/>
    </xf>
    <xf numFmtId="165" fontId="141" fillId="7" borderId="198" xfId="2" applyNumberFormat="1" applyFont="1" applyFill="1" applyBorder="1" applyAlignment="1">
      <alignment vertical="center" wrapText="1"/>
    </xf>
    <xf numFmtId="165" fontId="141" fillId="7" borderId="204" xfId="2" applyNumberFormat="1" applyFont="1" applyFill="1" applyBorder="1" applyAlignment="1">
      <alignment vertical="center" wrapText="1"/>
    </xf>
    <xf numFmtId="165" fontId="141" fillId="7" borderId="204" xfId="2" applyNumberFormat="1" applyFont="1" applyFill="1" applyBorder="1" applyAlignment="1">
      <alignment vertical="center"/>
    </xf>
    <xf numFmtId="165" fontId="141" fillId="104" borderId="214" xfId="2" applyNumberFormat="1" applyFont="1" applyFill="1" applyBorder="1" applyAlignment="1">
      <alignment vertical="center" wrapText="1"/>
    </xf>
    <xf numFmtId="0" fontId="2" fillId="4" borderId="215" xfId="25" applyFont="1" applyFill="1" applyBorder="1" applyAlignment="1">
      <alignment vertical="center"/>
    </xf>
    <xf numFmtId="0" fontId="2" fillId="0" borderId="194" xfId="25" applyFont="1" applyBorder="1" applyAlignment="1">
      <alignment horizontal="center" vertical="center"/>
    </xf>
    <xf numFmtId="0" fontId="2" fillId="4" borderId="215" xfId="25" applyFont="1" applyFill="1" applyBorder="1" applyAlignment="1">
      <alignment horizontal="left" vertical="center"/>
    </xf>
    <xf numFmtId="0" fontId="2" fillId="4" borderId="215" xfId="25" applyFont="1" applyFill="1" applyBorder="1" applyAlignment="1">
      <alignment horizontal="left" vertical="center" wrapText="1"/>
    </xf>
    <xf numFmtId="0" fontId="3" fillId="4" borderId="215" xfId="25" applyFont="1" applyFill="1" applyBorder="1" applyAlignment="1">
      <alignment horizontal="left" vertical="center"/>
    </xf>
    <xf numFmtId="0" fontId="3" fillId="0" borderId="194" xfId="25" applyFont="1" applyBorder="1" applyAlignment="1">
      <alignment horizontal="center" vertical="center"/>
    </xf>
    <xf numFmtId="0" fontId="3" fillId="4" borderId="215" xfId="25" applyFont="1" applyFill="1" applyBorder="1" applyAlignment="1">
      <alignment vertical="center"/>
    </xf>
    <xf numFmtId="0" fontId="2" fillId="4" borderId="215" xfId="25" applyFont="1" applyFill="1" applyBorder="1" applyAlignment="1">
      <alignment vertical="center" wrapText="1"/>
    </xf>
    <xf numFmtId="0" fontId="2" fillId="4" borderId="200" xfId="25" applyFont="1" applyFill="1" applyBorder="1" applyAlignment="1">
      <alignment vertical="center"/>
    </xf>
    <xf numFmtId="0" fontId="2" fillId="0" borderId="197" xfId="25" applyFont="1" applyBorder="1" applyAlignment="1">
      <alignment horizontal="center" vertical="center"/>
    </xf>
    <xf numFmtId="165" fontId="2" fillId="103" borderId="215" xfId="2" applyNumberFormat="1" applyFont="1" applyFill="1" applyBorder="1" applyAlignment="1">
      <alignment vertical="center"/>
    </xf>
    <xf numFmtId="165" fontId="2" fillId="0" borderId="200" xfId="2" applyNumberFormat="1" applyFont="1" applyFill="1" applyBorder="1" applyAlignment="1">
      <alignment vertical="center"/>
    </xf>
    <xf numFmtId="165" fontId="2" fillId="0" borderId="197" xfId="2" applyNumberFormat="1" applyFont="1" applyFill="1" applyBorder="1" applyAlignment="1">
      <alignment vertical="center"/>
    </xf>
    <xf numFmtId="0" fontId="2" fillId="4" borderId="200" xfId="25" applyFont="1" applyFill="1" applyBorder="1" applyAlignment="1">
      <alignment horizontal="left" vertical="center"/>
    </xf>
    <xf numFmtId="0" fontId="2" fillId="4" borderId="200" xfId="25" applyFont="1" applyFill="1" applyBorder="1" applyAlignment="1">
      <alignment horizontal="left" vertical="center" wrapText="1"/>
    </xf>
    <xf numFmtId="0" fontId="3" fillId="4" borderId="200" xfId="25" applyFont="1" applyFill="1" applyBorder="1" applyAlignment="1">
      <alignment horizontal="left" vertical="center"/>
    </xf>
    <xf numFmtId="0" fontId="3" fillId="0" borderId="197" xfId="25" applyFont="1" applyBorder="1" applyAlignment="1">
      <alignment horizontal="center" vertical="center"/>
    </xf>
    <xf numFmtId="0" fontId="2" fillId="4" borderId="200" xfId="0" applyFont="1" applyFill="1" applyBorder="1" applyAlignment="1">
      <alignment vertical="center"/>
    </xf>
    <xf numFmtId="0" fontId="3" fillId="4" borderId="200" xfId="25" applyFont="1" applyFill="1" applyBorder="1" applyAlignment="1">
      <alignment vertical="center"/>
    </xf>
    <xf numFmtId="0" fontId="2" fillId="4" borderId="200" xfId="25" applyFont="1" applyFill="1" applyBorder="1" applyAlignment="1">
      <alignment vertical="center" wrapText="1"/>
    </xf>
    <xf numFmtId="0" fontId="2" fillId="4" borderId="200" xfId="15" applyFont="1" applyFill="1" applyBorder="1" applyAlignment="1">
      <alignment vertical="center"/>
    </xf>
    <xf numFmtId="165" fontId="2" fillId="103" borderId="200" xfId="2" applyNumberFormat="1" applyFont="1" applyFill="1" applyBorder="1" applyAlignment="1">
      <alignment vertical="center"/>
    </xf>
    <xf numFmtId="165" fontId="2" fillId="104" borderId="194" xfId="2" applyNumberFormat="1" applyFont="1" applyFill="1" applyBorder="1" applyAlignment="1">
      <alignment vertical="center"/>
    </xf>
    <xf numFmtId="165" fontId="2" fillId="0" borderId="194" xfId="2" applyNumberFormat="1" applyFont="1" applyFill="1" applyBorder="1" applyAlignment="1">
      <alignment vertical="center"/>
    </xf>
    <xf numFmtId="165" fontId="2" fillId="104" borderId="216" xfId="2" applyNumberFormat="1" applyFont="1" applyFill="1" applyBorder="1" applyAlignment="1">
      <alignment vertical="center"/>
    </xf>
    <xf numFmtId="0" fontId="2" fillId="4" borderId="217" xfId="25" applyFont="1" applyFill="1" applyBorder="1" applyAlignment="1">
      <alignment vertical="center"/>
    </xf>
    <xf numFmtId="0" fontId="2" fillId="0" borderId="196" xfId="25" applyFont="1" applyBorder="1" applyAlignment="1">
      <alignment horizontal="center" vertical="center"/>
    </xf>
    <xf numFmtId="165" fontId="2" fillId="103" borderId="203" xfId="2" applyNumberFormat="1" applyFont="1" applyFill="1" applyBorder="1" applyAlignment="1">
      <alignment vertical="center"/>
    </xf>
    <xf numFmtId="165" fontId="2" fillId="0" borderId="196" xfId="2" applyNumberFormat="1" applyFont="1" applyFill="1" applyBorder="1" applyAlignment="1">
      <alignment vertical="center"/>
    </xf>
    <xf numFmtId="165" fontId="2" fillId="0" borderId="203" xfId="2" applyNumberFormat="1" applyFont="1" applyFill="1" applyBorder="1" applyAlignment="1">
      <alignment vertical="center"/>
    </xf>
    <xf numFmtId="165" fontId="2" fillId="104" borderId="196" xfId="2" applyNumberFormat="1" applyFont="1" applyFill="1" applyBorder="1" applyAlignment="1">
      <alignment vertical="center"/>
    </xf>
    <xf numFmtId="165" fontId="2" fillId="104" borderId="218" xfId="2" applyNumberFormat="1" applyFont="1" applyFill="1" applyBorder="1" applyAlignment="1">
      <alignment vertical="center"/>
    </xf>
    <xf numFmtId="0" fontId="2" fillId="0" borderId="198" xfId="25" applyFont="1" applyBorder="1" applyAlignment="1">
      <alignment horizontal="center" vertical="center"/>
    </xf>
    <xf numFmtId="165" fontId="2" fillId="103" borderId="201" xfId="2" applyNumberFormat="1" applyFont="1" applyFill="1" applyBorder="1" applyAlignment="1">
      <alignment vertical="center"/>
    </xf>
    <xf numFmtId="0" fontId="3" fillId="0" borderId="198" xfId="25" applyFont="1" applyBorder="1" applyAlignment="1">
      <alignment horizontal="center" vertical="center"/>
    </xf>
    <xf numFmtId="165" fontId="2" fillId="103" borderId="204" xfId="2" applyNumberFormat="1" applyFont="1" applyFill="1" applyBorder="1" applyAlignment="1">
      <alignment vertical="center"/>
    </xf>
    <xf numFmtId="165" fontId="2" fillId="104" borderId="203" xfId="2" applyNumberFormat="1" applyFont="1" applyFill="1" applyBorder="1" applyAlignment="1">
      <alignment vertical="center"/>
    </xf>
    <xf numFmtId="0" fontId="3" fillId="30" borderId="198" xfId="25" applyFont="1" applyFill="1" applyBorder="1" applyAlignment="1">
      <alignment horizontal="center" vertical="center"/>
    </xf>
    <xf numFmtId="0" fontId="2" fillId="0" borderId="195" xfId="25" applyFont="1" applyBorder="1" applyAlignment="1">
      <alignment horizontal="center" vertical="center"/>
    </xf>
    <xf numFmtId="165" fontId="2" fillId="104" borderId="198" xfId="2" applyNumberFormat="1" applyFont="1" applyFill="1" applyBorder="1" applyAlignment="1">
      <alignment vertical="center"/>
    </xf>
    <xf numFmtId="165" fontId="2" fillId="104" borderId="202" xfId="2" applyNumberFormat="1" applyFont="1" applyFill="1" applyBorder="1" applyAlignment="1">
      <alignment vertical="center"/>
    </xf>
    <xf numFmtId="0" fontId="3" fillId="0" borderId="195" xfId="25" applyFont="1" applyBorder="1" applyAlignment="1">
      <alignment horizontal="center" vertical="center"/>
    </xf>
    <xf numFmtId="0" fontId="2" fillId="4" borderId="215" xfId="0" applyFont="1" applyFill="1" applyBorder="1" applyAlignment="1">
      <alignment vertical="center"/>
    </xf>
    <xf numFmtId="0" fontId="2" fillId="4" borderId="215" xfId="25" applyFont="1" applyFill="1" applyBorder="1"/>
    <xf numFmtId="0" fontId="2" fillId="0" borderId="195" xfId="25" applyFont="1" applyBorder="1" applyAlignment="1">
      <alignment horizontal="center"/>
    </xf>
    <xf numFmtId="165" fontId="2" fillId="103" borderId="200" xfId="2" applyNumberFormat="1" applyFont="1" applyFill="1" applyBorder="1"/>
    <xf numFmtId="165" fontId="2" fillId="0" borderId="198" xfId="2" applyNumberFormat="1" applyFont="1" applyFill="1" applyBorder="1"/>
    <xf numFmtId="165" fontId="2" fillId="0" borderId="200" xfId="2" applyNumberFormat="1" applyFont="1" applyFill="1" applyBorder="1"/>
    <xf numFmtId="165" fontId="2" fillId="104" borderId="198" xfId="2" applyNumberFormat="1" applyFont="1" applyFill="1" applyBorder="1"/>
    <xf numFmtId="165" fontId="2" fillId="104" borderId="202" xfId="2" applyNumberFormat="1" applyFont="1" applyFill="1" applyBorder="1"/>
    <xf numFmtId="0" fontId="2" fillId="4" borderId="215" xfId="25" applyFont="1" applyFill="1" applyBorder="1" applyAlignment="1">
      <alignment horizontal="left"/>
    </xf>
    <xf numFmtId="0" fontId="2" fillId="4" borderId="215" xfId="25" applyFont="1" applyFill="1" applyBorder="1" applyAlignment="1">
      <alignment horizontal="left" wrapText="1"/>
    </xf>
    <xf numFmtId="0" fontId="3" fillId="4" borderId="215" xfId="25" applyFont="1" applyFill="1" applyBorder="1" applyAlignment="1">
      <alignment horizontal="left"/>
    </xf>
    <xf numFmtId="0" fontId="3" fillId="0" borderId="195" xfId="25" applyFont="1" applyBorder="1" applyAlignment="1">
      <alignment horizontal="center"/>
    </xf>
    <xf numFmtId="165" fontId="2" fillId="0" borderId="198" xfId="1" applyNumberFormat="1" applyFont="1" applyFill="1" applyBorder="1"/>
    <xf numFmtId="165" fontId="2" fillId="0" borderId="200" xfId="1" applyNumberFormat="1" applyFont="1" applyFill="1" applyBorder="1"/>
    <xf numFmtId="0" fontId="3" fillId="4" borderId="215" xfId="25" applyFont="1" applyFill="1" applyBorder="1"/>
    <xf numFmtId="0" fontId="2" fillId="4" borderId="215" xfId="25" applyFont="1" applyFill="1" applyBorder="1" applyAlignment="1">
      <alignment wrapText="1"/>
    </xf>
    <xf numFmtId="0" fontId="2" fillId="0" borderId="198" xfId="25" applyFont="1" applyBorder="1" applyAlignment="1">
      <alignment horizontal="center"/>
    </xf>
    <xf numFmtId="0" fontId="3" fillId="0" borderId="198" xfId="25" applyFont="1" applyBorder="1" applyAlignment="1">
      <alignment horizontal="center"/>
    </xf>
    <xf numFmtId="0" fontId="3" fillId="30" borderId="200" xfId="25" applyFont="1" applyFill="1" applyBorder="1" applyAlignment="1">
      <alignment vertical="center"/>
    </xf>
    <xf numFmtId="165" fontId="2" fillId="30" borderId="200" xfId="2" applyNumberFormat="1" applyFont="1" applyFill="1" applyBorder="1" applyAlignment="1">
      <alignment vertical="center"/>
    </xf>
    <xf numFmtId="165" fontId="2" fillId="30" borderId="198" xfId="2" applyNumberFormat="1" applyFont="1" applyFill="1" applyBorder="1" applyAlignment="1">
      <alignment vertical="center"/>
    </xf>
    <xf numFmtId="0" fontId="2" fillId="7" borderId="198" xfId="25" applyFont="1" applyFill="1" applyBorder="1" applyAlignment="1">
      <alignment horizontal="center"/>
    </xf>
    <xf numFmtId="0" fontId="3" fillId="7" borderId="198" xfId="25" applyFont="1" applyFill="1" applyBorder="1" applyAlignment="1">
      <alignment horizontal="center"/>
    </xf>
    <xf numFmtId="165" fontId="3" fillId="104" borderId="200" xfId="2" applyNumberFormat="1" applyFont="1" applyFill="1" applyBorder="1" applyAlignment="1">
      <alignment vertical="center"/>
    </xf>
    <xf numFmtId="0" fontId="2" fillId="7" borderId="195" xfId="25" applyFont="1" applyFill="1" applyBorder="1" applyAlignment="1">
      <alignment horizontal="center" vertical="center"/>
    </xf>
    <xf numFmtId="165" fontId="2" fillId="0" borderId="198" xfId="2" applyNumberFormat="1" applyFont="1" applyBorder="1" applyAlignment="1">
      <alignment vertical="center"/>
    </xf>
    <xf numFmtId="165" fontId="2" fillId="0" borderId="200" xfId="2" applyNumberFormat="1" applyFont="1" applyBorder="1" applyAlignment="1">
      <alignment vertical="center"/>
    </xf>
    <xf numFmtId="0" fontId="3" fillId="7" borderId="195" xfId="25" applyFont="1" applyFill="1" applyBorder="1" applyAlignment="1">
      <alignment horizontal="center" vertical="center"/>
    </xf>
    <xf numFmtId="0" fontId="3" fillId="21" borderId="195" xfId="25" applyFont="1" applyFill="1" applyBorder="1" applyAlignment="1">
      <alignment horizontal="center" vertical="center"/>
    </xf>
    <xf numFmtId="0" fontId="2" fillId="4" borderId="215" xfId="15" applyFont="1" applyFill="1" applyBorder="1" applyAlignment="1">
      <alignment vertical="center"/>
    </xf>
    <xf numFmtId="165" fontId="2" fillId="7" borderId="200" xfId="2" applyNumberFormat="1" applyFont="1" applyFill="1" applyBorder="1" applyAlignment="1">
      <alignment vertical="center"/>
    </xf>
    <xf numFmtId="165" fontId="2" fillId="7" borderId="198" xfId="2" applyNumberFormat="1" applyFont="1" applyFill="1" applyBorder="1" applyAlignment="1">
      <alignment vertical="center"/>
    </xf>
    <xf numFmtId="165" fontId="2" fillId="0" borderId="203" xfId="2" applyNumberFormat="1" applyFont="1" applyBorder="1" applyAlignment="1">
      <alignment vertical="center"/>
    </xf>
    <xf numFmtId="43" fontId="2" fillId="103" borderId="200" xfId="2" applyFont="1" applyFill="1" applyBorder="1" applyAlignment="1">
      <alignment vertical="center"/>
    </xf>
    <xf numFmtId="0" fontId="2" fillId="7" borderId="197" xfId="25" applyFont="1" applyFill="1" applyBorder="1" applyAlignment="1">
      <alignment horizontal="center" vertical="center"/>
    </xf>
    <xf numFmtId="165" fontId="2" fillId="103" borderId="195" xfId="2" applyNumberFormat="1" applyFont="1" applyFill="1" applyBorder="1" applyAlignment="1">
      <alignment vertical="center"/>
    </xf>
    <xf numFmtId="0" fontId="3" fillId="7" borderId="197" xfId="25" applyFont="1" applyFill="1" applyBorder="1" applyAlignment="1">
      <alignment horizontal="center" vertical="center"/>
    </xf>
    <xf numFmtId="0" fontId="2" fillId="7" borderId="198" xfId="25" applyFont="1" applyFill="1" applyBorder="1" applyAlignment="1">
      <alignment horizontal="center" vertical="center"/>
    </xf>
    <xf numFmtId="0" fontId="3" fillId="7" borderId="198" xfId="25" applyFont="1" applyFill="1" applyBorder="1" applyAlignment="1">
      <alignment horizontal="center" vertical="center"/>
    </xf>
    <xf numFmtId="0" fontId="3" fillId="21" borderId="198" xfId="25" applyFont="1" applyFill="1" applyBorder="1" applyAlignment="1">
      <alignment horizontal="center" vertical="center"/>
    </xf>
    <xf numFmtId="165" fontId="2" fillId="0" borderId="197" xfId="2" applyNumberFormat="1" applyFont="1" applyBorder="1" applyAlignment="1">
      <alignment vertical="center"/>
    </xf>
    <xf numFmtId="43" fontId="2" fillId="0" borderId="197" xfId="1" applyFont="1" applyBorder="1" applyAlignment="1">
      <alignment vertical="center"/>
    </xf>
    <xf numFmtId="43" fontId="2" fillId="0" borderId="197" xfId="1" applyFont="1" applyFill="1" applyBorder="1" applyAlignment="1">
      <alignment vertical="center"/>
    </xf>
    <xf numFmtId="43" fontId="2" fillId="0" borderId="200" xfId="1" applyFont="1" applyFill="1" applyBorder="1" applyAlignment="1">
      <alignment vertical="center"/>
    </xf>
    <xf numFmtId="43" fontId="2" fillId="7" borderId="200" xfId="1" applyFont="1" applyFill="1" applyBorder="1" applyAlignment="1">
      <alignment vertical="center"/>
    </xf>
    <xf numFmtId="165" fontId="2" fillId="0" borderId="197" xfId="1" applyNumberFormat="1" applyFont="1" applyFill="1" applyBorder="1" applyAlignment="1">
      <alignment vertical="center"/>
    </xf>
    <xf numFmtId="165" fontId="2" fillId="0" borderId="197" xfId="1" applyNumberFormat="1" applyFont="1" applyBorder="1" applyAlignment="1">
      <alignment vertical="center"/>
    </xf>
    <xf numFmtId="0" fontId="2" fillId="4" borderId="200" xfId="0" applyFont="1" applyFill="1" applyBorder="1" applyAlignment="1">
      <alignment horizontal="left" vertical="center" wrapText="1"/>
    </xf>
    <xf numFmtId="165" fontId="2" fillId="0" borderId="200" xfId="0" applyNumberFormat="1" applyFont="1" applyBorder="1" applyAlignment="1">
      <alignment horizontal="left" vertical="center"/>
    </xf>
    <xf numFmtId="165" fontId="2" fillId="103" borderId="200" xfId="0" applyNumberFormat="1" applyFont="1" applyFill="1" applyBorder="1" applyAlignment="1">
      <alignment horizontal="left" vertical="center"/>
    </xf>
    <xf numFmtId="0" fontId="2" fillId="4" borderId="203" xfId="0" applyFont="1" applyFill="1" applyBorder="1" applyAlignment="1">
      <alignment horizontal="left" vertical="center" wrapText="1"/>
    </xf>
    <xf numFmtId="0" fontId="26" fillId="4" borderId="200" xfId="0" applyFont="1" applyFill="1" applyBorder="1" applyAlignment="1">
      <alignment vertical="center" wrapText="1"/>
    </xf>
    <xf numFmtId="165" fontId="3" fillId="0" borderId="200" xfId="0" applyNumberFormat="1" applyFont="1" applyBorder="1" applyAlignment="1">
      <alignment horizontal="left" vertical="center"/>
    </xf>
    <xf numFmtId="165" fontId="3" fillId="103" borderId="200" xfId="0" applyNumberFormat="1" applyFont="1" applyFill="1" applyBorder="1" applyAlignment="1">
      <alignment horizontal="left" vertical="center"/>
    </xf>
    <xf numFmtId="165" fontId="2" fillId="0" borderId="203" xfId="0" applyNumberFormat="1" applyFont="1" applyBorder="1" applyAlignment="1">
      <alignment horizontal="left" vertical="center"/>
    </xf>
    <xf numFmtId="165" fontId="2" fillId="103" borderId="203" xfId="0" applyNumberFormat="1" applyFont="1" applyFill="1" applyBorder="1" applyAlignment="1">
      <alignment horizontal="left" vertical="center"/>
    </xf>
    <xf numFmtId="165" fontId="2" fillId="0" borderId="194" xfId="0" applyNumberFormat="1" applyFont="1" applyBorder="1" applyAlignment="1">
      <alignment horizontal="left" vertical="center"/>
    </xf>
    <xf numFmtId="165" fontId="2" fillId="0" borderId="202" xfId="0" applyNumberFormat="1" applyFont="1" applyBorder="1" applyAlignment="1">
      <alignment horizontal="left" vertical="center"/>
    </xf>
    <xf numFmtId="0" fontId="2" fillId="4" borderId="201" xfId="0" applyFont="1" applyFill="1" applyBorder="1" applyAlignment="1">
      <alignment horizontal="left" vertical="center" wrapText="1"/>
    </xf>
    <xf numFmtId="0" fontId="2" fillId="4" borderId="201" xfId="0" applyFont="1" applyFill="1" applyBorder="1" applyAlignment="1">
      <alignment vertical="center" wrapText="1"/>
    </xf>
    <xf numFmtId="0" fontId="2" fillId="4" borderId="204" xfId="0" applyFont="1" applyFill="1" applyBorder="1" applyAlignment="1">
      <alignment vertical="center" wrapText="1"/>
    </xf>
    <xf numFmtId="165" fontId="2" fillId="0" borderId="196" xfId="0" applyNumberFormat="1" applyFont="1" applyBorder="1" applyAlignment="1">
      <alignment horizontal="left" vertical="center"/>
    </xf>
    <xf numFmtId="0" fontId="27" fillId="4" borderId="204" xfId="0" applyFont="1" applyFill="1" applyBorder="1" applyAlignment="1">
      <alignment vertical="center" wrapText="1"/>
    </xf>
    <xf numFmtId="0" fontId="3" fillId="4" borderId="201" xfId="0" applyFont="1" applyFill="1" applyBorder="1" applyAlignment="1">
      <alignment vertical="center" wrapText="1"/>
    </xf>
    <xf numFmtId="0" fontId="2" fillId="4" borderId="203" xfId="0" applyFont="1" applyFill="1" applyBorder="1" applyAlignment="1">
      <alignment vertical="center" wrapText="1"/>
    </xf>
    <xf numFmtId="0" fontId="57" fillId="0" borderId="200" xfId="0" applyFont="1" applyBorder="1" applyAlignment="1">
      <alignment vertical="center" wrapText="1"/>
    </xf>
    <xf numFmtId="3" fontId="57" fillId="91" borderId="200" xfId="0" applyNumberFormat="1" applyFont="1" applyFill="1" applyBorder="1" applyAlignment="1">
      <alignment vertical="center" wrapText="1"/>
    </xf>
    <xf numFmtId="0" fontId="26" fillId="4" borderId="201" xfId="0" applyFont="1" applyFill="1" applyBorder="1" applyAlignment="1">
      <alignment vertical="center" wrapText="1"/>
    </xf>
    <xf numFmtId="3" fontId="60" fillId="91" borderId="200" xfId="0" applyNumberFormat="1" applyFont="1" applyFill="1" applyBorder="1" applyAlignment="1">
      <alignment vertical="center" wrapText="1"/>
    </xf>
    <xf numFmtId="0" fontId="57" fillId="91" borderId="200" xfId="0" applyFont="1" applyFill="1" applyBorder="1" applyAlignment="1">
      <alignment vertical="center" wrapText="1"/>
    </xf>
    <xf numFmtId="0" fontId="27" fillId="4" borderId="203" xfId="0" applyFont="1" applyFill="1" applyBorder="1" applyAlignment="1">
      <alignment vertical="center" wrapText="1"/>
    </xf>
    <xf numFmtId="0" fontId="130" fillId="0" borderId="200" xfId="0" applyFont="1" applyBorder="1"/>
    <xf numFmtId="0" fontId="26" fillId="4" borderId="200" xfId="0" applyFont="1" applyFill="1" applyBorder="1" applyAlignment="1">
      <alignment horizontal="left" vertical="center" wrapText="1"/>
    </xf>
    <xf numFmtId="0" fontId="27" fillId="4" borderId="201" xfId="0" applyFont="1" applyFill="1" applyBorder="1" applyAlignment="1">
      <alignment vertical="center" wrapText="1"/>
    </xf>
    <xf numFmtId="0" fontId="26" fillId="4" borderId="201" xfId="0" applyFont="1" applyFill="1" applyBorder="1" applyAlignment="1">
      <alignment horizontal="left" vertical="center" wrapText="1"/>
    </xf>
    <xf numFmtId="0" fontId="2" fillId="4" borderId="200" xfId="0" applyFont="1" applyFill="1" applyBorder="1" applyAlignment="1">
      <alignment horizontal="left" vertical="center"/>
    </xf>
    <xf numFmtId="165" fontId="27" fillId="103" borderId="200" xfId="1" applyNumberFormat="1" applyFont="1" applyFill="1" applyBorder="1" applyAlignment="1">
      <alignment vertical="center"/>
    </xf>
    <xf numFmtId="165" fontId="27" fillId="103" borderId="203" xfId="1" applyNumberFormat="1" applyFont="1" applyFill="1" applyBorder="1" applyAlignment="1">
      <alignment vertical="center"/>
    </xf>
    <xf numFmtId="0" fontId="130" fillId="0" borderId="210" xfId="0" applyFont="1" applyBorder="1"/>
    <xf numFmtId="0" fontId="2" fillId="4" borderId="202" xfId="0" applyFont="1" applyFill="1" applyBorder="1" applyAlignment="1">
      <alignment horizontal="left" vertical="center" wrapText="1"/>
    </xf>
    <xf numFmtId="165" fontId="27" fillId="0" borderId="200" xfId="1" applyNumberFormat="1" applyFont="1" applyFill="1" applyBorder="1" applyAlignment="1">
      <alignment vertical="center"/>
    </xf>
    <xf numFmtId="0" fontId="3" fillId="4" borderId="200" xfId="0" applyFont="1" applyFill="1" applyBorder="1" applyAlignment="1">
      <alignment horizontal="center" vertical="center"/>
    </xf>
    <xf numFmtId="0" fontId="26" fillId="4" borderId="197" xfId="0" applyFont="1" applyFill="1" applyBorder="1" applyAlignment="1">
      <alignment vertical="center" wrapText="1"/>
    </xf>
    <xf numFmtId="165" fontId="26" fillId="0" borderId="200" xfId="1" applyNumberFormat="1" applyFont="1" applyFill="1" applyBorder="1" applyAlignment="1">
      <alignment vertical="center"/>
    </xf>
    <xf numFmtId="165" fontId="26" fillId="103" borderId="200" xfId="1" applyNumberFormat="1" applyFont="1" applyFill="1" applyBorder="1" applyAlignment="1">
      <alignment vertical="center"/>
    </xf>
    <xf numFmtId="0" fontId="2" fillId="4" borderId="202" xfId="0" applyFont="1" applyFill="1" applyBorder="1" applyAlignment="1">
      <alignment vertical="center" wrapText="1"/>
    </xf>
    <xf numFmtId="165" fontId="27" fillId="0" borderId="203" xfId="1" applyNumberFormat="1" applyFont="1" applyFill="1" applyBorder="1" applyAlignment="1">
      <alignment vertical="center"/>
    </xf>
    <xf numFmtId="0" fontId="2" fillId="4" borderId="198" xfId="0" applyFont="1" applyFill="1" applyBorder="1" applyAlignment="1">
      <alignment horizontal="left" vertical="center" wrapText="1"/>
    </xf>
    <xf numFmtId="0" fontId="26" fillId="4" borderId="198" xfId="0" applyFont="1" applyFill="1" applyBorder="1" applyAlignment="1">
      <alignment vertical="center" wrapText="1"/>
    </xf>
    <xf numFmtId="0" fontId="2" fillId="4" borderId="198" xfId="0" applyFont="1" applyFill="1" applyBorder="1" applyAlignment="1">
      <alignment vertical="center" wrapText="1"/>
    </xf>
    <xf numFmtId="0" fontId="2" fillId="4" borderId="204" xfId="0" applyFont="1" applyFill="1" applyBorder="1" applyAlignment="1">
      <alignment horizontal="left" vertical="center" wrapText="1"/>
    </xf>
    <xf numFmtId="3" fontId="2" fillId="91" borderId="200" xfId="0" applyNumberFormat="1" applyFont="1" applyFill="1" applyBorder="1" applyAlignment="1">
      <alignment vertical="center" wrapText="1"/>
    </xf>
    <xf numFmtId="0" fontId="57" fillId="0" borderId="200" xfId="0" applyFont="1" applyBorder="1" applyAlignment="1">
      <alignment vertical="center"/>
    </xf>
    <xf numFmtId="3" fontId="2" fillId="91" borderId="203" xfId="0" applyNumberFormat="1" applyFont="1" applyFill="1" applyBorder="1" applyAlignment="1">
      <alignment vertical="center" wrapText="1"/>
    </xf>
    <xf numFmtId="0" fontId="142" fillId="0" borderId="200" xfId="0" applyFont="1" applyBorder="1"/>
    <xf numFmtId="3" fontId="57" fillId="91" borderId="194" xfId="0" applyNumberFormat="1" applyFont="1" applyFill="1" applyBorder="1" applyAlignment="1">
      <alignment vertical="center" wrapText="1"/>
    </xf>
    <xf numFmtId="3" fontId="57" fillId="0" borderId="200" xfId="0" applyNumberFormat="1" applyFont="1" applyBorder="1" applyAlignment="1">
      <alignment vertical="center"/>
    </xf>
    <xf numFmtId="3" fontId="57" fillId="0" borderId="198" xfId="0" applyNumberFormat="1" applyFont="1" applyBorder="1" applyAlignment="1">
      <alignment vertical="center"/>
    </xf>
    <xf numFmtId="0" fontId="2" fillId="0" borderId="200" xfId="0" applyFont="1" applyBorder="1" applyAlignment="1">
      <alignment vertical="center" wrapText="1"/>
    </xf>
    <xf numFmtId="0" fontId="142" fillId="0" borderId="214" xfId="0" applyFont="1" applyBorder="1"/>
    <xf numFmtId="0" fontId="2" fillId="4" borderId="200" xfId="0" applyFont="1" applyFill="1" applyBorder="1" applyAlignment="1">
      <alignment horizontal="center" vertical="center"/>
    </xf>
    <xf numFmtId="165" fontId="2" fillId="4" borderId="201" xfId="7" applyNumberFormat="1" applyFont="1" applyFill="1" applyBorder="1" applyAlignment="1">
      <alignment vertical="center" wrapText="1"/>
    </xf>
    <xf numFmtId="165" fontId="2" fillId="103" borderId="198" xfId="1" applyNumberFormat="1" applyFont="1" applyFill="1" applyBorder="1" applyAlignment="1">
      <alignment vertical="center"/>
    </xf>
    <xf numFmtId="165" fontId="3" fillId="4" borderId="201" xfId="7" applyNumberFormat="1" applyFont="1" applyFill="1" applyBorder="1" applyAlignment="1">
      <alignment vertical="center" wrapText="1"/>
    </xf>
    <xf numFmtId="165" fontId="3" fillId="0" borderId="200" xfId="1" applyNumberFormat="1" applyFont="1" applyFill="1" applyBorder="1" applyAlignment="1">
      <alignment vertical="center"/>
    </xf>
    <xf numFmtId="165" fontId="3" fillId="0" borderId="198" xfId="1" applyNumberFormat="1" applyFont="1" applyFill="1" applyBorder="1" applyAlignment="1">
      <alignment vertical="center"/>
    </xf>
    <xf numFmtId="165" fontId="3" fillId="103" borderId="198" xfId="1" applyNumberFormat="1" applyFont="1" applyFill="1" applyBorder="1" applyAlignment="1">
      <alignment vertical="center"/>
    </xf>
    <xf numFmtId="165" fontId="3" fillId="4" borderId="201" xfId="7" applyNumberFormat="1" applyFont="1" applyFill="1" applyBorder="1" applyAlignment="1">
      <alignment horizontal="left" vertical="center" wrapText="1"/>
    </xf>
    <xf numFmtId="165" fontId="38" fillId="4" borderId="201" xfId="7" applyNumberFormat="1" applyFont="1" applyFill="1" applyBorder="1" applyAlignment="1">
      <alignment vertical="center" wrapText="1"/>
    </xf>
    <xf numFmtId="165" fontId="3" fillId="21" borderId="200" xfId="1" applyNumberFormat="1" applyFont="1" applyFill="1" applyBorder="1" applyAlignment="1">
      <alignment horizontal="center" vertical="center"/>
    </xf>
    <xf numFmtId="165" fontId="3" fillId="21" borderId="198" xfId="1" applyNumberFormat="1" applyFont="1" applyFill="1" applyBorder="1" applyAlignment="1">
      <alignment horizontal="center" vertical="center"/>
    </xf>
    <xf numFmtId="165" fontId="3" fillId="4" borderId="201" xfId="8" applyNumberFormat="1" applyFont="1" applyFill="1" applyBorder="1" applyAlignment="1">
      <alignment vertical="center" wrapText="1"/>
    </xf>
    <xf numFmtId="165" fontId="2" fillId="4" borderId="201" xfId="8" applyNumberFormat="1" applyFont="1" applyFill="1" applyBorder="1" applyAlignment="1">
      <alignment vertical="center" wrapText="1"/>
    </xf>
    <xf numFmtId="165" fontId="57" fillId="0" borderId="198" xfId="1" applyNumberFormat="1" applyFont="1" applyBorder="1" applyAlignment="1">
      <alignment vertical="center"/>
    </xf>
    <xf numFmtId="165" fontId="57" fillId="0" borderId="200" xfId="1" applyNumberFormat="1" applyFont="1" applyBorder="1" applyAlignment="1">
      <alignment vertical="center"/>
    </xf>
    <xf numFmtId="165" fontId="27" fillId="103" borderId="202" xfId="1" applyNumberFormat="1" applyFont="1" applyFill="1" applyBorder="1" applyAlignment="1">
      <alignment vertical="center"/>
    </xf>
    <xf numFmtId="165" fontId="2" fillId="4" borderId="200" xfId="1" applyNumberFormat="1" applyFont="1" applyFill="1" applyBorder="1" applyAlignment="1">
      <alignment vertical="center" wrapText="1"/>
    </xf>
    <xf numFmtId="165" fontId="3" fillId="4" borderId="200" xfId="1" applyNumberFormat="1" applyFont="1" applyFill="1" applyBorder="1" applyAlignment="1">
      <alignment vertical="center" wrapText="1"/>
    </xf>
    <xf numFmtId="165" fontId="26" fillId="0" borderId="198" xfId="1" applyNumberFormat="1" applyFont="1" applyBorder="1" applyAlignment="1">
      <alignment vertical="center"/>
    </xf>
    <xf numFmtId="165" fontId="26" fillId="0" borderId="200" xfId="1" applyNumberFormat="1" applyFont="1" applyBorder="1" applyAlignment="1">
      <alignment vertical="center"/>
    </xf>
    <xf numFmtId="165" fontId="26" fillId="103" borderId="202" xfId="1" applyNumberFormat="1" applyFont="1" applyFill="1" applyBorder="1" applyAlignment="1">
      <alignment vertical="center"/>
    </xf>
    <xf numFmtId="165" fontId="3" fillId="0" borderId="198" xfId="1" applyNumberFormat="1" applyFont="1" applyBorder="1" applyAlignment="1">
      <alignment horizontal="center" vertical="center"/>
    </xf>
    <xf numFmtId="165" fontId="3" fillId="0" borderId="200" xfId="1" applyNumberFormat="1" applyFont="1" applyBorder="1" applyAlignment="1">
      <alignment horizontal="center" vertical="center"/>
    </xf>
    <xf numFmtId="165" fontId="2" fillId="0" borderId="198" xfId="1" applyNumberFormat="1" applyFont="1" applyBorder="1" applyAlignment="1">
      <alignment horizontal="center" vertical="center"/>
    </xf>
    <xf numFmtId="165" fontId="2" fillId="0" borderId="200" xfId="1" applyNumberFormat="1" applyFont="1" applyBorder="1" applyAlignment="1">
      <alignment horizontal="center" vertical="center"/>
    </xf>
    <xf numFmtId="165" fontId="3" fillId="4" borderId="200" xfId="1" applyNumberFormat="1" applyFont="1" applyFill="1" applyBorder="1" applyAlignment="1">
      <alignment horizontal="left" vertical="center" wrapText="1"/>
    </xf>
    <xf numFmtId="165" fontId="38" fillId="4" borderId="200" xfId="1" applyNumberFormat="1" applyFont="1" applyFill="1" applyBorder="1" applyAlignment="1">
      <alignment vertical="center" wrapText="1"/>
    </xf>
    <xf numFmtId="165" fontId="3" fillId="103" borderId="202" xfId="1" applyNumberFormat="1" applyFont="1" applyFill="1" applyBorder="1" applyAlignment="1">
      <alignment horizontal="center" vertical="center"/>
    </xf>
    <xf numFmtId="165" fontId="2" fillId="103" borderId="202" xfId="1" applyNumberFormat="1" applyFont="1" applyFill="1" applyBorder="1" applyAlignment="1">
      <alignment vertical="center"/>
    </xf>
    <xf numFmtId="165" fontId="57" fillId="0" borderId="198" xfId="0" applyNumberFormat="1" applyFont="1" applyBorder="1" applyAlignment="1">
      <alignment vertical="center"/>
    </xf>
    <xf numFmtId="165" fontId="57" fillId="0" borderId="200" xfId="0" applyNumberFormat="1" applyFont="1" applyBorder="1" applyAlignment="1">
      <alignment vertical="center"/>
    </xf>
    <xf numFmtId="165" fontId="26" fillId="0" borderId="198" xfId="1" applyNumberFormat="1" applyFont="1" applyFill="1" applyBorder="1" applyAlignment="1">
      <alignment vertical="center"/>
    </xf>
    <xf numFmtId="165" fontId="3" fillId="103" borderId="200" xfId="1" applyNumberFormat="1" applyFont="1" applyFill="1" applyBorder="1" applyAlignment="1">
      <alignment horizontal="center" vertical="center"/>
    </xf>
    <xf numFmtId="0" fontId="3" fillId="103" borderId="200" xfId="0" applyFont="1" applyFill="1" applyBorder="1" applyAlignment="1">
      <alignment vertical="center"/>
    </xf>
    <xf numFmtId="165" fontId="3" fillId="103" borderId="200" xfId="0" applyNumberFormat="1" applyFont="1" applyFill="1" applyBorder="1" applyAlignment="1">
      <alignment vertical="center"/>
    </xf>
    <xf numFmtId="165" fontId="57" fillId="0" borderId="198" xfId="0" applyNumberFormat="1" applyFont="1" applyBorder="1" applyAlignment="1">
      <alignment horizontal="right" vertical="center"/>
    </xf>
    <xf numFmtId="165" fontId="2" fillId="4" borderId="200" xfId="7" applyNumberFormat="1" applyFont="1" applyFill="1" applyBorder="1" applyAlignment="1">
      <alignment vertical="center" wrapText="1"/>
    </xf>
    <xf numFmtId="165" fontId="27" fillId="103" borderId="200" xfId="1" applyNumberFormat="1" applyFont="1" applyFill="1" applyBorder="1" applyAlignment="1">
      <alignment horizontal="right" vertical="center"/>
    </xf>
    <xf numFmtId="165" fontId="3" fillId="4" borderId="200" xfId="7" applyNumberFormat="1" applyFont="1" applyFill="1" applyBorder="1" applyAlignment="1">
      <alignment vertical="center" wrapText="1"/>
    </xf>
    <xf numFmtId="165" fontId="26" fillId="103" borderId="200" xfId="1" applyNumberFormat="1" applyFont="1" applyFill="1" applyBorder="1" applyAlignment="1">
      <alignment horizontal="right" vertical="center"/>
    </xf>
    <xf numFmtId="165" fontId="57" fillId="0" borderId="200" xfId="0" applyNumberFormat="1" applyFont="1" applyBorder="1" applyAlignment="1">
      <alignment horizontal="right" vertical="center"/>
    </xf>
    <xf numFmtId="165" fontId="3" fillId="0" borderId="200" xfId="1" applyNumberFormat="1" applyFont="1" applyBorder="1" applyAlignment="1">
      <alignment horizontal="right" vertical="center"/>
    </xf>
    <xf numFmtId="165" fontId="3" fillId="0" borderId="198" xfId="1" applyNumberFormat="1" applyFont="1" applyBorder="1" applyAlignment="1">
      <alignment horizontal="right" vertical="center"/>
    </xf>
    <xf numFmtId="165" fontId="3" fillId="4" borderId="200" xfId="7" applyNumberFormat="1" applyFont="1" applyFill="1" applyBorder="1" applyAlignment="1">
      <alignment horizontal="left" vertical="center" wrapText="1"/>
    </xf>
    <xf numFmtId="165" fontId="38" fillId="4" borderId="200" xfId="7" applyNumberFormat="1" applyFont="1" applyFill="1" applyBorder="1" applyAlignment="1">
      <alignment vertical="center" wrapText="1"/>
    </xf>
    <xf numFmtId="165" fontId="3" fillId="103" borderId="200" xfId="1" applyNumberFormat="1" applyFont="1" applyFill="1" applyBorder="1" applyAlignment="1">
      <alignment horizontal="right" vertical="center"/>
    </xf>
    <xf numFmtId="165" fontId="3" fillId="21" borderId="200" xfId="1" applyNumberFormat="1" applyFont="1" applyFill="1" applyBorder="1" applyAlignment="1">
      <alignment horizontal="right" vertical="center"/>
    </xf>
    <xf numFmtId="165" fontId="3" fillId="21" borderId="198" xfId="1" applyNumberFormat="1" applyFont="1" applyFill="1" applyBorder="1" applyAlignment="1">
      <alignment horizontal="right" vertical="center"/>
    </xf>
    <xf numFmtId="165" fontId="3" fillId="103" borderId="200" xfId="0" applyNumberFormat="1" applyFont="1" applyFill="1" applyBorder="1" applyAlignment="1">
      <alignment horizontal="right" vertical="center"/>
    </xf>
    <xf numFmtId="165" fontId="3" fillId="4" borderId="200" xfId="8" applyNumberFormat="1" applyFont="1" applyFill="1" applyBorder="1" applyAlignment="1">
      <alignment vertical="center" wrapText="1"/>
    </xf>
    <xf numFmtId="165" fontId="2" fillId="4" borderId="200" xfId="8" applyNumberFormat="1" applyFont="1" applyFill="1" applyBorder="1" applyAlignment="1">
      <alignment vertical="center" wrapText="1"/>
    </xf>
    <xf numFmtId="165" fontId="2" fillId="103" borderId="200" xfId="0" applyNumberFormat="1" applyFont="1" applyFill="1" applyBorder="1" applyAlignment="1">
      <alignment vertical="center"/>
    </xf>
    <xf numFmtId="165" fontId="60" fillId="103" borderId="200" xfId="0" applyNumberFormat="1" applyFont="1" applyFill="1" applyBorder="1" applyAlignment="1">
      <alignment vertical="center"/>
    </xf>
    <xf numFmtId="165" fontId="57" fillId="105" borderId="200" xfId="0" applyNumberFormat="1" applyFont="1" applyFill="1" applyBorder="1" applyAlignment="1">
      <alignment vertical="center"/>
    </xf>
    <xf numFmtId="165" fontId="3" fillId="0" borderId="200" xfId="0" applyNumberFormat="1" applyFont="1" applyBorder="1" applyAlignment="1">
      <alignment vertical="center"/>
    </xf>
    <xf numFmtId="165" fontId="3" fillId="0" borderId="198" xfId="0" applyNumberFormat="1" applyFont="1" applyBorder="1" applyAlignment="1">
      <alignment vertical="center"/>
    </xf>
    <xf numFmtId="165" fontId="2" fillId="0" borderId="200" xfId="0" applyNumberFormat="1" applyFont="1" applyBorder="1" applyAlignment="1">
      <alignment vertical="center"/>
    </xf>
    <xf numFmtId="165" fontId="2" fillId="0" borderId="198" xfId="0" applyNumberFormat="1" applyFont="1" applyBorder="1" applyAlignment="1">
      <alignment vertical="center"/>
    </xf>
    <xf numFmtId="165" fontId="2" fillId="103" borderId="198" xfId="0" applyNumberFormat="1" applyFont="1" applyFill="1" applyBorder="1" applyAlignment="1">
      <alignment vertical="center"/>
    </xf>
    <xf numFmtId="165" fontId="2" fillId="0" borderId="200" xfId="0" applyNumberFormat="1" applyFont="1" applyBorder="1" applyAlignment="1">
      <alignment vertical="center" wrapText="1"/>
    </xf>
    <xf numFmtId="165" fontId="3" fillId="103" borderId="198" xfId="0" applyNumberFormat="1" applyFont="1" applyFill="1" applyBorder="1" applyAlignment="1">
      <alignment vertical="center"/>
    </xf>
    <xf numFmtId="165" fontId="2" fillId="0" borderId="198" xfId="0" applyNumberFormat="1" applyFont="1" applyBorder="1" applyAlignment="1">
      <alignment vertical="center" wrapText="1"/>
    </xf>
    <xf numFmtId="165" fontId="60" fillId="91" borderId="198" xfId="0" applyNumberFormat="1" applyFont="1" applyFill="1" applyBorder="1" applyAlignment="1">
      <alignment vertical="center" wrapText="1"/>
    </xf>
    <xf numFmtId="165" fontId="3" fillId="21" borderId="203" xfId="1" applyNumberFormat="1" applyFont="1" applyFill="1" applyBorder="1" applyAlignment="1">
      <alignment horizontal="center" vertical="center"/>
    </xf>
    <xf numFmtId="165" fontId="2" fillId="103" borderId="200" xfId="0" applyNumberFormat="1" applyFont="1" applyFill="1" applyBorder="1" applyAlignment="1">
      <alignment vertical="center" wrapText="1"/>
    </xf>
    <xf numFmtId="165" fontId="26" fillId="0" borderId="201" xfId="1" applyNumberFormat="1" applyFont="1" applyBorder="1" applyAlignment="1">
      <alignment vertical="center"/>
    </xf>
    <xf numFmtId="165" fontId="3" fillId="0" borderId="201" xfId="1" applyNumberFormat="1" applyFont="1" applyBorder="1" applyAlignment="1">
      <alignment horizontal="center" vertical="center"/>
    </xf>
    <xf numFmtId="165" fontId="2" fillId="0" borderId="201" xfId="1" applyNumberFormat="1" applyFont="1" applyBorder="1" applyAlignment="1">
      <alignment horizontal="center" vertical="center"/>
    </xf>
    <xf numFmtId="165" fontId="3" fillId="21" borderId="201" xfId="1" applyNumberFormat="1" applyFont="1" applyFill="1" applyBorder="1" applyAlignment="1">
      <alignment horizontal="center" vertical="center"/>
    </xf>
    <xf numFmtId="165" fontId="2" fillId="103" borderId="200" xfId="1" applyNumberFormat="1" applyFont="1" applyFill="1" applyBorder="1" applyAlignment="1">
      <alignment vertical="center"/>
    </xf>
    <xf numFmtId="165" fontId="2" fillId="21" borderId="202" xfId="1" applyNumberFormat="1" applyFont="1" applyFill="1" applyBorder="1" applyAlignment="1">
      <alignment vertical="center"/>
    </xf>
    <xf numFmtId="165" fontId="2" fillId="21" borderId="200" xfId="1" applyNumberFormat="1" applyFont="1" applyFill="1" applyBorder="1" applyAlignment="1">
      <alignment vertical="center"/>
    </xf>
    <xf numFmtId="165" fontId="2" fillId="21" borderId="201" xfId="1" applyNumberFormat="1" applyFont="1" applyFill="1" applyBorder="1" applyAlignment="1">
      <alignment vertical="center"/>
    </xf>
    <xf numFmtId="165" fontId="2" fillId="21" borderId="198" xfId="1" applyNumberFormat="1" applyFont="1" applyFill="1" applyBorder="1" applyAlignment="1">
      <alignment vertical="center"/>
    </xf>
    <xf numFmtId="165" fontId="3" fillId="21" borderId="202" xfId="1" applyNumberFormat="1" applyFont="1" applyFill="1" applyBorder="1" applyAlignment="1">
      <alignment horizontal="center" vertical="center"/>
    </xf>
    <xf numFmtId="165" fontId="3" fillId="21" borderId="200" xfId="1" applyNumberFormat="1" applyFont="1" applyFill="1" applyBorder="1" applyAlignment="1">
      <alignment vertical="center"/>
    </xf>
    <xf numFmtId="165" fontId="3" fillId="21" borderId="198" xfId="1" applyNumberFormat="1" applyFont="1" applyFill="1" applyBorder="1" applyAlignment="1">
      <alignment vertical="center"/>
    </xf>
    <xf numFmtId="165" fontId="3" fillId="21" borderId="210" xfId="1" applyNumberFormat="1" applyFont="1" applyFill="1" applyBorder="1" applyAlignment="1">
      <alignment horizontal="center" vertical="center"/>
    </xf>
    <xf numFmtId="165" fontId="2" fillId="21" borderId="200" xfId="1" applyNumberFormat="1" applyFont="1" applyFill="1" applyBorder="1" applyAlignment="1">
      <alignment horizontal="center" vertical="center"/>
    </xf>
    <xf numFmtId="165" fontId="2" fillId="0" borderId="197" xfId="0" applyNumberFormat="1" applyFont="1" applyBorder="1" applyAlignment="1">
      <alignment vertical="center"/>
    </xf>
    <xf numFmtId="165" fontId="57" fillId="0" borderId="197" xfId="0" applyNumberFormat="1" applyFont="1" applyBorder="1" applyAlignment="1">
      <alignment vertical="center"/>
    </xf>
    <xf numFmtId="165" fontId="3" fillId="0" borderId="197" xfId="1" applyNumberFormat="1" applyFont="1" applyFill="1" applyBorder="1" applyAlignment="1">
      <alignment vertical="center"/>
    </xf>
    <xf numFmtId="165" fontId="3" fillId="103" borderId="200" xfId="1" applyNumberFormat="1" applyFont="1" applyFill="1" applyBorder="1" applyAlignment="1">
      <alignment vertical="center"/>
    </xf>
    <xf numFmtId="3" fontId="57" fillId="0" borderId="197" xfId="0" applyNumberFormat="1" applyFont="1" applyBorder="1" applyAlignment="1">
      <alignment vertical="center"/>
    </xf>
    <xf numFmtId="165" fontId="2" fillId="21" borderId="197" xfId="1" applyNumberFormat="1" applyFont="1" applyFill="1" applyBorder="1" applyAlignment="1">
      <alignment vertical="center"/>
    </xf>
    <xf numFmtId="3" fontId="2" fillId="103" borderId="200" xfId="0" applyNumberFormat="1" applyFont="1" applyFill="1" applyBorder="1" applyAlignment="1">
      <alignment vertical="center"/>
    </xf>
    <xf numFmtId="3" fontId="147" fillId="0" borderId="197" xfId="0" applyNumberFormat="1" applyFont="1" applyBorder="1" applyAlignment="1">
      <alignment vertical="center"/>
    </xf>
    <xf numFmtId="165" fontId="148" fillId="4" borderId="201" xfId="7" applyNumberFormat="1" applyFont="1" applyFill="1" applyBorder="1" applyAlignment="1">
      <alignment vertical="center" wrapText="1"/>
    </xf>
    <xf numFmtId="165" fontId="148" fillId="103" borderId="200" xfId="1" applyNumberFormat="1" applyFont="1" applyFill="1" applyBorder="1" applyAlignment="1">
      <alignment vertical="center"/>
    </xf>
    <xf numFmtId="165" fontId="146" fillId="4" borderId="201" xfId="7" applyNumberFormat="1" applyFont="1" applyFill="1" applyBorder="1" applyAlignment="1">
      <alignment vertical="center" wrapText="1"/>
    </xf>
    <xf numFmtId="165" fontId="146" fillId="0" borderId="200" xfId="1" applyNumberFormat="1" applyFont="1" applyFill="1" applyBorder="1" applyAlignment="1">
      <alignment vertical="center"/>
    </xf>
    <xf numFmtId="165" fontId="146" fillId="0" borderId="197" xfId="1" applyNumberFormat="1" applyFont="1" applyFill="1" applyBorder="1" applyAlignment="1">
      <alignment vertical="center"/>
    </xf>
    <xf numFmtId="165" fontId="146" fillId="103" borderId="200" xfId="1" applyNumberFormat="1" applyFont="1" applyFill="1" applyBorder="1" applyAlignment="1">
      <alignment vertical="center"/>
    </xf>
    <xf numFmtId="165" fontId="147" fillId="0" borderId="200" xfId="0" applyNumberFormat="1" applyFont="1" applyBorder="1" applyAlignment="1">
      <alignment vertical="center"/>
    </xf>
    <xf numFmtId="165" fontId="147" fillId="0" borderId="197" xfId="0" applyNumberFormat="1" applyFont="1" applyBorder="1" applyAlignment="1">
      <alignment vertical="center"/>
    </xf>
    <xf numFmtId="165" fontId="148" fillId="0" borderId="200" xfId="1" applyNumberFormat="1" applyFont="1" applyFill="1" applyBorder="1" applyAlignment="1">
      <alignment vertical="center"/>
    </xf>
    <xf numFmtId="165" fontId="148" fillId="0" borderId="197" xfId="1" applyNumberFormat="1" applyFont="1" applyFill="1" applyBorder="1" applyAlignment="1">
      <alignment vertical="center"/>
    </xf>
    <xf numFmtId="165" fontId="148" fillId="0" borderId="198" xfId="1" applyNumberFormat="1" applyFont="1" applyFill="1" applyBorder="1" applyAlignment="1">
      <alignment vertical="center"/>
    </xf>
    <xf numFmtId="165" fontId="148" fillId="21" borderId="200" xfId="1" applyNumberFormat="1" applyFont="1" applyFill="1" applyBorder="1" applyAlignment="1">
      <alignment vertical="center"/>
    </xf>
    <xf numFmtId="165" fontId="148" fillId="21" borderId="197" xfId="1" applyNumberFormat="1" applyFont="1" applyFill="1" applyBorder="1" applyAlignment="1">
      <alignment vertical="center"/>
    </xf>
    <xf numFmtId="165" fontId="148" fillId="21" borderId="198" xfId="1" applyNumberFormat="1" applyFont="1" applyFill="1" applyBorder="1" applyAlignment="1">
      <alignment vertical="center"/>
    </xf>
    <xf numFmtId="165" fontId="146" fillId="103" borderId="200" xfId="0" applyNumberFormat="1" applyFont="1" applyFill="1" applyBorder="1" applyAlignment="1">
      <alignment vertical="center"/>
    </xf>
    <xf numFmtId="165" fontId="57" fillId="91" borderId="200" xfId="0" applyNumberFormat="1" applyFont="1" applyFill="1" applyBorder="1" applyAlignment="1">
      <alignment vertical="center"/>
    </xf>
    <xf numFmtId="165" fontId="57" fillId="91" borderId="197" xfId="0" applyNumberFormat="1" applyFont="1" applyFill="1" applyBorder="1" applyAlignment="1">
      <alignment vertical="center"/>
    </xf>
    <xf numFmtId="165" fontId="57" fillId="103" borderId="200" xfId="0" applyNumberFormat="1" applyFont="1" applyFill="1" applyBorder="1" applyAlignment="1">
      <alignment vertical="center"/>
    </xf>
    <xf numFmtId="165" fontId="149" fillId="0" borderId="200" xfId="0" applyNumberFormat="1" applyFont="1" applyBorder="1" applyAlignment="1">
      <alignment vertical="center"/>
    </xf>
    <xf numFmtId="165" fontId="149" fillId="0" borderId="198" xfId="0" applyNumberFormat="1" applyFont="1" applyBorder="1" applyAlignment="1">
      <alignment vertical="center"/>
    </xf>
    <xf numFmtId="165" fontId="150" fillId="103" borderId="200" xfId="1" applyNumberFormat="1" applyFont="1" applyFill="1" applyBorder="1" applyAlignment="1">
      <alignment vertical="center"/>
    </xf>
    <xf numFmtId="165" fontId="151" fillId="0" borderId="200" xfId="1" applyNumberFormat="1" applyFont="1" applyFill="1" applyBorder="1" applyAlignment="1">
      <alignment vertical="center"/>
    </xf>
    <xf numFmtId="165" fontId="151" fillId="0" borderId="198" xfId="1" applyNumberFormat="1" applyFont="1" applyFill="1" applyBorder="1" applyAlignment="1">
      <alignment vertical="center"/>
    </xf>
    <xf numFmtId="165" fontId="151" fillId="103" borderId="200" xfId="1" applyNumberFormat="1" applyFont="1" applyFill="1" applyBorder="1" applyAlignment="1">
      <alignment vertical="center"/>
    </xf>
    <xf numFmtId="165" fontId="150" fillId="0" borderId="200" xfId="1" applyNumberFormat="1" applyFont="1" applyFill="1" applyBorder="1" applyAlignment="1">
      <alignment vertical="center"/>
    </xf>
    <xf numFmtId="165" fontId="150" fillId="0" borderId="198" xfId="1" applyNumberFormat="1" applyFont="1" applyFill="1" applyBorder="1" applyAlignment="1">
      <alignment vertical="center"/>
    </xf>
    <xf numFmtId="165" fontId="150" fillId="21" borderId="200" xfId="1" applyNumberFormat="1" applyFont="1" applyFill="1" applyBorder="1" applyAlignment="1">
      <alignment vertical="center"/>
    </xf>
    <xf numFmtId="165" fontId="150" fillId="21" borderId="198" xfId="1" applyNumberFormat="1" applyFont="1" applyFill="1" applyBorder="1" applyAlignment="1">
      <alignment vertical="center"/>
    </xf>
    <xf numFmtId="165" fontId="150" fillId="103" borderId="200" xfId="0" applyNumberFormat="1" applyFont="1" applyFill="1" applyBorder="1" applyAlignment="1">
      <alignment vertical="center"/>
    </xf>
    <xf numFmtId="165" fontId="151" fillId="103" borderId="200" xfId="0" applyNumberFormat="1" applyFont="1" applyFill="1" applyBorder="1" applyAlignment="1">
      <alignment vertical="center"/>
    </xf>
    <xf numFmtId="165" fontId="2" fillId="0" borderId="198" xfId="0" applyNumberFormat="1" applyFont="1" applyBorder="1" applyAlignment="1">
      <alignment horizontal="right"/>
    </xf>
    <xf numFmtId="165" fontId="2" fillId="103" borderId="200" xfId="1" applyNumberFormat="1" applyFont="1" applyFill="1" applyBorder="1" applyAlignment="1">
      <alignment horizontal="right" vertical="center"/>
    </xf>
    <xf numFmtId="165" fontId="3" fillId="0" borderId="198" xfId="1" applyNumberFormat="1" applyFont="1" applyFill="1" applyBorder="1" applyAlignment="1">
      <alignment horizontal="right" vertical="center"/>
    </xf>
    <xf numFmtId="165" fontId="3" fillId="0" borderId="200" xfId="1" applyNumberFormat="1" applyFont="1" applyFill="1" applyBorder="1" applyAlignment="1">
      <alignment horizontal="right" vertical="center"/>
    </xf>
    <xf numFmtId="165" fontId="2" fillId="0" borderId="200" xfId="0" applyNumberFormat="1" applyFont="1" applyBorder="1" applyAlignment="1">
      <alignment horizontal="right"/>
    </xf>
    <xf numFmtId="165" fontId="2" fillId="103" borderId="200" xfId="0" applyNumberFormat="1" applyFont="1" applyFill="1" applyBorder="1" applyAlignment="1">
      <alignment horizontal="right"/>
    </xf>
    <xf numFmtId="165" fontId="2" fillId="0" borderId="198" xfId="1" applyNumberFormat="1" applyFont="1" applyFill="1" applyBorder="1" applyAlignment="1">
      <alignment horizontal="right" vertical="center"/>
    </xf>
    <xf numFmtId="165" fontId="2" fillId="0" borderId="200" xfId="1" applyNumberFormat="1" applyFont="1" applyFill="1" applyBorder="1" applyAlignment="1">
      <alignment horizontal="right" vertical="center"/>
    </xf>
    <xf numFmtId="165" fontId="3" fillId="0" borderId="198" xfId="0" applyNumberFormat="1" applyFont="1" applyBorder="1" applyAlignment="1">
      <alignment horizontal="right"/>
    </xf>
    <xf numFmtId="165" fontId="3" fillId="0" borderId="200" xfId="0" applyNumberFormat="1" applyFont="1" applyBorder="1" applyAlignment="1">
      <alignment horizontal="right"/>
    </xf>
    <xf numFmtId="165" fontId="2" fillId="21" borderId="198" xfId="1" applyNumberFormat="1" applyFont="1" applyFill="1" applyBorder="1" applyAlignment="1">
      <alignment horizontal="right" vertical="center"/>
    </xf>
    <xf numFmtId="165" fontId="2" fillId="21" borderId="200" xfId="1" applyNumberFormat="1" applyFont="1" applyFill="1" applyBorder="1" applyAlignment="1">
      <alignment horizontal="right" vertical="center"/>
    </xf>
    <xf numFmtId="3" fontId="57" fillId="0" borderId="200" xfId="0" applyNumberFormat="1" applyFont="1" applyBorder="1"/>
    <xf numFmtId="0" fontId="57" fillId="0" borderId="198" xfId="0" applyFont="1" applyBorder="1"/>
    <xf numFmtId="3" fontId="57" fillId="0" borderId="198" xfId="0" applyNumberFormat="1" applyFont="1" applyBorder="1"/>
    <xf numFmtId="0" fontId="57" fillId="0" borderId="200" xfId="0" applyFont="1" applyBorder="1"/>
    <xf numFmtId="3" fontId="2" fillId="103" borderId="200" xfId="0" applyNumberFormat="1" applyFont="1" applyFill="1" applyBorder="1"/>
    <xf numFmtId="165" fontId="27" fillId="103" borderId="198" xfId="1" applyNumberFormat="1" applyFont="1" applyFill="1" applyBorder="1" applyAlignment="1">
      <alignment vertical="center"/>
    </xf>
    <xf numFmtId="165" fontId="26" fillId="103" borderId="198" xfId="1" applyNumberFormat="1" applyFont="1" applyFill="1" applyBorder="1" applyAlignment="1">
      <alignment vertical="center"/>
    </xf>
    <xf numFmtId="3" fontId="57" fillId="91" borderId="198" xfId="0" applyNumberFormat="1" applyFont="1" applyFill="1" applyBorder="1"/>
    <xf numFmtId="0" fontId="57" fillId="91" borderId="200" xfId="0" applyFont="1" applyFill="1" applyBorder="1"/>
    <xf numFmtId="3" fontId="2" fillId="103" borderId="203" xfId="0" applyNumberFormat="1" applyFont="1" applyFill="1" applyBorder="1"/>
    <xf numFmtId="165" fontId="2" fillId="103" borderId="200" xfId="0" applyNumberFormat="1" applyFont="1" applyFill="1" applyBorder="1" applyAlignment="1">
      <alignment horizontal="right" vertical="center"/>
    </xf>
    <xf numFmtId="165" fontId="57" fillId="92" borderId="200" xfId="0" applyNumberFormat="1" applyFont="1" applyFill="1" applyBorder="1" applyAlignment="1">
      <alignment horizontal="right" vertical="center"/>
    </xf>
    <xf numFmtId="165" fontId="2" fillId="103" borderId="200" xfId="0" applyNumberFormat="1" applyFont="1" applyFill="1" applyBorder="1" applyAlignment="1">
      <alignment horizontal="right" vertical="center" wrapText="1"/>
    </xf>
    <xf numFmtId="165" fontId="27" fillId="94" borderId="194" xfId="1" applyNumberFormat="1" applyFont="1" applyFill="1" applyBorder="1" applyAlignment="1">
      <alignment vertical="center"/>
    </xf>
    <xf numFmtId="165" fontId="27" fillId="26" borderId="194" xfId="1" applyNumberFormat="1" applyFont="1" applyFill="1" applyBorder="1" applyAlignment="1">
      <alignment vertical="center"/>
    </xf>
    <xf numFmtId="165" fontId="27" fillId="94" borderId="194" xfId="1" applyNumberFormat="1" applyFont="1" applyFill="1" applyBorder="1" applyAlignment="1">
      <alignment horizontal="left" vertical="center"/>
    </xf>
    <xf numFmtId="0" fontId="26" fillId="103" borderId="195" xfId="0" applyFont="1" applyFill="1" applyBorder="1" applyAlignment="1">
      <alignment horizontal="left" vertical="center"/>
    </xf>
    <xf numFmtId="165" fontId="26" fillId="103" borderId="194" xfId="0" applyNumberFormat="1" applyFont="1" applyFill="1" applyBorder="1" applyAlignment="1">
      <alignment horizontal="center" vertical="center"/>
    </xf>
    <xf numFmtId="0" fontId="26" fillId="103" borderId="194" xfId="0" applyFont="1" applyFill="1" applyBorder="1" applyAlignment="1">
      <alignment horizontal="left" vertical="center"/>
    </xf>
    <xf numFmtId="165" fontId="27" fillId="25" borderId="194" xfId="1" applyNumberFormat="1" applyFont="1" applyFill="1" applyBorder="1" applyAlignment="1">
      <alignment vertical="center"/>
    </xf>
    <xf numFmtId="0" fontId="57" fillId="0" borderId="194" xfId="0" applyFont="1" applyBorder="1"/>
    <xf numFmtId="3" fontId="57" fillId="0" borderId="194" xfId="0" applyNumberFormat="1" applyFont="1" applyBorder="1"/>
    <xf numFmtId="165" fontId="27" fillId="108" borderId="194" xfId="1" applyNumberFormat="1" applyFont="1" applyFill="1" applyBorder="1" applyAlignment="1">
      <alignment horizontal="right" vertical="center"/>
    </xf>
    <xf numFmtId="3" fontId="57" fillId="25" borderId="194" xfId="0" applyNumberFormat="1" applyFont="1" applyFill="1" applyBorder="1"/>
    <xf numFmtId="0" fontId="27" fillId="4" borderId="195" xfId="0" applyFont="1" applyFill="1" applyBorder="1" applyAlignment="1">
      <alignment vertical="center"/>
    </xf>
    <xf numFmtId="3" fontId="57" fillId="7" borderId="194" xfId="0" applyNumberFormat="1" applyFont="1" applyFill="1" applyBorder="1"/>
    <xf numFmtId="165" fontId="26" fillId="94" borderId="194" xfId="1" applyNumberFormat="1" applyFont="1" applyFill="1" applyBorder="1" applyAlignment="1">
      <alignment vertical="center"/>
    </xf>
    <xf numFmtId="165" fontId="26" fillId="108" borderId="194" xfId="1" applyNumberFormat="1" applyFont="1" applyFill="1" applyBorder="1" applyAlignment="1">
      <alignment vertical="center"/>
    </xf>
    <xf numFmtId="165" fontId="26" fillId="25" borderId="194" xfId="1" applyNumberFormat="1" applyFont="1" applyFill="1" applyBorder="1" applyAlignment="1">
      <alignment vertical="center"/>
    </xf>
    <xf numFmtId="3" fontId="57" fillId="102" borderId="194" xfId="0" applyNumberFormat="1" applyFont="1" applyFill="1" applyBorder="1"/>
    <xf numFmtId="3" fontId="57" fillId="25" borderId="197" xfId="0" applyNumberFormat="1" applyFont="1" applyFill="1" applyBorder="1"/>
    <xf numFmtId="165" fontId="26" fillId="103" borderId="195" xfId="1" applyNumberFormat="1" applyFont="1" applyFill="1" applyBorder="1" applyAlignment="1">
      <alignment horizontal="left" vertical="center"/>
    </xf>
    <xf numFmtId="165" fontId="26" fillId="103" borderId="194" xfId="1" applyNumberFormat="1" applyFont="1" applyFill="1" applyBorder="1" applyAlignment="1">
      <alignment horizontal="left" vertical="center"/>
    </xf>
    <xf numFmtId="3" fontId="57" fillId="0" borderId="197" xfId="0" applyNumberFormat="1" applyFont="1" applyBorder="1" applyAlignment="1">
      <alignment wrapText="1"/>
    </xf>
    <xf numFmtId="3" fontId="57" fillId="0" borderId="197" xfId="0" applyNumberFormat="1" applyFont="1" applyBorder="1"/>
    <xf numFmtId="3" fontId="57" fillId="94" borderId="197" xfId="0" applyNumberFormat="1" applyFont="1" applyFill="1" applyBorder="1"/>
    <xf numFmtId="165" fontId="27" fillId="0" borderId="194" xfId="1" applyNumberFormat="1" applyFont="1" applyBorder="1" applyAlignment="1">
      <alignment horizontal="right" vertical="center"/>
    </xf>
    <xf numFmtId="9" fontId="27" fillId="0" borderId="194" xfId="10" applyFont="1" applyBorder="1" applyAlignment="1">
      <alignment horizontal="right" vertical="center"/>
    </xf>
    <xf numFmtId="165" fontId="27" fillId="0" borderId="194" xfId="2" applyNumberFormat="1" applyFont="1" applyFill="1" applyBorder="1"/>
    <xf numFmtId="43" fontId="27" fillId="0" borderId="194" xfId="2" applyFont="1" applyFill="1" applyBorder="1"/>
    <xf numFmtId="9" fontId="26" fillId="103" borderId="194" xfId="1" applyNumberFormat="1" applyFont="1" applyFill="1" applyBorder="1" applyAlignment="1">
      <alignment horizontal="right" vertical="center"/>
    </xf>
    <xf numFmtId="9" fontId="24" fillId="103" borderId="194" xfId="10" applyFont="1" applyFill="1" applyBorder="1" applyAlignment="1">
      <alignment horizontal="right" vertical="center"/>
    </xf>
    <xf numFmtId="3" fontId="57" fillId="0" borderId="196" xfId="0" applyNumberFormat="1" applyFont="1" applyBorder="1"/>
    <xf numFmtId="9" fontId="57" fillId="0" borderId="196" xfId="0" applyNumberFormat="1" applyFont="1" applyBorder="1"/>
    <xf numFmtId="9" fontId="57" fillId="0" borderId="194" xfId="0" applyNumberFormat="1" applyFont="1" applyBorder="1"/>
    <xf numFmtId="9" fontId="57" fillId="0" borderId="197" xfId="0" applyNumberFormat="1" applyFont="1" applyBorder="1"/>
    <xf numFmtId="0" fontId="27" fillId="4" borderId="194" xfId="0" applyFont="1" applyFill="1" applyBorder="1" applyAlignment="1">
      <alignment horizontal="left" vertical="center"/>
    </xf>
    <xf numFmtId="0" fontId="54" fillId="107" borderId="194" xfId="0" applyFont="1" applyFill="1" applyBorder="1" applyAlignment="1">
      <alignment horizontal="center" vertical="center"/>
    </xf>
    <xf numFmtId="3" fontId="57" fillId="0" borderId="194" xfId="0" applyNumberFormat="1" applyFont="1" applyBorder="1" applyAlignment="1">
      <alignment vertical="center"/>
    </xf>
    <xf numFmtId="165" fontId="27" fillId="108" borderId="194" xfId="0" applyNumberFormat="1" applyFont="1" applyFill="1" applyBorder="1" applyAlignment="1">
      <alignment horizontal="left" vertical="center"/>
    </xf>
    <xf numFmtId="165" fontId="26" fillId="25" borderId="194" xfId="0" applyNumberFormat="1" applyFont="1" applyFill="1" applyBorder="1" applyAlignment="1">
      <alignment horizontal="left" vertical="center"/>
    </xf>
    <xf numFmtId="3" fontId="2" fillId="0" borderId="194" xfId="0" applyNumberFormat="1" applyFont="1" applyBorder="1" applyAlignment="1">
      <alignment vertical="center"/>
    </xf>
    <xf numFmtId="0" fontId="3" fillId="25" borderId="194" xfId="0" applyFont="1" applyFill="1" applyBorder="1" applyAlignment="1">
      <alignment horizontal="left" vertical="center"/>
    </xf>
    <xf numFmtId="165" fontId="3" fillId="25" borderId="194" xfId="0" applyNumberFormat="1" applyFont="1" applyFill="1" applyBorder="1" applyAlignment="1">
      <alignment horizontal="left" vertical="center"/>
    </xf>
    <xf numFmtId="0" fontId="26" fillId="96" borderId="195" xfId="0" applyFont="1" applyFill="1" applyBorder="1" applyAlignment="1">
      <alignment horizontal="center" vertical="center"/>
    </xf>
    <xf numFmtId="165" fontId="26" fillId="94" borderId="194" xfId="0" applyNumberFormat="1" applyFont="1" applyFill="1" applyBorder="1" applyAlignment="1">
      <alignment horizontal="left" vertical="center"/>
    </xf>
    <xf numFmtId="0" fontId="57" fillId="0" borderId="194" xfId="0" applyFont="1" applyBorder="1" applyAlignment="1">
      <alignment vertical="center"/>
    </xf>
    <xf numFmtId="165" fontId="27" fillId="21" borderId="194" xfId="0" applyNumberFormat="1" applyFont="1" applyFill="1" applyBorder="1" applyAlignment="1">
      <alignment horizontal="left" vertical="center"/>
    </xf>
    <xf numFmtId="0" fontId="26" fillId="94" borderId="194" xfId="0" applyFont="1" applyFill="1" applyBorder="1" applyAlignment="1">
      <alignment horizontal="left" vertical="center"/>
    </xf>
    <xf numFmtId="0" fontId="26" fillId="99" borderId="194" xfId="0" applyFont="1" applyFill="1" applyBorder="1" applyAlignment="1">
      <alignment horizontal="center" vertical="center"/>
    </xf>
    <xf numFmtId="165" fontId="27" fillId="0" borderId="194" xfId="0" applyNumberFormat="1" applyFont="1" applyBorder="1" applyAlignment="1">
      <alignment horizontal="left" vertical="center"/>
    </xf>
    <xf numFmtId="165" fontId="26" fillId="0" borderId="194" xfId="0" applyNumberFormat="1" applyFont="1" applyBorder="1" applyAlignment="1">
      <alignment horizontal="left" vertical="center"/>
    </xf>
    <xf numFmtId="0" fontId="26" fillId="4" borderId="194" xfId="0" applyFont="1" applyFill="1" applyBorder="1" applyAlignment="1">
      <alignment horizontal="left" vertical="center"/>
    </xf>
    <xf numFmtId="0" fontId="3" fillId="96" borderId="194" xfId="0" applyFont="1" applyFill="1" applyBorder="1" applyAlignment="1">
      <alignment horizontal="center" vertical="center" wrapText="1"/>
    </xf>
    <xf numFmtId="165" fontId="3" fillId="0" borderId="194" xfId="0" applyNumberFormat="1" applyFont="1" applyBorder="1" applyAlignment="1">
      <alignment vertical="center"/>
    </xf>
    <xf numFmtId="0" fontId="2" fillId="4" borderId="194" xfId="0" applyFont="1" applyFill="1" applyBorder="1" applyAlignment="1">
      <alignment horizontal="left" vertical="center"/>
    </xf>
    <xf numFmtId="165" fontId="2" fillId="0" borderId="194" xfId="1" quotePrefix="1" applyNumberFormat="1" applyFont="1" applyFill="1" applyBorder="1" applyAlignment="1">
      <alignment vertical="center"/>
    </xf>
    <xf numFmtId="165" fontId="26" fillId="0" borderId="194" xfId="1" applyNumberFormat="1" applyFont="1" applyFill="1" applyBorder="1" applyAlignment="1">
      <alignment vertical="center"/>
    </xf>
    <xf numFmtId="165" fontId="27" fillId="0" borderId="194" xfId="1" applyNumberFormat="1" applyFont="1" applyFill="1" applyBorder="1" applyAlignment="1">
      <alignment horizontal="center" vertical="center"/>
    </xf>
    <xf numFmtId="3" fontId="57" fillId="94" borderId="194" xfId="0" applyNumberFormat="1" applyFont="1" applyFill="1" applyBorder="1" applyAlignment="1">
      <alignment vertical="center"/>
    </xf>
    <xf numFmtId="3" fontId="57" fillId="25" borderId="197" xfId="0" applyNumberFormat="1" applyFont="1" applyFill="1" applyBorder="1" applyAlignment="1">
      <alignment vertical="center"/>
    </xf>
    <xf numFmtId="165" fontId="27" fillId="7" borderId="194" xfId="1" applyNumberFormat="1" applyFont="1" applyFill="1" applyBorder="1" applyAlignment="1">
      <alignment vertical="center"/>
    </xf>
    <xf numFmtId="165" fontId="27" fillId="7" borderId="194" xfId="1" applyNumberFormat="1" applyFont="1" applyFill="1" applyBorder="1" applyAlignment="1">
      <alignment horizontal="center" vertical="center"/>
    </xf>
    <xf numFmtId="0" fontId="26" fillId="4" borderId="194" xfId="0" applyFont="1" applyFill="1" applyBorder="1" applyAlignment="1">
      <alignment vertical="center"/>
    </xf>
    <xf numFmtId="165" fontId="26" fillId="104" borderId="194" xfId="1" applyNumberFormat="1" applyFont="1" applyFill="1" applyBorder="1" applyAlignment="1">
      <alignment vertical="center"/>
    </xf>
    <xf numFmtId="165" fontId="26" fillId="7" borderId="194" xfId="1" applyNumberFormat="1" applyFont="1" applyFill="1" applyBorder="1" applyAlignment="1">
      <alignment vertical="center"/>
    </xf>
    <xf numFmtId="3" fontId="60" fillId="94" borderId="194" xfId="0" applyNumberFormat="1" applyFont="1" applyFill="1" applyBorder="1" applyAlignment="1">
      <alignment vertical="center"/>
    </xf>
    <xf numFmtId="165" fontId="26" fillId="7" borderId="194" xfId="1" applyNumberFormat="1" applyFont="1" applyFill="1" applyBorder="1" applyAlignment="1">
      <alignment horizontal="center" vertical="center"/>
    </xf>
    <xf numFmtId="165" fontId="26" fillId="94" borderId="194" xfId="1" applyNumberFormat="1" applyFont="1" applyFill="1" applyBorder="1" applyAlignment="1">
      <alignment horizontal="center" vertical="center"/>
    </xf>
    <xf numFmtId="165" fontId="26" fillId="25" borderId="194" xfId="1" applyNumberFormat="1" applyFont="1" applyFill="1" applyBorder="1" applyAlignment="1">
      <alignment horizontal="center" vertical="center"/>
    </xf>
    <xf numFmtId="165" fontId="57" fillId="25" borderId="197" xfId="0" applyNumberFormat="1" applyFont="1" applyFill="1" applyBorder="1" applyAlignment="1">
      <alignment vertical="center"/>
    </xf>
    <xf numFmtId="43" fontId="27" fillId="0" borderId="194" xfId="1" applyFont="1" applyFill="1" applyBorder="1" applyAlignment="1">
      <alignment horizontal="center" vertical="center"/>
    </xf>
    <xf numFmtId="43" fontId="27" fillId="7" borderId="194" xfId="1" applyFont="1" applyFill="1" applyBorder="1" applyAlignment="1">
      <alignment horizontal="center" vertical="center"/>
    </xf>
    <xf numFmtId="43" fontId="26" fillId="104" borderId="194" xfId="1" applyFont="1" applyFill="1" applyBorder="1" applyAlignment="1">
      <alignment horizontal="center" vertical="center"/>
    </xf>
    <xf numFmtId="43" fontId="26" fillId="7" borderId="194" xfId="1" applyFont="1" applyFill="1" applyBorder="1" applyAlignment="1">
      <alignment horizontal="center" vertical="center"/>
    </xf>
    <xf numFmtId="43" fontId="26" fillId="25" borderId="194" xfId="1" applyFont="1" applyFill="1" applyBorder="1" applyAlignment="1">
      <alignment horizontal="center" vertical="center"/>
    </xf>
    <xf numFmtId="43" fontId="27" fillId="7" borderId="194" xfId="1" applyFont="1" applyFill="1" applyBorder="1" applyAlignment="1">
      <alignment horizontal="right" vertical="center"/>
    </xf>
    <xf numFmtId="43" fontId="26" fillId="103" borderId="194" xfId="1" applyFont="1" applyFill="1" applyBorder="1" applyAlignment="1">
      <alignment horizontal="center" vertical="center"/>
    </xf>
    <xf numFmtId="0" fontId="26" fillId="4" borderId="195" xfId="0" applyFont="1" applyFill="1" applyBorder="1" applyAlignment="1">
      <alignment vertical="center"/>
    </xf>
    <xf numFmtId="43" fontId="2" fillId="0" borderId="194" xfId="0" applyNumberFormat="1" applyFont="1" applyBorder="1" applyAlignment="1">
      <alignment vertical="center"/>
    </xf>
    <xf numFmtId="165" fontId="3" fillId="25" borderId="194" xfId="0" applyNumberFormat="1" applyFont="1" applyFill="1" applyBorder="1" applyAlignment="1">
      <alignment vertical="center"/>
    </xf>
    <xf numFmtId="0" fontId="57" fillId="92" borderId="194" xfId="0" applyFont="1" applyFill="1" applyBorder="1" applyAlignment="1">
      <alignment vertical="center"/>
    </xf>
    <xf numFmtId="0" fontId="26" fillId="25" borderId="194" xfId="0" applyFont="1" applyFill="1" applyBorder="1" applyAlignment="1">
      <alignment horizontal="left" vertical="center"/>
    </xf>
    <xf numFmtId="165" fontId="3" fillId="94" borderId="194" xfId="0" applyNumberFormat="1" applyFont="1" applyFill="1" applyBorder="1" applyAlignment="1">
      <alignment vertical="center"/>
    </xf>
    <xf numFmtId="165" fontId="130" fillId="0" borderId="194" xfId="1" applyNumberFormat="1" applyFont="1" applyFill="1" applyBorder="1" applyAlignment="1">
      <alignment vertical="center"/>
    </xf>
    <xf numFmtId="165" fontId="3" fillId="108" borderId="194" xfId="0" applyNumberFormat="1" applyFont="1" applyFill="1" applyBorder="1" applyAlignment="1">
      <alignment vertical="center"/>
    </xf>
    <xf numFmtId="165" fontId="3" fillId="108" borderId="194" xfId="1" applyNumberFormat="1" applyFont="1" applyFill="1" applyBorder="1" applyAlignment="1">
      <alignment vertical="center"/>
    </xf>
    <xf numFmtId="165" fontId="3" fillId="25" borderId="194" xfId="1" applyNumberFormat="1" applyFont="1" applyFill="1" applyBorder="1" applyAlignment="1">
      <alignment vertical="center"/>
    </xf>
    <xf numFmtId="165" fontId="2" fillId="108" borderId="194" xfId="1" applyNumberFormat="1" applyFont="1" applyFill="1" applyBorder="1" applyAlignment="1">
      <alignment horizontal="right" vertical="center"/>
    </xf>
    <xf numFmtId="0" fontId="2" fillId="92" borderId="194" xfId="0" applyFont="1" applyFill="1" applyBorder="1" applyAlignment="1">
      <alignment vertical="center"/>
    </xf>
    <xf numFmtId="165" fontId="3" fillId="94" borderId="194" xfId="1" applyNumberFormat="1" applyFont="1" applyFill="1" applyBorder="1" applyAlignment="1">
      <alignment vertical="center"/>
    </xf>
    <xf numFmtId="165" fontId="3" fillId="0" borderId="194" xfId="1" applyNumberFormat="1" applyFont="1" applyFill="1" applyBorder="1" applyAlignment="1">
      <alignment vertical="center"/>
    </xf>
    <xf numFmtId="165" fontId="26" fillId="21" borderId="194" xfId="1" applyNumberFormat="1" applyFont="1" applyFill="1" applyBorder="1" applyAlignment="1">
      <alignment vertical="center"/>
    </xf>
    <xf numFmtId="2" fontId="27" fillId="94" borderId="194" xfId="0" applyNumberFormat="1" applyFont="1" applyFill="1" applyBorder="1" applyAlignment="1">
      <alignment vertical="center"/>
    </xf>
    <xf numFmtId="2" fontId="27" fillId="25" borderId="194" xfId="0" applyNumberFormat="1" applyFont="1" applyFill="1" applyBorder="1" applyAlignment="1">
      <alignment vertical="center"/>
    </xf>
    <xf numFmtId="2" fontId="26" fillId="103" borderId="194" xfId="0" applyNumberFormat="1" applyFont="1" applyFill="1" applyBorder="1" applyAlignment="1">
      <alignment vertical="center"/>
    </xf>
    <xf numFmtId="165" fontId="26" fillId="104" borderId="194" xfId="1" applyNumberFormat="1" applyFont="1" applyFill="1" applyBorder="1" applyAlignment="1">
      <alignment horizontal="center" vertical="center"/>
    </xf>
    <xf numFmtId="165" fontId="26" fillId="0" borderId="194" xfId="1" applyNumberFormat="1" applyFont="1" applyFill="1" applyBorder="1" applyAlignment="1">
      <alignment horizontal="center" vertical="center"/>
    </xf>
    <xf numFmtId="165" fontId="26" fillId="94" borderId="195" xfId="1" applyNumberFormat="1" applyFont="1" applyFill="1" applyBorder="1" applyAlignment="1">
      <alignment horizontal="center" vertical="center"/>
    </xf>
    <xf numFmtId="165" fontId="27" fillId="0" borderId="194" xfId="0" applyNumberFormat="1" applyFont="1" applyBorder="1" applyAlignment="1">
      <alignment vertical="center"/>
    </xf>
    <xf numFmtId="165" fontId="26" fillId="21" borderId="194" xfId="1" applyNumberFormat="1" applyFont="1" applyFill="1" applyBorder="1" applyAlignment="1">
      <alignment horizontal="center" vertical="center"/>
    </xf>
    <xf numFmtId="165" fontId="27" fillId="0" borderId="194" xfId="0" applyNumberFormat="1" applyFont="1" applyBorder="1" applyAlignment="1">
      <alignment horizontal="center" vertical="center"/>
    </xf>
    <xf numFmtId="2" fontId="27" fillId="0" borderId="194" xfId="1" applyNumberFormat="1" applyFont="1" applyFill="1" applyBorder="1" applyAlignment="1">
      <alignment horizontal="right" vertical="center"/>
    </xf>
    <xf numFmtId="2" fontId="27" fillId="0" borderId="196" xfId="1" applyNumberFormat="1" applyFont="1" applyFill="1" applyBorder="1" applyAlignment="1">
      <alignment vertical="center"/>
    </xf>
    <xf numFmtId="2" fontId="26" fillId="104" borderId="194" xfId="1" applyNumberFormat="1" applyFont="1" applyFill="1" applyBorder="1" applyAlignment="1">
      <alignment horizontal="right" vertical="center"/>
    </xf>
    <xf numFmtId="2" fontId="26" fillId="0" borderId="194" xfId="1" applyNumberFormat="1" applyFont="1" applyFill="1" applyBorder="1" applyAlignment="1">
      <alignment horizontal="right" vertical="center"/>
    </xf>
    <xf numFmtId="2" fontId="26" fillId="0" borderId="194" xfId="0" applyNumberFormat="1" applyFont="1" applyBorder="1" applyAlignment="1">
      <alignment vertical="center"/>
    </xf>
    <xf numFmtId="0" fontId="3" fillId="99" borderId="197" xfId="0" applyFont="1" applyFill="1" applyBorder="1" applyAlignment="1">
      <alignment horizontal="center" vertical="center"/>
    </xf>
    <xf numFmtId="0" fontId="3" fillId="99" borderId="194" xfId="0" applyFont="1" applyFill="1" applyBorder="1" applyAlignment="1">
      <alignment horizontal="center" vertical="center"/>
    </xf>
    <xf numFmtId="0" fontId="3" fillId="103" borderId="194" xfId="0" applyFont="1" applyFill="1" applyBorder="1" applyAlignment="1">
      <alignment horizontal="center" vertical="center"/>
    </xf>
    <xf numFmtId="165" fontId="2" fillId="103" borderId="194" xfId="1" applyNumberFormat="1" applyFont="1" applyFill="1" applyBorder="1" applyAlignment="1">
      <alignment vertical="center"/>
    </xf>
    <xf numFmtId="0" fontId="3" fillId="103" borderId="194" xfId="0" applyFont="1" applyFill="1" applyBorder="1" applyAlignment="1">
      <alignment horizontal="left" vertical="center"/>
    </xf>
    <xf numFmtId="0" fontId="3" fillId="99" borderId="197" xfId="25" applyFont="1" applyFill="1" applyBorder="1" applyAlignment="1">
      <alignment horizontal="center" vertical="center"/>
    </xf>
    <xf numFmtId="0" fontId="3" fillId="99" borderId="194" xfId="25" applyFont="1" applyFill="1" applyBorder="1" applyAlignment="1">
      <alignment horizontal="center" vertical="center"/>
    </xf>
    <xf numFmtId="0" fontId="3" fillId="104" borderId="194" xfId="25" applyFont="1" applyFill="1" applyBorder="1" applyAlignment="1">
      <alignment horizontal="center" vertical="center"/>
    </xf>
    <xf numFmtId="165" fontId="2" fillId="108" borderId="194" xfId="12495" applyNumberFormat="1" applyFont="1" applyFill="1" applyBorder="1" applyAlignment="1" applyProtection="1">
      <alignment vertical="center"/>
    </xf>
    <xf numFmtId="0" fontId="9" fillId="0" borderId="194" xfId="0" applyFont="1" applyBorder="1" applyAlignment="1">
      <alignment vertical="center"/>
    </xf>
    <xf numFmtId="0" fontId="2" fillId="108" borderId="194" xfId="25" applyFont="1" applyFill="1" applyBorder="1" applyAlignment="1">
      <alignment vertical="center"/>
    </xf>
    <xf numFmtId="165" fontId="2" fillId="104" borderId="194" xfId="12495" applyNumberFormat="1" applyFont="1" applyFill="1" applyBorder="1" applyAlignment="1" applyProtection="1">
      <alignment vertical="center"/>
    </xf>
    <xf numFmtId="165" fontId="2" fillId="108" borderId="194" xfId="12495" applyNumberFormat="1" applyFont="1" applyFill="1" applyBorder="1" applyAlignment="1">
      <alignment vertical="center"/>
    </xf>
    <xf numFmtId="0" fontId="7" fillId="0" borderId="194" xfId="0" applyFont="1" applyBorder="1" applyAlignment="1">
      <alignment vertical="center"/>
    </xf>
    <xf numFmtId="0" fontId="2" fillId="4" borderId="194" xfId="25" applyFont="1" applyFill="1" applyBorder="1" applyAlignment="1">
      <alignment horizontal="left" vertical="center"/>
    </xf>
    <xf numFmtId="3" fontId="7" fillId="0" borderId="194" xfId="0" applyNumberFormat="1" applyFont="1" applyBorder="1" applyAlignment="1">
      <alignment vertical="center"/>
    </xf>
    <xf numFmtId="0" fontId="3" fillId="104" borderId="194" xfId="25" applyFont="1" applyFill="1" applyBorder="1" applyAlignment="1">
      <alignment horizontal="left" vertical="center"/>
    </xf>
    <xf numFmtId="165" fontId="3" fillId="104" borderId="194" xfId="12495" applyNumberFormat="1" applyFont="1" applyFill="1" applyBorder="1" applyAlignment="1">
      <alignment vertical="center"/>
    </xf>
    <xf numFmtId="0" fontId="3" fillId="104" borderId="194" xfId="0" applyFont="1" applyFill="1" applyBorder="1" applyAlignment="1">
      <alignment horizontal="center" vertical="center"/>
    </xf>
    <xf numFmtId="0" fontId="2" fillId="4" borderId="196" xfId="0" applyFont="1" applyFill="1" applyBorder="1" applyAlignment="1">
      <alignment horizontal="left" vertical="center"/>
    </xf>
    <xf numFmtId="165" fontId="2" fillId="21" borderId="194" xfId="12495" applyNumberFormat="1" applyFont="1" applyFill="1" applyBorder="1" applyAlignment="1" applyProtection="1">
      <alignment vertical="center"/>
    </xf>
    <xf numFmtId="0" fontId="3" fillId="104" borderId="194" xfId="0" applyFont="1" applyFill="1" applyBorder="1" applyAlignment="1">
      <alignment horizontal="left" vertical="center"/>
    </xf>
    <xf numFmtId="165" fontId="2" fillId="21" borderId="194" xfId="12495" applyNumberFormat="1" applyFont="1" applyFill="1" applyBorder="1" applyAlignment="1">
      <alignment vertical="center"/>
    </xf>
    <xf numFmtId="0" fontId="9" fillId="0" borderId="194" xfId="0" applyFont="1" applyBorder="1" applyAlignment="1">
      <alignment vertical="center" wrapText="1"/>
    </xf>
    <xf numFmtId="0" fontId="2" fillId="21" borderId="194" xfId="25" applyFont="1" applyFill="1" applyBorder="1" applyAlignment="1">
      <alignment vertical="center"/>
    </xf>
    <xf numFmtId="0" fontId="7" fillId="0" borderId="194" xfId="0" applyFont="1" applyBorder="1" applyAlignment="1">
      <alignment vertical="center" wrapText="1"/>
    </xf>
    <xf numFmtId="0" fontId="153" fillId="0" borderId="194" xfId="0" applyFont="1" applyBorder="1" applyAlignment="1">
      <alignment horizontal="right" vertical="center" wrapText="1"/>
    </xf>
    <xf numFmtId="0" fontId="7" fillId="91" borderId="194" xfId="0" applyFont="1" applyFill="1" applyBorder="1" applyAlignment="1">
      <alignment vertical="center"/>
    </xf>
    <xf numFmtId="3" fontId="7" fillId="91" borderId="194" xfId="0" applyNumberFormat="1" applyFont="1" applyFill="1" applyBorder="1" applyAlignment="1">
      <alignment vertical="center"/>
    </xf>
    <xf numFmtId="0" fontId="7" fillId="0" borderId="194" xfId="0" applyFont="1" applyBorder="1" applyAlignment="1">
      <alignment horizontal="center" vertical="center" wrapText="1"/>
    </xf>
    <xf numFmtId="0" fontId="7" fillId="0" borderId="194" xfId="0" applyFont="1" applyBorder="1" applyAlignment="1">
      <alignment horizontal="center" vertical="center"/>
    </xf>
    <xf numFmtId="0" fontId="54" fillId="95" borderId="194" xfId="0" applyFont="1" applyFill="1" applyBorder="1" applyAlignment="1">
      <alignment horizontal="left" vertical="center" wrapText="1"/>
    </xf>
    <xf numFmtId="0" fontId="7" fillId="0" borderId="194" xfId="0" applyFont="1" applyBorder="1" applyAlignment="1">
      <alignment horizontal="right" vertical="center"/>
    </xf>
    <xf numFmtId="165" fontId="7" fillId="0" borderId="194" xfId="2" applyNumberFormat="1" applyFont="1" applyFill="1" applyBorder="1" applyAlignment="1">
      <alignment horizontal="right" vertical="center"/>
    </xf>
    <xf numFmtId="165" fontId="7" fillId="0" borderId="194" xfId="2" applyNumberFormat="1" applyFont="1" applyFill="1" applyBorder="1" applyAlignment="1" applyProtection="1">
      <alignment vertical="center"/>
    </xf>
    <xf numFmtId="165" fontId="7" fillId="0" borderId="194" xfId="2" applyNumberFormat="1" applyFont="1" applyFill="1" applyBorder="1" applyAlignment="1">
      <alignment vertical="center"/>
    </xf>
    <xf numFmtId="41" fontId="9" fillId="0" borderId="194" xfId="2" applyNumberFormat="1" applyFont="1" applyFill="1" applyBorder="1" applyAlignment="1" applyProtection="1">
      <alignment vertical="center"/>
    </xf>
    <xf numFmtId="41" fontId="7" fillId="0" borderId="194" xfId="2" applyNumberFormat="1" applyFont="1" applyFill="1" applyBorder="1" applyAlignment="1">
      <alignment vertical="center"/>
    </xf>
    <xf numFmtId="0" fontId="26" fillId="104" borderId="194" xfId="0" applyFont="1" applyFill="1" applyBorder="1" applyAlignment="1">
      <alignment horizontal="left" vertical="center"/>
    </xf>
    <xf numFmtId="165" fontId="9" fillId="0" borderId="194" xfId="2" applyNumberFormat="1" applyFont="1" applyFill="1" applyBorder="1" applyAlignment="1" applyProtection="1">
      <alignment vertical="center"/>
    </xf>
    <xf numFmtId="0" fontId="3" fillId="0" borderId="197" xfId="0" applyFont="1" applyBorder="1" applyAlignment="1">
      <alignment horizontal="center" vertical="center"/>
    </xf>
    <xf numFmtId="0" fontId="3" fillId="0" borderId="194" xfId="0" applyFont="1" applyBorder="1" applyAlignment="1">
      <alignment horizontal="center" vertical="center"/>
    </xf>
    <xf numFmtId="165" fontId="7" fillId="0" borderId="194" xfId="12496" applyNumberFormat="1" applyFont="1" applyFill="1" applyBorder="1" applyAlignment="1">
      <alignment vertical="center"/>
    </xf>
    <xf numFmtId="0" fontId="7" fillId="0" borderId="194" xfId="30381" applyFont="1" applyBorder="1" applyAlignment="1">
      <alignment vertical="center"/>
    </xf>
    <xf numFmtId="165" fontId="2" fillId="4" borderId="194" xfId="1" applyNumberFormat="1" applyFont="1" applyFill="1" applyBorder="1" applyAlignment="1">
      <alignment horizontal="left" vertical="center"/>
    </xf>
    <xf numFmtId="165" fontId="3" fillId="104" borderId="194" xfId="1" applyNumberFormat="1" applyFont="1" applyFill="1" applyBorder="1" applyAlignment="1">
      <alignment horizontal="left" vertical="center"/>
    </xf>
    <xf numFmtId="0" fontId="10" fillId="0" borderId="194" xfId="0" applyFont="1" applyBorder="1" applyAlignment="1">
      <alignment horizontal="center" vertical="center"/>
    </xf>
    <xf numFmtId="0" fontId="10" fillId="0" borderId="195" xfId="0" applyFont="1" applyBorder="1" applyAlignment="1">
      <alignment horizontal="center" vertical="center" wrapText="1"/>
    </xf>
    <xf numFmtId="0" fontId="10" fillId="0" borderId="198" xfId="0" applyFont="1" applyBorder="1" applyAlignment="1">
      <alignment horizontal="center" vertical="center" wrapText="1"/>
    </xf>
    <xf numFmtId="0" fontId="10" fillId="0" borderId="197" xfId="0" applyFont="1" applyBorder="1" applyAlignment="1">
      <alignment horizontal="center" vertical="center" wrapText="1"/>
    </xf>
    <xf numFmtId="0" fontId="24" fillId="15" borderId="194" xfId="0" applyFont="1" applyFill="1" applyBorder="1" applyAlignment="1">
      <alignment wrapText="1"/>
    </xf>
    <xf numFmtId="0" fontId="24" fillId="15" borderId="194" xfId="0" applyFont="1" applyFill="1" applyBorder="1"/>
    <xf numFmtId="0" fontId="0" fillId="0" borderId="194" xfId="0" applyBorder="1"/>
    <xf numFmtId="165" fontId="0" fillId="0" borderId="194" xfId="0" applyNumberFormat="1" applyBorder="1"/>
    <xf numFmtId="2" fontId="0" fillId="0" borderId="194" xfId="0" applyNumberFormat="1" applyBorder="1"/>
    <xf numFmtId="0" fontId="9" fillId="0" borderId="194" xfId="9" applyFont="1" applyFill="1" applyBorder="1" applyAlignment="1" applyProtection="1">
      <alignment vertical="center"/>
    </xf>
    <xf numFmtId="165" fontId="7" fillId="0" borderId="194" xfId="1" applyNumberFormat="1" applyFont="1" applyFill="1" applyBorder="1" applyAlignment="1">
      <alignment vertical="center"/>
    </xf>
    <xf numFmtId="165" fontId="10" fillId="0" borderId="194" xfId="1" applyNumberFormat="1" applyFont="1" applyFill="1" applyBorder="1" applyAlignment="1">
      <alignment vertical="center"/>
    </xf>
    <xf numFmtId="0" fontId="5" fillId="8" borderId="194" xfId="0" applyFont="1" applyFill="1" applyBorder="1"/>
    <xf numFmtId="0" fontId="9" fillId="0" borderId="194" xfId="9" applyFont="1" applyBorder="1" applyAlignment="1" applyProtection="1">
      <alignment vertical="center"/>
    </xf>
    <xf numFmtId="165" fontId="7" fillId="15" borderId="194" xfId="1" applyNumberFormat="1" applyFont="1" applyFill="1" applyBorder="1" applyAlignment="1">
      <alignment vertical="center"/>
    </xf>
    <xf numFmtId="165" fontId="3" fillId="0" borderId="194" xfId="2" applyNumberFormat="1" applyFont="1" applyFill="1" applyBorder="1" applyAlignment="1">
      <alignment vertical="center"/>
    </xf>
    <xf numFmtId="0" fontId="29" fillId="8" borderId="194" xfId="0" applyFont="1" applyFill="1" applyBorder="1"/>
    <xf numFmtId="0" fontId="29" fillId="10" borderId="194" xfId="0" applyFont="1" applyFill="1" applyBorder="1"/>
    <xf numFmtId="165" fontId="2" fillId="0" borderId="194" xfId="2" applyNumberFormat="1" applyFont="1" applyFill="1" applyBorder="1" applyAlignment="1" applyProtection="1">
      <alignment vertical="center"/>
    </xf>
    <xf numFmtId="0" fontId="29" fillId="9" borderId="194" xfId="0" applyFont="1" applyFill="1" applyBorder="1"/>
    <xf numFmtId="165" fontId="7" fillId="0" borderId="194" xfId="2" applyNumberFormat="1" applyFont="1" applyBorder="1" applyAlignment="1">
      <alignment vertical="center"/>
    </xf>
    <xf numFmtId="169" fontId="2" fillId="0" borderId="194" xfId="2" applyNumberFormat="1" applyFont="1" applyFill="1" applyBorder="1" applyAlignment="1">
      <alignment vertical="center"/>
    </xf>
    <xf numFmtId="0" fontId="2" fillId="0" borderId="194" xfId="2" applyNumberFormat="1" applyFont="1" applyFill="1" applyBorder="1" applyAlignment="1">
      <alignment vertical="center"/>
    </xf>
    <xf numFmtId="165" fontId="7" fillId="0" borderId="194" xfId="15" applyNumberFormat="1" applyFont="1" applyBorder="1" applyAlignment="1">
      <alignment horizontal="center" vertical="center"/>
    </xf>
    <xf numFmtId="0" fontId="7" fillId="0" borderId="194" xfId="15" applyFont="1" applyBorder="1" applyAlignment="1">
      <alignment vertical="center"/>
    </xf>
    <xf numFmtId="43" fontId="9" fillId="0" borderId="194" xfId="2" applyFont="1" applyFill="1" applyBorder="1" applyAlignment="1" applyProtection="1">
      <alignment vertical="center"/>
    </xf>
    <xf numFmtId="43" fontId="7" fillId="0" borderId="194" xfId="2" applyFont="1" applyFill="1" applyBorder="1" applyAlignment="1">
      <alignment vertical="center"/>
    </xf>
    <xf numFmtId="0" fontId="7" fillId="0" borderId="194" xfId="2" applyNumberFormat="1" applyFont="1" applyFill="1" applyBorder="1" applyAlignment="1">
      <alignment vertical="center"/>
    </xf>
    <xf numFmtId="0" fontId="10" fillId="0" borderId="195" xfId="0" applyFont="1" applyBorder="1" applyAlignment="1">
      <alignment vertical="center"/>
    </xf>
    <xf numFmtId="0" fontId="10" fillId="0" borderId="197" xfId="0" applyFont="1" applyBorder="1" applyAlignment="1">
      <alignment vertical="center"/>
    </xf>
    <xf numFmtId="165" fontId="6" fillId="0" borderId="194" xfId="2" applyNumberFormat="1" applyFont="1" applyBorder="1" applyAlignment="1">
      <alignment vertical="center"/>
    </xf>
    <xf numFmtId="165" fontId="6" fillId="0" borderId="194" xfId="2" applyNumberFormat="1" applyFont="1" applyFill="1" applyBorder="1" applyAlignment="1">
      <alignment vertical="center"/>
    </xf>
    <xf numFmtId="0" fontId="13" fillId="0" borderId="194" xfId="0" applyFont="1" applyBorder="1" applyAlignment="1">
      <alignment horizontal="center"/>
    </xf>
    <xf numFmtId="0" fontId="13" fillId="0" borderId="194" xfId="0" applyFont="1" applyBorder="1"/>
    <xf numFmtId="0" fontId="13" fillId="0" borderId="194" xfId="0" applyFont="1" applyBorder="1" applyAlignment="1">
      <alignment horizontal="center" vertical="center"/>
    </xf>
    <xf numFmtId="0" fontId="13" fillId="0" borderId="194" xfId="0" applyFont="1" applyBorder="1" applyAlignment="1">
      <alignment horizontal="center" vertical="center" wrapText="1"/>
    </xf>
    <xf numFmtId="0" fontId="28" fillId="6" borderId="196" xfId="0" applyFont="1" applyFill="1" applyBorder="1" applyAlignment="1">
      <alignment horizontal="center"/>
    </xf>
    <xf numFmtId="0" fontId="28" fillId="0" borderId="196" xfId="0" applyFont="1" applyBorder="1" applyAlignment="1">
      <alignment horizontal="center"/>
    </xf>
    <xf numFmtId="0" fontId="5" fillId="0" borderId="194" xfId="0" applyFont="1" applyBorder="1"/>
    <xf numFmtId="165" fontId="5" fillId="0" borderId="194" xfId="1" applyNumberFormat="1" applyFont="1" applyFill="1" applyBorder="1" applyAlignment="1"/>
    <xf numFmtId="2" fontId="5" fillId="0" borderId="194" xfId="0" applyNumberFormat="1" applyFont="1" applyBorder="1"/>
    <xf numFmtId="2" fontId="2" fillId="0" borderId="194" xfId="0" applyNumberFormat="1" applyFont="1" applyBorder="1"/>
    <xf numFmtId="37" fontId="5" fillId="0" borderId="194" xfId="0" applyNumberFormat="1" applyFont="1" applyBorder="1"/>
    <xf numFmtId="43" fontId="5" fillId="0" borderId="194" xfId="0" applyNumberFormat="1" applyFont="1" applyBorder="1"/>
    <xf numFmtId="43" fontId="0" fillId="0" borderId="194" xfId="0" applyNumberFormat="1" applyBorder="1"/>
    <xf numFmtId="0" fontId="29" fillId="4" borderId="194" xfId="0" applyFont="1" applyFill="1" applyBorder="1"/>
    <xf numFmtId="0" fontId="29" fillId="4" borderId="195" xfId="0" applyFont="1" applyFill="1" applyBorder="1"/>
    <xf numFmtId="165" fontId="29" fillId="4" borderId="194" xfId="1" applyNumberFormat="1" applyFont="1" applyFill="1" applyBorder="1" applyAlignment="1"/>
    <xf numFmtId="43" fontId="5" fillId="0" borderId="194" xfId="1" applyFont="1" applyFill="1" applyBorder="1" applyAlignment="1"/>
    <xf numFmtId="0" fontId="29" fillId="4" borderId="196" xfId="0" applyFont="1" applyFill="1" applyBorder="1"/>
    <xf numFmtId="0" fontId="28" fillId="4" borderId="194" xfId="0" applyFont="1" applyFill="1" applyBorder="1"/>
    <xf numFmtId="165" fontId="28" fillId="4" borderId="196" xfId="1" applyNumberFormat="1" applyFont="1" applyFill="1" applyBorder="1"/>
    <xf numFmtId="0" fontId="28" fillId="4" borderId="195" xfId="0" applyFont="1" applyFill="1" applyBorder="1"/>
    <xf numFmtId="165" fontId="39" fillId="4" borderId="194" xfId="1" applyNumberFormat="1" applyFont="1" applyFill="1" applyBorder="1" applyAlignment="1"/>
    <xf numFmtId="0" fontId="28" fillId="4" borderId="196" xfId="0" applyFont="1" applyFill="1" applyBorder="1" applyAlignment="1">
      <alignment horizontal="center" vertical="center"/>
    </xf>
    <xf numFmtId="4" fontId="28" fillId="4" borderId="194" xfId="0" applyNumberFormat="1" applyFont="1" applyFill="1" applyBorder="1" applyAlignment="1">
      <alignment horizontal="center" vertical="center"/>
    </xf>
    <xf numFmtId="4" fontId="28" fillId="4" borderId="194" xfId="0" applyNumberFormat="1" applyFont="1" applyFill="1" applyBorder="1" applyAlignment="1">
      <alignment vertical="center"/>
    </xf>
    <xf numFmtId="0" fontId="24" fillId="0" borderId="194" xfId="0" applyFont="1" applyBorder="1"/>
    <xf numFmtId="0" fontId="24" fillId="0" borderId="194" xfId="0" applyFont="1" applyBorder="1" applyAlignment="1">
      <alignment horizontal="center" vertical="center"/>
    </xf>
    <xf numFmtId="43" fontId="24" fillId="0" borderId="194" xfId="1" applyFont="1" applyBorder="1" applyAlignment="1">
      <alignment horizontal="center"/>
    </xf>
    <xf numFmtId="2" fontId="24" fillId="0" borderId="194" xfId="0" applyNumberFormat="1" applyFont="1" applyBorder="1" applyAlignment="1">
      <alignment horizontal="right"/>
    </xf>
    <xf numFmtId="43" fontId="0" fillId="0" borderId="194" xfId="1" applyFont="1" applyBorder="1"/>
    <xf numFmtId="43" fontId="24" fillId="0" borderId="194" xfId="0" applyNumberFormat="1" applyFont="1" applyBorder="1" applyAlignment="1">
      <alignment horizontal="center"/>
    </xf>
    <xf numFmtId="165" fontId="13" fillId="0" borderId="194" xfId="1" applyNumberFormat="1" applyFont="1" applyFill="1" applyBorder="1"/>
    <xf numFmtId="165" fontId="13" fillId="0" borderId="194" xfId="1" applyNumberFormat="1" applyFont="1" applyFill="1" applyBorder="1" applyAlignment="1"/>
    <xf numFmtId="165" fontId="3" fillId="0" borderId="194" xfId="1" applyNumberFormat="1" applyFont="1" applyFill="1" applyBorder="1" applyAlignment="1"/>
    <xf numFmtId="0" fontId="24" fillId="0" borderId="194" xfId="0" applyFont="1" applyBorder="1" applyAlignment="1">
      <alignment horizontal="center"/>
    </xf>
    <xf numFmtId="0" fontId="28" fillId="6" borderId="194" xfId="0" applyFont="1" applyFill="1" applyBorder="1" applyAlignment="1">
      <alignment horizontal="center"/>
    </xf>
    <xf numFmtId="2" fontId="2" fillId="15" borderId="194" xfId="0" applyNumberFormat="1" applyFont="1" applyFill="1" applyBorder="1"/>
    <xf numFmtId="165" fontId="28" fillId="4" borderId="194" xfId="1" applyNumberFormat="1" applyFont="1" applyFill="1" applyBorder="1" applyAlignment="1"/>
    <xf numFmtId="165" fontId="13" fillId="4" borderId="194" xfId="1" applyNumberFormat="1" applyFont="1" applyFill="1" applyBorder="1" applyAlignment="1"/>
    <xf numFmtId="0" fontId="54" fillId="107" borderId="195" xfId="0" applyFont="1" applyFill="1" applyBorder="1" applyAlignment="1">
      <alignment horizontal="center" vertical="center"/>
    </xf>
    <xf numFmtId="165" fontId="27" fillId="21" borderId="194" xfId="1" applyNumberFormat="1" applyFont="1" applyFill="1" applyBorder="1" applyAlignment="1">
      <alignment vertical="center"/>
    </xf>
    <xf numFmtId="2" fontId="3" fillId="103" borderId="194" xfId="0" applyNumberFormat="1" applyFont="1" applyFill="1" applyBorder="1" applyAlignment="1">
      <alignment horizontal="left" vertical="center"/>
    </xf>
    <xf numFmtId="165" fontId="3" fillId="103" borderId="194" xfId="1" applyNumberFormat="1" applyFont="1" applyFill="1" applyBorder="1" applyAlignment="1">
      <alignment horizontal="center" vertical="center"/>
    </xf>
    <xf numFmtId="0" fontId="26" fillId="0" borderId="194" xfId="0" applyFont="1" applyBorder="1" applyAlignment="1">
      <alignment horizontal="center" vertical="center" wrapText="1"/>
    </xf>
    <xf numFmtId="0" fontId="26" fillId="21" borderId="194" xfId="0" applyFont="1" applyFill="1" applyBorder="1" applyAlignment="1">
      <alignment vertical="center" wrapText="1"/>
    </xf>
    <xf numFmtId="43" fontId="27" fillId="21" borderId="194" xfId="0" applyNumberFormat="1" applyFont="1" applyFill="1" applyBorder="1" applyAlignment="1">
      <alignment vertical="center"/>
    </xf>
    <xf numFmtId="43" fontId="27" fillId="21" borderId="194" xfId="1" applyFont="1" applyFill="1" applyBorder="1" applyAlignment="1">
      <alignment vertical="center"/>
    </xf>
    <xf numFmtId="0" fontId="3" fillId="21" borderId="194" xfId="0" applyFont="1" applyFill="1" applyBorder="1" applyAlignment="1">
      <alignment vertical="center"/>
    </xf>
    <xf numFmtId="0" fontId="2" fillId="0" borderId="194" xfId="0" applyFont="1" applyBorder="1" applyAlignment="1">
      <alignment horizontal="left" vertical="center"/>
    </xf>
    <xf numFmtId="0" fontId="26" fillId="0" borderId="194" xfId="0" applyFont="1" applyBorder="1" applyAlignment="1">
      <alignment vertical="center" wrapText="1"/>
    </xf>
    <xf numFmtId="43" fontId="26" fillId="21" borderId="194" xfId="0" applyNumberFormat="1" applyFont="1" applyFill="1" applyBorder="1" applyAlignment="1">
      <alignment vertical="center"/>
    </xf>
    <xf numFmtId="0" fontId="26" fillId="21" borderId="194" xfId="0" applyFont="1" applyFill="1" applyBorder="1" applyAlignment="1">
      <alignment vertical="center"/>
    </xf>
    <xf numFmtId="0" fontId="26" fillId="0" borderId="215" xfId="0" applyFont="1" applyBorder="1" applyAlignment="1">
      <alignment horizontal="center" vertical="center" wrapText="1"/>
    </xf>
    <xf numFmtId="0" fontId="26" fillId="0" borderId="216" xfId="0" applyFont="1" applyBorder="1" applyAlignment="1">
      <alignment horizontal="center" vertical="center" wrapText="1"/>
    </xf>
    <xf numFmtId="0" fontId="26" fillId="21" borderId="195" xfId="0" applyFont="1" applyFill="1" applyBorder="1" applyAlignment="1">
      <alignment vertical="center" wrapText="1"/>
    </xf>
    <xf numFmtId="165" fontId="27" fillId="21" borderId="215" xfId="1" applyNumberFormat="1" applyFont="1" applyFill="1" applyBorder="1" applyAlignment="1">
      <alignment vertical="center"/>
    </xf>
    <xf numFmtId="43" fontId="27" fillId="21" borderId="216" xfId="0" applyNumberFormat="1" applyFont="1" applyFill="1" applyBorder="1" applyAlignment="1">
      <alignment vertical="center"/>
    </xf>
    <xf numFmtId="43" fontId="27" fillId="21" borderId="216" xfId="1" applyFont="1" applyFill="1" applyBorder="1" applyAlignment="1">
      <alignment vertical="center"/>
    </xf>
    <xf numFmtId="0" fontId="2" fillId="0" borderId="195" xfId="0" applyFont="1" applyBorder="1" applyAlignment="1">
      <alignment vertical="center"/>
    </xf>
    <xf numFmtId="165" fontId="27" fillId="0" borderId="215" xfId="1" applyNumberFormat="1" applyFont="1" applyFill="1" applyBorder="1" applyAlignment="1">
      <alignment vertical="center"/>
    </xf>
    <xf numFmtId="0" fontId="3" fillId="21" borderId="195" xfId="0" applyFont="1" applyFill="1" applyBorder="1" applyAlignment="1">
      <alignment vertical="center"/>
    </xf>
    <xf numFmtId="0" fontId="27" fillId="0" borderId="216" xfId="0" applyFont="1" applyBorder="1" applyAlignment="1">
      <alignment vertical="center"/>
    </xf>
    <xf numFmtId="43" fontId="27" fillId="0" borderId="216" xfId="1" applyFont="1" applyFill="1" applyBorder="1" applyAlignment="1">
      <alignment vertical="center"/>
    </xf>
    <xf numFmtId="0" fontId="2" fillId="0" borderId="195" xfId="0" applyFont="1" applyBorder="1" applyAlignment="1">
      <alignment vertical="center" wrapText="1"/>
    </xf>
    <xf numFmtId="0" fontId="2" fillId="0" borderId="195" xfId="0" applyFont="1" applyBorder="1" applyAlignment="1">
      <alignment horizontal="left" vertical="center"/>
    </xf>
    <xf numFmtId="165" fontId="27" fillId="0" borderId="216" xfId="1" applyNumberFormat="1" applyFont="1" applyFill="1" applyBorder="1" applyAlignment="1">
      <alignment vertical="center"/>
    </xf>
    <xf numFmtId="0" fontId="26" fillId="0" borderId="195" xfId="0" applyFont="1" applyBorder="1" applyAlignment="1">
      <alignment vertical="center" wrapText="1"/>
    </xf>
    <xf numFmtId="43" fontId="26" fillId="21" borderId="216" xfId="1" applyFont="1" applyFill="1" applyBorder="1" applyAlignment="1">
      <alignment vertical="center"/>
    </xf>
    <xf numFmtId="0" fontId="26" fillId="0" borderId="194" xfId="0" applyFont="1" applyBorder="1" applyAlignment="1">
      <alignment vertical="center"/>
    </xf>
    <xf numFmtId="0" fontId="3" fillId="0" borderId="194" xfId="0" applyFont="1" applyBorder="1" applyAlignment="1">
      <alignment vertical="center"/>
    </xf>
    <xf numFmtId="165" fontId="2" fillId="0" borderId="194" xfId="1" applyNumberFormat="1" applyFont="1" applyBorder="1"/>
    <xf numFmtId="0" fontId="2" fillId="0" borderId="194" xfId="0" applyFont="1" applyBorder="1"/>
    <xf numFmtId="165" fontId="2" fillId="15" borderId="194" xfId="1" applyNumberFormat="1" applyFont="1" applyFill="1" applyBorder="1"/>
    <xf numFmtId="43" fontId="2" fillId="0" borderId="194" xfId="1" applyFont="1" applyBorder="1"/>
    <xf numFmtId="0" fontId="2" fillId="0" borderId="194" xfId="0" applyFont="1" applyBorder="1" applyAlignment="1">
      <alignment horizontal="center" vertical="center" wrapText="1"/>
    </xf>
    <xf numFmtId="165" fontId="0" fillId="23" borderId="194" xfId="1" applyNumberFormat="1" applyFont="1" applyFill="1" applyBorder="1"/>
    <xf numFmtId="43" fontId="0" fillId="23" borderId="194" xfId="1" applyFont="1" applyFill="1" applyBorder="1"/>
    <xf numFmtId="168" fontId="2" fillId="23" borderId="194" xfId="2" applyNumberFormat="1" applyFont="1" applyFill="1" applyBorder="1"/>
    <xf numFmtId="165" fontId="2" fillId="23" borderId="194" xfId="2" applyNumberFormat="1" applyFont="1" applyFill="1" applyBorder="1"/>
    <xf numFmtId="0" fontId="2" fillId="20" borderId="194" xfId="0" applyFont="1" applyFill="1" applyBorder="1"/>
    <xf numFmtId="0" fontId="2" fillId="23" borderId="194" xfId="0" applyFont="1" applyFill="1" applyBorder="1"/>
    <xf numFmtId="1" fontId="2" fillId="23" borderId="194" xfId="0" applyNumberFormat="1" applyFont="1" applyFill="1" applyBorder="1"/>
    <xf numFmtId="37" fontId="2" fillId="23" borderId="194" xfId="0" applyNumberFormat="1" applyFont="1" applyFill="1" applyBorder="1"/>
    <xf numFmtId="43" fontId="2" fillId="23" borderId="194" xfId="2" applyFont="1" applyFill="1" applyBorder="1"/>
    <xf numFmtId="0" fontId="2" fillId="23" borderId="194" xfId="2" applyNumberFormat="1" applyFont="1" applyFill="1" applyBorder="1"/>
    <xf numFmtId="165" fontId="2" fillId="23" borderId="194" xfId="1" applyNumberFormat="1" applyFont="1" applyFill="1" applyBorder="1"/>
    <xf numFmtId="165" fontId="2" fillId="25" borderId="194" xfId="2" applyNumberFormat="1" applyFont="1" applyFill="1" applyBorder="1"/>
    <xf numFmtId="0" fontId="2" fillId="25" borderId="194" xfId="0" applyFont="1" applyFill="1" applyBorder="1"/>
    <xf numFmtId="165" fontId="2" fillId="25" borderId="194" xfId="0" applyNumberFormat="1" applyFont="1" applyFill="1" applyBorder="1"/>
    <xf numFmtId="43" fontId="2" fillId="25" borderId="194" xfId="2" applyFont="1" applyFill="1" applyBorder="1"/>
    <xf numFmtId="165" fontId="2" fillId="23" borderId="194" xfId="0" applyNumberFormat="1" applyFont="1" applyFill="1" applyBorder="1"/>
    <xf numFmtId="165" fontId="2" fillId="9" borderId="194" xfId="2" applyNumberFormat="1" applyFont="1" applyFill="1" applyBorder="1"/>
    <xf numFmtId="0" fontId="2" fillId="9" borderId="194" xfId="0" applyFont="1" applyFill="1" applyBorder="1"/>
    <xf numFmtId="43" fontId="2" fillId="9" borderId="194" xfId="0" applyNumberFormat="1" applyFont="1" applyFill="1" applyBorder="1"/>
    <xf numFmtId="43" fontId="2" fillId="9" borderId="194" xfId="2" applyFont="1" applyFill="1" applyBorder="1"/>
    <xf numFmtId="165" fontId="2" fillId="9" borderId="194" xfId="1" applyNumberFormat="1" applyFont="1" applyFill="1" applyBorder="1"/>
    <xf numFmtId="165" fontId="52" fillId="9" borderId="194" xfId="1" applyNumberFormat="1" applyFont="1" applyFill="1" applyBorder="1"/>
    <xf numFmtId="39" fontId="52" fillId="9" borderId="194" xfId="1" applyNumberFormat="1" applyFont="1" applyFill="1" applyBorder="1"/>
    <xf numFmtId="43" fontId="2" fillId="25" borderId="194" xfId="0" applyNumberFormat="1" applyFont="1" applyFill="1" applyBorder="1"/>
    <xf numFmtId="43" fontId="2" fillId="25" borderId="194" xfId="1" applyFont="1" applyFill="1" applyBorder="1"/>
    <xf numFmtId="165" fontId="2" fillId="25" borderId="194" xfId="1" applyNumberFormat="1" applyFont="1" applyFill="1" applyBorder="1"/>
    <xf numFmtId="0" fontId="28" fillId="2" borderId="195" xfId="0" applyFont="1" applyFill="1" applyBorder="1" applyAlignment="1">
      <alignment horizontal="center" vertical="center"/>
    </xf>
    <xf numFmtId="0" fontId="28" fillId="15" borderId="195" xfId="0" applyFont="1" applyFill="1" applyBorder="1" applyAlignment="1">
      <alignment horizontal="center" vertical="center"/>
    </xf>
    <xf numFmtId="165" fontId="29" fillId="0" borderId="194" xfId="1" applyNumberFormat="1" applyFont="1" applyFill="1" applyBorder="1"/>
    <xf numFmtId="2" fontId="29" fillId="0" borderId="194" xfId="0" applyNumberFormat="1" applyFont="1" applyBorder="1"/>
    <xf numFmtId="39" fontId="29" fillId="0" borderId="194" xfId="1" applyNumberFormat="1" applyFont="1" applyFill="1" applyBorder="1" applyAlignment="1"/>
    <xf numFmtId="3" fontId="29" fillId="0" borderId="194" xfId="0" applyNumberFormat="1" applyFont="1" applyBorder="1"/>
    <xf numFmtId="165" fontId="5" fillId="0" borderId="194" xfId="1" applyNumberFormat="1" applyFont="1" applyFill="1" applyBorder="1"/>
    <xf numFmtId="0" fontId="29" fillId="15" borderId="194" xfId="0" applyFont="1" applyFill="1" applyBorder="1"/>
    <xf numFmtId="2" fontId="29" fillId="15" borderId="194" xfId="0" applyNumberFormat="1" applyFont="1" applyFill="1" applyBorder="1"/>
    <xf numFmtId="43" fontId="29" fillId="0" borderId="194" xfId="1" applyFont="1" applyFill="1" applyBorder="1"/>
    <xf numFmtId="43" fontId="29" fillId="0" borderId="194" xfId="1" applyFont="1" applyFill="1" applyBorder="1" applyAlignment="1"/>
    <xf numFmtId="43" fontId="5" fillId="0" borderId="194" xfId="1" applyFont="1" applyFill="1" applyBorder="1"/>
    <xf numFmtId="43" fontId="29" fillId="0" borderId="194" xfId="0" applyNumberFormat="1" applyFont="1" applyBorder="1"/>
    <xf numFmtId="43" fontId="22" fillId="0" borderId="194" xfId="1" applyFont="1" applyBorder="1"/>
    <xf numFmtId="165" fontId="29" fillId="0" borderId="194" xfId="1" applyNumberFormat="1" applyFont="1" applyFill="1" applyBorder="1" applyAlignment="1"/>
    <xf numFmtId="165" fontId="29" fillId="0" borderId="194" xfId="0" applyNumberFormat="1" applyFont="1" applyBorder="1"/>
    <xf numFmtId="0" fontId="28" fillId="0" borderId="194" xfId="0" applyFont="1" applyBorder="1" applyAlignment="1">
      <alignment horizontal="center" vertical="center" wrapText="1"/>
    </xf>
    <xf numFmtId="39" fontId="28" fillId="0" borderId="194" xfId="1" applyNumberFormat="1" applyFont="1" applyFill="1" applyBorder="1" applyAlignment="1">
      <alignment horizontal="center" vertical="center"/>
    </xf>
    <xf numFmtId="4" fontId="28" fillId="0" borderId="194" xfId="0" applyNumberFormat="1" applyFont="1" applyBorder="1" applyAlignment="1">
      <alignment horizontal="center" vertical="center"/>
    </xf>
    <xf numFmtId="4" fontId="29" fillId="0" borderId="194" xfId="0" applyNumberFormat="1" applyFont="1" applyBorder="1" applyAlignment="1">
      <alignment horizontal="center" vertical="center"/>
    </xf>
    <xf numFmtId="165" fontId="29" fillId="8" borderId="194" xfId="1" applyNumberFormat="1" applyFont="1" applyFill="1" applyBorder="1" applyAlignment="1">
      <alignment vertical="center"/>
    </xf>
    <xf numFmtId="0" fontId="29" fillId="2" borderId="194" xfId="0" applyFont="1" applyFill="1" applyBorder="1"/>
    <xf numFmtId="165" fontId="29" fillId="2" borderId="194" xfId="1" applyNumberFormat="1" applyFont="1" applyFill="1" applyBorder="1"/>
    <xf numFmtId="3" fontId="29" fillId="2" borderId="194" xfId="0" applyNumberFormat="1" applyFont="1" applyFill="1" applyBorder="1"/>
    <xf numFmtId="0" fontId="28" fillId="2" borderId="194" xfId="0" applyFont="1" applyFill="1" applyBorder="1"/>
    <xf numFmtId="165" fontId="3" fillId="0" borderId="194" xfId="1" applyNumberFormat="1" applyFont="1" applyFill="1" applyBorder="1" applyAlignment="1">
      <alignment horizontal="center" vertical="center"/>
    </xf>
    <xf numFmtId="0" fontId="2" fillId="0" borderId="194" xfId="0" applyFont="1" applyBorder="1" applyAlignment="1">
      <alignment horizontal="center" vertical="center"/>
    </xf>
    <xf numFmtId="165" fontId="3" fillId="0" borderId="194" xfId="7" applyNumberFormat="1" applyFont="1" applyFill="1" applyBorder="1" applyAlignment="1">
      <alignment vertical="center"/>
    </xf>
    <xf numFmtId="165" fontId="2" fillId="0" borderId="194" xfId="1" applyNumberFormat="1" applyFont="1" applyFill="1" applyBorder="1" applyAlignment="1">
      <alignment horizontal="center" vertical="center"/>
    </xf>
    <xf numFmtId="165" fontId="2" fillId="0" borderId="194" xfId="7" applyNumberFormat="1" applyFont="1" applyFill="1" applyBorder="1" applyAlignment="1">
      <alignment vertical="center"/>
    </xf>
    <xf numFmtId="165" fontId="3" fillId="0" borderId="194" xfId="2" applyNumberFormat="1" applyFont="1" applyFill="1" applyBorder="1" applyAlignment="1">
      <alignment horizontal="center" vertical="center"/>
    </xf>
    <xf numFmtId="165" fontId="3" fillId="0" borderId="194" xfId="7" applyNumberFormat="1" applyFont="1" applyFill="1" applyBorder="1" applyAlignment="1">
      <alignment horizontal="left" vertical="center"/>
    </xf>
    <xf numFmtId="165" fontId="38" fillId="0" borderId="194" xfId="7" applyNumberFormat="1" applyFont="1" applyFill="1" applyBorder="1" applyAlignment="1">
      <alignment vertical="center"/>
    </xf>
    <xf numFmtId="165" fontId="3" fillId="0" borderId="194" xfId="7" applyNumberFormat="1" applyFont="1" applyFill="1" applyBorder="1"/>
    <xf numFmtId="165" fontId="2" fillId="12" borderId="194" xfId="1" applyNumberFormat="1" applyFont="1" applyFill="1" applyBorder="1" applyAlignment="1">
      <alignment vertical="center"/>
    </xf>
    <xf numFmtId="165" fontId="2" fillId="0" borderId="194" xfId="7" applyNumberFormat="1" applyFont="1" applyFill="1" applyBorder="1" applyAlignment="1">
      <alignment vertical="center" wrapText="1"/>
    </xf>
    <xf numFmtId="165" fontId="3" fillId="12" borderId="194" xfId="2" applyNumberFormat="1" applyFont="1" applyFill="1" applyBorder="1" applyAlignment="1">
      <alignment horizontal="center" vertical="center"/>
    </xf>
    <xf numFmtId="165" fontId="3" fillId="0" borderId="194" xfId="8" applyNumberFormat="1" applyFont="1" applyFill="1" applyBorder="1" applyAlignment="1">
      <alignment vertical="center"/>
    </xf>
    <xf numFmtId="165" fontId="2" fillId="23" borderId="194" xfId="2" applyNumberFormat="1" applyFont="1" applyFill="1" applyBorder="1" applyAlignment="1">
      <alignment horizontal="center" vertical="center"/>
    </xf>
    <xf numFmtId="165" fontId="3" fillId="23" borderId="194" xfId="2" applyNumberFormat="1" applyFont="1" applyFill="1" applyBorder="1" applyAlignment="1">
      <alignment horizontal="center" vertical="center"/>
    </xf>
    <xf numFmtId="165" fontId="2" fillId="23" borderId="194" xfId="2" applyNumberFormat="1" applyFont="1" applyFill="1" applyBorder="1" applyAlignment="1">
      <alignment vertical="center"/>
    </xf>
    <xf numFmtId="165" fontId="3" fillId="20" borderId="194" xfId="2" applyNumberFormat="1" applyFont="1" applyFill="1" applyBorder="1" applyAlignment="1">
      <alignment horizontal="center" vertical="center"/>
    </xf>
    <xf numFmtId="165" fontId="2" fillId="23" borderId="194" xfId="0" applyNumberFormat="1" applyFont="1" applyFill="1" applyBorder="1" applyAlignment="1">
      <alignment vertical="center"/>
    </xf>
    <xf numFmtId="0" fontId="3" fillId="0" borderId="194" xfId="0" applyFont="1" applyBorder="1" applyAlignment="1">
      <alignment horizontal="center"/>
    </xf>
    <xf numFmtId="165" fontId="3" fillId="9" borderId="194" xfId="2" applyNumberFormat="1" applyFont="1" applyFill="1" applyBorder="1" applyAlignment="1">
      <alignment vertical="center"/>
    </xf>
    <xf numFmtId="165" fontId="3" fillId="9" borderId="194" xfId="2" applyNumberFormat="1" applyFont="1" applyFill="1" applyBorder="1" applyAlignment="1">
      <alignment horizontal="center" vertical="center"/>
    </xf>
    <xf numFmtId="165" fontId="2" fillId="9" borderId="194" xfId="2" applyNumberFormat="1" applyFont="1" applyFill="1" applyBorder="1" applyAlignment="1">
      <alignment vertical="center"/>
    </xf>
    <xf numFmtId="165" fontId="2" fillId="9" borderId="194" xfId="0" applyNumberFormat="1" applyFont="1" applyFill="1" applyBorder="1" applyAlignment="1">
      <alignment vertical="center"/>
    </xf>
    <xf numFmtId="165" fontId="3" fillId="24" borderId="194" xfId="2" applyNumberFormat="1" applyFont="1" applyFill="1" applyBorder="1" applyAlignment="1">
      <alignment horizontal="center" vertical="center"/>
    </xf>
    <xf numFmtId="165" fontId="3" fillId="25" borderId="194" xfId="2" applyNumberFormat="1" applyFont="1" applyFill="1" applyBorder="1" applyAlignment="1">
      <alignment horizontal="center" vertical="center"/>
    </xf>
    <xf numFmtId="165" fontId="2" fillId="25" borderId="194" xfId="2" applyNumberFormat="1" applyFont="1" applyFill="1" applyBorder="1" applyAlignment="1">
      <alignment vertical="center"/>
    </xf>
    <xf numFmtId="165" fontId="3" fillId="25" borderId="194" xfId="1" applyNumberFormat="1" applyFont="1" applyFill="1" applyBorder="1" applyAlignment="1">
      <alignment horizontal="center" vertical="center"/>
    </xf>
    <xf numFmtId="165" fontId="2" fillId="25" borderId="194" xfId="2" applyNumberFormat="1" applyFont="1" applyFill="1" applyBorder="1" applyAlignment="1">
      <alignment horizontal="center" vertical="center"/>
    </xf>
    <xf numFmtId="165" fontId="3" fillId="16" borderId="194" xfId="2" applyNumberFormat="1" applyFont="1" applyFill="1" applyBorder="1" applyAlignment="1">
      <alignment horizontal="center" vertical="center"/>
    </xf>
    <xf numFmtId="165" fontId="2" fillId="16" borderId="194" xfId="2" applyNumberFormat="1" applyFont="1" applyFill="1" applyBorder="1" applyAlignment="1">
      <alignment vertical="center"/>
    </xf>
    <xf numFmtId="0" fontId="26" fillId="3" borderId="195" xfId="0" applyFont="1" applyFill="1" applyBorder="1" applyAlignment="1">
      <alignment vertical="center"/>
    </xf>
    <xf numFmtId="0" fontId="26" fillId="3" borderId="197" xfId="0" applyFont="1" applyFill="1" applyBorder="1" applyAlignment="1">
      <alignment vertical="center" wrapText="1"/>
    </xf>
    <xf numFmtId="0" fontId="27" fillId="11" borderId="194" xfId="0" applyFont="1" applyFill="1" applyBorder="1" applyAlignment="1">
      <alignment horizontal="center" vertical="center"/>
    </xf>
    <xf numFmtId="0" fontId="2" fillId="11" borderId="194" xfId="0" applyFont="1" applyFill="1" applyBorder="1" applyAlignment="1">
      <alignment horizontal="center" vertical="center"/>
    </xf>
    <xf numFmtId="0" fontId="27" fillId="9" borderId="194" xfId="0" applyFont="1" applyFill="1" applyBorder="1" applyAlignment="1">
      <alignment horizontal="center" vertical="center"/>
    </xf>
    <xf numFmtId="0" fontId="31" fillId="11" borderId="194" xfId="0" applyFont="1" applyFill="1" applyBorder="1" applyAlignment="1">
      <alignment horizontal="center" vertical="center"/>
    </xf>
    <xf numFmtId="165" fontId="22" fillId="11" borderId="194" xfId="1" applyNumberFormat="1" applyFont="1" applyFill="1" applyBorder="1"/>
    <xf numFmtId="165" fontId="35" fillId="11" borderId="194" xfId="1" applyNumberFormat="1" applyFont="1" applyFill="1" applyBorder="1"/>
    <xf numFmtId="165" fontId="0" fillId="11" borderId="194" xfId="1" applyNumberFormat="1" applyFont="1" applyFill="1" applyBorder="1"/>
    <xf numFmtId="165" fontId="36" fillId="11" borderId="194" xfId="1" applyNumberFormat="1" applyFont="1" applyFill="1" applyBorder="1" applyAlignment="1">
      <alignment horizontal="center"/>
    </xf>
    <xf numFmtId="165" fontId="61" fillId="11" borderId="194" xfId="1" applyNumberFormat="1" applyFont="1" applyFill="1" applyBorder="1"/>
    <xf numFmtId="0" fontId="32" fillId="11" borderId="194" xfId="0" applyFont="1" applyFill="1" applyBorder="1" applyAlignment="1">
      <alignment horizontal="left" vertical="center"/>
    </xf>
    <xf numFmtId="165" fontId="32" fillId="11" borderId="194" xfId="1" applyNumberFormat="1" applyFont="1" applyFill="1" applyBorder="1" applyAlignment="1">
      <alignment horizontal="right"/>
    </xf>
    <xf numFmtId="0" fontId="26" fillId="3" borderId="197" xfId="0" applyFont="1" applyFill="1" applyBorder="1" applyAlignment="1">
      <alignment vertical="center"/>
    </xf>
    <xf numFmtId="0" fontId="27" fillId="27" borderId="194" xfId="0" applyFont="1" applyFill="1" applyBorder="1" applyAlignment="1">
      <alignment horizontal="center" vertical="center"/>
    </xf>
    <xf numFmtId="165" fontId="22" fillId="27" borderId="194" xfId="1" applyNumberFormat="1" applyFont="1" applyFill="1" applyBorder="1"/>
    <xf numFmtId="165" fontId="32" fillId="27" borderId="194" xfId="1" applyNumberFormat="1" applyFont="1" applyFill="1" applyBorder="1" applyAlignment="1">
      <alignment horizontal="right"/>
    </xf>
    <xf numFmtId="165" fontId="22" fillId="28" borderId="194" xfId="1" applyNumberFormat="1" applyFont="1" applyFill="1" applyBorder="1"/>
    <xf numFmtId="165" fontId="32" fillId="28" borderId="194" xfId="1" applyNumberFormat="1" applyFont="1" applyFill="1" applyBorder="1" applyAlignment="1">
      <alignment horizontal="right"/>
    </xf>
    <xf numFmtId="0" fontId="32" fillId="0" borderId="194" xfId="0" applyFont="1" applyBorder="1" applyAlignment="1">
      <alignment horizontal="center" vertical="center"/>
    </xf>
    <xf numFmtId="0" fontId="36" fillId="0" borderId="194" xfId="0" applyFont="1" applyBorder="1"/>
    <xf numFmtId="165" fontId="36" fillId="0" borderId="194" xfId="0" applyNumberFormat="1" applyFont="1" applyBorder="1"/>
    <xf numFmtId="165" fontId="36" fillId="0" borderId="194" xfId="1" applyNumberFormat="1" applyFont="1" applyFill="1" applyBorder="1" applyAlignment="1">
      <alignment vertical="center"/>
    </xf>
    <xf numFmtId="165" fontId="36" fillId="0" borderId="194" xfId="1" applyNumberFormat="1" applyFont="1" applyFill="1" applyBorder="1" applyAlignment="1">
      <alignment horizontal="center" vertical="center"/>
    </xf>
    <xf numFmtId="0" fontId="32" fillId="0" borderId="194" xfId="0" applyFont="1" applyBorder="1" applyAlignment="1">
      <alignment horizontal="left" vertical="center"/>
    </xf>
    <xf numFmtId="165" fontId="32" fillId="0" borderId="194" xfId="0" applyNumberFormat="1" applyFont="1" applyBorder="1" applyAlignment="1">
      <alignment horizontal="left" vertical="center"/>
    </xf>
    <xf numFmtId="165" fontId="32" fillId="0" borderId="194" xfId="1" applyNumberFormat="1" applyFont="1" applyFill="1" applyBorder="1" applyAlignment="1">
      <alignment horizontal="right" vertical="center"/>
    </xf>
    <xf numFmtId="43" fontId="36" fillId="0" borderId="194" xfId="1" applyFont="1" applyFill="1" applyBorder="1" applyAlignment="1">
      <alignment horizontal="right" vertical="center"/>
    </xf>
    <xf numFmtId="43" fontId="32" fillId="0" borderId="194" xfId="1" applyFont="1" applyFill="1" applyBorder="1" applyAlignment="1">
      <alignment horizontal="right" vertical="center"/>
    </xf>
    <xf numFmtId="2" fontId="36" fillId="0" borderId="194" xfId="0" applyNumberFormat="1" applyFont="1" applyBorder="1" applyAlignment="1">
      <alignment horizontal="right" vertical="center"/>
    </xf>
    <xf numFmtId="1" fontId="32" fillId="0" borderId="194" xfId="0" applyNumberFormat="1" applyFont="1" applyBorder="1" applyAlignment="1">
      <alignment horizontal="right" vertical="center"/>
    </xf>
    <xf numFmtId="0" fontId="36" fillId="0" borderId="194" xfId="0" applyFont="1" applyBorder="1" applyAlignment="1">
      <alignment vertical="center"/>
    </xf>
    <xf numFmtId="165" fontId="36" fillId="0" borderId="194" xfId="1" applyNumberFormat="1" applyFont="1" applyFill="1" applyBorder="1" applyAlignment="1">
      <alignment horizontal="center"/>
    </xf>
    <xf numFmtId="165" fontId="32" fillId="0" borderId="194" xfId="1" applyNumberFormat="1" applyFont="1" applyFill="1" applyBorder="1" applyAlignment="1">
      <alignment horizontal="center" vertical="center"/>
    </xf>
    <xf numFmtId="165" fontId="10" fillId="0" borderId="194" xfId="1" applyNumberFormat="1" applyFont="1" applyFill="1" applyBorder="1" applyAlignment="1">
      <alignment horizontal="center" vertical="center"/>
    </xf>
    <xf numFmtId="39" fontId="36" fillId="0" borderId="194" xfId="1" applyNumberFormat="1" applyFont="1" applyFill="1" applyBorder="1" applyAlignment="1">
      <alignment horizontal="right"/>
    </xf>
    <xf numFmtId="39" fontId="36" fillId="0" borderId="194" xfId="1" applyNumberFormat="1" applyFont="1" applyFill="1" applyBorder="1" applyAlignment="1">
      <alignment horizontal="right" vertical="center"/>
    </xf>
    <xf numFmtId="39" fontId="32" fillId="0" borderId="194" xfId="1" applyNumberFormat="1" applyFont="1" applyFill="1" applyBorder="1" applyAlignment="1">
      <alignment horizontal="right"/>
    </xf>
    <xf numFmtId="39" fontId="32" fillId="0" borderId="194" xfId="1" applyNumberFormat="1" applyFont="1" applyFill="1" applyBorder="1" applyAlignment="1">
      <alignment horizontal="right" vertical="center"/>
    </xf>
    <xf numFmtId="0" fontId="0" fillId="0" borderId="194" xfId="0" applyBorder="1" applyAlignment="1">
      <alignment vertical="center"/>
    </xf>
    <xf numFmtId="165" fontId="0" fillId="0" borderId="194" xfId="1" applyNumberFormat="1" applyFont="1" applyFill="1" applyBorder="1" applyAlignment="1">
      <alignment vertical="center"/>
    </xf>
    <xf numFmtId="43" fontId="24" fillId="0" borderId="194" xfId="1" applyFont="1" applyFill="1" applyBorder="1" applyAlignment="1">
      <alignment vertical="center"/>
    </xf>
    <xf numFmtId="165" fontId="22" fillId="8" borderId="194" xfId="1" applyNumberFormat="1" applyFont="1" applyFill="1" applyBorder="1"/>
    <xf numFmtId="165" fontId="35" fillId="8" borderId="194" xfId="1" applyNumberFormat="1" applyFont="1" applyFill="1" applyBorder="1"/>
    <xf numFmtId="165" fontId="0" fillId="8" borderId="194" xfId="1" applyNumberFormat="1" applyFont="1" applyFill="1" applyBorder="1"/>
    <xf numFmtId="165" fontId="0" fillId="0" borderId="194" xfId="1" applyNumberFormat="1" applyFont="1" applyFill="1" applyBorder="1"/>
    <xf numFmtId="165" fontId="22" fillId="0" borderId="194" xfId="1" applyNumberFormat="1" applyFont="1" applyFill="1" applyBorder="1"/>
    <xf numFmtId="165" fontId="35" fillId="0" borderId="194" xfId="1" applyNumberFormat="1" applyFont="1" applyFill="1" applyBorder="1"/>
    <xf numFmtId="165" fontId="10" fillId="0" borderId="194" xfId="1" applyNumberFormat="1" applyFont="1" applyFill="1" applyBorder="1" applyAlignment="1">
      <alignment horizontal="right"/>
    </xf>
    <xf numFmtId="165" fontId="10" fillId="11" borderId="194" xfId="1" applyNumberFormat="1" applyFont="1" applyFill="1" applyBorder="1" applyAlignment="1">
      <alignment horizontal="right"/>
    </xf>
    <xf numFmtId="0" fontId="28" fillId="0" borderId="194" xfId="0" applyFont="1" applyBorder="1" applyAlignment="1">
      <alignment horizontal="center" vertical="center"/>
    </xf>
    <xf numFmtId="0" fontId="28" fillId="0" borderId="194" xfId="0" applyFont="1" applyBorder="1" applyAlignment="1">
      <alignment horizontal="left" vertical="center"/>
    </xf>
    <xf numFmtId="165" fontId="13" fillId="0" borderId="194" xfId="1" applyNumberFormat="1" applyFont="1" applyFill="1" applyBorder="1" applyAlignment="1">
      <alignment vertical="center"/>
    </xf>
    <xf numFmtId="2" fontId="29" fillId="0" borderId="194" xfId="1" applyNumberFormat="1" applyFont="1" applyFill="1" applyBorder="1" applyAlignment="1">
      <alignment horizontal="right" vertical="center"/>
    </xf>
    <xf numFmtId="43" fontId="28" fillId="0" borderId="194" xfId="1" applyFont="1" applyFill="1" applyBorder="1" applyAlignment="1">
      <alignment horizontal="right" vertical="center"/>
    </xf>
    <xf numFmtId="43" fontId="39" fillId="0" borderId="194" xfId="1" applyFont="1" applyFill="1" applyBorder="1" applyAlignment="1">
      <alignment horizontal="right" vertical="center"/>
    </xf>
    <xf numFmtId="0" fontId="28" fillId="0" borderId="197" xfId="0" applyFont="1" applyBorder="1"/>
    <xf numFmtId="165" fontId="0" fillId="0" borderId="194" xfId="1" applyNumberFormat="1" applyFont="1" applyBorder="1"/>
    <xf numFmtId="165" fontId="24" fillId="0" borderId="194" xfId="1" applyNumberFormat="1" applyFont="1" applyFill="1" applyBorder="1" applyAlignment="1">
      <alignment horizontal="center" vertical="center"/>
    </xf>
    <xf numFmtId="0" fontId="9" fillId="0" borderId="195" xfId="0" applyFont="1" applyBorder="1" applyAlignment="1">
      <alignment vertical="center"/>
    </xf>
    <xf numFmtId="0" fontId="12" fillId="0" borderId="195" xfId="0" applyFont="1" applyBorder="1" applyAlignment="1">
      <alignment vertical="center"/>
    </xf>
    <xf numFmtId="0" fontId="9" fillId="0" borderId="195" xfId="0" applyFont="1" applyBorder="1" applyAlignment="1">
      <alignment horizontal="left" vertical="center"/>
    </xf>
    <xf numFmtId="0" fontId="24" fillId="0" borderId="195" xfId="0" applyFont="1" applyBorder="1" applyAlignment="1">
      <alignment vertical="center"/>
    </xf>
    <xf numFmtId="165" fontId="2" fillId="0" borderId="194" xfId="2" applyNumberFormat="1" applyFont="1" applyFill="1" applyBorder="1"/>
    <xf numFmtId="165" fontId="24" fillId="0" borderId="194" xfId="2" applyNumberFormat="1" applyFont="1" applyFill="1" applyBorder="1" applyAlignment="1">
      <alignment vertical="center"/>
    </xf>
    <xf numFmtId="168" fontId="2" fillId="0" borderId="194" xfId="2" applyNumberFormat="1" applyFont="1" applyFill="1" applyBorder="1"/>
    <xf numFmtId="165" fontId="52" fillId="0" borderId="194" xfId="2" applyNumberFormat="1" applyFont="1" applyFill="1" applyBorder="1" applyAlignment="1">
      <alignment vertical="center"/>
    </xf>
    <xf numFmtId="165" fontId="9" fillId="0" borderId="194" xfId="2" applyNumberFormat="1" applyFont="1" applyFill="1" applyBorder="1" applyAlignment="1">
      <alignment vertical="center"/>
    </xf>
    <xf numFmtId="0" fontId="3" fillId="0" borderId="194" xfId="0" applyFont="1" applyBorder="1" applyAlignment="1">
      <alignment horizontal="center" vertical="center" wrapText="1"/>
    </xf>
    <xf numFmtId="165" fontId="7" fillId="0" borderId="194" xfId="2" applyNumberFormat="1" applyFont="1" applyFill="1" applyBorder="1"/>
    <xf numFmtId="0" fontId="2" fillId="0" borderId="194" xfId="0" applyFont="1" applyBorder="1" applyAlignment="1">
      <alignment wrapText="1"/>
    </xf>
    <xf numFmtId="43" fontId="7" fillId="0" borderId="194" xfId="1" applyFont="1" applyFill="1" applyBorder="1"/>
    <xf numFmtId="0" fontId="29" fillId="0" borderId="194" xfId="0" applyFont="1" applyBorder="1" applyAlignment="1">
      <alignment horizontal="left" vertical="center"/>
    </xf>
    <xf numFmtId="165" fontId="7" fillId="23" borderId="194" xfId="2" applyNumberFormat="1" applyFont="1" applyFill="1" applyBorder="1"/>
    <xf numFmtId="165" fontId="58" fillId="20" borderId="194" xfId="2" applyNumberFormat="1" applyFont="1" applyFill="1" applyBorder="1"/>
    <xf numFmtId="43" fontId="7" fillId="23" borderId="194" xfId="2" applyFont="1" applyFill="1" applyBorder="1"/>
    <xf numFmtId="165" fontId="7" fillId="23" borderId="194" xfId="1" applyNumberFormat="1" applyFont="1" applyFill="1" applyBorder="1"/>
    <xf numFmtId="165" fontId="7" fillId="9" borderId="194" xfId="2" applyNumberFormat="1" applyFont="1" applyFill="1" applyBorder="1"/>
    <xf numFmtId="43" fontId="7" fillId="9" borderId="194" xfId="2" applyFont="1" applyFill="1" applyBorder="1"/>
    <xf numFmtId="165" fontId="7" fillId="24" borderId="194" xfId="2" applyNumberFormat="1" applyFont="1" applyFill="1" applyBorder="1"/>
    <xf numFmtId="43" fontId="7" fillId="24" borderId="194" xfId="2" applyFont="1" applyFill="1" applyBorder="1"/>
    <xf numFmtId="165" fontId="7" fillId="22" borderId="194" xfId="2" applyNumberFormat="1" applyFont="1" applyFill="1" applyBorder="1"/>
    <xf numFmtId="43" fontId="7" fillId="22" borderId="194" xfId="2" applyFont="1" applyFill="1" applyBorder="1"/>
    <xf numFmtId="165" fontId="7" fillId="25" borderId="194" xfId="2" applyNumberFormat="1" applyFont="1" applyFill="1" applyBorder="1"/>
    <xf numFmtId="43" fontId="7" fillId="25" borderId="194" xfId="2" applyFont="1" applyFill="1" applyBorder="1"/>
    <xf numFmtId="0" fontId="7" fillId="25" borderId="194" xfId="0" applyFont="1" applyFill="1" applyBorder="1" applyAlignment="1">
      <alignment horizontal="center" vertical="center" wrapText="1"/>
    </xf>
    <xf numFmtId="2" fontId="7" fillId="25" borderId="194" xfId="2" applyNumberFormat="1" applyFont="1" applyFill="1" applyBorder="1"/>
    <xf numFmtId="43" fontId="7" fillId="0" borderId="194" xfId="1" applyFont="1" applyFill="1" applyBorder="1" applyAlignment="1">
      <alignment horizontal="center" vertical="center"/>
    </xf>
    <xf numFmtId="0" fontId="10" fillId="0" borderId="194" xfId="1" applyNumberFormat="1" applyFont="1" applyFill="1" applyBorder="1" applyAlignment="1">
      <alignment horizontal="center" vertical="center"/>
    </xf>
    <xf numFmtId="0" fontId="3" fillId="0" borderId="194" xfId="1" applyNumberFormat="1" applyFont="1" applyFill="1" applyBorder="1" applyAlignment="1">
      <alignment horizontal="center" vertical="center"/>
    </xf>
    <xf numFmtId="165" fontId="7" fillId="0" borderId="194" xfId="2" applyNumberFormat="1" applyFont="1" applyFill="1" applyBorder="1" applyAlignment="1">
      <alignment horizontal="center" vertical="center"/>
    </xf>
    <xf numFmtId="0" fontId="10" fillId="0" borderId="194" xfId="0" applyFont="1" applyBorder="1" applyAlignment="1">
      <alignment vertical="center"/>
    </xf>
    <xf numFmtId="0" fontId="24" fillId="0" borderId="194" xfId="0" applyFont="1" applyBorder="1" applyAlignment="1">
      <alignment horizontal="left" vertical="center" wrapText="1"/>
    </xf>
    <xf numFmtId="165" fontId="24" fillId="0" borderId="194" xfId="0" applyNumberFormat="1" applyFont="1" applyBorder="1"/>
    <xf numFmtId="165" fontId="10" fillId="0" borderId="194" xfId="2" applyNumberFormat="1" applyFont="1" applyFill="1" applyBorder="1" applyAlignment="1">
      <alignment horizontal="center" vertical="center"/>
    </xf>
    <xf numFmtId="165" fontId="7" fillId="0" borderId="194" xfId="1" applyNumberFormat="1" applyFont="1" applyFill="1" applyBorder="1" applyAlignment="1">
      <alignment horizontal="center" vertical="center"/>
    </xf>
    <xf numFmtId="2" fontId="54" fillId="107" borderId="195" xfId="0" applyNumberFormat="1" applyFont="1" applyFill="1" applyBorder="1" applyAlignment="1">
      <alignment horizontal="center" vertical="center"/>
    </xf>
    <xf numFmtId="165" fontId="22" fillId="0" borderId="194" xfId="1" applyNumberFormat="1" applyFont="1" applyFill="1" applyBorder="1" applyAlignment="1">
      <alignment vertical="center"/>
    </xf>
    <xf numFmtId="0" fontId="3" fillId="23" borderId="195" xfId="0" applyFont="1" applyFill="1" applyBorder="1" applyAlignment="1">
      <alignment horizontal="center" vertical="center" wrapText="1"/>
    </xf>
    <xf numFmtId="0" fontId="3" fillId="23" borderId="197" xfId="0" applyFont="1" applyFill="1" applyBorder="1" applyAlignment="1">
      <alignment horizontal="center" vertical="center" wrapText="1"/>
    </xf>
    <xf numFmtId="0" fontId="3" fillId="23" borderId="194" xfId="0" applyFont="1" applyFill="1" applyBorder="1" applyAlignment="1">
      <alignment horizontal="center" vertical="center"/>
    </xf>
    <xf numFmtId="0" fontId="3" fillId="23" borderId="194" xfId="0" applyFont="1" applyFill="1" applyBorder="1" applyAlignment="1">
      <alignment horizontal="center" vertical="center" wrapText="1"/>
    </xf>
    <xf numFmtId="0" fontId="2" fillId="94" borderId="194" xfId="0" applyFont="1" applyFill="1" applyBorder="1" applyAlignment="1">
      <alignment horizontal="left" vertical="center"/>
    </xf>
    <xf numFmtId="0" fontId="3" fillId="4" borderId="194" xfId="0" applyFont="1" applyFill="1" applyBorder="1" applyAlignment="1">
      <alignment horizontal="center" vertical="center"/>
    </xf>
    <xf numFmtId="0" fontId="3" fillId="4" borderId="194" xfId="0" applyFont="1" applyFill="1" applyBorder="1" applyAlignment="1">
      <alignment horizontal="center" vertical="center" wrapText="1"/>
    </xf>
    <xf numFmtId="0" fontId="2" fillId="21" borderId="194" xfId="0" applyFont="1" applyFill="1" applyBorder="1" applyAlignment="1">
      <alignment vertical="center"/>
    </xf>
    <xf numFmtId="3" fontId="2" fillId="0" borderId="197" xfId="0" applyNumberFormat="1" applyFont="1" applyBorder="1"/>
    <xf numFmtId="0" fontId="4" fillId="0" borderId="194" xfId="0" applyFont="1" applyBorder="1" applyAlignment="1">
      <alignment horizontal="center" wrapText="1"/>
    </xf>
    <xf numFmtId="43" fontId="2" fillId="0" borderId="194" xfId="0" applyNumberFormat="1" applyFont="1" applyBorder="1" applyAlignment="1">
      <alignment horizontal="center" vertical="center"/>
    </xf>
    <xf numFmtId="0" fontId="2" fillId="0" borderId="197" xfId="0" applyFont="1" applyBorder="1" applyAlignment="1">
      <alignment horizontal="center" vertical="center" wrapText="1"/>
    </xf>
    <xf numFmtId="165" fontId="2" fillId="23" borderId="194" xfId="1" applyNumberFormat="1" applyFont="1" applyFill="1" applyBorder="1" applyAlignment="1">
      <alignment vertical="center"/>
    </xf>
    <xf numFmtId="0" fontId="4" fillId="0" borderId="197" xfId="0" applyFont="1" applyBorder="1" applyAlignment="1">
      <alignment horizontal="center" wrapText="1"/>
    </xf>
    <xf numFmtId="165" fontId="2" fillId="0" borderId="194" xfId="1" applyNumberFormat="1" applyFont="1" applyBorder="1" applyAlignment="1">
      <alignment horizontal="center" vertical="center"/>
    </xf>
    <xf numFmtId="165" fontId="2" fillId="0" borderId="194" xfId="0" applyNumberFormat="1" applyFont="1" applyBorder="1" applyAlignment="1">
      <alignment horizontal="center" vertical="center"/>
    </xf>
    <xf numFmtId="165" fontId="2" fillId="0" borderId="194" xfId="2" applyNumberFormat="1" applyFont="1" applyFill="1" applyBorder="1" applyAlignment="1">
      <alignment horizontal="center" vertical="center"/>
    </xf>
    <xf numFmtId="165" fontId="2" fillId="23" borderId="194" xfId="1" applyNumberFormat="1" applyFont="1" applyFill="1" applyBorder="1" applyAlignment="1">
      <alignment horizontal="center" vertical="center"/>
    </xf>
    <xf numFmtId="165" fontId="2" fillId="9" borderId="194" xfId="1" applyNumberFormat="1" applyFont="1" applyFill="1" applyBorder="1" applyAlignment="1">
      <alignment vertical="center"/>
    </xf>
    <xf numFmtId="165" fontId="14" fillId="9" borderId="194" xfId="1" applyNumberFormat="1" applyFont="1" applyFill="1" applyBorder="1" applyAlignment="1">
      <alignment vertical="center"/>
    </xf>
    <xf numFmtId="165" fontId="14" fillId="0" borderId="194" xfId="1" applyNumberFormat="1" applyFont="1" applyFill="1" applyBorder="1" applyAlignment="1">
      <alignment vertical="center"/>
    </xf>
    <xf numFmtId="165" fontId="14" fillId="0" borderId="194" xfId="1" applyNumberFormat="1" applyFont="1" applyBorder="1" applyAlignment="1">
      <alignment vertical="center"/>
    </xf>
    <xf numFmtId="165" fontId="52" fillId="0" borderId="194" xfId="2" applyNumberFormat="1" applyFont="1" applyBorder="1" applyAlignment="1">
      <alignment horizontal="center" vertical="center"/>
    </xf>
    <xf numFmtId="165" fontId="52" fillId="9" borderId="194" xfId="2" applyNumberFormat="1" applyFont="1" applyFill="1" applyBorder="1" applyAlignment="1">
      <alignment vertical="center"/>
    </xf>
    <xf numFmtId="165" fontId="52" fillId="0" borderId="194" xfId="2" applyNumberFormat="1" applyFont="1" applyBorder="1" applyAlignment="1">
      <alignment vertical="center"/>
    </xf>
    <xf numFmtId="165" fontId="52" fillId="0" borderId="194" xfId="1" applyNumberFormat="1" applyFont="1" applyBorder="1" applyAlignment="1">
      <alignment horizontal="center" vertical="center"/>
    </xf>
    <xf numFmtId="165" fontId="2" fillId="25" borderId="194" xfId="0" applyNumberFormat="1" applyFont="1" applyFill="1" applyBorder="1" applyAlignment="1">
      <alignment vertical="center"/>
    </xf>
    <xf numFmtId="168" fontId="2" fillId="0" borderId="194" xfId="2" applyNumberFormat="1" applyFont="1" applyFill="1" applyBorder="1" applyAlignment="1">
      <alignment vertical="center"/>
    </xf>
    <xf numFmtId="165" fontId="2" fillId="25" borderId="194" xfId="1" applyNumberFormat="1" applyFont="1" applyFill="1" applyBorder="1" applyAlignment="1">
      <alignment horizontal="center" vertical="center"/>
    </xf>
    <xf numFmtId="0" fontId="10" fillId="17" borderId="194" xfId="0" applyFont="1" applyFill="1" applyBorder="1" applyAlignment="1">
      <alignment horizontal="center" vertical="center"/>
    </xf>
    <xf numFmtId="0" fontId="3" fillId="17" borderId="194" xfId="0" applyFont="1" applyFill="1" applyBorder="1" applyAlignment="1">
      <alignment horizontal="center" vertical="center"/>
    </xf>
    <xf numFmtId="0" fontId="7" fillId="17" borderId="194" xfId="0" applyFont="1" applyFill="1" applyBorder="1" applyAlignment="1">
      <alignment vertical="center"/>
    </xf>
    <xf numFmtId="43" fontId="7" fillId="17" borderId="194" xfId="1" applyFont="1" applyFill="1" applyBorder="1" applyAlignment="1">
      <alignment horizontal="center" vertical="center"/>
    </xf>
    <xf numFmtId="165" fontId="7" fillId="17" borderId="194" xfId="2" applyNumberFormat="1" applyFont="1" applyFill="1" applyBorder="1" applyAlignment="1">
      <alignment horizontal="center" vertical="center"/>
    </xf>
    <xf numFmtId="165" fontId="7" fillId="16" borderId="194" xfId="2" applyNumberFormat="1" applyFont="1" applyFill="1" applyBorder="1" applyAlignment="1">
      <alignment horizontal="center" vertical="center"/>
    </xf>
    <xf numFmtId="165" fontId="7" fillId="20" borderId="194" xfId="2" applyNumberFormat="1" applyFont="1" applyFill="1" applyBorder="1" applyAlignment="1">
      <alignment horizontal="center" vertical="center"/>
    </xf>
    <xf numFmtId="0" fontId="0" fillId="0" borderId="194" xfId="0" applyBorder="1" applyAlignment="1">
      <alignment horizontal="center" vertical="center"/>
    </xf>
    <xf numFmtId="172" fontId="55" fillId="2" borderId="194" xfId="1" applyNumberFormat="1" applyFont="1" applyFill="1" applyBorder="1"/>
    <xf numFmtId="172" fontId="5" fillId="2" borderId="194" xfId="1" applyNumberFormat="1" applyFont="1" applyFill="1" applyBorder="1"/>
    <xf numFmtId="172" fontId="29" fillId="2" borderId="194" xfId="1" applyNumberFormat="1" applyFont="1" applyFill="1" applyBorder="1"/>
    <xf numFmtId="0" fontId="29" fillId="2" borderId="194" xfId="0" applyFont="1" applyFill="1" applyBorder="1" applyAlignment="1">
      <alignment vertical="center"/>
    </xf>
    <xf numFmtId="165" fontId="29" fillId="2" borderId="194" xfId="1" applyNumberFormat="1" applyFont="1" applyFill="1" applyBorder="1" applyAlignment="1">
      <alignment vertical="center"/>
    </xf>
    <xf numFmtId="0" fontId="28" fillId="2" borderId="194" xfId="0" applyFont="1" applyFill="1" applyBorder="1" applyAlignment="1">
      <alignment vertical="center"/>
    </xf>
    <xf numFmtId="0" fontId="10" fillId="0" borderId="194" xfId="0" applyFont="1" applyBorder="1" applyAlignment="1">
      <alignment horizontal="left" vertical="center"/>
    </xf>
    <xf numFmtId="0" fontId="10" fillId="0" borderId="194" xfId="2" applyNumberFormat="1" applyFont="1" applyFill="1" applyBorder="1" applyAlignment="1">
      <alignment horizontal="center" vertical="center"/>
    </xf>
    <xf numFmtId="0" fontId="7" fillId="0" borderId="194" xfId="0" applyFont="1" applyBorder="1" applyAlignment="1">
      <alignment horizontal="left" vertical="center"/>
    </xf>
    <xf numFmtId="0" fontId="28" fillId="15" borderId="194" xfId="0" applyFont="1" applyFill="1" applyBorder="1"/>
    <xf numFmtId="0" fontId="7" fillId="13" borderId="194" xfId="0" applyFont="1" applyFill="1" applyBorder="1" applyAlignment="1">
      <alignment horizontal="center" vertical="center"/>
    </xf>
    <xf numFmtId="0" fontId="7" fillId="13" borderId="194" xfId="0" applyFont="1" applyFill="1" applyBorder="1" applyAlignment="1">
      <alignment horizontal="center" vertical="center" wrapText="1"/>
    </xf>
    <xf numFmtId="165" fontId="35" fillId="0" borderId="194" xfId="0" applyNumberFormat="1" applyFont="1" applyBorder="1"/>
    <xf numFmtId="165" fontId="22" fillId="0" borderId="194" xfId="1" applyNumberFormat="1" applyFont="1" applyBorder="1"/>
    <xf numFmtId="165" fontId="7" fillId="13" borderId="194" xfId="1" applyNumberFormat="1" applyFont="1" applyFill="1" applyBorder="1" applyAlignment="1">
      <alignment vertical="center"/>
    </xf>
    <xf numFmtId="165" fontId="27" fillId="16" borderId="194" xfId="1" applyNumberFormat="1" applyFont="1" applyFill="1" applyBorder="1" applyAlignment="1">
      <alignment horizontal="center" vertical="center"/>
    </xf>
    <xf numFmtId="165" fontId="27" fillId="13" borderId="194" xfId="1" applyNumberFormat="1" applyFont="1" applyFill="1" applyBorder="1" applyAlignment="1">
      <alignment horizontal="center" vertical="center"/>
    </xf>
    <xf numFmtId="165" fontId="22" fillId="13" borderId="194" xfId="1" applyNumberFormat="1" applyFont="1" applyFill="1" applyBorder="1"/>
    <xf numFmtId="0" fontId="29" fillId="10" borderId="195" xfId="0" applyFont="1" applyFill="1" applyBorder="1"/>
    <xf numFmtId="165" fontId="10" fillId="0" borderId="194" xfId="2" applyNumberFormat="1" applyFont="1" applyBorder="1" applyAlignment="1">
      <alignment horizontal="center"/>
    </xf>
    <xf numFmtId="165" fontId="27" fillId="0" borderId="197" xfId="1" applyNumberFormat="1" applyFont="1" applyFill="1" applyBorder="1" applyAlignment="1">
      <alignment horizontal="center" vertical="center"/>
    </xf>
    <xf numFmtId="165" fontId="27" fillId="20" borderId="194" xfId="1" applyNumberFormat="1" applyFont="1" applyFill="1" applyBorder="1" applyAlignment="1">
      <alignment horizontal="center" vertical="center"/>
    </xf>
    <xf numFmtId="0" fontId="29" fillId="16" borderId="194" xfId="0" applyFont="1" applyFill="1" applyBorder="1"/>
    <xf numFmtId="43" fontId="27" fillId="0" borderId="194" xfId="1" applyFont="1" applyFill="1" applyBorder="1"/>
    <xf numFmtId="165" fontId="2" fillId="0" borderId="194" xfId="1" applyNumberFormat="1" applyFont="1" applyFill="1" applyBorder="1"/>
    <xf numFmtId="165" fontId="26" fillId="0" borderId="194" xfId="1" applyNumberFormat="1" applyFont="1" applyFill="1" applyBorder="1"/>
    <xf numFmtId="0" fontId="27" fillId="12" borderId="194" xfId="0" applyFont="1" applyFill="1" applyBorder="1"/>
    <xf numFmtId="0" fontId="26" fillId="12" borderId="194" xfId="0" applyFont="1" applyFill="1" applyBorder="1" applyAlignment="1">
      <alignment horizontal="center"/>
    </xf>
    <xf numFmtId="0" fontId="26" fillId="12" borderId="194" xfId="0" applyFont="1" applyFill="1" applyBorder="1" applyAlignment="1">
      <alignment horizontal="center" vertical="center"/>
    </xf>
    <xf numFmtId="165" fontId="27" fillId="0" borderId="194" xfId="1" applyNumberFormat="1" applyFont="1" applyFill="1" applyBorder="1" applyAlignment="1"/>
    <xf numFmtId="165" fontId="22" fillId="0" borderId="194" xfId="1" applyNumberFormat="1" applyFont="1" applyFill="1" applyBorder="1" applyAlignment="1"/>
    <xf numFmtId="0" fontId="27" fillId="0" borderId="194" xfId="0" applyFont="1" applyBorder="1"/>
    <xf numFmtId="39" fontId="0" fillId="0" borderId="194" xfId="0" applyNumberFormat="1" applyBorder="1"/>
    <xf numFmtId="39" fontId="0" fillId="0" borderId="194" xfId="0" applyNumberFormat="1" applyBorder="1" applyAlignment="1">
      <alignment vertical="center"/>
    </xf>
    <xf numFmtId="3" fontId="27" fillId="0" borderId="194" xfId="1" applyNumberFormat="1" applyFont="1" applyFill="1" applyBorder="1" applyAlignment="1"/>
    <xf numFmtId="3" fontId="27" fillId="0" borderId="194" xfId="1" applyNumberFormat="1" applyFont="1" applyFill="1" applyBorder="1" applyAlignment="1">
      <alignment vertical="center"/>
    </xf>
    <xf numFmtId="3" fontId="0" fillId="0" borderId="194" xfId="0" applyNumberFormat="1" applyBorder="1" applyAlignment="1">
      <alignment vertical="center"/>
    </xf>
    <xf numFmtId="43" fontId="22" fillId="0" borderId="194" xfId="1" applyFont="1" applyFill="1" applyBorder="1"/>
    <xf numFmtId="43" fontId="22" fillId="0" borderId="194" xfId="1" applyFont="1" applyFill="1" applyBorder="1" applyAlignment="1">
      <alignment vertical="center"/>
    </xf>
    <xf numFmtId="165" fontId="29" fillId="15" borderId="194" xfId="1" applyNumberFormat="1" applyFont="1" applyFill="1" applyBorder="1"/>
    <xf numFmtId="165" fontId="28" fillId="0" borderId="194" xfId="1" applyNumberFormat="1" applyFont="1" applyFill="1" applyBorder="1"/>
    <xf numFmtId="3" fontId="28" fillId="0" borderId="194" xfId="0" applyNumberFormat="1" applyFont="1" applyBorder="1"/>
    <xf numFmtId="0" fontId="2" fillId="9" borderId="194" xfId="0" applyFont="1" applyFill="1" applyBorder="1" applyAlignment="1">
      <alignment horizontal="center" vertical="center" wrapText="1"/>
    </xf>
    <xf numFmtId="165" fontId="2" fillId="0" borderId="194" xfId="1" applyNumberFormat="1" applyFont="1" applyBorder="1" applyAlignment="1">
      <alignment horizontal="center" vertical="center" wrapText="1"/>
    </xf>
    <xf numFmtId="0" fontId="2" fillId="8" borderId="194" xfId="0" applyFont="1" applyFill="1" applyBorder="1" applyAlignment="1">
      <alignment horizontal="center" vertical="center" wrapText="1"/>
    </xf>
    <xf numFmtId="0" fontId="2" fillId="9" borderId="194" xfId="0" applyFont="1" applyFill="1" applyBorder="1" applyAlignment="1">
      <alignment horizontal="center" vertical="center"/>
    </xf>
    <xf numFmtId="43" fontId="2" fillId="8" borderId="194" xfId="1" applyFont="1" applyFill="1" applyBorder="1" applyAlignment="1">
      <alignment vertical="center"/>
    </xf>
    <xf numFmtId="43" fontId="2" fillId="8" borderId="194" xfId="0" applyNumberFormat="1" applyFont="1" applyFill="1" applyBorder="1" applyAlignment="1">
      <alignment vertical="center"/>
    </xf>
    <xf numFmtId="0" fontId="2" fillId="0" borderId="194" xfId="1" applyNumberFormat="1" applyFont="1" applyBorder="1"/>
    <xf numFmtId="165" fontId="2" fillId="0" borderId="194" xfId="0" applyNumberFormat="1" applyFont="1" applyBorder="1"/>
    <xf numFmtId="165" fontId="2" fillId="0" borderId="194" xfId="2" applyNumberFormat="1" applyFont="1" applyBorder="1"/>
    <xf numFmtId="165" fontId="2" fillId="16" borderId="194" xfId="1" applyNumberFormat="1" applyFont="1" applyFill="1" applyBorder="1"/>
    <xf numFmtId="0" fontId="2" fillId="16" borderId="194" xfId="0" applyFont="1" applyFill="1" applyBorder="1"/>
    <xf numFmtId="165" fontId="2" fillId="7" borderId="194" xfId="1" applyNumberFormat="1" applyFont="1" applyFill="1" applyBorder="1"/>
    <xf numFmtId="0" fontId="3" fillId="0" borderId="197" xfId="1" applyNumberFormat="1" applyFont="1" applyFill="1" applyBorder="1" applyAlignment="1">
      <alignment horizontal="center" vertical="center"/>
    </xf>
    <xf numFmtId="0" fontId="54" fillId="107" borderId="197" xfId="1" applyNumberFormat="1" applyFont="1" applyFill="1" applyBorder="1" applyAlignment="1">
      <alignment horizontal="center" vertical="center"/>
    </xf>
    <xf numFmtId="165" fontId="2" fillId="4" borderId="194" xfId="1" applyNumberFormat="1" applyFont="1" applyFill="1" applyBorder="1" applyAlignment="1">
      <alignment vertical="center"/>
    </xf>
    <xf numFmtId="165" fontId="3" fillId="103" borderId="194" xfId="1" applyNumberFormat="1" applyFont="1" applyFill="1" applyBorder="1" applyAlignment="1">
      <alignment horizontal="left" vertical="center"/>
    </xf>
    <xf numFmtId="165" fontId="2" fillId="94" borderId="194" xfId="1" quotePrefix="1" applyNumberFormat="1" applyFont="1" applyFill="1" applyBorder="1" applyAlignment="1">
      <alignment vertical="center"/>
    </xf>
    <xf numFmtId="165" fontId="2" fillId="0" borderId="197" xfId="1" applyNumberFormat="1" applyFont="1" applyFill="1" applyBorder="1" applyAlignment="1">
      <alignment horizontal="center" vertical="center"/>
    </xf>
    <xf numFmtId="165" fontId="2" fillId="94" borderId="197" xfId="1" applyNumberFormat="1" applyFont="1" applyFill="1" applyBorder="1" applyAlignment="1">
      <alignment horizontal="center" vertical="center"/>
    </xf>
    <xf numFmtId="165" fontId="2" fillId="25" borderId="197" xfId="1" applyNumberFormat="1" applyFont="1" applyFill="1" applyBorder="1" applyAlignment="1">
      <alignment horizontal="center" vertical="center"/>
    </xf>
    <xf numFmtId="165" fontId="2" fillId="26" borderId="197" xfId="1" applyNumberFormat="1" applyFont="1" applyFill="1" applyBorder="1" applyAlignment="1">
      <alignment horizontal="center" vertical="center"/>
    </xf>
    <xf numFmtId="43" fontId="2" fillId="26" borderId="194" xfId="0" applyNumberFormat="1" applyFont="1" applyFill="1" applyBorder="1" applyAlignment="1">
      <alignment vertical="center"/>
    </xf>
    <xf numFmtId="165" fontId="2" fillId="0" borderId="194" xfId="1" applyNumberFormat="1" applyFont="1" applyFill="1" applyBorder="1" applyAlignment="1">
      <alignment horizontal="right" vertical="center"/>
    </xf>
    <xf numFmtId="0" fontId="54" fillId="95" borderId="197" xfId="1" applyNumberFormat="1" applyFont="1" applyFill="1" applyBorder="1" applyAlignment="1">
      <alignment horizontal="center" vertical="center"/>
    </xf>
    <xf numFmtId="165" fontId="2" fillId="26" borderId="194" xfId="1" applyNumberFormat="1" applyFont="1" applyFill="1" applyBorder="1" applyAlignment="1">
      <alignment vertical="center"/>
    </xf>
    <xf numFmtId="165" fontId="2" fillId="0" borderId="194" xfId="1" applyNumberFormat="1" applyFont="1" applyBorder="1" applyAlignment="1">
      <alignment horizontal="right" vertical="center"/>
    </xf>
    <xf numFmtId="165" fontId="24" fillId="0" borderId="194" xfId="1" applyNumberFormat="1" applyFont="1" applyFill="1" applyBorder="1"/>
    <xf numFmtId="0" fontId="2" fillId="0" borderId="194" xfId="1" applyNumberFormat="1" applyFont="1" applyFill="1" applyBorder="1" applyAlignment="1">
      <alignment horizontal="center" vertical="center"/>
    </xf>
    <xf numFmtId="165" fontId="3" fillId="0" borderId="194" xfId="1" applyNumberFormat="1" applyFont="1" applyFill="1" applyBorder="1"/>
    <xf numFmtId="0" fontId="28" fillId="0" borderId="194" xfId="0" applyFont="1" applyBorder="1" applyAlignment="1">
      <alignment vertical="center" wrapText="1"/>
    </xf>
    <xf numFmtId="0" fontId="2" fillId="25" borderId="194" xfId="1" applyNumberFormat="1" applyFont="1" applyFill="1" applyBorder="1"/>
    <xf numFmtId="0" fontId="2" fillId="0" borderId="194" xfId="1" applyNumberFormat="1" applyFont="1" applyFill="1" applyBorder="1"/>
    <xf numFmtId="165" fontId="2" fillId="9" borderId="194" xfId="0" applyNumberFormat="1" applyFont="1" applyFill="1" applyBorder="1"/>
    <xf numFmtId="0" fontId="2" fillId="25" borderId="194" xfId="1" applyNumberFormat="1" applyFont="1" applyFill="1" applyBorder="1" applyAlignment="1">
      <alignment horizontal="center" vertical="center"/>
    </xf>
    <xf numFmtId="165" fontId="2" fillId="0" borderId="194" xfId="1" applyNumberFormat="1" applyFont="1" applyFill="1" applyBorder="1" applyAlignment="1"/>
    <xf numFmtId="165" fontId="2" fillId="24" borderId="194" xfId="1" applyNumberFormat="1" applyFont="1" applyFill="1" applyBorder="1"/>
    <xf numFmtId="0" fontId="7" fillId="11" borderId="194" xfId="0" applyFont="1" applyFill="1" applyBorder="1" applyAlignment="1">
      <alignment horizontal="center" vertical="center"/>
    </xf>
    <xf numFmtId="0" fontId="7" fillId="12" borderId="194" xfId="0" applyFont="1" applyFill="1" applyBorder="1" applyAlignment="1">
      <alignment horizontal="center" vertical="center"/>
    </xf>
    <xf numFmtId="165" fontId="7" fillId="11" borderId="194" xfId="1" applyNumberFormat="1" applyFont="1" applyFill="1" applyBorder="1" applyAlignment="1">
      <alignment vertical="center"/>
    </xf>
    <xf numFmtId="165" fontId="22" fillId="12" borderId="194" xfId="1" applyNumberFormat="1" applyFont="1" applyFill="1" applyBorder="1"/>
    <xf numFmtId="165" fontId="7" fillId="0" borderId="194" xfId="1" applyNumberFormat="1" applyFont="1" applyBorder="1" applyAlignment="1">
      <alignment vertical="center"/>
    </xf>
    <xf numFmtId="165" fontId="35" fillId="16" borderId="194" xfId="1" applyNumberFormat="1" applyFont="1" applyFill="1" applyBorder="1"/>
    <xf numFmtId="165" fontId="2" fillId="16" borderId="194" xfId="1" applyNumberFormat="1" applyFont="1" applyFill="1" applyBorder="1" applyAlignment="1">
      <alignment horizontal="center" vertical="center"/>
    </xf>
    <xf numFmtId="165" fontId="7" fillId="16" borderId="194" xfId="1" applyNumberFormat="1" applyFont="1" applyFill="1" applyBorder="1" applyAlignment="1">
      <alignment vertical="center"/>
    </xf>
    <xf numFmtId="165" fontId="22" fillId="16" borderId="194" xfId="1" applyNumberFormat="1" applyFont="1" applyFill="1" applyBorder="1"/>
    <xf numFmtId="165" fontId="25" fillId="16" borderId="194" xfId="1" applyNumberFormat="1" applyFont="1" applyFill="1" applyBorder="1"/>
    <xf numFmtId="165" fontId="31" fillId="0" borderId="194" xfId="1" applyNumberFormat="1" applyFont="1" applyFill="1" applyBorder="1"/>
    <xf numFmtId="0" fontId="27" fillId="0" borderId="194" xfId="1" applyNumberFormat="1" applyFont="1" applyFill="1" applyBorder="1"/>
    <xf numFmtId="165" fontId="22" fillId="0" borderId="194" xfId="1" applyNumberFormat="1" applyFont="1" applyBorder="1" applyAlignment="1">
      <alignment horizontal="center" vertical="center"/>
    </xf>
    <xf numFmtId="165" fontId="22" fillId="0" borderId="194" xfId="1" applyNumberFormat="1" applyFont="1" applyBorder="1" applyAlignment="1">
      <alignment vertical="center"/>
    </xf>
    <xf numFmtId="43" fontId="22" fillId="0" borderId="194" xfId="1" applyFont="1" applyBorder="1" applyAlignment="1">
      <alignment vertical="center"/>
    </xf>
    <xf numFmtId="0" fontId="0" fillId="0" borderId="195" xfId="0" applyBorder="1" applyAlignment="1">
      <alignment horizontal="center" vertical="center"/>
    </xf>
    <xf numFmtId="165" fontId="22" fillId="0" borderId="194" xfId="1" applyNumberFormat="1" applyFont="1" applyBorder="1" applyAlignment="1">
      <alignment horizontal="right" vertical="center"/>
    </xf>
    <xf numFmtId="43" fontId="22" fillId="0" borderId="194" xfId="1" applyFont="1" applyBorder="1" applyAlignment="1">
      <alignment horizontal="right" vertical="center"/>
    </xf>
    <xf numFmtId="165" fontId="26" fillId="0" borderId="194" xfId="1" applyNumberFormat="1" applyFont="1" applyFill="1" applyBorder="1" applyAlignment="1">
      <alignment horizontal="left"/>
    </xf>
    <xf numFmtId="165" fontId="36" fillId="0" borderId="194" xfId="1" applyNumberFormat="1" applyFont="1" applyFill="1" applyBorder="1"/>
    <xf numFmtId="43" fontId="0" fillId="0" borderId="194" xfId="1" applyFont="1" applyFill="1" applyBorder="1"/>
    <xf numFmtId="2" fontId="57" fillId="25" borderId="194" xfId="0" applyNumberFormat="1" applyFont="1" applyFill="1" applyBorder="1" applyAlignment="1">
      <alignment vertical="center"/>
    </xf>
    <xf numFmtId="165" fontId="27" fillId="0" borderId="222" xfId="2" applyNumberFormat="1" applyFont="1" applyFill="1" applyBorder="1" applyAlignment="1">
      <alignment wrapText="1"/>
    </xf>
    <xf numFmtId="37" fontId="57" fillId="25" borderId="194" xfId="0" applyNumberFormat="1" applyFont="1" applyFill="1" applyBorder="1" applyAlignment="1">
      <alignment horizontal="right" vertical="center"/>
    </xf>
    <xf numFmtId="165" fontId="36" fillId="109" borderId="194" xfId="1" applyNumberFormat="1" applyFont="1" applyFill="1" applyBorder="1"/>
    <xf numFmtId="0" fontId="3" fillId="99" borderId="35" xfId="0" applyFont="1" applyFill="1" applyBorder="1" applyAlignment="1">
      <alignment horizontal="center" vertical="center" wrapText="1"/>
    </xf>
    <xf numFmtId="0" fontId="3" fillId="99" borderId="36" xfId="0" applyFont="1" applyFill="1" applyBorder="1" applyAlignment="1">
      <alignment horizontal="center" vertical="center" wrapText="1"/>
    </xf>
    <xf numFmtId="0" fontId="3" fillId="99" borderId="31" xfId="0" applyFont="1" applyFill="1" applyBorder="1" applyAlignment="1">
      <alignment horizontal="center" vertical="center" wrapText="1"/>
    </xf>
    <xf numFmtId="0" fontId="3" fillId="99" borderId="12" xfId="0" applyFont="1" applyFill="1" applyBorder="1" applyAlignment="1">
      <alignment horizontal="center" vertical="center" wrapText="1"/>
    </xf>
    <xf numFmtId="0" fontId="3" fillId="99" borderId="53" xfId="0" applyFont="1" applyFill="1" applyBorder="1" applyAlignment="1">
      <alignment horizontal="center" vertical="center" wrapText="1"/>
    </xf>
    <xf numFmtId="0" fontId="3" fillId="99" borderId="47" xfId="0" applyFont="1" applyFill="1" applyBorder="1" applyAlignment="1">
      <alignment horizontal="center" vertical="center" wrapText="1"/>
    </xf>
    <xf numFmtId="0" fontId="3" fillId="99" borderId="51" xfId="0" applyFont="1" applyFill="1" applyBorder="1" applyAlignment="1">
      <alignment horizontal="center" vertical="center" wrapText="1"/>
    </xf>
    <xf numFmtId="0" fontId="3" fillId="99" borderId="14" xfId="0" applyFont="1" applyFill="1" applyBorder="1" applyAlignment="1">
      <alignment horizontal="center" vertical="center" wrapText="1"/>
    </xf>
    <xf numFmtId="0" fontId="26" fillId="99" borderId="12" xfId="0" applyFont="1" applyFill="1" applyBorder="1" applyAlignment="1">
      <alignment horizontal="center" wrapText="1"/>
    </xf>
    <xf numFmtId="0" fontId="3" fillId="99" borderId="13" xfId="0" applyFont="1" applyFill="1" applyBorder="1" applyAlignment="1">
      <alignment horizontal="center" vertical="center" wrapText="1"/>
    </xf>
    <xf numFmtId="0" fontId="3" fillId="99" borderId="19" xfId="0" applyFont="1" applyFill="1" applyBorder="1" applyAlignment="1">
      <alignment horizontal="center" vertical="center" wrapText="1"/>
    </xf>
    <xf numFmtId="0" fontId="3" fillId="99" borderId="12" xfId="0" applyFont="1" applyFill="1" applyBorder="1" applyAlignment="1">
      <alignment horizontal="center" wrapText="1"/>
    </xf>
    <xf numFmtId="0" fontId="157" fillId="0" borderId="0" xfId="25" applyFont="1"/>
    <xf numFmtId="0" fontId="158" fillId="0" borderId="0" xfId="25" applyFont="1"/>
    <xf numFmtId="165" fontId="157" fillId="0" borderId="0" xfId="25" applyNumberFormat="1" applyFont="1"/>
    <xf numFmtId="165" fontId="158" fillId="0" borderId="0" xfId="25" applyNumberFormat="1" applyFont="1"/>
    <xf numFmtId="0" fontId="26" fillId="7" borderId="0" xfId="25" applyFont="1" applyFill="1"/>
    <xf numFmtId="0" fontId="27" fillId="7" borderId="0" xfId="25" applyFont="1" applyFill="1"/>
    <xf numFmtId="0" fontId="27" fillId="0" borderId="0" xfId="25" applyFont="1"/>
    <xf numFmtId="0" fontId="159" fillId="0" borderId="0" xfId="25" applyFont="1"/>
    <xf numFmtId="165" fontId="159" fillId="0" borderId="0" xfId="25" applyNumberFormat="1" applyFont="1"/>
    <xf numFmtId="0" fontId="3" fillId="7" borderId="0" xfId="25" applyFont="1" applyFill="1" applyAlignment="1">
      <alignment horizontal="left"/>
    </xf>
    <xf numFmtId="0" fontId="3" fillId="7" borderId="0" xfId="25" applyFont="1" applyFill="1" applyAlignment="1">
      <alignment horizontal="center"/>
    </xf>
    <xf numFmtId="0" fontId="3" fillId="7" borderId="0" xfId="25" applyFont="1" applyFill="1" applyAlignment="1">
      <alignment horizontal="right"/>
    </xf>
    <xf numFmtId="0" fontId="67" fillId="0" borderId="0" xfId="25" applyFont="1"/>
    <xf numFmtId="0" fontId="120" fillId="0" borderId="0" xfId="25" applyFont="1"/>
    <xf numFmtId="0" fontId="157" fillId="15" borderId="0" xfId="25" applyFont="1" applyFill="1"/>
    <xf numFmtId="165" fontId="157" fillId="15" borderId="0" xfId="25" applyNumberFormat="1" applyFont="1" applyFill="1"/>
    <xf numFmtId="0" fontId="2" fillId="15" borderId="0" xfId="25" applyFont="1" applyFill="1"/>
    <xf numFmtId="43" fontId="2" fillId="0" borderId="0" xfId="25" applyNumberFormat="1" applyFont="1"/>
    <xf numFmtId="0" fontId="26" fillId="4" borderId="200" xfId="25" applyFont="1" applyFill="1" applyBorder="1" applyAlignment="1">
      <alignment horizontal="left" vertical="center"/>
    </xf>
    <xf numFmtId="0" fontId="2" fillId="0" borderId="0" xfId="25" applyFont="1" applyAlignment="1">
      <alignment vertical="top"/>
    </xf>
    <xf numFmtId="3" fontId="57" fillId="91" borderId="207" xfId="0" applyNumberFormat="1" applyFont="1" applyFill="1" applyBorder="1" applyAlignment="1">
      <alignment wrapText="1"/>
    </xf>
    <xf numFmtId="165" fontId="0" fillId="0" borderId="200" xfId="1" applyNumberFormat="1" applyFont="1" applyFill="1" applyBorder="1"/>
    <xf numFmtId="165" fontId="27" fillId="0" borderId="200" xfId="2" applyNumberFormat="1" applyFont="1" applyFill="1" applyBorder="1" applyAlignment="1">
      <alignment wrapText="1"/>
    </xf>
    <xf numFmtId="165" fontId="0" fillId="0" borderId="200" xfId="0" applyNumberFormat="1" applyBorder="1"/>
    <xf numFmtId="165" fontId="0" fillId="21" borderId="200" xfId="1" applyNumberFormat="1" applyFont="1" applyFill="1" applyBorder="1"/>
    <xf numFmtId="165" fontId="0" fillId="21" borderId="200" xfId="0" applyNumberFormat="1" applyFill="1" applyBorder="1"/>
    <xf numFmtId="165" fontId="22" fillId="0" borderId="200" xfId="1" applyNumberFormat="1" applyFont="1" applyFill="1" applyBorder="1"/>
    <xf numFmtId="165" fontId="0" fillId="0" borderId="45" xfId="1" applyNumberFormat="1" applyFont="1" applyFill="1" applyBorder="1"/>
    <xf numFmtId="165" fontId="27" fillId="7" borderId="200" xfId="2" applyNumberFormat="1" applyFont="1" applyFill="1" applyBorder="1" applyAlignment="1">
      <alignment wrapText="1"/>
    </xf>
    <xf numFmtId="165" fontId="30" fillId="0" borderId="200" xfId="1" applyNumberFormat="1" applyFont="1" applyFill="1" applyBorder="1"/>
    <xf numFmtId="3" fontId="57" fillId="0" borderId="200" xfId="0" applyNumberFormat="1" applyFont="1" applyBorder="1" applyAlignment="1">
      <alignment wrapText="1"/>
    </xf>
    <xf numFmtId="165" fontId="27" fillId="0" borderId="200" xfId="2" applyNumberFormat="1" applyFont="1" applyFill="1" applyBorder="1" applyAlignment="1">
      <alignment horizontal="right" wrapText="1"/>
    </xf>
    <xf numFmtId="165" fontId="27" fillId="7" borderId="200" xfId="2" applyNumberFormat="1" applyFont="1" applyFill="1" applyBorder="1" applyAlignment="1">
      <alignment horizontal="right" wrapText="1"/>
    </xf>
    <xf numFmtId="3" fontId="57" fillId="0" borderId="200" xfId="0" applyNumberFormat="1" applyFont="1" applyBorder="1" applyAlignment="1">
      <alignment horizontal="right" wrapText="1"/>
    </xf>
    <xf numFmtId="165" fontId="2" fillId="0" borderId="200" xfId="2" applyNumberFormat="1" applyFont="1" applyFill="1" applyBorder="1" applyAlignment="1">
      <alignment horizontal="right" wrapText="1"/>
    </xf>
    <xf numFmtId="3" fontId="57" fillId="0" borderId="203" xfId="0" applyNumberFormat="1" applyFont="1" applyBorder="1" applyAlignment="1">
      <alignment horizontal="right" wrapText="1"/>
    </xf>
    <xf numFmtId="165" fontId="26" fillId="7" borderId="223" xfId="2" applyNumberFormat="1" applyFont="1" applyFill="1" applyBorder="1" applyAlignment="1">
      <alignment horizontal="right" wrapText="1"/>
    </xf>
    <xf numFmtId="165" fontId="30" fillId="0" borderId="45" xfId="1" applyNumberFormat="1" applyFont="1" applyFill="1" applyBorder="1"/>
    <xf numFmtId="3" fontId="57" fillId="0" borderId="203" xfId="0" applyNumberFormat="1" applyFont="1" applyBorder="1" applyAlignment="1">
      <alignment wrapText="1"/>
    </xf>
    <xf numFmtId="165" fontId="27" fillId="0" borderId="223" xfId="2" applyNumberFormat="1" applyFont="1" applyFill="1" applyBorder="1" applyAlignment="1">
      <alignment wrapText="1"/>
    </xf>
    <xf numFmtId="165" fontId="27" fillId="0" borderId="45" xfId="2" applyNumberFormat="1" applyFont="1" applyFill="1" applyBorder="1" applyAlignment="1">
      <alignment wrapText="1"/>
    </xf>
    <xf numFmtId="165" fontId="27" fillId="0" borderId="203" xfId="2" applyNumberFormat="1" applyFont="1" applyFill="1" applyBorder="1" applyAlignment="1">
      <alignment horizontal="right" wrapText="1"/>
    </xf>
    <xf numFmtId="165" fontId="26" fillId="0" borderId="223" xfId="2" applyNumberFormat="1" applyFont="1" applyFill="1" applyBorder="1" applyAlignment="1">
      <alignment horizontal="right" wrapText="1"/>
    </xf>
    <xf numFmtId="165" fontId="7" fillId="0" borderId="194" xfId="1" applyNumberFormat="1" applyFont="1" applyBorder="1" applyAlignment="1">
      <alignment horizontal="center" vertical="center"/>
    </xf>
    <xf numFmtId="0" fontId="2" fillId="103" borderId="45" xfId="0" applyFont="1" applyFill="1" applyBorder="1" applyAlignment="1">
      <alignment vertical="center"/>
    </xf>
    <xf numFmtId="165" fontId="30" fillId="0" borderId="194" xfId="1" applyNumberFormat="1" applyFont="1" applyBorder="1"/>
    <xf numFmtId="165" fontId="30" fillId="0" borderId="194" xfId="2" applyNumberFormat="1" applyFont="1" applyBorder="1"/>
    <xf numFmtId="165" fontId="27" fillId="0" borderId="194" xfId="2" applyNumberFormat="1" applyFont="1" applyBorder="1"/>
    <xf numFmtId="165" fontId="3" fillId="0" borderId="194" xfId="1" applyNumberFormat="1" applyFont="1" applyFill="1" applyBorder="1" applyAlignment="1">
      <alignment horizontal="right" vertical="center"/>
    </xf>
    <xf numFmtId="165" fontId="3" fillId="4" borderId="0" xfId="8" applyNumberFormat="1" applyFont="1" applyFill="1" applyBorder="1" applyAlignment="1">
      <alignment vertical="center" wrapText="1"/>
    </xf>
    <xf numFmtId="165" fontId="3" fillId="21" borderId="0" xfId="1" applyNumberFormat="1" applyFont="1" applyFill="1" applyBorder="1" applyAlignment="1">
      <alignment horizontal="center" vertical="center"/>
    </xf>
    <xf numFmtId="165" fontId="3" fillId="103" borderId="0" xfId="1" applyNumberFormat="1" applyFont="1" applyFill="1" applyBorder="1" applyAlignment="1">
      <alignment horizontal="center" vertical="center"/>
    </xf>
    <xf numFmtId="0" fontId="30" fillId="0" borderId="194" xfId="0" applyFont="1" applyBorder="1"/>
    <xf numFmtId="165" fontId="30" fillId="0" borderId="194" xfId="2" applyNumberFormat="1" applyFont="1" applyFill="1" applyBorder="1"/>
    <xf numFmtId="165" fontId="30" fillId="0" borderId="194" xfId="0" applyNumberFormat="1" applyFont="1" applyBorder="1"/>
    <xf numFmtId="165" fontId="7" fillId="0" borderId="194" xfId="2" applyNumberFormat="1" applyFont="1" applyBorder="1" applyAlignment="1">
      <alignment horizontal="center" vertical="center"/>
    </xf>
    <xf numFmtId="165" fontId="7" fillId="0" borderId="194" xfId="2" applyNumberFormat="1" applyFont="1" applyBorder="1" applyAlignment="1">
      <alignment horizontal="right" vertical="center"/>
    </xf>
    <xf numFmtId="165" fontId="2" fillId="21" borderId="198" xfId="1" applyNumberFormat="1" applyFont="1" applyFill="1" applyBorder="1" applyAlignment="1">
      <alignment horizontal="center" vertical="center"/>
    </xf>
    <xf numFmtId="165" fontId="2" fillId="21" borderId="21" xfId="1" applyNumberFormat="1" applyFont="1" applyFill="1" applyBorder="1" applyAlignment="1">
      <alignment horizontal="center" vertical="center"/>
    </xf>
    <xf numFmtId="165" fontId="2" fillId="21" borderId="139" xfId="1" applyNumberFormat="1" applyFont="1" applyFill="1" applyBorder="1" applyAlignment="1">
      <alignment horizontal="center" vertical="center"/>
    </xf>
    <xf numFmtId="165" fontId="37" fillId="110" borderId="0" xfId="1" applyNumberFormat="1" applyFont="1" applyFill="1" applyBorder="1" applyAlignment="1">
      <alignment vertical="center"/>
    </xf>
    <xf numFmtId="165" fontId="2" fillId="0" borderId="198" xfId="1" applyNumberFormat="1" applyFont="1" applyFill="1" applyBorder="1" applyAlignment="1">
      <alignment horizontal="center" vertical="center"/>
    </xf>
    <xf numFmtId="165" fontId="3" fillId="0" borderId="200" xfId="1" applyNumberFormat="1" applyFont="1" applyFill="1" applyBorder="1" applyAlignment="1">
      <alignment horizontal="center" vertical="center"/>
    </xf>
    <xf numFmtId="165" fontId="3" fillId="0" borderId="198" xfId="1" applyNumberFormat="1" applyFont="1" applyFill="1" applyBorder="1" applyAlignment="1">
      <alignment horizontal="center" vertical="center"/>
    </xf>
    <xf numFmtId="165" fontId="3" fillId="0" borderId="21" xfId="1" applyNumberFormat="1" applyFont="1" applyFill="1" applyBorder="1" applyAlignment="1">
      <alignment horizontal="center" vertical="center"/>
    </xf>
    <xf numFmtId="165" fontId="3" fillId="0" borderId="139" xfId="1" applyNumberFormat="1" applyFont="1" applyFill="1" applyBorder="1" applyAlignment="1">
      <alignment horizontal="center" vertical="center"/>
    </xf>
    <xf numFmtId="4" fontId="57" fillId="94" borderId="194" xfId="0" applyNumberFormat="1" applyFont="1" applyFill="1" applyBorder="1" applyAlignment="1">
      <alignment vertical="center"/>
    </xf>
    <xf numFmtId="4" fontId="57" fillId="25" borderId="156" xfId="0" applyNumberFormat="1" applyFont="1" applyFill="1" applyBorder="1" applyAlignment="1">
      <alignment vertical="center"/>
    </xf>
    <xf numFmtId="4" fontId="57" fillId="94" borderId="4" xfId="0" applyNumberFormat="1" applyFont="1" applyFill="1" applyBorder="1" applyAlignment="1">
      <alignment vertical="center"/>
    </xf>
    <xf numFmtId="4" fontId="57" fillId="25" borderId="28" xfId="0" applyNumberFormat="1" applyFont="1" applyFill="1" applyBorder="1" applyAlignment="1">
      <alignment vertical="center"/>
    </xf>
    <xf numFmtId="2" fontId="57" fillId="25" borderId="197" xfId="0" applyNumberFormat="1" applyFont="1" applyFill="1" applyBorder="1" applyAlignment="1">
      <alignment horizontal="right" vertical="center"/>
    </xf>
    <xf numFmtId="2" fontId="57" fillId="25" borderId="28" xfId="0" applyNumberFormat="1" applyFont="1" applyFill="1" applyBorder="1" applyAlignment="1">
      <alignment vertical="center"/>
    </xf>
    <xf numFmtId="2" fontId="57" fillId="25" borderId="156" xfId="0" applyNumberFormat="1" applyFont="1" applyFill="1" applyBorder="1" applyAlignment="1">
      <alignment vertical="center"/>
    </xf>
    <xf numFmtId="43" fontId="57" fillId="25" borderId="28" xfId="1" applyFont="1" applyFill="1" applyBorder="1" applyAlignment="1">
      <alignment vertical="center"/>
    </xf>
    <xf numFmtId="43" fontId="27" fillId="0" borderId="4" xfId="1" applyFont="1" applyFill="1" applyBorder="1" applyAlignment="1">
      <alignment vertical="center"/>
    </xf>
    <xf numFmtId="43" fontId="26" fillId="0" borderId="194" xfId="1" applyFont="1" applyFill="1" applyBorder="1" applyAlignment="1">
      <alignment horizontal="center" vertical="center"/>
    </xf>
    <xf numFmtId="43" fontId="26" fillId="94" borderId="195" xfId="1" applyFont="1" applyFill="1" applyBorder="1" applyAlignment="1">
      <alignment horizontal="center" vertical="center"/>
    </xf>
    <xf numFmtId="43" fontId="26" fillId="25" borderId="194" xfId="0" applyNumberFormat="1" applyFont="1" applyFill="1" applyBorder="1" applyAlignment="1">
      <alignment vertical="center"/>
    </xf>
    <xf numFmtId="43" fontId="57" fillId="94" borderId="194" xfId="0" applyNumberFormat="1" applyFont="1" applyFill="1" applyBorder="1" applyAlignment="1">
      <alignment vertical="center"/>
    </xf>
    <xf numFmtId="43" fontId="57" fillId="25" borderId="197" xfId="0" applyNumberFormat="1" applyFont="1" applyFill="1" applyBorder="1" applyAlignment="1">
      <alignment vertical="center"/>
    </xf>
    <xf numFmtId="0" fontId="2" fillId="0" borderId="194" xfId="0" applyFont="1" applyBorder="1" applyAlignment="1">
      <alignment horizontal="right" vertical="center" wrapText="1"/>
    </xf>
    <xf numFmtId="0" fontId="2" fillId="21" borderId="194" xfId="25" applyFont="1" applyFill="1" applyBorder="1" applyAlignment="1">
      <alignment horizontal="right" vertical="center"/>
    </xf>
    <xf numFmtId="165" fontId="2" fillId="104" borderId="194" xfId="12495" applyNumberFormat="1" applyFont="1" applyFill="1" applyBorder="1" applyAlignment="1" applyProtection="1">
      <alignment horizontal="right" vertical="center"/>
    </xf>
    <xf numFmtId="0" fontId="7" fillId="0" borderId="194" xfId="0" applyFont="1" applyBorder="1" applyAlignment="1">
      <alignment horizontal="right" vertical="center" wrapText="1"/>
    </xf>
    <xf numFmtId="165" fontId="2" fillId="21" borderId="194" xfId="12495" applyNumberFormat="1" applyFont="1" applyFill="1" applyBorder="1" applyAlignment="1">
      <alignment horizontal="right" vertical="center"/>
    </xf>
    <xf numFmtId="0" fontId="7" fillId="0" borderId="4" xfId="0" applyFont="1" applyBorder="1" applyAlignment="1">
      <alignment horizontal="right" vertical="center" wrapText="1"/>
    </xf>
    <xf numFmtId="165" fontId="2" fillId="21" borderId="194" xfId="12495" applyNumberFormat="1" applyFont="1" applyFill="1" applyBorder="1" applyAlignment="1" applyProtection="1">
      <alignment horizontal="right" vertical="center"/>
    </xf>
    <xf numFmtId="0" fontId="2" fillId="0" borderId="194" xfId="0" applyFont="1" applyBorder="1" applyAlignment="1">
      <alignment horizontal="right" vertical="center"/>
    </xf>
    <xf numFmtId="165" fontId="2" fillId="7" borderId="195" xfId="2" applyNumberFormat="1" applyFont="1" applyFill="1" applyBorder="1" applyAlignment="1">
      <alignment horizontal="center" vertical="center"/>
    </xf>
    <xf numFmtId="165" fontId="2" fillId="7" borderId="194" xfId="2" applyNumberFormat="1" applyFont="1" applyFill="1" applyBorder="1" applyAlignment="1">
      <alignment vertical="center"/>
    </xf>
    <xf numFmtId="165" fontId="2" fillId="7" borderId="195" xfId="2" applyNumberFormat="1" applyFont="1" applyFill="1" applyBorder="1" applyAlignment="1">
      <alignment vertical="center"/>
    </xf>
    <xf numFmtId="165" fontId="2" fillId="0" borderId="4" xfId="1" applyNumberFormat="1" applyFont="1" applyFill="1" applyBorder="1" applyAlignment="1">
      <alignment horizontal="left" vertical="top"/>
    </xf>
    <xf numFmtId="165" fontId="2" fillId="0" borderId="194" xfId="1" applyNumberFormat="1" applyFont="1" applyFill="1" applyBorder="1" applyAlignment="1">
      <alignment vertical="top"/>
    </xf>
    <xf numFmtId="43" fontId="2" fillId="26" borderId="28" xfId="1" applyFont="1" applyFill="1" applyBorder="1" applyAlignment="1">
      <alignment horizontal="center" vertical="center"/>
    </xf>
    <xf numFmtId="0" fontId="3" fillId="96" borderId="220" xfId="25" applyFont="1" applyFill="1" applyBorder="1" applyAlignment="1">
      <alignment vertical="center"/>
    </xf>
    <xf numFmtId="2" fontId="57" fillId="94" borderId="4" xfId="0" applyNumberFormat="1" applyFont="1" applyFill="1" applyBorder="1" applyAlignment="1">
      <alignment vertical="center"/>
    </xf>
    <xf numFmtId="2" fontId="57" fillId="94" borderId="156" xfId="0" applyNumberFormat="1" applyFont="1" applyFill="1" applyBorder="1" applyAlignment="1">
      <alignment vertical="center"/>
    </xf>
    <xf numFmtId="3" fontId="2" fillId="94" borderId="194" xfId="0" applyNumberFormat="1" applyFont="1" applyFill="1" applyBorder="1" applyAlignment="1">
      <alignment horizontal="right" vertical="center"/>
    </xf>
    <xf numFmtId="165" fontId="27" fillId="7" borderId="0" xfId="0" applyNumberFormat="1" applyFont="1" applyFill="1" applyAlignment="1">
      <alignment wrapText="1"/>
    </xf>
    <xf numFmtId="3" fontId="2" fillId="101" borderId="4" xfId="0" applyNumberFormat="1" applyFont="1" applyFill="1" applyBorder="1" applyAlignment="1">
      <alignment vertical="center"/>
    </xf>
    <xf numFmtId="165" fontId="3" fillId="0" borderId="18" xfId="1" applyNumberFormat="1" applyFont="1" applyFill="1" applyBorder="1" applyAlignment="1">
      <alignment vertical="center"/>
    </xf>
    <xf numFmtId="165" fontId="3" fillId="0" borderId="32" xfId="1" applyNumberFormat="1" applyFont="1" applyFill="1" applyBorder="1" applyAlignment="1">
      <alignment vertical="center"/>
    </xf>
    <xf numFmtId="165" fontId="3" fillId="103" borderId="32" xfId="1" applyNumberFormat="1" applyFont="1" applyFill="1" applyBorder="1" applyAlignment="1">
      <alignment vertical="center"/>
    </xf>
    <xf numFmtId="165" fontId="3" fillId="0" borderId="82" xfId="1" applyNumberFormat="1" applyFont="1" applyFill="1" applyBorder="1" applyAlignment="1">
      <alignment vertical="center"/>
    </xf>
    <xf numFmtId="165" fontId="3" fillId="0" borderId="33" xfId="1" applyNumberFormat="1" applyFont="1" applyFill="1" applyBorder="1" applyAlignment="1">
      <alignment vertical="center"/>
    </xf>
    <xf numFmtId="165" fontId="3" fillId="0" borderId="34" xfId="1" applyNumberFormat="1" applyFont="1" applyFill="1" applyBorder="1" applyAlignment="1">
      <alignment vertical="center"/>
    </xf>
    <xf numFmtId="165" fontId="3" fillId="103" borderId="18" xfId="1" applyNumberFormat="1" applyFont="1" applyFill="1" applyBorder="1" applyAlignment="1">
      <alignment vertical="center"/>
    </xf>
    <xf numFmtId="165" fontId="3" fillId="0" borderId="83" xfId="1" applyNumberFormat="1" applyFont="1" applyFill="1" applyBorder="1" applyAlignment="1">
      <alignment vertical="center"/>
    </xf>
    <xf numFmtId="165" fontId="3" fillId="0" borderId="202" xfId="1" applyNumberFormat="1" applyFont="1" applyFill="1" applyBorder="1" applyAlignment="1">
      <alignment vertical="center"/>
    </xf>
    <xf numFmtId="165" fontId="3" fillId="0" borderId="201" xfId="1" applyNumberFormat="1" applyFont="1" applyFill="1" applyBorder="1" applyAlignment="1">
      <alignment vertical="center"/>
    </xf>
    <xf numFmtId="165" fontId="3" fillId="0" borderId="44" xfId="1" applyNumberFormat="1" applyFont="1" applyFill="1" applyBorder="1" applyAlignment="1">
      <alignment vertical="center"/>
    </xf>
    <xf numFmtId="0" fontId="160" fillId="0" borderId="0" xfId="0" applyFont="1" applyAlignment="1">
      <alignment vertical="center"/>
    </xf>
    <xf numFmtId="43" fontId="26" fillId="7" borderId="194" xfId="1" applyFont="1" applyFill="1" applyBorder="1" applyAlignment="1">
      <alignment horizontal="right" vertical="center"/>
    </xf>
    <xf numFmtId="4" fontId="60" fillId="94" borderId="194" xfId="0" applyNumberFormat="1" applyFont="1" applyFill="1" applyBorder="1" applyAlignment="1">
      <alignment vertical="center"/>
    </xf>
    <xf numFmtId="3" fontId="37" fillId="92" borderId="194" xfId="0" applyNumberFormat="1" applyFont="1" applyFill="1" applyBorder="1" applyAlignment="1">
      <alignment vertical="center"/>
    </xf>
    <xf numFmtId="0" fontId="161" fillId="0" borderId="0" xfId="0" applyFont="1"/>
    <xf numFmtId="0" fontId="28" fillId="0" borderId="196" xfId="0" applyFont="1" applyBorder="1" applyAlignment="1">
      <alignment horizontal="center" vertical="center"/>
    </xf>
    <xf numFmtId="0" fontId="28" fillId="4" borderId="225" xfId="0" applyFont="1" applyFill="1" applyBorder="1"/>
    <xf numFmtId="0" fontId="28" fillId="0" borderId="225" xfId="0" applyFont="1" applyBorder="1"/>
    <xf numFmtId="165" fontId="39" fillId="4" borderId="225" xfId="1" applyNumberFormat="1" applyFont="1" applyFill="1" applyBorder="1" applyAlignment="1"/>
    <xf numFmtId="43" fontId="28" fillId="4" borderId="225" xfId="1" applyFont="1" applyFill="1" applyBorder="1" applyAlignment="1">
      <alignment vertical="center"/>
    </xf>
    <xf numFmtId="4" fontId="28" fillId="4" borderId="225" xfId="0" applyNumberFormat="1" applyFont="1" applyFill="1" applyBorder="1" applyAlignment="1">
      <alignment horizontal="center" vertical="center"/>
    </xf>
    <xf numFmtId="0" fontId="28" fillId="0" borderId="225" xfId="0" applyFont="1" applyBorder="1" applyAlignment="1">
      <alignment horizontal="center"/>
    </xf>
    <xf numFmtId="0" fontId="28" fillId="2" borderId="225" xfId="0" applyFont="1" applyFill="1" applyBorder="1" applyAlignment="1">
      <alignment horizontal="center"/>
    </xf>
    <xf numFmtId="0" fontId="28" fillId="2" borderId="225" xfId="0" applyFont="1" applyFill="1" applyBorder="1" applyAlignment="1">
      <alignment horizontal="center" vertical="center" wrapText="1"/>
    </xf>
    <xf numFmtId="2" fontId="28" fillId="2" borderId="225" xfId="0" applyNumberFormat="1" applyFont="1" applyFill="1" applyBorder="1" applyAlignment="1">
      <alignment vertical="center"/>
    </xf>
    <xf numFmtId="4" fontId="28" fillId="2" borderId="225" xfId="0" applyNumberFormat="1" applyFont="1" applyFill="1" applyBorder="1" applyAlignment="1">
      <alignment vertical="center"/>
    </xf>
    <xf numFmtId="43" fontId="28" fillId="2" borderId="225" xfId="1" applyFont="1" applyFill="1" applyBorder="1" applyAlignment="1">
      <alignment vertical="center"/>
    </xf>
    <xf numFmtId="165" fontId="2" fillId="0" borderId="226" xfId="1" applyNumberFormat="1" applyFont="1" applyFill="1" applyBorder="1" applyAlignment="1">
      <alignment horizontal="center" vertical="center"/>
    </xf>
    <xf numFmtId="0" fontId="0" fillId="0" borderId="225" xfId="0" applyBorder="1"/>
    <xf numFmtId="0" fontId="130" fillId="0" borderId="225" xfId="0" applyFont="1" applyBorder="1"/>
    <xf numFmtId="0" fontId="130" fillId="0" borderId="226" xfId="0" applyFont="1" applyBorder="1"/>
    <xf numFmtId="165" fontId="3" fillId="103" borderId="225" xfId="1" applyNumberFormat="1" applyFont="1" applyFill="1" applyBorder="1" applyAlignment="1">
      <alignment vertical="center"/>
    </xf>
    <xf numFmtId="165" fontId="3" fillId="103" borderId="225" xfId="38" applyNumberFormat="1" applyFont="1" applyFill="1" applyBorder="1" applyAlignment="1">
      <alignment vertical="center"/>
    </xf>
    <xf numFmtId="3" fontId="60" fillId="103" borderId="225" xfId="0" applyNumberFormat="1" applyFont="1" applyFill="1" applyBorder="1" applyAlignment="1">
      <alignment vertical="center"/>
    </xf>
    <xf numFmtId="165" fontId="3" fillId="108" borderId="225" xfId="1" applyNumberFormat="1" applyFont="1" applyFill="1" applyBorder="1" applyAlignment="1">
      <alignment vertical="center"/>
    </xf>
    <xf numFmtId="165" fontId="2" fillId="0" borderId="228" xfId="2" applyNumberFormat="1" applyFont="1" applyFill="1" applyBorder="1" applyAlignment="1">
      <alignment vertical="center" wrapText="1"/>
    </xf>
    <xf numFmtId="165" fontId="2" fillId="104" borderId="228" xfId="2" applyNumberFormat="1" applyFont="1" applyFill="1" applyBorder="1" applyAlignment="1">
      <alignment vertical="center" wrapText="1"/>
    </xf>
    <xf numFmtId="165" fontId="2" fillId="103" borderId="228" xfId="2" applyNumberFormat="1" applyFont="1" applyFill="1" applyBorder="1" applyAlignment="1">
      <alignment vertical="center" wrapText="1"/>
    </xf>
    <xf numFmtId="165" fontId="2" fillId="0" borderId="228" xfId="1" applyNumberFormat="1" applyFont="1" applyFill="1" applyBorder="1" applyAlignment="1">
      <alignment vertical="center" wrapText="1"/>
    </xf>
    <xf numFmtId="165" fontId="2" fillId="104" borderId="229" xfId="1" applyNumberFormat="1" applyFont="1" applyFill="1" applyBorder="1" applyAlignment="1">
      <alignment vertical="center" wrapText="1"/>
    </xf>
    <xf numFmtId="165" fontId="2" fillId="0" borderId="228" xfId="1" applyNumberFormat="1" applyFont="1" applyFill="1" applyBorder="1" applyAlignment="1">
      <alignment vertical="center"/>
    </xf>
    <xf numFmtId="165" fontId="2" fillId="103" borderId="228" xfId="1" applyNumberFormat="1" applyFont="1" applyFill="1" applyBorder="1" applyAlignment="1">
      <alignment vertical="center" wrapText="1"/>
    </xf>
    <xf numFmtId="165" fontId="2" fillId="104" borderId="228" xfId="1" applyNumberFormat="1" applyFont="1" applyFill="1" applyBorder="1" applyAlignment="1">
      <alignment vertical="center" wrapText="1"/>
    </xf>
    <xf numFmtId="165" fontId="148" fillId="0" borderId="228" xfId="1" applyNumberFormat="1" applyFont="1" applyFill="1" applyBorder="1" applyAlignment="1">
      <alignment vertical="center"/>
    </xf>
    <xf numFmtId="165" fontId="27" fillId="103" borderId="228" xfId="2" applyNumberFormat="1" applyFont="1" applyFill="1" applyBorder="1" applyAlignment="1">
      <alignment vertical="center" wrapText="1"/>
    </xf>
    <xf numFmtId="165" fontId="27" fillId="0" borderId="228" xfId="2" applyNumberFormat="1" applyFont="1" applyFill="1" applyBorder="1" applyAlignment="1">
      <alignment vertical="center" wrapText="1"/>
    </xf>
    <xf numFmtId="165" fontId="27" fillId="104" borderId="228" xfId="2" applyNumberFormat="1" applyFont="1" applyFill="1" applyBorder="1" applyAlignment="1">
      <alignment vertical="center" wrapText="1"/>
    </xf>
    <xf numFmtId="3" fontId="57" fillId="91" borderId="228" xfId="0" applyNumberFormat="1" applyFont="1" applyFill="1" applyBorder="1" applyAlignment="1">
      <alignment vertical="center" wrapText="1"/>
    </xf>
    <xf numFmtId="165" fontId="27" fillId="7" borderId="228" xfId="2" applyNumberFormat="1" applyFont="1" applyFill="1" applyBorder="1" applyAlignment="1">
      <alignment vertical="center" wrapText="1"/>
    </xf>
    <xf numFmtId="165" fontId="27" fillId="7" borderId="228" xfId="2" applyNumberFormat="1" applyFont="1" applyFill="1" applyBorder="1" applyAlignment="1">
      <alignment vertical="center"/>
    </xf>
    <xf numFmtId="165" fontId="57" fillId="104" borderId="228" xfId="2" applyNumberFormat="1" applyFont="1" applyFill="1" applyBorder="1" applyAlignment="1">
      <alignment vertical="center" wrapText="1"/>
    </xf>
    <xf numFmtId="165" fontId="57" fillId="7" borderId="228" xfId="2" applyNumberFormat="1" applyFont="1" applyFill="1" applyBorder="1" applyAlignment="1">
      <alignment vertical="center"/>
    </xf>
    <xf numFmtId="165" fontId="27" fillId="0" borderId="229" xfId="2" applyNumberFormat="1" applyFont="1" applyFill="1" applyBorder="1" applyAlignment="1">
      <alignment vertical="center" wrapText="1"/>
    </xf>
    <xf numFmtId="165" fontId="57" fillId="104" borderId="229" xfId="2" applyNumberFormat="1" applyFont="1" applyFill="1" applyBorder="1" applyAlignment="1">
      <alignment vertical="center" wrapText="1"/>
    </xf>
    <xf numFmtId="165" fontId="27" fillId="0" borderId="228" xfId="2" applyNumberFormat="1" applyFont="1" applyFill="1" applyBorder="1" applyAlignment="1">
      <alignment vertical="center"/>
    </xf>
    <xf numFmtId="41" fontId="27" fillId="7" borderId="228" xfId="2" applyNumberFormat="1" applyFont="1" applyFill="1" applyBorder="1" applyAlignment="1">
      <alignment vertical="center" wrapText="1"/>
    </xf>
    <xf numFmtId="41" fontId="27" fillId="7" borderId="228" xfId="2" applyNumberFormat="1" applyFont="1" applyFill="1" applyBorder="1" applyAlignment="1">
      <alignment vertical="center"/>
    </xf>
    <xf numFmtId="3" fontId="57" fillId="91" borderId="228" xfId="0" applyNumberFormat="1" applyFont="1" applyFill="1" applyBorder="1" applyAlignment="1">
      <alignment vertical="center"/>
    </xf>
    <xf numFmtId="0" fontId="57" fillId="91" borderId="228" xfId="0" applyFont="1" applyFill="1" applyBorder="1" applyAlignment="1">
      <alignment vertical="center" wrapText="1"/>
    </xf>
    <xf numFmtId="0" fontId="57" fillId="91" borderId="228" xfId="0" applyFont="1" applyFill="1" applyBorder="1" applyAlignment="1">
      <alignment vertical="center"/>
    </xf>
    <xf numFmtId="165" fontId="27" fillId="7" borderId="228" xfId="1" applyNumberFormat="1" applyFont="1" applyFill="1" applyBorder="1" applyAlignment="1">
      <alignment vertical="center" wrapText="1"/>
    </xf>
    <xf numFmtId="165" fontId="27" fillId="7" borderId="228" xfId="1" applyNumberFormat="1" applyFont="1" applyFill="1" applyBorder="1" applyAlignment="1">
      <alignment vertical="center"/>
    </xf>
    <xf numFmtId="165" fontId="36" fillId="0" borderId="228" xfId="2" applyNumberFormat="1" applyFont="1" applyBorder="1" applyAlignment="1">
      <alignment vertical="center"/>
    </xf>
    <xf numFmtId="165" fontId="2" fillId="7" borderId="228" xfId="1" applyNumberFormat="1" applyFont="1" applyFill="1" applyBorder="1" applyAlignment="1">
      <alignment vertical="center" wrapText="1"/>
    </xf>
    <xf numFmtId="165" fontId="2" fillId="7" borderId="228" xfId="1" applyNumberFormat="1" applyFont="1" applyFill="1" applyBorder="1" applyAlignment="1">
      <alignment vertical="center"/>
    </xf>
    <xf numFmtId="165" fontId="141" fillId="7" borderId="228" xfId="2" applyNumberFormat="1" applyFont="1" applyFill="1" applyBorder="1" applyAlignment="1">
      <alignment vertical="center" wrapText="1"/>
    </xf>
    <xf numFmtId="165" fontId="141" fillId="7" borderId="228" xfId="2" applyNumberFormat="1" applyFont="1" applyFill="1" applyBorder="1" applyAlignment="1">
      <alignment vertical="center"/>
    </xf>
    <xf numFmtId="165" fontId="2" fillId="30" borderId="228" xfId="2" applyNumberFormat="1" applyFont="1" applyFill="1" applyBorder="1" applyAlignment="1">
      <alignment vertical="center"/>
    </xf>
    <xf numFmtId="165" fontId="2" fillId="103" borderId="225" xfId="2" applyNumberFormat="1" applyFont="1" applyFill="1" applyBorder="1" applyAlignment="1">
      <alignment vertical="center"/>
    </xf>
    <xf numFmtId="165" fontId="2" fillId="0" borderId="228" xfId="0" applyNumberFormat="1" applyFont="1" applyBorder="1" applyAlignment="1">
      <alignment horizontal="left" vertical="center"/>
    </xf>
    <xf numFmtId="0" fontId="2" fillId="4" borderId="228" xfId="0" applyFont="1" applyFill="1" applyBorder="1" applyAlignment="1">
      <alignment horizontal="left" vertical="center" wrapText="1"/>
    </xf>
    <xf numFmtId="3" fontId="57" fillId="0" borderId="225" xfId="0" applyNumberFormat="1" applyFont="1" applyBorder="1"/>
    <xf numFmtId="9" fontId="57" fillId="0" borderId="226" xfId="0" applyNumberFormat="1" applyFont="1" applyBorder="1"/>
    <xf numFmtId="0" fontId="10" fillId="0" borderId="225" xfId="0" applyFont="1" applyBorder="1" applyAlignment="1">
      <alignment horizontal="center" vertical="center" wrapText="1"/>
    </xf>
    <xf numFmtId="0" fontId="10" fillId="0" borderId="226" xfId="0" applyFont="1" applyBorder="1" applyAlignment="1">
      <alignment horizontal="center" vertical="center" wrapText="1"/>
    </xf>
    <xf numFmtId="0" fontId="10" fillId="0" borderId="198" xfId="0" applyFont="1" applyBorder="1" applyAlignment="1">
      <alignment vertical="center"/>
    </xf>
    <xf numFmtId="0" fontId="28" fillId="4" borderId="196" xfId="0" applyFont="1" applyFill="1" applyBorder="1" applyAlignment="1">
      <alignment horizontal="left" vertical="center"/>
    </xf>
    <xf numFmtId="4" fontId="13" fillId="4" borderId="196" xfId="0" applyNumberFormat="1" applyFont="1" applyFill="1" applyBorder="1" applyAlignment="1">
      <alignment horizontal="center" vertical="center"/>
    </xf>
    <xf numFmtId="4" fontId="28" fillId="4" borderId="196" xfId="0" applyNumberFormat="1" applyFont="1" applyFill="1" applyBorder="1" applyAlignment="1">
      <alignment horizontal="center" vertical="center"/>
    </xf>
    <xf numFmtId="165" fontId="28" fillId="4" borderId="196" xfId="0" applyNumberFormat="1" applyFont="1" applyFill="1" applyBorder="1"/>
    <xf numFmtId="165" fontId="13" fillId="4" borderId="196" xfId="1" applyNumberFormat="1" applyFont="1" applyFill="1" applyBorder="1" applyAlignment="1"/>
    <xf numFmtId="165" fontId="0" fillId="23" borderId="196" xfId="1" applyNumberFormat="1" applyFont="1" applyFill="1" applyBorder="1"/>
    <xf numFmtId="0" fontId="28" fillId="0" borderId="196" xfId="0" applyFont="1" applyBorder="1" applyAlignment="1">
      <alignment horizontal="center" wrapText="1"/>
    </xf>
    <xf numFmtId="0" fontId="28" fillId="15" borderId="196" xfId="0" applyFont="1" applyFill="1" applyBorder="1" applyAlignment="1">
      <alignment horizontal="center"/>
    </xf>
    <xf numFmtId="0" fontId="28" fillId="2" borderId="196" xfId="0" applyFont="1" applyFill="1" applyBorder="1" applyAlignment="1">
      <alignment horizontal="center"/>
    </xf>
    <xf numFmtId="0" fontId="29" fillId="0" borderId="196" xfId="0" applyFont="1" applyBorder="1"/>
    <xf numFmtId="165" fontId="29" fillId="0" borderId="196" xfId="1" applyNumberFormat="1" applyFont="1" applyFill="1" applyBorder="1"/>
    <xf numFmtId="165" fontId="5" fillId="0" borderId="196" xfId="1" applyNumberFormat="1" applyFont="1" applyFill="1" applyBorder="1"/>
    <xf numFmtId="165" fontId="28" fillId="0" borderId="196" xfId="1" applyNumberFormat="1" applyFont="1" applyFill="1" applyBorder="1"/>
    <xf numFmtId="165" fontId="28" fillId="2" borderId="196" xfId="0" applyNumberFormat="1" applyFont="1" applyFill="1" applyBorder="1"/>
    <xf numFmtId="165" fontId="28" fillId="2" borderId="196" xfId="1" applyNumberFormat="1" applyFont="1" applyFill="1" applyBorder="1"/>
    <xf numFmtId="0" fontId="26" fillId="3" borderId="198" xfId="0" applyFont="1" applyFill="1" applyBorder="1" applyAlignment="1">
      <alignment vertical="center" wrapText="1"/>
    </xf>
    <xf numFmtId="0" fontId="26" fillId="3" borderId="198" xfId="0" applyFont="1" applyFill="1" applyBorder="1" applyAlignment="1">
      <alignment vertical="center"/>
    </xf>
    <xf numFmtId="0" fontId="32" fillId="0" borderId="198" xfId="0" applyFont="1" applyBorder="1" applyAlignment="1">
      <alignment horizontal="center" vertical="center"/>
    </xf>
    <xf numFmtId="0" fontId="32" fillId="0" borderId="196" xfId="0" applyFont="1" applyBorder="1" applyAlignment="1">
      <alignment horizontal="center" vertical="center"/>
    </xf>
    <xf numFmtId="0" fontId="28" fillId="0" borderId="198" xfId="0" applyFont="1" applyBorder="1"/>
    <xf numFmtId="0" fontId="28" fillId="0" borderId="196" xfId="0" applyFont="1" applyBorder="1" applyAlignment="1">
      <alignment vertical="center"/>
    </xf>
    <xf numFmtId="0" fontId="3" fillId="23" borderId="196" xfId="0" applyFont="1" applyFill="1" applyBorder="1" applyAlignment="1">
      <alignment horizontal="center" vertical="center" wrapText="1"/>
    </xf>
    <xf numFmtId="0" fontId="3" fillId="23" borderId="196" xfId="0" applyFont="1" applyFill="1" applyBorder="1" applyAlignment="1">
      <alignment horizontal="center" vertical="center"/>
    </xf>
    <xf numFmtId="0" fontId="3" fillId="4" borderId="196" xfId="0" applyFont="1" applyFill="1" applyBorder="1" applyAlignment="1">
      <alignment horizontal="center" vertical="center"/>
    </xf>
    <xf numFmtId="0" fontId="2" fillId="0" borderId="196" xfId="0" applyFont="1" applyBorder="1" applyAlignment="1">
      <alignment horizontal="center" vertical="center" wrapText="1"/>
    </xf>
    <xf numFmtId="0" fontId="2" fillId="0" borderId="196" xfId="0" applyFont="1" applyBorder="1" applyAlignment="1">
      <alignment horizontal="center" vertical="center"/>
    </xf>
    <xf numFmtId="43" fontId="2" fillId="0" borderId="196" xfId="0" applyNumberFormat="1" applyFont="1" applyBorder="1" applyAlignment="1">
      <alignment horizontal="center" vertical="center"/>
    </xf>
    <xf numFmtId="165" fontId="2" fillId="0" borderId="196" xfId="0" applyNumberFormat="1" applyFont="1" applyBorder="1" applyAlignment="1">
      <alignment horizontal="center" vertical="center"/>
    </xf>
    <xf numFmtId="0" fontId="4" fillId="0" borderId="198" xfId="0" applyFont="1" applyBorder="1" applyAlignment="1">
      <alignment horizontal="center" wrapText="1"/>
    </xf>
    <xf numFmtId="165" fontId="29" fillId="2" borderId="196" xfId="1" applyNumberFormat="1" applyFont="1" applyFill="1" applyBorder="1"/>
    <xf numFmtId="172" fontId="29" fillId="2" borderId="196" xfId="1" applyNumberFormat="1" applyFont="1" applyFill="1" applyBorder="1"/>
    <xf numFmtId="172" fontId="5" fillId="2" borderId="196" xfId="1" applyNumberFormat="1" applyFont="1" applyFill="1" applyBorder="1"/>
    <xf numFmtId="165" fontId="10" fillId="0" borderId="196" xfId="1" applyNumberFormat="1" applyFont="1" applyFill="1" applyBorder="1" applyAlignment="1">
      <alignment horizontal="center" vertical="center"/>
    </xf>
    <xf numFmtId="165" fontId="10" fillId="0" borderId="196" xfId="1" applyNumberFormat="1" applyFont="1" applyBorder="1" applyAlignment="1">
      <alignment horizontal="center" vertical="center"/>
    </xf>
    <xf numFmtId="165" fontId="27" fillId="0" borderId="196" xfId="1" applyNumberFormat="1" applyFont="1" applyFill="1" applyBorder="1" applyAlignment="1">
      <alignment horizontal="center" vertical="center"/>
    </xf>
    <xf numFmtId="0" fontId="2" fillId="9" borderId="196" xfId="0" applyFont="1" applyFill="1" applyBorder="1" applyAlignment="1">
      <alignment horizontal="center"/>
    </xf>
    <xf numFmtId="0" fontId="2" fillId="0" borderId="196" xfId="0" applyFont="1" applyBorder="1" applyAlignment="1">
      <alignment horizontal="center"/>
    </xf>
    <xf numFmtId="0" fontId="3" fillId="0" borderId="198" xfId="1" applyNumberFormat="1" applyFont="1" applyFill="1" applyBorder="1" applyAlignment="1">
      <alignment horizontal="center" vertical="center"/>
    </xf>
    <xf numFmtId="2" fontId="162" fillId="92" borderId="194" xfId="0" applyNumberFormat="1" applyFont="1" applyFill="1" applyBorder="1"/>
    <xf numFmtId="187" fontId="2" fillId="0" borderId="0" xfId="1" applyNumberFormat="1" applyFont="1" applyFill="1" applyBorder="1" applyAlignment="1">
      <alignment vertical="center"/>
    </xf>
    <xf numFmtId="43" fontId="57" fillId="102" borderId="28" xfId="0" applyNumberFormat="1" applyFont="1" applyFill="1" applyBorder="1" applyAlignment="1">
      <alignment vertical="center"/>
    </xf>
    <xf numFmtId="2" fontId="57" fillId="101" borderId="28" xfId="0" applyNumberFormat="1" applyFont="1" applyFill="1" applyBorder="1" applyAlignment="1">
      <alignment vertical="center"/>
    </xf>
    <xf numFmtId="43" fontId="60" fillId="103" borderId="196" xfId="0" applyNumberFormat="1" applyFont="1" applyFill="1" applyBorder="1" applyAlignment="1">
      <alignment vertical="center"/>
    </xf>
    <xf numFmtId="17" fontId="136" fillId="0" borderId="0" xfId="0" applyNumberFormat="1" applyFont="1" applyAlignment="1">
      <alignment horizontal="center"/>
    </xf>
    <xf numFmtId="0" fontId="128" fillId="0" borderId="0" xfId="0" applyFont="1" applyAlignment="1">
      <alignment horizontal="center"/>
    </xf>
    <xf numFmtId="0" fontId="27" fillId="0" borderId="0" xfId="0" applyFont="1" applyAlignment="1">
      <alignment horizontal="center" vertical="center"/>
    </xf>
    <xf numFmtId="0" fontId="26" fillId="0" borderId="0" xfId="0" applyFont="1" applyAlignment="1">
      <alignment horizontal="left" vertical="center" wrapText="1"/>
    </xf>
    <xf numFmtId="0" fontId="54" fillId="98" borderId="189" xfId="0" applyFont="1" applyFill="1" applyBorder="1" applyAlignment="1">
      <alignment horizontal="center" vertical="center"/>
    </xf>
    <xf numFmtId="0" fontId="54" fillId="98" borderId="176" xfId="0" applyFont="1" applyFill="1" applyBorder="1" applyAlignment="1">
      <alignment horizontal="center" vertical="center"/>
    </xf>
    <xf numFmtId="0" fontId="54" fillId="95" borderId="192" xfId="0" applyFont="1" applyFill="1" applyBorder="1" applyAlignment="1">
      <alignment horizontal="center" vertical="center"/>
    </xf>
    <xf numFmtId="0" fontId="54" fillId="95" borderId="184" xfId="0" applyFont="1" applyFill="1" applyBorder="1" applyAlignment="1">
      <alignment horizontal="center" vertical="center"/>
    </xf>
    <xf numFmtId="0" fontId="54" fillId="95" borderId="162" xfId="0" applyFont="1" applyFill="1" applyBorder="1" applyAlignment="1">
      <alignment horizontal="center" vertical="center"/>
    </xf>
    <xf numFmtId="2" fontId="3" fillId="104" borderId="225" xfId="0" applyNumberFormat="1" applyFont="1" applyFill="1" applyBorder="1" applyAlignment="1">
      <alignment horizontal="center" vertical="center"/>
    </xf>
    <xf numFmtId="2" fontId="3" fillId="104" borderId="226" xfId="0" applyNumberFormat="1" applyFont="1" applyFill="1" applyBorder="1" applyAlignment="1">
      <alignment horizontal="center" vertical="center"/>
    </xf>
    <xf numFmtId="2" fontId="3" fillId="104" borderId="5" xfId="0" applyNumberFormat="1" applyFont="1" applyFill="1" applyBorder="1" applyAlignment="1">
      <alignment horizontal="center" vertical="center"/>
    </xf>
    <xf numFmtId="2" fontId="3" fillId="104" borderId="28" xfId="0" applyNumberFormat="1" applyFont="1" applyFill="1" applyBorder="1" applyAlignment="1">
      <alignment horizontal="center" vertical="center"/>
    </xf>
    <xf numFmtId="0" fontId="54" fillId="95" borderId="173" xfId="0" applyFont="1" applyFill="1" applyBorder="1" applyAlignment="1">
      <alignment horizontal="center" vertical="center"/>
    </xf>
    <xf numFmtId="0" fontId="3" fillId="104" borderId="196" xfId="0" applyFont="1" applyFill="1" applyBorder="1" applyAlignment="1">
      <alignment horizontal="left" vertical="center" wrapText="1"/>
    </xf>
    <xf numFmtId="0" fontId="3" fillId="104" borderId="4" xfId="0" applyFont="1" applyFill="1" applyBorder="1" applyAlignment="1">
      <alignment horizontal="left" vertical="center" wrapText="1"/>
    </xf>
    <xf numFmtId="0" fontId="54" fillId="98" borderId="163" xfId="0" applyFont="1" applyFill="1" applyBorder="1" applyAlignment="1">
      <alignment horizontal="center" vertical="center"/>
    </xf>
    <xf numFmtId="0" fontId="54" fillId="98" borderId="160" xfId="0" applyFont="1" applyFill="1" applyBorder="1" applyAlignment="1">
      <alignment horizontal="center" vertical="center"/>
    </xf>
    <xf numFmtId="0" fontId="54" fillId="98" borderId="164" xfId="0" applyFont="1" applyFill="1" applyBorder="1" applyAlignment="1">
      <alignment horizontal="center" vertical="center"/>
    </xf>
    <xf numFmtId="0" fontId="54" fillId="98" borderId="195" xfId="0" applyFont="1" applyFill="1" applyBorder="1" applyAlignment="1">
      <alignment horizontal="center" vertical="center"/>
    </xf>
    <xf numFmtId="0" fontId="54" fillId="98" borderId="197" xfId="0" applyFont="1" applyFill="1" applyBorder="1" applyAlignment="1">
      <alignment horizontal="center" vertical="center"/>
    </xf>
    <xf numFmtId="4" fontId="26" fillId="104" borderId="225" xfId="0" applyNumberFormat="1" applyFont="1" applyFill="1" applyBorder="1" applyAlignment="1">
      <alignment horizontal="center" vertical="center"/>
    </xf>
    <xf numFmtId="4" fontId="26" fillId="104" borderId="226" xfId="0" applyNumberFormat="1" applyFont="1" applyFill="1" applyBorder="1" applyAlignment="1">
      <alignment horizontal="center" vertical="center"/>
    </xf>
    <xf numFmtId="4" fontId="26" fillId="104" borderId="5" xfId="0" applyNumberFormat="1" applyFont="1" applyFill="1" applyBorder="1" applyAlignment="1">
      <alignment horizontal="center" vertical="center"/>
    </xf>
    <xf numFmtId="4" fontId="26" fillId="104" borderId="28" xfId="0" applyNumberFormat="1" applyFont="1" applyFill="1" applyBorder="1" applyAlignment="1">
      <alignment horizontal="center" vertical="center"/>
    </xf>
    <xf numFmtId="0" fontId="54" fillId="98" borderId="196" xfId="0" applyFont="1" applyFill="1" applyBorder="1" applyAlignment="1">
      <alignment horizontal="center" vertical="center"/>
    </xf>
    <xf numFmtId="0" fontId="54" fillId="98" borderId="3" xfId="0" applyFont="1" applyFill="1" applyBorder="1" applyAlignment="1">
      <alignment horizontal="center" vertical="center"/>
    </xf>
    <xf numFmtId="0" fontId="54" fillId="98" borderId="4" xfId="0" applyFont="1" applyFill="1" applyBorder="1" applyAlignment="1">
      <alignment horizontal="center" vertical="center"/>
    </xf>
    <xf numFmtId="0" fontId="26" fillId="2" borderId="196" xfId="0" applyFont="1" applyFill="1" applyBorder="1" applyAlignment="1">
      <alignment horizontal="center" vertical="center" wrapText="1"/>
    </xf>
    <xf numFmtId="0" fontId="27" fillId="0" borderId="4" xfId="0" applyFont="1" applyBorder="1" applyAlignment="1">
      <alignment vertical="center"/>
    </xf>
    <xf numFmtId="0" fontId="48" fillId="0" borderId="0" xfId="0" applyFont="1" applyAlignment="1">
      <alignment horizontal="left" vertical="center" wrapText="1"/>
    </xf>
    <xf numFmtId="0" fontId="18" fillId="0" borderId="0" xfId="0" applyFont="1" applyAlignment="1">
      <alignment horizontal="left" vertical="center" wrapText="1"/>
    </xf>
    <xf numFmtId="0" fontId="26" fillId="2" borderId="196" xfId="0" applyFont="1" applyFill="1" applyBorder="1" applyAlignment="1">
      <alignment horizontal="center" vertical="center"/>
    </xf>
    <xf numFmtId="0" fontId="26" fillId="2" borderId="3" xfId="0" applyFont="1" applyFill="1" applyBorder="1" applyAlignment="1">
      <alignment horizontal="center" vertical="center"/>
    </xf>
    <xf numFmtId="0" fontId="26" fillId="2" borderId="4" xfId="0" applyFont="1" applyFill="1" applyBorder="1" applyAlignment="1">
      <alignment horizontal="center" vertical="center"/>
    </xf>
    <xf numFmtId="0" fontId="26" fillId="104" borderId="196" xfId="0" applyFont="1" applyFill="1" applyBorder="1" applyAlignment="1">
      <alignment horizontal="left" vertical="center" wrapText="1"/>
    </xf>
    <xf numFmtId="0" fontId="26" fillId="104" borderId="4" xfId="0" applyFont="1" applyFill="1" applyBorder="1" applyAlignment="1">
      <alignment horizontal="left" vertical="center" wrapText="1"/>
    </xf>
    <xf numFmtId="0" fontId="54" fillId="98" borderId="189" xfId="0" applyFont="1" applyFill="1" applyBorder="1" applyAlignment="1">
      <alignment horizontal="center" vertical="center" wrapText="1"/>
    </xf>
    <xf numFmtId="0" fontId="54" fillId="98" borderId="176" xfId="0" applyFont="1" applyFill="1" applyBorder="1" applyAlignment="1">
      <alignment horizontal="center" vertical="center" wrapText="1"/>
    </xf>
    <xf numFmtId="0" fontId="54" fillId="95" borderId="188" xfId="0" applyFont="1" applyFill="1" applyBorder="1" applyAlignment="1">
      <alignment horizontal="center" vertical="center"/>
    </xf>
    <xf numFmtId="0" fontId="54" fillId="95" borderId="181" xfId="0" applyFont="1" applyFill="1" applyBorder="1" applyAlignment="1">
      <alignment horizontal="center" vertical="center"/>
    </xf>
    <xf numFmtId="0" fontId="54" fillId="95" borderId="165" xfId="0" applyFont="1" applyFill="1" applyBorder="1" applyAlignment="1">
      <alignment horizontal="center" vertical="center"/>
    </xf>
    <xf numFmtId="0" fontId="3" fillId="0" borderId="0" xfId="0" applyFont="1" applyAlignment="1">
      <alignment horizontal="left" vertical="center" wrapText="1"/>
    </xf>
    <xf numFmtId="0" fontId="54" fillId="95" borderId="182" xfId="0" applyFont="1" applyFill="1" applyBorder="1" applyAlignment="1">
      <alignment horizontal="center" vertical="center"/>
    </xf>
    <xf numFmtId="0" fontId="54" fillId="95" borderId="185" xfId="0" applyFont="1" applyFill="1" applyBorder="1" applyAlignment="1">
      <alignment horizontal="center" vertical="center"/>
    </xf>
    <xf numFmtId="0" fontId="26" fillId="0" borderId="0" xfId="0" applyFont="1" applyAlignment="1">
      <alignment horizontal="center" vertical="center"/>
    </xf>
    <xf numFmtId="0" fontId="28" fillId="0" borderId="198" xfId="0" applyFont="1" applyBorder="1" applyAlignment="1">
      <alignment horizontal="center"/>
    </xf>
    <xf numFmtId="0" fontId="28" fillId="0" borderId="197" xfId="0" applyFont="1" applyBorder="1" applyAlignment="1">
      <alignment horizontal="center"/>
    </xf>
    <xf numFmtId="0" fontId="29" fillId="0" borderId="195" xfId="0" applyFont="1" applyBorder="1" applyAlignment="1">
      <alignment horizontal="center"/>
    </xf>
    <xf numFmtId="0" fontId="29" fillId="0" borderId="198" xfId="0" applyFont="1" applyBorder="1" applyAlignment="1">
      <alignment horizontal="center"/>
    </xf>
    <xf numFmtId="0" fontId="29" fillId="0" borderId="197" xfId="0" applyFont="1" applyBorder="1" applyAlignment="1">
      <alignment horizontal="center"/>
    </xf>
    <xf numFmtId="0" fontId="29" fillId="0" borderId="196" xfId="0" applyFont="1" applyBorder="1" applyAlignment="1">
      <alignment horizontal="center" vertical="center" wrapText="1"/>
    </xf>
    <xf numFmtId="0" fontId="29" fillId="0" borderId="3" xfId="0" applyFont="1" applyBorder="1" applyAlignment="1">
      <alignment horizontal="center" vertical="center" wrapText="1"/>
    </xf>
    <xf numFmtId="0" fontId="48" fillId="0" borderId="0" xfId="0" applyFont="1" applyAlignment="1">
      <alignment horizontal="left" vertical="center"/>
    </xf>
    <xf numFmtId="0" fontId="54" fillId="98" borderId="199" xfId="0" applyFont="1" applyFill="1" applyBorder="1" applyAlignment="1">
      <alignment horizontal="center" vertical="center"/>
    </xf>
    <xf numFmtId="0" fontId="26" fillId="97" borderId="4" xfId="0" applyFont="1" applyFill="1" applyBorder="1" applyAlignment="1">
      <alignment horizontal="center" vertical="center"/>
    </xf>
    <xf numFmtId="0" fontId="26" fillId="97" borderId="194" xfId="0" applyFont="1" applyFill="1" applyBorder="1" applyAlignment="1">
      <alignment horizontal="center" vertical="center"/>
    </xf>
    <xf numFmtId="165" fontId="26" fillId="97" borderId="80" xfId="1" applyNumberFormat="1" applyFont="1" applyFill="1" applyBorder="1" applyAlignment="1">
      <alignment horizontal="center" vertical="center" wrapText="1"/>
    </xf>
    <xf numFmtId="165" fontId="26" fillId="97" borderId="28" xfId="1" applyNumberFormat="1" applyFont="1" applyFill="1" applyBorder="1" applyAlignment="1">
      <alignment horizontal="center" vertical="center" wrapText="1"/>
    </xf>
    <xf numFmtId="165" fontId="26" fillId="97" borderId="3" xfId="1" applyNumberFormat="1" applyFont="1" applyFill="1" applyBorder="1" applyAlignment="1">
      <alignment horizontal="center" vertical="center" wrapText="1"/>
    </xf>
    <xf numFmtId="165" fontId="26" fillId="97" borderId="4" xfId="1" applyNumberFormat="1" applyFont="1" applyFill="1" applyBorder="1" applyAlignment="1">
      <alignment horizontal="center" vertical="center" wrapText="1"/>
    </xf>
    <xf numFmtId="165" fontId="26" fillId="97" borderId="194" xfId="1" applyNumberFormat="1" applyFont="1" applyFill="1" applyBorder="1" applyAlignment="1">
      <alignment horizontal="center" vertical="center" wrapText="1"/>
    </xf>
    <xf numFmtId="0" fontId="26" fillId="97" borderId="196" xfId="0" applyFont="1" applyFill="1" applyBorder="1" applyAlignment="1">
      <alignment horizontal="center" vertical="center"/>
    </xf>
    <xf numFmtId="0" fontId="51" fillId="0" borderId="0" xfId="0" applyFont="1" applyAlignment="1">
      <alignment horizontal="left" vertical="center" wrapText="1"/>
    </xf>
    <xf numFmtId="0" fontId="28" fillId="0" borderId="194" xfId="0" applyFont="1" applyBorder="1" applyAlignment="1">
      <alignment horizontal="center"/>
    </xf>
    <xf numFmtId="0" fontId="28" fillId="0" borderId="195" xfId="0" applyFont="1" applyBorder="1" applyAlignment="1">
      <alignment horizontal="center"/>
    </xf>
    <xf numFmtId="165" fontId="28" fillId="0" borderId="196" xfId="1" applyNumberFormat="1" applyFont="1" applyFill="1" applyBorder="1" applyAlignment="1">
      <alignment horizontal="center" vertical="top" wrapText="1"/>
    </xf>
    <xf numFmtId="165" fontId="28" fillId="0" borderId="3" xfId="1" applyNumberFormat="1" applyFont="1" applyFill="1" applyBorder="1" applyAlignment="1">
      <alignment horizontal="center" vertical="top" wrapText="1"/>
    </xf>
    <xf numFmtId="0" fontId="28" fillId="0" borderId="196" xfId="0" applyFont="1" applyBorder="1" applyAlignment="1">
      <alignment horizontal="center" vertical="center"/>
    </xf>
    <xf numFmtId="0" fontId="28" fillId="0" borderId="3" xfId="0" applyFont="1" applyBorder="1" applyAlignment="1">
      <alignment horizontal="center" vertical="center"/>
    </xf>
    <xf numFmtId="0" fontId="28" fillId="0" borderId="4" xfId="0" applyFont="1" applyBorder="1" applyAlignment="1">
      <alignment horizontal="center" vertical="center"/>
    </xf>
    <xf numFmtId="0" fontId="28" fillId="0" borderId="196" xfId="0" applyFont="1" applyBorder="1" applyAlignment="1">
      <alignment horizontal="center" vertical="center" wrapText="1"/>
    </xf>
    <xf numFmtId="0" fontId="28" fillId="0" borderId="3" xfId="0" applyFont="1" applyBorder="1" applyAlignment="1">
      <alignment horizontal="center" vertical="center" wrapText="1"/>
    </xf>
    <xf numFmtId="0" fontId="28" fillId="0" borderId="4" xfId="0" applyFont="1" applyBorder="1" applyAlignment="1">
      <alignment horizontal="center" vertical="center" wrapText="1"/>
    </xf>
    <xf numFmtId="0" fontId="145" fillId="0" borderId="0" xfId="0" applyFont="1" applyAlignment="1">
      <alignment horizontal="left" vertical="center" wrapText="1"/>
    </xf>
    <xf numFmtId="0" fontId="54" fillId="95" borderId="182" xfId="0" applyFont="1" applyFill="1" applyBorder="1" applyAlignment="1">
      <alignment horizontal="center"/>
    </xf>
    <xf numFmtId="0" fontId="54" fillId="95" borderId="165" xfId="0" applyFont="1" applyFill="1" applyBorder="1" applyAlignment="1">
      <alignment horizontal="center"/>
    </xf>
    <xf numFmtId="0" fontId="54" fillId="95" borderId="188" xfId="0" applyFont="1" applyFill="1" applyBorder="1" applyAlignment="1">
      <alignment horizontal="center"/>
    </xf>
    <xf numFmtId="0" fontId="26" fillId="0" borderId="0" xfId="0" applyFont="1" applyAlignment="1">
      <alignment horizontal="center" vertical="top" wrapText="1"/>
    </xf>
    <xf numFmtId="0" fontId="51" fillId="0" borderId="0" xfId="0" applyFont="1" applyAlignment="1">
      <alignment horizontal="left"/>
    </xf>
    <xf numFmtId="0" fontId="54" fillId="95" borderId="188" xfId="0" applyFont="1" applyFill="1" applyBorder="1" applyAlignment="1">
      <alignment horizontal="center" vertical="center" wrapText="1"/>
    </xf>
    <xf numFmtId="0" fontId="54" fillId="95" borderId="165" xfId="0" applyFont="1" applyFill="1" applyBorder="1" applyAlignment="1">
      <alignment horizontal="center" vertical="center" wrapText="1"/>
    </xf>
    <xf numFmtId="0" fontId="155" fillId="95" borderId="31" xfId="25" applyFont="1" applyFill="1" applyBorder="1" applyAlignment="1">
      <alignment horizontal="left"/>
    </xf>
    <xf numFmtId="0" fontId="155" fillId="95" borderId="11" xfId="25" applyFont="1" applyFill="1" applyBorder="1" applyAlignment="1">
      <alignment horizontal="left"/>
    </xf>
    <xf numFmtId="0" fontId="155" fillId="95" borderId="12" xfId="25" applyFont="1" applyFill="1" applyBorder="1" applyAlignment="1">
      <alignment horizontal="left"/>
    </xf>
    <xf numFmtId="0" fontId="3" fillId="99" borderId="35" xfId="25" applyFont="1" applyFill="1" applyBorder="1" applyAlignment="1">
      <alignment horizontal="center" vertical="center"/>
    </xf>
    <xf numFmtId="0" fontId="3" fillId="99" borderId="36" xfId="25" applyFont="1" applyFill="1" applyBorder="1" applyAlignment="1">
      <alignment horizontal="center" vertical="center"/>
    </xf>
    <xf numFmtId="0" fontId="3" fillId="99" borderId="16" xfId="25" applyFont="1" applyFill="1" applyBorder="1" applyAlignment="1">
      <alignment horizontal="center" vertical="center"/>
    </xf>
    <xf numFmtId="0" fontId="3" fillId="99" borderId="35" xfId="0" applyFont="1" applyFill="1" applyBorder="1" applyAlignment="1">
      <alignment horizontal="center" vertical="center" wrapText="1"/>
    </xf>
    <xf numFmtId="0" fontId="3" fillId="99" borderId="36" xfId="0" applyFont="1" applyFill="1" applyBorder="1" applyAlignment="1">
      <alignment horizontal="center" vertical="center" wrapText="1"/>
    </xf>
    <xf numFmtId="0" fontId="3" fillId="99" borderId="16" xfId="0" applyFont="1" applyFill="1" applyBorder="1" applyAlignment="1">
      <alignment horizontal="center" vertical="center" wrapText="1"/>
    </xf>
    <xf numFmtId="0" fontId="3" fillId="99" borderId="31" xfId="0" applyFont="1" applyFill="1" applyBorder="1" applyAlignment="1">
      <alignment horizontal="center" wrapText="1"/>
    </xf>
    <xf numFmtId="0" fontId="3" fillId="99" borderId="11" xfId="0" applyFont="1" applyFill="1" applyBorder="1" applyAlignment="1">
      <alignment horizontal="center" wrapText="1"/>
    </xf>
    <xf numFmtId="0" fontId="3" fillId="99" borderId="12" xfId="0" applyFont="1" applyFill="1" applyBorder="1" applyAlignment="1">
      <alignment horizontal="center" wrapText="1"/>
    </xf>
    <xf numFmtId="0" fontId="3" fillId="99" borderId="31" xfId="0" applyFont="1" applyFill="1" applyBorder="1" applyAlignment="1">
      <alignment horizontal="center" vertical="center" wrapText="1"/>
    </xf>
    <xf numFmtId="0" fontId="3" fillId="99" borderId="11" xfId="0" applyFont="1" applyFill="1" applyBorder="1" applyAlignment="1">
      <alignment horizontal="center" vertical="center" wrapText="1"/>
    </xf>
    <xf numFmtId="0" fontId="3" fillId="99" borderId="12" xfId="0" applyFont="1" applyFill="1" applyBorder="1" applyAlignment="1">
      <alignment horizontal="center" vertical="center" wrapText="1"/>
    </xf>
    <xf numFmtId="0" fontId="3" fillId="0" borderId="74" xfId="25" applyFont="1" applyBorder="1" applyAlignment="1">
      <alignment horizontal="right"/>
    </xf>
    <xf numFmtId="0" fontId="3" fillId="99" borderId="35" xfId="25" applyFont="1" applyFill="1" applyBorder="1" applyAlignment="1">
      <alignment horizontal="center" vertical="center" wrapText="1"/>
    </xf>
    <xf numFmtId="0" fontId="3" fillId="99" borderId="36" xfId="25" applyFont="1" applyFill="1" applyBorder="1" applyAlignment="1">
      <alignment horizontal="center" vertical="center" wrapText="1"/>
    </xf>
    <xf numFmtId="0" fontId="3" fillId="99" borderId="16" xfId="25" applyFont="1" applyFill="1" applyBorder="1" applyAlignment="1">
      <alignment horizontal="center" vertical="center" wrapText="1"/>
    </xf>
    <xf numFmtId="0" fontId="3" fillId="99" borderId="42" xfId="0" applyFont="1" applyFill="1" applyBorder="1" applyAlignment="1">
      <alignment horizontal="center" vertical="center" wrapText="1"/>
    </xf>
    <xf numFmtId="0" fontId="3" fillId="99" borderId="53" xfId="0" applyFont="1" applyFill="1" applyBorder="1" applyAlignment="1">
      <alignment horizontal="center" vertical="center" wrapText="1"/>
    </xf>
    <xf numFmtId="0" fontId="56" fillId="99" borderId="35" xfId="25" applyFont="1" applyFill="1" applyBorder="1" applyAlignment="1">
      <alignment horizontal="center" wrapText="1"/>
    </xf>
    <xf numFmtId="0" fontId="56" fillId="99" borderId="36" xfId="25" applyFont="1" applyFill="1" applyBorder="1" applyAlignment="1">
      <alignment horizontal="center" wrapText="1"/>
    </xf>
    <xf numFmtId="0" fontId="56" fillId="99" borderId="16" xfId="25" applyFont="1" applyFill="1" applyBorder="1" applyAlignment="1">
      <alignment horizontal="center" wrapText="1"/>
    </xf>
    <xf numFmtId="0" fontId="54" fillId="95" borderId="31" xfId="0" applyFont="1" applyFill="1" applyBorder="1" applyAlignment="1">
      <alignment horizontal="center"/>
    </xf>
    <xf numFmtId="0" fontId="54" fillId="95" borderId="12" xfId="0" applyFont="1" applyFill="1" applyBorder="1" applyAlignment="1">
      <alignment horizontal="center"/>
    </xf>
    <xf numFmtId="0" fontId="54" fillId="95" borderId="49" xfId="0" applyFont="1" applyFill="1" applyBorder="1" applyAlignment="1">
      <alignment horizontal="center"/>
    </xf>
    <xf numFmtId="0" fontId="54" fillId="95" borderId="48" xfId="0" applyFont="1" applyFill="1" applyBorder="1" applyAlignment="1">
      <alignment horizontal="center"/>
    </xf>
    <xf numFmtId="0" fontId="3" fillId="99" borderId="148" xfId="0" applyFont="1" applyFill="1" applyBorder="1" applyAlignment="1">
      <alignment horizontal="center" vertical="center" wrapText="1"/>
    </xf>
    <xf numFmtId="0" fontId="3" fillId="99" borderId="149" xfId="0" applyFont="1" applyFill="1" applyBorder="1" applyAlignment="1">
      <alignment horizontal="center" vertical="center" wrapText="1"/>
    </xf>
    <xf numFmtId="0" fontId="3" fillId="99" borderId="46" xfId="0" applyFont="1" applyFill="1" applyBorder="1" applyAlignment="1">
      <alignment horizontal="center" vertical="center" wrapText="1"/>
    </xf>
    <xf numFmtId="0" fontId="3" fillId="99" borderId="150" xfId="0" applyFont="1" applyFill="1" applyBorder="1" applyAlignment="1">
      <alignment horizontal="center" vertical="center" wrapText="1"/>
    </xf>
    <xf numFmtId="0" fontId="54" fillId="95" borderId="49" xfId="0" applyFont="1" applyFill="1" applyBorder="1" applyAlignment="1">
      <alignment horizontal="center" vertical="center"/>
    </xf>
    <xf numFmtId="0" fontId="54" fillId="95" borderId="48" xfId="0" applyFont="1" applyFill="1" applyBorder="1" applyAlignment="1">
      <alignment horizontal="center" vertical="center"/>
    </xf>
    <xf numFmtId="0" fontId="26" fillId="99" borderId="35" xfId="25" applyFont="1" applyFill="1" applyBorder="1" applyAlignment="1">
      <alignment horizontal="center" vertical="center" wrapText="1"/>
    </xf>
    <xf numFmtId="0" fontId="26" fillId="99" borderId="36" xfId="25" applyFont="1" applyFill="1" applyBorder="1" applyAlignment="1">
      <alignment horizontal="center" vertical="center" wrapText="1"/>
    </xf>
    <xf numFmtId="0" fontId="26" fillId="99" borderId="16" xfId="25" applyFont="1" applyFill="1" applyBorder="1" applyAlignment="1">
      <alignment horizontal="center" vertical="center" wrapText="1"/>
    </xf>
    <xf numFmtId="0" fontId="26" fillId="99" borderId="35" xfId="0" applyFont="1" applyFill="1" applyBorder="1" applyAlignment="1">
      <alignment horizontal="center" vertical="center" wrapText="1"/>
    </xf>
    <xf numFmtId="0" fontId="26" fillId="99" borderId="36" xfId="0" applyFont="1" applyFill="1" applyBorder="1" applyAlignment="1">
      <alignment horizontal="center" vertical="center" wrapText="1"/>
    </xf>
    <xf numFmtId="0" fontId="26" fillId="99" borderId="16" xfId="0" applyFont="1" applyFill="1" applyBorder="1" applyAlignment="1">
      <alignment horizontal="center" vertical="center" wrapText="1"/>
    </xf>
    <xf numFmtId="0" fontId="54" fillId="95" borderId="43" xfId="0" applyFont="1" applyFill="1" applyBorder="1" applyAlignment="1">
      <alignment horizontal="center"/>
    </xf>
    <xf numFmtId="0" fontId="26" fillId="99" borderId="31" xfId="0" applyFont="1" applyFill="1" applyBorder="1" applyAlignment="1">
      <alignment horizontal="center" vertical="center" wrapText="1"/>
    </xf>
    <xf numFmtId="0" fontId="26" fillId="99" borderId="11" xfId="0" applyFont="1" applyFill="1" applyBorder="1" applyAlignment="1">
      <alignment horizontal="center" vertical="center" wrapText="1"/>
    </xf>
    <xf numFmtId="0" fontId="26" fillId="99" borderId="12" xfId="0" applyFont="1" applyFill="1" applyBorder="1" applyAlignment="1">
      <alignment horizontal="center" vertical="center" wrapText="1"/>
    </xf>
    <xf numFmtId="0" fontId="54" fillId="95" borderId="31" xfId="0" applyFont="1" applyFill="1" applyBorder="1" applyAlignment="1">
      <alignment horizontal="center" vertical="center"/>
    </xf>
    <xf numFmtId="0" fontId="54" fillId="95" borderId="11" xfId="0" applyFont="1" applyFill="1" applyBorder="1" applyAlignment="1">
      <alignment horizontal="center" vertical="center"/>
    </xf>
    <xf numFmtId="0" fontId="54" fillId="95" borderId="12" xfId="0" applyFont="1" applyFill="1" applyBorder="1" applyAlignment="1">
      <alignment horizontal="center" vertical="center"/>
    </xf>
    <xf numFmtId="0" fontId="26" fillId="99" borderId="31" xfId="0" applyFont="1" applyFill="1" applyBorder="1" applyAlignment="1">
      <alignment horizontal="center" wrapText="1"/>
    </xf>
    <xf numFmtId="0" fontId="26" fillId="99" borderId="11" xfId="0" applyFont="1" applyFill="1" applyBorder="1" applyAlignment="1">
      <alignment horizontal="center" wrapText="1"/>
    </xf>
    <xf numFmtId="0" fontId="26" fillId="99" borderId="12" xfId="0" applyFont="1" applyFill="1" applyBorder="1" applyAlignment="1">
      <alignment horizontal="center" wrapText="1"/>
    </xf>
    <xf numFmtId="0" fontId="3" fillId="99" borderId="19" xfId="25" applyFont="1" applyFill="1" applyBorder="1" applyAlignment="1">
      <alignment horizontal="center" vertical="center"/>
    </xf>
    <xf numFmtId="0" fontId="3" fillId="99" borderId="53" xfId="25" applyFont="1" applyFill="1" applyBorder="1" applyAlignment="1">
      <alignment horizontal="center" vertical="center"/>
    </xf>
    <xf numFmtId="0" fontId="26" fillId="99" borderId="45" xfId="25" applyFont="1" applyFill="1" applyBorder="1" applyAlignment="1">
      <alignment horizontal="center" vertical="center" wrapText="1"/>
    </xf>
    <xf numFmtId="0" fontId="3" fillId="99" borderId="45" xfId="25" applyFont="1" applyFill="1" applyBorder="1" applyAlignment="1">
      <alignment horizontal="center" vertical="center"/>
    </xf>
    <xf numFmtId="0" fontId="3" fillId="99" borderId="42" xfId="25" applyFont="1" applyFill="1" applyBorder="1" applyAlignment="1">
      <alignment horizontal="center" vertical="center"/>
    </xf>
    <xf numFmtId="0" fontId="3" fillId="99" borderId="31" xfId="0" applyFont="1" applyFill="1" applyBorder="1" applyAlignment="1">
      <alignment horizontal="center" vertical="center"/>
    </xf>
    <xf numFmtId="0" fontId="3" fillId="99" borderId="11" xfId="0" applyFont="1" applyFill="1" applyBorder="1" applyAlignment="1">
      <alignment horizontal="center" vertical="center"/>
    </xf>
    <xf numFmtId="0" fontId="3" fillId="99" borderId="12" xfId="0" applyFont="1" applyFill="1" applyBorder="1" applyAlignment="1">
      <alignment horizontal="center" vertical="center"/>
    </xf>
    <xf numFmtId="0" fontId="3" fillId="99" borderId="13" xfId="0" applyFont="1" applyFill="1" applyBorder="1" applyAlignment="1">
      <alignment horizontal="center" vertical="center" wrapText="1"/>
    </xf>
    <xf numFmtId="0" fontId="3" fillId="99" borderId="47" xfId="0" applyFont="1" applyFill="1" applyBorder="1" applyAlignment="1">
      <alignment horizontal="center" vertical="center" wrapText="1"/>
    </xf>
    <xf numFmtId="0" fontId="3" fillId="99" borderId="14" xfId="0" applyFont="1" applyFill="1" applyBorder="1" applyAlignment="1">
      <alignment horizontal="center" vertical="center" wrapText="1"/>
    </xf>
    <xf numFmtId="0" fontId="3" fillId="99" borderId="51" xfId="0" applyFont="1" applyFill="1" applyBorder="1" applyAlignment="1">
      <alignment horizontal="center" vertical="center" wrapText="1"/>
    </xf>
    <xf numFmtId="0" fontId="3" fillId="0" borderId="74" xfId="25" applyFont="1" applyBorder="1" applyAlignment="1">
      <alignment horizontal="right" wrapText="1"/>
    </xf>
    <xf numFmtId="0" fontId="60" fillId="0" borderId="0" xfId="0" applyFont="1" applyAlignment="1">
      <alignment horizontal="left" vertical="center"/>
    </xf>
    <xf numFmtId="0" fontId="3" fillId="0" borderId="0" xfId="0" applyFont="1" applyAlignment="1">
      <alignment horizontal="left" vertical="center"/>
    </xf>
    <xf numFmtId="0" fontId="27" fillId="99" borderId="19" xfId="0" applyFont="1" applyFill="1" applyBorder="1" applyAlignment="1">
      <alignment horizontal="center" vertical="center" wrapText="1"/>
    </xf>
    <xf numFmtId="0" fontId="27" fillId="99" borderId="53" xfId="0" applyFont="1" applyFill="1" applyBorder="1" applyAlignment="1">
      <alignment horizontal="center" vertical="center" wrapText="1"/>
    </xf>
    <xf numFmtId="0" fontId="54" fillId="95" borderId="31" xfId="0" applyFont="1" applyFill="1" applyBorder="1" applyAlignment="1">
      <alignment horizontal="left" vertical="center" wrapText="1"/>
    </xf>
    <xf numFmtId="0" fontId="54" fillId="95" borderId="12" xfId="0" applyFont="1" applyFill="1" applyBorder="1" applyAlignment="1">
      <alignment horizontal="left" vertical="center" wrapText="1"/>
    </xf>
    <xf numFmtId="0" fontId="27" fillId="99" borderId="36" xfId="0" applyFont="1" applyFill="1" applyBorder="1" applyAlignment="1">
      <alignment horizontal="center" vertical="center" wrapText="1"/>
    </xf>
    <xf numFmtId="0" fontId="27" fillId="99" borderId="16" xfId="0" applyFont="1" applyFill="1" applyBorder="1" applyAlignment="1">
      <alignment horizontal="center" vertical="center" wrapText="1"/>
    </xf>
    <xf numFmtId="0" fontId="27" fillId="99" borderId="35" xfId="0" applyFont="1" applyFill="1" applyBorder="1" applyAlignment="1">
      <alignment horizontal="center" vertical="center" wrapText="1"/>
    </xf>
    <xf numFmtId="0" fontId="27" fillId="99" borderId="42" xfId="0" applyFont="1" applyFill="1" applyBorder="1" applyAlignment="1">
      <alignment horizontal="center" vertical="center" wrapText="1"/>
    </xf>
    <xf numFmtId="0" fontId="54" fillId="95" borderId="31" xfId="0" applyFont="1" applyFill="1" applyBorder="1" applyAlignment="1">
      <alignment horizontal="left" vertical="center"/>
    </xf>
    <xf numFmtId="0" fontId="54" fillId="95" borderId="12" xfId="0" applyFont="1" applyFill="1" applyBorder="1" applyAlignment="1">
      <alignment horizontal="left" vertical="center"/>
    </xf>
    <xf numFmtId="0" fontId="3" fillId="99" borderId="19" xfId="0" applyFont="1" applyFill="1" applyBorder="1" applyAlignment="1">
      <alignment horizontal="center" vertical="center" wrapText="1"/>
    </xf>
    <xf numFmtId="0" fontId="3" fillId="99" borderId="0" xfId="0" applyFont="1" applyFill="1" applyAlignment="1">
      <alignment horizontal="center" vertical="center" wrapText="1"/>
    </xf>
    <xf numFmtId="0" fontId="3" fillId="99" borderId="74" xfId="0" applyFont="1" applyFill="1" applyBorder="1" applyAlignment="1">
      <alignment horizontal="center" vertical="center" wrapText="1"/>
    </xf>
    <xf numFmtId="0" fontId="26" fillId="99" borderId="47" xfId="0" applyFont="1" applyFill="1" applyBorder="1" applyAlignment="1">
      <alignment horizontal="center" vertical="center" wrapText="1"/>
    </xf>
    <xf numFmtId="0" fontId="26" fillId="99" borderId="51" xfId="0" applyFont="1" applyFill="1" applyBorder="1" applyAlignment="1">
      <alignment horizontal="center" vertical="center" wrapText="1"/>
    </xf>
    <xf numFmtId="0" fontId="26" fillId="99" borderId="14" xfId="0" applyFont="1" applyFill="1" applyBorder="1" applyAlignment="1">
      <alignment horizontal="center" vertical="center" wrapText="1"/>
    </xf>
    <xf numFmtId="165" fontId="3" fillId="0" borderId="0" xfId="1" applyNumberFormat="1" applyFont="1" applyFill="1" applyBorder="1" applyAlignment="1">
      <alignment horizontal="center" vertical="center"/>
    </xf>
    <xf numFmtId="0" fontId="3" fillId="99" borderId="49" xfId="0" applyFont="1" applyFill="1" applyBorder="1" applyAlignment="1">
      <alignment horizontal="center" vertical="center"/>
    </xf>
    <xf numFmtId="0" fontId="3" fillId="99" borderId="52" xfId="0" applyFont="1" applyFill="1" applyBorder="1" applyAlignment="1">
      <alignment horizontal="center" vertical="center"/>
    </xf>
    <xf numFmtId="0" fontId="3" fillId="99" borderId="48" xfId="0" applyFont="1" applyFill="1" applyBorder="1" applyAlignment="1">
      <alignment horizontal="center" vertical="center"/>
    </xf>
    <xf numFmtId="0" fontId="3" fillId="99" borderId="18" xfId="0" applyFont="1" applyFill="1" applyBorder="1" applyAlignment="1">
      <alignment horizontal="center" vertical="center"/>
    </xf>
    <xf numFmtId="0" fontId="3" fillId="99" borderId="21" xfId="0" applyFont="1" applyFill="1" applyBorder="1" applyAlignment="1">
      <alignment horizontal="center" vertical="center"/>
    </xf>
    <xf numFmtId="0" fontId="3" fillId="99" borderId="35" xfId="0" applyFont="1" applyFill="1" applyBorder="1" applyAlignment="1">
      <alignment horizontal="center" vertical="center"/>
    </xf>
    <xf numFmtId="0" fontId="3" fillId="99" borderId="16" xfId="0" applyFont="1" applyFill="1" applyBorder="1" applyAlignment="1">
      <alignment horizontal="center" vertical="center"/>
    </xf>
    <xf numFmtId="0" fontId="3" fillId="99" borderId="33" xfId="0" applyFont="1" applyFill="1" applyBorder="1" applyAlignment="1">
      <alignment horizontal="center" vertical="center"/>
    </xf>
    <xf numFmtId="0" fontId="3" fillId="99" borderId="139" xfId="0" applyFont="1" applyFill="1" applyBorder="1" applyAlignment="1">
      <alignment horizontal="center" vertical="center"/>
    </xf>
    <xf numFmtId="0" fontId="3" fillId="99" borderId="128" xfId="0" applyFont="1" applyFill="1" applyBorder="1" applyAlignment="1">
      <alignment horizontal="center" vertical="center"/>
    </xf>
    <xf numFmtId="0" fontId="3" fillId="99" borderId="46" xfId="0" applyFont="1" applyFill="1" applyBorder="1" applyAlignment="1">
      <alignment horizontal="center" vertical="center"/>
    </xf>
    <xf numFmtId="0" fontId="3" fillId="99" borderId="74" xfId="0" applyFont="1" applyFill="1" applyBorder="1" applyAlignment="1">
      <alignment horizontal="center" vertical="center"/>
    </xf>
    <xf numFmtId="0" fontId="3" fillId="99" borderId="50" xfId="0" applyFont="1" applyFill="1" applyBorder="1" applyAlignment="1">
      <alignment horizontal="center" vertical="center"/>
    </xf>
    <xf numFmtId="0" fontId="3" fillId="99" borderId="129" xfId="0" applyFont="1" applyFill="1" applyBorder="1" applyAlignment="1">
      <alignment horizontal="center" vertical="center"/>
    </xf>
    <xf numFmtId="0" fontId="3" fillId="99" borderId="130" xfId="0" applyFont="1" applyFill="1" applyBorder="1" applyAlignment="1">
      <alignment horizontal="center" vertical="center"/>
    </xf>
    <xf numFmtId="0" fontId="3" fillId="99" borderId="51" xfId="0" applyFont="1" applyFill="1" applyBorder="1" applyAlignment="1">
      <alignment horizontal="center" vertical="center"/>
    </xf>
    <xf numFmtId="0" fontId="3" fillId="99" borderId="14" xfId="0" applyFont="1" applyFill="1" applyBorder="1" applyAlignment="1">
      <alignment horizontal="center" vertical="center"/>
    </xf>
    <xf numFmtId="0" fontId="3" fillId="99" borderId="45" xfId="0" applyFont="1" applyFill="1" applyBorder="1" applyAlignment="1">
      <alignment horizontal="center" vertical="center"/>
    </xf>
    <xf numFmtId="0" fontId="2" fillId="99" borderId="18" xfId="0" applyFont="1" applyFill="1" applyBorder="1" applyAlignment="1">
      <alignment horizontal="center" vertical="center" wrapText="1"/>
    </xf>
    <xf numFmtId="0" fontId="2" fillId="99" borderId="200" xfId="0" applyFont="1" applyFill="1" applyBorder="1" applyAlignment="1">
      <alignment horizontal="center" vertical="center" wrapText="1"/>
    </xf>
    <xf numFmtId="0" fontId="2" fillId="99" borderId="21" xfId="0" applyFont="1" applyFill="1" applyBorder="1" applyAlignment="1">
      <alignment horizontal="center" vertical="center" wrapText="1"/>
    </xf>
    <xf numFmtId="0" fontId="3" fillId="99" borderId="79" xfId="0" applyFont="1" applyFill="1" applyBorder="1" applyAlignment="1">
      <alignment horizontal="center" vertical="center"/>
    </xf>
    <xf numFmtId="0" fontId="3" fillId="99" borderId="77" xfId="0" applyFont="1" applyFill="1" applyBorder="1" applyAlignment="1">
      <alignment horizontal="center" vertical="center"/>
    </xf>
    <xf numFmtId="0" fontId="3" fillId="99" borderId="78" xfId="0" applyFont="1" applyFill="1" applyBorder="1" applyAlignment="1">
      <alignment horizontal="center" vertical="center"/>
    </xf>
    <xf numFmtId="0" fontId="3" fillId="99" borderId="20" xfId="0" applyFont="1" applyFill="1" applyBorder="1" applyAlignment="1">
      <alignment horizontal="center" vertical="center"/>
    </xf>
    <xf numFmtId="165" fontId="3" fillId="99" borderId="18" xfId="1" applyNumberFormat="1" applyFont="1" applyFill="1" applyBorder="1" applyAlignment="1">
      <alignment horizontal="center" vertical="center"/>
    </xf>
    <xf numFmtId="165" fontId="3" fillId="99" borderId="21" xfId="1" applyNumberFormat="1" applyFont="1" applyFill="1" applyBorder="1" applyAlignment="1">
      <alignment horizontal="center" vertical="center"/>
    </xf>
    <xf numFmtId="165" fontId="3" fillId="99" borderId="32" xfId="1" applyNumberFormat="1" applyFont="1" applyFill="1" applyBorder="1" applyAlignment="1">
      <alignment horizontal="center" vertical="center"/>
    </xf>
    <xf numFmtId="165" fontId="3" fillId="99" borderId="139" xfId="1" applyNumberFormat="1" applyFont="1" applyFill="1" applyBorder="1" applyAlignment="1">
      <alignment horizontal="center" vertical="center"/>
    </xf>
    <xf numFmtId="0" fontId="3" fillId="99" borderId="32" xfId="0" applyFont="1" applyFill="1" applyBorder="1" applyAlignment="1">
      <alignment horizontal="center" vertical="center"/>
    </xf>
    <xf numFmtId="0" fontId="3" fillId="99" borderId="44" xfId="0" applyFont="1" applyFill="1" applyBorder="1" applyAlignment="1">
      <alignment horizontal="center" vertical="center"/>
    </xf>
    <xf numFmtId="0" fontId="3" fillId="99" borderId="53" xfId="0" applyFont="1" applyFill="1" applyBorder="1" applyAlignment="1">
      <alignment horizontal="center" vertical="center"/>
    </xf>
    <xf numFmtId="0" fontId="3" fillId="30" borderId="35" xfId="0" applyFont="1" applyFill="1" applyBorder="1" applyAlignment="1">
      <alignment horizontal="center" vertical="center" wrapText="1"/>
    </xf>
    <xf numFmtId="0" fontId="3" fillId="30" borderId="36" xfId="0" applyFont="1" applyFill="1" applyBorder="1" applyAlignment="1">
      <alignment horizontal="center" vertical="center" wrapText="1"/>
    </xf>
    <xf numFmtId="0" fontId="3" fillId="30" borderId="16" xfId="0" applyFont="1" applyFill="1" applyBorder="1" applyAlignment="1">
      <alignment horizontal="center" vertical="center" wrapText="1"/>
    </xf>
    <xf numFmtId="0" fontId="3" fillId="30" borderId="49" xfId="0" applyFont="1" applyFill="1" applyBorder="1" applyAlignment="1">
      <alignment horizontal="center" vertical="center"/>
    </xf>
    <xf numFmtId="0" fontId="3" fillId="30" borderId="52" xfId="0" applyFont="1" applyFill="1" applyBorder="1" applyAlignment="1">
      <alignment horizontal="center" vertical="center"/>
    </xf>
    <xf numFmtId="0" fontId="3" fillId="30" borderId="48" xfId="0" applyFont="1" applyFill="1" applyBorder="1" applyAlignment="1">
      <alignment horizontal="center" vertical="center"/>
    </xf>
    <xf numFmtId="0" fontId="3" fillId="30" borderId="18" xfId="0" applyFont="1" applyFill="1" applyBorder="1" applyAlignment="1">
      <alignment horizontal="center" vertical="center"/>
    </xf>
    <xf numFmtId="0" fontId="3" fillId="30" borderId="21" xfId="0" applyFont="1" applyFill="1" applyBorder="1" applyAlignment="1">
      <alignment horizontal="center" vertical="center"/>
    </xf>
    <xf numFmtId="0" fontId="3" fillId="30" borderId="35" xfId="0" applyFont="1" applyFill="1" applyBorder="1" applyAlignment="1">
      <alignment horizontal="center" vertical="center"/>
    </xf>
    <xf numFmtId="0" fontId="3" fillId="30" borderId="16" xfId="0" applyFont="1" applyFill="1" applyBorder="1" applyAlignment="1">
      <alignment horizontal="center" vertical="center"/>
    </xf>
    <xf numFmtId="0" fontId="3" fillId="99" borderId="43" xfId="0" applyFont="1" applyFill="1" applyBorder="1" applyAlignment="1">
      <alignment horizontal="center" vertical="center"/>
    </xf>
    <xf numFmtId="0" fontId="3" fillId="99" borderId="42" xfId="0" applyFont="1" applyFill="1" applyBorder="1" applyAlignment="1">
      <alignment horizontal="center" vertical="center"/>
    </xf>
    <xf numFmtId="0" fontId="3" fillId="99" borderId="19" xfId="0" applyFont="1" applyFill="1" applyBorder="1" applyAlignment="1">
      <alignment horizontal="center" vertical="center"/>
    </xf>
    <xf numFmtId="165" fontId="3" fillId="99" borderId="18" xfId="1" applyNumberFormat="1" applyFont="1" applyFill="1" applyBorder="1" applyAlignment="1">
      <alignment horizontal="center" vertical="center" wrapText="1"/>
    </xf>
    <xf numFmtId="165" fontId="3" fillId="99" borderId="21" xfId="1" applyNumberFormat="1" applyFont="1" applyFill="1" applyBorder="1" applyAlignment="1">
      <alignment horizontal="center" vertical="center" wrapText="1"/>
    </xf>
    <xf numFmtId="165" fontId="38" fillId="0" borderId="0" xfId="1" applyNumberFormat="1" applyFont="1" applyFill="1" applyBorder="1" applyAlignment="1">
      <alignment horizontal="center" vertical="center"/>
    </xf>
    <xf numFmtId="165" fontId="3" fillId="99" borderId="35" xfId="7" applyNumberFormat="1" applyFont="1" applyFill="1" applyBorder="1" applyAlignment="1">
      <alignment horizontal="center" vertical="center" wrapText="1"/>
    </xf>
    <xf numFmtId="165" fontId="3" fillId="99" borderId="36" xfId="7" applyNumberFormat="1" applyFont="1" applyFill="1" applyBorder="1" applyAlignment="1">
      <alignment horizontal="center" vertical="center" wrapText="1"/>
    </xf>
    <xf numFmtId="165" fontId="3" fillId="99" borderId="16" xfId="7" applyNumberFormat="1" applyFont="1" applyFill="1" applyBorder="1" applyAlignment="1">
      <alignment horizontal="center" vertical="center" wrapText="1"/>
    </xf>
    <xf numFmtId="165" fontId="3" fillId="99" borderId="35" xfId="1" applyNumberFormat="1" applyFont="1" applyFill="1" applyBorder="1" applyAlignment="1">
      <alignment horizontal="center" vertical="center"/>
    </xf>
    <xf numFmtId="165" fontId="3" fillId="99" borderId="16" xfId="1" applyNumberFormat="1" applyFont="1" applyFill="1" applyBorder="1" applyAlignment="1">
      <alignment horizontal="center" vertical="center"/>
    </xf>
    <xf numFmtId="165" fontId="3" fillId="99" borderId="31" xfId="1" applyNumberFormat="1" applyFont="1" applyFill="1" applyBorder="1" applyAlignment="1">
      <alignment horizontal="center" vertical="center"/>
    </xf>
    <xf numFmtId="165" fontId="3" fillId="99" borderId="12" xfId="1" applyNumberFormat="1" applyFont="1" applyFill="1" applyBorder="1" applyAlignment="1">
      <alignment horizontal="center" vertical="center"/>
    </xf>
    <xf numFmtId="165" fontId="26" fillId="0" borderId="74" xfId="1" applyNumberFormat="1" applyFont="1" applyFill="1" applyBorder="1" applyAlignment="1">
      <alignment horizontal="right" vertical="center"/>
    </xf>
    <xf numFmtId="165" fontId="3" fillId="99" borderId="19" xfId="7" applyNumberFormat="1" applyFont="1" applyFill="1" applyBorder="1" applyAlignment="1">
      <alignment horizontal="center" vertical="center" wrapText="1"/>
    </xf>
    <xf numFmtId="165" fontId="3" fillId="99" borderId="53" xfId="7" applyNumberFormat="1" applyFont="1" applyFill="1" applyBorder="1" applyAlignment="1">
      <alignment horizontal="center" vertical="center" wrapText="1"/>
    </xf>
    <xf numFmtId="165" fontId="3" fillId="99" borderId="47" xfId="1" applyNumberFormat="1" applyFont="1" applyFill="1" applyBorder="1" applyAlignment="1">
      <alignment horizontal="center" vertical="center"/>
    </xf>
    <xf numFmtId="165" fontId="3" fillId="99" borderId="14" xfId="1" applyNumberFormat="1" applyFont="1" applyFill="1" applyBorder="1" applyAlignment="1">
      <alignment horizontal="center" vertical="center"/>
    </xf>
    <xf numFmtId="165" fontId="3" fillId="99" borderId="11" xfId="1" applyNumberFormat="1" applyFont="1" applyFill="1" applyBorder="1" applyAlignment="1">
      <alignment horizontal="center" vertical="center"/>
    </xf>
    <xf numFmtId="165" fontId="3" fillId="99" borderId="46" xfId="1" applyNumberFormat="1" applyFont="1" applyFill="1" applyBorder="1" applyAlignment="1">
      <alignment horizontal="center" vertical="center"/>
    </xf>
    <xf numFmtId="165" fontId="3" fillId="99" borderId="74" xfId="1" applyNumberFormat="1" applyFont="1" applyFill="1" applyBorder="1" applyAlignment="1">
      <alignment horizontal="center" vertical="center"/>
    </xf>
    <xf numFmtId="165" fontId="3" fillId="99" borderId="42" xfId="7" applyNumberFormat="1" applyFont="1" applyFill="1" applyBorder="1" applyAlignment="1">
      <alignment horizontal="center" vertical="center" wrapText="1"/>
    </xf>
    <xf numFmtId="165" fontId="3" fillId="99" borderId="19" xfId="1" applyNumberFormat="1" applyFont="1" applyFill="1" applyBorder="1" applyAlignment="1">
      <alignment horizontal="center" vertical="center"/>
    </xf>
    <xf numFmtId="165" fontId="3" fillId="99" borderId="53" xfId="1" applyNumberFormat="1" applyFont="1" applyFill="1" applyBorder="1" applyAlignment="1">
      <alignment horizontal="center" vertical="center"/>
    </xf>
    <xf numFmtId="165" fontId="3" fillId="99" borderId="0" xfId="1" applyNumberFormat="1" applyFont="1" applyFill="1" applyBorder="1" applyAlignment="1">
      <alignment horizontal="center" vertical="center"/>
    </xf>
    <xf numFmtId="0" fontId="27" fillId="99" borderId="35" xfId="0" applyFont="1" applyFill="1" applyBorder="1" applyAlignment="1">
      <alignment horizontal="center" vertical="center"/>
    </xf>
    <xf numFmtId="0" fontId="27" fillId="99" borderId="19" xfId="0" applyFont="1" applyFill="1" applyBorder="1" applyAlignment="1">
      <alignment horizontal="center" vertical="center"/>
    </xf>
    <xf numFmtId="0" fontId="27" fillId="99" borderId="53" xfId="0" applyFont="1" applyFill="1" applyBorder="1" applyAlignment="1">
      <alignment horizontal="center" vertical="center"/>
    </xf>
    <xf numFmtId="165" fontId="3" fillId="99" borderId="33" xfId="1" applyNumberFormat="1" applyFont="1" applyFill="1" applyBorder="1" applyAlignment="1">
      <alignment horizontal="center" vertical="center"/>
    </xf>
    <xf numFmtId="165" fontId="3" fillId="99" borderId="49" xfId="1" applyNumberFormat="1" applyFont="1" applyFill="1" applyBorder="1" applyAlignment="1">
      <alignment horizontal="center" vertical="center"/>
    </xf>
    <xf numFmtId="165" fontId="3" fillId="99" borderId="128" xfId="1" applyNumberFormat="1" applyFont="1" applyFill="1" applyBorder="1" applyAlignment="1">
      <alignment horizontal="center" vertical="center"/>
    </xf>
    <xf numFmtId="165" fontId="26" fillId="0" borderId="0" xfId="1" applyNumberFormat="1" applyFont="1" applyFill="1" applyBorder="1" applyAlignment="1">
      <alignment horizontal="right" vertical="center"/>
    </xf>
    <xf numFmtId="0" fontId="26" fillId="0" borderId="74" xfId="25" applyFont="1" applyBorder="1" applyAlignment="1">
      <alignment horizontal="right" vertical="center"/>
    </xf>
    <xf numFmtId="0" fontId="26" fillId="0" borderId="0" xfId="25" applyFont="1" applyAlignment="1">
      <alignment horizontal="right" vertical="center"/>
    </xf>
    <xf numFmtId="165" fontId="26" fillId="99" borderId="18" xfId="1" applyNumberFormat="1" applyFont="1" applyFill="1" applyBorder="1" applyAlignment="1">
      <alignment horizontal="center" vertical="center"/>
    </xf>
    <xf numFmtId="165" fontId="26" fillId="99" borderId="21" xfId="1" applyNumberFormat="1" applyFont="1" applyFill="1" applyBorder="1" applyAlignment="1">
      <alignment horizontal="center" vertical="center"/>
    </xf>
    <xf numFmtId="165" fontId="3" fillId="99" borderId="36" xfId="1" applyNumberFormat="1" applyFont="1" applyFill="1" applyBorder="1" applyAlignment="1">
      <alignment horizontal="center" vertical="center"/>
    </xf>
    <xf numFmtId="0" fontId="3" fillId="0" borderId="0" xfId="0" applyFont="1" applyAlignment="1">
      <alignment horizontal="center" vertical="center"/>
    </xf>
    <xf numFmtId="0" fontId="26" fillId="99" borderId="18" xfId="0" applyFont="1" applyFill="1" applyBorder="1" applyAlignment="1">
      <alignment horizontal="center" vertical="center"/>
    </xf>
    <xf numFmtId="0" fontId="26" fillId="99" borderId="203" xfId="0" applyFont="1" applyFill="1" applyBorder="1" applyAlignment="1">
      <alignment horizontal="center" vertical="center"/>
    </xf>
    <xf numFmtId="0" fontId="26" fillId="99" borderId="21" xfId="0" applyFont="1" applyFill="1" applyBorder="1" applyAlignment="1">
      <alignment horizontal="center" vertical="center"/>
    </xf>
    <xf numFmtId="0" fontId="26" fillId="99" borderId="11" xfId="0" applyFont="1" applyFill="1" applyBorder="1" applyAlignment="1">
      <alignment horizontal="center" vertical="center"/>
    </xf>
    <xf numFmtId="0" fontId="26" fillId="99" borderId="12" xfId="0" applyFont="1" applyFill="1" applyBorder="1" applyAlignment="1">
      <alignment horizontal="center" vertical="center"/>
    </xf>
    <xf numFmtId="0" fontId="26" fillId="99" borderId="35" xfId="0" applyFont="1" applyFill="1" applyBorder="1" applyAlignment="1">
      <alignment horizontal="center" vertical="center"/>
    </xf>
    <xf numFmtId="0" fontId="26" fillId="99" borderId="16" xfId="0" applyFont="1" applyFill="1" applyBorder="1" applyAlignment="1">
      <alignment horizontal="center" vertical="center"/>
    </xf>
    <xf numFmtId="165" fontId="26" fillId="99" borderId="18" xfId="1" applyNumberFormat="1" applyFont="1" applyFill="1" applyBorder="1" applyAlignment="1">
      <alignment horizontal="center" vertical="center" wrapText="1"/>
    </xf>
    <xf numFmtId="165" fontId="26" fillId="99" borderId="21" xfId="1" applyNumberFormat="1" applyFont="1" applyFill="1" applyBorder="1" applyAlignment="1">
      <alignment horizontal="center" vertical="center" wrapText="1"/>
    </xf>
    <xf numFmtId="0" fontId="133" fillId="0" borderId="0" xfId="0" applyFont="1" applyAlignment="1">
      <alignment horizontal="left" vertical="center" wrapText="1"/>
    </xf>
    <xf numFmtId="0" fontId="26" fillId="0" borderId="0" xfId="0" applyFont="1" applyAlignment="1">
      <alignment horizontal="right" vertical="center" wrapText="1"/>
    </xf>
    <xf numFmtId="0" fontId="26" fillId="0" borderId="0" xfId="0" applyFont="1" applyAlignment="1">
      <alignment horizontal="left" vertical="center"/>
    </xf>
    <xf numFmtId="0" fontId="26" fillId="0" borderId="0" xfId="0" applyFont="1" applyAlignment="1">
      <alignment horizontal="center" vertical="center" wrapText="1"/>
    </xf>
    <xf numFmtId="0" fontId="54" fillId="107" borderId="189" xfId="0" applyFont="1" applyFill="1" applyBorder="1" applyAlignment="1">
      <alignment horizontal="center" vertical="center"/>
    </xf>
    <xf numFmtId="0" fontId="54" fillId="107" borderId="199" xfId="0" applyFont="1" applyFill="1" applyBorder="1" applyAlignment="1">
      <alignment horizontal="center" vertical="center"/>
    </xf>
    <xf numFmtId="0" fontId="54" fillId="107" borderId="176" xfId="0" applyFont="1" applyFill="1" applyBorder="1" applyAlignment="1">
      <alignment horizontal="center" vertical="center"/>
    </xf>
    <xf numFmtId="0" fontId="26" fillId="96" borderId="28" xfId="0" applyFont="1" applyFill="1" applyBorder="1" applyAlignment="1">
      <alignment horizontal="center" vertical="center" wrapText="1"/>
    </xf>
    <xf numFmtId="0" fontId="26" fillId="96" borderId="197" xfId="0" applyFont="1" applyFill="1" applyBorder="1" applyAlignment="1">
      <alignment horizontal="center" vertical="center" wrapText="1"/>
    </xf>
    <xf numFmtId="0" fontId="26" fillId="96" borderId="4" xfId="0" applyFont="1" applyFill="1" applyBorder="1" applyAlignment="1">
      <alignment horizontal="center" vertical="center"/>
    </xf>
    <xf numFmtId="0" fontId="26" fillId="96" borderId="194" xfId="0" applyFont="1" applyFill="1" applyBorder="1" applyAlignment="1">
      <alignment horizontal="center" vertical="center"/>
    </xf>
    <xf numFmtId="0" fontId="26" fillId="96" borderId="4" xfId="0" applyFont="1" applyFill="1" applyBorder="1" applyAlignment="1">
      <alignment horizontal="center" vertical="center" wrapText="1"/>
    </xf>
    <xf numFmtId="0" fontId="26" fillId="96" borderId="194" xfId="0" applyFont="1" applyFill="1" applyBorder="1" applyAlignment="1">
      <alignment horizontal="center" vertical="center" wrapText="1"/>
    </xf>
    <xf numFmtId="0" fontId="160" fillId="0" borderId="0" xfId="0" applyFont="1" applyAlignment="1">
      <alignment horizontal="left" vertical="center" wrapText="1"/>
    </xf>
    <xf numFmtId="0" fontId="60" fillId="0" borderId="0" xfId="0" applyFont="1" applyAlignment="1">
      <alignment horizontal="left" vertical="center" wrapText="1"/>
    </xf>
    <xf numFmtId="0" fontId="54" fillId="95" borderId="163" xfId="0" applyFont="1" applyFill="1" applyBorder="1" applyAlignment="1">
      <alignment horizontal="center" vertical="center" wrapText="1"/>
    </xf>
    <xf numFmtId="0" fontId="54" fillId="95" borderId="160" xfId="0" applyFont="1" applyFill="1" applyBorder="1" applyAlignment="1">
      <alignment horizontal="center" vertical="center" wrapText="1"/>
    </xf>
    <xf numFmtId="0" fontId="54" fillId="95" borderId="164" xfId="0" applyFont="1" applyFill="1" applyBorder="1" applyAlignment="1">
      <alignment horizontal="center" vertical="center" wrapText="1"/>
    </xf>
    <xf numFmtId="0" fontId="26" fillId="96" borderId="80" xfId="0" applyFont="1" applyFill="1" applyBorder="1" applyAlignment="1">
      <alignment horizontal="center" vertical="center"/>
    </xf>
    <xf numFmtId="0" fontId="26" fillId="96" borderId="28" xfId="0" applyFont="1" applyFill="1" applyBorder="1" applyAlignment="1">
      <alignment horizontal="center" vertical="center"/>
    </xf>
    <xf numFmtId="0" fontId="26" fillId="96" borderId="3" xfId="0" applyFont="1" applyFill="1" applyBorder="1" applyAlignment="1">
      <alignment horizontal="center" vertical="center"/>
    </xf>
    <xf numFmtId="0" fontId="26" fillId="96" borderId="3" xfId="0" applyFont="1" applyFill="1" applyBorder="1" applyAlignment="1">
      <alignment horizontal="center" vertical="center" wrapText="1"/>
    </xf>
    <xf numFmtId="0" fontId="54" fillId="95" borderId="182" xfId="0" applyFont="1" applyFill="1" applyBorder="1" applyAlignment="1">
      <alignment horizontal="center" vertical="center" wrapText="1"/>
    </xf>
    <xf numFmtId="0" fontId="54" fillId="95" borderId="181" xfId="0" applyFont="1" applyFill="1" applyBorder="1" applyAlignment="1">
      <alignment horizontal="center" vertical="center" wrapText="1"/>
    </xf>
    <xf numFmtId="0" fontId="3" fillId="0" borderId="0" xfId="0" applyFont="1" applyAlignment="1">
      <alignment horizontal="center" vertical="center" wrapText="1"/>
    </xf>
    <xf numFmtId="0" fontId="26" fillId="0" borderId="6" xfId="0" applyFont="1" applyBorder="1" applyAlignment="1">
      <alignment horizontal="right" vertical="center"/>
    </xf>
    <xf numFmtId="0" fontId="81" fillId="0" borderId="0" xfId="0" applyFont="1" applyAlignment="1">
      <alignment horizontal="left" vertical="center" wrapText="1"/>
    </xf>
    <xf numFmtId="0" fontId="54" fillId="107" borderId="172" xfId="0" applyFont="1" applyFill="1" applyBorder="1" applyAlignment="1">
      <alignment horizontal="center" vertical="center"/>
    </xf>
    <xf numFmtId="0" fontId="54" fillId="107" borderId="168" xfId="0" applyFont="1" applyFill="1" applyBorder="1" applyAlignment="1">
      <alignment horizontal="center" vertical="center"/>
    </xf>
    <xf numFmtId="43" fontId="26" fillId="96" borderId="186" xfId="0" applyNumberFormat="1" applyFont="1" applyFill="1" applyBorder="1" applyAlignment="1">
      <alignment horizontal="center" vertical="center"/>
    </xf>
    <xf numFmtId="43" fontId="26" fillId="96" borderId="88" xfId="0" applyNumberFormat="1" applyFont="1" applyFill="1" applyBorder="1" applyAlignment="1">
      <alignment horizontal="center" vertical="center"/>
    </xf>
    <xf numFmtId="43" fontId="26" fillId="96" borderId="86" xfId="0" applyNumberFormat="1" applyFont="1" applyFill="1" applyBorder="1" applyAlignment="1">
      <alignment horizontal="center" vertical="center"/>
    </xf>
    <xf numFmtId="165" fontId="26" fillId="96" borderId="186" xfId="1" applyNumberFormat="1" applyFont="1" applyFill="1" applyBorder="1" applyAlignment="1">
      <alignment horizontal="center" vertical="center"/>
    </xf>
    <xf numFmtId="165" fontId="26" fillId="96" borderId="88" xfId="1" applyNumberFormat="1" applyFont="1" applyFill="1" applyBorder="1" applyAlignment="1">
      <alignment horizontal="center" vertical="center"/>
    </xf>
    <xf numFmtId="0" fontId="26" fillId="96" borderId="186" xfId="0" applyFont="1" applyFill="1" applyBorder="1" applyAlignment="1">
      <alignment horizontal="center" vertical="center"/>
    </xf>
    <xf numFmtId="0" fontId="26" fillId="96" borderId="86" xfId="0" applyFont="1" applyFill="1" applyBorder="1" applyAlignment="1">
      <alignment horizontal="center" vertical="center"/>
    </xf>
    <xf numFmtId="0" fontId="26" fillId="96" borderId="88" xfId="0" applyFont="1" applyFill="1" applyBorder="1" applyAlignment="1">
      <alignment horizontal="center" vertical="center"/>
    </xf>
    <xf numFmtId="0" fontId="54" fillId="107" borderId="225" xfId="0" applyFont="1" applyFill="1" applyBorder="1" applyAlignment="1">
      <alignment horizontal="center" vertical="center"/>
    </xf>
    <xf numFmtId="0" fontId="54" fillId="107" borderId="3" xfId="0" applyFont="1" applyFill="1" applyBorder="1" applyAlignment="1">
      <alignment horizontal="center" vertical="center"/>
    </xf>
    <xf numFmtId="0" fontId="54" fillId="107" borderId="163" xfId="0" applyFont="1" applyFill="1" applyBorder="1" applyAlignment="1">
      <alignment horizontal="center" vertical="center"/>
    </xf>
    <xf numFmtId="0" fontId="54" fillId="107" borderId="164" xfId="0" applyFont="1" applyFill="1" applyBorder="1" applyAlignment="1">
      <alignment horizontal="center" vertical="center"/>
    </xf>
    <xf numFmtId="0" fontId="54" fillId="107" borderId="219" xfId="0" applyFont="1" applyFill="1" applyBorder="1" applyAlignment="1">
      <alignment horizontal="center" vertical="center"/>
    </xf>
    <xf numFmtId="0" fontId="54" fillId="107" borderId="170" xfId="0" applyFont="1" applyFill="1" applyBorder="1" applyAlignment="1">
      <alignment horizontal="center" vertical="center"/>
    </xf>
    <xf numFmtId="0" fontId="26" fillId="96" borderId="191" xfId="0" applyFont="1" applyFill="1" applyBorder="1" applyAlignment="1">
      <alignment horizontal="center" vertical="center"/>
    </xf>
    <xf numFmtId="0" fontId="26" fillId="96" borderId="178" xfId="0" applyFont="1" applyFill="1" applyBorder="1" applyAlignment="1">
      <alignment horizontal="center" vertical="center"/>
    </xf>
    <xf numFmtId="0" fontId="26" fillId="96" borderId="179" xfId="0" applyFont="1" applyFill="1" applyBorder="1" applyAlignment="1">
      <alignment horizontal="center" vertical="center"/>
    </xf>
    <xf numFmtId="0" fontId="26" fillId="96" borderId="224" xfId="0" applyFont="1" applyFill="1" applyBorder="1" applyAlignment="1">
      <alignment horizontal="center" vertical="center"/>
    </xf>
    <xf numFmtId="0" fontId="26" fillId="96" borderId="180" xfId="0" applyFont="1" applyFill="1" applyBorder="1" applyAlignment="1">
      <alignment horizontal="center" vertical="center"/>
    </xf>
    <xf numFmtId="0" fontId="3" fillId="96" borderId="194" xfId="0" applyFont="1" applyFill="1" applyBorder="1" applyAlignment="1">
      <alignment horizontal="center" vertical="center" wrapText="1"/>
    </xf>
    <xf numFmtId="0" fontId="54" fillId="107" borderId="194" xfId="0" applyFont="1" applyFill="1" applyBorder="1" applyAlignment="1">
      <alignment horizontal="center" vertical="center"/>
    </xf>
    <xf numFmtId="0" fontId="3" fillId="96" borderId="196" xfId="0" applyFont="1" applyFill="1" applyBorder="1" applyAlignment="1">
      <alignment horizontal="center" vertical="center" wrapText="1"/>
    </xf>
    <xf numFmtId="0" fontId="3" fillId="96" borderId="3" xfId="0" applyFont="1" applyFill="1" applyBorder="1" applyAlignment="1">
      <alignment horizontal="center" vertical="center" wrapText="1"/>
    </xf>
    <xf numFmtId="0" fontId="3" fillId="96" borderId="4" xfId="0" applyFont="1" applyFill="1" applyBorder="1" applyAlignment="1">
      <alignment horizontal="center" vertical="center" wrapText="1"/>
    </xf>
    <xf numFmtId="0" fontId="32" fillId="96" borderId="196" xfId="0" applyFont="1" applyFill="1" applyBorder="1" applyAlignment="1">
      <alignment horizontal="center" vertical="center" wrapText="1"/>
    </xf>
    <xf numFmtId="0" fontId="32" fillId="96" borderId="3" xfId="0" applyFont="1" applyFill="1" applyBorder="1" applyAlignment="1">
      <alignment horizontal="center" vertical="center" wrapText="1"/>
    </xf>
    <xf numFmtId="0" fontId="32" fillId="96" borderId="4" xfId="0" applyFont="1" applyFill="1" applyBorder="1" applyAlignment="1">
      <alignment horizontal="center" vertical="center" wrapText="1"/>
    </xf>
    <xf numFmtId="0" fontId="54" fillId="107" borderId="196" xfId="0" applyFont="1" applyFill="1" applyBorder="1" applyAlignment="1">
      <alignment horizontal="center" vertical="center"/>
    </xf>
    <xf numFmtId="0" fontId="54" fillId="107" borderId="4" xfId="0" applyFont="1" applyFill="1" applyBorder="1" applyAlignment="1">
      <alignment horizontal="center" vertical="center"/>
    </xf>
    <xf numFmtId="0" fontId="26" fillId="96" borderId="196" xfId="0" applyFont="1" applyFill="1" applyBorder="1" applyAlignment="1">
      <alignment horizontal="center" vertical="center" wrapText="1"/>
    </xf>
    <xf numFmtId="0" fontId="26" fillId="0" borderId="6" xfId="25" applyFont="1" applyBorder="1" applyAlignment="1">
      <alignment horizontal="center" vertical="center"/>
    </xf>
    <xf numFmtId="0" fontId="54" fillId="95" borderId="80" xfId="0" applyFont="1" applyFill="1" applyBorder="1" applyAlignment="1">
      <alignment horizontal="center" vertical="center" wrapText="1"/>
    </xf>
    <xf numFmtId="0" fontId="3" fillId="96" borderId="2" xfId="25" applyFont="1" applyFill="1" applyBorder="1" applyAlignment="1">
      <alignment horizontal="center" vertical="center"/>
    </xf>
    <xf numFmtId="0" fontId="3" fillId="96" borderId="0" xfId="25" applyFont="1" applyFill="1" applyAlignment="1">
      <alignment horizontal="center" vertical="center"/>
    </xf>
    <xf numFmtId="2" fontId="27" fillId="0" borderId="0" xfId="1" applyNumberFormat="1" applyFont="1" applyFill="1" applyBorder="1" applyAlignment="1">
      <alignment horizontal="right" vertical="center"/>
    </xf>
    <xf numFmtId="165" fontId="27" fillId="0" borderId="0" xfId="1" applyNumberFormat="1" applyFont="1" applyFill="1" applyBorder="1" applyAlignment="1">
      <alignment horizontal="center" vertical="center"/>
    </xf>
    <xf numFmtId="0" fontId="54" fillId="107" borderId="221" xfId="0" applyFont="1" applyFill="1" applyBorder="1" applyAlignment="1">
      <alignment horizontal="center" vertical="center"/>
    </xf>
    <xf numFmtId="0" fontId="54" fillId="95" borderId="158" xfId="0" applyFont="1" applyFill="1" applyBorder="1" applyAlignment="1">
      <alignment horizontal="center" vertical="center" wrapText="1"/>
    </xf>
    <xf numFmtId="0" fontId="54" fillId="95" borderId="159" xfId="0" applyFont="1" applyFill="1" applyBorder="1" applyAlignment="1">
      <alignment horizontal="center" vertical="center" wrapText="1"/>
    </xf>
    <xf numFmtId="0" fontId="26" fillId="0" borderId="136" xfId="0" applyFont="1" applyBorder="1" applyAlignment="1">
      <alignment horizontal="center" vertical="center" wrapText="1"/>
    </xf>
    <xf numFmtId="0" fontId="26" fillId="0" borderId="6" xfId="0" applyFont="1" applyBorder="1" applyAlignment="1">
      <alignment horizontal="center" vertical="center" wrapText="1"/>
    </xf>
    <xf numFmtId="0" fontId="54" fillId="107" borderId="163" xfId="0" applyFont="1" applyFill="1" applyBorder="1" applyAlignment="1">
      <alignment horizontal="left" vertical="center"/>
    </xf>
    <xf numFmtId="0" fontId="54" fillId="107" borderId="164" xfId="0" applyFont="1" applyFill="1" applyBorder="1" applyAlignment="1">
      <alignment horizontal="left" vertical="center"/>
    </xf>
    <xf numFmtId="0" fontId="3" fillId="96" borderId="197" xfId="0" applyFont="1" applyFill="1" applyBorder="1" applyAlignment="1">
      <alignment horizontal="center" vertical="center"/>
    </xf>
    <xf numFmtId="0" fontId="3" fillId="96" borderId="194" xfId="0" applyFont="1" applyFill="1" applyBorder="1" applyAlignment="1">
      <alignment horizontal="center" vertical="center"/>
    </xf>
    <xf numFmtId="0" fontId="3" fillId="96" borderId="195" xfId="0" applyFont="1" applyFill="1" applyBorder="1" applyAlignment="1">
      <alignment horizontal="center" vertical="center"/>
    </xf>
    <xf numFmtId="0" fontId="3" fillId="96" borderId="198" xfId="0" applyFont="1" applyFill="1" applyBorder="1" applyAlignment="1">
      <alignment horizontal="center" vertical="center"/>
    </xf>
    <xf numFmtId="0" fontId="27" fillId="96" borderId="194" xfId="0" applyFont="1" applyFill="1" applyBorder="1" applyAlignment="1">
      <alignment horizontal="center" vertical="center" wrapText="1"/>
    </xf>
    <xf numFmtId="0" fontId="54" fillId="107" borderId="160" xfId="0" applyFont="1" applyFill="1" applyBorder="1" applyAlignment="1">
      <alignment horizontal="left" vertical="center"/>
    </xf>
    <xf numFmtId="0" fontId="3" fillId="96" borderId="225" xfId="0" applyFont="1" applyFill="1" applyBorder="1" applyAlignment="1">
      <alignment horizontal="center" vertical="center"/>
    </xf>
    <xf numFmtId="0" fontId="3" fillId="96" borderId="136" xfId="0" applyFont="1" applyFill="1" applyBorder="1" applyAlignment="1">
      <alignment horizontal="center" vertical="center"/>
    </xf>
    <xf numFmtId="0" fontId="3" fillId="96" borderId="226" xfId="0" applyFont="1" applyFill="1" applyBorder="1" applyAlignment="1">
      <alignment horizontal="center" vertical="center"/>
    </xf>
    <xf numFmtId="0" fontId="3" fillId="96" borderId="5" xfId="0" applyFont="1" applyFill="1" applyBorder="1" applyAlignment="1">
      <alignment horizontal="center" vertical="center"/>
    </xf>
    <xf numFmtId="0" fontId="3" fillId="96" borderId="6" xfId="0" applyFont="1" applyFill="1" applyBorder="1" applyAlignment="1">
      <alignment horizontal="center" vertical="center"/>
    </xf>
    <xf numFmtId="0" fontId="3" fillId="96" borderId="28" xfId="0" applyFont="1" applyFill="1" applyBorder="1" applyAlignment="1">
      <alignment horizontal="center" vertical="center"/>
    </xf>
    <xf numFmtId="0" fontId="54" fillId="107" borderId="3" xfId="0" applyFont="1" applyFill="1" applyBorder="1" applyAlignment="1">
      <alignment horizontal="left" vertical="center"/>
    </xf>
    <xf numFmtId="0" fontId="54" fillId="107" borderId="4" xfId="0" applyFont="1" applyFill="1" applyBorder="1" applyAlignment="1">
      <alignment horizontal="left" vertical="center"/>
    </xf>
    <xf numFmtId="0" fontId="3" fillId="96" borderId="198" xfId="0" applyFont="1" applyFill="1" applyBorder="1" applyAlignment="1">
      <alignment horizontal="center" vertical="center" wrapText="1"/>
    </xf>
    <xf numFmtId="0" fontId="3" fillId="96" borderId="197" xfId="0" applyFont="1" applyFill="1" applyBorder="1" applyAlignment="1">
      <alignment horizontal="center" vertical="center" wrapText="1"/>
    </xf>
    <xf numFmtId="0" fontId="3" fillId="96" borderId="195" xfId="0" applyFont="1" applyFill="1" applyBorder="1" applyAlignment="1">
      <alignment horizontal="center" vertical="center" wrapText="1"/>
    </xf>
    <xf numFmtId="0" fontId="54" fillId="107" borderId="163" xfId="25" applyFont="1" applyFill="1" applyBorder="1" applyAlignment="1">
      <alignment horizontal="left" vertical="center"/>
    </xf>
    <xf numFmtId="0" fontId="54" fillId="107" borderId="164" xfId="25" applyFont="1" applyFill="1" applyBorder="1" applyAlignment="1">
      <alignment horizontal="left" vertical="center"/>
    </xf>
    <xf numFmtId="0" fontId="3" fillId="96" borderId="198" xfId="25" applyFont="1" applyFill="1" applyBorder="1" applyAlignment="1">
      <alignment horizontal="center" vertical="center"/>
    </xf>
    <xf numFmtId="0" fontId="3" fillId="96" borderId="197" xfId="25" applyFont="1" applyFill="1" applyBorder="1" applyAlignment="1">
      <alignment horizontal="center" vertical="center"/>
    </xf>
    <xf numFmtId="0" fontId="3" fillId="96" borderId="195" xfId="25" applyFont="1" applyFill="1" applyBorder="1" applyAlignment="1">
      <alignment horizontal="center" vertical="center" wrapText="1"/>
    </xf>
    <xf numFmtId="0" fontId="3" fillId="96" borderId="198" xfId="25" applyFont="1" applyFill="1" applyBorder="1" applyAlignment="1">
      <alignment horizontal="center" vertical="center" wrapText="1"/>
    </xf>
    <xf numFmtId="0" fontId="3" fillId="96" borderId="197" xfId="25" applyFont="1" applyFill="1" applyBorder="1" applyAlignment="1">
      <alignment horizontal="center" vertical="center" wrapText="1"/>
    </xf>
    <xf numFmtId="0" fontId="54" fillId="107" borderId="196" xfId="0" applyFont="1" applyFill="1" applyBorder="1" applyAlignment="1">
      <alignment horizontal="left" vertical="center"/>
    </xf>
    <xf numFmtId="0" fontId="152" fillId="0" borderId="0" xfId="0" applyFont="1" applyAlignment="1">
      <alignment horizontal="left" wrapText="1"/>
    </xf>
    <xf numFmtId="0" fontId="28" fillId="4" borderId="196" xfId="0" applyFont="1" applyFill="1" applyBorder="1" applyAlignment="1">
      <alignment horizontal="center" vertical="center"/>
    </xf>
    <xf numFmtId="0" fontId="28" fillId="4" borderId="4" xfId="0" applyFont="1" applyFill="1" applyBorder="1" applyAlignment="1">
      <alignment horizontal="center" vertical="center"/>
    </xf>
    <xf numFmtId="4" fontId="13" fillId="0" borderId="194" xfId="0" applyNumberFormat="1" applyFont="1" applyBorder="1" applyAlignment="1">
      <alignment horizontal="center" vertical="center"/>
    </xf>
    <xf numFmtId="0" fontId="26" fillId="5" borderId="0" xfId="0" applyFont="1" applyFill="1" applyAlignment="1">
      <alignment horizontal="center" vertical="center" wrapText="1"/>
    </xf>
    <xf numFmtId="0" fontId="28" fillId="6" borderId="3" xfId="0" applyFont="1" applyFill="1" applyBorder="1" applyAlignment="1">
      <alignment horizontal="center" vertical="center"/>
    </xf>
    <xf numFmtId="0" fontId="28" fillId="6" borderId="4" xfId="0" applyFont="1" applyFill="1" applyBorder="1" applyAlignment="1">
      <alignment horizontal="center" vertical="center"/>
    </xf>
    <xf numFmtId="0" fontId="28" fillId="6" borderId="194" xfId="0" applyFont="1" applyFill="1" applyBorder="1" applyAlignment="1">
      <alignment horizontal="center" vertical="center"/>
    </xf>
    <xf numFmtId="0" fontId="13" fillId="0" borderId="196" xfId="0" applyFont="1" applyBorder="1" applyAlignment="1">
      <alignment horizontal="center" vertical="center"/>
    </xf>
    <xf numFmtId="0" fontId="13" fillId="0" borderId="4" xfId="0" applyFont="1" applyBorder="1" applyAlignment="1">
      <alignment horizontal="center" vertical="center"/>
    </xf>
    <xf numFmtId="0" fontId="13" fillId="0" borderId="196" xfId="0" applyFont="1" applyBorder="1" applyAlignment="1">
      <alignment horizontal="center" vertical="center" wrapText="1"/>
    </xf>
    <xf numFmtId="0" fontId="13" fillId="0" borderId="4" xfId="0" applyFont="1" applyBorder="1" applyAlignment="1">
      <alignment horizontal="center" vertical="center" wrapText="1"/>
    </xf>
    <xf numFmtId="0" fontId="26" fillId="0" borderId="6" xfId="0" applyFont="1" applyBorder="1" applyAlignment="1">
      <alignment horizontal="left" vertical="center"/>
    </xf>
    <xf numFmtId="0" fontId="26" fillId="5" borderId="19" xfId="0" applyFont="1" applyFill="1" applyBorder="1" applyAlignment="1">
      <alignment horizontal="center" vertical="center"/>
    </xf>
    <xf numFmtId="0" fontId="26" fillId="5" borderId="0" xfId="0" applyFont="1" applyFill="1" applyAlignment="1">
      <alignment horizontal="center" vertical="center"/>
    </xf>
    <xf numFmtId="0" fontId="26" fillId="0" borderId="31" xfId="0" applyFont="1" applyBorder="1" applyAlignment="1">
      <alignment horizontal="center" vertical="center" wrapText="1"/>
    </xf>
    <xf numFmtId="0" fontId="26" fillId="0" borderId="11" xfId="0" applyFont="1" applyBorder="1" applyAlignment="1">
      <alignment horizontal="center" vertical="center"/>
    </xf>
    <xf numFmtId="0" fontId="26" fillId="0" borderId="43" xfId="0" applyFont="1" applyBorder="1" applyAlignment="1">
      <alignment horizontal="center" vertical="center"/>
    </xf>
    <xf numFmtId="0" fontId="13" fillId="0" borderId="195" xfId="0" applyFont="1" applyBorder="1" applyAlignment="1">
      <alignment horizontal="center" wrapText="1"/>
    </xf>
    <xf numFmtId="0" fontId="13" fillId="0" borderId="197" xfId="0" applyFont="1" applyBorder="1" applyAlignment="1">
      <alignment horizontal="center" wrapText="1"/>
    </xf>
    <xf numFmtId="0" fontId="13" fillId="0" borderId="195" xfId="0" applyFont="1" applyBorder="1" applyAlignment="1">
      <alignment horizontal="center"/>
    </xf>
    <xf numFmtId="0" fontId="13" fillId="0" borderId="197" xfId="0" applyFont="1" applyBorder="1" applyAlignment="1">
      <alignment horizontal="center"/>
    </xf>
    <xf numFmtId="0" fontId="13" fillId="0" borderId="194" xfId="0" applyFont="1" applyBorder="1" applyAlignment="1">
      <alignment horizontal="center"/>
    </xf>
    <xf numFmtId="0" fontId="40" fillId="0" borderId="194" xfId="0" applyFont="1" applyBorder="1" applyAlignment="1">
      <alignment horizontal="center"/>
    </xf>
    <xf numFmtId="0" fontId="26" fillId="0" borderId="194" xfId="0" applyFont="1" applyBorder="1" applyAlignment="1">
      <alignment horizontal="center" vertical="center"/>
    </xf>
    <xf numFmtId="0" fontId="26" fillId="0" borderId="194" xfId="0" applyFont="1" applyBorder="1" applyAlignment="1">
      <alignment horizontal="center"/>
    </xf>
    <xf numFmtId="0" fontId="26" fillId="0" borderId="195" xfId="0" applyFont="1" applyBorder="1" applyAlignment="1">
      <alignment horizontal="center"/>
    </xf>
    <xf numFmtId="0" fontId="26" fillId="0" borderId="198" xfId="0" applyFont="1" applyBorder="1" applyAlignment="1">
      <alignment horizontal="center"/>
    </xf>
    <xf numFmtId="0" fontId="26" fillId="0" borderId="197" xfId="0" applyFont="1" applyBorder="1" applyAlignment="1">
      <alignment horizontal="center"/>
    </xf>
    <xf numFmtId="0" fontId="26" fillId="0" borderId="195" xfId="0" applyFont="1" applyBorder="1" applyAlignment="1">
      <alignment horizontal="center" vertical="center"/>
    </xf>
    <xf numFmtId="0" fontId="26" fillId="0" borderId="34" xfId="0" applyFont="1" applyBorder="1" applyAlignment="1">
      <alignment horizontal="center" vertical="center"/>
    </xf>
    <xf numFmtId="0" fontId="26" fillId="0" borderId="32" xfId="0" applyFont="1" applyBorder="1" applyAlignment="1">
      <alignment horizontal="center" vertical="center"/>
    </xf>
    <xf numFmtId="0" fontId="26" fillId="0" borderId="33" xfId="0" applyFont="1" applyBorder="1" applyAlignment="1">
      <alignment horizontal="center" vertical="center"/>
    </xf>
    <xf numFmtId="0" fontId="26" fillId="0" borderId="25" xfId="0" applyFont="1" applyBorder="1" applyAlignment="1">
      <alignment horizontal="center" vertical="center"/>
    </xf>
    <xf numFmtId="0" fontId="26" fillId="0" borderId="37" xfId="0" applyFont="1" applyBorder="1" applyAlignment="1">
      <alignment horizontal="center" vertical="center"/>
    </xf>
    <xf numFmtId="0" fontId="26" fillId="0" borderId="30" xfId="0" applyFont="1" applyBorder="1" applyAlignment="1">
      <alignment horizontal="center" vertical="center"/>
    </xf>
    <xf numFmtId="0" fontId="28" fillId="2" borderId="196" xfId="0" applyFont="1" applyFill="1" applyBorder="1" applyAlignment="1">
      <alignment horizontal="center" vertical="center"/>
    </xf>
    <xf numFmtId="0" fontId="28" fillId="2" borderId="3" xfId="0" applyFont="1" applyFill="1" applyBorder="1" applyAlignment="1">
      <alignment horizontal="center" vertical="center"/>
    </xf>
    <xf numFmtId="0" fontId="28" fillId="2" borderId="4" xfId="0" applyFont="1" applyFill="1" applyBorder="1" applyAlignment="1">
      <alignment horizontal="center" vertical="center"/>
    </xf>
    <xf numFmtId="0" fontId="28" fillId="2" borderId="196" xfId="0" applyFont="1" applyFill="1" applyBorder="1" applyAlignment="1">
      <alignment horizontal="center" vertical="center" wrapText="1"/>
    </xf>
    <xf numFmtId="0" fontId="48" fillId="0" borderId="0" xfId="0" applyFont="1" applyAlignment="1">
      <alignment horizontal="left" vertical="top" wrapText="1"/>
    </xf>
    <xf numFmtId="0" fontId="18" fillId="0" borderId="0" xfId="0" applyFont="1" applyAlignment="1">
      <alignment horizontal="left" vertical="top" wrapText="1"/>
    </xf>
    <xf numFmtId="0" fontId="44" fillId="0" borderId="0" xfId="0" applyFont="1" applyAlignment="1">
      <alignment horizontal="left" vertical="center" wrapText="1"/>
    </xf>
    <xf numFmtId="2" fontId="29" fillId="0" borderId="195" xfId="0" applyNumberFormat="1" applyFont="1" applyBorder="1" applyAlignment="1">
      <alignment horizontal="left" vertical="center" wrapText="1"/>
    </xf>
    <xf numFmtId="2" fontId="29" fillId="0" borderId="198" xfId="0" applyNumberFormat="1" applyFont="1" applyBorder="1" applyAlignment="1">
      <alignment horizontal="left" vertical="center" wrapText="1"/>
    </xf>
    <xf numFmtId="2" fontId="29" fillId="0" borderId="197" xfId="0" applyNumberFormat="1" applyFont="1" applyBorder="1" applyAlignment="1">
      <alignment horizontal="left" vertical="center" wrapText="1"/>
    </xf>
    <xf numFmtId="4" fontId="28" fillId="0" borderId="194" xfId="0" applyNumberFormat="1" applyFont="1" applyBorder="1" applyAlignment="1">
      <alignment horizontal="center" vertical="center"/>
    </xf>
    <xf numFmtId="0" fontId="28" fillId="0" borderId="194" xfId="0" applyFont="1" applyBorder="1" applyAlignment="1">
      <alignment horizontal="center" vertical="center" wrapText="1"/>
    </xf>
    <xf numFmtId="39" fontId="28" fillId="0" borderId="194" xfId="1" applyNumberFormat="1" applyFont="1" applyFill="1" applyBorder="1" applyAlignment="1">
      <alignment horizontal="center" vertical="center"/>
    </xf>
    <xf numFmtId="4" fontId="28" fillId="0" borderId="225" xfId="0" applyNumberFormat="1" applyFont="1" applyBorder="1" applyAlignment="1">
      <alignment horizontal="center" vertical="center"/>
    </xf>
    <xf numFmtId="4" fontId="28" fillId="0" borderId="226" xfId="0" applyNumberFormat="1" applyFont="1" applyBorder="1" applyAlignment="1">
      <alignment horizontal="center" vertical="center"/>
    </xf>
    <xf numFmtId="4" fontId="28" fillId="0" borderId="5" xfId="0" applyNumberFormat="1" applyFont="1" applyBorder="1" applyAlignment="1">
      <alignment horizontal="center" vertical="center"/>
    </xf>
    <xf numFmtId="4" fontId="28" fillId="0" borderId="28" xfId="0" applyNumberFormat="1" applyFont="1" applyBorder="1" applyAlignment="1">
      <alignment horizontal="center" vertical="center"/>
    </xf>
    <xf numFmtId="165" fontId="3" fillId="0" borderId="194" xfId="1" applyNumberFormat="1" applyFont="1" applyFill="1" applyBorder="1" applyAlignment="1">
      <alignment horizontal="center" vertical="center"/>
    </xf>
    <xf numFmtId="0" fontId="2" fillId="0" borderId="194" xfId="0" applyFont="1" applyBorder="1" applyAlignment="1">
      <alignment horizontal="center" vertical="center"/>
    </xf>
    <xf numFmtId="0" fontId="3" fillId="0" borderId="194" xfId="0" applyFont="1" applyBorder="1" applyAlignment="1">
      <alignment horizontal="center" vertical="center"/>
    </xf>
    <xf numFmtId="165" fontId="2" fillId="0" borderId="194" xfId="1" applyNumberFormat="1" applyFont="1" applyFill="1" applyBorder="1" applyAlignment="1">
      <alignment horizontal="center" vertical="center"/>
    </xf>
    <xf numFmtId="165" fontId="3" fillId="0" borderId="0" xfId="1" applyNumberFormat="1" applyFont="1" applyFill="1" applyBorder="1" applyAlignment="1">
      <alignment horizontal="left" vertical="center"/>
    </xf>
    <xf numFmtId="0" fontId="29" fillId="0" borderId="194" xfId="0" applyFont="1" applyBorder="1" applyAlignment="1">
      <alignment horizontal="center" vertical="center"/>
    </xf>
    <xf numFmtId="0" fontId="32" fillId="11" borderId="194" xfId="0" applyFont="1" applyFill="1" applyBorder="1" applyAlignment="1">
      <alignment horizontal="center" vertical="center"/>
    </xf>
    <xf numFmtId="0" fontId="32" fillId="0" borderId="194" xfId="0" applyFont="1" applyBorder="1" applyAlignment="1">
      <alignment horizontal="center" vertical="center"/>
    </xf>
    <xf numFmtId="0" fontId="32" fillId="0" borderId="198" xfId="0" applyFont="1" applyBorder="1" applyAlignment="1">
      <alignment horizontal="center" vertical="center"/>
    </xf>
    <xf numFmtId="0" fontId="32" fillId="0" borderId="197" xfId="0" applyFont="1" applyBorder="1" applyAlignment="1">
      <alignment horizontal="center" vertical="center"/>
    </xf>
    <xf numFmtId="0" fontId="44" fillId="0" borderId="0" xfId="0" applyFont="1" applyAlignment="1">
      <alignment horizontal="left" vertical="top" wrapText="1"/>
    </xf>
    <xf numFmtId="0" fontId="32" fillId="0" borderId="6" xfId="0" applyFont="1" applyBorder="1" applyAlignment="1">
      <alignment horizontal="left"/>
    </xf>
    <xf numFmtId="0" fontId="32" fillId="0" borderId="0" xfId="0" applyFont="1" applyAlignment="1">
      <alignment horizontal="left"/>
    </xf>
    <xf numFmtId="0" fontId="32" fillId="0" borderId="196" xfId="0" applyFont="1" applyBorder="1" applyAlignment="1">
      <alignment horizontal="center" vertical="center"/>
    </xf>
    <xf numFmtId="0" fontId="32" fillId="0" borderId="4" xfId="0" applyFont="1" applyBorder="1" applyAlignment="1">
      <alignment horizontal="center" vertical="center"/>
    </xf>
    <xf numFmtId="0" fontId="10" fillId="0" borderId="195" xfId="0" applyFont="1" applyBorder="1" applyAlignment="1">
      <alignment horizontal="center" vertical="center"/>
    </xf>
    <xf numFmtId="0" fontId="10" fillId="0" borderId="198" xfId="0" applyFont="1" applyBorder="1" applyAlignment="1">
      <alignment horizontal="center" vertical="center"/>
    </xf>
    <xf numFmtId="0" fontId="10" fillId="0" borderId="197" xfId="0" applyFont="1" applyBorder="1" applyAlignment="1">
      <alignment horizontal="center" vertical="center"/>
    </xf>
    <xf numFmtId="0" fontId="28" fillId="0" borderId="195" xfId="0" applyFont="1" applyBorder="1" applyAlignment="1">
      <alignment horizontal="center" vertical="center"/>
    </xf>
    <xf numFmtId="0" fontId="28" fillId="0" borderId="198" xfId="0" applyFont="1" applyBorder="1" applyAlignment="1">
      <alignment horizontal="center" vertical="center"/>
    </xf>
    <xf numFmtId="0" fontId="28" fillId="0" borderId="197" xfId="0" applyFont="1" applyBorder="1" applyAlignment="1">
      <alignment horizontal="center" vertical="center"/>
    </xf>
    <xf numFmtId="0" fontId="10" fillId="0" borderId="196" xfId="0" applyFont="1" applyBorder="1" applyAlignment="1">
      <alignment horizontal="center" vertical="center"/>
    </xf>
    <xf numFmtId="0" fontId="10" fillId="0" borderId="4" xfId="0" applyFont="1" applyBorder="1" applyAlignment="1">
      <alignment horizontal="center" vertical="center"/>
    </xf>
    <xf numFmtId="0" fontId="10" fillId="0" borderId="194" xfId="0" applyFont="1" applyBorder="1" applyAlignment="1">
      <alignment horizontal="center" vertical="center"/>
    </xf>
    <xf numFmtId="0" fontId="54" fillId="95" borderId="173" xfId="0" applyFont="1" applyFill="1" applyBorder="1" applyAlignment="1">
      <alignment horizontal="left" vertical="center"/>
    </xf>
    <xf numFmtId="0" fontId="54" fillId="95" borderId="192" xfId="0" applyFont="1" applyFill="1" applyBorder="1" applyAlignment="1">
      <alignment horizontal="left" vertical="center"/>
    </xf>
    <xf numFmtId="0" fontId="54" fillId="95" borderId="184" xfId="0" applyFont="1" applyFill="1" applyBorder="1" applyAlignment="1">
      <alignment horizontal="left" vertical="center"/>
    </xf>
    <xf numFmtId="0" fontId="54" fillId="107" borderId="160" xfId="0" applyFont="1" applyFill="1" applyBorder="1" applyAlignment="1">
      <alignment horizontal="center" vertical="center"/>
    </xf>
    <xf numFmtId="0" fontId="3" fillId="0" borderId="80"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4" borderId="195" xfId="0" applyFont="1" applyFill="1" applyBorder="1" applyAlignment="1">
      <alignment horizontal="center" vertical="center" wrapText="1"/>
    </xf>
    <xf numFmtId="0" fontId="3" fillId="4" borderId="198" xfId="0" applyFont="1" applyFill="1" applyBorder="1" applyAlignment="1">
      <alignment horizontal="center" vertical="center" wrapText="1"/>
    </xf>
    <xf numFmtId="0" fontId="3" fillId="4" borderId="197" xfId="0" applyFont="1" applyFill="1" applyBorder="1" applyAlignment="1">
      <alignment horizontal="center" vertic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54" fillId="95" borderId="187" xfId="0" applyFont="1" applyFill="1" applyBorder="1" applyAlignment="1">
      <alignment horizontal="left" vertical="center"/>
    </xf>
    <xf numFmtId="0" fontId="54" fillId="95" borderId="181" xfId="0" applyFont="1" applyFill="1" applyBorder="1" applyAlignment="1">
      <alignment horizontal="left" vertical="center"/>
    </xf>
    <xf numFmtId="0" fontId="54" fillId="95" borderId="165" xfId="0" applyFont="1" applyFill="1" applyBorder="1" applyAlignment="1">
      <alignment horizontal="left" vertical="center"/>
    </xf>
    <xf numFmtId="0" fontId="54" fillId="107" borderId="173" xfId="0" applyFont="1" applyFill="1" applyBorder="1" applyAlignment="1">
      <alignment horizontal="left" vertical="center"/>
    </xf>
    <xf numFmtId="0" fontId="54" fillId="107" borderId="192" xfId="0" applyFont="1" applyFill="1" applyBorder="1" applyAlignment="1">
      <alignment horizontal="left" vertical="center"/>
    </xf>
    <xf numFmtId="0" fontId="54" fillId="107" borderId="184" xfId="0" applyFont="1" applyFill="1" applyBorder="1" applyAlignment="1">
      <alignment horizontal="left" vertical="center"/>
    </xf>
    <xf numFmtId="0" fontId="3" fillId="96" borderId="80" xfId="0" applyFont="1" applyFill="1" applyBorder="1" applyAlignment="1">
      <alignment horizontal="center" vertical="center" wrapText="1"/>
    </xf>
    <xf numFmtId="0" fontId="3" fillId="96" borderId="28" xfId="0" applyFont="1" applyFill="1" applyBorder="1" applyAlignment="1">
      <alignment horizontal="center" vertical="center" wrapText="1"/>
    </xf>
    <xf numFmtId="0" fontId="3" fillId="23" borderId="195" xfId="0" applyFont="1" applyFill="1" applyBorder="1" applyAlignment="1">
      <alignment horizontal="center" vertical="center" wrapText="1"/>
    </xf>
    <xf numFmtId="0" fontId="3" fillId="23" borderId="198" xfId="0" applyFont="1" applyFill="1" applyBorder="1" applyAlignment="1">
      <alignment horizontal="center" vertical="center" wrapText="1"/>
    </xf>
    <xf numFmtId="0" fontId="3" fillId="23" borderId="197" xfId="0" applyFont="1" applyFill="1" applyBorder="1" applyAlignment="1">
      <alignment horizontal="center" vertical="center" wrapText="1"/>
    </xf>
    <xf numFmtId="0" fontId="2" fillId="0" borderId="0" xfId="0" applyFont="1" applyAlignment="1">
      <alignment horizontal="center" vertical="center"/>
    </xf>
    <xf numFmtId="0" fontId="2" fillId="0" borderId="196" xfId="0" applyFont="1" applyBorder="1" applyAlignment="1">
      <alignment horizontal="center" vertical="center"/>
    </xf>
    <xf numFmtId="0" fontId="2" fillId="0" borderId="4" xfId="0" applyFont="1" applyBorder="1" applyAlignment="1">
      <alignment horizontal="center" vertical="center"/>
    </xf>
    <xf numFmtId="0" fontId="2" fillId="0" borderId="195" xfId="0" applyFont="1" applyBorder="1" applyAlignment="1">
      <alignment horizontal="center"/>
    </xf>
    <xf numFmtId="0" fontId="2" fillId="0" borderId="198" xfId="0" applyFont="1" applyBorder="1" applyAlignment="1">
      <alignment horizontal="center"/>
    </xf>
    <xf numFmtId="0" fontId="2" fillId="0" borderId="197" xfId="0" applyFont="1" applyBorder="1" applyAlignment="1">
      <alignment horizontal="center"/>
    </xf>
    <xf numFmtId="0" fontId="2" fillId="0" borderId="3" xfId="0" applyFont="1" applyBorder="1" applyAlignment="1">
      <alignment horizontal="center" vertical="center"/>
    </xf>
    <xf numFmtId="0" fontId="2" fillId="0" borderId="194" xfId="0" applyFont="1" applyBorder="1" applyAlignment="1">
      <alignment horizontal="center" vertical="center" wrapText="1"/>
    </xf>
    <xf numFmtId="0" fontId="2" fillId="0" borderId="196" xfId="0" applyFont="1" applyBorder="1" applyAlignment="1">
      <alignment horizontal="center" vertical="center" wrapText="1"/>
    </xf>
    <xf numFmtId="0" fontId="2" fillId="0" borderId="4" xfId="0" applyFont="1" applyBorder="1" applyAlignment="1">
      <alignment horizontal="center" vertical="center" wrapText="1"/>
    </xf>
    <xf numFmtId="0" fontId="10" fillId="17" borderId="196" xfId="0" applyFont="1" applyFill="1" applyBorder="1" applyAlignment="1">
      <alignment horizontal="center" vertical="center"/>
    </xf>
    <xf numFmtId="0" fontId="10" fillId="17" borderId="4" xfId="0" applyFont="1" applyFill="1" applyBorder="1" applyAlignment="1">
      <alignment horizontal="center" vertical="center"/>
    </xf>
    <xf numFmtId="0" fontId="10" fillId="17" borderId="194" xfId="0" applyFont="1" applyFill="1" applyBorder="1" applyAlignment="1">
      <alignment horizontal="center" vertical="center"/>
    </xf>
    <xf numFmtId="0" fontId="0" fillId="0" borderId="194" xfId="0" applyBorder="1" applyAlignment="1">
      <alignment horizontal="center" vertical="center"/>
    </xf>
    <xf numFmtId="0" fontId="36" fillId="2" borderId="196" xfId="0" applyFont="1" applyFill="1" applyBorder="1" applyAlignment="1">
      <alignment horizontal="center" vertical="center" wrapText="1"/>
    </xf>
    <xf numFmtId="0" fontId="36" fillId="2" borderId="4" xfId="0" applyFont="1" applyFill="1" applyBorder="1" applyAlignment="1">
      <alignment horizontal="center" vertical="center" wrapText="1"/>
    </xf>
    <xf numFmtId="0" fontId="29" fillId="2" borderId="196" xfId="0" applyFont="1" applyFill="1" applyBorder="1" applyAlignment="1">
      <alignment horizontal="center" vertical="center"/>
    </xf>
    <xf numFmtId="0" fontId="29" fillId="2" borderId="4" xfId="0" applyFont="1" applyFill="1" applyBorder="1" applyAlignment="1">
      <alignment horizontal="center" vertical="center"/>
    </xf>
    <xf numFmtId="0" fontId="28" fillId="2" borderId="195" xfId="0" applyFont="1" applyFill="1" applyBorder="1" applyAlignment="1">
      <alignment horizontal="center"/>
    </xf>
    <xf numFmtId="0" fontId="28" fillId="2" borderId="198" xfId="0" applyFont="1" applyFill="1" applyBorder="1" applyAlignment="1">
      <alignment horizontal="center"/>
    </xf>
    <xf numFmtId="0" fontId="28" fillId="2" borderId="197" xfId="0" applyFont="1" applyFill="1" applyBorder="1" applyAlignment="1">
      <alignment horizontal="center"/>
    </xf>
    <xf numFmtId="0" fontId="32" fillId="2" borderId="196" xfId="0" applyFont="1" applyFill="1" applyBorder="1" applyAlignment="1">
      <alignment horizontal="center" vertical="center" wrapText="1"/>
    </xf>
    <xf numFmtId="0" fontId="32" fillId="2" borderId="4" xfId="0" applyFont="1" applyFill="1" applyBorder="1" applyAlignment="1">
      <alignment horizontal="center" vertical="center" wrapText="1"/>
    </xf>
    <xf numFmtId="165" fontId="28" fillId="2" borderId="196" xfId="1" applyNumberFormat="1" applyFont="1" applyFill="1" applyBorder="1" applyAlignment="1">
      <alignment horizontal="center" vertical="center"/>
    </xf>
    <xf numFmtId="165" fontId="28" fillId="2" borderId="4" xfId="1" applyNumberFormat="1" applyFont="1" applyFill="1" applyBorder="1" applyAlignment="1">
      <alignment horizontal="center" vertical="center"/>
    </xf>
    <xf numFmtId="0" fontId="28" fillId="2" borderId="195" xfId="1" applyNumberFormat="1" applyFont="1" applyFill="1" applyBorder="1" applyAlignment="1">
      <alignment horizontal="center"/>
    </xf>
    <xf numFmtId="0" fontId="28" fillId="2" borderId="198" xfId="1" applyNumberFormat="1" applyFont="1" applyFill="1" applyBorder="1" applyAlignment="1">
      <alignment horizontal="center"/>
    </xf>
    <xf numFmtId="0" fontId="28" fillId="2" borderId="197" xfId="1" applyNumberFormat="1" applyFont="1" applyFill="1" applyBorder="1" applyAlignment="1">
      <alignment horizontal="center"/>
    </xf>
    <xf numFmtId="165" fontId="32" fillId="2" borderId="196" xfId="1" applyNumberFormat="1" applyFont="1" applyFill="1" applyBorder="1" applyAlignment="1">
      <alignment horizontal="center" vertical="center" wrapText="1"/>
    </xf>
    <xf numFmtId="165" fontId="32" fillId="2" borderId="4" xfId="1" applyNumberFormat="1" applyFont="1" applyFill="1" applyBorder="1" applyAlignment="1">
      <alignment horizontal="center" vertical="center" wrapText="1"/>
    </xf>
    <xf numFmtId="0" fontId="0" fillId="0" borderId="0" xfId="0" applyAlignment="1">
      <alignment horizontal="center"/>
    </xf>
    <xf numFmtId="0" fontId="0" fillId="0" borderId="0" xfId="0" applyAlignment="1">
      <alignment horizontal="center" wrapText="1"/>
    </xf>
    <xf numFmtId="165" fontId="0" fillId="0" borderId="194" xfId="1" applyNumberFormat="1" applyFont="1" applyBorder="1" applyAlignment="1">
      <alignment horizontal="center"/>
    </xf>
    <xf numFmtId="0" fontId="0" fillId="0" borderId="194" xfId="0" applyBorder="1" applyAlignment="1">
      <alignment horizontal="center"/>
    </xf>
    <xf numFmtId="0" fontId="24" fillId="13" borderId="194" xfId="0" applyFont="1" applyFill="1" applyBorder="1" applyAlignment="1">
      <alignment horizontal="center"/>
    </xf>
    <xf numFmtId="0" fontId="24" fillId="0" borderId="0" xfId="0" applyFont="1" applyAlignment="1">
      <alignment horizontal="center"/>
    </xf>
    <xf numFmtId="0" fontId="28" fillId="0" borderId="195" xfId="0" applyFont="1" applyBorder="1" applyAlignment="1">
      <alignment horizontal="left"/>
    </xf>
    <xf numFmtId="0" fontId="28" fillId="0" borderId="198" xfId="0" applyFont="1" applyBorder="1" applyAlignment="1">
      <alignment horizontal="left"/>
    </xf>
    <xf numFmtId="0" fontId="28" fillId="0" borderId="197" xfId="0" applyFont="1" applyBorder="1" applyAlignment="1">
      <alignment horizontal="left"/>
    </xf>
    <xf numFmtId="0" fontId="26" fillId="0" borderId="0" xfId="0" applyFont="1" applyAlignment="1">
      <alignment horizontal="left" wrapText="1"/>
    </xf>
    <xf numFmtId="0" fontId="48" fillId="15" borderId="0" xfId="0" applyFont="1" applyFill="1" applyAlignment="1">
      <alignment horizontal="left" vertical="top" wrapText="1"/>
    </xf>
    <xf numFmtId="0" fontId="18" fillId="15" borderId="0" xfId="0" applyFont="1" applyFill="1" applyAlignment="1">
      <alignment horizontal="left" vertical="top" wrapText="1"/>
    </xf>
    <xf numFmtId="0" fontId="44" fillId="15" borderId="0" xfId="0" applyFont="1" applyFill="1" applyAlignment="1">
      <alignment horizontal="left" vertical="center" wrapText="1"/>
    </xf>
    <xf numFmtId="0" fontId="29" fillId="0" borderId="194" xfId="0" applyFont="1" applyBorder="1" applyAlignment="1">
      <alignment horizontal="center" vertical="center" wrapText="1"/>
    </xf>
    <xf numFmtId="0" fontId="51" fillId="0" borderId="0" xfId="0" applyFont="1" applyAlignment="1">
      <alignment horizontal="left" vertical="center"/>
    </xf>
    <xf numFmtId="0" fontId="44" fillId="0" borderId="0" xfId="0" applyFont="1" applyAlignment="1">
      <alignment horizontal="left" vertical="center"/>
    </xf>
    <xf numFmtId="0" fontId="2" fillId="9" borderId="194" xfId="0" applyFont="1" applyFill="1" applyBorder="1" applyAlignment="1">
      <alignment horizontal="center"/>
    </xf>
    <xf numFmtId="165" fontId="0" fillId="0" borderId="0" xfId="1" applyNumberFormat="1" applyFont="1" applyFill="1" applyBorder="1" applyAlignment="1">
      <alignment horizontal="left"/>
    </xf>
    <xf numFmtId="0" fontId="24" fillId="0" borderId="195" xfId="0" applyFont="1" applyBorder="1" applyAlignment="1">
      <alignment horizontal="center"/>
    </xf>
    <xf numFmtId="0" fontId="24" fillId="0" borderId="198" xfId="0" applyFont="1" applyBorder="1" applyAlignment="1">
      <alignment horizontal="center"/>
    </xf>
    <xf numFmtId="0" fontId="24" fillId="0" borderId="197" xfId="0" applyFont="1" applyBorder="1" applyAlignment="1">
      <alignment horizontal="center"/>
    </xf>
    <xf numFmtId="0" fontId="32" fillId="11" borderId="196" xfId="0" applyFont="1" applyFill="1" applyBorder="1" applyAlignment="1">
      <alignment horizontal="center" vertical="center"/>
    </xf>
    <xf numFmtId="0" fontId="32" fillId="11" borderId="4" xfId="0" applyFont="1" applyFill="1" applyBorder="1" applyAlignment="1">
      <alignment horizontal="center" vertical="center"/>
    </xf>
    <xf numFmtId="0" fontId="24" fillId="11" borderId="195" xfId="0" applyFont="1" applyFill="1" applyBorder="1" applyAlignment="1">
      <alignment horizontal="center"/>
    </xf>
    <xf numFmtId="0" fontId="24" fillId="11" borderId="198" xfId="0" applyFont="1" applyFill="1" applyBorder="1" applyAlignment="1">
      <alignment horizontal="center"/>
    </xf>
    <xf numFmtId="0" fontId="24" fillId="11" borderId="197" xfId="0" applyFont="1" applyFill="1" applyBorder="1" applyAlignment="1">
      <alignment horizontal="center"/>
    </xf>
    <xf numFmtId="0" fontId="24" fillId="12" borderId="195" xfId="0" applyFont="1" applyFill="1" applyBorder="1" applyAlignment="1">
      <alignment horizontal="center"/>
    </xf>
    <xf numFmtId="0" fontId="24" fillId="12" borderId="198" xfId="0" applyFont="1" applyFill="1" applyBorder="1" applyAlignment="1">
      <alignment horizontal="center"/>
    </xf>
    <xf numFmtId="0" fontId="24" fillId="12" borderId="197" xfId="0" applyFont="1" applyFill="1" applyBorder="1" applyAlignment="1">
      <alignment horizontal="center"/>
    </xf>
    <xf numFmtId="0" fontId="24" fillId="13" borderId="195" xfId="0" applyFont="1" applyFill="1" applyBorder="1" applyAlignment="1">
      <alignment horizontal="center"/>
    </xf>
    <xf numFmtId="0" fontId="24" fillId="13" borderId="198" xfId="0" applyFont="1" applyFill="1" applyBorder="1" applyAlignment="1">
      <alignment horizontal="center"/>
    </xf>
    <xf numFmtId="0" fontId="24" fillId="13" borderId="197" xfId="0" applyFont="1" applyFill="1" applyBorder="1" applyAlignment="1">
      <alignment horizontal="center"/>
    </xf>
    <xf numFmtId="0" fontId="24" fillId="0" borderId="194" xfId="0" applyFont="1" applyBorder="1" applyAlignment="1">
      <alignment horizontal="center"/>
    </xf>
    <xf numFmtId="0" fontId="24" fillId="11" borderId="194" xfId="0" applyFont="1" applyFill="1" applyBorder="1" applyAlignment="1">
      <alignment horizontal="center"/>
    </xf>
    <xf numFmtId="0" fontId="24" fillId="12" borderId="194" xfId="0" applyFont="1" applyFill="1" applyBorder="1" applyAlignment="1">
      <alignment horizontal="center"/>
    </xf>
    <xf numFmtId="0" fontId="0" fillId="0" borderId="195" xfId="0" applyBorder="1" applyAlignment="1">
      <alignment horizontal="center" wrapText="1"/>
    </xf>
    <xf numFmtId="0" fontId="0" fillId="0" borderId="198" xfId="0" applyBorder="1" applyAlignment="1">
      <alignment horizontal="center" wrapText="1"/>
    </xf>
    <xf numFmtId="0" fontId="0" fillId="0" borderId="197" xfId="0" applyBorder="1" applyAlignment="1">
      <alignment horizontal="center" wrapText="1"/>
    </xf>
    <xf numFmtId="0" fontId="0" fillId="0" borderId="225" xfId="0" applyBorder="1" applyAlignment="1">
      <alignment horizontal="center" wrapText="1"/>
    </xf>
    <xf numFmtId="0" fontId="0" fillId="0" borderId="136" xfId="0" applyBorder="1" applyAlignment="1">
      <alignment horizontal="center" wrapText="1"/>
    </xf>
    <xf numFmtId="0" fontId="0" fillId="0" borderId="226" xfId="0" applyBorder="1" applyAlignment="1">
      <alignment horizontal="center" wrapText="1"/>
    </xf>
    <xf numFmtId="43" fontId="0" fillId="14" borderId="0" xfId="1" applyFont="1" applyFill="1" applyAlignment="1">
      <alignment horizontal="center"/>
    </xf>
    <xf numFmtId="43" fontId="22" fillId="14" borderId="0" xfId="1" applyFont="1" applyFill="1" applyAlignment="1">
      <alignment horizontal="center"/>
    </xf>
    <xf numFmtId="0" fontId="0" fillId="14" borderId="0" xfId="0" applyFill="1" applyAlignment="1">
      <alignment horizontal="center"/>
    </xf>
    <xf numFmtId="0" fontId="0" fillId="0" borderId="31"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165" fontId="22" fillId="0" borderId="31" xfId="1" applyNumberFormat="1" applyFont="1" applyBorder="1" applyAlignment="1">
      <alignment horizontal="center" vertical="center" wrapText="1"/>
    </xf>
    <xf numFmtId="165" fontId="22" fillId="0" borderId="11" xfId="1" applyNumberFormat="1" applyFont="1" applyBorder="1" applyAlignment="1">
      <alignment horizontal="center" vertical="center" wrapText="1"/>
    </xf>
    <xf numFmtId="165" fontId="22" fillId="0" borderId="12" xfId="1" applyNumberFormat="1" applyFont="1" applyBorder="1" applyAlignment="1">
      <alignment horizontal="center" vertical="center" wrapText="1"/>
    </xf>
    <xf numFmtId="0" fontId="32" fillId="0" borderId="194" xfId="0" applyFont="1" applyBorder="1" applyAlignment="1">
      <alignment horizontal="center"/>
    </xf>
    <xf numFmtId="0" fontId="27" fillId="0" borderId="0" xfId="0" applyFont="1" applyAlignment="1">
      <alignment vertical="center" wrapText="1"/>
    </xf>
    <xf numFmtId="0" fontId="27" fillId="0" borderId="0" xfId="0" applyFont="1" applyAlignment="1">
      <alignment horizontal="left" vertical="center"/>
    </xf>
    <xf numFmtId="0" fontId="130" fillId="0" borderId="225" xfId="0" applyFont="1" applyBorder="1" applyAlignment="1"/>
    <xf numFmtId="0" fontId="130" fillId="0" borderId="136" xfId="0" applyFont="1" applyBorder="1" applyAlignment="1"/>
    <xf numFmtId="0" fontId="130" fillId="0" borderId="227" xfId="0" applyFont="1" applyBorder="1" applyAlignment="1"/>
    <xf numFmtId="0" fontId="130" fillId="0" borderId="2" xfId="0" applyFont="1" applyBorder="1" applyAlignment="1"/>
    <xf numFmtId="0" fontId="130" fillId="0" borderId="0" xfId="0" applyFont="1" applyAlignment="1"/>
    <xf numFmtId="0" fontId="130" fillId="0" borderId="90" xfId="0" applyFont="1" applyBorder="1" applyAlignment="1"/>
    <xf numFmtId="0" fontId="130" fillId="0" borderId="91" xfId="0" applyFont="1" applyBorder="1" applyAlignment="1"/>
    <xf numFmtId="0" fontId="130" fillId="0" borderId="92" xfId="0" applyFont="1" applyBorder="1" applyAlignment="1"/>
    <xf numFmtId="0" fontId="130" fillId="0" borderId="93" xfId="0" applyFont="1" applyBorder="1" applyAlignment="1"/>
    <xf numFmtId="0" fontId="0" fillId="0" borderId="198" xfId="0" applyBorder="1" applyAlignment="1"/>
    <xf numFmtId="0" fontId="0" fillId="0" borderId="197" xfId="0" applyBorder="1" applyAlignment="1"/>
    <xf numFmtId="0" fontId="0" fillId="0" borderId="4" xfId="0" applyBorder="1" applyAlignment="1"/>
    <xf numFmtId="169" fontId="0" fillId="0" borderId="230" xfId="2" applyNumberFormat="1" applyFont="1" applyFill="1" applyBorder="1" applyAlignment="1" applyProtection="1">
      <alignment vertical="center"/>
    </xf>
    <xf numFmtId="169" fontId="7" fillId="0" borderId="230" xfId="2" applyNumberFormat="1" applyFont="1" applyFill="1" applyBorder="1" applyAlignment="1" applyProtection="1">
      <alignment vertical="center"/>
    </xf>
    <xf numFmtId="0" fontId="0" fillId="0" borderId="194" xfId="0" applyBorder="1" applyAlignment="1"/>
  </cellXfs>
  <cellStyles count="37585">
    <cellStyle name="%" xfId="46" xr:uid="{00000000-0005-0000-0000-000000000000}"/>
    <cellStyle name="% 10" xfId="47" xr:uid="{00000000-0005-0000-0000-000001000000}"/>
    <cellStyle name="% 11" xfId="48" xr:uid="{00000000-0005-0000-0000-000002000000}"/>
    <cellStyle name="% 12" xfId="49" xr:uid="{00000000-0005-0000-0000-000003000000}"/>
    <cellStyle name="% 13" xfId="50" xr:uid="{00000000-0005-0000-0000-000004000000}"/>
    <cellStyle name="% 14" xfId="51" xr:uid="{00000000-0005-0000-0000-000005000000}"/>
    <cellStyle name="% 15" xfId="52" xr:uid="{00000000-0005-0000-0000-000006000000}"/>
    <cellStyle name="% 16" xfId="53" xr:uid="{00000000-0005-0000-0000-000007000000}"/>
    <cellStyle name="% 17" xfId="54" xr:uid="{00000000-0005-0000-0000-000008000000}"/>
    <cellStyle name="% 18" xfId="55" xr:uid="{00000000-0005-0000-0000-000009000000}"/>
    <cellStyle name="% 2" xfId="56" xr:uid="{00000000-0005-0000-0000-00000A000000}"/>
    <cellStyle name="% 2 10" xfId="57" xr:uid="{00000000-0005-0000-0000-00000B000000}"/>
    <cellStyle name="% 2 11" xfId="58" xr:uid="{00000000-0005-0000-0000-00000C000000}"/>
    <cellStyle name="% 2 2" xfId="59" xr:uid="{00000000-0005-0000-0000-00000D000000}"/>
    <cellStyle name="% 2 3" xfId="60" xr:uid="{00000000-0005-0000-0000-00000E000000}"/>
    <cellStyle name="% 2 4" xfId="61" xr:uid="{00000000-0005-0000-0000-00000F000000}"/>
    <cellStyle name="% 2 5" xfId="62" xr:uid="{00000000-0005-0000-0000-000010000000}"/>
    <cellStyle name="% 2 6" xfId="63" xr:uid="{00000000-0005-0000-0000-000011000000}"/>
    <cellStyle name="% 2 7" xfId="64" xr:uid="{00000000-0005-0000-0000-000012000000}"/>
    <cellStyle name="% 2 8" xfId="65" xr:uid="{00000000-0005-0000-0000-000013000000}"/>
    <cellStyle name="% 2 9" xfId="66" xr:uid="{00000000-0005-0000-0000-000014000000}"/>
    <cellStyle name="% 3" xfId="67" xr:uid="{00000000-0005-0000-0000-000015000000}"/>
    <cellStyle name="% 3 10" xfId="68" xr:uid="{00000000-0005-0000-0000-000016000000}"/>
    <cellStyle name="% 3 11" xfId="69" xr:uid="{00000000-0005-0000-0000-000017000000}"/>
    <cellStyle name="% 3 2" xfId="70" xr:uid="{00000000-0005-0000-0000-000018000000}"/>
    <cellStyle name="% 3 3" xfId="71" xr:uid="{00000000-0005-0000-0000-000019000000}"/>
    <cellStyle name="% 3 4" xfId="72" xr:uid="{00000000-0005-0000-0000-00001A000000}"/>
    <cellStyle name="% 3 5" xfId="73" xr:uid="{00000000-0005-0000-0000-00001B000000}"/>
    <cellStyle name="% 3 6" xfId="74" xr:uid="{00000000-0005-0000-0000-00001C000000}"/>
    <cellStyle name="% 3 7" xfId="75" xr:uid="{00000000-0005-0000-0000-00001D000000}"/>
    <cellStyle name="% 3 8" xfId="76" xr:uid="{00000000-0005-0000-0000-00001E000000}"/>
    <cellStyle name="% 3 9" xfId="77" xr:uid="{00000000-0005-0000-0000-00001F000000}"/>
    <cellStyle name="% 4" xfId="78" xr:uid="{00000000-0005-0000-0000-000020000000}"/>
    <cellStyle name="% 4 10" xfId="79" xr:uid="{00000000-0005-0000-0000-000021000000}"/>
    <cellStyle name="% 4 11" xfId="80" xr:uid="{00000000-0005-0000-0000-000022000000}"/>
    <cellStyle name="% 4 2" xfId="81" xr:uid="{00000000-0005-0000-0000-000023000000}"/>
    <cellStyle name="% 4 3" xfId="82" xr:uid="{00000000-0005-0000-0000-000024000000}"/>
    <cellStyle name="% 4 4" xfId="83" xr:uid="{00000000-0005-0000-0000-000025000000}"/>
    <cellStyle name="% 4 5" xfId="84" xr:uid="{00000000-0005-0000-0000-000026000000}"/>
    <cellStyle name="% 4 6" xfId="85" xr:uid="{00000000-0005-0000-0000-000027000000}"/>
    <cellStyle name="% 4 7" xfId="86" xr:uid="{00000000-0005-0000-0000-000028000000}"/>
    <cellStyle name="% 4 8" xfId="87" xr:uid="{00000000-0005-0000-0000-000029000000}"/>
    <cellStyle name="% 4 9" xfId="88" xr:uid="{00000000-0005-0000-0000-00002A000000}"/>
    <cellStyle name="% 5" xfId="89" xr:uid="{00000000-0005-0000-0000-00002B000000}"/>
    <cellStyle name="% 5 10" xfId="90" xr:uid="{00000000-0005-0000-0000-00002C000000}"/>
    <cellStyle name="% 5 11" xfId="91" xr:uid="{00000000-0005-0000-0000-00002D000000}"/>
    <cellStyle name="% 5 2" xfId="92" xr:uid="{00000000-0005-0000-0000-00002E000000}"/>
    <cellStyle name="% 5 3" xfId="93" xr:uid="{00000000-0005-0000-0000-00002F000000}"/>
    <cellStyle name="% 5 4" xfId="94" xr:uid="{00000000-0005-0000-0000-000030000000}"/>
    <cellStyle name="% 5 5" xfId="95" xr:uid="{00000000-0005-0000-0000-000031000000}"/>
    <cellStyle name="% 5 6" xfId="96" xr:uid="{00000000-0005-0000-0000-000032000000}"/>
    <cellStyle name="% 5 7" xfId="97" xr:uid="{00000000-0005-0000-0000-000033000000}"/>
    <cellStyle name="% 5 8" xfId="98" xr:uid="{00000000-0005-0000-0000-000034000000}"/>
    <cellStyle name="% 5 9" xfId="99" xr:uid="{00000000-0005-0000-0000-000035000000}"/>
    <cellStyle name="% 6" xfId="100" xr:uid="{00000000-0005-0000-0000-000036000000}"/>
    <cellStyle name="% 6 10" xfId="101" xr:uid="{00000000-0005-0000-0000-000037000000}"/>
    <cellStyle name="% 6 11" xfId="102" xr:uid="{00000000-0005-0000-0000-000038000000}"/>
    <cellStyle name="% 6 2" xfId="103" xr:uid="{00000000-0005-0000-0000-000039000000}"/>
    <cellStyle name="% 6 3" xfId="104" xr:uid="{00000000-0005-0000-0000-00003A000000}"/>
    <cellStyle name="% 6 4" xfId="105" xr:uid="{00000000-0005-0000-0000-00003B000000}"/>
    <cellStyle name="% 6 5" xfId="106" xr:uid="{00000000-0005-0000-0000-00003C000000}"/>
    <cellStyle name="% 6 6" xfId="107" xr:uid="{00000000-0005-0000-0000-00003D000000}"/>
    <cellStyle name="% 6 7" xfId="108" xr:uid="{00000000-0005-0000-0000-00003E000000}"/>
    <cellStyle name="% 6 8" xfId="109" xr:uid="{00000000-0005-0000-0000-00003F000000}"/>
    <cellStyle name="% 6 9" xfId="110" xr:uid="{00000000-0005-0000-0000-000040000000}"/>
    <cellStyle name="% 7" xfId="111" xr:uid="{00000000-0005-0000-0000-000041000000}"/>
    <cellStyle name="% 7 10" xfId="112" xr:uid="{00000000-0005-0000-0000-000042000000}"/>
    <cellStyle name="% 7 11" xfId="113" xr:uid="{00000000-0005-0000-0000-000043000000}"/>
    <cellStyle name="% 7 2" xfId="114" xr:uid="{00000000-0005-0000-0000-000044000000}"/>
    <cellStyle name="% 7 3" xfId="115" xr:uid="{00000000-0005-0000-0000-000045000000}"/>
    <cellStyle name="% 7 4" xfId="116" xr:uid="{00000000-0005-0000-0000-000046000000}"/>
    <cellStyle name="% 7 5" xfId="117" xr:uid="{00000000-0005-0000-0000-000047000000}"/>
    <cellStyle name="% 7 6" xfId="118" xr:uid="{00000000-0005-0000-0000-000048000000}"/>
    <cellStyle name="% 7 7" xfId="119" xr:uid="{00000000-0005-0000-0000-000049000000}"/>
    <cellStyle name="% 7 8" xfId="120" xr:uid="{00000000-0005-0000-0000-00004A000000}"/>
    <cellStyle name="% 7 9" xfId="121" xr:uid="{00000000-0005-0000-0000-00004B000000}"/>
    <cellStyle name="% 8" xfId="122" xr:uid="{00000000-0005-0000-0000-00004C000000}"/>
    <cellStyle name="% 8 10" xfId="123" xr:uid="{00000000-0005-0000-0000-00004D000000}"/>
    <cellStyle name="% 8 11" xfId="124" xr:uid="{00000000-0005-0000-0000-00004E000000}"/>
    <cellStyle name="% 8 2" xfId="125" xr:uid="{00000000-0005-0000-0000-00004F000000}"/>
    <cellStyle name="% 8 3" xfId="126" xr:uid="{00000000-0005-0000-0000-000050000000}"/>
    <cellStyle name="% 8 4" xfId="127" xr:uid="{00000000-0005-0000-0000-000051000000}"/>
    <cellStyle name="% 8 5" xfId="128" xr:uid="{00000000-0005-0000-0000-000052000000}"/>
    <cellStyle name="% 8 6" xfId="129" xr:uid="{00000000-0005-0000-0000-000053000000}"/>
    <cellStyle name="% 8 7" xfId="130" xr:uid="{00000000-0005-0000-0000-000054000000}"/>
    <cellStyle name="% 8 8" xfId="131" xr:uid="{00000000-0005-0000-0000-000055000000}"/>
    <cellStyle name="% 8 9" xfId="132" xr:uid="{00000000-0005-0000-0000-000056000000}"/>
    <cellStyle name="% 9" xfId="133" xr:uid="{00000000-0005-0000-0000-000057000000}"/>
    <cellStyle name="% 9 10" xfId="134" xr:uid="{00000000-0005-0000-0000-000058000000}"/>
    <cellStyle name="% 9 11" xfId="135" xr:uid="{00000000-0005-0000-0000-000059000000}"/>
    <cellStyle name="% 9 2" xfId="136" xr:uid="{00000000-0005-0000-0000-00005A000000}"/>
    <cellStyle name="% 9 3" xfId="137" xr:uid="{00000000-0005-0000-0000-00005B000000}"/>
    <cellStyle name="% 9 4" xfId="138" xr:uid="{00000000-0005-0000-0000-00005C000000}"/>
    <cellStyle name="% 9 5" xfId="139" xr:uid="{00000000-0005-0000-0000-00005D000000}"/>
    <cellStyle name="% 9 6" xfId="140" xr:uid="{00000000-0005-0000-0000-00005E000000}"/>
    <cellStyle name="% 9 7" xfId="141" xr:uid="{00000000-0005-0000-0000-00005F000000}"/>
    <cellStyle name="% 9 8" xfId="142" xr:uid="{00000000-0005-0000-0000-000060000000}"/>
    <cellStyle name="% 9 9" xfId="143" xr:uid="{00000000-0005-0000-0000-000061000000}"/>
    <cellStyle name="%_PROD_DETAILS" xfId="144" xr:uid="{00000000-0005-0000-0000-000062000000}"/>
    <cellStyle name="%_PROD_DETAILS 10" xfId="145" xr:uid="{00000000-0005-0000-0000-000063000000}"/>
    <cellStyle name="%_PROD_DETAILS 11" xfId="146" xr:uid="{00000000-0005-0000-0000-000064000000}"/>
    <cellStyle name="%_PROD_DETAILS 2" xfId="147" xr:uid="{00000000-0005-0000-0000-000065000000}"/>
    <cellStyle name="%_PROD_DETAILS 3" xfId="148" xr:uid="{00000000-0005-0000-0000-000066000000}"/>
    <cellStyle name="%_PROD_DETAILS 4" xfId="149" xr:uid="{00000000-0005-0000-0000-000067000000}"/>
    <cellStyle name="%_PROD_DETAILS 5" xfId="150" xr:uid="{00000000-0005-0000-0000-000068000000}"/>
    <cellStyle name="%_PROD_DETAILS 6" xfId="151" xr:uid="{00000000-0005-0000-0000-000069000000}"/>
    <cellStyle name="%_PROD_DETAILS 7" xfId="152" xr:uid="{00000000-0005-0000-0000-00006A000000}"/>
    <cellStyle name="%_PROD_DETAILS 8" xfId="153" xr:uid="{00000000-0005-0000-0000-00006B000000}"/>
    <cellStyle name="%_PROD_DETAILS 9" xfId="154" xr:uid="{00000000-0005-0000-0000-00006C000000}"/>
    <cellStyle name="******************************************" xfId="155" xr:uid="{00000000-0005-0000-0000-00006D000000}"/>
    <cellStyle name="_PL_HY09 &amp; FY 09_v2" xfId="156" xr:uid="{00000000-0005-0000-0000-00006E000000}"/>
    <cellStyle name="_PL_HY09 &amp; FY 09_v2 10" xfId="157" xr:uid="{00000000-0005-0000-0000-00006F000000}"/>
    <cellStyle name="_PL_HY09 &amp; FY 09_v2 11" xfId="158" xr:uid="{00000000-0005-0000-0000-000070000000}"/>
    <cellStyle name="_PL_HY09 &amp; FY 09_v2 12" xfId="159" xr:uid="{00000000-0005-0000-0000-000071000000}"/>
    <cellStyle name="_PL_HY09 &amp; FY 09_v2 13" xfId="160" xr:uid="{00000000-0005-0000-0000-000072000000}"/>
    <cellStyle name="_PL_HY09 &amp; FY 09_v2 14" xfId="161" xr:uid="{00000000-0005-0000-0000-000073000000}"/>
    <cellStyle name="_PL_HY09 &amp; FY 09_v2 15" xfId="162" xr:uid="{00000000-0005-0000-0000-000074000000}"/>
    <cellStyle name="_PL_HY09 &amp; FY 09_v2 16" xfId="163" xr:uid="{00000000-0005-0000-0000-000075000000}"/>
    <cellStyle name="_PL_HY09 &amp; FY 09_v2 17" xfId="164" xr:uid="{00000000-0005-0000-0000-000076000000}"/>
    <cellStyle name="_PL_HY09 &amp; FY 09_v2 18" xfId="165" xr:uid="{00000000-0005-0000-0000-000077000000}"/>
    <cellStyle name="_PL_HY09 &amp; FY 09_v2 2" xfId="166" xr:uid="{00000000-0005-0000-0000-000078000000}"/>
    <cellStyle name="_PL_HY09 &amp; FY 09_v2 2 10" xfId="167" xr:uid="{00000000-0005-0000-0000-000079000000}"/>
    <cellStyle name="_PL_HY09 &amp; FY 09_v2 2 11" xfId="168" xr:uid="{00000000-0005-0000-0000-00007A000000}"/>
    <cellStyle name="_PL_HY09 &amp; FY 09_v2 2 2" xfId="169" xr:uid="{00000000-0005-0000-0000-00007B000000}"/>
    <cellStyle name="_PL_HY09 &amp; FY 09_v2 2 3" xfId="170" xr:uid="{00000000-0005-0000-0000-00007C000000}"/>
    <cellStyle name="_PL_HY09 &amp; FY 09_v2 2 4" xfId="171" xr:uid="{00000000-0005-0000-0000-00007D000000}"/>
    <cellStyle name="_PL_HY09 &amp; FY 09_v2 2 5" xfId="172" xr:uid="{00000000-0005-0000-0000-00007E000000}"/>
    <cellStyle name="_PL_HY09 &amp; FY 09_v2 2 6" xfId="173" xr:uid="{00000000-0005-0000-0000-00007F000000}"/>
    <cellStyle name="_PL_HY09 &amp; FY 09_v2 2 7" xfId="174" xr:uid="{00000000-0005-0000-0000-000080000000}"/>
    <cellStyle name="_PL_HY09 &amp; FY 09_v2 2 8" xfId="175" xr:uid="{00000000-0005-0000-0000-000081000000}"/>
    <cellStyle name="_PL_HY09 &amp; FY 09_v2 2 9" xfId="176" xr:uid="{00000000-0005-0000-0000-000082000000}"/>
    <cellStyle name="_PL_HY09 &amp; FY 09_v2 3" xfId="177" xr:uid="{00000000-0005-0000-0000-000083000000}"/>
    <cellStyle name="_PL_HY09 &amp; FY 09_v2 3 10" xfId="178" xr:uid="{00000000-0005-0000-0000-000084000000}"/>
    <cellStyle name="_PL_HY09 &amp; FY 09_v2 3 11" xfId="179" xr:uid="{00000000-0005-0000-0000-000085000000}"/>
    <cellStyle name="_PL_HY09 &amp; FY 09_v2 3 2" xfId="180" xr:uid="{00000000-0005-0000-0000-000086000000}"/>
    <cellStyle name="_PL_HY09 &amp; FY 09_v2 3 3" xfId="181" xr:uid="{00000000-0005-0000-0000-000087000000}"/>
    <cellStyle name="_PL_HY09 &amp; FY 09_v2 3 4" xfId="182" xr:uid="{00000000-0005-0000-0000-000088000000}"/>
    <cellStyle name="_PL_HY09 &amp; FY 09_v2 3 5" xfId="183" xr:uid="{00000000-0005-0000-0000-000089000000}"/>
    <cellStyle name="_PL_HY09 &amp; FY 09_v2 3 6" xfId="184" xr:uid="{00000000-0005-0000-0000-00008A000000}"/>
    <cellStyle name="_PL_HY09 &amp; FY 09_v2 3 7" xfId="185" xr:uid="{00000000-0005-0000-0000-00008B000000}"/>
    <cellStyle name="_PL_HY09 &amp; FY 09_v2 3 8" xfId="186" xr:uid="{00000000-0005-0000-0000-00008C000000}"/>
    <cellStyle name="_PL_HY09 &amp; FY 09_v2 3 9" xfId="187" xr:uid="{00000000-0005-0000-0000-00008D000000}"/>
    <cellStyle name="_PL_HY09 &amp; FY 09_v2 4" xfId="188" xr:uid="{00000000-0005-0000-0000-00008E000000}"/>
    <cellStyle name="_PL_HY09 &amp; FY 09_v2 4 10" xfId="189" xr:uid="{00000000-0005-0000-0000-00008F000000}"/>
    <cellStyle name="_PL_HY09 &amp; FY 09_v2 4 11" xfId="190" xr:uid="{00000000-0005-0000-0000-000090000000}"/>
    <cellStyle name="_PL_HY09 &amp; FY 09_v2 4 2" xfId="191" xr:uid="{00000000-0005-0000-0000-000091000000}"/>
    <cellStyle name="_PL_HY09 &amp; FY 09_v2 4 3" xfId="192" xr:uid="{00000000-0005-0000-0000-000092000000}"/>
    <cellStyle name="_PL_HY09 &amp; FY 09_v2 4 4" xfId="193" xr:uid="{00000000-0005-0000-0000-000093000000}"/>
    <cellStyle name="_PL_HY09 &amp; FY 09_v2 4 5" xfId="194" xr:uid="{00000000-0005-0000-0000-000094000000}"/>
    <cellStyle name="_PL_HY09 &amp; FY 09_v2 4 6" xfId="195" xr:uid="{00000000-0005-0000-0000-000095000000}"/>
    <cellStyle name="_PL_HY09 &amp; FY 09_v2 4 7" xfId="196" xr:uid="{00000000-0005-0000-0000-000096000000}"/>
    <cellStyle name="_PL_HY09 &amp; FY 09_v2 4 8" xfId="197" xr:uid="{00000000-0005-0000-0000-000097000000}"/>
    <cellStyle name="_PL_HY09 &amp; FY 09_v2 4 9" xfId="198" xr:uid="{00000000-0005-0000-0000-000098000000}"/>
    <cellStyle name="_PL_HY09 &amp; FY 09_v2 5" xfId="199" xr:uid="{00000000-0005-0000-0000-000099000000}"/>
    <cellStyle name="_PL_HY09 &amp; FY 09_v2 5 10" xfId="200" xr:uid="{00000000-0005-0000-0000-00009A000000}"/>
    <cellStyle name="_PL_HY09 &amp; FY 09_v2 5 11" xfId="201" xr:uid="{00000000-0005-0000-0000-00009B000000}"/>
    <cellStyle name="_PL_HY09 &amp; FY 09_v2 5 2" xfId="202" xr:uid="{00000000-0005-0000-0000-00009C000000}"/>
    <cellStyle name="_PL_HY09 &amp; FY 09_v2 5 3" xfId="203" xr:uid="{00000000-0005-0000-0000-00009D000000}"/>
    <cellStyle name="_PL_HY09 &amp; FY 09_v2 5 4" xfId="204" xr:uid="{00000000-0005-0000-0000-00009E000000}"/>
    <cellStyle name="_PL_HY09 &amp; FY 09_v2 5 5" xfId="205" xr:uid="{00000000-0005-0000-0000-00009F000000}"/>
    <cellStyle name="_PL_HY09 &amp; FY 09_v2 5 6" xfId="206" xr:uid="{00000000-0005-0000-0000-0000A0000000}"/>
    <cellStyle name="_PL_HY09 &amp; FY 09_v2 5 7" xfId="207" xr:uid="{00000000-0005-0000-0000-0000A1000000}"/>
    <cellStyle name="_PL_HY09 &amp; FY 09_v2 5 8" xfId="208" xr:uid="{00000000-0005-0000-0000-0000A2000000}"/>
    <cellStyle name="_PL_HY09 &amp; FY 09_v2 5 9" xfId="209" xr:uid="{00000000-0005-0000-0000-0000A3000000}"/>
    <cellStyle name="_PL_HY09 &amp; FY 09_v2 6" xfId="210" xr:uid="{00000000-0005-0000-0000-0000A4000000}"/>
    <cellStyle name="_PL_HY09 &amp; FY 09_v2 6 10" xfId="211" xr:uid="{00000000-0005-0000-0000-0000A5000000}"/>
    <cellStyle name="_PL_HY09 &amp; FY 09_v2 6 11" xfId="212" xr:uid="{00000000-0005-0000-0000-0000A6000000}"/>
    <cellStyle name="_PL_HY09 &amp; FY 09_v2 6 2" xfId="213" xr:uid="{00000000-0005-0000-0000-0000A7000000}"/>
    <cellStyle name="_PL_HY09 &amp; FY 09_v2 6 3" xfId="214" xr:uid="{00000000-0005-0000-0000-0000A8000000}"/>
    <cellStyle name="_PL_HY09 &amp; FY 09_v2 6 4" xfId="215" xr:uid="{00000000-0005-0000-0000-0000A9000000}"/>
    <cellStyle name="_PL_HY09 &amp; FY 09_v2 6 5" xfId="216" xr:uid="{00000000-0005-0000-0000-0000AA000000}"/>
    <cellStyle name="_PL_HY09 &amp; FY 09_v2 6 6" xfId="217" xr:uid="{00000000-0005-0000-0000-0000AB000000}"/>
    <cellStyle name="_PL_HY09 &amp; FY 09_v2 6 7" xfId="218" xr:uid="{00000000-0005-0000-0000-0000AC000000}"/>
    <cellStyle name="_PL_HY09 &amp; FY 09_v2 6 8" xfId="219" xr:uid="{00000000-0005-0000-0000-0000AD000000}"/>
    <cellStyle name="_PL_HY09 &amp; FY 09_v2 6 9" xfId="220" xr:uid="{00000000-0005-0000-0000-0000AE000000}"/>
    <cellStyle name="_PL_HY09 &amp; FY 09_v2 7" xfId="221" xr:uid="{00000000-0005-0000-0000-0000AF000000}"/>
    <cellStyle name="_PL_HY09 &amp; FY 09_v2 7 10" xfId="222" xr:uid="{00000000-0005-0000-0000-0000B0000000}"/>
    <cellStyle name="_PL_HY09 &amp; FY 09_v2 7 11" xfId="223" xr:uid="{00000000-0005-0000-0000-0000B1000000}"/>
    <cellStyle name="_PL_HY09 &amp; FY 09_v2 7 2" xfId="224" xr:uid="{00000000-0005-0000-0000-0000B2000000}"/>
    <cellStyle name="_PL_HY09 &amp; FY 09_v2 7 3" xfId="225" xr:uid="{00000000-0005-0000-0000-0000B3000000}"/>
    <cellStyle name="_PL_HY09 &amp; FY 09_v2 7 4" xfId="226" xr:uid="{00000000-0005-0000-0000-0000B4000000}"/>
    <cellStyle name="_PL_HY09 &amp; FY 09_v2 7 5" xfId="227" xr:uid="{00000000-0005-0000-0000-0000B5000000}"/>
    <cellStyle name="_PL_HY09 &amp; FY 09_v2 7 6" xfId="228" xr:uid="{00000000-0005-0000-0000-0000B6000000}"/>
    <cellStyle name="_PL_HY09 &amp; FY 09_v2 7 7" xfId="229" xr:uid="{00000000-0005-0000-0000-0000B7000000}"/>
    <cellStyle name="_PL_HY09 &amp; FY 09_v2 7 8" xfId="230" xr:uid="{00000000-0005-0000-0000-0000B8000000}"/>
    <cellStyle name="_PL_HY09 &amp; FY 09_v2 7 9" xfId="231" xr:uid="{00000000-0005-0000-0000-0000B9000000}"/>
    <cellStyle name="_PL_HY09 &amp; FY 09_v2 8" xfId="232" xr:uid="{00000000-0005-0000-0000-0000BA000000}"/>
    <cellStyle name="_PL_HY09 &amp; FY 09_v2 8 10" xfId="233" xr:uid="{00000000-0005-0000-0000-0000BB000000}"/>
    <cellStyle name="_PL_HY09 &amp; FY 09_v2 8 11" xfId="234" xr:uid="{00000000-0005-0000-0000-0000BC000000}"/>
    <cellStyle name="_PL_HY09 &amp; FY 09_v2 8 2" xfId="235" xr:uid="{00000000-0005-0000-0000-0000BD000000}"/>
    <cellStyle name="_PL_HY09 &amp; FY 09_v2 8 3" xfId="236" xr:uid="{00000000-0005-0000-0000-0000BE000000}"/>
    <cellStyle name="_PL_HY09 &amp; FY 09_v2 8 4" xfId="237" xr:uid="{00000000-0005-0000-0000-0000BF000000}"/>
    <cellStyle name="_PL_HY09 &amp; FY 09_v2 8 5" xfId="238" xr:uid="{00000000-0005-0000-0000-0000C0000000}"/>
    <cellStyle name="_PL_HY09 &amp; FY 09_v2 8 6" xfId="239" xr:uid="{00000000-0005-0000-0000-0000C1000000}"/>
    <cellStyle name="_PL_HY09 &amp; FY 09_v2 8 7" xfId="240" xr:uid="{00000000-0005-0000-0000-0000C2000000}"/>
    <cellStyle name="_PL_HY09 &amp; FY 09_v2 8 8" xfId="241" xr:uid="{00000000-0005-0000-0000-0000C3000000}"/>
    <cellStyle name="_PL_HY09 &amp; FY 09_v2 8 9" xfId="242" xr:uid="{00000000-0005-0000-0000-0000C4000000}"/>
    <cellStyle name="_PL_HY09 &amp; FY 09_v2 9" xfId="243" xr:uid="{00000000-0005-0000-0000-0000C5000000}"/>
    <cellStyle name="_PL_HY09 &amp; FY 09_v2 9 10" xfId="244" xr:uid="{00000000-0005-0000-0000-0000C6000000}"/>
    <cellStyle name="_PL_HY09 &amp; FY 09_v2 9 11" xfId="245" xr:uid="{00000000-0005-0000-0000-0000C7000000}"/>
    <cellStyle name="_PL_HY09 &amp; FY 09_v2 9 2" xfId="246" xr:uid="{00000000-0005-0000-0000-0000C8000000}"/>
    <cellStyle name="_PL_HY09 &amp; FY 09_v2 9 3" xfId="247" xr:uid="{00000000-0005-0000-0000-0000C9000000}"/>
    <cellStyle name="_PL_HY09 &amp; FY 09_v2 9 4" xfId="248" xr:uid="{00000000-0005-0000-0000-0000CA000000}"/>
    <cellStyle name="_PL_HY09 &amp; FY 09_v2 9 5" xfId="249" xr:uid="{00000000-0005-0000-0000-0000CB000000}"/>
    <cellStyle name="_PL_HY09 &amp; FY 09_v2 9 6" xfId="250" xr:uid="{00000000-0005-0000-0000-0000CC000000}"/>
    <cellStyle name="_PL_HY09 &amp; FY 09_v2 9 7" xfId="251" xr:uid="{00000000-0005-0000-0000-0000CD000000}"/>
    <cellStyle name="_PL_HY09 &amp; FY 09_v2 9 8" xfId="252" xr:uid="{00000000-0005-0000-0000-0000CE000000}"/>
    <cellStyle name="_PL_HY09 &amp; FY 09_v2 9 9" xfId="253" xr:uid="{00000000-0005-0000-0000-0000CF000000}"/>
    <cellStyle name="_PL_HY09 &amp; FY 09_v2_PROD_DETAILS" xfId="254" xr:uid="{00000000-0005-0000-0000-0000D0000000}"/>
    <cellStyle name="_PL_HY09 &amp; FY 09_v2_PROD_DETAILS 10" xfId="255" xr:uid="{00000000-0005-0000-0000-0000D1000000}"/>
    <cellStyle name="_PL_HY09 &amp; FY 09_v2_PROD_DETAILS 11" xfId="256" xr:uid="{00000000-0005-0000-0000-0000D2000000}"/>
    <cellStyle name="_PL_HY09 &amp; FY 09_v2_PROD_DETAILS 2" xfId="257" xr:uid="{00000000-0005-0000-0000-0000D3000000}"/>
    <cellStyle name="_PL_HY09 &amp; FY 09_v2_PROD_DETAILS 3" xfId="258" xr:uid="{00000000-0005-0000-0000-0000D4000000}"/>
    <cellStyle name="_PL_HY09 &amp; FY 09_v2_PROD_DETAILS 4" xfId="259" xr:uid="{00000000-0005-0000-0000-0000D5000000}"/>
    <cellStyle name="_PL_HY09 &amp; FY 09_v2_PROD_DETAILS 5" xfId="260" xr:uid="{00000000-0005-0000-0000-0000D6000000}"/>
    <cellStyle name="_PL_HY09 &amp; FY 09_v2_PROD_DETAILS 6" xfId="261" xr:uid="{00000000-0005-0000-0000-0000D7000000}"/>
    <cellStyle name="_PL_HY09 &amp; FY 09_v2_PROD_DETAILS 7" xfId="262" xr:uid="{00000000-0005-0000-0000-0000D8000000}"/>
    <cellStyle name="_PL_HY09 &amp; FY 09_v2_PROD_DETAILS 8" xfId="263" xr:uid="{00000000-0005-0000-0000-0000D9000000}"/>
    <cellStyle name="_PL_HY09 &amp; FY 09_v2_PROD_DETAILS 9" xfId="264" xr:uid="{00000000-0005-0000-0000-0000DA000000}"/>
    <cellStyle name="_Rev_Acc" xfId="265" xr:uid="{00000000-0005-0000-0000-0000DB000000}"/>
    <cellStyle name="_Rev_Acc 10" xfId="266" xr:uid="{00000000-0005-0000-0000-0000DC000000}"/>
    <cellStyle name="_Rev_Acc 11" xfId="267" xr:uid="{00000000-0005-0000-0000-0000DD000000}"/>
    <cellStyle name="_Rev_Acc 12" xfId="268" xr:uid="{00000000-0005-0000-0000-0000DE000000}"/>
    <cellStyle name="_Rev_Acc 13" xfId="269" xr:uid="{00000000-0005-0000-0000-0000DF000000}"/>
    <cellStyle name="_Rev_Acc 14" xfId="270" xr:uid="{00000000-0005-0000-0000-0000E0000000}"/>
    <cellStyle name="_Rev_Acc 15" xfId="271" xr:uid="{00000000-0005-0000-0000-0000E1000000}"/>
    <cellStyle name="_Rev_Acc 16" xfId="272" xr:uid="{00000000-0005-0000-0000-0000E2000000}"/>
    <cellStyle name="_Rev_Acc 17" xfId="273" xr:uid="{00000000-0005-0000-0000-0000E3000000}"/>
    <cellStyle name="_Rev_Acc 18" xfId="274" xr:uid="{00000000-0005-0000-0000-0000E4000000}"/>
    <cellStyle name="_Rev_Acc 2" xfId="275" xr:uid="{00000000-0005-0000-0000-0000E5000000}"/>
    <cellStyle name="_Rev_Acc 2 10" xfId="276" xr:uid="{00000000-0005-0000-0000-0000E6000000}"/>
    <cellStyle name="_Rev_Acc 2 11" xfId="277" xr:uid="{00000000-0005-0000-0000-0000E7000000}"/>
    <cellStyle name="_Rev_Acc 2 2" xfId="278" xr:uid="{00000000-0005-0000-0000-0000E8000000}"/>
    <cellStyle name="_Rev_Acc 2 3" xfId="279" xr:uid="{00000000-0005-0000-0000-0000E9000000}"/>
    <cellStyle name="_Rev_Acc 2 4" xfId="280" xr:uid="{00000000-0005-0000-0000-0000EA000000}"/>
    <cellStyle name="_Rev_Acc 2 5" xfId="281" xr:uid="{00000000-0005-0000-0000-0000EB000000}"/>
    <cellStyle name="_Rev_Acc 2 6" xfId="282" xr:uid="{00000000-0005-0000-0000-0000EC000000}"/>
    <cellStyle name="_Rev_Acc 2 7" xfId="283" xr:uid="{00000000-0005-0000-0000-0000ED000000}"/>
    <cellStyle name="_Rev_Acc 2 8" xfId="284" xr:uid="{00000000-0005-0000-0000-0000EE000000}"/>
    <cellStyle name="_Rev_Acc 2 9" xfId="285" xr:uid="{00000000-0005-0000-0000-0000EF000000}"/>
    <cellStyle name="_Rev_Acc 3" xfId="286" xr:uid="{00000000-0005-0000-0000-0000F0000000}"/>
    <cellStyle name="_Rev_Acc 3 10" xfId="287" xr:uid="{00000000-0005-0000-0000-0000F1000000}"/>
    <cellStyle name="_Rev_Acc 3 11" xfId="288" xr:uid="{00000000-0005-0000-0000-0000F2000000}"/>
    <cellStyle name="_Rev_Acc 3 2" xfId="289" xr:uid="{00000000-0005-0000-0000-0000F3000000}"/>
    <cellStyle name="_Rev_Acc 3 3" xfId="290" xr:uid="{00000000-0005-0000-0000-0000F4000000}"/>
    <cellStyle name="_Rev_Acc 3 4" xfId="291" xr:uid="{00000000-0005-0000-0000-0000F5000000}"/>
    <cellStyle name="_Rev_Acc 3 5" xfId="292" xr:uid="{00000000-0005-0000-0000-0000F6000000}"/>
    <cellStyle name="_Rev_Acc 3 6" xfId="293" xr:uid="{00000000-0005-0000-0000-0000F7000000}"/>
    <cellStyle name="_Rev_Acc 3 7" xfId="294" xr:uid="{00000000-0005-0000-0000-0000F8000000}"/>
    <cellStyle name="_Rev_Acc 3 8" xfId="295" xr:uid="{00000000-0005-0000-0000-0000F9000000}"/>
    <cellStyle name="_Rev_Acc 3 9" xfId="296" xr:uid="{00000000-0005-0000-0000-0000FA000000}"/>
    <cellStyle name="_Rev_Acc 4" xfId="297" xr:uid="{00000000-0005-0000-0000-0000FB000000}"/>
    <cellStyle name="_Rev_Acc 4 10" xfId="298" xr:uid="{00000000-0005-0000-0000-0000FC000000}"/>
    <cellStyle name="_Rev_Acc 4 11" xfId="299" xr:uid="{00000000-0005-0000-0000-0000FD000000}"/>
    <cellStyle name="_Rev_Acc 4 2" xfId="300" xr:uid="{00000000-0005-0000-0000-0000FE000000}"/>
    <cellStyle name="_Rev_Acc 4 3" xfId="301" xr:uid="{00000000-0005-0000-0000-0000FF000000}"/>
    <cellStyle name="_Rev_Acc 4 4" xfId="302" xr:uid="{00000000-0005-0000-0000-000000010000}"/>
    <cellStyle name="_Rev_Acc 4 5" xfId="303" xr:uid="{00000000-0005-0000-0000-000001010000}"/>
    <cellStyle name="_Rev_Acc 4 6" xfId="304" xr:uid="{00000000-0005-0000-0000-000002010000}"/>
    <cellStyle name="_Rev_Acc 4 7" xfId="305" xr:uid="{00000000-0005-0000-0000-000003010000}"/>
    <cellStyle name="_Rev_Acc 4 8" xfId="306" xr:uid="{00000000-0005-0000-0000-000004010000}"/>
    <cellStyle name="_Rev_Acc 4 9" xfId="307" xr:uid="{00000000-0005-0000-0000-000005010000}"/>
    <cellStyle name="_Rev_Acc 5" xfId="308" xr:uid="{00000000-0005-0000-0000-000006010000}"/>
    <cellStyle name="_Rev_Acc 5 10" xfId="309" xr:uid="{00000000-0005-0000-0000-000007010000}"/>
    <cellStyle name="_Rev_Acc 5 11" xfId="310" xr:uid="{00000000-0005-0000-0000-000008010000}"/>
    <cellStyle name="_Rev_Acc 5 2" xfId="311" xr:uid="{00000000-0005-0000-0000-000009010000}"/>
    <cellStyle name="_Rev_Acc 5 3" xfId="312" xr:uid="{00000000-0005-0000-0000-00000A010000}"/>
    <cellStyle name="_Rev_Acc 5 4" xfId="313" xr:uid="{00000000-0005-0000-0000-00000B010000}"/>
    <cellStyle name="_Rev_Acc 5 5" xfId="314" xr:uid="{00000000-0005-0000-0000-00000C010000}"/>
    <cellStyle name="_Rev_Acc 5 6" xfId="315" xr:uid="{00000000-0005-0000-0000-00000D010000}"/>
    <cellStyle name="_Rev_Acc 5 7" xfId="316" xr:uid="{00000000-0005-0000-0000-00000E010000}"/>
    <cellStyle name="_Rev_Acc 5 8" xfId="317" xr:uid="{00000000-0005-0000-0000-00000F010000}"/>
    <cellStyle name="_Rev_Acc 5 9" xfId="318" xr:uid="{00000000-0005-0000-0000-000010010000}"/>
    <cellStyle name="_Rev_Acc 6" xfId="319" xr:uid="{00000000-0005-0000-0000-000011010000}"/>
    <cellStyle name="_Rev_Acc 6 10" xfId="320" xr:uid="{00000000-0005-0000-0000-000012010000}"/>
    <cellStyle name="_Rev_Acc 6 11" xfId="321" xr:uid="{00000000-0005-0000-0000-000013010000}"/>
    <cellStyle name="_Rev_Acc 6 2" xfId="322" xr:uid="{00000000-0005-0000-0000-000014010000}"/>
    <cellStyle name="_Rev_Acc 6 3" xfId="323" xr:uid="{00000000-0005-0000-0000-000015010000}"/>
    <cellStyle name="_Rev_Acc 6 4" xfId="324" xr:uid="{00000000-0005-0000-0000-000016010000}"/>
    <cellStyle name="_Rev_Acc 6 5" xfId="325" xr:uid="{00000000-0005-0000-0000-000017010000}"/>
    <cellStyle name="_Rev_Acc 6 6" xfId="326" xr:uid="{00000000-0005-0000-0000-000018010000}"/>
    <cellStyle name="_Rev_Acc 6 7" xfId="327" xr:uid="{00000000-0005-0000-0000-000019010000}"/>
    <cellStyle name="_Rev_Acc 6 8" xfId="328" xr:uid="{00000000-0005-0000-0000-00001A010000}"/>
    <cellStyle name="_Rev_Acc 6 9" xfId="329" xr:uid="{00000000-0005-0000-0000-00001B010000}"/>
    <cellStyle name="_Rev_Acc 7" xfId="330" xr:uid="{00000000-0005-0000-0000-00001C010000}"/>
    <cellStyle name="_Rev_Acc 7 10" xfId="331" xr:uid="{00000000-0005-0000-0000-00001D010000}"/>
    <cellStyle name="_Rev_Acc 7 11" xfId="332" xr:uid="{00000000-0005-0000-0000-00001E010000}"/>
    <cellStyle name="_Rev_Acc 7 2" xfId="333" xr:uid="{00000000-0005-0000-0000-00001F010000}"/>
    <cellStyle name="_Rev_Acc 7 3" xfId="334" xr:uid="{00000000-0005-0000-0000-000020010000}"/>
    <cellStyle name="_Rev_Acc 7 4" xfId="335" xr:uid="{00000000-0005-0000-0000-000021010000}"/>
    <cellStyle name="_Rev_Acc 7 5" xfId="336" xr:uid="{00000000-0005-0000-0000-000022010000}"/>
    <cellStyle name="_Rev_Acc 7 6" xfId="337" xr:uid="{00000000-0005-0000-0000-000023010000}"/>
    <cellStyle name="_Rev_Acc 7 7" xfId="338" xr:uid="{00000000-0005-0000-0000-000024010000}"/>
    <cellStyle name="_Rev_Acc 7 8" xfId="339" xr:uid="{00000000-0005-0000-0000-000025010000}"/>
    <cellStyle name="_Rev_Acc 7 9" xfId="340" xr:uid="{00000000-0005-0000-0000-000026010000}"/>
    <cellStyle name="_Rev_Acc 8" xfId="341" xr:uid="{00000000-0005-0000-0000-000027010000}"/>
    <cellStyle name="_Rev_Acc 8 10" xfId="342" xr:uid="{00000000-0005-0000-0000-000028010000}"/>
    <cellStyle name="_Rev_Acc 8 11" xfId="343" xr:uid="{00000000-0005-0000-0000-000029010000}"/>
    <cellStyle name="_Rev_Acc 8 2" xfId="344" xr:uid="{00000000-0005-0000-0000-00002A010000}"/>
    <cellStyle name="_Rev_Acc 8 3" xfId="345" xr:uid="{00000000-0005-0000-0000-00002B010000}"/>
    <cellStyle name="_Rev_Acc 8 4" xfId="346" xr:uid="{00000000-0005-0000-0000-00002C010000}"/>
    <cellStyle name="_Rev_Acc 8 5" xfId="347" xr:uid="{00000000-0005-0000-0000-00002D010000}"/>
    <cellStyle name="_Rev_Acc 8 6" xfId="348" xr:uid="{00000000-0005-0000-0000-00002E010000}"/>
    <cellStyle name="_Rev_Acc 8 7" xfId="349" xr:uid="{00000000-0005-0000-0000-00002F010000}"/>
    <cellStyle name="_Rev_Acc 8 8" xfId="350" xr:uid="{00000000-0005-0000-0000-000030010000}"/>
    <cellStyle name="_Rev_Acc 8 9" xfId="351" xr:uid="{00000000-0005-0000-0000-000031010000}"/>
    <cellStyle name="_Rev_Acc 9" xfId="352" xr:uid="{00000000-0005-0000-0000-000032010000}"/>
    <cellStyle name="_Rev_Acc 9 10" xfId="353" xr:uid="{00000000-0005-0000-0000-000033010000}"/>
    <cellStyle name="_Rev_Acc 9 11" xfId="354" xr:uid="{00000000-0005-0000-0000-000034010000}"/>
    <cellStyle name="_Rev_Acc 9 2" xfId="355" xr:uid="{00000000-0005-0000-0000-000035010000}"/>
    <cellStyle name="_Rev_Acc 9 3" xfId="356" xr:uid="{00000000-0005-0000-0000-000036010000}"/>
    <cellStyle name="_Rev_Acc 9 4" xfId="357" xr:uid="{00000000-0005-0000-0000-000037010000}"/>
    <cellStyle name="_Rev_Acc 9 5" xfId="358" xr:uid="{00000000-0005-0000-0000-000038010000}"/>
    <cellStyle name="_Rev_Acc 9 6" xfId="359" xr:uid="{00000000-0005-0000-0000-000039010000}"/>
    <cellStyle name="_Rev_Acc 9 7" xfId="360" xr:uid="{00000000-0005-0000-0000-00003A010000}"/>
    <cellStyle name="_Rev_Acc 9 8" xfId="361" xr:uid="{00000000-0005-0000-0000-00003B010000}"/>
    <cellStyle name="_Rev_Acc 9 9" xfId="362" xr:uid="{00000000-0005-0000-0000-00003C010000}"/>
    <cellStyle name="_Rev_Acc_PROD_DETAILS" xfId="363" xr:uid="{00000000-0005-0000-0000-00003D010000}"/>
    <cellStyle name="_Rev_Acc_PROD_DETAILS 10" xfId="364" xr:uid="{00000000-0005-0000-0000-00003E010000}"/>
    <cellStyle name="_Rev_Acc_PROD_DETAILS 11" xfId="365" xr:uid="{00000000-0005-0000-0000-00003F010000}"/>
    <cellStyle name="_Rev_Acc_PROD_DETAILS 2" xfId="366" xr:uid="{00000000-0005-0000-0000-000040010000}"/>
    <cellStyle name="_Rev_Acc_PROD_DETAILS 3" xfId="367" xr:uid="{00000000-0005-0000-0000-000041010000}"/>
    <cellStyle name="_Rev_Acc_PROD_DETAILS 4" xfId="368" xr:uid="{00000000-0005-0000-0000-000042010000}"/>
    <cellStyle name="_Rev_Acc_PROD_DETAILS 5" xfId="369" xr:uid="{00000000-0005-0000-0000-000043010000}"/>
    <cellStyle name="_Rev_Acc_PROD_DETAILS 6" xfId="370" xr:uid="{00000000-0005-0000-0000-000044010000}"/>
    <cellStyle name="_Rev_Acc_PROD_DETAILS 7" xfId="371" xr:uid="{00000000-0005-0000-0000-000045010000}"/>
    <cellStyle name="_Rev_Acc_PROD_DETAILS 8" xfId="372" xr:uid="{00000000-0005-0000-0000-000046010000}"/>
    <cellStyle name="_Rev_Acc_PROD_DETAILS 9" xfId="373" xr:uid="{00000000-0005-0000-0000-000047010000}"/>
    <cellStyle name="=C:\WINNT\SYSTEM32\COMMAND.COM" xfId="23490" xr:uid="{00000000-0005-0000-0000-000048010000}"/>
    <cellStyle name="20% - Accent1 10" xfId="374" xr:uid="{00000000-0005-0000-0000-000049010000}"/>
    <cellStyle name="20% - Accent1 11" xfId="375" xr:uid="{00000000-0005-0000-0000-00004A010000}"/>
    <cellStyle name="20% - Accent1 12" xfId="376" xr:uid="{00000000-0005-0000-0000-00004B010000}"/>
    <cellStyle name="20% - Accent1 13" xfId="377" xr:uid="{00000000-0005-0000-0000-00004C010000}"/>
    <cellStyle name="20% - Accent1 14" xfId="378" xr:uid="{00000000-0005-0000-0000-00004D010000}"/>
    <cellStyle name="20% - Accent1 15" xfId="379" xr:uid="{00000000-0005-0000-0000-00004E010000}"/>
    <cellStyle name="20% - Accent1 16" xfId="380" xr:uid="{00000000-0005-0000-0000-00004F010000}"/>
    <cellStyle name="20% - Accent1 17" xfId="381" xr:uid="{00000000-0005-0000-0000-000050010000}"/>
    <cellStyle name="20% - Accent1 17 2" xfId="382" xr:uid="{00000000-0005-0000-0000-000051010000}"/>
    <cellStyle name="20% - Accent1 17 3" xfId="383" xr:uid="{00000000-0005-0000-0000-000052010000}"/>
    <cellStyle name="20% - Accent1 17 4" xfId="384" xr:uid="{00000000-0005-0000-0000-000053010000}"/>
    <cellStyle name="20% - Accent1 17 5" xfId="385" xr:uid="{00000000-0005-0000-0000-000054010000}"/>
    <cellStyle name="20% - Accent1 18" xfId="386" xr:uid="{00000000-0005-0000-0000-000055010000}"/>
    <cellStyle name="20% - Accent1 18 2" xfId="387" xr:uid="{00000000-0005-0000-0000-000056010000}"/>
    <cellStyle name="20% - Accent1 18 3" xfId="388" xr:uid="{00000000-0005-0000-0000-000057010000}"/>
    <cellStyle name="20% - Accent1 18 4" xfId="389" xr:uid="{00000000-0005-0000-0000-000058010000}"/>
    <cellStyle name="20% - Accent1 18 5" xfId="390" xr:uid="{00000000-0005-0000-0000-000059010000}"/>
    <cellStyle name="20% - Accent1 19" xfId="391" xr:uid="{00000000-0005-0000-0000-00005A010000}"/>
    <cellStyle name="20% - Accent1 19 2" xfId="392" xr:uid="{00000000-0005-0000-0000-00005B010000}"/>
    <cellStyle name="20% - Accent1 19 3" xfId="393" xr:uid="{00000000-0005-0000-0000-00005C010000}"/>
    <cellStyle name="20% - Accent1 19 4" xfId="394" xr:uid="{00000000-0005-0000-0000-00005D010000}"/>
    <cellStyle name="20% - Accent1 19 5" xfId="395" xr:uid="{00000000-0005-0000-0000-00005E010000}"/>
    <cellStyle name="20% - Accent1 2" xfId="396" xr:uid="{00000000-0005-0000-0000-00005F010000}"/>
    <cellStyle name="20% - Accent1 2 2" xfId="23491" xr:uid="{00000000-0005-0000-0000-000060010000}"/>
    <cellStyle name="20% - Accent1 20" xfId="397" xr:uid="{00000000-0005-0000-0000-000061010000}"/>
    <cellStyle name="20% - Accent1 20 2" xfId="398" xr:uid="{00000000-0005-0000-0000-000062010000}"/>
    <cellStyle name="20% - Accent1 20 3" xfId="399" xr:uid="{00000000-0005-0000-0000-000063010000}"/>
    <cellStyle name="20% - Accent1 20 4" xfId="400" xr:uid="{00000000-0005-0000-0000-000064010000}"/>
    <cellStyle name="20% - Accent1 20 5" xfId="401" xr:uid="{00000000-0005-0000-0000-000065010000}"/>
    <cellStyle name="20% - Accent1 21" xfId="402" xr:uid="{00000000-0005-0000-0000-000066010000}"/>
    <cellStyle name="20% - Accent1 21 2" xfId="403" xr:uid="{00000000-0005-0000-0000-000067010000}"/>
    <cellStyle name="20% - Accent1 21 3" xfId="404" xr:uid="{00000000-0005-0000-0000-000068010000}"/>
    <cellStyle name="20% - Accent1 21 4" xfId="405" xr:uid="{00000000-0005-0000-0000-000069010000}"/>
    <cellStyle name="20% - Accent1 21 5" xfId="406" xr:uid="{00000000-0005-0000-0000-00006A010000}"/>
    <cellStyle name="20% - Accent1 22" xfId="407" xr:uid="{00000000-0005-0000-0000-00006B010000}"/>
    <cellStyle name="20% - Accent1 22 2" xfId="408" xr:uid="{00000000-0005-0000-0000-00006C010000}"/>
    <cellStyle name="20% - Accent1 22 3" xfId="409" xr:uid="{00000000-0005-0000-0000-00006D010000}"/>
    <cellStyle name="20% - Accent1 22 4" xfId="410" xr:uid="{00000000-0005-0000-0000-00006E010000}"/>
    <cellStyle name="20% - Accent1 22 5" xfId="411" xr:uid="{00000000-0005-0000-0000-00006F010000}"/>
    <cellStyle name="20% - Accent1 23" xfId="412" xr:uid="{00000000-0005-0000-0000-000070010000}"/>
    <cellStyle name="20% - Accent1 24" xfId="413" xr:uid="{00000000-0005-0000-0000-000071010000}"/>
    <cellStyle name="20% - Accent1 25" xfId="414" xr:uid="{00000000-0005-0000-0000-000072010000}"/>
    <cellStyle name="20% - Accent1 26" xfId="415" xr:uid="{00000000-0005-0000-0000-000073010000}"/>
    <cellStyle name="20% - Accent1 3" xfId="416" xr:uid="{00000000-0005-0000-0000-000074010000}"/>
    <cellStyle name="20% - Accent1 4" xfId="417" xr:uid="{00000000-0005-0000-0000-000075010000}"/>
    <cellStyle name="20% - Accent1 5" xfId="418" xr:uid="{00000000-0005-0000-0000-000076010000}"/>
    <cellStyle name="20% - Accent1 6" xfId="419" xr:uid="{00000000-0005-0000-0000-000077010000}"/>
    <cellStyle name="20% - Accent1 7" xfId="420" xr:uid="{00000000-0005-0000-0000-000078010000}"/>
    <cellStyle name="20% - Accent1 8" xfId="421" xr:uid="{00000000-0005-0000-0000-000079010000}"/>
    <cellStyle name="20% - Accent1 9" xfId="422" xr:uid="{00000000-0005-0000-0000-00007A010000}"/>
    <cellStyle name="20% - Accent2 10" xfId="423" xr:uid="{00000000-0005-0000-0000-00007B010000}"/>
    <cellStyle name="20% - Accent2 11" xfId="424" xr:uid="{00000000-0005-0000-0000-00007C010000}"/>
    <cellStyle name="20% - Accent2 12" xfId="425" xr:uid="{00000000-0005-0000-0000-00007D010000}"/>
    <cellStyle name="20% - Accent2 13" xfId="426" xr:uid="{00000000-0005-0000-0000-00007E010000}"/>
    <cellStyle name="20% - Accent2 14" xfId="427" xr:uid="{00000000-0005-0000-0000-00007F010000}"/>
    <cellStyle name="20% - Accent2 15" xfId="428" xr:uid="{00000000-0005-0000-0000-000080010000}"/>
    <cellStyle name="20% - Accent2 16" xfId="429" xr:uid="{00000000-0005-0000-0000-000081010000}"/>
    <cellStyle name="20% - Accent2 17" xfId="430" xr:uid="{00000000-0005-0000-0000-000082010000}"/>
    <cellStyle name="20% - Accent2 17 2" xfId="431" xr:uid="{00000000-0005-0000-0000-000083010000}"/>
    <cellStyle name="20% - Accent2 17 3" xfId="432" xr:uid="{00000000-0005-0000-0000-000084010000}"/>
    <cellStyle name="20% - Accent2 17 4" xfId="433" xr:uid="{00000000-0005-0000-0000-000085010000}"/>
    <cellStyle name="20% - Accent2 17 5" xfId="434" xr:uid="{00000000-0005-0000-0000-000086010000}"/>
    <cellStyle name="20% - Accent2 18" xfId="435" xr:uid="{00000000-0005-0000-0000-000087010000}"/>
    <cellStyle name="20% - Accent2 18 2" xfId="436" xr:uid="{00000000-0005-0000-0000-000088010000}"/>
    <cellStyle name="20% - Accent2 18 3" xfId="437" xr:uid="{00000000-0005-0000-0000-000089010000}"/>
    <cellStyle name="20% - Accent2 18 4" xfId="438" xr:uid="{00000000-0005-0000-0000-00008A010000}"/>
    <cellStyle name="20% - Accent2 18 5" xfId="439" xr:uid="{00000000-0005-0000-0000-00008B010000}"/>
    <cellStyle name="20% - Accent2 19" xfId="440" xr:uid="{00000000-0005-0000-0000-00008C010000}"/>
    <cellStyle name="20% - Accent2 19 2" xfId="441" xr:uid="{00000000-0005-0000-0000-00008D010000}"/>
    <cellStyle name="20% - Accent2 19 3" xfId="442" xr:uid="{00000000-0005-0000-0000-00008E010000}"/>
    <cellStyle name="20% - Accent2 19 4" xfId="443" xr:uid="{00000000-0005-0000-0000-00008F010000}"/>
    <cellStyle name="20% - Accent2 19 5" xfId="444" xr:uid="{00000000-0005-0000-0000-000090010000}"/>
    <cellStyle name="20% - Accent2 2" xfId="445" xr:uid="{00000000-0005-0000-0000-000091010000}"/>
    <cellStyle name="20% - Accent2 2 2" xfId="23492" xr:uid="{00000000-0005-0000-0000-000092010000}"/>
    <cellStyle name="20% - Accent2 20" xfId="446" xr:uid="{00000000-0005-0000-0000-000093010000}"/>
    <cellStyle name="20% - Accent2 20 2" xfId="447" xr:uid="{00000000-0005-0000-0000-000094010000}"/>
    <cellStyle name="20% - Accent2 20 3" xfId="448" xr:uid="{00000000-0005-0000-0000-000095010000}"/>
    <cellStyle name="20% - Accent2 20 4" xfId="449" xr:uid="{00000000-0005-0000-0000-000096010000}"/>
    <cellStyle name="20% - Accent2 20 5" xfId="450" xr:uid="{00000000-0005-0000-0000-000097010000}"/>
    <cellStyle name="20% - Accent2 21" xfId="451" xr:uid="{00000000-0005-0000-0000-000098010000}"/>
    <cellStyle name="20% - Accent2 21 2" xfId="452" xr:uid="{00000000-0005-0000-0000-000099010000}"/>
    <cellStyle name="20% - Accent2 21 3" xfId="453" xr:uid="{00000000-0005-0000-0000-00009A010000}"/>
    <cellStyle name="20% - Accent2 21 4" xfId="454" xr:uid="{00000000-0005-0000-0000-00009B010000}"/>
    <cellStyle name="20% - Accent2 21 5" xfId="455" xr:uid="{00000000-0005-0000-0000-00009C010000}"/>
    <cellStyle name="20% - Accent2 22" xfId="456" xr:uid="{00000000-0005-0000-0000-00009D010000}"/>
    <cellStyle name="20% - Accent2 22 2" xfId="457" xr:uid="{00000000-0005-0000-0000-00009E010000}"/>
    <cellStyle name="20% - Accent2 22 3" xfId="458" xr:uid="{00000000-0005-0000-0000-00009F010000}"/>
    <cellStyle name="20% - Accent2 22 4" xfId="459" xr:uid="{00000000-0005-0000-0000-0000A0010000}"/>
    <cellStyle name="20% - Accent2 22 5" xfId="460" xr:uid="{00000000-0005-0000-0000-0000A1010000}"/>
    <cellStyle name="20% - Accent2 23" xfId="461" xr:uid="{00000000-0005-0000-0000-0000A2010000}"/>
    <cellStyle name="20% - Accent2 24" xfId="462" xr:uid="{00000000-0005-0000-0000-0000A3010000}"/>
    <cellStyle name="20% - Accent2 25" xfId="463" xr:uid="{00000000-0005-0000-0000-0000A4010000}"/>
    <cellStyle name="20% - Accent2 26" xfId="464" xr:uid="{00000000-0005-0000-0000-0000A5010000}"/>
    <cellStyle name="20% - Accent2 3" xfId="465" xr:uid="{00000000-0005-0000-0000-0000A6010000}"/>
    <cellStyle name="20% - Accent2 4" xfId="466" xr:uid="{00000000-0005-0000-0000-0000A7010000}"/>
    <cellStyle name="20% - Accent2 5" xfId="467" xr:uid="{00000000-0005-0000-0000-0000A8010000}"/>
    <cellStyle name="20% - Accent2 6" xfId="468" xr:uid="{00000000-0005-0000-0000-0000A9010000}"/>
    <cellStyle name="20% - Accent2 7" xfId="469" xr:uid="{00000000-0005-0000-0000-0000AA010000}"/>
    <cellStyle name="20% - Accent2 8" xfId="470" xr:uid="{00000000-0005-0000-0000-0000AB010000}"/>
    <cellStyle name="20% - Accent2 9" xfId="471" xr:uid="{00000000-0005-0000-0000-0000AC010000}"/>
    <cellStyle name="20% - Accent3 10" xfId="472" xr:uid="{00000000-0005-0000-0000-0000AD010000}"/>
    <cellStyle name="20% - Accent3 11" xfId="473" xr:uid="{00000000-0005-0000-0000-0000AE010000}"/>
    <cellStyle name="20% - Accent3 12" xfId="474" xr:uid="{00000000-0005-0000-0000-0000AF010000}"/>
    <cellStyle name="20% - Accent3 13" xfId="475" xr:uid="{00000000-0005-0000-0000-0000B0010000}"/>
    <cellStyle name="20% - Accent3 14" xfId="476" xr:uid="{00000000-0005-0000-0000-0000B1010000}"/>
    <cellStyle name="20% - Accent3 15" xfId="477" xr:uid="{00000000-0005-0000-0000-0000B2010000}"/>
    <cellStyle name="20% - Accent3 16" xfId="478" xr:uid="{00000000-0005-0000-0000-0000B3010000}"/>
    <cellStyle name="20% - Accent3 17" xfId="479" xr:uid="{00000000-0005-0000-0000-0000B4010000}"/>
    <cellStyle name="20% - Accent3 17 2" xfId="480" xr:uid="{00000000-0005-0000-0000-0000B5010000}"/>
    <cellStyle name="20% - Accent3 17 3" xfId="481" xr:uid="{00000000-0005-0000-0000-0000B6010000}"/>
    <cellStyle name="20% - Accent3 17 4" xfId="482" xr:uid="{00000000-0005-0000-0000-0000B7010000}"/>
    <cellStyle name="20% - Accent3 17 5" xfId="483" xr:uid="{00000000-0005-0000-0000-0000B8010000}"/>
    <cellStyle name="20% - Accent3 18" xfId="484" xr:uid="{00000000-0005-0000-0000-0000B9010000}"/>
    <cellStyle name="20% - Accent3 18 2" xfId="485" xr:uid="{00000000-0005-0000-0000-0000BA010000}"/>
    <cellStyle name="20% - Accent3 18 3" xfId="486" xr:uid="{00000000-0005-0000-0000-0000BB010000}"/>
    <cellStyle name="20% - Accent3 18 4" xfId="487" xr:uid="{00000000-0005-0000-0000-0000BC010000}"/>
    <cellStyle name="20% - Accent3 18 5" xfId="488" xr:uid="{00000000-0005-0000-0000-0000BD010000}"/>
    <cellStyle name="20% - Accent3 19" xfId="489" xr:uid="{00000000-0005-0000-0000-0000BE010000}"/>
    <cellStyle name="20% - Accent3 19 2" xfId="490" xr:uid="{00000000-0005-0000-0000-0000BF010000}"/>
    <cellStyle name="20% - Accent3 19 3" xfId="491" xr:uid="{00000000-0005-0000-0000-0000C0010000}"/>
    <cellStyle name="20% - Accent3 19 4" xfId="492" xr:uid="{00000000-0005-0000-0000-0000C1010000}"/>
    <cellStyle name="20% - Accent3 19 5" xfId="493" xr:uid="{00000000-0005-0000-0000-0000C2010000}"/>
    <cellStyle name="20% - Accent3 2" xfId="494" xr:uid="{00000000-0005-0000-0000-0000C3010000}"/>
    <cellStyle name="20% - Accent3 2 2" xfId="23493" xr:uid="{00000000-0005-0000-0000-0000C4010000}"/>
    <cellStyle name="20% - Accent3 20" xfId="495" xr:uid="{00000000-0005-0000-0000-0000C5010000}"/>
    <cellStyle name="20% - Accent3 20 2" xfId="496" xr:uid="{00000000-0005-0000-0000-0000C6010000}"/>
    <cellStyle name="20% - Accent3 20 3" xfId="497" xr:uid="{00000000-0005-0000-0000-0000C7010000}"/>
    <cellStyle name="20% - Accent3 20 4" xfId="498" xr:uid="{00000000-0005-0000-0000-0000C8010000}"/>
    <cellStyle name="20% - Accent3 20 5" xfId="499" xr:uid="{00000000-0005-0000-0000-0000C9010000}"/>
    <cellStyle name="20% - Accent3 21" xfId="500" xr:uid="{00000000-0005-0000-0000-0000CA010000}"/>
    <cellStyle name="20% - Accent3 21 2" xfId="501" xr:uid="{00000000-0005-0000-0000-0000CB010000}"/>
    <cellStyle name="20% - Accent3 21 3" xfId="502" xr:uid="{00000000-0005-0000-0000-0000CC010000}"/>
    <cellStyle name="20% - Accent3 21 4" xfId="503" xr:uid="{00000000-0005-0000-0000-0000CD010000}"/>
    <cellStyle name="20% - Accent3 21 5" xfId="504" xr:uid="{00000000-0005-0000-0000-0000CE010000}"/>
    <cellStyle name="20% - Accent3 22" xfId="505" xr:uid="{00000000-0005-0000-0000-0000CF010000}"/>
    <cellStyle name="20% - Accent3 22 2" xfId="506" xr:uid="{00000000-0005-0000-0000-0000D0010000}"/>
    <cellStyle name="20% - Accent3 22 3" xfId="507" xr:uid="{00000000-0005-0000-0000-0000D1010000}"/>
    <cellStyle name="20% - Accent3 22 4" xfId="508" xr:uid="{00000000-0005-0000-0000-0000D2010000}"/>
    <cellStyle name="20% - Accent3 22 5" xfId="509" xr:uid="{00000000-0005-0000-0000-0000D3010000}"/>
    <cellStyle name="20% - Accent3 23" xfId="510" xr:uid="{00000000-0005-0000-0000-0000D4010000}"/>
    <cellStyle name="20% - Accent3 24" xfId="511" xr:uid="{00000000-0005-0000-0000-0000D5010000}"/>
    <cellStyle name="20% - Accent3 25" xfId="512" xr:uid="{00000000-0005-0000-0000-0000D6010000}"/>
    <cellStyle name="20% - Accent3 26" xfId="513" xr:uid="{00000000-0005-0000-0000-0000D7010000}"/>
    <cellStyle name="20% - Accent3 3" xfId="514" xr:uid="{00000000-0005-0000-0000-0000D8010000}"/>
    <cellStyle name="20% - Accent3 4" xfId="515" xr:uid="{00000000-0005-0000-0000-0000D9010000}"/>
    <cellStyle name="20% - Accent3 5" xfId="516" xr:uid="{00000000-0005-0000-0000-0000DA010000}"/>
    <cellStyle name="20% - Accent3 6" xfId="517" xr:uid="{00000000-0005-0000-0000-0000DB010000}"/>
    <cellStyle name="20% - Accent3 7" xfId="518" xr:uid="{00000000-0005-0000-0000-0000DC010000}"/>
    <cellStyle name="20% - Accent3 8" xfId="519" xr:uid="{00000000-0005-0000-0000-0000DD010000}"/>
    <cellStyle name="20% - Accent3 9" xfId="520" xr:uid="{00000000-0005-0000-0000-0000DE010000}"/>
    <cellStyle name="20% - Accent4 10" xfId="521" xr:uid="{00000000-0005-0000-0000-0000DF010000}"/>
    <cellStyle name="20% - Accent4 11" xfId="522" xr:uid="{00000000-0005-0000-0000-0000E0010000}"/>
    <cellStyle name="20% - Accent4 12" xfId="523" xr:uid="{00000000-0005-0000-0000-0000E1010000}"/>
    <cellStyle name="20% - Accent4 13" xfId="524" xr:uid="{00000000-0005-0000-0000-0000E2010000}"/>
    <cellStyle name="20% - Accent4 14" xfId="525" xr:uid="{00000000-0005-0000-0000-0000E3010000}"/>
    <cellStyle name="20% - Accent4 15" xfId="526" xr:uid="{00000000-0005-0000-0000-0000E4010000}"/>
    <cellStyle name="20% - Accent4 16" xfId="527" xr:uid="{00000000-0005-0000-0000-0000E5010000}"/>
    <cellStyle name="20% - Accent4 17" xfId="528" xr:uid="{00000000-0005-0000-0000-0000E6010000}"/>
    <cellStyle name="20% - Accent4 17 2" xfId="529" xr:uid="{00000000-0005-0000-0000-0000E7010000}"/>
    <cellStyle name="20% - Accent4 17 3" xfId="530" xr:uid="{00000000-0005-0000-0000-0000E8010000}"/>
    <cellStyle name="20% - Accent4 17 4" xfId="531" xr:uid="{00000000-0005-0000-0000-0000E9010000}"/>
    <cellStyle name="20% - Accent4 17 5" xfId="532" xr:uid="{00000000-0005-0000-0000-0000EA010000}"/>
    <cellStyle name="20% - Accent4 18" xfId="533" xr:uid="{00000000-0005-0000-0000-0000EB010000}"/>
    <cellStyle name="20% - Accent4 18 2" xfId="534" xr:uid="{00000000-0005-0000-0000-0000EC010000}"/>
    <cellStyle name="20% - Accent4 18 3" xfId="535" xr:uid="{00000000-0005-0000-0000-0000ED010000}"/>
    <cellStyle name="20% - Accent4 18 4" xfId="536" xr:uid="{00000000-0005-0000-0000-0000EE010000}"/>
    <cellStyle name="20% - Accent4 18 5" xfId="537" xr:uid="{00000000-0005-0000-0000-0000EF010000}"/>
    <cellStyle name="20% - Accent4 19" xfId="538" xr:uid="{00000000-0005-0000-0000-0000F0010000}"/>
    <cellStyle name="20% - Accent4 19 2" xfId="539" xr:uid="{00000000-0005-0000-0000-0000F1010000}"/>
    <cellStyle name="20% - Accent4 19 3" xfId="540" xr:uid="{00000000-0005-0000-0000-0000F2010000}"/>
    <cellStyle name="20% - Accent4 19 4" xfId="541" xr:uid="{00000000-0005-0000-0000-0000F3010000}"/>
    <cellStyle name="20% - Accent4 19 5" xfId="542" xr:uid="{00000000-0005-0000-0000-0000F4010000}"/>
    <cellStyle name="20% - Accent4 2" xfId="543" xr:uid="{00000000-0005-0000-0000-0000F5010000}"/>
    <cellStyle name="20% - Accent4 2 2" xfId="23494" xr:uid="{00000000-0005-0000-0000-0000F6010000}"/>
    <cellStyle name="20% - Accent4 20" xfId="544" xr:uid="{00000000-0005-0000-0000-0000F7010000}"/>
    <cellStyle name="20% - Accent4 20 2" xfId="545" xr:uid="{00000000-0005-0000-0000-0000F8010000}"/>
    <cellStyle name="20% - Accent4 20 3" xfId="546" xr:uid="{00000000-0005-0000-0000-0000F9010000}"/>
    <cellStyle name="20% - Accent4 20 4" xfId="547" xr:uid="{00000000-0005-0000-0000-0000FA010000}"/>
    <cellStyle name="20% - Accent4 20 5" xfId="548" xr:uid="{00000000-0005-0000-0000-0000FB010000}"/>
    <cellStyle name="20% - Accent4 21" xfId="549" xr:uid="{00000000-0005-0000-0000-0000FC010000}"/>
    <cellStyle name="20% - Accent4 21 2" xfId="550" xr:uid="{00000000-0005-0000-0000-0000FD010000}"/>
    <cellStyle name="20% - Accent4 21 3" xfId="551" xr:uid="{00000000-0005-0000-0000-0000FE010000}"/>
    <cellStyle name="20% - Accent4 21 4" xfId="552" xr:uid="{00000000-0005-0000-0000-0000FF010000}"/>
    <cellStyle name="20% - Accent4 21 5" xfId="553" xr:uid="{00000000-0005-0000-0000-000000020000}"/>
    <cellStyle name="20% - Accent4 22" xfId="554" xr:uid="{00000000-0005-0000-0000-000001020000}"/>
    <cellStyle name="20% - Accent4 22 2" xfId="555" xr:uid="{00000000-0005-0000-0000-000002020000}"/>
    <cellStyle name="20% - Accent4 22 3" xfId="556" xr:uid="{00000000-0005-0000-0000-000003020000}"/>
    <cellStyle name="20% - Accent4 22 4" xfId="557" xr:uid="{00000000-0005-0000-0000-000004020000}"/>
    <cellStyle name="20% - Accent4 22 5" xfId="558" xr:uid="{00000000-0005-0000-0000-000005020000}"/>
    <cellStyle name="20% - Accent4 23" xfId="559" xr:uid="{00000000-0005-0000-0000-000006020000}"/>
    <cellStyle name="20% - Accent4 24" xfId="560" xr:uid="{00000000-0005-0000-0000-000007020000}"/>
    <cellStyle name="20% - Accent4 25" xfId="561" xr:uid="{00000000-0005-0000-0000-000008020000}"/>
    <cellStyle name="20% - Accent4 26" xfId="562" xr:uid="{00000000-0005-0000-0000-000009020000}"/>
    <cellStyle name="20% - Accent4 3" xfId="563" xr:uid="{00000000-0005-0000-0000-00000A020000}"/>
    <cellStyle name="20% - Accent4 4" xfId="564" xr:uid="{00000000-0005-0000-0000-00000B020000}"/>
    <cellStyle name="20% - Accent4 5" xfId="565" xr:uid="{00000000-0005-0000-0000-00000C020000}"/>
    <cellStyle name="20% - Accent4 6" xfId="566" xr:uid="{00000000-0005-0000-0000-00000D020000}"/>
    <cellStyle name="20% - Accent4 7" xfId="567" xr:uid="{00000000-0005-0000-0000-00000E020000}"/>
    <cellStyle name="20% - Accent4 8" xfId="568" xr:uid="{00000000-0005-0000-0000-00000F020000}"/>
    <cellStyle name="20% - Accent4 9" xfId="569" xr:uid="{00000000-0005-0000-0000-000010020000}"/>
    <cellStyle name="20% - Accent5 10" xfId="570" xr:uid="{00000000-0005-0000-0000-000011020000}"/>
    <cellStyle name="20% - Accent5 11" xfId="571" xr:uid="{00000000-0005-0000-0000-000012020000}"/>
    <cellStyle name="20% - Accent5 12" xfId="572" xr:uid="{00000000-0005-0000-0000-000013020000}"/>
    <cellStyle name="20% - Accent5 13" xfId="573" xr:uid="{00000000-0005-0000-0000-000014020000}"/>
    <cellStyle name="20% - Accent5 14" xfId="574" xr:uid="{00000000-0005-0000-0000-000015020000}"/>
    <cellStyle name="20% - Accent5 15" xfId="575" xr:uid="{00000000-0005-0000-0000-000016020000}"/>
    <cellStyle name="20% - Accent5 16" xfId="576" xr:uid="{00000000-0005-0000-0000-000017020000}"/>
    <cellStyle name="20% - Accent5 17" xfId="577" xr:uid="{00000000-0005-0000-0000-000018020000}"/>
    <cellStyle name="20% - Accent5 17 2" xfId="578" xr:uid="{00000000-0005-0000-0000-000019020000}"/>
    <cellStyle name="20% - Accent5 17 3" xfId="579" xr:uid="{00000000-0005-0000-0000-00001A020000}"/>
    <cellStyle name="20% - Accent5 17 4" xfId="580" xr:uid="{00000000-0005-0000-0000-00001B020000}"/>
    <cellStyle name="20% - Accent5 17 5" xfId="581" xr:uid="{00000000-0005-0000-0000-00001C020000}"/>
    <cellStyle name="20% - Accent5 18" xfId="582" xr:uid="{00000000-0005-0000-0000-00001D020000}"/>
    <cellStyle name="20% - Accent5 18 2" xfId="583" xr:uid="{00000000-0005-0000-0000-00001E020000}"/>
    <cellStyle name="20% - Accent5 18 3" xfId="584" xr:uid="{00000000-0005-0000-0000-00001F020000}"/>
    <cellStyle name="20% - Accent5 18 4" xfId="585" xr:uid="{00000000-0005-0000-0000-000020020000}"/>
    <cellStyle name="20% - Accent5 18 5" xfId="586" xr:uid="{00000000-0005-0000-0000-000021020000}"/>
    <cellStyle name="20% - Accent5 19" xfId="587" xr:uid="{00000000-0005-0000-0000-000022020000}"/>
    <cellStyle name="20% - Accent5 19 2" xfId="588" xr:uid="{00000000-0005-0000-0000-000023020000}"/>
    <cellStyle name="20% - Accent5 19 3" xfId="589" xr:uid="{00000000-0005-0000-0000-000024020000}"/>
    <cellStyle name="20% - Accent5 19 4" xfId="590" xr:uid="{00000000-0005-0000-0000-000025020000}"/>
    <cellStyle name="20% - Accent5 19 5" xfId="591" xr:uid="{00000000-0005-0000-0000-000026020000}"/>
    <cellStyle name="20% - Accent5 2" xfId="592" xr:uid="{00000000-0005-0000-0000-000027020000}"/>
    <cellStyle name="20% - Accent5 2 2" xfId="23495" xr:uid="{00000000-0005-0000-0000-000028020000}"/>
    <cellStyle name="20% - Accent5 20" xfId="593" xr:uid="{00000000-0005-0000-0000-000029020000}"/>
    <cellStyle name="20% - Accent5 20 2" xfId="594" xr:uid="{00000000-0005-0000-0000-00002A020000}"/>
    <cellStyle name="20% - Accent5 20 3" xfId="595" xr:uid="{00000000-0005-0000-0000-00002B020000}"/>
    <cellStyle name="20% - Accent5 20 4" xfId="596" xr:uid="{00000000-0005-0000-0000-00002C020000}"/>
    <cellStyle name="20% - Accent5 20 5" xfId="597" xr:uid="{00000000-0005-0000-0000-00002D020000}"/>
    <cellStyle name="20% - Accent5 21" xfId="598" xr:uid="{00000000-0005-0000-0000-00002E020000}"/>
    <cellStyle name="20% - Accent5 21 2" xfId="599" xr:uid="{00000000-0005-0000-0000-00002F020000}"/>
    <cellStyle name="20% - Accent5 21 3" xfId="600" xr:uid="{00000000-0005-0000-0000-000030020000}"/>
    <cellStyle name="20% - Accent5 21 4" xfId="601" xr:uid="{00000000-0005-0000-0000-000031020000}"/>
    <cellStyle name="20% - Accent5 21 5" xfId="602" xr:uid="{00000000-0005-0000-0000-000032020000}"/>
    <cellStyle name="20% - Accent5 22" xfId="603" xr:uid="{00000000-0005-0000-0000-000033020000}"/>
    <cellStyle name="20% - Accent5 22 2" xfId="604" xr:uid="{00000000-0005-0000-0000-000034020000}"/>
    <cellStyle name="20% - Accent5 22 3" xfId="605" xr:uid="{00000000-0005-0000-0000-000035020000}"/>
    <cellStyle name="20% - Accent5 22 4" xfId="606" xr:uid="{00000000-0005-0000-0000-000036020000}"/>
    <cellStyle name="20% - Accent5 22 5" xfId="607" xr:uid="{00000000-0005-0000-0000-000037020000}"/>
    <cellStyle name="20% - Accent5 23" xfId="608" xr:uid="{00000000-0005-0000-0000-000038020000}"/>
    <cellStyle name="20% - Accent5 24" xfId="609" xr:uid="{00000000-0005-0000-0000-000039020000}"/>
    <cellStyle name="20% - Accent5 25" xfId="610" xr:uid="{00000000-0005-0000-0000-00003A020000}"/>
    <cellStyle name="20% - Accent5 26" xfId="611" xr:uid="{00000000-0005-0000-0000-00003B020000}"/>
    <cellStyle name="20% - Accent5 3" xfId="612" xr:uid="{00000000-0005-0000-0000-00003C020000}"/>
    <cellStyle name="20% - Accent5 4" xfId="613" xr:uid="{00000000-0005-0000-0000-00003D020000}"/>
    <cellStyle name="20% - Accent5 5" xfId="614" xr:uid="{00000000-0005-0000-0000-00003E020000}"/>
    <cellStyle name="20% - Accent5 6" xfId="615" xr:uid="{00000000-0005-0000-0000-00003F020000}"/>
    <cellStyle name="20% - Accent5 7" xfId="616" xr:uid="{00000000-0005-0000-0000-000040020000}"/>
    <cellStyle name="20% - Accent5 8" xfId="617" xr:uid="{00000000-0005-0000-0000-000041020000}"/>
    <cellStyle name="20% - Accent5 9" xfId="618" xr:uid="{00000000-0005-0000-0000-000042020000}"/>
    <cellStyle name="20% - Accent6 10" xfId="619" xr:uid="{00000000-0005-0000-0000-000043020000}"/>
    <cellStyle name="20% - Accent6 11" xfId="620" xr:uid="{00000000-0005-0000-0000-000044020000}"/>
    <cellStyle name="20% - Accent6 12" xfId="621" xr:uid="{00000000-0005-0000-0000-000045020000}"/>
    <cellStyle name="20% - Accent6 13" xfId="622" xr:uid="{00000000-0005-0000-0000-000046020000}"/>
    <cellStyle name="20% - Accent6 14" xfId="623" xr:uid="{00000000-0005-0000-0000-000047020000}"/>
    <cellStyle name="20% - Accent6 15" xfId="624" xr:uid="{00000000-0005-0000-0000-000048020000}"/>
    <cellStyle name="20% - Accent6 16" xfId="625" xr:uid="{00000000-0005-0000-0000-000049020000}"/>
    <cellStyle name="20% - Accent6 17" xfId="626" xr:uid="{00000000-0005-0000-0000-00004A020000}"/>
    <cellStyle name="20% - Accent6 17 2" xfId="627" xr:uid="{00000000-0005-0000-0000-00004B020000}"/>
    <cellStyle name="20% - Accent6 17 3" xfId="628" xr:uid="{00000000-0005-0000-0000-00004C020000}"/>
    <cellStyle name="20% - Accent6 17 4" xfId="629" xr:uid="{00000000-0005-0000-0000-00004D020000}"/>
    <cellStyle name="20% - Accent6 17 5" xfId="630" xr:uid="{00000000-0005-0000-0000-00004E020000}"/>
    <cellStyle name="20% - Accent6 18" xfId="631" xr:uid="{00000000-0005-0000-0000-00004F020000}"/>
    <cellStyle name="20% - Accent6 18 2" xfId="632" xr:uid="{00000000-0005-0000-0000-000050020000}"/>
    <cellStyle name="20% - Accent6 18 3" xfId="633" xr:uid="{00000000-0005-0000-0000-000051020000}"/>
    <cellStyle name="20% - Accent6 18 4" xfId="634" xr:uid="{00000000-0005-0000-0000-000052020000}"/>
    <cellStyle name="20% - Accent6 18 5" xfId="635" xr:uid="{00000000-0005-0000-0000-000053020000}"/>
    <cellStyle name="20% - Accent6 19" xfId="636" xr:uid="{00000000-0005-0000-0000-000054020000}"/>
    <cellStyle name="20% - Accent6 19 2" xfId="637" xr:uid="{00000000-0005-0000-0000-000055020000}"/>
    <cellStyle name="20% - Accent6 19 3" xfId="638" xr:uid="{00000000-0005-0000-0000-000056020000}"/>
    <cellStyle name="20% - Accent6 19 4" xfId="639" xr:uid="{00000000-0005-0000-0000-000057020000}"/>
    <cellStyle name="20% - Accent6 19 5" xfId="640" xr:uid="{00000000-0005-0000-0000-000058020000}"/>
    <cellStyle name="20% - Accent6 2" xfId="641" xr:uid="{00000000-0005-0000-0000-000059020000}"/>
    <cellStyle name="20% - Accent6 2 2" xfId="23496" xr:uid="{00000000-0005-0000-0000-00005A020000}"/>
    <cellStyle name="20% - Accent6 20" xfId="642" xr:uid="{00000000-0005-0000-0000-00005B020000}"/>
    <cellStyle name="20% - Accent6 20 2" xfId="643" xr:uid="{00000000-0005-0000-0000-00005C020000}"/>
    <cellStyle name="20% - Accent6 20 3" xfId="644" xr:uid="{00000000-0005-0000-0000-00005D020000}"/>
    <cellStyle name="20% - Accent6 20 4" xfId="645" xr:uid="{00000000-0005-0000-0000-00005E020000}"/>
    <cellStyle name="20% - Accent6 20 5" xfId="646" xr:uid="{00000000-0005-0000-0000-00005F020000}"/>
    <cellStyle name="20% - Accent6 21" xfId="647" xr:uid="{00000000-0005-0000-0000-000060020000}"/>
    <cellStyle name="20% - Accent6 21 2" xfId="648" xr:uid="{00000000-0005-0000-0000-000061020000}"/>
    <cellStyle name="20% - Accent6 21 3" xfId="649" xr:uid="{00000000-0005-0000-0000-000062020000}"/>
    <cellStyle name="20% - Accent6 21 4" xfId="650" xr:uid="{00000000-0005-0000-0000-000063020000}"/>
    <cellStyle name="20% - Accent6 21 5" xfId="651" xr:uid="{00000000-0005-0000-0000-000064020000}"/>
    <cellStyle name="20% - Accent6 22" xfId="652" xr:uid="{00000000-0005-0000-0000-000065020000}"/>
    <cellStyle name="20% - Accent6 22 2" xfId="653" xr:uid="{00000000-0005-0000-0000-000066020000}"/>
    <cellStyle name="20% - Accent6 22 3" xfId="654" xr:uid="{00000000-0005-0000-0000-000067020000}"/>
    <cellStyle name="20% - Accent6 22 4" xfId="655" xr:uid="{00000000-0005-0000-0000-000068020000}"/>
    <cellStyle name="20% - Accent6 22 5" xfId="656" xr:uid="{00000000-0005-0000-0000-000069020000}"/>
    <cellStyle name="20% - Accent6 23" xfId="657" xr:uid="{00000000-0005-0000-0000-00006A020000}"/>
    <cellStyle name="20% - Accent6 24" xfId="658" xr:uid="{00000000-0005-0000-0000-00006B020000}"/>
    <cellStyle name="20% - Accent6 25" xfId="659" xr:uid="{00000000-0005-0000-0000-00006C020000}"/>
    <cellStyle name="20% - Accent6 26" xfId="660" xr:uid="{00000000-0005-0000-0000-00006D020000}"/>
    <cellStyle name="20% - Accent6 3" xfId="661" xr:uid="{00000000-0005-0000-0000-00006E020000}"/>
    <cellStyle name="20% - Accent6 4" xfId="662" xr:uid="{00000000-0005-0000-0000-00006F020000}"/>
    <cellStyle name="20% - Accent6 5" xfId="663" xr:uid="{00000000-0005-0000-0000-000070020000}"/>
    <cellStyle name="20% - Accent6 6" xfId="664" xr:uid="{00000000-0005-0000-0000-000071020000}"/>
    <cellStyle name="20% - Accent6 7" xfId="665" xr:uid="{00000000-0005-0000-0000-000072020000}"/>
    <cellStyle name="20% - Accent6 8" xfId="666" xr:uid="{00000000-0005-0000-0000-000073020000}"/>
    <cellStyle name="20% - Accent6 9" xfId="667" xr:uid="{00000000-0005-0000-0000-000074020000}"/>
    <cellStyle name="40% - Accent1 10" xfId="668" xr:uid="{00000000-0005-0000-0000-000075020000}"/>
    <cellStyle name="40% - Accent1 11" xfId="669" xr:uid="{00000000-0005-0000-0000-000076020000}"/>
    <cellStyle name="40% - Accent1 12" xfId="670" xr:uid="{00000000-0005-0000-0000-000077020000}"/>
    <cellStyle name="40% - Accent1 13" xfId="671" xr:uid="{00000000-0005-0000-0000-000078020000}"/>
    <cellStyle name="40% - Accent1 14" xfId="672" xr:uid="{00000000-0005-0000-0000-000079020000}"/>
    <cellStyle name="40% - Accent1 15" xfId="673" xr:uid="{00000000-0005-0000-0000-00007A020000}"/>
    <cellStyle name="40% - Accent1 16" xfId="674" xr:uid="{00000000-0005-0000-0000-00007B020000}"/>
    <cellStyle name="40% - Accent1 17" xfId="675" xr:uid="{00000000-0005-0000-0000-00007C020000}"/>
    <cellStyle name="40% - Accent1 17 2" xfId="676" xr:uid="{00000000-0005-0000-0000-00007D020000}"/>
    <cellStyle name="40% - Accent1 17 3" xfId="677" xr:uid="{00000000-0005-0000-0000-00007E020000}"/>
    <cellStyle name="40% - Accent1 17 4" xfId="678" xr:uid="{00000000-0005-0000-0000-00007F020000}"/>
    <cellStyle name="40% - Accent1 17 5" xfId="679" xr:uid="{00000000-0005-0000-0000-000080020000}"/>
    <cellStyle name="40% - Accent1 18" xfId="680" xr:uid="{00000000-0005-0000-0000-000081020000}"/>
    <cellStyle name="40% - Accent1 18 2" xfId="681" xr:uid="{00000000-0005-0000-0000-000082020000}"/>
    <cellStyle name="40% - Accent1 18 3" xfId="682" xr:uid="{00000000-0005-0000-0000-000083020000}"/>
    <cellStyle name="40% - Accent1 18 4" xfId="683" xr:uid="{00000000-0005-0000-0000-000084020000}"/>
    <cellStyle name="40% - Accent1 18 5" xfId="684" xr:uid="{00000000-0005-0000-0000-000085020000}"/>
    <cellStyle name="40% - Accent1 19" xfId="685" xr:uid="{00000000-0005-0000-0000-000086020000}"/>
    <cellStyle name="40% - Accent1 19 2" xfId="686" xr:uid="{00000000-0005-0000-0000-000087020000}"/>
    <cellStyle name="40% - Accent1 19 3" xfId="687" xr:uid="{00000000-0005-0000-0000-000088020000}"/>
    <cellStyle name="40% - Accent1 19 4" xfId="688" xr:uid="{00000000-0005-0000-0000-000089020000}"/>
    <cellStyle name="40% - Accent1 19 5" xfId="689" xr:uid="{00000000-0005-0000-0000-00008A020000}"/>
    <cellStyle name="40% - Accent1 2" xfId="690" xr:uid="{00000000-0005-0000-0000-00008B020000}"/>
    <cellStyle name="40% - Accent1 2 2" xfId="23497" xr:uid="{00000000-0005-0000-0000-00008C020000}"/>
    <cellStyle name="40% - Accent1 20" xfId="691" xr:uid="{00000000-0005-0000-0000-00008D020000}"/>
    <cellStyle name="40% - Accent1 20 2" xfId="692" xr:uid="{00000000-0005-0000-0000-00008E020000}"/>
    <cellStyle name="40% - Accent1 20 3" xfId="693" xr:uid="{00000000-0005-0000-0000-00008F020000}"/>
    <cellStyle name="40% - Accent1 20 4" xfId="694" xr:uid="{00000000-0005-0000-0000-000090020000}"/>
    <cellStyle name="40% - Accent1 20 5" xfId="695" xr:uid="{00000000-0005-0000-0000-000091020000}"/>
    <cellStyle name="40% - Accent1 21" xfId="696" xr:uid="{00000000-0005-0000-0000-000092020000}"/>
    <cellStyle name="40% - Accent1 21 2" xfId="697" xr:uid="{00000000-0005-0000-0000-000093020000}"/>
    <cellStyle name="40% - Accent1 21 3" xfId="698" xr:uid="{00000000-0005-0000-0000-000094020000}"/>
    <cellStyle name="40% - Accent1 21 4" xfId="699" xr:uid="{00000000-0005-0000-0000-000095020000}"/>
    <cellStyle name="40% - Accent1 21 5" xfId="700" xr:uid="{00000000-0005-0000-0000-000096020000}"/>
    <cellStyle name="40% - Accent1 22" xfId="701" xr:uid="{00000000-0005-0000-0000-000097020000}"/>
    <cellStyle name="40% - Accent1 22 2" xfId="702" xr:uid="{00000000-0005-0000-0000-000098020000}"/>
    <cellStyle name="40% - Accent1 22 3" xfId="703" xr:uid="{00000000-0005-0000-0000-000099020000}"/>
    <cellStyle name="40% - Accent1 22 4" xfId="704" xr:uid="{00000000-0005-0000-0000-00009A020000}"/>
    <cellStyle name="40% - Accent1 22 5" xfId="705" xr:uid="{00000000-0005-0000-0000-00009B020000}"/>
    <cellStyle name="40% - Accent1 23" xfId="706" xr:uid="{00000000-0005-0000-0000-00009C020000}"/>
    <cellStyle name="40% - Accent1 24" xfId="707" xr:uid="{00000000-0005-0000-0000-00009D020000}"/>
    <cellStyle name="40% - Accent1 25" xfId="708" xr:uid="{00000000-0005-0000-0000-00009E020000}"/>
    <cellStyle name="40% - Accent1 26" xfId="709" xr:uid="{00000000-0005-0000-0000-00009F020000}"/>
    <cellStyle name="40% - Accent1 3" xfId="710" xr:uid="{00000000-0005-0000-0000-0000A0020000}"/>
    <cellStyle name="40% - Accent1 4" xfId="711" xr:uid="{00000000-0005-0000-0000-0000A1020000}"/>
    <cellStyle name="40% - Accent1 5" xfId="712" xr:uid="{00000000-0005-0000-0000-0000A2020000}"/>
    <cellStyle name="40% - Accent1 6" xfId="713" xr:uid="{00000000-0005-0000-0000-0000A3020000}"/>
    <cellStyle name="40% - Accent1 7" xfId="714" xr:uid="{00000000-0005-0000-0000-0000A4020000}"/>
    <cellStyle name="40% - Accent1 8" xfId="715" xr:uid="{00000000-0005-0000-0000-0000A5020000}"/>
    <cellStyle name="40% - Accent1 9" xfId="716" xr:uid="{00000000-0005-0000-0000-0000A6020000}"/>
    <cellStyle name="40% - Accent2 10" xfId="717" xr:uid="{00000000-0005-0000-0000-0000A7020000}"/>
    <cellStyle name="40% - Accent2 11" xfId="718" xr:uid="{00000000-0005-0000-0000-0000A8020000}"/>
    <cellStyle name="40% - Accent2 12" xfId="719" xr:uid="{00000000-0005-0000-0000-0000A9020000}"/>
    <cellStyle name="40% - Accent2 13" xfId="720" xr:uid="{00000000-0005-0000-0000-0000AA020000}"/>
    <cellStyle name="40% - Accent2 14" xfId="721" xr:uid="{00000000-0005-0000-0000-0000AB020000}"/>
    <cellStyle name="40% - Accent2 15" xfId="722" xr:uid="{00000000-0005-0000-0000-0000AC020000}"/>
    <cellStyle name="40% - Accent2 16" xfId="723" xr:uid="{00000000-0005-0000-0000-0000AD020000}"/>
    <cellStyle name="40% - Accent2 17" xfId="724" xr:uid="{00000000-0005-0000-0000-0000AE020000}"/>
    <cellStyle name="40% - Accent2 17 2" xfId="725" xr:uid="{00000000-0005-0000-0000-0000AF020000}"/>
    <cellStyle name="40% - Accent2 17 3" xfId="726" xr:uid="{00000000-0005-0000-0000-0000B0020000}"/>
    <cellStyle name="40% - Accent2 17 4" xfId="727" xr:uid="{00000000-0005-0000-0000-0000B1020000}"/>
    <cellStyle name="40% - Accent2 17 5" xfId="728" xr:uid="{00000000-0005-0000-0000-0000B2020000}"/>
    <cellStyle name="40% - Accent2 18" xfId="729" xr:uid="{00000000-0005-0000-0000-0000B3020000}"/>
    <cellStyle name="40% - Accent2 18 2" xfId="730" xr:uid="{00000000-0005-0000-0000-0000B4020000}"/>
    <cellStyle name="40% - Accent2 18 3" xfId="731" xr:uid="{00000000-0005-0000-0000-0000B5020000}"/>
    <cellStyle name="40% - Accent2 18 4" xfId="732" xr:uid="{00000000-0005-0000-0000-0000B6020000}"/>
    <cellStyle name="40% - Accent2 18 5" xfId="733" xr:uid="{00000000-0005-0000-0000-0000B7020000}"/>
    <cellStyle name="40% - Accent2 19" xfId="734" xr:uid="{00000000-0005-0000-0000-0000B8020000}"/>
    <cellStyle name="40% - Accent2 19 2" xfId="735" xr:uid="{00000000-0005-0000-0000-0000B9020000}"/>
    <cellStyle name="40% - Accent2 19 3" xfId="736" xr:uid="{00000000-0005-0000-0000-0000BA020000}"/>
    <cellStyle name="40% - Accent2 19 4" xfId="737" xr:uid="{00000000-0005-0000-0000-0000BB020000}"/>
    <cellStyle name="40% - Accent2 19 5" xfId="738" xr:uid="{00000000-0005-0000-0000-0000BC020000}"/>
    <cellStyle name="40% - Accent2 2" xfId="739" xr:uid="{00000000-0005-0000-0000-0000BD020000}"/>
    <cellStyle name="40% - Accent2 2 2" xfId="23498" xr:uid="{00000000-0005-0000-0000-0000BE020000}"/>
    <cellStyle name="40% - Accent2 20" xfId="740" xr:uid="{00000000-0005-0000-0000-0000BF020000}"/>
    <cellStyle name="40% - Accent2 20 2" xfId="741" xr:uid="{00000000-0005-0000-0000-0000C0020000}"/>
    <cellStyle name="40% - Accent2 20 3" xfId="742" xr:uid="{00000000-0005-0000-0000-0000C1020000}"/>
    <cellStyle name="40% - Accent2 20 4" xfId="743" xr:uid="{00000000-0005-0000-0000-0000C2020000}"/>
    <cellStyle name="40% - Accent2 20 5" xfId="744" xr:uid="{00000000-0005-0000-0000-0000C3020000}"/>
    <cellStyle name="40% - Accent2 21" xfId="745" xr:uid="{00000000-0005-0000-0000-0000C4020000}"/>
    <cellStyle name="40% - Accent2 21 2" xfId="746" xr:uid="{00000000-0005-0000-0000-0000C5020000}"/>
    <cellStyle name="40% - Accent2 21 3" xfId="747" xr:uid="{00000000-0005-0000-0000-0000C6020000}"/>
    <cellStyle name="40% - Accent2 21 4" xfId="748" xr:uid="{00000000-0005-0000-0000-0000C7020000}"/>
    <cellStyle name="40% - Accent2 21 5" xfId="749" xr:uid="{00000000-0005-0000-0000-0000C8020000}"/>
    <cellStyle name="40% - Accent2 22" xfId="750" xr:uid="{00000000-0005-0000-0000-0000C9020000}"/>
    <cellStyle name="40% - Accent2 22 2" xfId="751" xr:uid="{00000000-0005-0000-0000-0000CA020000}"/>
    <cellStyle name="40% - Accent2 22 3" xfId="752" xr:uid="{00000000-0005-0000-0000-0000CB020000}"/>
    <cellStyle name="40% - Accent2 22 4" xfId="753" xr:uid="{00000000-0005-0000-0000-0000CC020000}"/>
    <cellStyle name="40% - Accent2 22 5" xfId="754" xr:uid="{00000000-0005-0000-0000-0000CD020000}"/>
    <cellStyle name="40% - Accent2 23" xfId="755" xr:uid="{00000000-0005-0000-0000-0000CE020000}"/>
    <cellStyle name="40% - Accent2 24" xfId="756" xr:uid="{00000000-0005-0000-0000-0000CF020000}"/>
    <cellStyle name="40% - Accent2 25" xfId="757" xr:uid="{00000000-0005-0000-0000-0000D0020000}"/>
    <cellStyle name="40% - Accent2 26" xfId="758" xr:uid="{00000000-0005-0000-0000-0000D1020000}"/>
    <cellStyle name="40% - Accent2 3" xfId="759" xr:uid="{00000000-0005-0000-0000-0000D2020000}"/>
    <cellStyle name="40% - Accent2 4" xfId="760" xr:uid="{00000000-0005-0000-0000-0000D3020000}"/>
    <cellStyle name="40% - Accent2 5" xfId="761" xr:uid="{00000000-0005-0000-0000-0000D4020000}"/>
    <cellStyle name="40% - Accent2 6" xfId="762" xr:uid="{00000000-0005-0000-0000-0000D5020000}"/>
    <cellStyle name="40% - Accent2 7" xfId="763" xr:uid="{00000000-0005-0000-0000-0000D6020000}"/>
    <cellStyle name="40% - Accent2 8" xfId="764" xr:uid="{00000000-0005-0000-0000-0000D7020000}"/>
    <cellStyle name="40% - Accent2 9" xfId="765" xr:uid="{00000000-0005-0000-0000-0000D8020000}"/>
    <cellStyle name="40% - Accent3 10" xfId="766" xr:uid="{00000000-0005-0000-0000-0000D9020000}"/>
    <cellStyle name="40% - Accent3 11" xfId="767" xr:uid="{00000000-0005-0000-0000-0000DA020000}"/>
    <cellStyle name="40% - Accent3 12" xfId="768" xr:uid="{00000000-0005-0000-0000-0000DB020000}"/>
    <cellStyle name="40% - Accent3 13" xfId="769" xr:uid="{00000000-0005-0000-0000-0000DC020000}"/>
    <cellStyle name="40% - Accent3 14" xfId="770" xr:uid="{00000000-0005-0000-0000-0000DD020000}"/>
    <cellStyle name="40% - Accent3 15" xfId="771" xr:uid="{00000000-0005-0000-0000-0000DE020000}"/>
    <cellStyle name="40% - Accent3 16" xfId="772" xr:uid="{00000000-0005-0000-0000-0000DF020000}"/>
    <cellStyle name="40% - Accent3 17" xfId="773" xr:uid="{00000000-0005-0000-0000-0000E0020000}"/>
    <cellStyle name="40% - Accent3 17 2" xfId="774" xr:uid="{00000000-0005-0000-0000-0000E1020000}"/>
    <cellStyle name="40% - Accent3 17 3" xfId="775" xr:uid="{00000000-0005-0000-0000-0000E2020000}"/>
    <cellStyle name="40% - Accent3 17 4" xfId="776" xr:uid="{00000000-0005-0000-0000-0000E3020000}"/>
    <cellStyle name="40% - Accent3 17 5" xfId="777" xr:uid="{00000000-0005-0000-0000-0000E4020000}"/>
    <cellStyle name="40% - Accent3 18" xfId="778" xr:uid="{00000000-0005-0000-0000-0000E5020000}"/>
    <cellStyle name="40% - Accent3 18 2" xfId="779" xr:uid="{00000000-0005-0000-0000-0000E6020000}"/>
    <cellStyle name="40% - Accent3 18 3" xfId="780" xr:uid="{00000000-0005-0000-0000-0000E7020000}"/>
    <cellStyle name="40% - Accent3 18 4" xfId="781" xr:uid="{00000000-0005-0000-0000-0000E8020000}"/>
    <cellStyle name="40% - Accent3 18 5" xfId="782" xr:uid="{00000000-0005-0000-0000-0000E9020000}"/>
    <cellStyle name="40% - Accent3 19" xfId="783" xr:uid="{00000000-0005-0000-0000-0000EA020000}"/>
    <cellStyle name="40% - Accent3 19 2" xfId="784" xr:uid="{00000000-0005-0000-0000-0000EB020000}"/>
    <cellStyle name="40% - Accent3 19 3" xfId="785" xr:uid="{00000000-0005-0000-0000-0000EC020000}"/>
    <cellStyle name="40% - Accent3 19 4" xfId="786" xr:uid="{00000000-0005-0000-0000-0000ED020000}"/>
    <cellStyle name="40% - Accent3 19 5" xfId="787" xr:uid="{00000000-0005-0000-0000-0000EE020000}"/>
    <cellStyle name="40% - Accent3 2" xfId="788" xr:uid="{00000000-0005-0000-0000-0000EF020000}"/>
    <cellStyle name="40% - Accent3 2 2" xfId="23499" xr:uid="{00000000-0005-0000-0000-0000F0020000}"/>
    <cellStyle name="40% - Accent3 20" xfId="789" xr:uid="{00000000-0005-0000-0000-0000F1020000}"/>
    <cellStyle name="40% - Accent3 20 2" xfId="790" xr:uid="{00000000-0005-0000-0000-0000F2020000}"/>
    <cellStyle name="40% - Accent3 20 3" xfId="791" xr:uid="{00000000-0005-0000-0000-0000F3020000}"/>
    <cellStyle name="40% - Accent3 20 4" xfId="792" xr:uid="{00000000-0005-0000-0000-0000F4020000}"/>
    <cellStyle name="40% - Accent3 20 5" xfId="793" xr:uid="{00000000-0005-0000-0000-0000F5020000}"/>
    <cellStyle name="40% - Accent3 21" xfId="794" xr:uid="{00000000-0005-0000-0000-0000F6020000}"/>
    <cellStyle name="40% - Accent3 21 2" xfId="795" xr:uid="{00000000-0005-0000-0000-0000F7020000}"/>
    <cellStyle name="40% - Accent3 21 3" xfId="796" xr:uid="{00000000-0005-0000-0000-0000F8020000}"/>
    <cellStyle name="40% - Accent3 21 4" xfId="797" xr:uid="{00000000-0005-0000-0000-0000F9020000}"/>
    <cellStyle name="40% - Accent3 21 5" xfId="798" xr:uid="{00000000-0005-0000-0000-0000FA020000}"/>
    <cellStyle name="40% - Accent3 22" xfId="799" xr:uid="{00000000-0005-0000-0000-0000FB020000}"/>
    <cellStyle name="40% - Accent3 22 2" xfId="800" xr:uid="{00000000-0005-0000-0000-0000FC020000}"/>
    <cellStyle name="40% - Accent3 22 3" xfId="801" xr:uid="{00000000-0005-0000-0000-0000FD020000}"/>
    <cellStyle name="40% - Accent3 22 4" xfId="802" xr:uid="{00000000-0005-0000-0000-0000FE020000}"/>
    <cellStyle name="40% - Accent3 22 5" xfId="803" xr:uid="{00000000-0005-0000-0000-0000FF020000}"/>
    <cellStyle name="40% - Accent3 23" xfId="804" xr:uid="{00000000-0005-0000-0000-000000030000}"/>
    <cellStyle name="40% - Accent3 24" xfId="805" xr:uid="{00000000-0005-0000-0000-000001030000}"/>
    <cellStyle name="40% - Accent3 25" xfId="806" xr:uid="{00000000-0005-0000-0000-000002030000}"/>
    <cellStyle name="40% - Accent3 26" xfId="807" xr:uid="{00000000-0005-0000-0000-000003030000}"/>
    <cellStyle name="40% - Accent3 3" xfId="808" xr:uid="{00000000-0005-0000-0000-000004030000}"/>
    <cellStyle name="40% - Accent3 4" xfId="809" xr:uid="{00000000-0005-0000-0000-000005030000}"/>
    <cellStyle name="40% - Accent3 5" xfId="810" xr:uid="{00000000-0005-0000-0000-000006030000}"/>
    <cellStyle name="40% - Accent3 6" xfId="811" xr:uid="{00000000-0005-0000-0000-000007030000}"/>
    <cellStyle name="40% - Accent3 7" xfId="812" xr:uid="{00000000-0005-0000-0000-000008030000}"/>
    <cellStyle name="40% - Accent3 8" xfId="813" xr:uid="{00000000-0005-0000-0000-000009030000}"/>
    <cellStyle name="40% - Accent3 9" xfId="814" xr:uid="{00000000-0005-0000-0000-00000A030000}"/>
    <cellStyle name="40% - Accent4 10" xfId="815" xr:uid="{00000000-0005-0000-0000-00000B030000}"/>
    <cellStyle name="40% - Accent4 11" xfId="816" xr:uid="{00000000-0005-0000-0000-00000C030000}"/>
    <cellStyle name="40% - Accent4 12" xfId="817" xr:uid="{00000000-0005-0000-0000-00000D030000}"/>
    <cellStyle name="40% - Accent4 13" xfId="818" xr:uid="{00000000-0005-0000-0000-00000E030000}"/>
    <cellStyle name="40% - Accent4 14" xfId="819" xr:uid="{00000000-0005-0000-0000-00000F030000}"/>
    <cellStyle name="40% - Accent4 15" xfId="820" xr:uid="{00000000-0005-0000-0000-000010030000}"/>
    <cellStyle name="40% - Accent4 16" xfId="821" xr:uid="{00000000-0005-0000-0000-000011030000}"/>
    <cellStyle name="40% - Accent4 17" xfId="822" xr:uid="{00000000-0005-0000-0000-000012030000}"/>
    <cellStyle name="40% - Accent4 17 2" xfId="823" xr:uid="{00000000-0005-0000-0000-000013030000}"/>
    <cellStyle name="40% - Accent4 17 3" xfId="824" xr:uid="{00000000-0005-0000-0000-000014030000}"/>
    <cellStyle name="40% - Accent4 17 4" xfId="825" xr:uid="{00000000-0005-0000-0000-000015030000}"/>
    <cellStyle name="40% - Accent4 17 5" xfId="826" xr:uid="{00000000-0005-0000-0000-000016030000}"/>
    <cellStyle name="40% - Accent4 18" xfId="827" xr:uid="{00000000-0005-0000-0000-000017030000}"/>
    <cellStyle name="40% - Accent4 18 2" xfId="828" xr:uid="{00000000-0005-0000-0000-000018030000}"/>
    <cellStyle name="40% - Accent4 18 3" xfId="829" xr:uid="{00000000-0005-0000-0000-000019030000}"/>
    <cellStyle name="40% - Accent4 18 4" xfId="830" xr:uid="{00000000-0005-0000-0000-00001A030000}"/>
    <cellStyle name="40% - Accent4 18 5" xfId="831" xr:uid="{00000000-0005-0000-0000-00001B030000}"/>
    <cellStyle name="40% - Accent4 19" xfId="832" xr:uid="{00000000-0005-0000-0000-00001C030000}"/>
    <cellStyle name="40% - Accent4 19 2" xfId="833" xr:uid="{00000000-0005-0000-0000-00001D030000}"/>
    <cellStyle name="40% - Accent4 19 3" xfId="834" xr:uid="{00000000-0005-0000-0000-00001E030000}"/>
    <cellStyle name="40% - Accent4 19 4" xfId="835" xr:uid="{00000000-0005-0000-0000-00001F030000}"/>
    <cellStyle name="40% - Accent4 19 5" xfId="836" xr:uid="{00000000-0005-0000-0000-000020030000}"/>
    <cellStyle name="40% - Accent4 2" xfId="837" xr:uid="{00000000-0005-0000-0000-000021030000}"/>
    <cellStyle name="40% - Accent4 2 2" xfId="23500" xr:uid="{00000000-0005-0000-0000-000022030000}"/>
    <cellStyle name="40% - Accent4 20" xfId="838" xr:uid="{00000000-0005-0000-0000-000023030000}"/>
    <cellStyle name="40% - Accent4 20 2" xfId="839" xr:uid="{00000000-0005-0000-0000-000024030000}"/>
    <cellStyle name="40% - Accent4 20 3" xfId="840" xr:uid="{00000000-0005-0000-0000-000025030000}"/>
    <cellStyle name="40% - Accent4 20 4" xfId="841" xr:uid="{00000000-0005-0000-0000-000026030000}"/>
    <cellStyle name="40% - Accent4 20 5" xfId="842" xr:uid="{00000000-0005-0000-0000-000027030000}"/>
    <cellStyle name="40% - Accent4 21" xfId="843" xr:uid="{00000000-0005-0000-0000-000028030000}"/>
    <cellStyle name="40% - Accent4 21 2" xfId="844" xr:uid="{00000000-0005-0000-0000-000029030000}"/>
    <cellStyle name="40% - Accent4 21 3" xfId="845" xr:uid="{00000000-0005-0000-0000-00002A030000}"/>
    <cellStyle name="40% - Accent4 21 4" xfId="846" xr:uid="{00000000-0005-0000-0000-00002B030000}"/>
    <cellStyle name="40% - Accent4 21 5" xfId="847" xr:uid="{00000000-0005-0000-0000-00002C030000}"/>
    <cellStyle name="40% - Accent4 22" xfId="848" xr:uid="{00000000-0005-0000-0000-00002D030000}"/>
    <cellStyle name="40% - Accent4 22 2" xfId="849" xr:uid="{00000000-0005-0000-0000-00002E030000}"/>
    <cellStyle name="40% - Accent4 22 3" xfId="850" xr:uid="{00000000-0005-0000-0000-00002F030000}"/>
    <cellStyle name="40% - Accent4 22 4" xfId="851" xr:uid="{00000000-0005-0000-0000-000030030000}"/>
    <cellStyle name="40% - Accent4 22 5" xfId="852" xr:uid="{00000000-0005-0000-0000-000031030000}"/>
    <cellStyle name="40% - Accent4 23" xfId="853" xr:uid="{00000000-0005-0000-0000-000032030000}"/>
    <cellStyle name="40% - Accent4 24" xfId="854" xr:uid="{00000000-0005-0000-0000-000033030000}"/>
    <cellStyle name="40% - Accent4 25" xfId="855" xr:uid="{00000000-0005-0000-0000-000034030000}"/>
    <cellStyle name="40% - Accent4 26" xfId="856" xr:uid="{00000000-0005-0000-0000-000035030000}"/>
    <cellStyle name="40% - Accent4 3" xfId="857" xr:uid="{00000000-0005-0000-0000-000036030000}"/>
    <cellStyle name="40% - Accent4 4" xfId="858" xr:uid="{00000000-0005-0000-0000-000037030000}"/>
    <cellStyle name="40% - Accent4 5" xfId="859" xr:uid="{00000000-0005-0000-0000-000038030000}"/>
    <cellStyle name="40% - Accent4 6" xfId="860" xr:uid="{00000000-0005-0000-0000-000039030000}"/>
    <cellStyle name="40% - Accent4 7" xfId="861" xr:uid="{00000000-0005-0000-0000-00003A030000}"/>
    <cellStyle name="40% - Accent4 8" xfId="862" xr:uid="{00000000-0005-0000-0000-00003B030000}"/>
    <cellStyle name="40% - Accent4 9" xfId="863" xr:uid="{00000000-0005-0000-0000-00003C030000}"/>
    <cellStyle name="40% - Accent5 10" xfId="864" xr:uid="{00000000-0005-0000-0000-00003D030000}"/>
    <cellStyle name="40% - Accent5 11" xfId="865" xr:uid="{00000000-0005-0000-0000-00003E030000}"/>
    <cellStyle name="40% - Accent5 12" xfId="866" xr:uid="{00000000-0005-0000-0000-00003F030000}"/>
    <cellStyle name="40% - Accent5 13" xfId="867" xr:uid="{00000000-0005-0000-0000-000040030000}"/>
    <cellStyle name="40% - Accent5 14" xfId="868" xr:uid="{00000000-0005-0000-0000-000041030000}"/>
    <cellStyle name="40% - Accent5 15" xfId="869" xr:uid="{00000000-0005-0000-0000-000042030000}"/>
    <cellStyle name="40% - Accent5 16" xfId="870" xr:uid="{00000000-0005-0000-0000-000043030000}"/>
    <cellStyle name="40% - Accent5 17" xfId="871" xr:uid="{00000000-0005-0000-0000-000044030000}"/>
    <cellStyle name="40% - Accent5 17 2" xfId="872" xr:uid="{00000000-0005-0000-0000-000045030000}"/>
    <cellStyle name="40% - Accent5 17 3" xfId="873" xr:uid="{00000000-0005-0000-0000-000046030000}"/>
    <cellStyle name="40% - Accent5 17 4" xfId="874" xr:uid="{00000000-0005-0000-0000-000047030000}"/>
    <cellStyle name="40% - Accent5 17 5" xfId="875" xr:uid="{00000000-0005-0000-0000-000048030000}"/>
    <cellStyle name="40% - Accent5 18" xfId="876" xr:uid="{00000000-0005-0000-0000-000049030000}"/>
    <cellStyle name="40% - Accent5 18 2" xfId="877" xr:uid="{00000000-0005-0000-0000-00004A030000}"/>
    <cellStyle name="40% - Accent5 18 3" xfId="878" xr:uid="{00000000-0005-0000-0000-00004B030000}"/>
    <cellStyle name="40% - Accent5 18 4" xfId="879" xr:uid="{00000000-0005-0000-0000-00004C030000}"/>
    <cellStyle name="40% - Accent5 18 5" xfId="880" xr:uid="{00000000-0005-0000-0000-00004D030000}"/>
    <cellStyle name="40% - Accent5 19" xfId="881" xr:uid="{00000000-0005-0000-0000-00004E030000}"/>
    <cellStyle name="40% - Accent5 19 2" xfId="882" xr:uid="{00000000-0005-0000-0000-00004F030000}"/>
    <cellStyle name="40% - Accent5 19 3" xfId="883" xr:uid="{00000000-0005-0000-0000-000050030000}"/>
    <cellStyle name="40% - Accent5 19 4" xfId="884" xr:uid="{00000000-0005-0000-0000-000051030000}"/>
    <cellStyle name="40% - Accent5 19 5" xfId="885" xr:uid="{00000000-0005-0000-0000-000052030000}"/>
    <cellStyle name="40% - Accent5 2" xfId="886" xr:uid="{00000000-0005-0000-0000-000053030000}"/>
    <cellStyle name="40% - Accent5 2 2" xfId="23501" xr:uid="{00000000-0005-0000-0000-000054030000}"/>
    <cellStyle name="40% - Accent5 20" xfId="887" xr:uid="{00000000-0005-0000-0000-000055030000}"/>
    <cellStyle name="40% - Accent5 20 2" xfId="888" xr:uid="{00000000-0005-0000-0000-000056030000}"/>
    <cellStyle name="40% - Accent5 20 3" xfId="889" xr:uid="{00000000-0005-0000-0000-000057030000}"/>
    <cellStyle name="40% - Accent5 20 4" xfId="890" xr:uid="{00000000-0005-0000-0000-000058030000}"/>
    <cellStyle name="40% - Accent5 20 5" xfId="891" xr:uid="{00000000-0005-0000-0000-000059030000}"/>
    <cellStyle name="40% - Accent5 21" xfId="892" xr:uid="{00000000-0005-0000-0000-00005A030000}"/>
    <cellStyle name="40% - Accent5 21 2" xfId="893" xr:uid="{00000000-0005-0000-0000-00005B030000}"/>
    <cellStyle name="40% - Accent5 21 3" xfId="894" xr:uid="{00000000-0005-0000-0000-00005C030000}"/>
    <cellStyle name="40% - Accent5 21 4" xfId="895" xr:uid="{00000000-0005-0000-0000-00005D030000}"/>
    <cellStyle name="40% - Accent5 21 5" xfId="896" xr:uid="{00000000-0005-0000-0000-00005E030000}"/>
    <cellStyle name="40% - Accent5 22" xfId="897" xr:uid="{00000000-0005-0000-0000-00005F030000}"/>
    <cellStyle name="40% - Accent5 22 2" xfId="898" xr:uid="{00000000-0005-0000-0000-000060030000}"/>
    <cellStyle name="40% - Accent5 22 3" xfId="899" xr:uid="{00000000-0005-0000-0000-000061030000}"/>
    <cellStyle name="40% - Accent5 22 4" xfId="900" xr:uid="{00000000-0005-0000-0000-000062030000}"/>
    <cellStyle name="40% - Accent5 22 5" xfId="901" xr:uid="{00000000-0005-0000-0000-000063030000}"/>
    <cellStyle name="40% - Accent5 23" xfId="902" xr:uid="{00000000-0005-0000-0000-000064030000}"/>
    <cellStyle name="40% - Accent5 24" xfId="903" xr:uid="{00000000-0005-0000-0000-000065030000}"/>
    <cellStyle name="40% - Accent5 25" xfId="904" xr:uid="{00000000-0005-0000-0000-000066030000}"/>
    <cellStyle name="40% - Accent5 26" xfId="905" xr:uid="{00000000-0005-0000-0000-000067030000}"/>
    <cellStyle name="40% - Accent5 3" xfId="906" xr:uid="{00000000-0005-0000-0000-000068030000}"/>
    <cellStyle name="40% - Accent5 4" xfId="907" xr:uid="{00000000-0005-0000-0000-000069030000}"/>
    <cellStyle name="40% - Accent5 5" xfId="908" xr:uid="{00000000-0005-0000-0000-00006A030000}"/>
    <cellStyle name="40% - Accent5 6" xfId="909" xr:uid="{00000000-0005-0000-0000-00006B030000}"/>
    <cellStyle name="40% - Accent5 7" xfId="910" xr:uid="{00000000-0005-0000-0000-00006C030000}"/>
    <cellStyle name="40% - Accent5 8" xfId="911" xr:uid="{00000000-0005-0000-0000-00006D030000}"/>
    <cellStyle name="40% - Accent5 9" xfId="912" xr:uid="{00000000-0005-0000-0000-00006E030000}"/>
    <cellStyle name="40% - Accent6 10" xfId="913" xr:uid="{00000000-0005-0000-0000-00006F030000}"/>
    <cellStyle name="40% - Accent6 11" xfId="914" xr:uid="{00000000-0005-0000-0000-000070030000}"/>
    <cellStyle name="40% - Accent6 12" xfId="915" xr:uid="{00000000-0005-0000-0000-000071030000}"/>
    <cellStyle name="40% - Accent6 13" xfId="916" xr:uid="{00000000-0005-0000-0000-000072030000}"/>
    <cellStyle name="40% - Accent6 14" xfId="917" xr:uid="{00000000-0005-0000-0000-000073030000}"/>
    <cellStyle name="40% - Accent6 15" xfId="918" xr:uid="{00000000-0005-0000-0000-000074030000}"/>
    <cellStyle name="40% - Accent6 16" xfId="919" xr:uid="{00000000-0005-0000-0000-000075030000}"/>
    <cellStyle name="40% - Accent6 17" xfId="920" xr:uid="{00000000-0005-0000-0000-000076030000}"/>
    <cellStyle name="40% - Accent6 17 2" xfId="921" xr:uid="{00000000-0005-0000-0000-000077030000}"/>
    <cellStyle name="40% - Accent6 17 3" xfId="922" xr:uid="{00000000-0005-0000-0000-000078030000}"/>
    <cellStyle name="40% - Accent6 17 4" xfId="923" xr:uid="{00000000-0005-0000-0000-000079030000}"/>
    <cellStyle name="40% - Accent6 17 5" xfId="924" xr:uid="{00000000-0005-0000-0000-00007A030000}"/>
    <cellStyle name="40% - Accent6 18" xfId="925" xr:uid="{00000000-0005-0000-0000-00007B030000}"/>
    <cellStyle name="40% - Accent6 18 2" xfId="926" xr:uid="{00000000-0005-0000-0000-00007C030000}"/>
    <cellStyle name="40% - Accent6 18 3" xfId="927" xr:uid="{00000000-0005-0000-0000-00007D030000}"/>
    <cellStyle name="40% - Accent6 18 4" xfId="928" xr:uid="{00000000-0005-0000-0000-00007E030000}"/>
    <cellStyle name="40% - Accent6 18 5" xfId="929" xr:uid="{00000000-0005-0000-0000-00007F030000}"/>
    <cellStyle name="40% - Accent6 19" xfId="930" xr:uid="{00000000-0005-0000-0000-000080030000}"/>
    <cellStyle name="40% - Accent6 19 2" xfId="931" xr:uid="{00000000-0005-0000-0000-000081030000}"/>
    <cellStyle name="40% - Accent6 19 3" xfId="932" xr:uid="{00000000-0005-0000-0000-000082030000}"/>
    <cellStyle name="40% - Accent6 19 4" xfId="933" xr:uid="{00000000-0005-0000-0000-000083030000}"/>
    <cellStyle name="40% - Accent6 19 5" xfId="934" xr:uid="{00000000-0005-0000-0000-000084030000}"/>
    <cellStyle name="40% - Accent6 2" xfId="935" xr:uid="{00000000-0005-0000-0000-000085030000}"/>
    <cellStyle name="40% - Accent6 2 2" xfId="23502" xr:uid="{00000000-0005-0000-0000-000086030000}"/>
    <cellStyle name="40% - Accent6 20" xfId="936" xr:uid="{00000000-0005-0000-0000-000087030000}"/>
    <cellStyle name="40% - Accent6 20 2" xfId="937" xr:uid="{00000000-0005-0000-0000-000088030000}"/>
    <cellStyle name="40% - Accent6 20 3" xfId="938" xr:uid="{00000000-0005-0000-0000-000089030000}"/>
    <cellStyle name="40% - Accent6 20 4" xfId="939" xr:uid="{00000000-0005-0000-0000-00008A030000}"/>
    <cellStyle name="40% - Accent6 20 5" xfId="940" xr:uid="{00000000-0005-0000-0000-00008B030000}"/>
    <cellStyle name="40% - Accent6 21" xfId="941" xr:uid="{00000000-0005-0000-0000-00008C030000}"/>
    <cellStyle name="40% - Accent6 21 2" xfId="942" xr:uid="{00000000-0005-0000-0000-00008D030000}"/>
    <cellStyle name="40% - Accent6 21 3" xfId="943" xr:uid="{00000000-0005-0000-0000-00008E030000}"/>
    <cellStyle name="40% - Accent6 21 4" xfId="944" xr:uid="{00000000-0005-0000-0000-00008F030000}"/>
    <cellStyle name="40% - Accent6 21 5" xfId="945" xr:uid="{00000000-0005-0000-0000-000090030000}"/>
    <cellStyle name="40% - Accent6 22" xfId="946" xr:uid="{00000000-0005-0000-0000-000091030000}"/>
    <cellStyle name="40% - Accent6 22 2" xfId="947" xr:uid="{00000000-0005-0000-0000-000092030000}"/>
    <cellStyle name="40% - Accent6 22 3" xfId="948" xr:uid="{00000000-0005-0000-0000-000093030000}"/>
    <cellStyle name="40% - Accent6 22 4" xfId="949" xr:uid="{00000000-0005-0000-0000-000094030000}"/>
    <cellStyle name="40% - Accent6 22 5" xfId="950" xr:uid="{00000000-0005-0000-0000-000095030000}"/>
    <cellStyle name="40% - Accent6 23" xfId="951" xr:uid="{00000000-0005-0000-0000-000096030000}"/>
    <cellStyle name="40% - Accent6 24" xfId="952" xr:uid="{00000000-0005-0000-0000-000097030000}"/>
    <cellStyle name="40% - Accent6 25" xfId="953" xr:uid="{00000000-0005-0000-0000-000098030000}"/>
    <cellStyle name="40% - Accent6 26" xfId="954" xr:uid="{00000000-0005-0000-0000-000099030000}"/>
    <cellStyle name="40% - Accent6 3" xfId="955" xr:uid="{00000000-0005-0000-0000-00009A030000}"/>
    <cellStyle name="40% - Accent6 4" xfId="956" xr:uid="{00000000-0005-0000-0000-00009B030000}"/>
    <cellStyle name="40% - Accent6 5" xfId="957" xr:uid="{00000000-0005-0000-0000-00009C030000}"/>
    <cellStyle name="40% - Accent6 6" xfId="958" xr:uid="{00000000-0005-0000-0000-00009D030000}"/>
    <cellStyle name="40% - Accent6 7" xfId="959" xr:uid="{00000000-0005-0000-0000-00009E030000}"/>
    <cellStyle name="40% - Accent6 8" xfId="960" xr:uid="{00000000-0005-0000-0000-00009F030000}"/>
    <cellStyle name="40% - Accent6 9" xfId="961" xr:uid="{00000000-0005-0000-0000-0000A0030000}"/>
    <cellStyle name="60% - Accent1 10" xfId="962" xr:uid="{00000000-0005-0000-0000-0000A1030000}"/>
    <cellStyle name="60% - Accent1 11" xfId="963" xr:uid="{00000000-0005-0000-0000-0000A2030000}"/>
    <cellStyle name="60% - Accent1 12" xfId="964" xr:uid="{00000000-0005-0000-0000-0000A3030000}"/>
    <cellStyle name="60% - Accent1 13" xfId="965" xr:uid="{00000000-0005-0000-0000-0000A4030000}"/>
    <cellStyle name="60% - Accent1 14" xfId="966" xr:uid="{00000000-0005-0000-0000-0000A5030000}"/>
    <cellStyle name="60% - Accent1 15" xfId="967" xr:uid="{00000000-0005-0000-0000-0000A6030000}"/>
    <cellStyle name="60% - Accent1 16" xfId="968" xr:uid="{00000000-0005-0000-0000-0000A7030000}"/>
    <cellStyle name="60% - Accent1 17" xfId="969" xr:uid="{00000000-0005-0000-0000-0000A8030000}"/>
    <cellStyle name="60% - Accent1 17 2" xfId="970" xr:uid="{00000000-0005-0000-0000-0000A9030000}"/>
    <cellStyle name="60% - Accent1 17 3" xfId="971" xr:uid="{00000000-0005-0000-0000-0000AA030000}"/>
    <cellStyle name="60% - Accent1 17 4" xfId="972" xr:uid="{00000000-0005-0000-0000-0000AB030000}"/>
    <cellStyle name="60% - Accent1 17 5" xfId="973" xr:uid="{00000000-0005-0000-0000-0000AC030000}"/>
    <cellStyle name="60% - Accent1 18" xfId="974" xr:uid="{00000000-0005-0000-0000-0000AD030000}"/>
    <cellStyle name="60% - Accent1 18 2" xfId="975" xr:uid="{00000000-0005-0000-0000-0000AE030000}"/>
    <cellStyle name="60% - Accent1 18 3" xfId="976" xr:uid="{00000000-0005-0000-0000-0000AF030000}"/>
    <cellStyle name="60% - Accent1 18 4" xfId="977" xr:uid="{00000000-0005-0000-0000-0000B0030000}"/>
    <cellStyle name="60% - Accent1 18 5" xfId="978" xr:uid="{00000000-0005-0000-0000-0000B1030000}"/>
    <cellStyle name="60% - Accent1 19" xfId="979" xr:uid="{00000000-0005-0000-0000-0000B2030000}"/>
    <cellStyle name="60% - Accent1 19 2" xfId="980" xr:uid="{00000000-0005-0000-0000-0000B3030000}"/>
    <cellStyle name="60% - Accent1 19 3" xfId="981" xr:uid="{00000000-0005-0000-0000-0000B4030000}"/>
    <cellStyle name="60% - Accent1 19 4" xfId="982" xr:uid="{00000000-0005-0000-0000-0000B5030000}"/>
    <cellStyle name="60% - Accent1 19 5" xfId="983" xr:uid="{00000000-0005-0000-0000-0000B6030000}"/>
    <cellStyle name="60% - Accent1 2" xfId="984" xr:uid="{00000000-0005-0000-0000-0000B7030000}"/>
    <cellStyle name="60% - Accent1 2 2" xfId="23503" xr:uid="{00000000-0005-0000-0000-0000B8030000}"/>
    <cellStyle name="60% - Accent1 20" xfId="985" xr:uid="{00000000-0005-0000-0000-0000B9030000}"/>
    <cellStyle name="60% - Accent1 20 2" xfId="986" xr:uid="{00000000-0005-0000-0000-0000BA030000}"/>
    <cellStyle name="60% - Accent1 20 3" xfId="987" xr:uid="{00000000-0005-0000-0000-0000BB030000}"/>
    <cellStyle name="60% - Accent1 20 4" xfId="988" xr:uid="{00000000-0005-0000-0000-0000BC030000}"/>
    <cellStyle name="60% - Accent1 20 5" xfId="989" xr:uid="{00000000-0005-0000-0000-0000BD030000}"/>
    <cellStyle name="60% - Accent1 21" xfId="990" xr:uid="{00000000-0005-0000-0000-0000BE030000}"/>
    <cellStyle name="60% - Accent1 21 2" xfId="991" xr:uid="{00000000-0005-0000-0000-0000BF030000}"/>
    <cellStyle name="60% - Accent1 21 3" xfId="992" xr:uid="{00000000-0005-0000-0000-0000C0030000}"/>
    <cellStyle name="60% - Accent1 21 4" xfId="993" xr:uid="{00000000-0005-0000-0000-0000C1030000}"/>
    <cellStyle name="60% - Accent1 21 5" xfId="994" xr:uid="{00000000-0005-0000-0000-0000C2030000}"/>
    <cellStyle name="60% - Accent1 22" xfId="995" xr:uid="{00000000-0005-0000-0000-0000C3030000}"/>
    <cellStyle name="60% - Accent1 22 2" xfId="996" xr:uid="{00000000-0005-0000-0000-0000C4030000}"/>
    <cellStyle name="60% - Accent1 22 3" xfId="997" xr:uid="{00000000-0005-0000-0000-0000C5030000}"/>
    <cellStyle name="60% - Accent1 22 4" xfId="998" xr:uid="{00000000-0005-0000-0000-0000C6030000}"/>
    <cellStyle name="60% - Accent1 22 5" xfId="999" xr:uid="{00000000-0005-0000-0000-0000C7030000}"/>
    <cellStyle name="60% - Accent1 23" xfId="1000" xr:uid="{00000000-0005-0000-0000-0000C8030000}"/>
    <cellStyle name="60% - Accent1 24" xfId="1001" xr:uid="{00000000-0005-0000-0000-0000C9030000}"/>
    <cellStyle name="60% - Accent1 25" xfId="1002" xr:uid="{00000000-0005-0000-0000-0000CA030000}"/>
    <cellStyle name="60% - Accent1 26" xfId="1003" xr:uid="{00000000-0005-0000-0000-0000CB030000}"/>
    <cellStyle name="60% - Accent1 3" xfId="1004" xr:uid="{00000000-0005-0000-0000-0000CC030000}"/>
    <cellStyle name="60% - Accent1 4" xfId="1005" xr:uid="{00000000-0005-0000-0000-0000CD030000}"/>
    <cellStyle name="60% - Accent1 5" xfId="1006" xr:uid="{00000000-0005-0000-0000-0000CE030000}"/>
    <cellStyle name="60% - Accent1 6" xfId="1007" xr:uid="{00000000-0005-0000-0000-0000CF030000}"/>
    <cellStyle name="60% - Accent1 7" xfId="1008" xr:uid="{00000000-0005-0000-0000-0000D0030000}"/>
    <cellStyle name="60% - Accent1 8" xfId="1009" xr:uid="{00000000-0005-0000-0000-0000D1030000}"/>
    <cellStyle name="60% - Accent1 9" xfId="1010" xr:uid="{00000000-0005-0000-0000-0000D2030000}"/>
    <cellStyle name="60% - Accent2 10" xfId="1011" xr:uid="{00000000-0005-0000-0000-0000D3030000}"/>
    <cellStyle name="60% - Accent2 11" xfId="1012" xr:uid="{00000000-0005-0000-0000-0000D4030000}"/>
    <cellStyle name="60% - Accent2 12" xfId="1013" xr:uid="{00000000-0005-0000-0000-0000D5030000}"/>
    <cellStyle name="60% - Accent2 13" xfId="1014" xr:uid="{00000000-0005-0000-0000-0000D6030000}"/>
    <cellStyle name="60% - Accent2 14" xfId="1015" xr:uid="{00000000-0005-0000-0000-0000D7030000}"/>
    <cellStyle name="60% - Accent2 15" xfId="1016" xr:uid="{00000000-0005-0000-0000-0000D8030000}"/>
    <cellStyle name="60% - Accent2 16" xfId="1017" xr:uid="{00000000-0005-0000-0000-0000D9030000}"/>
    <cellStyle name="60% - Accent2 17" xfId="1018" xr:uid="{00000000-0005-0000-0000-0000DA030000}"/>
    <cellStyle name="60% - Accent2 17 2" xfId="1019" xr:uid="{00000000-0005-0000-0000-0000DB030000}"/>
    <cellStyle name="60% - Accent2 17 3" xfId="1020" xr:uid="{00000000-0005-0000-0000-0000DC030000}"/>
    <cellStyle name="60% - Accent2 17 4" xfId="1021" xr:uid="{00000000-0005-0000-0000-0000DD030000}"/>
    <cellStyle name="60% - Accent2 17 5" xfId="1022" xr:uid="{00000000-0005-0000-0000-0000DE030000}"/>
    <cellStyle name="60% - Accent2 18" xfId="1023" xr:uid="{00000000-0005-0000-0000-0000DF030000}"/>
    <cellStyle name="60% - Accent2 18 2" xfId="1024" xr:uid="{00000000-0005-0000-0000-0000E0030000}"/>
    <cellStyle name="60% - Accent2 18 3" xfId="1025" xr:uid="{00000000-0005-0000-0000-0000E1030000}"/>
    <cellStyle name="60% - Accent2 18 4" xfId="1026" xr:uid="{00000000-0005-0000-0000-0000E2030000}"/>
    <cellStyle name="60% - Accent2 18 5" xfId="1027" xr:uid="{00000000-0005-0000-0000-0000E3030000}"/>
    <cellStyle name="60% - Accent2 19" xfId="1028" xr:uid="{00000000-0005-0000-0000-0000E4030000}"/>
    <cellStyle name="60% - Accent2 19 2" xfId="1029" xr:uid="{00000000-0005-0000-0000-0000E5030000}"/>
    <cellStyle name="60% - Accent2 19 3" xfId="1030" xr:uid="{00000000-0005-0000-0000-0000E6030000}"/>
    <cellStyle name="60% - Accent2 19 4" xfId="1031" xr:uid="{00000000-0005-0000-0000-0000E7030000}"/>
    <cellStyle name="60% - Accent2 19 5" xfId="1032" xr:uid="{00000000-0005-0000-0000-0000E8030000}"/>
    <cellStyle name="60% - Accent2 2" xfId="1033" xr:uid="{00000000-0005-0000-0000-0000E9030000}"/>
    <cellStyle name="60% - Accent2 2 2" xfId="23504" xr:uid="{00000000-0005-0000-0000-0000EA030000}"/>
    <cellStyle name="60% - Accent2 20" xfId="1034" xr:uid="{00000000-0005-0000-0000-0000EB030000}"/>
    <cellStyle name="60% - Accent2 20 2" xfId="1035" xr:uid="{00000000-0005-0000-0000-0000EC030000}"/>
    <cellStyle name="60% - Accent2 20 3" xfId="1036" xr:uid="{00000000-0005-0000-0000-0000ED030000}"/>
    <cellStyle name="60% - Accent2 20 4" xfId="1037" xr:uid="{00000000-0005-0000-0000-0000EE030000}"/>
    <cellStyle name="60% - Accent2 20 5" xfId="1038" xr:uid="{00000000-0005-0000-0000-0000EF030000}"/>
    <cellStyle name="60% - Accent2 21" xfId="1039" xr:uid="{00000000-0005-0000-0000-0000F0030000}"/>
    <cellStyle name="60% - Accent2 21 2" xfId="1040" xr:uid="{00000000-0005-0000-0000-0000F1030000}"/>
    <cellStyle name="60% - Accent2 21 3" xfId="1041" xr:uid="{00000000-0005-0000-0000-0000F2030000}"/>
    <cellStyle name="60% - Accent2 21 4" xfId="1042" xr:uid="{00000000-0005-0000-0000-0000F3030000}"/>
    <cellStyle name="60% - Accent2 21 5" xfId="1043" xr:uid="{00000000-0005-0000-0000-0000F4030000}"/>
    <cellStyle name="60% - Accent2 22" xfId="1044" xr:uid="{00000000-0005-0000-0000-0000F5030000}"/>
    <cellStyle name="60% - Accent2 22 2" xfId="1045" xr:uid="{00000000-0005-0000-0000-0000F6030000}"/>
    <cellStyle name="60% - Accent2 22 3" xfId="1046" xr:uid="{00000000-0005-0000-0000-0000F7030000}"/>
    <cellStyle name="60% - Accent2 22 4" xfId="1047" xr:uid="{00000000-0005-0000-0000-0000F8030000}"/>
    <cellStyle name="60% - Accent2 22 5" xfId="1048" xr:uid="{00000000-0005-0000-0000-0000F9030000}"/>
    <cellStyle name="60% - Accent2 23" xfId="1049" xr:uid="{00000000-0005-0000-0000-0000FA030000}"/>
    <cellStyle name="60% - Accent2 24" xfId="1050" xr:uid="{00000000-0005-0000-0000-0000FB030000}"/>
    <cellStyle name="60% - Accent2 25" xfId="1051" xr:uid="{00000000-0005-0000-0000-0000FC030000}"/>
    <cellStyle name="60% - Accent2 26" xfId="1052" xr:uid="{00000000-0005-0000-0000-0000FD030000}"/>
    <cellStyle name="60% - Accent2 3" xfId="1053" xr:uid="{00000000-0005-0000-0000-0000FE030000}"/>
    <cellStyle name="60% - Accent2 4" xfId="1054" xr:uid="{00000000-0005-0000-0000-0000FF030000}"/>
    <cellStyle name="60% - Accent2 5" xfId="1055" xr:uid="{00000000-0005-0000-0000-000000040000}"/>
    <cellStyle name="60% - Accent2 6" xfId="1056" xr:uid="{00000000-0005-0000-0000-000001040000}"/>
    <cellStyle name="60% - Accent2 7" xfId="1057" xr:uid="{00000000-0005-0000-0000-000002040000}"/>
    <cellStyle name="60% - Accent2 8" xfId="1058" xr:uid="{00000000-0005-0000-0000-000003040000}"/>
    <cellStyle name="60% - Accent2 9" xfId="1059" xr:uid="{00000000-0005-0000-0000-000004040000}"/>
    <cellStyle name="60% - Accent3 10" xfId="1060" xr:uid="{00000000-0005-0000-0000-000005040000}"/>
    <cellStyle name="60% - Accent3 11" xfId="1061" xr:uid="{00000000-0005-0000-0000-000006040000}"/>
    <cellStyle name="60% - Accent3 12" xfId="1062" xr:uid="{00000000-0005-0000-0000-000007040000}"/>
    <cellStyle name="60% - Accent3 13" xfId="1063" xr:uid="{00000000-0005-0000-0000-000008040000}"/>
    <cellStyle name="60% - Accent3 14" xfId="1064" xr:uid="{00000000-0005-0000-0000-000009040000}"/>
    <cellStyle name="60% - Accent3 15" xfId="1065" xr:uid="{00000000-0005-0000-0000-00000A040000}"/>
    <cellStyle name="60% - Accent3 16" xfId="1066" xr:uid="{00000000-0005-0000-0000-00000B040000}"/>
    <cellStyle name="60% - Accent3 17" xfId="1067" xr:uid="{00000000-0005-0000-0000-00000C040000}"/>
    <cellStyle name="60% - Accent3 17 2" xfId="1068" xr:uid="{00000000-0005-0000-0000-00000D040000}"/>
    <cellStyle name="60% - Accent3 17 3" xfId="1069" xr:uid="{00000000-0005-0000-0000-00000E040000}"/>
    <cellStyle name="60% - Accent3 17 4" xfId="1070" xr:uid="{00000000-0005-0000-0000-00000F040000}"/>
    <cellStyle name="60% - Accent3 17 5" xfId="1071" xr:uid="{00000000-0005-0000-0000-000010040000}"/>
    <cellStyle name="60% - Accent3 18" xfId="1072" xr:uid="{00000000-0005-0000-0000-000011040000}"/>
    <cellStyle name="60% - Accent3 18 2" xfId="1073" xr:uid="{00000000-0005-0000-0000-000012040000}"/>
    <cellStyle name="60% - Accent3 18 3" xfId="1074" xr:uid="{00000000-0005-0000-0000-000013040000}"/>
    <cellStyle name="60% - Accent3 18 4" xfId="1075" xr:uid="{00000000-0005-0000-0000-000014040000}"/>
    <cellStyle name="60% - Accent3 18 5" xfId="1076" xr:uid="{00000000-0005-0000-0000-000015040000}"/>
    <cellStyle name="60% - Accent3 19" xfId="1077" xr:uid="{00000000-0005-0000-0000-000016040000}"/>
    <cellStyle name="60% - Accent3 19 2" xfId="1078" xr:uid="{00000000-0005-0000-0000-000017040000}"/>
    <cellStyle name="60% - Accent3 19 3" xfId="1079" xr:uid="{00000000-0005-0000-0000-000018040000}"/>
    <cellStyle name="60% - Accent3 19 4" xfId="1080" xr:uid="{00000000-0005-0000-0000-000019040000}"/>
    <cellStyle name="60% - Accent3 19 5" xfId="1081" xr:uid="{00000000-0005-0000-0000-00001A040000}"/>
    <cellStyle name="60% - Accent3 2" xfId="1082" xr:uid="{00000000-0005-0000-0000-00001B040000}"/>
    <cellStyle name="60% - Accent3 2 2" xfId="23505" xr:uid="{00000000-0005-0000-0000-00001C040000}"/>
    <cellStyle name="60% - Accent3 20" xfId="1083" xr:uid="{00000000-0005-0000-0000-00001D040000}"/>
    <cellStyle name="60% - Accent3 20 2" xfId="1084" xr:uid="{00000000-0005-0000-0000-00001E040000}"/>
    <cellStyle name="60% - Accent3 20 3" xfId="1085" xr:uid="{00000000-0005-0000-0000-00001F040000}"/>
    <cellStyle name="60% - Accent3 20 4" xfId="1086" xr:uid="{00000000-0005-0000-0000-000020040000}"/>
    <cellStyle name="60% - Accent3 20 5" xfId="1087" xr:uid="{00000000-0005-0000-0000-000021040000}"/>
    <cellStyle name="60% - Accent3 21" xfId="1088" xr:uid="{00000000-0005-0000-0000-000022040000}"/>
    <cellStyle name="60% - Accent3 21 2" xfId="1089" xr:uid="{00000000-0005-0000-0000-000023040000}"/>
    <cellStyle name="60% - Accent3 21 3" xfId="1090" xr:uid="{00000000-0005-0000-0000-000024040000}"/>
    <cellStyle name="60% - Accent3 21 4" xfId="1091" xr:uid="{00000000-0005-0000-0000-000025040000}"/>
    <cellStyle name="60% - Accent3 21 5" xfId="1092" xr:uid="{00000000-0005-0000-0000-000026040000}"/>
    <cellStyle name="60% - Accent3 22" xfId="1093" xr:uid="{00000000-0005-0000-0000-000027040000}"/>
    <cellStyle name="60% - Accent3 22 2" xfId="1094" xr:uid="{00000000-0005-0000-0000-000028040000}"/>
    <cellStyle name="60% - Accent3 22 3" xfId="1095" xr:uid="{00000000-0005-0000-0000-000029040000}"/>
    <cellStyle name="60% - Accent3 22 4" xfId="1096" xr:uid="{00000000-0005-0000-0000-00002A040000}"/>
    <cellStyle name="60% - Accent3 22 5" xfId="1097" xr:uid="{00000000-0005-0000-0000-00002B040000}"/>
    <cellStyle name="60% - Accent3 23" xfId="1098" xr:uid="{00000000-0005-0000-0000-00002C040000}"/>
    <cellStyle name="60% - Accent3 24" xfId="1099" xr:uid="{00000000-0005-0000-0000-00002D040000}"/>
    <cellStyle name="60% - Accent3 25" xfId="1100" xr:uid="{00000000-0005-0000-0000-00002E040000}"/>
    <cellStyle name="60% - Accent3 26" xfId="1101" xr:uid="{00000000-0005-0000-0000-00002F040000}"/>
    <cellStyle name="60% - Accent3 3" xfId="1102" xr:uid="{00000000-0005-0000-0000-000030040000}"/>
    <cellStyle name="60% - Accent3 4" xfId="1103" xr:uid="{00000000-0005-0000-0000-000031040000}"/>
    <cellStyle name="60% - Accent3 5" xfId="1104" xr:uid="{00000000-0005-0000-0000-000032040000}"/>
    <cellStyle name="60% - Accent3 6" xfId="1105" xr:uid="{00000000-0005-0000-0000-000033040000}"/>
    <cellStyle name="60% - Accent3 7" xfId="1106" xr:uid="{00000000-0005-0000-0000-000034040000}"/>
    <cellStyle name="60% - Accent3 8" xfId="1107" xr:uid="{00000000-0005-0000-0000-000035040000}"/>
    <cellStyle name="60% - Accent3 9" xfId="1108" xr:uid="{00000000-0005-0000-0000-000036040000}"/>
    <cellStyle name="60% - Accent4 10" xfId="1109" xr:uid="{00000000-0005-0000-0000-000037040000}"/>
    <cellStyle name="60% - Accent4 11" xfId="1110" xr:uid="{00000000-0005-0000-0000-000038040000}"/>
    <cellStyle name="60% - Accent4 12" xfId="1111" xr:uid="{00000000-0005-0000-0000-000039040000}"/>
    <cellStyle name="60% - Accent4 13" xfId="1112" xr:uid="{00000000-0005-0000-0000-00003A040000}"/>
    <cellStyle name="60% - Accent4 14" xfId="1113" xr:uid="{00000000-0005-0000-0000-00003B040000}"/>
    <cellStyle name="60% - Accent4 15" xfId="1114" xr:uid="{00000000-0005-0000-0000-00003C040000}"/>
    <cellStyle name="60% - Accent4 16" xfId="1115" xr:uid="{00000000-0005-0000-0000-00003D040000}"/>
    <cellStyle name="60% - Accent4 17" xfId="1116" xr:uid="{00000000-0005-0000-0000-00003E040000}"/>
    <cellStyle name="60% - Accent4 17 2" xfId="1117" xr:uid="{00000000-0005-0000-0000-00003F040000}"/>
    <cellStyle name="60% - Accent4 17 3" xfId="1118" xr:uid="{00000000-0005-0000-0000-000040040000}"/>
    <cellStyle name="60% - Accent4 17 4" xfId="1119" xr:uid="{00000000-0005-0000-0000-000041040000}"/>
    <cellStyle name="60% - Accent4 17 5" xfId="1120" xr:uid="{00000000-0005-0000-0000-000042040000}"/>
    <cellStyle name="60% - Accent4 18" xfId="1121" xr:uid="{00000000-0005-0000-0000-000043040000}"/>
    <cellStyle name="60% - Accent4 18 2" xfId="1122" xr:uid="{00000000-0005-0000-0000-000044040000}"/>
    <cellStyle name="60% - Accent4 18 3" xfId="1123" xr:uid="{00000000-0005-0000-0000-000045040000}"/>
    <cellStyle name="60% - Accent4 18 4" xfId="1124" xr:uid="{00000000-0005-0000-0000-000046040000}"/>
    <cellStyle name="60% - Accent4 18 5" xfId="1125" xr:uid="{00000000-0005-0000-0000-000047040000}"/>
    <cellStyle name="60% - Accent4 19" xfId="1126" xr:uid="{00000000-0005-0000-0000-000048040000}"/>
    <cellStyle name="60% - Accent4 19 2" xfId="1127" xr:uid="{00000000-0005-0000-0000-000049040000}"/>
    <cellStyle name="60% - Accent4 19 3" xfId="1128" xr:uid="{00000000-0005-0000-0000-00004A040000}"/>
    <cellStyle name="60% - Accent4 19 4" xfId="1129" xr:uid="{00000000-0005-0000-0000-00004B040000}"/>
    <cellStyle name="60% - Accent4 19 5" xfId="1130" xr:uid="{00000000-0005-0000-0000-00004C040000}"/>
    <cellStyle name="60% - Accent4 2" xfId="1131" xr:uid="{00000000-0005-0000-0000-00004D040000}"/>
    <cellStyle name="60% - Accent4 2 2" xfId="23506" xr:uid="{00000000-0005-0000-0000-00004E040000}"/>
    <cellStyle name="60% - Accent4 20" xfId="1132" xr:uid="{00000000-0005-0000-0000-00004F040000}"/>
    <cellStyle name="60% - Accent4 20 2" xfId="1133" xr:uid="{00000000-0005-0000-0000-000050040000}"/>
    <cellStyle name="60% - Accent4 20 3" xfId="1134" xr:uid="{00000000-0005-0000-0000-000051040000}"/>
    <cellStyle name="60% - Accent4 20 4" xfId="1135" xr:uid="{00000000-0005-0000-0000-000052040000}"/>
    <cellStyle name="60% - Accent4 20 5" xfId="1136" xr:uid="{00000000-0005-0000-0000-000053040000}"/>
    <cellStyle name="60% - Accent4 21" xfId="1137" xr:uid="{00000000-0005-0000-0000-000054040000}"/>
    <cellStyle name="60% - Accent4 21 2" xfId="1138" xr:uid="{00000000-0005-0000-0000-000055040000}"/>
    <cellStyle name="60% - Accent4 21 3" xfId="1139" xr:uid="{00000000-0005-0000-0000-000056040000}"/>
    <cellStyle name="60% - Accent4 21 4" xfId="1140" xr:uid="{00000000-0005-0000-0000-000057040000}"/>
    <cellStyle name="60% - Accent4 21 5" xfId="1141" xr:uid="{00000000-0005-0000-0000-000058040000}"/>
    <cellStyle name="60% - Accent4 22" xfId="1142" xr:uid="{00000000-0005-0000-0000-000059040000}"/>
    <cellStyle name="60% - Accent4 22 2" xfId="1143" xr:uid="{00000000-0005-0000-0000-00005A040000}"/>
    <cellStyle name="60% - Accent4 22 3" xfId="1144" xr:uid="{00000000-0005-0000-0000-00005B040000}"/>
    <cellStyle name="60% - Accent4 22 4" xfId="1145" xr:uid="{00000000-0005-0000-0000-00005C040000}"/>
    <cellStyle name="60% - Accent4 22 5" xfId="1146" xr:uid="{00000000-0005-0000-0000-00005D040000}"/>
    <cellStyle name="60% - Accent4 23" xfId="1147" xr:uid="{00000000-0005-0000-0000-00005E040000}"/>
    <cellStyle name="60% - Accent4 24" xfId="1148" xr:uid="{00000000-0005-0000-0000-00005F040000}"/>
    <cellStyle name="60% - Accent4 25" xfId="1149" xr:uid="{00000000-0005-0000-0000-000060040000}"/>
    <cellStyle name="60% - Accent4 26" xfId="1150" xr:uid="{00000000-0005-0000-0000-000061040000}"/>
    <cellStyle name="60% - Accent4 3" xfId="1151" xr:uid="{00000000-0005-0000-0000-000062040000}"/>
    <cellStyle name="60% - Accent4 4" xfId="1152" xr:uid="{00000000-0005-0000-0000-000063040000}"/>
    <cellStyle name="60% - Accent4 5" xfId="1153" xr:uid="{00000000-0005-0000-0000-000064040000}"/>
    <cellStyle name="60% - Accent4 6" xfId="1154" xr:uid="{00000000-0005-0000-0000-000065040000}"/>
    <cellStyle name="60% - Accent4 7" xfId="1155" xr:uid="{00000000-0005-0000-0000-000066040000}"/>
    <cellStyle name="60% - Accent4 8" xfId="1156" xr:uid="{00000000-0005-0000-0000-000067040000}"/>
    <cellStyle name="60% - Accent4 9" xfId="1157" xr:uid="{00000000-0005-0000-0000-000068040000}"/>
    <cellStyle name="60% - Accent5 10" xfId="1158" xr:uid="{00000000-0005-0000-0000-000069040000}"/>
    <cellStyle name="60% - Accent5 11" xfId="1159" xr:uid="{00000000-0005-0000-0000-00006A040000}"/>
    <cellStyle name="60% - Accent5 12" xfId="1160" xr:uid="{00000000-0005-0000-0000-00006B040000}"/>
    <cellStyle name="60% - Accent5 13" xfId="1161" xr:uid="{00000000-0005-0000-0000-00006C040000}"/>
    <cellStyle name="60% - Accent5 14" xfId="1162" xr:uid="{00000000-0005-0000-0000-00006D040000}"/>
    <cellStyle name="60% - Accent5 15" xfId="1163" xr:uid="{00000000-0005-0000-0000-00006E040000}"/>
    <cellStyle name="60% - Accent5 16" xfId="1164" xr:uid="{00000000-0005-0000-0000-00006F040000}"/>
    <cellStyle name="60% - Accent5 17" xfId="1165" xr:uid="{00000000-0005-0000-0000-000070040000}"/>
    <cellStyle name="60% - Accent5 17 2" xfId="1166" xr:uid="{00000000-0005-0000-0000-000071040000}"/>
    <cellStyle name="60% - Accent5 17 3" xfId="1167" xr:uid="{00000000-0005-0000-0000-000072040000}"/>
    <cellStyle name="60% - Accent5 17 4" xfId="1168" xr:uid="{00000000-0005-0000-0000-000073040000}"/>
    <cellStyle name="60% - Accent5 17 5" xfId="1169" xr:uid="{00000000-0005-0000-0000-000074040000}"/>
    <cellStyle name="60% - Accent5 18" xfId="1170" xr:uid="{00000000-0005-0000-0000-000075040000}"/>
    <cellStyle name="60% - Accent5 18 2" xfId="1171" xr:uid="{00000000-0005-0000-0000-000076040000}"/>
    <cellStyle name="60% - Accent5 18 3" xfId="1172" xr:uid="{00000000-0005-0000-0000-000077040000}"/>
    <cellStyle name="60% - Accent5 18 4" xfId="1173" xr:uid="{00000000-0005-0000-0000-000078040000}"/>
    <cellStyle name="60% - Accent5 18 5" xfId="1174" xr:uid="{00000000-0005-0000-0000-000079040000}"/>
    <cellStyle name="60% - Accent5 19" xfId="1175" xr:uid="{00000000-0005-0000-0000-00007A040000}"/>
    <cellStyle name="60% - Accent5 19 2" xfId="1176" xr:uid="{00000000-0005-0000-0000-00007B040000}"/>
    <cellStyle name="60% - Accent5 19 3" xfId="1177" xr:uid="{00000000-0005-0000-0000-00007C040000}"/>
    <cellStyle name="60% - Accent5 19 4" xfId="1178" xr:uid="{00000000-0005-0000-0000-00007D040000}"/>
    <cellStyle name="60% - Accent5 19 5" xfId="1179" xr:uid="{00000000-0005-0000-0000-00007E040000}"/>
    <cellStyle name="60% - Accent5 2" xfId="1180" xr:uid="{00000000-0005-0000-0000-00007F040000}"/>
    <cellStyle name="60% - Accent5 2 2" xfId="23507" xr:uid="{00000000-0005-0000-0000-000080040000}"/>
    <cellStyle name="60% - Accent5 20" xfId="1181" xr:uid="{00000000-0005-0000-0000-000081040000}"/>
    <cellStyle name="60% - Accent5 20 2" xfId="1182" xr:uid="{00000000-0005-0000-0000-000082040000}"/>
    <cellStyle name="60% - Accent5 20 3" xfId="1183" xr:uid="{00000000-0005-0000-0000-000083040000}"/>
    <cellStyle name="60% - Accent5 20 4" xfId="1184" xr:uid="{00000000-0005-0000-0000-000084040000}"/>
    <cellStyle name="60% - Accent5 20 5" xfId="1185" xr:uid="{00000000-0005-0000-0000-000085040000}"/>
    <cellStyle name="60% - Accent5 21" xfId="1186" xr:uid="{00000000-0005-0000-0000-000086040000}"/>
    <cellStyle name="60% - Accent5 21 2" xfId="1187" xr:uid="{00000000-0005-0000-0000-000087040000}"/>
    <cellStyle name="60% - Accent5 21 3" xfId="1188" xr:uid="{00000000-0005-0000-0000-000088040000}"/>
    <cellStyle name="60% - Accent5 21 4" xfId="1189" xr:uid="{00000000-0005-0000-0000-000089040000}"/>
    <cellStyle name="60% - Accent5 21 5" xfId="1190" xr:uid="{00000000-0005-0000-0000-00008A040000}"/>
    <cellStyle name="60% - Accent5 22" xfId="1191" xr:uid="{00000000-0005-0000-0000-00008B040000}"/>
    <cellStyle name="60% - Accent5 22 2" xfId="1192" xr:uid="{00000000-0005-0000-0000-00008C040000}"/>
    <cellStyle name="60% - Accent5 22 3" xfId="1193" xr:uid="{00000000-0005-0000-0000-00008D040000}"/>
    <cellStyle name="60% - Accent5 22 4" xfId="1194" xr:uid="{00000000-0005-0000-0000-00008E040000}"/>
    <cellStyle name="60% - Accent5 22 5" xfId="1195" xr:uid="{00000000-0005-0000-0000-00008F040000}"/>
    <cellStyle name="60% - Accent5 23" xfId="1196" xr:uid="{00000000-0005-0000-0000-000090040000}"/>
    <cellStyle name="60% - Accent5 24" xfId="1197" xr:uid="{00000000-0005-0000-0000-000091040000}"/>
    <cellStyle name="60% - Accent5 25" xfId="1198" xr:uid="{00000000-0005-0000-0000-000092040000}"/>
    <cellStyle name="60% - Accent5 26" xfId="1199" xr:uid="{00000000-0005-0000-0000-000093040000}"/>
    <cellStyle name="60% - Accent5 3" xfId="1200" xr:uid="{00000000-0005-0000-0000-000094040000}"/>
    <cellStyle name="60% - Accent5 4" xfId="1201" xr:uid="{00000000-0005-0000-0000-000095040000}"/>
    <cellStyle name="60% - Accent5 5" xfId="1202" xr:uid="{00000000-0005-0000-0000-000096040000}"/>
    <cellStyle name="60% - Accent5 6" xfId="1203" xr:uid="{00000000-0005-0000-0000-000097040000}"/>
    <cellStyle name="60% - Accent5 7" xfId="1204" xr:uid="{00000000-0005-0000-0000-000098040000}"/>
    <cellStyle name="60% - Accent5 8" xfId="1205" xr:uid="{00000000-0005-0000-0000-000099040000}"/>
    <cellStyle name="60% - Accent5 9" xfId="1206" xr:uid="{00000000-0005-0000-0000-00009A040000}"/>
    <cellStyle name="60% - Accent6 10" xfId="1207" xr:uid="{00000000-0005-0000-0000-00009B040000}"/>
    <cellStyle name="60% - Accent6 11" xfId="1208" xr:uid="{00000000-0005-0000-0000-00009C040000}"/>
    <cellStyle name="60% - Accent6 12" xfId="1209" xr:uid="{00000000-0005-0000-0000-00009D040000}"/>
    <cellStyle name="60% - Accent6 13" xfId="1210" xr:uid="{00000000-0005-0000-0000-00009E040000}"/>
    <cellStyle name="60% - Accent6 14" xfId="1211" xr:uid="{00000000-0005-0000-0000-00009F040000}"/>
    <cellStyle name="60% - Accent6 15" xfId="1212" xr:uid="{00000000-0005-0000-0000-0000A0040000}"/>
    <cellStyle name="60% - Accent6 16" xfId="1213" xr:uid="{00000000-0005-0000-0000-0000A1040000}"/>
    <cellStyle name="60% - Accent6 17" xfId="1214" xr:uid="{00000000-0005-0000-0000-0000A2040000}"/>
    <cellStyle name="60% - Accent6 17 2" xfId="1215" xr:uid="{00000000-0005-0000-0000-0000A3040000}"/>
    <cellStyle name="60% - Accent6 17 3" xfId="1216" xr:uid="{00000000-0005-0000-0000-0000A4040000}"/>
    <cellStyle name="60% - Accent6 17 4" xfId="1217" xr:uid="{00000000-0005-0000-0000-0000A5040000}"/>
    <cellStyle name="60% - Accent6 17 5" xfId="1218" xr:uid="{00000000-0005-0000-0000-0000A6040000}"/>
    <cellStyle name="60% - Accent6 18" xfId="1219" xr:uid="{00000000-0005-0000-0000-0000A7040000}"/>
    <cellStyle name="60% - Accent6 18 2" xfId="1220" xr:uid="{00000000-0005-0000-0000-0000A8040000}"/>
    <cellStyle name="60% - Accent6 18 3" xfId="1221" xr:uid="{00000000-0005-0000-0000-0000A9040000}"/>
    <cellStyle name="60% - Accent6 18 4" xfId="1222" xr:uid="{00000000-0005-0000-0000-0000AA040000}"/>
    <cellStyle name="60% - Accent6 18 5" xfId="1223" xr:uid="{00000000-0005-0000-0000-0000AB040000}"/>
    <cellStyle name="60% - Accent6 19" xfId="1224" xr:uid="{00000000-0005-0000-0000-0000AC040000}"/>
    <cellStyle name="60% - Accent6 19 2" xfId="1225" xr:uid="{00000000-0005-0000-0000-0000AD040000}"/>
    <cellStyle name="60% - Accent6 19 3" xfId="1226" xr:uid="{00000000-0005-0000-0000-0000AE040000}"/>
    <cellStyle name="60% - Accent6 19 4" xfId="1227" xr:uid="{00000000-0005-0000-0000-0000AF040000}"/>
    <cellStyle name="60% - Accent6 19 5" xfId="1228" xr:uid="{00000000-0005-0000-0000-0000B0040000}"/>
    <cellStyle name="60% - Accent6 2" xfId="1229" xr:uid="{00000000-0005-0000-0000-0000B1040000}"/>
    <cellStyle name="60% - Accent6 2 2" xfId="23508" xr:uid="{00000000-0005-0000-0000-0000B2040000}"/>
    <cellStyle name="60% - Accent6 20" xfId="1230" xr:uid="{00000000-0005-0000-0000-0000B3040000}"/>
    <cellStyle name="60% - Accent6 20 2" xfId="1231" xr:uid="{00000000-0005-0000-0000-0000B4040000}"/>
    <cellStyle name="60% - Accent6 20 3" xfId="1232" xr:uid="{00000000-0005-0000-0000-0000B5040000}"/>
    <cellStyle name="60% - Accent6 20 4" xfId="1233" xr:uid="{00000000-0005-0000-0000-0000B6040000}"/>
    <cellStyle name="60% - Accent6 20 5" xfId="1234" xr:uid="{00000000-0005-0000-0000-0000B7040000}"/>
    <cellStyle name="60% - Accent6 21" xfId="1235" xr:uid="{00000000-0005-0000-0000-0000B8040000}"/>
    <cellStyle name="60% - Accent6 21 2" xfId="1236" xr:uid="{00000000-0005-0000-0000-0000B9040000}"/>
    <cellStyle name="60% - Accent6 21 3" xfId="1237" xr:uid="{00000000-0005-0000-0000-0000BA040000}"/>
    <cellStyle name="60% - Accent6 21 4" xfId="1238" xr:uid="{00000000-0005-0000-0000-0000BB040000}"/>
    <cellStyle name="60% - Accent6 21 5" xfId="1239" xr:uid="{00000000-0005-0000-0000-0000BC040000}"/>
    <cellStyle name="60% - Accent6 22" xfId="1240" xr:uid="{00000000-0005-0000-0000-0000BD040000}"/>
    <cellStyle name="60% - Accent6 22 2" xfId="1241" xr:uid="{00000000-0005-0000-0000-0000BE040000}"/>
    <cellStyle name="60% - Accent6 22 3" xfId="1242" xr:uid="{00000000-0005-0000-0000-0000BF040000}"/>
    <cellStyle name="60% - Accent6 22 4" xfId="1243" xr:uid="{00000000-0005-0000-0000-0000C0040000}"/>
    <cellStyle name="60% - Accent6 22 5" xfId="1244" xr:uid="{00000000-0005-0000-0000-0000C1040000}"/>
    <cellStyle name="60% - Accent6 23" xfId="1245" xr:uid="{00000000-0005-0000-0000-0000C2040000}"/>
    <cellStyle name="60% - Accent6 24" xfId="1246" xr:uid="{00000000-0005-0000-0000-0000C3040000}"/>
    <cellStyle name="60% - Accent6 25" xfId="1247" xr:uid="{00000000-0005-0000-0000-0000C4040000}"/>
    <cellStyle name="60% - Accent6 26" xfId="1248" xr:uid="{00000000-0005-0000-0000-0000C5040000}"/>
    <cellStyle name="60% - Accent6 3" xfId="1249" xr:uid="{00000000-0005-0000-0000-0000C6040000}"/>
    <cellStyle name="60% - Accent6 4" xfId="1250" xr:uid="{00000000-0005-0000-0000-0000C7040000}"/>
    <cellStyle name="60% - Accent6 5" xfId="1251" xr:uid="{00000000-0005-0000-0000-0000C8040000}"/>
    <cellStyle name="60% - Accent6 6" xfId="1252" xr:uid="{00000000-0005-0000-0000-0000C9040000}"/>
    <cellStyle name="60% - Accent6 7" xfId="1253" xr:uid="{00000000-0005-0000-0000-0000CA040000}"/>
    <cellStyle name="60% - Accent6 8" xfId="1254" xr:uid="{00000000-0005-0000-0000-0000CB040000}"/>
    <cellStyle name="60% - Accent6 9" xfId="1255" xr:uid="{00000000-0005-0000-0000-0000CC040000}"/>
    <cellStyle name="Accent1 - 20%" xfId="1256" xr:uid="{00000000-0005-0000-0000-0000CD040000}"/>
    <cellStyle name="Accent1 - 40%" xfId="1257" xr:uid="{00000000-0005-0000-0000-0000CE040000}"/>
    <cellStyle name="Accent1 - 60%" xfId="1258" xr:uid="{00000000-0005-0000-0000-0000CF040000}"/>
    <cellStyle name="Accent1 10" xfId="1259" xr:uid="{00000000-0005-0000-0000-0000D0040000}"/>
    <cellStyle name="Accent1 11" xfId="1260" xr:uid="{00000000-0005-0000-0000-0000D1040000}"/>
    <cellStyle name="Accent1 12" xfId="1261" xr:uid="{00000000-0005-0000-0000-0000D2040000}"/>
    <cellStyle name="Accent1 13" xfId="1262" xr:uid="{00000000-0005-0000-0000-0000D3040000}"/>
    <cellStyle name="Accent1 14" xfId="1263" xr:uid="{00000000-0005-0000-0000-0000D4040000}"/>
    <cellStyle name="Accent1 15" xfId="1264" xr:uid="{00000000-0005-0000-0000-0000D5040000}"/>
    <cellStyle name="Accent1 16" xfId="1265" xr:uid="{00000000-0005-0000-0000-0000D6040000}"/>
    <cellStyle name="Accent1 17" xfId="1266" xr:uid="{00000000-0005-0000-0000-0000D7040000}"/>
    <cellStyle name="Accent1 17 2" xfId="1267" xr:uid="{00000000-0005-0000-0000-0000D8040000}"/>
    <cellStyle name="Accent1 17 3" xfId="1268" xr:uid="{00000000-0005-0000-0000-0000D9040000}"/>
    <cellStyle name="Accent1 17 4" xfId="1269" xr:uid="{00000000-0005-0000-0000-0000DA040000}"/>
    <cellStyle name="Accent1 17 5" xfId="1270" xr:uid="{00000000-0005-0000-0000-0000DB040000}"/>
    <cellStyle name="Accent1 18" xfId="1271" xr:uid="{00000000-0005-0000-0000-0000DC040000}"/>
    <cellStyle name="Accent1 18 2" xfId="1272" xr:uid="{00000000-0005-0000-0000-0000DD040000}"/>
    <cellStyle name="Accent1 18 3" xfId="1273" xr:uid="{00000000-0005-0000-0000-0000DE040000}"/>
    <cellStyle name="Accent1 18 4" xfId="1274" xr:uid="{00000000-0005-0000-0000-0000DF040000}"/>
    <cellStyle name="Accent1 18 5" xfId="1275" xr:uid="{00000000-0005-0000-0000-0000E0040000}"/>
    <cellStyle name="Accent1 19" xfId="1276" xr:uid="{00000000-0005-0000-0000-0000E1040000}"/>
    <cellStyle name="Accent1 19 2" xfId="1277" xr:uid="{00000000-0005-0000-0000-0000E2040000}"/>
    <cellStyle name="Accent1 19 3" xfId="1278" xr:uid="{00000000-0005-0000-0000-0000E3040000}"/>
    <cellStyle name="Accent1 19 4" xfId="1279" xr:uid="{00000000-0005-0000-0000-0000E4040000}"/>
    <cellStyle name="Accent1 19 5" xfId="1280" xr:uid="{00000000-0005-0000-0000-0000E5040000}"/>
    <cellStyle name="Accent1 2" xfId="1281" xr:uid="{00000000-0005-0000-0000-0000E6040000}"/>
    <cellStyle name="Accent1 2 2" xfId="1282" xr:uid="{00000000-0005-0000-0000-0000E7040000}"/>
    <cellStyle name="Accent1 2 3" xfId="23509" xr:uid="{00000000-0005-0000-0000-0000E8040000}"/>
    <cellStyle name="Accent1 20" xfId="1283" xr:uid="{00000000-0005-0000-0000-0000E9040000}"/>
    <cellStyle name="Accent1 20 2" xfId="1284" xr:uid="{00000000-0005-0000-0000-0000EA040000}"/>
    <cellStyle name="Accent1 20 3" xfId="1285" xr:uid="{00000000-0005-0000-0000-0000EB040000}"/>
    <cellStyle name="Accent1 20 4" xfId="1286" xr:uid="{00000000-0005-0000-0000-0000EC040000}"/>
    <cellStyle name="Accent1 20 5" xfId="1287" xr:uid="{00000000-0005-0000-0000-0000ED040000}"/>
    <cellStyle name="Accent1 21" xfId="1288" xr:uid="{00000000-0005-0000-0000-0000EE040000}"/>
    <cellStyle name="Accent1 21 2" xfId="1289" xr:uid="{00000000-0005-0000-0000-0000EF040000}"/>
    <cellStyle name="Accent1 21 3" xfId="1290" xr:uid="{00000000-0005-0000-0000-0000F0040000}"/>
    <cellStyle name="Accent1 21 4" xfId="1291" xr:uid="{00000000-0005-0000-0000-0000F1040000}"/>
    <cellStyle name="Accent1 21 5" xfId="1292" xr:uid="{00000000-0005-0000-0000-0000F2040000}"/>
    <cellStyle name="Accent1 22" xfId="1293" xr:uid="{00000000-0005-0000-0000-0000F3040000}"/>
    <cellStyle name="Accent1 22 2" xfId="1294" xr:uid="{00000000-0005-0000-0000-0000F4040000}"/>
    <cellStyle name="Accent1 22 3" xfId="1295" xr:uid="{00000000-0005-0000-0000-0000F5040000}"/>
    <cellStyle name="Accent1 22 4" xfId="1296" xr:uid="{00000000-0005-0000-0000-0000F6040000}"/>
    <cellStyle name="Accent1 22 5" xfId="1297" xr:uid="{00000000-0005-0000-0000-0000F7040000}"/>
    <cellStyle name="Accent1 23" xfId="1298" xr:uid="{00000000-0005-0000-0000-0000F8040000}"/>
    <cellStyle name="Accent1 24" xfId="1299" xr:uid="{00000000-0005-0000-0000-0000F9040000}"/>
    <cellStyle name="Accent1 25" xfId="1300" xr:uid="{00000000-0005-0000-0000-0000FA040000}"/>
    <cellStyle name="Accent1 26" xfId="1301" xr:uid="{00000000-0005-0000-0000-0000FB040000}"/>
    <cellStyle name="Accent1 3" xfId="1302" xr:uid="{00000000-0005-0000-0000-0000FC040000}"/>
    <cellStyle name="Accent1 3 2" xfId="1303" xr:uid="{00000000-0005-0000-0000-0000FD040000}"/>
    <cellStyle name="Accent1 4" xfId="1304" xr:uid="{00000000-0005-0000-0000-0000FE040000}"/>
    <cellStyle name="Accent1 4 2" xfId="1305" xr:uid="{00000000-0005-0000-0000-0000FF040000}"/>
    <cellStyle name="Accent1 5" xfId="1306" xr:uid="{00000000-0005-0000-0000-000000050000}"/>
    <cellStyle name="Accent1 5 2" xfId="1307" xr:uid="{00000000-0005-0000-0000-000001050000}"/>
    <cellStyle name="Accent1 6" xfId="1308" xr:uid="{00000000-0005-0000-0000-000002050000}"/>
    <cellStyle name="Accent1 6 2" xfId="1309" xr:uid="{00000000-0005-0000-0000-000003050000}"/>
    <cellStyle name="Accent1 7" xfId="1310" xr:uid="{00000000-0005-0000-0000-000004050000}"/>
    <cellStyle name="Accent1 7 2" xfId="1311" xr:uid="{00000000-0005-0000-0000-000005050000}"/>
    <cellStyle name="Accent1 8" xfId="1312" xr:uid="{00000000-0005-0000-0000-000006050000}"/>
    <cellStyle name="Accent1 8 2" xfId="1313" xr:uid="{00000000-0005-0000-0000-000007050000}"/>
    <cellStyle name="Accent1 9" xfId="1314" xr:uid="{00000000-0005-0000-0000-000008050000}"/>
    <cellStyle name="Accent2 - 20%" xfId="1315" xr:uid="{00000000-0005-0000-0000-000009050000}"/>
    <cellStyle name="Accent2 - 40%" xfId="1316" xr:uid="{00000000-0005-0000-0000-00000A050000}"/>
    <cellStyle name="Accent2 - 60%" xfId="1317" xr:uid="{00000000-0005-0000-0000-00000B050000}"/>
    <cellStyle name="Accent2 10" xfId="1318" xr:uid="{00000000-0005-0000-0000-00000C050000}"/>
    <cellStyle name="Accent2 11" xfId="1319" xr:uid="{00000000-0005-0000-0000-00000D050000}"/>
    <cellStyle name="Accent2 12" xfId="1320" xr:uid="{00000000-0005-0000-0000-00000E050000}"/>
    <cellStyle name="Accent2 13" xfId="1321" xr:uid="{00000000-0005-0000-0000-00000F050000}"/>
    <cellStyle name="Accent2 14" xfId="1322" xr:uid="{00000000-0005-0000-0000-000010050000}"/>
    <cellStyle name="Accent2 15" xfId="1323" xr:uid="{00000000-0005-0000-0000-000011050000}"/>
    <cellStyle name="Accent2 16" xfId="1324" xr:uid="{00000000-0005-0000-0000-000012050000}"/>
    <cellStyle name="Accent2 17" xfId="1325" xr:uid="{00000000-0005-0000-0000-000013050000}"/>
    <cellStyle name="Accent2 17 2" xfId="1326" xr:uid="{00000000-0005-0000-0000-000014050000}"/>
    <cellStyle name="Accent2 17 3" xfId="1327" xr:uid="{00000000-0005-0000-0000-000015050000}"/>
    <cellStyle name="Accent2 17 4" xfId="1328" xr:uid="{00000000-0005-0000-0000-000016050000}"/>
    <cellStyle name="Accent2 17 5" xfId="1329" xr:uid="{00000000-0005-0000-0000-000017050000}"/>
    <cellStyle name="Accent2 18" xfId="1330" xr:uid="{00000000-0005-0000-0000-000018050000}"/>
    <cellStyle name="Accent2 18 2" xfId="1331" xr:uid="{00000000-0005-0000-0000-000019050000}"/>
    <cellStyle name="Accent2 18 3" xfId="1332" xr:uid="{00000000-0005-0000-0000-00001A050000}"/>
    <cellStyle name="Accent2 18 4" xfId="1333" xr:uid="{00000000-0005-0000-0000-00001B050000}"/>
    <cellStyle name="Accent2 18 5" xfId="1334" xr:uid="{00000000-0005-0000-0000-00001C050000}"/>
    <cellStyle name="Accent2 19" xfId="1335" xr:uid="{00000000-0005-0000-0000-00001D050000}"/>
    <cellStyle name="Accent2 19 2" xfId="1336" xr:uid="{00000000-0005-0000-0000-00001E050000}"/>
    <cellStyle name="Accent2 19 3" xfId="1337" xr:uid="{00000000-0005-0000-0000-00001F050000}"/>
    <cellStyle name="Accent2 19 4" xfId="1338" xr:uid="{00000000-0005-0000-0000-000020050000}"/>
    <cellStyle name="Accent2 19 5" xfId="1339" xr:uid="{00000000-0005-0000-0000-000021050000}"/>
    <cellStyle name="Accent2 2" xfId="1340" xr:uid="{00000000-0005-0000-0000-000022050000}"/>
    <cellStyle name="Accent2 2 2" xfId="1341" xr:uid="{00000000-0005-0000-0000-000023050000}"/>
    <cellStyle name="Accent2 2 3" xfId="23510" xr:uid="{00000000-0005-0000-0000-000024050000}"/>
    <cellStyle name="Accent2 20" xfId="1342" xr:uid="{00000000-0005-0000-0000-000025050000}"/>
    <cellStyle name="Accent2 20 2" xfId="1343" xr:uid="{00000000-0005-0000-0000-000026050000}"/>
    <cellStyle name="Accent2 20 3" xfId="1344" xr:uid="{00000000-0005-0000-0000-000027050000}"/>
    <cellStyle name="Accent2 20 4" xfId="1345" xr:uid="{00000000-0005-0000-0000-000028050000}"/>
    <cellStyle name="Accent2 20 5" xfId="1346" xr:uid="{00000000-0005-0000-0000-000029050000}"/>
    <cellStyle name="Accent2 21" xfId="1347" xr:uid="{00000000-0005-0000-0000-00002A050000}"/>
    <cellStyle name="Accent2 21 2" xfId="1348" xr:uid="{00000000-0005-0000-0000-00002B050000}"/>
    <cellStyle name="Accent2 21 3" xfId="1349" xr:uid="{00000000-0005-0000-0000-00002C050000}"/>
    <cellStyle name="Accent2 21 4" xfId="1350" xr:uid="{00000000-0005-0000-0000-00002D050000}"/>
    <cellStyle name="Accent2 21 5" xfId="1351" xr:uid="{00000000-0005-0000-0000-00002E050000}"/>
    <cellStyle name="Accent2 22" xfId="1352" xr:uid="{00000000-0005-0000-0000-00002F050000}"/>
    <cellStyle name="Accent2 22 2" xfId="1353" xr:uid="{00000000-0005-0000-0000-000030050000}"/>
    <cellStyle name="Accent2 22 3" xfId="1354" xr:uid="{00000000-0005-0000-0000-000031050000}"/>
    <cellStyle name="Accent2 22 4" xfId="1355" xr:uid="{00000000-0005-0000-0000-000032050000}"/>
    <cellStyle name="Accent2 22 5" xfId="1356" xr:uid="{00000000-0005-0000-0000-000033050000}"/>
    <cellStyle name="Accent2 23" xfId="1357" xr:uid="{00000000-0005-0000-0000-000034050000}"/>
    <cellStyle name="Accent2 24" xfId="1358" xr:uid="{00000000-0005-0000-0000-000035050000}"/>
    <cellStyle name="Accent2 25" xfId="1359" xr:uid="{00000000-0005-0000-0000-000036050000}"/>
    <cellStyle name="Accent2 26" xfId="1360" xr:uid="{00000000-0005-0000-0000-000037050000}"/>
    <cellStyle name="Accent2 3" xfId="1361" xr:uid="{00000000-0005-0000-0000-000038050000}"/>
    <cellStyle name="Accent2 3 2" xfId="1362" xr:uid="{00000000-0005-0000-0000-000039050000}"/>
    <cellStyle name="Accent2 4" xfId="1363" xr:uid="{00000000-0005-0000-0000-00003A050000}"/>
    <cellStyle name="Accent2 4 2" xfId="1364" xr:uid="{00000000-0005-0000-0000-00003B050000}"/>
    <cellStyle name="Accent2 5" xfId="1365" xr:uid="{00000000-0005-0000-0000-00003C050000}"/>
    <cellStyle name="Accent2 5 2" xfId="1366" xr:uid="{00000000-0005-0000-0000-00003D050000}"/>
    <cellStyle name="Accent2 6" xfId="1367" xr:uid="{00000000-0005-0000-0000-00003E050000}"/>
    <cellStyle name="Accent2 6 2" xfId="1368" xr:uid="{00000000-0005-0000-0000-00003F050000}"/>
    <cellStyle name="Accent2 7" xfId="1369" xr:uid="{00000000-0005-0000-0000-000040050000}"/>
    <cellStyle name="Accent2 7 2" xfId="1370" xr:uid="{00000000-0005-0000-0000-000041050000}"/>
    <cellStyle name="Accent2 8" xfId="1371" xr:uid="{00000000-0005-0000-0000-000042050000}"/>
    <cellStyle name="Accent2 8 2" xfId="1372" xr:uid="{00000000-0005-0000-0000-000043050000}"/>
    <cellStyle name="Accent2 9" xfId="1373" xr:uid="{00000000-0005-0000-0000-000044050000}"/>
    <cellStyle name="Accent3 - 20%" xfId="1374" xr:uid="{00000000-0005-0000-0000-000045050000}"/>
    <cellStyle name="Accent3 - 40%" xfId="1375" xr:uid="{00000000-0005-0000-0000-000046050000}"/>
    <cellStyle name="Accent3 - 60%" xfId="1376" xr:uid="{00000000-0005-0000-0000-000047050000}"/>
    <cellStyle name="Accent3 10" xfId="1377" xr:uid="{00000000-0005-0000-0000-000048050000}"/>
    <cellStyle name="Accent3 11" xfId="1378" xr:uid="{00000000-0005-0000-0000-000049050000}"/>
    <cellStyle name="Accent3 12" xfId="1379" xr:uid="{00000000-0005-0000-0000-00004A050000}"/>
    <cellStyle name="Accent3 13" xfId="1380" xr:uid="{00000000-0005-0000-0000-00004B050000}"/>
    <cellStyle name="Accent3 14" xfId="1381" xr:uid="{00000000-0005-0000-0000-00004C050000}"/>
    <cellStyle name="Accent3 15" xfId="1382" xr:uid="{00000000-0005-0000-0000-00004D050000}"/>
    <cellStyle name="Accent3 16" xfId="1383" xr:uid="{00000000-0005-0000-0000-00004E050000}"/>
    <cellStyle name="Accent3 17" xfId="1384" xr:uid="{00000000-0005-0000-0000-00004F050000}"/>
    <cellStyle name="Accent3 17 2" xfId="1385" xr:uid="{00000000-0005-0000-0000-000050050000}"/>
    <cellStyle name="Accent3 17 3" xfId="1386" xr:uid="{00000000-0005-0000-0000-000051050000}"/>
    <cellStyle name="Accent3 17 4" xfId="1387" xr:uid="{00000000-0005-0000-0000-000052050000}"/>
    <cellStyle name="Accent3 17 5" xfId="1388" xr:uid="{00000000-0005-0000-0000-000053050000}"/>
    <cellStyle name="Accent3 18" xfId="1389" xr:uid="{00000000-0005-0000-0000-000054050000}"/>
    <cellStyle name="Accent3 18 2" xfId="1390" xr:uid="{00000000-0005-0000-0000-000055050000}"/>
    <cellStyle name="Accent3 18 3" xfId="1391" xr:uid="{00000000-0005-0000-0000-000056050000}"/>
    <cellStyle name="Accent3 18 4" xfId="1392" xr:uid="{00000000-0005-0000-0000-000057050000}"/>
    <cellStyle name="Accent3 18 5" xfId="1393" xr:uid="{00000000-0005-0000-0000-000058050000}"/>
    <cellStyle name="Accent3 19" xfId="1394" xr:uid="{00000000-0005-0000-0000-000059050000}"/>
    <cellStyle name="Accent3 19 2" xfId="1395" xr:uid="{00000000-0005-0000-0000-00005A050000}"/>
    <cellStyle name="Accent3 19 3" xfId="1396" xr:uid="{00000000-0005-0000-0000-00005B050000}"/>
    <cellStyle name="Accent3 19 4" xfId="1397" xr:uid="{00000000-0005-0000-0000-00005C050000}"/>
    <cellStyle name="Accent3 19 5" xfId="1398" xr:uid="{00000000-0005-0000-0000-00005D050000}"/>
    <cellStyle name="Accent3 2" xfId="1399" xr:uid="{00000000-0005-0000-0000-00005E050000}"/>
    <cellStyle name="Accent3 2 2" xfId="1400" xr:uid="{00000000-0005-0000-0000-00005F050000}"/>
    <cellStyle name="Accent3 2 3" xfId="23511" xr:uid="{00000000-0005-0000-0000-000060050000}"/>
    <cellStyle name="Accent3 20" xfId="1401" xr:uid="{00000000-0005-0000-0000-000061050000}"/>
    <cellStyle name="Accent3 20 2" xfId="1402" xr:uid="{00000000-0005-0000-0000-000062050000}"/>
    <cellStyle name="Accent3 20 3" xfId="1403" xr:uid="{00000000-0005-0000-0000-000063050000}"/>
    <cellStyle name="Accent3 20 4" xfId="1404" xr:uid="{00000000-0005-0000-0000-000064050000}"/>
    <cellStyle name="Accent3 20 5" xfId="1405" xr:uid="{00000000-0005-0000-0000-000065050000}"/>
    <cellStyle name="Accent3 21" xfId="1406" xr:uid="{00000000-0005-0000-0000-000066050000}"/>
    <cellStyle name="Accent3 21 2" xfId="1407" xr:uid="{00000000-0005-0000-0000-000067050000}"/>
    <cellStyle name="Accent3 21 3" xfId="1408" xr:uid="{00000000-0005-0000-0000-000068050000}"/>
    <cellStyle name="Accent3 21 4" xfId="1409" xr:uid="{00000000-0005-0000-0000-000069050000}"/>
    <cellStyle name="Accent3 21 5" xfId="1410" xr:uid="{00000000-0005-0000-0000-00006A050000}"/>
    <cellStyle name="Accent3 22" xfId="1411" xr:uid="{00000000-0005-0000-0000-00006B050000}"/>
    <cellStyle name="Accent3 22 2" xfId="1412" xr:uid="{00000000-0005-0000-0000-00006C050000}"/>
    <cellStyle name="Accent3 22 3" xfId="1413" xr:uid="{00000000-0005-0000-0000-00006D050000}"/>
    <cellStyle name="Accent3 22 4" xfId="1414" xr:uid="{00000000-0005-0000-0000-00006E050000}"/>
    <cellStyle name="Accent3 22 5" xfId="1415" xr:uid="{00000000-0005-0000-0000-00006F050000}"/>
    <cellStyle name="Accent3 23" xfId="1416" xr:uid="{00000000-0005-0000-0000-000070050000}"/>
    <cellStyle name="Accent3 24" xfId="1417" xr:uid="{00000000-0005-0000-0000-000071050000}"/>
    <cellStyle name="Accent3 25" xfId="1418" xr:uid="{00000000-0005-0000-0000-000072050000}"/>
    <cellStyle name="Accent3 26" xfId="1419" xr:uid="{00000000-0005-0000-0000-000073050000}"/>
    <cellStyle name="Accent3 3" xfId="1420" xr:uid="{00000000-0005-0000-0000-000074050000}"/>
    <cellStyle name="Accent3 3 2" xfId="1421" xr:uid="{00000000-0005-0000-0000-000075050000}"/>
    <cellStyle name="Accent3 4" xfId="1422" xr:uid="{00000000-0005-0000-0000-000076050000}"/>
    <cellStyle name="Accent3 4 2" xfId="1423" xr:uid="{00000000-0005-0000-0000-000077050000}"/>
    <cellStyle name="Accent3 5" xfId="1424" xr:uid="{00000000-0005-0000-0000-000078050000}"/>
    <cellStyle name="Accent3 5 2" xfId="1425" xr:uid="{00000000-0005-0000-0000-000079050000}"/>
    <cellStyle name="Accent3 6" xfId="1426" xr:uid="{00000000-0005-0000-0000-00007A050000}"/>
    <cellStyle name="Accent3 6 2" xfId="1427" xr:uid="{00000000-0005-0000-0000-00007B050000}"/>
    <cellStyle name="Accent3 7" xfId="1428" xr:uid="{00000000-0005-0000-0000-00007C050000}"/>
    <cellStyle name="Accent3 7 2" xfId="1429" xr:uid="{00000000-0005-0000-0000-00007D050000}"/>
    <cellStyle name="Accent3 8" xfId="1430" xr:uid="{00000000-0005-0000-0000-00007E050000}"/>
    <cellStyle name="Accent3 8 2" xfId="1431" xr:uid="{00000000-0005-0000-0000-00007F050000}"/>
    <cellStyle name="Accent3 9" xfId="1432" xr:uid="{00000000-0005-0000-0000-000080050000}"/>
    <cellStyle name="Accent4 - 20%" xfId="1433" xr:uid="{00000000-0005-0000-0000-000081050000}"/>
    <cellStyle name="Accent4 - 40%" xfId="1434" xr:uid="{00000000-0005-0000-0000-000082050000}"/>
    <cellStyle name="Accent4 - 60%" xfId="1435" xr:uid="{00000000-0005-0000-0000-000083050000}"/>
    <cellStyle name="Accent4 10" xfId="1436" xr:uid="{00000000-0005-0000-0000-000084050000}"/>
    <cellStyle name="Accent4 11" xfId="1437" xr:uid="{00000000-0005-0000-0000-000085050000}"/>
    <cellStyle name="Accent4 12" xfId="1438" xr:uid="{00000000-0005-0000-0000-000086050000}"/>
    <cellStyle name="Accent4 13" xfId="1439" xr:uid="{00000000-0005-0000-0000-000087050000}"/>
    <cellStyle name="Accent4 14" xfId="1440" xr:uid="{00000000-0005-0000-0000-000088050000}"/>
    <cellStyle name="Accent4 15" xfId="1441" xr:uid="{00000000-0005-0000-0000-000089050000}"/>
    <cellStyle name="Accent4 16" xfId="1442" xr:uid="{00000000-0005-0000-0000-00008A050000}"/>
    <cellStyle name="Accent4 17" xfId="1443" xr:uid="{00000000-0005-0000-0000-00008B050000}"/>
    <cellStyle name="Accent4 17 2" xfId="1444" xr:uid="{00000000-0005-0000-0000-00008C050000}"/>
    <cellStyle name="Accent4 17 3" xfId="1445" xr:uid="{00000000-0005-0000-0000-00008D050000}"/>
    <cellStyle name="Accent4 17 4" xfId="1446" xr:uid="{00000000-0005-0000-0000-00008E050000}"/>
    <cellStyle name="Accent4 17 5" xfId="1447" xr:uid="{00000000-0005-0000-0000-00008F050000}"/>
    <cellStyle name="Accent4 18" xfId="1448" xr:uid="{00000000-0005-0000-0000-000090050000}"/>
    <cellStyle name="Accent4 18 2" xfId="1449" xr:uid="{00000000-0005-0000-0000-000091050000}"/>
    <cellStyle name="Accent4 18 3" xfId="1450" xr:uid="{00000000-0005-0000-0000-000092050000}"/>
    <cellStyle name="Accent4 18 4" xfId="1451" xr:uid="{00000000-0005-0000-0000-000093050000}"/>
    <cellStyle name="Accent4 18 5" xfId="1452" xr:uid="{00000000-0005-0000-0000-000094050000}"/>
    <cellStyle name="Accent4 19" xfId="1453" xr:uid="{00000000-0005-0000-0000-000095050000}"/>
    <cellStyle name="Accent4 19 2" xfId="1454" xr:uid="{00000000-0005-0000-0000-000096050000}"/>
    <cellStyle name="Accent4 19 3" xfId="1455" xr:uid="{00000000-0005-0000-0000-000097050000}"/>
    <cellStyle name="Accent4 19 4" xfId="1456" xr:uid="{00000000-0005-0000-0000-000098050000}"/>
    <cellStyle name="Accent4 19 5" xfId="1457" xr:uid="{00000000-0005-0000-0000-000099050000}"/>
    <cellStyle name="Accent4 2" xfId="1458" xr:uid="{00000000-0005-0000-0000-00009A050000}"/>
    <cellStyle name="Accent4 2 2" xfId="1459" xr:uid="{00000000-0005-0000-0000-00009B050000}"/>
    <cellStyle name="Accent4 2 3" xfId="23512" xr:uid="{00000000-0005-0000-0000-00009C050000}"/>
    <cellStyle name="Accent4 20" xfId="1460" xr:uid="{00000000-0005-0000-0000-00009D050000}"/>
    <cellStyle name="Accent4 20 2" xfId="1461" xr:uid="{00000000-0005-0000-0000-00009E050000}"/>
    <cellStyle name="Accent4 20 3" xfId="1462" xr:uid="{00000000-0005-0000-0000-00009F050000}"/>
    <cellStyle name="Accent4 20 4" xfId="1463" xr:uid="{00000000-0005-0000-0000-0000A0050000}"/>
    <cellStyle name="Accent4 20 5" xfId="1464" xr:uid="{00000000-0005-0000-0000-0000A1050000}"/>
    <cellStyle name="Accent4 21" xfId="1465" xr:uid="{00000000-0005-0000-0000-0000A2050000}"/>
    <cellStyle name="Accent4 21 2" xfId="1466" xr:uid="{00000000-0005-0000-0000-0000A3050000}"/>
    <cellStyle name="Accent4 21 3" xfId="1467" xr:uid="{00000000-0005-0000-0000-0000A4050000}"/>
    <cellStyle name="Accent4 21 4" xfId="1468" xr:uid="{00000000-0005-0000-0000-0000A5050000}"/>
    <cellStyle name="Accent4 21 5" xfId="1469" xr:uid="{00000000-0005-0000-0000-0000A6050000}"/>
    <cellStyle name="Accent4 22" xfId="1470" xr:uid="{00000000-0005-0000-0000-0000A7050000}"/>
    <cellStyle name="Accent4 22 2" xfId="1471" xr:uid="{00000000-0005-0000-0000-0000A8050000}"/>
    <cellStyle name="Accent4 22 3" xfId="1472" xr:uid="{00000000-0005-0000-0000-0000A9050000}"/>
    <cellStyle name="Accent4 22 4" xfId="1473" xr:uid="{00000000-0005-0000-0000-0000AA050000}"/>
    <cellStyle name="Accent4 22 5" xfId="1474" xr:uid="{00000000-0005-0000-0000-0000AB050000}"/>
    <cellStyle name="Accent4 23" xfId="1475" xr:uid="{00000000-0005-0000-0000-0000AC050000}"/>
    <cellStyle name="Accent4 24" xfId="1476" xr:uid="{00000000-0005-0000-0000-0000AD050000}"/>
    <cellStyle name="Accent4 25" xfId="1477" xr:uid="{00000000-0005-0000-0000-0000AE050000}"/>
    <cellStyle name="Accent4 26" xfId="1478" xr:uid="{00000000-0005-0000-0000-0000AF050000}"/>
    <cellStyle name="Accent4 3" xfId="1479" xr:uid="{00000000-0005-0000-0000-0000B0050000}"/>
    <cellStyle name="Accent4 3 2" xfId="1480" xr:uid="{00000000-0005-0000-0000-0000B1050000}"/>
    <cellStyle name="Accent4 4" xfId="1481" xr:uid="{00000000-0005-0000-0000-0000B2050000}"/>
    <cellStyle name="Accent4 4 2" xfId="1482" xr:uid="{00000000-0005-0000-0000-0000B3050000}"/>
    <cellStyle name="Accent4 5" xfId="1483" xr:uid="{00000000-0005-0000-0000-0000B4050000}"/>
    <cellStyle name="Accent4 5 2" xfId="1484" xr:uid="{00000000-0005-0000-0000-0000B5050000}"/>
    <cellStyle name="Accent4 6" xfId="1485" xr:uid="{00000000-0005-0000-0000-0000B6050000}"/>
    <cellStyle name="Accent4 6 2" xfId="1486" xr:uid="{00000000-0005-0000-0000-0000B7050000}"/>
    <cellStyle name="Accent4 7" xfId="1487" xr:uid="{00000000-0005-0000-0000-0000B8050000}"/>
    <cellStyle name="Accent4 7 2" xfId="1488" xr:uid="{00000000-0005-0000-0000-0000B9050000}"/>
    <cellStyle name="Accent4 8" xfId="1489" xr:uid="{00000000-0005-0000-0000-0000BA050000}"/>
    <cellStyle name="Accent4 8 2" xfId="1490" xr:uid="{00000000-0005-0000-0000-0000BB050000}"/>
    <cellStyle name="Accent4 9" xfId="1491" xr:uid="{00000000-0005-0000-0000-0000BC050000}"/>
    <cellStyle name="Accent5 - 20%" xfId="1492" xr:uid="{00000000-0005-0000-0000-0000BD050000}"/>
    <cellStyle name="Accent5 - 40%" xfId="1493" xr:uid="{00000000-0005-0000-0000-0000BE050000}"/>
    <cellStyle name="Accent5 - 60%" xfId="1494" xr:uid="{00000000-0005-0000-0000-0000BF050000}"/>
    <cellStyle name="Accent5 10" xfId="1495" xr:uid="{00000000-0005-0000-0000-0000C0050000}"/>
    <cellStyle name="Accent5 11" xfId="1496" xr:uid="{00000000-0005-0000-0000-0000C1050000}"/>
    <cellStyle name="Accent5 12" xfId="1497" xr:uid="{00000000-0005-0000-0000-0000C2050000}"/>
    <cellStyle name="Accent5 13" xfId="1498" xr:uid="{00000000-0005-0000-0000-0000C3050000}"/>
    <cellStyle name="Accent5 14" xfId="1499" xr:uid="{00000000-0005-0000-0000-0000C4050000}"/>
    <cellStyle name="Accent5 15" xfId="1500" xr:uid="{00000000-0005-0000-0000-0000C5050000}"/>
    <cellStyle name="Accent5 16" xfId="1501" xr:uid="{00000000-0005-0000-0000-0000C6050000}"/>
    <cellStyle name="Accent5 17" xfId="1502" xr:uid="{00000000-0005-0000-0000-0000C7050000}"/>
    <cellStyle name="Accent5 17 2" xfId="1503" xr:uid="{00000000-0005-0000-0000-0000C8050000}"/>
    <cellStyle name="Accent5 17 3" xfId="1504" xr:uid="{00000000-0005-0000-0000-0000C9050000}"/>
    <cellStyle name="Accent5 17 4" xfId="1505" xr:uid="{00000000-0005-0000-0000-0000CA050000}"/>
    <cellStyle name="Accent5 17 5" xfId="1506" xr:uid="{00000000-0005-0000-0000-0000CB050000}"/>
    <cellStyle name="Accent5 18" xfId="1507" xr:uid="{00000000-0005-0000-0000-0000CC050000}"/>
    <cellStyle name="Accent5 18 2" xfId="1508" xr:uid="{00000000-0005-0000-0000-0000CD050000}"/>
    <cellStyle name="Accent5 18 3" xfId="1509" xr:uid="{00000000-0005-0000-0000-0000CE050000}"/>
    <cellStyle name="Accent5 18 4" xfId="1510" xr:uid="{00000000-0005-0000-0000-0000CF050000}"/>
    <cellStyle name="Accent5 18 5" xfId="1511" xr:uid="{00000000-0005-0000-0000-0000D0050000}"/>
    <cellStyle name="Accent5 19" xfId="1512" xr:uid="{00000000-0005-0000-0000-0000D1050000}"/>
    <cellStyle name="Accent5 19 2" xfId="1513" xr:uid="{00000000-0005-0000-0000-0000D2050000}"/>
    <cellStyle name="Accent5 19 3" xfId="1514" xr:uid="{00000000-0005-0000-0000-0000D3050000}"/>
    <cellStyle name="Accent5 19 4" xfId="1515" xr:uid="{00000000-0005-0000-0000-0000D4050000}"/>
    <cellStyle name="Accent5 19 5" xfId="1516" xr:uid="{00000000-0005-0000-0000-0000D5050000}"/>
    <cellStyle name="Accent5 2" xfId="1517" xr:uid="{00000000-0005-0000-0000-0000D6050000}"/>
    <cellStyle name="Accent5 2 2" xfId="1518" xr:uid="{00000000-0005-0000-0000-0000D7050000}"/>
    <cellStyle name="Accent5 2 3" xfId="23513" xr:uid="{00000000-0005-0000-0000-0000D8050000}"/>
    <cellStyle name="Accent5 20" xfId="1519" xr:uid="{00000000-0005-0000-0000-0000D9050000}"/>
    <cellStyle name="Accent5 20 2" xfId="1520" xr:uid="{00000000-0005-0000-0000-0000DA050000}"/>
    <cellStyle name="Accent5 20 3" xfId="1521" xr:uid="{00000000-0005-0000-0000-0000DB050000}"/>
    <cellStyle name="Accent5 20 4" xfId="1522" xr:uid="{00000000-0005-0000-0000-0000DC050000}"/>
    <cellStyle name="Accent5 20 5" xfId="1523" xr:uid="{00000000-0005-0000-0000-0000DD050000}"/>
    <cellStyle name="Accent5 21" xfId="1524" xr:uid="{00000000-0005-0000-0000-0000DE050000}"/>
    <cellStyle name="Accent5 21 2" xfId="1525" xr:uid="{00000000-0005-0000-0000-0000DF050000}"/>
    <cellStyle name="Accent5 21 3" xfId="1526" xr:uid="{00000000-0005-0000-0000-0000E0050000}"/>
    <cellStyle name="Accent5 21 4" xfId="1527" xr:uid="{00000000-0005-0000-0000-0000E1050000}"/>
    <cellStyle name="Accent5 21 5" xfId="1528" xr:uid="{00000000-0005-0000-0000-0000E2050000}"/>
    <cellStyle name="Accent5 22" xfId="1529" xr:uid="{00000000-0005-0000-0000-0000E3050000}"/>
    <cellStyle name="Accent5 22 2" xfId="1530" xr:uid="{00000000-0005-0000-0000-0000E4050000}"/>
    <cellStyle name="Accent5 22 3" xfId="1531" xr:uid="{00000000-0005-0000-0000-0000E5050000}"/>
    <cellStyle name="Accent5 22 4" xfId="1532" xr:uid="{00000000-0005-0000-0000-0000E6050000}"/>
    <cellStyle name="Accent5 22 5" xfId="1533" xr:uid="{00000000-0005-0000-0000-0000E7050000}"/>
    <cellStyle name="Accent5 23" xfId="1534" xr:uid="{00000000-0005-0000-0000-0000E8050000}"/>
    <cellStyle name="Accent5 24" xfId="1535" xr:uid="{00000000-0005-0000-0000-0000E9050000}"/>
    <cellStyle name="Accent5 25" xfId="1536" xr:uid="{00000000-0005-0000-0000-0000EA050000}"/>
    <cellStyle name="Accent5 26" xfId="1537" xr:uid="{00000000-0005-0000-0000-0000EB050000}"/>
    <cellStyle name="Accent5 3" xfId="1538" xr:uid="{00000000-0005-0000-0000-0000EC050000}"/>
    <cellStyle name="Accent5 3 2" xfId="1539" xr:uid="{00000000-0005-0000-0000-0000ED050000}"/>
    <cellStyle name="Accent5 4" xfId="1540" xr:uid="{00000000-0005-0000-0000-0000EE050000}"/>
    <cellStyle name="Accent5 4 2" xfId="1541" xr:uid="{00000000-0005-0000-0000-0000EF050000}"/>
    <cellStyle name="Accent5 5" xfId="1542" xr:uid="{00000000-0005-0000-0000-0000F0050000}"/>
    <cellStyle name="Accent5 5 2" xfId="1543" xr:uid="{00000000-0005-0000-0000-0000F1050000}"/>
    <cellStyle name="Accent5 6" xfId="1544" xr:uid="{00000000-0005-0000-0000-0000F2050000}"/>
    <cellStyle name="Accent5 6 2" xfId="1545" xr:uid="{00000000-0005-0000-0000-0000F3050000}"/>
    <cellStyle name="Accent5 7" xfId="1546" xr:uid="{00000000-0005-0000-0000-0000F4050000}"/>
    <cellStyle name="Accent5 7 2" xfId="1547" xr:uid="{00000000-0005-0000-0000-0000F5050000}"/>
    <cellStyle name="Accent5 8" xfId="1548" xr:uid="{00000000-0005-0000-0000-0000F6050000}"/>
    <cellStyle name="Accent5 8 2" xfId="1549" xr:uid="{00000000-0005-0000-0000-0000F7050000}"/>
    <cellStyle name="Accent5 9" xfId="1550" xr:uid="{00000000-0005-0000-0000-0000F8050000}"/>
    <cellStyle name="Accent6 - 20%" xfId="1551" xr:uid="{00000000-0005-0000-0000-0000F9050000}"/>
    <cellStyle name="Accent6 - 40%" xfId="1552" xr:uid="{00000000-0005-0000-0000-0000FA050000}"/>
    <cellStyle name="Accent6 - 60%" xfId="1553" xr:uid="{00000000-0005-0000-0000-0000FB050000}"/>
    <cellStyle name="Accent6 10" xfId="1554" xr:uid="{00000000-0005-0000-0000-0000FC050000}"/>
    <cellStyle name="Accent6 11" xfId="1555" xr:uid="{00000000-0005-0000-0000-0000FD050000}"/>
    <cellStyle name="Accent6 12" xfId="1556" xr:uid="{00000000-0005-0000-0000-0000FE050000}"/>
    <cellStyle name="Accent6 13" xfId="1557" xr:uid="{00000000-0005-0000-0000-0000FF050000}"/>
    <cellStyle name="Accent6 14" xfId="1558" xr:uid="{00000000-0005-0000-0000-000000060000}"/>
    <cellStyle name="Accent6 15" xfId="1559" xr:uid="{00000000-0005-0000-0000-000001060000}"/>
    <cellStyle name="Accent6 16" xfId="1560" xr:uid="{00000000-0005-0000-0000-000002060000}"/>
    <cellStyle name="Accent6 17" xfId="1561" xr:uid="{00000000-0005-0000-0000-000003060000}"/>
    <cellStyle name="Accent6 17 2" xfId="1562" xr:uid="{00000000-0005-0000-0000-000004060000}"/>
    <cellStyle name="Accent6 17 3" xfId="1563" xr:uid="{00000000-0005-0000-0000-000005060000}"/>
    <cellStyle name="Accent6 17 4" xfId="1564" xr:uid="{00000000-0005-0000-0000-000006060000}"/>
    <cellStyle name="Accent6 17 5" xfId="1565" xr:uid="{00000000-0005-0000-0000-000007060000}"/>
    <cellStyle name="Accent6 18" xfId="1566" xr:uid="{00000000-0005-0000-0000-000008060000}"/>
    <cellStyle name="Accent6 18 2" xfId="1567" xr:uid="{00000000-0005-0000-0000-000009060000}"/>
    <cellStyle name="Accent6 18 3" xfId="1568" xr:uid="{00000000-0005-0000-0000-00000A060000}"/>
    <cellStyle name="Accent6 18 4" xfId="1569" xr:uid="{00000000-0005-0000-0000-00000B060000}"/>
    <cellStyle name="Accent6 18 5" xfId="1570" xr:uid="{00000000-0005-0000-0000-00000C060000}"/>
    <cellStyle name="Accent6 19" xfId="1571" xr:uid="{00000000-0005-0000-0000-00000D060000}"/>
    <cellStyle name="Accent6 19 2" xfId="1572" xr:uid="{00000000-0005-0000-0000-00000E060000}"/>
    <cellStyle name="Accent6 19 3" xfId="1573" xr:uid="{00000000-0005-0000-0000-00000F060000}"/>
    <cellStyle name="Accent6 19 4" xfId="1574" xr:uid="{00000000-0005-0000-0000-000010060000}"/>
    <cellStyle name="Accent6 19 5" xfId="1575" xr:uid="{00000000-0005-0000-0000-000011060000}"/>
    <cellStyle name="Accent6 2" xfId="1576" xr:uid="{00000000-0005-0000-0000-000012060000}"/>
    <cellStyle name="Accent6 2 2" xfId="1577" xr:uid="{00000000-0005-0000-0000-000013060000}"/>
    <cellStyle name="Accent6 2 3" xfId="23514" xr:uid="{00000000-0005-0000-0000-000014060000}"/>
    <cellStyle name="Accent6 20" xfId="1578" xr:uid="{00000000-0005-0000-0000-000015060000}"/>
    <cellStyle name="Accent6 20 2" xfId="1579" xr:uid="{00000000-0005-0000-0000-000016060000}"/>
    <cellStyle name="Accent6 20 3" xfId="1580" xr:uid="{00000000-0005-0000-0000-000017060000}"/>
    <cellStyle name="Accent6 20 4" xfId="1581" xr:uid="{00000000-0005-0000-0000-000018060000}"/>
    <cellStyle name="Accent6 20 5" xfId="1582" xr:uid="{00000000-0005-0000-0000-000019060000}"/>
    <cellStyle name="Accent6 21" xfId="1583" xr:uid="{00000000-0005-0000-0000-00001A060000}"/>
    <cellStyle name="Accent6 21 2" xfId="1584" xr:uid="{00000000-0005-0000-0000-00001B060000}"/>
    <cellStyle name="Accent6 21 3" xfId="1585" xr:uid="{00000000-0005-0000-0000-00001C060000}"/>
    <cellStyle name="Accent6 21 4" xfId="1586" xr:uid="{00000000-0005-0000-0000-00001D060000}"/>
    <cellStyle name="Accent6 21 5" xfId="1587" xr:uid="{00000000-0005-0000-0000-00001E060000}"/>
    <cellStyle name="Accent6 22" xfId="1588" xr:uid="{00000000-0005-0000-0000-00001F060000}"/>
    <cellStyle name="Accent6 22 2" xfId="1589" xr:uid="{00000000-0005-0000-0000-000020060000}"/>
    <cellStyle name="Accent6 22 3" xfId="1590" xr:uid="{00000000-0005-0000-0000-000021060000}"/>
    <cellStyle name="Accent6 22 4" xfId="1591" xr:uid="{00000000-0005-0000-0000-000022060000}"/>
    <cellStyle name="Accent6 22 5" xfId="1592" xr:uid="{00000000-0005-0000-0000-000023060000}"/>
    <cellStyle name="Accent6 23" xfId="1593" xr:uid="{00000000-0005-0000-0000-000024060000}"/>
    <cellStyle name="Accent6 24" xfId="1594" xr:uid="{00000000-0005-0000-0000-000025060000}"/>
    <cellStyle name="Accent6 25" xfId="1595" xr:uid="{00000000-0005-0000-0000-000026060000}"/>
    <cellStyle name="Accent6 26" xfId="1596" xr:uid="{00000000-0005-0000-0000-000027060000}"/>
    <cellStyle name="Accent6 3" xfId="1597" xr:uid="{00000000-0005-0000-0000-000028060000}"/>
    <cellStyle name="Accent6 3 2" xfId="1598" xr:uid="{00000000-0005-0000-0000-000029060000}"/>
    <cellStyle name="Accent6 4" xfId="1599" xr:uid="{00000000-0005-0000-0000-00002A060000}"/>
    <cellStyle name="Accent6 4 2" xfId="1600" xr:uid="{00000000-0005-0000-0000-00002B060000}"/>
    <cellStyle name="Accent6 5" xfId="1601" xr:uid="{00000000-0005-0000-0000-00002C060000}"/>
    <cellStyle name="Accent6 5 2" xfId="1602" xr:uid="{00000000-0005-0000-0000-00002D060000}"/>
    <cellStyle name="Accent6 6" xfId="1603" xr:uid="{00000000-0005-0000-0000-00002E060000}"/>
    <cellStyle name="Accent6 6 2" xfId="1604" xr:uid="{00000000-0005-0000-0000-00002F060000}"/>
    <cellStyle name="Accent6 7" xfId="1605" xr:uid="{00000000-0005-0000-0000-000030060000}"/>
    <cellStyle name="Accent6 7 2" xfId="1606" xr:uid="{00000000-0005-0000-0000-000031060000}"/>
    <cellStyle name="Accent6 8" xfId="1607" xr:uid="{00000000-0005-0000-0000-000032060000}"/>
    <cellStyle name="Accent6 8 2" xfId="1608" xr:uid="{00000000-0005-0000-0000-000033060000}"/>
    <cellStyle name="Accent6 9" xfId="1609" xr:uid="{00000000-0005-0000-0000-000034060000}"/>
    <cellStyle name="AdjNo" xfId="1610" xr:uid="{00000000-0005-0000-0000-000035060000}"/>
    <cellStyle name="AdjNo 10" xfId="1611" xr:uid="{00000000-0005-0000-0000-000036060000}"/>
    <cellStyle name="AdjNo 10 10" xfId="1612" xr:uid="{00000000-0005-0000-0000-000037060000}"/>
    <cellStyle name="AdjNo 10 10 2" xfId="1613" xr:uid="{00000000-0005-0000-0000-000038060000}"/>
    <cellStyle name="AdjNo 10 10 3" xfId="23515" xr:uid="{00000000-0005-0000-0000-000039060000}"/>
    <cellStyle name="AdjNo 10 10 4" xfId="23516" xr:uid="{00000000-0005-0000-0000-00003A060000}"/>
    <cellStyle name="AdjNo 10 11" xfId="1614" xr:uid="{00000000-0005-0000-0000-00003B060000}"/>
    <cellStyle name="AdjNo 10 11 2" xfId="1615" xr:uid="{00000000-0005-0000-0000-00003C060000}"/>
    <cellStyle name="AdjNo 10 11 3" xfId="23517" xr:uid="{00000000-0005-0000-0000-00003D060000}"/>
    <cellStyle name="AdjNo 10 11 4" xfId="23518" xr:uid="{00000000-0005-0000-0000-00003E060000}"/>
    <cellStyle name="AdjNo 10 12" xfId="1616" xr:uid="{00000000-0005-0000-0000-00003F060000}"/>
    <cellStyle name="AdjNo 10 13" xfId="23519" xr:uid="{00000000-0005-0000-0000-000040060000}"/>
    <cellStyle name="AdjNo 10 14" xfId="23520" xr:uid="{00000000-0005-0000-0000-000041060000}"/>
    <cellStyle name="AdjNo 10 2" xfId="1617" xr:uid="{00000000-0005-0000-0000-000042060000}"/>
    <cellStyle name="AdjNo 10 2 10" xfId="23521" xr:uid="{00000000-0005-0000-0000-000043060000}"/>
    <cellStyle name="AdjNo 10 2 2" xfId="1618" xr:uid="{00000000-0005-0000-0000-000044060000}"/>
    <cellStyle name="AdjNo 10 2 2 2" xfId="1619" xr:uid="{00000000-0005-0000-0000-000045060000}"/>
    <cellStyle name="AdjNo 10 2 2 3" xfId="23522" xr:uid="{00000000-0005-0000-0000-000046060000}"/>
    <cellStyle name="AdjNo 10 2 2 4" xfId="23523" xr:uid="{00000000-0005-0000-0000-000047060000}"/>
    <cellStyle name="AdjNo 10 2 3" xfId="1620" xr:uid="{00000000-0005-0000-0000-000048060000}"/>
    <cellStyle name="AdjNo 10 2 3 2" xfId="1621" xr:uid="{00000000-0005-0000-0000-000049060000}"/>
    <cellStyle name="AdjNo 10 2 3 3" xfId="23524" xr:uid="{00000000-0005-0000-0000-00004A060000}"/>
    <cellStyle name="AdjNo 10 2 3 4" xfId="23525" xr:uid="{00000000-0005-0000-0000-00004B060000}"/>
    <cellStyle name="AdjNo 10 2 4" xfId="1622" xr:uid="{00000000-0005-0000-0000-00004C060000}"/>
    <cellStyle name="AdjNo 10 2 4 2" xfId="1623" xr:uid="{00000000-0005-0000-0000-00004D060000}"/>
    <cellStyle name="AdjNo 10 2 4 3" xfId="23526" xr:uid="{00000000-0005-0000-0000-00004E060000}"/>
    <cellStyle name="AdjNo 10 2 4 4" xfId="23527" xr:uid="{00000000-0005-0000-0000-00004F060000}"/>
    <cellStyle name="AdjNo 10 2 5" xfId="1624" xr:uid="{00000000-0005-0000-0000-000050060000}"/>
    <cellStyle name="AdjNo 10 2 5 2" xfId="1625" xr:uid="{00000000-0005-0000-0000-000051060000}"/>
    <cellStyle name="AdjNo 10 2 5 3" xfId="23528" xr:uid="{00000000-0005-0000-0000-000052060000}"/>
    <cellStyle name="AdjNo 10 2 5 4" xfId="23529" xr:uid="{00000000-0005-0000-0000-000053060000}"/>
    <cellStyle name="AdjNo 10 2 6" xfId="1626" xr:uid="{00000000-0005-0000-0000-000054060000}"/>
    <cellStyle name="AdjNo 10 2 6 2" xfId="1627" xr:uid="{00000000-0005-0000-0000-000055060000}"/>
    <cellStyle name="AdjNo 10 2 6 3" xfId="23530" xr:uid="{00000000-0005-0000-0000-000056060000}"/>
    <cellStyle name="AdjNo 10 2 6 4" xfId="23531" xr:uid="{00000000-0005-0000-0000-000057060000}"/>
    <cellStyle name="AdjNo 10 2 7" xfId="1628" xr:uid="{00000000-0005-0000-0000-000058060000}"/>
    <cellStyle name="AdjNo 10 2 7 2" xfId="1629" xr:uid="{00000000-0005-0000-0000-000059060000}"/>
    <cellStyle name="AdjNo 10 2 7 3" xfId="23532" xr:uid="{00000000-0005-0000-0000-00005A060000}"/>
    <cellStyle name="AdjNo 10 2 7 4" xfId="23533" xr:uid="{00000000-0005-0000-0000-00005B060000}"/>
    <cellStyle name="AdjNo 10 2 8" xfId="1630" xr:uid="{00000000-0005-0000-0000-00005C060000}"/>
    <cellStyle name="AdjNo 10 2 9" xfId="23534" xr:uid="{00000000-0005-0000-0000-00005D060000}"/>
    <cellStyle name="AdjNo 10 3" xfId="1631" xr:uid="{00000000-0005-0000-0000-00005E060000}"/>
    <cellStyle name="AdjNo 10 3 10" xfId="23535" xr:uid="{00000000-0005-0000-0000-00005F060000}"/>
    <cellStyle name="AdjNo 10 3 2" xfId="1632" xr:uid="{00000000-0005-0000-0000-000060060000}"/>
    <cellStyle name="AdjNo 10 3 2 2" xfId="1633" xr:uid="{00000000-0005-0000-0000-000061060000}"/>
    <cellStyle name="AdjNo 10 3 2 3" xfId="23536" xr:uid="{00000000-0005-0000-0000-000062060000}"/>
    <cellStyle name="AdjNo 10 3 2 4" xfId="23537" xr:uid="{00000000-0005-0000-0000-000063060000}"/>
    <cellStyle name="AdjNo 10 3 3" xfId="1634" xr:uid="{00000000-0005-0000-0000-000064060000}"/>
    <cellStyle name="AdjNo 10 3 3 2" xfId="1635" xr:uid="{00000000-0005-0000-0000-000065060000}"/>
    <cellStyle name="AdjNo 10 3 3 3" xfId="23538" xr:uid="{00000000-0005-0000-0000-000066060000}"/>
    <cellStyle name="AdjNo 10 3 3 4" xfId="23539" xr:uid="{00000000-0005-0000-0000-000067060000}"/>
    <cellStyle name="AdjNo 10 3 4" xfId="1636" xr:uid="{00000000-0005-0000-0000-000068060000}"/>
    <cellStyle name="AdjNo 10 3 4 2" xfId="1637" xr:uid="{00000000-0005-0000-0000-000069060000}"/>
    <cellStyle name="AdjNo 10 3 4 3" xfId="23540" xr:uid="{00000000-0005-0000-0000-00006A060000}"/>
    <cellStyle name="AdjNo 10 3 4 4" xfId="23541" xr:uid="{00000000-0005-0000-0000-00006B060000}"/>
    <cellStyle name="AdjNo 10 3 5" xfId="1638" xr:uid="{00000000-0005-0000-0000-00006C060000}"/>
    <cellStyle name="AdjNo 10 3 5 2" xfId="1639" xr:uid="{00000000-0005-0000-0000-00006D060000}"/>
    <cellStyle name="AdjNo 10 3 5 3" xfId="23542" xr:uid="{00000000-0005-0000-0000-00006E060000}"/>
    <cellStyle name="AdjNo 10 3 5 4" xfId="23543" xr:uid="{00000000-0005-0000-0000-00006F060000}"/>
    <cellStyle name="AdjNo 10 3 6" xfId="1640" xr:uid="{00000000-0005-0000-0000-000070060000}"/>
    <cellStyle name="AdjNo 10 3 6 2" xfId="1641" xr:uid="{00000000-0005-0000-0000-000071060000}"/>
    <cellStyle name="AdjNo 10 3 6 3" xfId="23544" xr:uid="{00000000-0005-0000-0000-000072060000}"/>
    <cellStyle name="AdjNo 10 3 6 4" xfId="23545" xr:uid="{00000000-0005-0000-0000-000073060000}"/>
    <cellStyle name="AdjNo 10 3 7" xfId="1642" xr:uid="{00000000-0005-0000-0000-000074060000}"/>
    <cellStyle name="AdjNo 10 3 7 2" xfId="1643" xr:uid="{00000000-0005-0000-0000-000075060000}"/>
    <cellStyle name="AdjNo 10 3 7 3" xfId="23546" xr:uid="{00000000-0005-0000-0000-000076060000}"/>
    <cellStyle name="AdjNo 10 3 7 4" xfId="23547" xr:uid="{00000000-0005-0000-0000-000077060000}"/>
    <cellStyle name="AdjNo 10 3 8" xfId="1644" xr:uid="{00000000-0005-0000-0000-000078060000}"/>
    <cellStyle name="AdjNo 10 3 9" xfId="23548" xr:uid="{00000000-0005-0000-0000-000079060000}"/>
    <cellStyle name="AdjNo 10 4" xfId="1645" xr:uid="{00000000-0005-0000-0000-00007A060000}"/>
    <cellStyle name="AdjNo 10 4 10" xfId="23549" xr:uid="{00000000-0005-0000-0000-00007B060000}"/>
    <cellStyle name="AdjNo 10 4 2" xfId="1646" xr:uid="{00000000-0005-0000-0000-00007C060000}"/>
    <cellStyle name="AdjNo 10 4 2 2" xfId="1647" xr:uid="{00000000-0005-0000-0000-00007D060000}"/>
    <cellStyle name="AdjNo 10 4 2 3" xfId="23550" xr:uid="{00000000-0005-0000-0000-00007E060000}"/>
    <cellStyle name="AdjNo 10 4 2 4" xfId="23551" xr:uid="{00000000-0005-0000-0000-00007F060000}"/>
    <cellStyle name="AdjNo 10 4 3" xfId="1648" xr:uid="{00000000-0005-0000-0000-000080060000}"/>
    <cellStyle name="AdjNo 10 4 3 2" xfId="1649" xr:uid="{00000000-0005-0000-0000-000081060000}"/>
    <cellStyle name="AdjNo 10 4 3 3" xfId="23552" xr:uid="{00000000-0005-0000-0000-000082060000}"/>
    <cellStyle name="AdjNo 10 4 3 4" xfId="23553" xr:uid="{00000000-0005-0000-0000-000083060000}"/>
    <cellStyle name="AdjNo 10 4 4" xfId="1650" xr:uid="{00000000-0005-0000-0000-000084060000}"/>
    <cellStyle name="AdjNo 10 4 4 2" xfId="1651" xr:uid="{00000000-0005-0000-0000-000085060000}"/>
    <cellStyle name="AdjNo 10 4 4 3" xfId="23554" xr:uid="{00000000-0005-0000-0000-000086060000}"/>
    <cellStyle name="AdjNo 10 4 4 4" xfId="23555" xr:uid="{00000000-0005-0000-0000-000087060000}"/>
    <cellStyle name="AdjNo 10 4 5" xfId="1652" xr:uid="{00000000-0005-0000-0000-000088060000}"/>
    <cellStyle name="AdjNo 10 4 5 2" xfId="1653" xr:uid="{00000000-0005-0000-0000-000089060000}"/>
    <cellStyle name="AdjNo 10 4 5 3" xfId="23556" xr:uid="{00000000-0005-0000-0000-00008A060000}"/>
    <cellStyle name="AdjNo 10 4 5 4" xfId="23557" xr:uid="{00000000-0005-0000-0000-00008B060000}"/>
    <cellStyle name="AdjNo 10 4 6" xfId="1654" xr:uid="{00000000-0005-0000-0000-00008C060000}"/>
    <cellStyle name="AdjNo 10 4 6 2" xfId="1655" xr:uid="{00000000-0005-0000-0000-00008D060000}"/>
    <cellStyle name="AdjNo 10 4 6 3" xfId="23558" xr:uid="{00000000-0005-0000-0000-00008E060000}"/>
    <cellStyle name="AdjNo 10 4 6 4" xfId="23559" xr:uid="{00000000-0005-0000-0000-00008F060000}"/>
    <cellStyle name="AdjNo 10 4 7" xfId="1656" xr:uid="{00000000-0005-0000-0000-000090060000}"/>
    <cellStyle name="AdjNo 10 4 7 2" xfId="1657" xr:uid="{00000000-0005-0000-0000-000091060000}"/>
    <cellStyle name="AdjNo 10 4 7 3" xfId="23560" xr:uid="{00000000-0005-0000-0000-000092060000}"/>
    <cellStyle name="AdjNo 10 4 7 4" xfId="23561" xr:uid="{00000000-0005-0000-0000-000093060000}"/>
    <cellStyle name="AdjNo 10 4 8" xfId="1658" xr:uid="{00000000-0005-0000-0000-000094060000}"/>
    <cellStyle name="AdjNo 10 4 9" xfId="23562" xr:uid="{00000000-0005-0000-0000-000095060000}"/>
    <cellStyle name="AdjNo 10 5" xfId="1659" xr:uid="{00000000-0005-0000-0000-000096060000}"/>
    <cellStyle name="AdjNo 10 5 10" xfId="23563" xr:uid="{00000000-0005-0000-0000-000097060000}"/>
    <cellStyle name="AdjNo 10 5 2" xfId="1660" xr:uid="{00000000-0005-0000-0000-000098060000}"/>
    <cellStyle name="AdjNo 10 5 2 2" xfId="1661" xr:uid="{00000000-0005-0000-0000-000099060000}"/>
    <cellStyle name="AdjNo 10 5 2 3" xfId="23564" xr:uid="{00000000-0005-0000-0000-00009A060000}"/>
    <cellStyle name="AdjNo 10 5 2 4" xfId="23565" xr:uid="{00000000-0005-0000-0000-00009B060000}"/>
    <cellStyle name="AdjNo 10 5 3" xfId="1662" xr:uid="{00000000-0005-0000-0000-00009C060000}"/>
    <cellStyle name="AdjNo 10 5 3 2" xfId="1663" xr:uid="{00000000-0005-0000-0000-00009D060000}"/>
    <cellStyle name="AdjNo 10 5 3 3" xfId="23566" xr:uid="{00000000-0005-0000-0000-00009E060000}"/>
    <cellStyle name="AdjNo 10 5 3 4" xfId="23567" xr:uid="{00000000-0005-0000-0000-00009F060000}"/>
    <cellStyle name="AdjNo 10 5 4" xfId="1664" xr:uid="{00000000-0005-0000-0000-0000A0060000}"/>
    <cellStyle name="AdjNo 10 5 4 2" xfId="1665" xr:uid="{00000000-0005-0000-0000-0000A1060000}"/>
    <cellStyle name="AdjNo 10 5 4 3" xfId="23568" xr:uid="{00000000-0005-0000-0000-0000A2060000}"/>
    <cellStyle name="AdjNo 10 5 4 4" xfId="23569" xr:uid="{00000000-0005-0000-0000-0000A3060000}"/>
    <cellStyle name="AdjNo 10 5 5" xfId="1666" xr:uid="{00000000-0005-0000-0000-0000A4060000}"/>
    <cellStyle name="AdjNo 10 5 5 2" xfId="1667" xr:uid="{00000000-0005-0000-0000-0000A5060000}"/>
    <cellStyle name="AdjNo 10 5 5 3" xfId="23570" xr:uid="{00000000-0005-0000-0000-0000A6060000}"/>
    <cellStyle name="AdjNo 10 5 5 4" xfId="23571" xr:uid="{00000000-0005-0000-0000-0000A7060000}"/>
    <cellStyle name="AdjNo 10 5 6" xfId="1668" xr:uid="{00000000-0005-0000-0000-0000A8060000}"/>
    <cellStyle name="AdjNo 10 5 6 2" xfId="1669" xr:uid="{00000000-0005-0000-0000-0000A9060000}"/>
    <cellStyle name="AdjNo 10 5 6 3" xfId="23572" xr:uid="{00000000-0005-0000-0000-0000AA060000}"/>
    <cellStyle name="AdjNo 10 5 6 4" xfId="23573" xr:uid="{00000000-0005-0000-0000-0000AB060000}"/>
    <cellStyle name="AdjNo 10 5 7" xfId="1670" xr:uid="{00000000-0005-0000-0000-0000AC060000}"/>
    <cellStyle name="AdjNo 10 5 7 2" xfId="1671" xr:uid="{00000000-0005-0000-0000-0000AD060000}"/>
    <cellStyle name="AdjNo 10 5 7 3" xfId="23574" xr:uid="{00000000-0005-0000-0000-0000AE060000}"/>
    <cellStyle name="AdjNo 10 5 7 4" xfId="23575" xr:uid="{00000000-0005-0000-0000-0000AF060000}"/>
    <cellStyle name="AdjNo 10 5 8" xfId="1672" xr:uid="{00000000-0005-0000-0000-0000B0060000}"/>
    <cellStyle name="AdjNo 10 5 9" xfId="23576" xr:uid="{00000000-0005-0000-0000-0000B1060000}"/>
    <cellStyle name="AdjNo 10 6" xfId="1673" xr:uid="{00000000-0005-0000-0000-0000B2060000}"/>
    <cellStyle name="AdjNo 10 6 2" xfId="1674" xr:uid="{00000000-0005-0000-0000-0000B3060000}"/>
    <cellStyle name="AdjNo 10 6 3" xfId="23577" xr:uid="{00000000-0005-0000-0000-0000B4060000}"/>
    <cellStyle name="AdjNo 10 6 4" xfId="23578" xr:uid="{00000000-0005-0000-0000-0000B5060000}"/>
    <cellStyle name="AdjNo 10 7" xfId="1675" xr:uid="{00000000-0005-0000-0000-0000B6060000}"/>
    <cellStyle name="AdjNo 10 7 2" xfId="1676" xr:uid="{00000000-0005-0000-0000-0000B7060000}"/>
    <cellStyle name="AdjNo 10 7 3" xfId="23579" xr:uid="{00000000-0005-0000-0000-0000B8060000}"/>
    <cellStyle name="AdjNo 10 7 4" xfId="23580" xr:uid="{00000000-0005-0000-0000-0000B9060000}"/>
    <cellStyle name="AdjNo 10 8" xfId="1677" xr:uid="{00000000-0005-0000-0000-0000BA060000}"/>
    <cellStyle name="AdjNo 10 8 2" xfId="1678" xr:uid="{00000000-0005-0000-0000-0000BB060000}"/>
    <cellStyle name="AdjNo 10 8 3" xfId="23581" xr:uid="{00000000-0005-0000-0000-0000BC060000}"/>
    <cellStyle name="AdjNo 10 8 4" xfId="23582" xr:uid="{00000000-0005-0000-0000-0000BD060000}"/>
    <cellStyle name="AdjNo 10 9" xfId="1679" xr:uid="{00000000-0005-0000-0000-0000BE060000}"/>
    <cellStyle name="AdjNo 10 9 2" xfId="1680" xr:uid="{00000000-0005-0000-0000-0000BF060000}"/>
    <cellStyle name="AdjNo 10 9 3" xfId="23583" xr:uid="{00000000-0005-0000-0000-0000C0060000}"/>
    <cellStyle name="AdjNo 10 9 4" xfId="23584" xr:uid="{00000000-0005-0000-0000-0000C1060000}"/>
    <cellStyle name="AdjNo 11" xfId="1681" xr:uid="{00000000-0005-0000-0000-0000C2060000}"/>
    <cellStyle name="AdjNo 11 10" xfId="1682" xr:uid="{00000000-0005-0000-0000-0000C3060000}"/>
    <cellStyle name="AdjNo 11 10 2" xfId="1683" xr:uid="{00000000-0005-0000-0000-0000C4060000}"/>
    <cellStyle name="AdjNo 11 10 3" xfId="23585" xr:uid="{00000000-0005-0000-0000-0000C5060000}"/>
    <cellStyle name="AdjNo 11 10 4" xfId="23586" xr:uid="{00000000-0005-0000-0000-0000C6060000}"/>
    <cellStyle name="AdjNo 11 11" xfId="1684" xr:uid="{00000000-0005-0000-0000-0000C7060000}"/>
    <cellStyle name="AdjNo 11 11 2" xfId="1685" xr:uid="{00000000-0005-0000-0000-0000C8060000}"/>
    <cellStyle name="AdjNo 11 11 3" xfId="23587" xr:uid="{00000000-0005-0000-0000-0000C9060000}"/>
    <cellStyle name="AdjNo 11 11 4" xfId="23588" xr:uid="{00000000-0005-0000-0000-0000CA060000}"/>
    <cellStyle name="AdjNo 11 12" xfId="1686" xr:uid="{00000000-0005-0000-0000-0000CB060000}"/>
    <cellStyle name="AdjNo 11 13" xfId="23589" xr:uid="{00000000-0005-0000-0000-0000CC060000}"/>
    <cellStyle name="AdjNo 11 14" xfId="23590" xr:uid="{00000000-0005-0000-0000-0000CD060000}"/>
    <cellStyle name="AdjNo 11 2" xfId="1687" xr:uid="{00000000-0005-0000-0000-0000CE060000}"/>
    <cellStyle name="AdjNo 11 2 10" xfId="23591" xr:uid="{00000000-0005-0000-0000-0000CF060000}"/>
    <cellStyle name="AdjNo 11 2 2" xfId="1688" xr:uid="{00000000-0005-0000-0000-0000D0060000}"/>
    <cellStyle name="AdjNo 11 2 2 2" xfId="1689" xr:uid="{00000000-0005-0000-0000-0000D1060000}"/>
    <cellStyle name="AdjNo 11 2 2 3" xfId="23592" xr:uid="{00000000-0005-0000-0000-0000D2060000}"/>
    <cellStyle name="AdjNo 11 2 2 4" xfId="23593" xr:uid="{00000000-0005-0000-0000-0000D3060000}"/>
    <cellStyle name="AdjNo 11 2 3" xfId="1690" xr:uid="{00000000-0005-0000-0000-0000D4060000}"/>
    <cellStyle name="AdjNo 11 2 3 2" xfId="1691" xr:uid="{00000000-0005-0000-0000-0000D5060000}"/>
    <cellStyle name="AdjNo 11 2 3 3" xfId="23594" xr:uid="{00000000-0005-0000-0000-0000D6060000}"/>
    <cellStyle name="AdjNo 11 2 3 4" xfId="23595" xr:uid="{00000000-0005-0000-0000-0000D7060000}"/>
    <cellStyle name="AdjNo 11 2 4" xfId="1692" xr:uid="{00000000-0005-0000-0000-0000D8060000}"/>
    <cellStyle name="AdjNo 11 2 4 2" xfId="1693" xr:uid="{00000000-0005-0000-0000-0000D9060000}"/>
    <cellStyle name="AdjNo 11 2 4 3" xfId="23596" xr:uid="{00000000-0005-0000-0000-0000DA060000}"/>
    <cellStyle name="AdjNo 11 2 4 4" xfId="23597" xr:uid="{00000000-0005-0000-0000-0000DB060000}"/>
    <cellStyle name="AdjNo 11 2 5" xfId="1694" xr:uid="{00000000-0005-0000-0000-0000DC060000}"/>
    <cellStyle name="AdjNo 11 2 5 2" xfId="1695" xr:uid="{00000000-0005-0000-0000-0000DD060000}"/>
    <cellStyle name="AdjNo 11 2 5 3" xfId="23598" xr:uid="{00000000-0005-0000-0000-0000DE060000}"/>
    <cellStyle name="AdjNo 11 2 5 4" xfId="23599" xr:uid="{00000000-0005-0000-0000-0000DF060000}"/>
    <cellStyle name="AdjNo 11 2 6" xfId="1696" xr:uid="{00000000-0005-0000-0000-0000E0060000}"/>
    <cellStyle name="AdjNo 11 2 6 2" xfId="1697" xr:uid="{00000000-0005-0000-0000-0000E1060000}"/>
    <cellStyle name="AdjNo 11 2 6 3" xfId="23600" xr:uid="{00000000-0005-0000-0000-0000E2060000}"/>
    <cellStyle name="AdjNo 11 2 6 4" xfId="23601" xr:uid="{00000000-0005-0000-0000-0000E3060000}"/>
    <cellStyle name="AdjNo 11 2 7" xfId="1698" xr:uid="{00000000-0005-0000-0000-0000E4060000}"/>
    <cellStyle name="AdjNo 11 2 7 2" xfId="1699" xr:uid="{00000000-0005-0000-0000-0000E5060000}"/>
    <cellStyle name="AdjNo 11 2 7 3" xfId="23602" xr:uid="{00000000-0005-0000-0000-0000E6060000}"/>
    <cellStyle name="AdjNo 11 2 7 4" xfId="23603" xr:uid="{00000000-0005-0000-0000-0000E7060000}"/>
    <cellStyle name="AdjNo 11 2 8" xfId="1700" xr:uid="{00000000-0005-0000-0000-0000E8060000}"/>
    <cellStyle name="AdjNo 11 2 9" xfId="23604" xr:uid="{00000000-0005-0000-0000-0000E9060000}"/>
    <cellStyle name="AdjNo 11 3" xfId="1701" xr:uid="{00000000-0005-0000-0000-0000EA060000}"/>
    <cellStyle name="AdjNo 11 3 10" xfId="23605" xr:uid="{00000000-0005-0000-0000-0000EB060000}"/>
    <cellStyle name="AdjNo 11 3 2" xfId="1702" xr:uid="{00000000-0005-0000-0000-0000EC060000}"/>
    <cellStyle name="AdjNo 11 3 2 2" xfId="1703" xr:uid="{00000000-0005-0000-0000-0000ED060000}"/>
    <cellStyle name="AdjNo 11 3 2 3" xfId="23606" xr:uid="{00000000-0005-0000-0000-0000EE060000}"/>
    <cellStyle name="AdjNo 11 3 2 4" xfId="23607" xr:uid="{00000000-0005-0000-0000-0000EF060000}"/>
    <cellStyle name="AdjNo 11 3 3" xfId="1704" xr:uid="{00000000-0005-0000-0000-0000F0060000}"/>
    <cellStyle name="AdjNo 11 3 3 2" xfId="1705" xr:uid="{00000000-0005-0000-0000-0000F1060000}"/>
    <cellStyle name="AdjNo 11 3 3 3" xfId="23608" xr:uid="{00000000-0005-0000-0000-0000F2060000}"/>
    <cellStyle name="AdjNo 11 3 3 4" xfId="23609" xr:uid="{00000000-0005-0000-0000-0000F3060000}"/>
    <cellStyle name="AdjNo 11 3 4" xfId="1706" xr:uid="{00000000-0005-0000-0000-0000F4060000}"/>
    <cellStyle name="AdjNo 11 3 4 2" xfId="1707" xr:uid="{00000000-0005-0000-0000-0000F5060000}"/>
    <cellStyle name="AdjNo 11 3 4 3" xfId="23610" xr:uid="{00000000-0005-0000-0000-0000F6060000}"/>
    <cellStyle name="AdjNo 11 3 4 4" xfId="23611" xr:uid="{00000000-0005-0000-0000-0000F7060000}"/>
    <cellStyle name="AdjNo 11 3 5" xfId="1708" xr:uid="{00000000-0005-0000-0000-0000F8060000}"/>
    <cellStyle name="AdjNo 11 3 5 2" xfId="1709" xr:uid="{00000000-0005-0000-0000-0000F9060000}"/>
    <cellStyle name="AdjNo 11 3 5 3" xfId="23612" xr:uid="{00000000-0005-0000-0000-0000FA060000}"/>
    <cellStyle name="AdjNo 11 3 5 4" xfId="23613" xr:uid="{00000000-0005-0000-0000-0000FB060000}"/>
    <cellStyle name="AdjNo 11 3 6" xfId="1710" xr:uid="{00000000-0005-0000-0000-0000FC060000}"/>
    <cellStyle name="AdjNo 11 3 6 2" xfId="1711" xr:uid="{00000000-0005-0000-0000-0000FD060000}"/>
    <cellStyle name="AdjNo 11 3 6 3" xfId="23614" xr:uid="{00000000-0005-0000-0000-0000FE060000}"/>
    <cellStyle name="AdjNo 11 3 6 4" xfId="23615" xr:uid="{00000000-0005-0000-0000-0000FF060000}"/>
    <cellStyle name="AdjNo 11 3 7" xfId="1712" xr:uid="{00000000-0005-0000-0000-000000070000}"/>
    <cellStyle name="AdjNo 11 3 7 2" xfId="1713" xr:uid="{00000000-0005-0000-0000-000001070000}"/>
    <cellStyle name="AdjNo 11 3 7 3" xfId="23616" xr:uid="{00000000-0005-0000-0000-000002070000}"/>
    <cellStyle name="AdjNo 11 3 7 4" xfId="23617" xr:uid="{00000000-0005-0000-0000-000003070000}"/>
    <cellStyle name="AdjNo 11 3 8" xfId="1714" xr:uid="{00000000-0005-0000-0000-000004070000}"/>
    <cellStyle name="AdjNo 11 3 9" xfId="23618" xr:uid="{00000000-0005-0000-0000-000005070000}"/>
    <cellStyle name="AdjNo 11 4" xfId="1715" xr:uid="{00000000-0005-0000-0000-000006070000}"/>
    <cellStyle name="AdjNo 11 4 10" xfId="23619" xr:uid="{00000000-0005-0000-0000-000007070000}"/>
    <cellStyle name="AdjNo 11 4 2" xfId="1716" xr:uid="{00000000-0005-0000-0000-000008070000}"/>
    <cellStyle name="AdjNo 11 4 2 2" xfId="1717" xr:uid="{00000000-0005-0000-0000-000009070000}"/>
    <cellStyle name="AdjNo 11 4 2 3" xfId="23620" xr:uid="{00000000-0005-0000-0000-00000A070000}"/>
    <cellStyle name="AdjNo 11 4 2 4" xfId="23621" xr:uid="{00000000-0005-0000-0000-00000B070000}"/>
    <cellStyle name="AdjNo 11 4 3" xfId="1718" xr:uid="{00000000-0005-0000-0000-00000C070000}"/>
    <cellStyle name="AdjNo 11 4 3 2" xfId="1719" xr:uid="{00000000-0005-0000-0000-00000D070000}"/>
    <cellStyle name="AdjNo 11 4 3 3" xfId="23622" xr:uid="{00000000-0005-0000-0000-00000E070000}"/>
    <cellStyle name="AdjNo 11 4 3 4" xfId="23623" xr:uid="{00000000-0005-0000-0000-00000F070000}"/>
    <cellStyle name="AdjNo 11 4 4" xfId="1720" xr:uid="{00000000-0005-0000-0000-000010070000}"/>
    <cellStyle name="AdjNo 11 4 4 2" xfId="1721" xr:uid="{00000000-0005-0000-0000-000011070000}"/>
    <cellStyle name="AdjNo 11 4 4 3" xfId="23624" xr:uid="{00000000-0005-0000-0000-000012070000}"/>
    <cellStyle name="AdjNo 11 4 4 4" xfId="23625" xr:uid="{00000000-0005-0000-0000-000013070000}"/>
    <cellStyle name="AdjNo 11 4 5" xfId="1722" xr:uid="{00000000-0005-0000-0000-000014070000}"/>
    <cellStyle name="AdjNo 11 4 5 2" xfId="1723" xr:uid="{00000000-0005-0000-0000-000015070000}"/>
    <cellStyle name="AdjNo 11 4 5 3" xfId="23626" xr:uid="{00000000-0005-0000-0000-000016070000}"/>
    <cellStyle name="AdjNo 11 4 5 4" xfId="23627" xr:uid="{00000000-0005-0000-0000-000017070000}"/>
    <cellStyle name="AdjNo 11 4 6" xfId="1724" xr:uid="{00000000-0005-0000-0000-000018070000}"/>
    <cellStyle name="AdjNo 11 4 6 2" xfId="1725" xr:uid="{00000000-0005-0000-0000-000019070000}"/>
    <cellStyle name="AdjNo 11 4 6 3" xfId="23628" xr:uid="{00000000-0005-0000-0000-00001A070000}"/>
    <cellStyle name="AdjNo 11 4 6 4" xfId="23629" xr:uid="{00000000-0005-0000-0000-00001B070000}"/>
    <cellStyle name="AdjNo 11 4 7" xfId="1726" xr:uid="{00000000-0005-0000-0000-00001C070000}"/>
    <cellStyle name="AdjNo 11 4 7 2" xfId="1727" xr:uid="{00000000-0005-0000-0000-00001D070000}"/>
    <cellStyle name="AdjNo 11 4 7 3" xfId="23630" xr:uid="{00000000-0005-0000-0000-00001E070000}"/>
    <cellStyle name="AdjNo 11 4 7 4" xfId="23631" xr:uid="{00000000-0005-0000-0000-00001F070000}"/>
    <cellStyle name="AdjNo 11 4 8" xfId="1728" xr:uid="{00000000-0005-0000-0000-000020070000}"/>
    <cellStyle name="AdjNo 11 4 9" xfId="23632" xr:uid="{00000000-0005-0000-0000-000021070000}"/>
    <cellStyle name="AdjNo 11 5" xfId="1729" xr:uid="{00000000-0005-0000-0000-000022070000}"/>
    <cellStyle name="AdjNo 11 5 10" xfId="23633" xr:uid="{00000000-0005-0000-0000-000023070000}"/>
    <cellStyle name="AdjNo 11 5 2" xfId="1730" xr:uid="{00000000-0005-0000-0000-000024070000}"/>
    <cellStyle name="AdjNo 11 5 2 2" xfId="1731" xr:uid="{00000000-0005-0000-0000-000025070000}"/>
    <cellStyle name="AdjNo 11 5 2 3" xfId="23634" xr:uid="{00000000-0005-0000-0000-000026070000}"/>
    <cellStyle name="AdjNo 11 5 2 4" xfId="23635" xr:uid="{00000000-0005-0000-0000-000027070000}"/>
    <cellStyle name="AdjNo 11 5 3" xfId="1732" xr:uid="{00000000-0005-0000-0000-000028070000}"/>
    <cellStyle name="AdjNo 11 5 3 2" xfId="1733" xr:uid="{00000000-0005-0000-0000-000029070000}"/>
    <cellStyle name="AdjNo 11 5 3 3" xfId="23636" xr:uid="{00000000-0005-0000-0000-00002A070000}"/>
    <cellStyle name="AdjNo 11 5 3 4" xfId="23637" xr:uid="{00000000-0005-0000-0000-00002B070000}"/>
    <cellStyle name="AdjNo 11 5 4" xfId="1734" xr:uid="{00000000-0005-0000-0000-00002C070000}"/>
    <cellStyle name="AdjNo 11 5 4 2" xfId="1735" xr:uid="{00000000-0005-0000-0000-00002D070000}"/>
    <cellStyle name="AdjNo 11 5 4 3" xfId="23638" xr:uid="{00000000-0005-0000-0000-00002E070000}"/>
    <cellStyle name="AdjNo 11 5 4 4" xfId="23639" xr:uid="{00000000-0005-0000-0000-00002F070000}"/>
    <cellStyle name="AdjNo 11 5 5" xfId="1736" xr:uid="{00000000-0005-0000-0000-000030070000}"/>
    <cellStyle name="AdjNo 11 5 5 2" xfId="1737" xr:uid="{00000000-0005-0000-0000-000031070000}"/>
    <cellStyle name="AdjNo 11 5 5 3" xfId="23640" xr:uid="{00000000-0005-0000-0000-000032070000}"/>
    <cellStyle name="AdjNo 11 5 5 4" xfId="23641" xr:uid="{00000000-0005-0000-0000-000033070000}"/>
    <cellStyle name="AdjNo 11 5 6" xfId="1738" xr:uid="{00000000-0005-0000-0000-000034070000}"/>
    <cellStyle name="AdjNo 11 5 6 2" xfId="1739" xr:uid="{00000000-0005-0000-0000-000035070000}"/>
    <cellStyle name="AdjNo 11 5 6 3" xfId="23642" xr:uid="{00000000-0005-0000-0000-000036070000}"/>
    <cellStyle name="AdjNo 11 5 6 4" xfId="23643" xr:uid="{00000000-0005-0000-0000-000037070000}"/>
    <cellStyle name="AdjNo 11 5 7" xfId="1740" xr:uid="{00000000-0005-0000-0000-000038070000}"/>
    <cellStyle name="AdjNo 11 5 7 2" xfId="1741" xr:uid="{00000000-0005-0000-0000-000039070000}"/>
    <cellStyle name="AdjNo 11 5 7 3" xfId="23644" xr:uid="{00000000-0005-0000-0000-00003A070000}"/>
    <cellStyle name="AdjNo 11 5 7 4" xfId="23645" xr:uid="{00000000-0005-0000-0000-00003B070000}"/>
    <cellStyle name="AdjNo 11 5 8" xfId="1742" xr:uid="{00000000-0005-0000-0000-00003C070000}"/>
    <cellStyle name="AdjNo 11 5 9" xfId="23646" xr:uid="{00000000-0005-0000-0000-00003D070000}"/>
    <cellStyle name="AdjNo 11 6" xfId="1743" xr:uid="{00000000-0005-0000-0000-00003E070000}"/>
    <cellStyle name="AdjNo 11 6 2" xfId="1744" xr:uid="{00000000-0005-0000-0000-00003F070000}"/>
    <cellStyle name="AdjNo 11 6 3" xfId="23647" xr:uid="{00000000-0005-0000-0000-000040070000}"/>
    <cellStyle name="AdjNo 11 6 4" xfId="23648" xr:uid="{00000000-0005-0000-0000-000041070000}"/>
    <cellStyle name="AdjNo 11 7" xfId="1745" xr:uid="{00000000-0005-0000-0000-000042070000}"/>
    <cellStyle name="AdjNo 11 7 2" xfId="1746" xr:uid="{00000000-0005-0000-0000-000043070000}"/>
    <cellStyle name="AdjNo 11 7 3" xfId="23649" xr:uid="{00000000-0005-0000-0000-000044070000}"/>
    <cellStyle name="AdjNo 11 7 4" xfId="23650" xr:uid="{00000000-0005-0000-0000-000045070000}"/>
    <cellStyle name="AdjNo 11 8" xfId="1747" xr:uid="{00000000-0005-0000-0000-000046070000}"/>
    <cellStyle name="AdjNo 11 8 2" xfId="1748" xr:uid="{00000000-0005-0000-0000-000047070000}"/>
    <cellStyle name="AdjNo 11 8 3" xfId="23651" xr:uid="{00000000-0005-0000-0000-000048070000}"/>
    <cellStyle name="AdjNo 11 8 4" xfId="23652" xr:uid="{00000000-0005-0000-0000-000049070000}"/>
    <cellStyle name="AdjNo 11 9" xfId="1749" xr:uid="{00000000-0005-0000-0000-00004A070000}"/>
    <cellStyle name="AdjNo 11 9 2" xfId="1750" xr:uid="{00000000-0005-0000-0000-00004B070000}"/>
    <cellStyle name="AdjNo 11 9 3" xfId="23653" xr:uid="{00000000-0005-0000-0000-00004C070000}"/>
    <cellStyle name="AdjNo 11 9 4" xfId="23654" xr:uid="{00000000-0005-0000-0000-00004D070000}"/>
    <cellStyle name="AdjNo 12" xfId="1751" xr:uid="{00000000-0005-0000-0000-00004E070000}"/>
    <cellStyle name="AdjNo 12 10" xfId="1752" xr:uid="{00000000-0005-0000-0000-00004F070000}"/>
    <cellStyle name="AdjNo 12 10 2" xfId="1753" xr:uid="{00000000-0005-0000-0000-000050070000}"/>
    <cellStyle name="AdjNo 12 10 3" xfId="23655" xr:uid="{00000000-0005-0000-0000-000051070000}"/>
    <cellStyle name="AdjNo 12 10 4" xfId="23656" xr:uid="{00000000-0005-0000-0000-000052070000}"/>
    <cellStyle name="AdjNo 12 11" xfId="1754" xr:uid="{00000000-0005-0000-0000-000053070000}"/>
    <cellStyle name="AdjNo 12 11 2" xfId="1755" xr:uid="{00000000-0005-0000-0000-000054070000}"/>
    <cellStyle name="AdjNo 12 11 3" xfId="23657" xr:uid="{00000000-0005-0000-0000-000055070000}"/>
    <cellStyle name="AdjNo 12 11 4" xfId="23658" xr:uid="{00000000-0005-0000-0000-000056070000}"/>
    <cellStyle name="AdjNo 12 12" xfId="1756" xr:uid="{00000000-0005-0000-0000-000057070000}"/>
    <cellStyle name="AdjNo 12 13" xfId="23659" xr:uid="{00000000-0005-0000-0000-000058070000}"/>
    <cellStyle name="AdjNo 12 14" xfId="23660" xr:uid="{00000000-0005-0000-0000-000059070000}"/>
    <cellStyle name="AdjNo 12 2" xfId="1757" xr:uid="{00000000-0005-0000-0000-00005A070000}"/>
    <cellStyle name="AdjNo 12 2 10" xfId="23661" xr:uid="{00000000-0005-0000-0000-00005B070000}"/>
    <cellStyle name="AdjNo 12 2 2" xfId="1758" xr:uid="{00000000-0005-0000-0000-00005C070000}"/>
    <cellStyle name="AdjNo 12 2 2 2" xfId="1759" xr:uid="{00000000-0005-0000-0000-00005D070000}"/>
    <cellStyle name="AdjNo 12 2 2 3" xfId="23662" xr:uid="{00000000-0005-0000-0000-00005E070000}"/>
    <cellStyle name="AdjNo 12 2 2 4" xfId="23663" xr:uid="{00000000-0005-0000-0000-00005F070000}"/>
    <cellStyle name="AdjNo 12 2 3" xfId="1760" xr:uid="{00000000-0005-0000-0000-000060070000}"/>
    <cellStyle name="AdjNo 12 2 3 2" xfId="1761" xr:uid="{00000000-0005-0000-0000-000061070000}"/>
    <cellStyle name="AdjNo 12 2 3 3" xfId="23664" xr:uid="{00000000-0005-0000-0000-000062070000}"/>
    <cellStyle name="AdjNo 12 2 3 4" xfId="23665" xr:uid="{00000000-0005-0000-0000-000063070000}"/>
    <cellStyle name="AdjNo 12 2 4" xfId="1762" xr:uid="{00000000-0005-0000-0000-000064070000}"/>
    <cellStyle name="AdjNo 12 2 4 2" xfId="1763" xr:uid="{00000000-0005-0000-0000-000065070000}"/>
    <cellStyle name="AdjNo 12 2 4 3" xfId="23666" xr:uid="{00000000-0005-0000-0000-000066070000}"/>
    <cellStyle name="AdjNo 12 2 4 4" xfId="23667" xr:uid="{00000000-0005-0000-0000-000067070000}"/>
    <cellStyle name="AdjNo 12 2 5" xfId="1764" xr:uid="{00000000-0005-0000-0000-000068070000}"/>
    <cellStyle name="AdjNo 12 2 5 2" xfId="1765" xr:uid="{00000000-0005-0000-0000-000069070000}"/>
    <cellStyle name="AdjNo 12 2 5 3" xfId="23668" xr:uid="{00000000-0005-0000-0000-00006A070000}"/>
    <cellStyle name="AdjNo 12 2 5 4" xfId="23669" xr:uid="{00000000-0005-0000-0000-00006B070000}"/>
    <cellStyle name="AdjNo 12 2 6" xfId="1766" xr:uid="{00000000-0005-0000-0000-00006C070000}"/>
    <cellStyle name="AdjNo 12 2 6 2" xfId="1767" xr:uid="{00000000-0005-0000-0000-00006D070000}"/>
    <cellStyle name="AdjNo 12 2 6 3" xfId="23670" xr:uid="{00000000-0005-0000-0000-00006E070000}"/>
    <cellStyle name="AdjNo 12 2 6 4" xfId="23671" xr:uid="{00000000-0005-0000-0000-00006F070000}"/>
    <cellStyle name="AdjNo 12 2 7" xfId="1768" xr:uid="{00000000-0005-0000-0000-000070070000}"/>
    <cellStyle name="AdjNo 12 2 7 2" xfId="1769" xr:uid="{00000000-0005-0000-0000-000071070000}"/>
    <cellStyle name="AdjNo 12 2 7 3" xfId="23672" xr:uid="{00000000-0005-0000-0000-000072070000}"/>
    <cellStyle name="AdjNo 12 2 7 4" xfId="23673" xr:uid="{00000000-0005-0000-0000-000073070000}"/>
    <cellStyle name="AdjNo 12 2 8" xfId="1770" xr:uid="{00000000-0005-0000-0000-000074070000}"/>
    <cellStyle name="AdjNo 12 2 9" xfId="23674" xr:uid="{00000000-0005-0000-0000-000075070000}"/>
    <cellStyle name="AdjNo 12 3" xfId="1771" xr:uid="{00000000-0005-0000-0000-000076070000}"/>
    <cellStyle name="AdjNo 12 3 10" xfId="23675" xr:uid="{00000000-0005-0000-0000-000077070000}"/>
    <cellStyle name="AdjNo 12 3 2" xfId="1772" xr:uid="{00000000-0005-0000-0000-000078070000}"/>
    <cellStyle name="AdjNo 12 3 2 2" xfId="1773" xr:uid="{00000000-0005-0000-0000-000079070000}"/>
    <cellStyle name="AdjNo 12 3 2 3" xfId="23676" xr:uid="{00000000-0005-0000-0000-00007A070000}"/>
    <cellStyle name="AdjNo 12 3 2 4" xfId="23677" xr:uid="{00000000-0005-0000-0000-00007B070000}"/>
    <cellStyle name="AdjNo 12 3 3" xfId="1774" xr:uid="{00000000-0005-0000-0000-00007C070000}"/>
    <cellStyle name="AdjNo 12 3 3 2" xfId="1775" xr:uid="{00000000-0005-0000-0000-00007D070000}"/>
    <cellStyle name="AdjNo 12 3 3 3" xfId="23678" xr:uid="{00000000-0005-0000-0000-00007E070000}"/>
    <cellStyle name="AdjNo 12 3 3 4" xfId="23679" xr:uid="{00000000-0005-0000-0000-00007F070000}"/>
    <cellStyle name="AdjNo 12 3 4" xfId="1776" xr:uid="{00000000-0005-0000-0000-000080070000}"/>
    <cellStyle name="AdjNo 12 3 4 2" xfId="1777" xr:uid="{00000000-0005-0000-0000-000081070000}"/>
    <cellStyle name="AdjNo 12 3 4 3" xfId="23680" xr:uid="{00000000-0005-0000-0000-000082070000}"/>
    <cellStyle name="AdjNo 12 3 4 4" xfId="23681" xr:uid="{00000000-0005-0000-0000-000083070000}"/>
    <cellStyle name="AdjNo 12 3 5" xfId="1778" xr:uid="{00000000-0005-0000-0000-000084070000}"/>
    <cellStyle name="AdjNo 12 3 5 2" xfId="1779" xr:uid="{00000000-0005-0000-0000-000085070000}"/>
    <cellStyle name="AdjNo 12 3 5 3" xfId="23682" xr:uid="{00000000-0005-0000-0000-000086070000}"/>
    <cellStyle name="AdjNo 12 3 5 4" xfId="23683" xr:uid="{00000000-0005-0000-0000-000087070000}"/>
    <cellStyle name="AdjNo 12 3 6" xfId="1780" xr:uid="{00000000-0005-0000-0000-000088070000}"/>
    <cellStyle name="AdjNo 12 3 6 2" xfId="1781" xr:uid="{00000000-0005-0000-0000-000089070000}"/>
    <cellStyle name="AdjNo 12 3 6 3" xfId="23684" xr:uid="{00000000-0005-0000-0000-00008A070000}"/>
    <cellStyle name="AdjNo 12 3 6 4" xfId="23685" xr:uid="{00000000-0005-0000-0000-00008B070000}"/>
    <cellStyle name="AdjNo 12 3 7" xfId="1782" xr:uid="{00000000-0005-0000-0000-00008C070000}"/>
    <cellStyle name="AdjNo 12 3 7 2" xfId="1783" xr:uid="{00000000-0005-0000-0000-00008D070000}"/>
    <cellStyle name="AdjNo 12 3 7 3" xfId="23686" xr:uid="{00000000-0005-0000-0000-00008E070000}"/>
    <cellStyle name="AdjNo 12 3 7 4" xfId="23687" xr:uid="{00000000-0005-0000-0000-00008F070000}"/>
    <cellStyle name="AdjNo 12 3 8" xfId="1784" xr:uid="{00000000-0005-0000-0000-000090070000}"/>
    <cellStyle name="AdjNo 12 3 9" xfId="23688" xr:uid="{00000000-0005-0000-0000-000091070000}"/>
    <cellStyle name="AdjNo 12 4" xfId="1785" xr:uid="{00000000-0005-0000-0000-000092070000}"/>
    <cellStyle name="AdjNo 12 4 10" xfId="23689" xr:uid="{00000000-0005-0000-0000-000093070000}"/>
    <cellStyle name="AdjNo 12 4 2" xfId="1786" xr:uid="{00000000-0005-0000-0000-000094070000}"/>
    <cellStyle name="AdjNo 12 4 2 2" xfId="1787" xr:uid="{00000000-0005-0000-0000-000095070000}"/>
    <cellStyle name="AdjNo 12 4 2 3" xfId="23690" xr:uid="{00000000-0005-0000-0000-000096070000}"/>
    <cellStyle name="AdjNo 12 4 2 4" xfId="23691" xr:uid="{00000000-0005-0000-0000-000097070000}"/>
    <cellStyle name="AdjNo 12 4 3" xfId="1788" xr:uid="{00000000-0005-0000-0000-000098070000}"/>
    <cellStyle name="AdjNo 12 4 3 2" xfId="1789" xr:uid="{00000000-0005-0000-0000-000099070000}"/>
    <cellStyle name="AdjNo 12 4 3 3" xfId="23692" xr:uid="{00000000-0005-0000-0000-00009A070000}"/>
    <cellStyle name="AdjNo 12 4 3 4" xfId="23693" xr:uid="{00000000-0005-0000-0000-00009B070000}"/>
    <cellStyle name="AdjNo 12 4 4" xfId="1790" xr:uid="{00000000-0005-0000-0000-00009C070000}"/>
    <cellStyle name="AdjNo 12 4 4 2" xfId="1791" xr:uid="{00000000-0005-0000-0000-00009D070000}"/>
    <cellStyle name="AdjNo 12 4 4 3" xfId="23694" xr:uid="{00000000-0005-0000-0000-00009E070000}"/>
    <cellStyle name="AdjNo 12 4 4 4" xfId="23695" xr:uid="{00000000-0005-0000-0000-00009F070000}"/>
    <cellStyle name="AdjNo 12 4 5" xfId="1792" xr:uid="{00000000-0005-0000-0000-0000A0070000}"/>
    <cellStyle name="AdjNo 12 4 5 2" xfId="1793" xr:uid="{00000000-0005-0000-0000-0000A1070000}"/>
    <cellStyle name="AdjNo 12 4 5 3" xfId="23696" xr:uid="{00000000-0005-0000-0000-0000A2070000}"/>
    <cellStyle name="AdjNo 12 4 5 4" xfId="23697" xr:uid="{00000000-0005-0000-0000-0000A3070000}"/>
    <cellStyle name="AdjNo 12 4 6" xfId="1794" xr:uid="{00000000-0005-0000-0000-0000A4070000}"/>
    <cellStyle name="AdjNo 12 4 6 2" xfId="1795" xr:uid="{00000000-0005-0000-0000-0000A5070000}"/>
    <cellStyle name="AdjNo 12 4 6 3" xfId="23698" xr:uid="{00000000-0005-0000-0000-0000A6070000}"/>
    <cellStyle name="AdjNo 12 4 6 4" xfId="23699" xr:uid="{00000000-0005-0000-0000-0000A7070000}"/>
    <cellStyle name="AdjNo 12 4 7" xfId="1796" xr:uid="{00000000-0005-0000-0000-0000A8070000}"/>
    <cellStyle name="AdjNo 12 4 7 2" xfId="1797" xr:uid="{00000000-0005-0000-0000-0000A9070000}"/>
    <cellStyle name="AdjNo 12 4 7 3" xfId="23700" xr:uid="{00000000-0005-0000-0000-0000AA070000}"/>
    <cellStyle name="AdjNo 12 4 7 4" xfId="23701" xr:uid="{00000000-0005-0000-0000-0000AB070000}"/>
    <cellStyle name="AdjNo 12 4 8" xfId="1798" xr:uid="{00000000-0005-0000-0000-0000AC070000}"/>
    <cellStyle name="AdjNo 12 4 9" xfId="23702" xr:uid="{00000000-0005-0000-0000-0000AD070000}"/>
    <cellStyle name="AdjNo 12 5" xfId="1799" xr:uid="{00000000-0005-0000-0000-0000AE070000}"/>
    <cellStyle name="AdjNo 12 5 10" xfId="23703" xr:uid="{00000000-0005-0000-0000-0000AF070000}"/>
    <cellStyle name="AdjNo 12 5 2" xfId="1800" xr:uid="{00000000-0005-0000-0000-0000B0070000}"/>
    <cellStyle name="AdjNo 12 5 2 2" xfId="1801" xr:uid="{00000000-0005-0000-0000-0000B1070000}"/>
    <cellStyle name="AdjNo 12 5 2 3" xfId="23704" xr:uid="{00000000-0005-0000-0000-0000B2070000}"/>
    <cellStyle name="AdjNo 12 5 2 4" xfId="23705" xr:uid="{00000000-0005-0000-0000-0000B3070000}"/>
    <cellStyle name="AdjNo 12 5 3" xfId="1802" xr:uid="{00000000-0005-0000-0000-0000B4070000}"/>
    <cellStyle name="AdjNo 12 5 3 2" xfId="1803" xr:uid="{00000000-0005-0000-0000-0000B5070000}"/>
    <cellStyle name="AdjNo 12 5 3 3" xfId="23706" xr:uid="{00000000-0005-0000-0000-0000B6070000}"/>
    <cellStyle name="AdjNo 12 5 3 4" xfId="23707" xr:uid="{00000000-0005-0000-0000-0000B7070000}"/>
    <cellStyle name="AdjNo 12 5 4" xfId="1804" xr:uid="{00000000-0005-0000-0000-0000B8070000}"/>
    <cellStyle name="AdjNo 12 5 4 2" xfId="1805" xr:uid="{00000000-0005-0000-0000-0000B9070000}"/>
    <cellStyle name="AdjNo 12 5 4 3" xfId="23708" xr:uid="{00000000-0005-0000-0000-0000BA070000}"/>
    <cellStyle name="AdjNo 12 5 4 4" xfId="23709" xr:uid="{00000000-0005-0000-0000-0000BB070000}"/>
    <cellStyle name="AdjNo 12 5 5" xfId="1806" xr:uid="{00000000-0005-0000-0000-0000BC070000}"/>
    <cellStyle name="AdjNo 12 5 5 2" xfId="1807" xr:uid="{00000000-0005-0000-0000-0000BD070000}"/>
    <cellStyle name="AdjNo 12 5 5 3" xfId="23710" xr:uid="{00000000-0005-0000-0000-0000BE070000}"/>
    <cellStyle name="AdjNo 12 5 5 4" xfId="23711" xr:uid="{00000000-0005-0000-0000-0000BF070000}"/>
    <cellStyle name="AdjNo 12 5 6" xfId="1808" xr:uid="{00000000-0005-0000-0000-0000C0070000}"/>
    <cellStyle name="AdjNo 12 5 6 2" xfId="1809" xr:uid="{00000000-0005-0000-0000-0000C1070000}"/>
    <cellStyle name="AdjNo 12 5 6 3" xfId="23712" xr:uid="{00000000-0005-0000-0000-0000C2070000}"/>
    <cellStyle name="AdjNo 12 5 6 4" xfId="23713" xr:uid="{00000000-0005-0000-0000-0000C3070000}"/>
    <cellStyle name="AdjNo 12 5 7" xfId="1810" xr:uid="{00000000-0005-0000-0000-0000C4070000}"/>
    <cellStyle name="AdjNo 12 5 7 2" xfId="1811" xr:uid="{00000000-0005-0000-0000-0000C5070000}"/>
    <cellStyle name="AdjNo 12 5 7 3" xfId="23714" xr:uid="{00000000-0005-0000-0000-0000C6070000}"/>
    <cellStyle name="AdjNo 12 5 7 4" xfId="23715" xr:uid="{00000000-0005-0000-0000-0000C7070000}"/>
    <cellStyle name="AdjNo 12 5 8" xfId="1812" xr:uid="{00000000-0005-0000-0000-0000C8070000}"/>
    <cellStyle name="AdjNo 12 5 9" xfId="23716" xr:uid="{00000000-0005-0000-0000-0000C9070000}"/>
    <cellStyle name="AdjNo 12 6" xfId="1813" xr:uid="{00000000-0005-0000-0000-0000CA070000}"/>
    <cellStyle name="AdjNo 12 6 2" xfId="1814" xr:uid="{00000000-0005-0000-0000-0000CB070000}"/>
    <cellStyle name="AdjNo 12 6 3" xfId="23717" xr:uid="{00000000-0005-0000-0000-0000CC070000}"/>
    <cellStyle name="AdjNo 12 6 4" xfId="23718" xr:uid="{00000000-0005-0000-0000-0000CD070000}"/>
    <cellStyle name="AdjNo 12 7" xfId="1815" xr:uid="{00000000-0005-0000-0000-0000CE070000}"/>
    <cellStyle name="AdjNo 12 7 2" xfId="1816" xr:uid="{00000000-0005-0000-0000-0000CF070000}"/>
    <cellStyle name="AdjNo 12 7 3" xfId="23719" xr:uid="{00000000-0005-0000-0000-0000D0070000}"/>
    <cellStyle name="AdjNo 12 7 4" xfId="23720" xr:uid="{00000000-0005-0000-0000-0000D1070000}"/>
    <cellStyle name="AdjNo 12 8" xfId="1817" xr:uid="{00000000-0005-0000-0000-0000D2070000}"/>
    <cellStyle name="AdjNo 12 8 2" xfId="1818" xr:uid="{00000000-0005-0000-0000-0000D3070000}"/>
    <cellStyle name="AdjNo 12 8 3" xfId="23721" xr:uid="{00000000-0005-0000-0000-0000D4070000}"/>
    <cellStyle name="AdjNo 12 8 4" xfId="23722" xr:uid="{00000000-0005-0000-0000-0000D5070000}"/>
    <cellStyle name="AdjNo 12 9" xfId="1819" xr:uid="{00000000-0005-0000-0000-0000D6070000}"/>
    <cellStyle name="AdjNo 12 9 2" xfId="1820" xr:uid="{00000000-0005-0000-0000-0000D7070000}"/>
    <cellStyle name="AdjNo 12 9 3" xfId="23723" xr:uid="{00000000-0005-0000-0000-0000D8070000}"/>
    <cellStyle name="AdjNo 12 9 4" xfId="23724" xr:uid="{00000000-0005-0000-0000-0000D9070000}"/>
    <cellStyle name="AdjNo 13" xfId="1821" xr:uid="{00000000-0005-0000-0000-0000DA070000}"/>
    <cellStyle name="AdjNo 13 10" xfId="1822" xr:uid="{00000000-0005-0000-0000-0000DB070000}"/>
    <cellStyle name="AdjNo 13 10 2" xfId="1823" xr:uid="{00000000-0005-0000-0000-0000DC070000}"/>
    <cellStyle name="AdjNo 13 10 3" xfId="23725" xr:uid="{00000000-0005-0000-0000-0000DD070000}"/>
    <cellStyle name="AdjNo 13 10 4" xfId="23726" xr:uid="{00000000-0005-0000-0000-0000DE070000}"/>
    <cellStyle name="AdjNo 13 11" xfId="1824" xr:uid="{00000000-0005-0000-0000-0000DF070000}"/>
    <cellStyle name="AdjNo 13 11 2" xfId="1825" xr:uid="{00000000-0005-0000-0000-0000E0070000}"/>
    <cellStyle name="AdjNo 13 11 3" xfId="23727" xr:uid="{00000000-0005-0000-0000-0000E1070000}"/>
    <cellStyle name="AdjNo 13 11 4" xfId="23728" xr:uid="{00000000-0005-0000-0000-0000E2070000}"/>
    <cellStyle name="AdjNo 13 12" xfId="1826" xr:uid="{00000000-0005-0000-0000-0000E3070000}"/>
    <cellStyle name="AdjNo 13 13" xfId="23729" xr:uid="{00000000-0005-0000-0000-0000E4070000}"/>
    <cellStyle name="AdjNo 13 14" xfId="23730" xr:uid="{00000000-0005-0000-0000-0000E5070000}"/>
    <cellStyle name="AdjNo 13 2" xfId="1827" xr:uid="{00000000-0005-0000-0000-0000E6070000}"/>
    <cellStyle name="AdjNo 13 2 10" xfId="23731" xr:uid="{00000000-0005-0000-0000-0000E7070000}"/>
    <cellStyle name="AdjNo 13 2 2" xfId="1828" xr:uid="{00000000-0005-0000-0000-0000E8070000}"/>
    <cellStyle name="AdjNo 13 2 2 2" xfId="1829" xr:uid="{00000000-0005-0000-0000-0000E9070000}"/>
    <cellStyle name="AdjNo 13 2 2 3" xfId="23732" xr:uid="{00000000-0005-0000-0000-0000EA070000}"/>
    <cellStyle name="AdjNo 13 2 2 4" xfId="23733" xr:uid="{00000000-0005-0000-0000-0000EB070000}"/>
    <cellStyle name="AdjNo 13 2 3" xfId="1830" xr:uid="{00000000-0005-0000-0000-0000EC070000}"/>
    <cellStyle name="AdjNo 13 2 3 2" xfId="1831" xr:uid="{00000000-0005-0000-0000-0000ED070000}"/>
    <cellStyle name="AdjNo 13 2 3 3" xfId="23734" xr:uid="{00000000-0005-0000-0000-0000EE070000}"/>
    <cellStyle name="AdjNo 13 2 3 4" xfId="23735" xr:uid="{00000000-0005-0000-0000-0000EF070000}"/>
    <cellStyle name="AdjNo 13 2 4" xfId="1832" xr:uid="{00000000-0005-0000-0000-0000F0070000}"/>
    <cellStyle name="AdjNo 13 2 4 2" xfId="1833" xr:uid="{00000000-0005-0000-0000-0000F1070000}"/>
    <cellStyle name="AdjNo 13 2 4 3" xfId="23736" xr:uid="{00000000-0005-0000-0000-0000F2070000}"/>
    <cellStyle name="AdjNo 13 2 4 4" xfId="23737" xr:uid="{00000000-0005-0000-0000-0000F3070000}"/>
    <cellStyle name="AdjNo 13 2 5" xfId="1834" xr:uid="{00000000-0005-0000-0000-0000F4070000}"/>
    <cellStyle name="AdjNo 13 2 5 2" xfId="1835" xr:uid="{00000000-0005-0000-0000-0000F5070000}"/>
    <cellStyle name="AdjNo 13 2 5 3" xfId="23738" xr:uid="{00000000-0005-0000-0000-0000F6070000}"/>
    <cellStyle name="AdjNo 13 2 5 4" xfId="23739" xr:uid="{00000000-0005-0000-0000-0000F7070000}"/>
    <cellStyle name="AdjNo 13 2 6" xfId="1836" xr:uid="{00000000-0005-0000-0000-0000F8070000}"/>
    <cellStyle name="AdjNo 13 2 6 2" xfId="1837" xr:uid="{00000000-0005-0000-0000-0000F9070000}"/>
    <cellStyle name="AdjNo 13 2 6 3" xfId="23740" xr:uid="{00000000-0005-0000-0000-0000FA070000}"/>
    <cellStyle name="AdjNo 13 2 6 4" xfId="23741" xr:uid="{00000000-0005-0000-0000-0000FB070000}"/>
    <cellStyle name="AdjNo 13 2 7" xfId="1838" xr:uid="{00000000-0005-0000-0000-0000FC070000}"/>
    <cellStyle name="AdjNo 13 2 7 2" xfId="1839" xr:uid="{00000000-0005-0000-0000-0000FD070000}"/>
    <cellStyle name="AdjNo 13 2 7 3" xfId="23742" xr:uid="{00000000-0005-0000-0000-0000FE070000}"/>
    <cellStyle name="AdjNo 13 2 7 4" xfId="23743" xr:uid="{00000000-0005-0000-0000-0000FF070000}"/>
    <cellStyle name="AdjNo 13 2 8" xfId="1840" xr:uid="{00000000-0005-0000-0000-000000080000}"/>
    <cellStyle name="AdjNo 13 2 9" xfId="23744" xr:uid="{00000000-0005-0000-0000-000001080000}"/>
    <cellStyle name="AdjNo 13 3" xfId="1841" xr:uid="{00000000-0005-0000-0000-000002080000}"/>
    <cellStyle name="AdjNo 13 3 10" xfId="23745" xr:uid="{00000000-0005-0000-0000-000003080000}"/>
    <cellStyle name="AdjNo 13 3 2" xfId="1842" xr:uid="{00000000-0005-0000-0000-000004080000}"/>
    <cellStyle name="AdjNo 13 3 2 2" xfId="1843" xr:uid="{00000000-0005-0000-0000-000005080000}"/>
    <cellStyle name="AdjNo 13 3 2 3" xfId="23746" xr:uid="{00000000-0005-0000-0000-000006080000}"/>
    <cellStyle name="AdjNo 13 3 2 4" xfId="23747" xr:uid="{00000000-0005-0000-0000-000007080000}"/>
    <cellStyle name="AdjNo 13 3 3" xfId="1844" xr:uid="{00000000-0005-0000-0000-000008080000}"/>
    <cellStyle name="AdjNo 13 3 3 2" xfId="1845" xr:uid="{00000000-0005-0000-0000-000009080000}"/>
    <cellStyle name="AdjNo 13 3 3 3" xfId="23748" xr:uid="{00000000-0005-0000-0000-00000A080000}"/>
    <cellStyle name="AdjNo 13 3 3 4" xfId="23749" xr:uid="{00000000-0005-0000-0000-00000B080000}"/>
    <cellStyle name="AdjNo 13 3 4" xfId="1846" xr:uid="{00000000-0005-0000-0000-00000C080000}"/>
    <cellStyle name="AdjNo 13 3 4 2" xfId="1847" xr:uid="{00000000-0005-0000-0000-00000D080000}"/>
    <cellStyle name="AdjNo 13 3 4 3" xfId="23750" xr:uid="{00000000-0005-0000-0000-00000E080000}"/>
    <cellStyle name="AdjNo 13 3 4 4" xfId="23751" xr:uid="{00000000-0005-0000-0000-00000F080000}"/>
    <cellStyle name="AdjNo 13 3 5" xfId="1848" xr:uid="{00000000-0005-0000-0000-000010080000}"/>
    <cellStyle name="AdjNo 13 3 5 2" xfId="1849" xr:uid="{00000000-0005-0000-0000-000011080000}"/>
    <cellStyle name="AdjNo 13 3 5 3" xfId="23752" xr:uid="{00000000-0005-0000-0000-000012080000}"/>
    <cellStyle name="AdjNo 13 3 5 4" xfId="23753" xr:uid="{00000000-0005-0000-0000-000013080000}"/>
    <cellStyle name="AdjNo 13 3 6" xfId="1850" xr:uid="{00000000-0005-0000-0000-000014080000}"/>
    <cellStyle name="AdjNo 13 3 6 2" xfId="1851" xr:uid="{00000000-0005-0000-0000-000015080000}"/>
    <cellStyle name="AdjNo 13 3 6 3" xfId="23754" xr:uid="{00000000-0005-0000-0000-000016080000}"/>
    <cellStyle name="AdjNo 13 3 6 4" xfId="23755" xr:uid="{00000000-0005-0000-0000-000017080000}"/>
    <cellStyle name="AdjNo 13 3 7" xfId="1852" xr:uid="{00000000-0005-0000-0000-000018080000}"/>
    <cellStyle name="AdjNo 13 3 7 2" xfId="1853" xr:uid="{00000000-0005-0000-0000-000019080000}"/>
    <cellStyle name="AdjNo 13 3 7 3" xfId="23756" xr:uid="{00000000-0005-0000-0000-00001A080000}"/>
    <cellStyle name="AdjNo 13 3 7 4" xfId="23757" xr:uid="{00000000-0005-0000-0000-00001B080000}"/>
    <cellStyle name="AdjNo 13 3 8" xfId="1854" xr:uid="{00000000-0005-0000-0000-00001C080000}"/>
    <cellStyle name="AdjNo 13 3 9" xfId="23758" xr:uid="{00000000-0005-0000-0000-00001D080000}"/>
    <cellStyle name="AdjNo 13 4" xfId="1855" xr:uid="{00000000-0005-0000-0000-00001E080000}"/>
    <cellStyle name="AdjNo 13 4 10" xfId="23759" xr:uid="{00000000-0005-0000-0000-00001F080000}"/>
    <cellStyle name="AdjNo 13 4 2" xfId="1856" xr:uid="{00000000-0005-0000-0000-000020080000}"/>
    <cellStyle name="AdjNo 13 4 2 2" xfId="1857" xr:uid="{00000000-0005-0000-0000-000021080000}"/>
    <cellStyle name="AdjNo 13 4 2 3" xfId="23760" xr:uid="{00000000-0005-0000-0000-000022080000}"/>
    <cellStyle name="AdjNo 13 4 2 4" xfId="23761" xr:uid="{00000000-0005-0000-0000-000023080000}"/>
    <cellStyle name="AdjNo 13 4 3" xfId="1858" xr:uid="{00000000-0005-0000-0000-000024080000}"/>
    <cellStyle name="AdjNo 13 4 3 2" xfId="1859" xr:uid="{00000000-0005-0000-0000-000025080000}"/>
    <cellStyle name="AdjNo 13 4 3 3" xfId="23762" xr:uid="{00000000-0005-0000-0000-000026080000}"/>
    <cellStyle name="AdjNo 13 4 3 4" xfId="23763" xr:uid="{00000000-0005-0000-0000-000027080000}"/>
    <cellStyle name="AdjNo 13 4 4" xfId="1860" xr:uid="{00000000-0005-0000-0000-000028080000}"/>
    <cellStyle name="AdjNo 13 4 4 2" xfId="1861" xr:uid="{00000000-0005-0000-0000-000029080000}"/>
    <cellStyle name="AdjNo 13 4 4 3" xfId="23764" xr:uid="{00000000-0005-0000-0000-00002A080000}"/>
    <cellStyle name="AdjNo 13 4 4 4" xfId="23765" xr:uid="{00000000-0005-0000-0000-00002B080000}"/>
    <cellStyle name="AdjNo 13 4 5" xfId="1862" xr:uid="{00000000-0005-0000-0000-00002C080000}"/>
    <cellStyle name="AdjNo 13 4 5 2" xfId="1863" xr:uid="{00000000-0005-0000-0000-00002D080000}"/>
    <cellStyle name="AdjNo 13 4 5 3" xfId="23766" xr:uid="{00000000-0005-0000-0000-00002E080000}"/>
    <cellStyle name="AdjNo 13 4 5 4" xfId="23767" xr:uid="{00000000-0005-0000-0000-00002F080000}"/>
    <cellStyle name="AdjNo 13 4 6" xfId="1864" xr:uid="{00000000-0005-0000-0000-000030080000}"/>
    <cellStyle name="AdjNo 13 4 6 2" xfId="1865" xr:uid="{00000000-0005-0000-0000-000031080000}"/>
    <cellStyle name="AdjNo 13 4 6 3" xfId="23768" xr:uid="{00000000-0005-0000-0000-000032080000}"/>
    <cellStyle name="AdjNo 13 4 6 4" xfId="23769" xr:uid="{00000000-0005-0000-0000-000033080000}"/>
    <cellStyle name="AdjNo 13 4 7" xfId="1866" xr:uid="{00000000-0005-0000-0000-000034080000}"/>
    <cellStyle name="AdjNo 13 4 7 2" xfId="1867" xr:uid="{00000000-0005-0000-0000-000035080000}"/>
    <cellStyle name="AdjNo 13 4 7 3" xfId="23770" xr:uid="{00000000-0005-0000-0000-000036080000}"/>
    <cellStyle name="AdjNo 13 4 7 4" xfId="23771" xr:uid="{00000000-0005-0000-0000-000037080000}"/>
    <cellStyle name="AdjNo 13 4 8" xfId="1868" xr:uid="{00000000-0005-0000-0000-000038080000}"/>
    <cellStyle name="AdjNo 13 4 9" xfId="23772" xr:uid="{00000000-0005-0000-0000-000039080000}"/>
    <cellStyle name="AdjNo 13 5" xfId="1869" xr:uid="{00000000-0005-0000-0000-00003A080000}"/>
    <cellStyle name="AdjNo 13 5 10" xfId="23773" xr:uid="{00000000-0005-0000-0000-00003B080000}"/>
    <cellStyle name="AdjNo 13 5 2" xfId="1870" xr:uid="{00000000-0005-0000-0000-00003C080000}"/>
    <cellStyle name="AdjNo 13 5 2 2" xfId="1871" xr:uid="{00000000-0005-0000-0000-00003D080000}"/>
    <cellStyle name="AdjNo 13 5 2 3" xfId="23774" xr:uid="{00000000-0005-0000-0000-00003E080000}"/>
    <cellStyle name="AdjNo 13 5 2 4" xfId="23775" xr:uid="{00000000-0005-0000-0000-00003F080000}"/>
    <cellStyle name="AdjNo 13 5 3" xfId="1872" xr:uid="{00000000-0005-0000-0000-000040080000}"/>
    <cellStyle name="AdjNo 13 5 3 2" xfId="1873" xr:uid="{00000000-0005-0000-0000-000041080000}"/>
    <cellStyle name="AdjNo 13 5 3 3" xfId="23776" xr:uid="{00000000-0005-0000-0000-000042080000}"/>
    <cellStyle name="AdjNo 13 5 3 4" xfId="23777" xr:uid="{00000000-0005-0000-0000-000043080000}"/>
    <cellStyle name="AdjNo 13 5 4" xfId="1874" xr:uid="{00000000-0005-0000-0000-000044080000}"/>
    <cellStyle name="AdjNo 13 5 4 2" xfId="1875" xr:uid="{00000000-0005-0000-0000-000045080000}"/>
    <cellStyle name="AdjNo 13 5 4 3" xfId="23778" xr:uid="{00000000-0005-0000-0000-000046080000}"/>
    <cellStyle name="AdjNo 13 5 4 4" xfId="23779" xr:uid="{00000000-0005-0000-0000-000047080000}"/>
    <cellStyle name="AdjNo 13 5 5" xfId="1876" xr:uid="{00000000-0005-0000-0000-000048080000}"/>
    <cellStyle name="AdjNo 13 5 5 2" xfId="1877" xr:uid="{00000000-0005-0000-0000-000049080000}"/>
    <cellStyle name="AdjNo 13 5 5 3" xfId="23780" xr:uid="{00000000-0005-0000-0000-00004A080000}"/>
    <cellStyle name="AdjNo 13 5 5 4" xfId="23781" xr:uid="{00000000-0005-0000-0000-00004B080000}"/>
    <cellStyle name="AdjNo 13 5 6" xfId="1878" xr:uid="{00000000-0005-0000-0000-00004C080000}"/>
    <cellStyle name="AdjNo 13 5 6 2" xfId="1879" xr:uid="{00000000-0005-0000-0000-00004D080000}"/>
    <cellStyle name="AdjNo 13 5 6 3" xfId="23782" xr:uid="{00000000-0005-0000-0000-00004E080000}"/>
    <cellStyle name="AdjNo 13 5 6 4" xfId="23783" xr:uid="{00000000-0005-0000-0000-00004F080000}"/>
    <cellStyle name="AdjNo 13 5 7" xfId="1880" xr:uid="{00000000-0005-0000-0000-000050080000}"/>
    <cellStyle name="AdjNo 13 5 7 2" xfId="1881" xr:uid="{00000000-0005-0000-0000-000051080000}"/>
    <cellStyle name="AdjNo 13 5 7 3" xfId="23784" xr:uid="{00000000-0005-0000-0000-000052080000}"/>
    <cellStyle name="AdjNo 13 5 7 4" xfId="23785" xr:uid="{00000000-0005-0000-0000-000053080000}"/>
    <cellStyle name="AdjNo 13 5 8" xfId="1882" xr:uid="{00000000-0005-0000-0000-000054080000}"/>
    <cellStyle name="AdjNo 13 5 9" xfId="23786" xr:uid="{00000000-0005-0000-0000-000055080000}"/>
    <cellStyle name="AdjNo 13 6" xfId="1883" xr:uid="{00000000-0005-0000-0000-000056080000}"/>
    <cellStyle name="AdjNo 13 6 2" xfId="1884" xr:uid="{00000000-0005-0000-0000-000057080000}"/>
    <cellStyle name="AdjNo 13 6 3" xfId="23787" xr:uid="{00000000-0005-0000-0000-000058080000}"/>
    <cellStyle name="AdjNo 13 6 4" xfId="23788" xr:uid="{00000000-0005-0000-0000-000059080000}"/>
    <cellStyle name="AdjNo 13 7" xfId="1885" xr:uid="{00000000-0005-0000-0000-00005A080000}"/>
    <cellStyle name="AdjNo 13 7 2" xfId="1886" xr:uid="{00000000-0005-0000-0000-00005B080000}"/>
    <cellStyle name="AdjNo 13 7 3" xfId="23789" xr:uid="{00000000-0005-0000-0000-00005C080000}"/>
    <cellStyle name="AdjNo 13 7 4" xfId="23790" xr:uid="{00000000-0005-0000-0000-00005D080000}"/>
    <cellStyle name="AdjNo 13 8" xfId="1887" xr:uid="{00000000-0005-0000-0000-00005E080000}"/>
    <cellStyle name="AdjNo 13 8 2" xfId="1888" xr:uid="{00000000-0005-0000-0000-00005F080000}"/>
    <cellStyle name="AdjNo 13 8 3" xfId="23791" xr:uid="{00000000-0005-0000-0000-000060080000}"/>
    <cellStyle name="AdjNo 13 8 4" xfId="23792" xr:uid="{00000000-0005-0000-0000-000061080000}"/>
    <cellStyle name="AdjNo 13 9" xfId="1889" xr:uid="{00000000-0005-0000-0000-000062080000}"/>
    <cellStyle name="AdjNo 13 9 2" xfId="1890" xr:uid="{00000000-0005-0000-0000-000063080000}"/>
    <cellStyle name="AdjNo 13 9 3" xfId="23793" xr:uid="{00000000-0005-0000-0000-000064080000}"/>
    <cellStyle name="AdjNo 13 9 4" xfId="23794" xr:uid="{00000000-0005-0000-0000-000065080000}"/>
    <cellStyle name="AdjNo 14" xfId="1891" xr:uid="{00000000-0005-0000-0000-000066080000}"/>
    <cellStyle name="AdjNo 14 10" xfId="23795" xr:uid="{00000000-0005-0000-0000-000067080000}"/>
    <cellStyle name="AdjNo 14 2" xfId="1892" xr:uid="{00000000-0005-0000-0000-000068080000}"/>
    <cellStyle name="AdjNo 14 2 2" xfId="1893" xr:uid="{00000000-0005-0000-0000-000069080000}"/>
    <cellStyle name="AdjNo 14 2 3" xfId="23796" xr:uid="{00000000-0005-0000-0000-00006A080000}"/>
    <cellStyle name="AdjNo 14 2 4" xfId="23797" xr:uid="{00000000-0005-0000-0000-00006B080000}"/>
    <cellStyle name="AdjNo 14 3" xfId="1894" xr:uid="{00000000-0005-0000-0000-00006C080000}"/>
    <cellStyle name="AdjNo 14 3 2" xfId="1895" xr:uid="{00000000-0005-0000-0000-00006D080000}"/>
    <cellStyle name="AdjNo 14 3 3" xfId="23798" xr:uid="{00000000-0005-0000-0000-00006E080000}"/>
    <cellStyle name="AdjNo 14 3 4" xfId="23799" xr:uid="{00000000-0005-0000-0000-00006F080000}"/>
    <cellStyle name="AdjNo 14 4" xfId="1896" xr:uid="{00000000-0005-0000-0000-000070080000}"/>
    <cellStyle name="AdjNo 14 4 2" xfId="1897" xr:uid="{00000000-0005-0000-0000-000071080000}"/>
    <cellStyle name="AdjNo 14 4 3" xfId="23800" xr:uid="{00000000-0005-0000-0000-000072080000}"/>
    <cellStyle name="AdjNo 14 4 4" xfId="23801" xr:uid="{00000000-0005-0000-0000-000073080000}"/>
    <cellStyle name="AdjNo 14 5" xfId="1898" xr:uid="{00000000-0005-0000-0000-000074080000}"/>
    <cellStyle name="AdjNo 14 5 2" xfId="1899" xr:uid="{00000000-0005-0000-0000-000075080000}"/>
    <cellStyle name="AdjNo 14 5 3" xfId="23802" xr:uid="{00000000-0005-0000-0000-000076080000}"/>
    <cellStyle name="AdjNo 14 5 4" xfId="23803" xr:uid="{00000000-0005-0000-0000-000077080000}"/>
    <cellStyle name="AdjNo 14 6" xfId="1900" xr:uid="{00000000-0005-0000-0000-000078080000}"/>
    <cellStyle name="AdjNo 14 6 2" xfId="1901" xr:uid="{00000000-0005-0000-0000-000079080000}"/>
    <cellStyle name="AdjNo 14 6 3" xfId="23804" xr:uid="{00000000-0005-0000-0000-00007A080000}"/>
    <cellStyle name="AdjNo 14 6 4" xfId="23805" xr:uid="{00000000-0005-0000-0000-00007B080000}"/>
    <cellStyle name="AdjNo 14 7" xfId="1902" xr:uid="{00000000-0005-0000-0000-00007C080000}"/>
    <cellStyle name="AdjNo 14 7 2" xfId="1903" xr:uid="{00000000-0005-0000-0000-00007D080000}"/>
    <cellStyle name="AdjNo 14 7 3" xfId="23806" xr:uid="{00000000-0005-0000-0000-00007E080000}"/>
    <cellStyle name="AdjNo 14 7 4" xfId="23807" xr:uid="{00000000-0005-0000-0000-00007F080000}"/>
    <cellStyle name="AdjNo 14 8" xfId="1904" xr:uid="{00000000-0005-0000-0000-000080080000}"/>
    <cellStyle name="AdjNo 14 9" xfId="23808" xr:uid="{00000000-0005-0000-0000-000081080000}"/>
    <cellStyle name="AdjNo 15" xfId="1905" xr:uid="{00000000-0005-0000-0000-000082080000}"/>
    <cellStyle name="AdjNo 15 10" xfId="23809" xr:uid="{00000000-0005-0000-0000-000083080000}"/>
    <cellStyle name="AdjNo 15 2" xfId="1906" xr:uid="{00000000-0005-0000-0000-000084080000}"/>
    <cellStyle name="AdjNo 15 2 2" xfId="1907" xr:uid="{00000000-0005-0000-0000-000085080000}"/>
    <cellStyle name="AdjNo 15 2 3" xfId="23810" xr:uid="{00000000-0005-0000-0000-000086080000}"/>
    <cellStyle name="AdjNo 15 2 4" xfId="23811" xr:uid="{00000000-0005-0000-0000-000087080000}"/>
    <cellStyle name="AdjNo 15 3" xfId="1908" xr:uid="{00000000-0005-0000-0000-000088080000}"/>
    <cellStyle name="AdjNo 15 3 2" xfId="1909" xr:uid="{00000000-0005-0000-0000-000089080000}"/>
    <cellStyle name="AdjNo 15 3 3" xfId="23812" xr:uid="{00000000-0005-0000-0000-00008A080000}"/>
    <cellStyle name="AdjNo 15 3 4" xfId="23813" xr:uid="{00000000-0005-0000-0000-00008B080000}"/>
    <cellStyle name="AdjNo 15 4" xfId="1910" xr:uid="{00000000-0005-0000-0000-00008C080000}"/>
    <cellStyle name="AdjNo 15 4 2" xfId="1911" xr:uid="{00000000-0005-0000-0000-00008D080000}"/>
    <cellStyle name="AdjNo 15 4 3" xfId="23814" xr:uid="{00000000-0005-0000-0000-00008E080000}"/>
    <cellStyle name="AdjNo 15 4 4" xfId="23815" xr:uid="{00000000-0005-0000-0000-00008F080000}"/>
    <cellStyle name="AdjNo 15 5" xfId="1912" xr:uid="{00000000-0005-0000-0000-000090080000}"/>
    <cellStyle name="AdjNo 15 5 2" xfId="1913" xr:uid="{00000000-0005-0000-0000-000091080000}"/>
    <cellStyle name="AdjNo 15 5 3" xfId="23816" xr:uid="{00000000-0005-0000-0000-000092080000}"/>
    <cellStyle name="AdjNo 15 5 4" xfId="23817" xr:uid="{00000000-0005-0000-0000-000093080000}"/>
    <cellStyle name="AdjNo 15 6" xfId="1914" xr:uid="{00000000-0005-0000-0000-000094080000}"/>
    <cellStyle name="AdjNo 15 6 2" xfId="1915" xr:uid="{00000000-0005-0000-0000-000095080000}"/>
    <cellStyle name="AdjNo 15 6 3" xfId="23818" xr:uid="{00000000-0005-0000-0000-000096080000}"/>
    <cellStyle name="AdjNo 15 6 4" xfId="23819" xr:uid="{00000000-0005-0000-0000-000097080000}"/>
    <cellStyle name="AdjNo 15 7" xfId="1916" xr:uid="{00000000-0005-0000-0000-000098080000}"/>
    <cellStyle name="AdjNo 15 7 2" xfId="1917" xr:uid="{00000000-0005-0000-0000-000099080000}"/>
    <cellStyle name="AdjNo 15 7 3" xfId="23820" xr:uid="{00000000-0005-0000-0000-00009A080000}"/>
    <cellStyle name="AdjNo 15 7 4" xfId="23821" xr:uid="{00000000-0005-0000-0000-00009B080000}"/>
    <cellStyle name="AdjNo 15 8" xfId="1918" xr:uid="{00000000-0005-0000-0000-00009C080000}"/>
    <cellStyle name="AdjNo 15 9" xfId="23822" xr:uid="{00000000-0005-0000-0000-00009D080000}"/>
    <cellStyle name="AdjNo 16" xfId="1919" xr:uid="{00000000-0005-0000-0000-00009E080000}"/>
    <cellStyle name="AdjNo 16 10" xfId="23823" xr:uid="{00000000-0005-0000-0000-00009F080000}"/>
    <cellStyle name="AdjNo 16 2" xfId="1920" xr:uid="{00000000-0005-0000-0000-0000A0080000}"/>
    <cellStyle name="AdjNo 16 2 2" xfId="1921" xr:uid="{00000000-0005-0000-0000-0000A1080000}"/>
    <cellStyle name="AdjNo 16 2 3" xfId="23824" xr:uid="{00000000-0005-0000-0000-0000A2080000}"/>
    <cellStyle name="AdjNo 16 2 4" xfId="23825" xr:uid="{00000000-0005-0000-0000-0000A3080000}"/>
    <cellStyle name="AdjNo 16 3" xfId="1922" xr:uid="{00000000-0005-0000-0000-0000A4080000}"/>
    <cellStyle name="AdjNo 16 3 2" xfId="1923" xr:uid="{00000000-0005-0000-0000-0000A5080000}"/>
    <cellStyle name="AdjNo 16 3 3" xfId="23826" xr:uid="{00000000-0005-0000-0000-0000A6080000}"/>
    <cellStyle name="AdjNo 16 3 4" xfId="23827" xr:uid="{00000000-0005-0000-0000-0000A7080000}"/>
    <cellStyle name="AdjNo 16 4" xfId="1924" xr:uid="{00000000-0005-0000-0000-0000A8080000}"/>
    <cellStyle name="AdjNo 16 4 2" xfId="1925" xr:uid="{00000000-0005-0000-0000-0000A9080000}"/>
    <cellStyle name="AdjNo 16 4 3" xfId="23828" xr:uid="{00000000-0005-0000-0000-0000AA080000}"/>
    <cellStyle name="AdjNo 16 4 4" xfId="23829" xr:uid="{00000000-0005-0000-0000-0000AB080000}"/>
    <cellStyle name="AdjNo 16 5" xfId="1926" xr:uid="{00000000-0005-0000-0000-0000AC080000}"/>
    <cellStyle name="AdjNo 16 5 2" xfId="1927" xr:uid="{00000000-0005-0000-0000-0000AD080000}"/>
    <cellStyle name="AdjNo 16 5 3" xfId="23830" xr:uid="{00000000-0005-0000-0000-0000AE080000}"/>
    <cellStyle name="AdjNo 16 5 4" xfId="23831" xr:uid="{00000000-0005-0000-0000-0000AF080000}"/>
    <cellStyle name="AdjNo 16 6" xfId="1928" xr:uid="{00000000-0005-0000-0000-0000B0080000}"/>
    <cellStyle name="AdjNo 16 6 2" xfId="1929" xr:uid="{00000000-0005-0000-0000-0000B1080000}"/>
    <cellStyle name="AdjNo 16 6 3" xfId="23832" xr:uid="{00000000-0005-0000-0000-0000B2080000}"/>
    <cellStyle name="AdjNo 16 6 4" xfId="23833" xr:uid="{00000000-0005-0000-0000-0000B3080000}"/>
    <cellStyle name="AdjNo 16 7" xfId="1930" xr:uid="{00000000-0005-0000-0000-0000B4080000}"/>
    <cellStyle name="AdjNo 16 7 2" xfId="1931" xr:uid="{00000000-0005-0000-0000-0000B5080000}"/>
    <cellStyle name="AdjNo 16 7 3" xfId="23834" xr:uid="{00000000-0005-0000-0000-0000B6080000}"/>
    <cellStyle name="AdjNo 16 7 4" xfId="23835" xr:uid="{00000000-0005-0000-0000-0000B7080000}"/>
    <cellStyle name="AdjNo 16 8" xfId="1932" xr:uid="{00000000-0005-0000-0000-0000B8080000}"/>
    <cellStyle name="AdjNo 16 9" xfId="23836" xr:uid="{00000000-0005-0000-0000-0000B9080000}"/>
    <cellStyle name="AdjNo 17" xfId="1933" xr:uid="{00000000-0005-0000-0000-0000BA080000}"/>
    <cellStyle name="AdjNo 17 10" xfId="23837" xr:uid="{00000000-0005-0000-0000-0000BB080000}"/>
    <cellStyle name="AdjNo 17 2" xfId="1934" xr:uid="{00000000-0005-0000-0000-0000BC080000}"/>
    <cellStyle name="AdjNo 17 2 2" xfId="1935" xr:uid="{00000000-0005-0000-0000-0000BD080000}"/>
    <cellStyle name="AdjNo 17 2 3" xfId="23838" xr:uid="{00000000-0005-0000-0000-0000BE080000}"/>
    <cellStyle name="AdjNo 17 2 4" xfId="23839" xr:uid="{00000000-0005-0000-0000-0000BF080000}"/>
    <cellStyle name="AdjNo 17 3" xfId="1936" xr:uid="{00000000-0005-0000-0000-0000C0080000}"/>
    <cellStyle name="AdjNo 17 3 2" xfId="1937" xr:uid="{00000000-0005-0000-0000-0000C1080000}"/>
    <cellStyle name="AdjNo 17 3 3" xfId="23840" xr:uid="{00000000-0005-0000-0000-0000C2080000}"/>
    <cellStyle name="AdjNo 17 3 4" xfId="23841" xr:uid="{00000000-0005-0000-0000-0000C3080000}"/>
    <cellStyle name="AdjNo 17 4" xfId="1938" xr:uid="{00000000-0005-0000-0000-0000C4080000}"/>
    <cellStyle name="AdjNo 17 4 2" xfId="1939" xr:uid="{00000000-0005-0000-0000-0000C5080000}"/>
    <cellStyle name="AdjNo 17 4 3" xfId="23842" xr:uid="{00000000-0005-0000-0000-0000C6080000}"/>
    <cellStyle name="AdjNo 17 4 4" xfId="23843" xr:uid="{00000000-0005-0000-0000-0000C7080000}"/>
    <cellStyle name="AdjNo 17 5" xfId="1940" xr:uid="{00000000-0005-0000-0000-0000C8080000}"/>
    <cellStyle name="AdjNo 17 5 2" xfId="1941" xr:uid="{00000000-0005-0000-0000-0000C9080000}"/>
    <cellStyle name="AdjNo 17 5 3" xfId="23844" xr:uid="{00000000-0005-0000-0000-0000CA080000}"/>
    <cellStyle name="AdjNo 17 5 4" xfId="23845" xr:uid="{00000000-0005-0000-0000-0000CB080000}"/>
    <cellStyle name="AdjNo 17 6" xfId="1942" xr:uid="{00000000-0005-0000-0000-0000CC080000}"/>
    <cellStyle name="AdjNo 17 6 2" xfId="1943" xr:uid="{00000000-0005-0000-0000-0000CD080000}"/>
    <cellStyle name="AdjNo 17 6 3" xfId="23846" xr:uid="{00000000-0005-0000-0000-0000CE080000}"/>
    <cellStyle name="AdjNo 17 6 4" xfId="23847" xr:uid="{00000000-0005-0000-0000-0000CF080000}"/>
    <cellStyle name="AdjNo 17 7" xfId="1944" xr:uid="{00000000-0005-0000-0000-0000D0080000}"/>
    <cellStyle name="AdjNo 17 7 2" xfId="1945" xr:uid="{00000000-0005-0000-0000-0000D1080000}"/>
    <cellStyle name="AdjNo 17 7 3" xfId="23848" xr:uid="{00000000-0005-0000-0000-0000D2080000}"/>
    <cellStyle name="AdjNo 17 7 4" xfId="23849" xr:uid="{00000000-0005-0000-0000-0000D3080000}"/>
    <cellStyle name="AdjNo 17 8" xfId="1946" xr:uid="{00000000-0005-0000-0000-0000D4080000}"/>
    <cellStyle name="AdjNo 17 9" xfId="23850" xr:uid="{00000000-0005-0000-0000-0000D5080000}"/>
    <cellStyle name="AdjNo 18" xfId="1947" xr:uid="{00000000-0005-0000-0000-0000D6080000}"/>
    <cellStyle name="AdjNo 18 2" xfId="1948" xr:uid="{00000000-0005-0000-0000-0000D7080000}"/>
    <cellStyle name="AdjNo 18 3" xfId="23851" xr:uid="{00000000-0005-0000-0000-0000D8080000}"/>
    <cellStyle name="AdjNo 18 4" xfId="23852" xr:uid="{00000000-0005-0000-0000-0000D9080000}"/>
    <cellStyle name="AdjNo 19" xfId="1949" xr:uid="{00000000-0005-0000-0000-0000DA080000}"/>
    <cellStyle name="AdjNo 19 2" xfId="1950" xr:uid="{00000000-0005-0000-0000-0000DB080000}"/>
    <cellStyle name="AdjNo 19 3" xfId="23853" xr:uid="{00000000-0005-0000-0000-0000DC080000}"/>
    <cellStyle name="AdjNo 19 4" xfId="23854" xr:uid="{00000000-0005-0000-0000-0000DD080000}"/>
    <cellStyle name="AdjNo 2" xfId="1951" xr:uid="{00000000-0005-0000-0000-0000DE080000}"/>
    <cellStyle name="AdjNo 2 10" xfId="1952" xr:uid="{00000000-0005-0000-0000-0000DF080000}"/>
    <cellStyle name="AdjNo 2 10 2" xfId="1953" xr:uid="{00000000-0005-0000-0000-0000E0080000}"/>
    <cellStyle name="AdjNo 2 10 3" xfId="23855" xr:uid="{00000000-0005-0000-0000-0000E1080000}"/>
    <cellStyle name="AdjNo 2 10 4" xfId="23856" xr:uid="{00000000-0005-0000-0000-0000E2080000}"/>
    <cellStyle name="AdjNo 2 11" xfId="1954" xr:uid="{00000000-0005-0000-0000-0000E3080000}"/>
    <cellStyle name="AdjNo 2 11 2" xfId="1955" xr:uid="{00000000-0005-0000-0000-0000E4080000}"/>
    <cellStyle name="AdjNo 2 11 3" xfId="23857" xr:uid="{00000000-0005-0000-0000-0000E5080000}"/>
    <cellStyle name="AdjNo 2 11 4" xfId="23858" xr:uid="{00000000-0005-0000-0000-0000E6080000}"/>
    <cellStyle name="AdjNo 2 12" xfId="1956" xr:uid="{00000000-0005-0000-0000-0000E7080000}"/>
    <cellStyle name="AdjNo 2 13" xfId="23859" xr:uid="{00000000-0005-0000-0000-0000E8080000}"/>
    <cellStyle name="AdjNo 2 14" xfId="23860" xr:uid="{00000000-0005-0000-0000-0000E9080000}"/>
    <cellStyle name="AdjNo 2 2" xfId="1957" xr:uid="{00000000-0005-0000-0000-0000EA080000}"/>
    <cellStyle name="AdjNo 2 2 10" xfId="23861" xr:uid="{00000000-0005-0000-0000-0000EB080000}"/>
    <cellStyle name="AdjNo 2 2 2" xfId="1958" xr:uid="{00000000-0005-0000-0000-0000EC080000}"/>
    <cellStyle name="AdjNo 2 2 2 2" xfId="1959" xr:uid="{00000000-0005-0000-0000-0000ED080000}"/>
    <cellStyle name="AdjNo 2 2 2 3" xfId="23862" xr:uid="{00000000-0005-0000-0000-0000EE080000}"/>
    <cellStyle name="AdjNo 2 2 2 4" xfId="23863" xr:uid="{00000000-0005-0000-0000-0000EF080000}"/>
    <cellStyle name="AdjNo 2 2 3" xfId="1960" xr:uid="{00000000-0005-0000-0000-0000F0080000}"/>
    <cellStyle name="AdjNo 2 2 3 2" xfId="1961" xr:uid="{00000000-0005-0000-0000-0000F1080000}"/>
    <cellStyle name="AdjNo 2 2 3 3" xfId="23864" xr:uid="{00000000-0005-0000-0000-0000F2080000}"/>
    <cellStyle name="AdjNo 2 2 3 4" xfId="23865" xr:uid="{00000000-0005-0000-0000-0000F3080000}"/>
    <cellStyle name="AdjNo 2 2 4" xfId="1962" xr:uid="{00000000-0005-0000-0000-0000F4080000}"/>
    <cellStyle name="AdjNo 2 2 4 2" xfId="1963" xr:uid="{00000000-0005-0000-0000-0000F5080000}"/>
    <cellStyle name="AdjNo 2 2 4 3" xfId="23866" xr:uid="{00000000-0005-0000-0000-0000F6080000}"/>
    <cellStyle name="AdjNo 2 2 4 4" xfId="23867" xr:uid="{00000000-0005-0000-0000-0000F7080000}"/>
    <cellStyle name="AdjNo 2 2 5" xfId="1964" xr:uid="{00000000-0005-0000-0000-0000F8080000}"/>
    <cellStyle name="AdjNo 2 2 5 2" xfId="1965" xr:uid="{00000000-0005-0000-0000-0000F9080000}"/>
    <cellStyle name="AdjNo 2 2 5 3" xfId="23868" xr:uid="{00000000-0005-0000-0000-0000FA080000}"/>
    <cellStyle name="AdjNo 2 2 5 4" xfId="23869" xr:uid="{00000000-0005-0000-0000-0000FB080000}"/>
    <cellStyle name="AdjNo 2 2 6" xfId="1966" xr:uid="{00000000-0005-0000-0000-0000FC080000}"/>
    <cellStyle name="AdjNo 2 2 6 2" xfId="1967" xr:uid="{00000000-0005-0000-0000-0000FD080000}"/>
    <cellStyle name="AdjNo 2 2 6 3" xfId="23870" xr:uid="{00000000-0005-0000-0000-0000FE080000}"/>
    <cellStyle name="AdjNo 2 2 6 4" xfId="23871" xr:uid="{00000000-0005-0000-0000-0000FF080000}"/>
    <cellStyle name="AdjNo 2 2 7" xfId="1968" xr:uid="{00000000-0005-0000-0000-000000090000}"/>
    <cellStyle name="AdjNo 2 2 7 2" xfId="1969" xr:uid="{00000000-0005-0000-0000-000001090000}"/>
    <cellStyle name="AdjNo 2 2 7 3" xfId="23872" xr:uid="{00000000-0005-0000-0000-000002090000}"/>
    <cellStyle name="AdjNo 2 2 7 4" xfId="23873" xr:uid="{00000000-0005-0000-0000-000003090000}"/>
    <cellStyle name="AdjNo 2 2 8" xfId="1970" xr:uid="{00000000-0005-0000-0000-000004090000}"/>
    <cellStyle name="AdjNo 2 2 9" xfId="23874" xr:uid="{00000000-0005-0000-0000-000005090000}"/>
    <cellStyle name="AdjNo 2 3" xfId="1971" xr:uid="{00000000-0005-0000-0000-000006090000}"/>
    <cellStyle name="AdjNo 2 3 10" xfId="23875" xr:uid="{00000000-0005-0000-0000-000007090000}"/>
    <cellStyle name="AdjNo 2 3 2" xfId="1972" xr:uid="{00000000-0005-0000-0000-000008090000}"/>
    <cellStyle name="AdjNo 2 3 2 2" xfId="1973" xr:uid="{00000000-0005-0000-0000-000009090000}"/>
    <cellStyle name="AdjNo 2 3 2 3" xfId="23876" xr:uid="{00000000-0005-0000-0000-00000A090000}"/>
    <cellStyle name="AdjNo 2 3 2 4" xfId="23877" xr:uid="{00000000-0005-0000-0000-00000B090000}"/>
    <cellStyle name="AdjNo 2 3 3" xfId="1974" xr:uid="{00000000-0005-0000-0000-00000C090000}"/>
    <cellStyle name="AdjNo 2 3 3 2" xfId="1975" xr:uid="{00000000-0005-0000-0000-00000D090000}"/>
    <cellStyle name="AdjNo 2 3 3 3" xfId="23878" xr:uid="{00000000-0005-0000-0000-00000E090000}"/>
    <cellStyle name="AdjNo 2 3 3 4" xfId="23879" xr:uid="{00000000-0005-0000-0000-00000F090000}"/>
    <cellStyle name="AdjNo 2 3 4" xfId="1976" xr:uid="{00000000-0005-0000-0000-000010090000}"/>
    <cellStyle name="AdjNo 2 3 4 2" xfId="1977" xr:uid="{00000000-0005-0000-0000-000011090000}"/>
    <cellStyle name="AdjNo 2 3 4 3" xfId="23880" xr:uid="{00000000-0005-0000-0000-000012090000}"/>
    <cellStyle name="AdjNo 2 3 4 4" xfId="23881" xr:uid="{00000000-0005-0000-0000-000013090000}"/>
    <cellStyle name="AdjNo 2 3 5" xfId="1978" xr:uid="{00000000-0005-0000-0000-000014090000}"/>
    <cellStyle name="AdjNo 2 3 5 2" xfId="1979" xr:uid="{00000000-0005-0000-0000-000015090000}"/>
    <cellStyle name="AdjNo 2 3 5 3" xfId="23882" xr:uid="{00000000-0005-0000-0000-000016090000}"/>
    <cellStyle name="AdjNo 2 3 5 4" xfId="23883" xr:uid="{00000000-0005-0000-0000-000017090000}"/>
    <cellStyle name="AdjNo 2 3 6" xfId="1980" xr:uid="{00000000-0005-0000-0000-000018090000}"/>
    <cellStyle name="AdjNo 2 3 6 2" xfId="1981" xr:uid="{00000000-0005-0000-0000-000019090000}"/>
    <cellStyle name="AdjNo 2 3 6 3" xfId="23884" xr:uid="{00000000-0005-0000-0000-00001A090000}"/>
    <cellStyle name="AdjNo 2 3 6 4" xfId="23885" xr:uid="{00000000-0005-0000-0000-00001B090000}"/>
    <cellStyle name="AdjNo 2 3 7" xfId="1982" xr:uid="{00000000-0005-0000-0000-00001C090000}"/>
    <cellStyle name="AdjNo 2 3 7 2" xfId="1983" xr:uid="{00000000-0005-0000-0000-00001D090000}"/>
    <cellStyle name="AdjNo 2 3 7 3" xfId="23886" xr:uid="{00000000-0005-0000-0000-00001E090000}"/>
    <cellStyle name="AdjNo 2 3 7 4" xfId="23887" xr:uid="{00000000-0005-0000-0000-00001F090000}"/>
    <cellStyle name="AdjNo 2 3 8" xfId="1984" xr:uid="{00000000-0005-0000-0000-000020090000}"/>
    <cellStyle name="AdjNo 2 3 9" xfId="23888" xr:uid="{00000000-0005-0000-0000-000021090000}"/>
    <cellStyle name="AdjNo 2 4" xfId="1985" xr:uid="{00000000-0005-0000-0000-000022090000}"/>
    <cellStyle name="AdjNo 2 4 10" xfId="23889" xr:uid="{00000000-0005-0000-0000-000023090000}"/>
    <cellStyle name="AdjNo 2 4 2" xfId="1986" xr:uid="{00000000-0005-0000-0000-000024090000}"/>
    <cellStyle name="AdjNo 2 4 2 2" xfId="1987" xr:uid="{00000000-0005-0000-0000-000025090000}"/>
    <cellStyle name="AdjNo 2 4 2 3" xfId="23890" xr:uid="{00000000-0005-0000-0000-000026090000}"/>
    <cellStyle name="AdjNo 2 4 2 4" xfId="23891" xr:uid="{00000000-0005-0000-0000-000027090000}"/>
    <cellStyle name="AdjNo 2 4 3" xfId="1988" xr:uid="{00000000-0005-0000-0000-000028090000}"/>
    <cellStyle name="AdjNo 2 4 3 2" xfId="1989" xr:uid="{00000000-0005-0000-0000-000029090000}"/>
    <cellStyle name="AdjNo 2 4 3 3" xfId="23892" xr:uid="{00000000-0005-0000-0000-00002A090000}"/>
    <cellStyle name="AdjNo 2 4 3 4" xfId="23893" xr:uid="{00000000-0005-0000-0000-00002B090000}"/>
    <cellStyle name="AdjNo 2 4 4" xfId="1990" xr:uid="{00000000-0005-0000-0000-00002C090000}"/>
    <cellStyle name="AdjNo 2 4 4 2" xfId="1991" xr:uid="{00000000-0005-0000-0000-00002D090000}"/>
    <cellStyle name="AdjNo 2 4 4 3" xfId="23894" xr:uid="{00000000-0005-0000-0000-00002E090000}"/>
    <cellStyle name="AdjNo 2 4 4 4" xfId="23895" xr:uid="{00000000-0005-0000-0000-00002F090000}"/>
    <cellStyle name="AdjNo 2 4 5" xfId="1992" xr:uid="{00000000-0005-0000-0000-000030090000}"/>
    <cellStyle name="AdjNo 2 4 5 2" xfId="1993" xr:uid="{00000000-0005-0000-0000-000031090000}"/>
    <cellStyle name="AdjNo 2 4 5 3" xfId="23896" xr:uid="{00000000-0005-0000-0000-000032090000}"/>
    <cellStyle name="AdjNo 2 4 5 4" xfId="23897" xr:uid="{00000000-0005-0000-0000-000033090000}"/>
    <cellStyle name="AdjNo 2 4 6" xfId="1994" xr:uid="{00000000-0005-0000-0000-000034090000}"/>
    <cellStyle name="AdjNo 2 4 6 2" xfId="1995" xr:uid="{00000000-0005-0000-0000-000035090000}"/>
    <cellStyle name="AdjNo 2 4 6 3" xfId="23898" xr:uid="{00000000-0005-0000-0000-000036090000}"/>
    <cellStyle name="AdjNo 2 4 6 4" xfId="23899" xr:uid="{00000000-0005-0000-0000-000037090000}"/>
    <cellStyle name="AdjNo 2 4 7" xfId="1996" xr:uid="{00000000-0005-0000-0000-000038090000}"/>
    <cellStyle name="AdjNo 2 4 7 2" xfId="1997" xr:uid="{00000000-0005-0000-0000-000039090000}"/>
    <cellStyle name="AdjNo 2 4 7 3" xfId="23900" xr:uid="{00000000-0005-0000-0000-00003A090000}"/>
    <cellStyle name="AdjNo 2 4 7 4" xfId="23901" xr:uid="{00000000-0005-0000-0000-00003B090000}"/>
    <cellStyle name="AdjNo 2 4 8" xfId="1998" xr:uid="{00000000-0005-0000-0000-00003C090000}"/>
    <cellStyle name="AdjNo 2 4 9" xfId="23902" xr:uid="{00000000-0005-0000-0000-00003D090000}"/>
    <cellStyle name="AdjNo 2 5" xfId="1999" xr:uid="{00000000-0005-0000-0000-00003E090000}"/>
    <cellStyle name="AdjNo 2 5 10" xfId="23903" xr:uid="{00000000-0005-0000-0000-00003F090000}"/>
    <cellStyle name="AdjNo 2 5 2" xfId="2000" xr:uid="{00000000-0005-0000-0000-000040090000}"/>
    <cellStyle name="AdjNo 2 5 2 2" xfId="2001" xr:uid="{00000000-0005-0000-0000-000041090000}"/>
    <cellStyle name="AdjNo 2 5 2 3" xfId="23904" xr:uid="{00000000-0005-0000-0000-000042090000}"/>
    <cellStyle name="AdjNo 2 5 2 4" xfId="23905" xr:uid="{00000000-0005-0000-0000-000043090000}"/>
    <cellStyle name="AdjNo 2 5 3" xfId="2002" xr:uid="{00000000-0005-0000-0000-000044090000}"/>
    <cellStyle name="AdjNo 2 5 3 2" xfId="2003" xr:uid="{00000000-0005-0000-0000-000045090000}"/>
    <cellStyle name="AdjNo 2 5 3 3" xfId="23906" xr:uid="{00000000-0005-0000-0000-000046090000}"/>
    <cellStyle name="AdjNo 2 5 3 4" xfId="23907" xr:uid="{00000000-0005-0000-0000-000047090000}"/>
    <cellStyle name="AdjNo 2 5 4" xfId="2004" xr:uid="{00000000-0005-0000-0000-000048090000}"/>
    <cellStyle name="AdjNo 2 5 4 2" xfId="2005" xr:uid="{00000000-0005-0000-0000-000049090000}"/>
    <cellStyle name="AdjNo 2 5 4 3" xfId="23908" xr:uid="{00000000-0005-0000-0000-00004A090000}"/>
    <cellStyle name="AdjNo 2 5 4 4" xfId="23909" xr:uid="{00000000-0005-0000-0000-00004B090000}"/>
    <cellStyle name="AdjNo 2 5 5" xfId="2006" xr:uid="{00000000-0005-0000-0000-00004C090000}"/>
    <cellStyle name="AdjNo 2 5 5 2" xfId="2007" xr:uid="{00000000-0005-0000-0000-00004D090000}"/>
    <cellStyle name="AdjNo 2 5 5 3" xfId="23910" xr:uid="{00000000-0005-0000-0000-00004E090000}"/>
    <cellStyle name="AdjNo 2 5 5 4" xfId="23911" xr:uid="{00000000-0005-0000-0000-00004F090000}"/>
    <cellStyle name="AdjNo 2 5 6" xfId="2008" xr:uid="{00000000-0005-0000-0000-000050090000}"/>
    <cellStyle name="AdjNo 2 5 6 2" xfId="2009" xr:uid="{00000000-0005-0000-0000-000051090000}"/>
    <cellStyle name="AdjNo 2 5 6 3" xfId="23912" xr:uid="{00000000-0005-0000-0000-000052090000}"/>
    <cellStyle name="AdjNo 2 5 6 4" xfId="23913" xr:uid="{00000000-0005-0000-0000-000053090000}"/>
    <cellStyle name="AdjNo 2 5 7" xfId="2010" xr:uid="{00000000-0005-0000-0000-000054090000}"/>
    <cellStyle name="AdjNo 2 5 7 2" xfId="2011" xr:uid="{00000000-0005-0000-0000-000055090000}"/>
    <cellStyle name="AdjNo 2 5 7 3" xfId="23914" xr:uid="{00000000-0005-0000-0000-000056090000}"/>
    <cellStyle name="AdjNo 2 5 7 4" xfId="23915" xr:uid="{00000000-0005-0000-0000-000057090000}"/>
    <cellStyle name="AdjNo 2 5 8" xfId="2012" xr:uid="{00000000-0005-0000-0000-000058090000}"/>
    <cellStyle name="AdjNo 2 5 9" xfId="23916" xr:uid="{00000000-0005-0000-0000-000059090000}"/>
    <cellStyle name="AdjNo 2 6" xfId="2013" xr:uid="{00000000-0005-0000-0000-00005A090000}"/>
    <cellStyle name="AdjNo 2 6 2" xfId="2014" xr:uid="{00000000-0005-0000-0000-00005B090000}"/>
    <cellStyle name="AdjNo 2 6 3" xfId="23917" xr:uid="{00000000-0005-0000-0000-00005C090000}"/>
    <cellStyle name="AdjNo 2 6 4" xfId="23918" xr:uid="{00000000-0005-0000-0000-00005D090000}"/>
    <cellStyle name="AdjNo 2 7" xfId="2015" xr:uid="{00000000-0005-0000-0000-00005E090000}"/>
    <cellStyle name="AdjNo 2 7 2" xfId="2016" xr:uid="{00000000-0005-0000-0000-00005F090000}"/>
    <cellStyle name="AdjNo 2 7 3" xfId="23919" xr:uid="{00000000-0005-0000-0000-000060090000}"/>
    <cellStyle name="AdjNo 2 7 4" xfId="23920" xr:uid="{00000000-0005-0000-0000-000061090000}"/>
    <cellStyle name="AdjNo 2 8" xfId="2017" xr:uid="{00000000-0005-0000-0000-000062090000}"/>
    <cellStyle name="AdjNo 2 8 2" xfId="2018" xr:uid="{00000000-0005-0000-0000-000063090000}"/>
    <cellStyle name="AdjNo 2 8 3" xfId="23921" xr:uid="{00000000-0005-0000-0000-000064090000}"/>
    <cellStyle name="AdjNo 2 8 4" xfId="23922" xr:uid="{00000000-0005-0000-0000-000065090000}"/>
    <cellStyle name="AdjNo 2 9" xfId="2019" xr:uid="{00000000-0005-0000-0000-000066090000}"/>
    <cellStyle name="AdjNo 2 9 2" xfId="2020" xr:uid="{00000000-0005-0000-0000-000067090000}"/>
    <cellStyle name="AdjNo 2 9 3" xfId="23923" xr:uid="{00000000-0005-0000-0000-000068090000}"/>
    <cellStyle name="AdjNo 2 9 4" xfId="23924" xr:uid="{00000000-0005-0000-0000-000069090000}"/>
    <cellStyle name="AdjNo 20" xfId="2021" xr:uid="{00000000-0005-0000-0000-00006A090000}"/>
    <cellStyle name="AdjNo 20 2" xfId="2022" xr:uid="{00000000-0005-0000-0000-00006B090000}"/>
    <cellStyle name="AdjNo 20 3" xfId="23925" xr:uid="{00000000-0005-0000-0000-00006C090000}"/>
    <cellStyle name="AdjNo 20 4" xfId="23926" xr:uid="{00000000-0005-0000-0000-00006D090000}"/>
    <cellStyle name="AdjNo 21" xfId="2023" xr:uid="{00000000-0005-0000-0000-00006E090000}"/>
    <cellStyle name="AdjNo 21 2" xfId="2024" xr:uid="{00000000-0005-0000-0000-00006F090000}"/>
    <cellStyle name="AdjNo 21 3" xfId="23927" xr:uid="{00000000-0005-0000-0000-000070090000}"/>
    <cellStyle name="AdjNo 21 4" xfId="23928" xr:uid="{00000000-0005-0000-0000-000071090000}"/>
    <cellStyle name="AdjNo 22" xfId="2025" xr:uid="{00000000-0005-0000-0000-000072090000}"/>
    <cellStyle name="AdjNo 22 2" xfId="2026" xr:uid="{00000000-0005-0000-0000-000073090000}"/>
    <cellStyle name="AdjNo 22 3" xfId="23929" xr:uid="{00000000-0005-0000-0000-000074090000}"/>
    <cellStyle name="AdjNo 22 4" xfId="23930" xr:uid="{00000000-0005-0000-0000-000075090000}"/>
    <cellStyle name="AdjNo 23" xfId="2027" xr:uid="{00000000-0005-0000-0000-000076090000}"/>
    <cellStyle name="AdjNo 23 2" xfId="2028" xr:uid="{00000000-0005-0000-0000-000077090000}"/>
    <cellStyle name="AdjNo 23 3" xfId="23931" xr:uid="{00000000-0005-0000-0000-000078090000}"/>
    <cellStyle name="AdjNo 23 4" xfId="23932" xr:uid="{00000000-0005-0000-0000-000079090000}"/>
    <cellStyle name="AdjNo 24" xfId="2029" xr:uid="{00000000-0005-0000-0000-00007A090000}"/>
    <cellStyle name="AdjNo 25" xfId="23933" xr:uid="{00000000-0005-0000-0000-00007B090000}"/>
    <cellStyle name="AdjNo 26" xfId="23934" xr:uid="{00000000-0005-0000-0000-00007C090000}"/>
    <cellStyle name="AdjNo 3" xfId="2030" xr:uid="{00000000-0005-0000-0000-00007D090000}"/>
    <cellStyle name="AdjNo 3 10" xfId="2031" xr:uid="{00000000-0005-0000-0000-00007E090000}"/>
    <cellStyle name="AdjNo 3 10 2" xfId="2032" xr:uid="{00000000-0005-0000-0000-00007F090000}"/>
    <cellStyle name="AdjNo 3 10 3" xfId="23935" xr:uid="{00000000-0005-0000-0000-000080090000}"/>
    <cellStyle name="AdjNo 3 10 4" xfId="23936" xr:uid="{00000000-0005-0000-0000-000081090000}"/>
    <cellStyle name="AdjNo 3 11" xfId="2033" xr:uid="{00000000-0005-0000-0000-000082090000}"/>
    <cellStyle name="AdjNo 3 11 2" xfId="2034" xr:uid="{00000000-0005-0000-0000-000083090000}"/>
    <cellStyle name="AdjNo 3 11 3" xfId="23937" xr:uid="{00000000-0005-0000-0000-000084090000}"/>
    <cellStyle name="AdjNo 3 11 4" xfId="23938" xr:uid="{00000000-0005-0000-0000-000085090000}"/>
    <cellStyle name="AdjNo 3 12" xfId="2035" xr:uid="{00000000-0005-0000-0000-000086090000}"/>
    <cellStyle name="AdjNo 3 13" xfId="23939" xr:uid="{00000000-0005-0000-0000-000087090000}"/>
    <cellStyle name="AdjNo 3 14" xfId="23940" xr:uid="{00000000-0005-0000-0000-000088090000}"/>
    <cellStyle name="AdjNo 3 2" xfId="2036" xr:uid="{00000000-0005-0000-0000-000089090000}"/>
    <cellStyle name="AdjNo 3 2 10" xfId="23941" xr:uid="{00000000-0005-0000-0000-00008A090000}"/>
    <cellStyle name="AdjNo 3 2 2" xfId="2037" xr:uid="{00000000-0005-0000-0000-00008B090000}"/>
    <cellStyle name="AdjNo 3 2 2 2" xfId="2038" xr:uid="{00000000-0005-0000-0000-00008C090000}"/>
    <cellStyle name="AdjNo 3 2 2 3" xfId="23942" xr:uid="{00000000-0005-0000-0000-00008D090000}"/>
    <cellStyle name="AdjNo 3 2 2 4" xfId="23943" xr:uid="{00000000-0005-0000-0000-00008E090000}"/>
    <cellStyle name="AdjNo 3 2 3" xfId="2039" xr:uid="{00000000-0005-0000-0000-00008F090000}"/>
    <cellStyle name="AdjNo 3 2 3 2" xfId="2040" xr:uid="{00000000-0005-0000-0000-000090090000}"/>
    <cellStyle name="AdjNo 3 2 3 3" xfId="23944" xr:uid="{00000000-0005-0000-0000-000091090000}"/>
    <cellStyle name="AdjNo 3 2 3 4" xfId="23945" xr:uid="{00000000-0005-0000-0000-000092090000}"/>
    <cellStyle name="AdjNo 3 2 4" xfId="2041" xr:uid="{00000000-0005-0000-0000-000093090000}"/>
    <cellStyle name="AdjNo 3 2 4 2" xfId="2042" xr:uid="{00000000-0005-0000-0000-000094090000}"/>
    <cellStyle name="AdjNo 3 2 4 3" xfId="23946" xr:uid="{00000000-0005-0000-0000-000095090000}"/>
    <cellStyle name="AdjNo 3 2 4 4" xfId="23947" xr:uid="{00000000-0005-0000-0000-000096090000}"/>
    <cellStyle name="AdjNo 3 2 5" xfId="2043" xr:uid="{00000000-0005-0000-0000-000097090000}"/>
    <cellStyle name="AdjNo 3 2 5 2" xfId="2044" xr:uid="{00000000-0005-0000-0000-000098090000}"/>
    <cellStyle name="AdjNo 3 2 5 3" xfId="23948" xr:uid="{00000000-0005-0000-0000-000099090000}"/>
    <cellStyle name="AdjNo 3 2 5 4" xfId="23949" xr:uid="{00000000-0005-0000-0000-00009A090000}"/>
    <cellStyle name="AdjNo 3 2 6" xfId="2045" xr:uid="{00000000-0005-0000-0000-00009B090000}"/>
    <cellStyle name="AdjNo 3 2 6 2" xfId="2046" xr:uid="{00000000-0005-0000-0000-00009C090000}"/>
    <cellStyle name="AdjNo 3 2 6 3" xfId="23950" xr:uid="{00000000-0005-0000-0000-00009D090000}"/>
    <cellStyle name="AdjNo 3 2 6 4" xfId="23951" xr:uid="{00000000-0005-0000-0000-00009E090000}"/>
    <cellStyle name="AdjNo 3 2 7" xfId="2047" xr:uid="{00000000-0005-0000-0000-00009F090000}"/>
    <cellStyle name="AdjNo 3 2 7 2" xfId="2048" xr:uid="{00000000-0005-0000-0000-0000A0090000}"/>
    <cellStyle name="AdjNo 3 2 7 3" xfId="23952" xr:uid="{00000000-0005-0000-0000-0000A1090000}"/>
    <cellStyle name="AdjNo 3 2 7 4" xfId="23953" xr:uid="{00000000-0005-0000-0000-0000A2090000}"/>
    <cellStyle name="AdjNo 3 2 8" xfId="2049" xr:uid="{00000000-0005-0000-0000-0000A3090000}"/>
    <cellStyle name="AdjNo 3 2 9" xfId="23954" xr:uid="{00000000-0005-0000-0000-0000A4090000}"/>
    <cellStyle name="AdjNo 3 3" xfId="2050" xr:uid="{00000000-0005-0000-0000-0000A5090000}"/>
    <cellStyle name="AdjNo 3 3 10" xfId="23955" xr:uid="{00000000-0005-0000-0000-0000A6090000}"/>
    <cellStyle name="AdjNo 3 3 2" xfId="2051" xr:uid="{00000000-0005-0000-0000-0000A7090000}"/>
    <cellStyle name="AdjNo 3 3 2 2" xfId="2052" xr:uid="{00000000-0005-0000-0000-0000A8090000}"/>
    <cellStyle name="AdjNo 3 3 2 3" xfId="23956" xr:uid="{00000000-0005-0000-0000-0000A9090000}"/>
    <cellStyle name="AdjNo 3 3 2 4" xfId="23957" xr:uid="{00000000-0005-0000-0000-0000AA090000}"/>
    <cellStyle name="AdjNo 3 3 3" xfId="2053" xr:uid="{00000000-0005-0000-0000-0000AB090000}"/>
    <cellStyle name="AdjNo 3 3 3 2" xfId="2054" xr:uid="{00000000-0005-0000-0000-0000AC090000}"/>
    <cellStyle name="AdjNo 3 3 3 3" xfId="23958" xr:uid="{00000000-0005-0000-0000-0000AD090000}"/>
    <cellStyle name="AdjNo 3 3 3 4" xfId="23959" xr:uid="{00000000-0005-0000-0000-0000AE090000}"/>
    <cellStyle name="AdjNo 3 3 4" xfId="2055" xr:uid="{00000000-0005-0000-0000-0000AF090000}"/>
    <cellStyle name="AdjNo 3 3 4 2" xfId="2056" xr:uid="{00000000-0005-0000-0000-0000B0090000}"/>
    <cellStyle name="AdjNo 3 3 4 3" xfId="23960" xr:uid="{00000000-0005-0000-0000-0000B1090000}"/>
    <cellStyle name="AdjNo 3 3 4 4" xfId="23961" xr:uid="{00000000-0005-0000-0000-0000B2090000}"/>
    <cellStyle name="AdjNo 3 3 5" xfId="2057" xr:uid="{00000000-0005-0000-0000-0000B3090000}"/>
    <cellStyle name="AdjNo 3 3 5 2" xfId="2058" xr:uid="{00000000-0005-0000-0000-0000B4090000}"/>
    <cellStyle name="AdjNo 3 3 5 3" xfId="23962" xr:uid="{00000000-0005-0000-0000-0000B5090000}"/>
    <cellStyle name="AdjNo 3 3 5 4" xfId="23963" xr:uid="{00000000-0005-0000-0000-0000B6090000}"/>
    <cellStyle name="AdjNo 3 3 6" xfId="2059" xr:uid="{00000000-0005-0000-0000-0000B7090000}"/>
    <cellStyle name="AdjNo 3 3 6 2" xfId="2060" xr:uid="{00000000-0005-0000-0000-0000B8090000}"/>
    <cellStyle name="AdjNo 3 3 6 3" xfId="23964" xr:uid="{00000000-0005-0000-0000-0000B9090000}"/>
    <cellStyle name="AdjNo 3 3 6 4" xfId="23965" xr:uid="{00000000-0005-0000-0000-0000BA090000}"/>
    <cellStyle name="AdjNo 3 3 7" xfId="2061" xr:uid="{00000000-0005-0000-0000-0000BB090000}"/>
    <cellStyle name="AdjNo 3 3 7 2" xfId="2062" xr:uid="{00000000-0005-0000-0000-0000BC090000}"/>
    <cellStyle name="AdjNo 3 3 7 3" xfId="23966" xr:uid="{00000000-0005-0000-0000-0000BD090000}"/>
    <cellStyle name="AdjNo 3 3 7 4" xfId="23967" xr:uid="{00000000-0005-0000-0000-0000BE090000}"/>
    <cellStyle name="AdjNo 3 3 8" xfId="2063" xr:uid="{00000000-0005-0000-0000-0000BF090000}"/>
    <cellStyle name="AdjNo 3 3 9" xfId="23968" xr:uid="{00000000-0005-0000-0000-0000C0090000}"/>
    <cellStyle name="AdjNo 3 4" xfId="2064" xr:uid="{00000000-0005-0000-0000-0000C1090000}"/>
    <cellStyle name="AdjNo 3 4 10" xfId="23969" xr:uid="{00000000-0005-0000-0000-0000C2090000}"/>
    <cellStyle name="AdjNo 3 4 2" xfId="2065" xr:uid="{00000000-0005-0000-0000-0000C3090000}"/>
    <cellStyle name="AdjNo 3 4 2 2" xfId="2066" xr:uid="{00000000-0005-0000-0000-0000C4090000}"/>
    <cellStyle name="AdjNo 3 4 2 3" xfId="23970" xr:uid="{00000000-0005-0000-0000-0000C5090000}"/>
    <cellStyle name="AdjNo 3 4 2 4" xfId="23971" xr:uid="{00000000-0005-0000-0000-0000C6090000}"/>
    <cellStyle name="AdjNo 3 4 3" xfId="2067" xr:uid="{00000000-0005-0000-0000-0000C7090000}"/>
    <cellStyle name="AdjNo 3 4 3 2" xfId="2068" xr:uid="{00000000-0005-0000-0000-0000C8090000}"/>
    <cellStyle name="AdjNo 3 4 3 3" xfId="23972" xr:uid="{00000000-0005-0000-0000-0000C9090000}"/>
    <cellStyle name="AdjNo 3 4 3 4" xfId="23973" xr:uid="{00000000-0005-0000-0000-0000CA090000}"/>
    <cellStyle name="AdjNo 3 4 4" xfId="2069" xr:uid="{00000000-0005-0000-0000-0000CB090000}"/>
    <cellStyle name="AdjNo 3 4 4 2" xfId="2070" xr:uid="{00000000-0005-0000-0000-0000CC090000}"/>
    <cellStyle name="AdjNo 3 4 4 3" xfId="23974" xr:uid="{00000000-0005-0000-0000-0000CD090000}"/>
    <cellStyle name="AdjNo 3 4 4 4" xfId="23975" xr:uid="{00000000-0005-0000-0000-0000CE090000}"/>
    <cellStyle name="AdjNo 3 4 5" xfId="2071" xr:uid="{00000000-0005-0000-0000-0000CF090000}"/>
    <cellStyle name="AdjNo 3 4 5 2" xfId="2072" xr:uid="{00000000-0005-0000-0000-0000D0090000}"/>
    <cellStyle name="AdjNo 3 4 5 3" xfId="23976" xr:uid="{00000000-0005-0000-0000-0000D1090000}"/>
    <cellStyle name="AdjNo 3 4 5 4" xfId="23977" xr:uid="{00000000-0005-0000-0000-0000D2090000}"/>
    <cellStyle name="AdjNo 3 4 6" xfId="2073" xr:uid="{00000000-0005-0000-0000-0000D3090000}"/>
    <cellStyle name="AdjNo 3 4 6 2" xfId="2074" xr:uid="{00000000-0005-0000-0000-0000D4090000}"/>
    <cellStyle name="AdjNo 3 4 6 3" xfId="23978" xr:uid="{00000000-0005-0000-0000-0000D5090000}"/>
    <cellStyle name="AdjNo 3 4 6 4" xfId="23979" xr:uid="{00000000-0005-0000-0000-0000D6090000}"/>
    <cellStyle name="AdjNo 3 4 7" xfId="2075" xr:uid="{00000000-0005-0000-0000-0000D7090000}"/>
    <cellStyle name="AdjNo 3 4 7 2" xfId="2076" xr:uid="{00000000-0005-0000-0000-0000D8090000}"/>
    <cellStyle name="AdjNo 3 4 7 3" xfId="23980" xr:uid="{00000000-0005-0000-0000-0000D9090000}"/>
    <cellStyle name="AdjNo 3 4 7 4" xfId="23981" xr:uid="{00000000-0005-0000-0000-0000DA090000}"/>
    <cellStyle name="AdjNo 3 4 8" xfId="2077" xr:uid="{00000000-0005-0000-0000-0000DB090000}"/>
    <cellStyle name="AdjNo 3 4 9" xfId="23982" xr:uid="{00000000-0005-0000-0000-0000DC090000}"/>
    <cellStyle name="AdjNo 3 5" xfId="2078" xr:uid="{00000000-0005-0000-0000-0000DD090000}"/>
    <cellStyle name="AdjNo 3 5 10" xfId="23983" xr:uid="{00000000-0005-0000-0000-0000DE090000}"/>
    <cellStyle name="AdjNo 3 5 2" xfId="2079" xr:uid="{00000000-0005-0000-0000-0000DF090000}"/>
    <cellStyle name="AdjNo 3 5 2 2" xfId="2080" xr:uid="{00000000-0005-0000-0000-0000E0090000}"/>
    <cellStyle name="AdjNo 3 5 2 3" xfId="23984" xr:uid="{00000000-0005-0000-0000-0000E1090000}"/>
    <cellStyle name="AdjNo 3 5 2 4" xfId="23985" xr:uid="{00000000-0005-0000-0000-0000E2090000}"/>
    <cellStyle name="AdjNo 3 5 3" xfId="2081" xr:uid="{00000000-0005-0000-0000-0000E3090000}"/>
    <cellStyle name="AdjNo 3 5 3 2" xfId="2082" xr:uid="{00000000-0005-0000-0000-0000E4090000}"/>
    <cellStyle name="AdjNo 3 5 3 3" xfId="23986" xr:uid="{00000000-0005-0000-0000-0000E5090000}"/>
    <cellStyle name="AdjNo 3 5 3 4" xfId="23987" xr:uid="{00000000-0005-0000-0000-0000E6090000}"/>
    <cellStyle name="AdjNo 3 5 4" xfId="2083" xr:uid="{00000000-0005-0000-0000-0000E7090000}"/>
    <cellStyle name="AdjNo 3 5 4 2" xfId="2084" xr:uid="{00000000-0005-0000-0000-0000E8090000}"/>
    <cellStyle name="AdjNo 3 5 4 3" xfId="23988" xr:uid="{00000000-0005-0000-0000-0000E9090000}"/>
    <cellStyle name="AdjNo 3 5 4 4" xfId="23989" xr:uid="{00000000-0005-0000-0000-0000EA090000}"/>
    <cellStyle name="AdjNo 3 5 5" xfId="2085" xr:uid="{00000000-0005-0000-0000-0000EB090000}"/>
    <cellStyle name="AdjNo 3 5 5 2" xfId="2086" xr:uid="{00000000-0005-0000-0000-0000EC090000}"/>
    <cellStyle name="AdjNo 3 5 5 3" xfId="23990" xr:uid="{00000000-0005-0000-0000-0000ED090000}"/>
    <cellStyle name="AdjNo 3 5 5 4" xfId="23991" xr:uid="{00000000-0005-0000-0000-0000EE090000}"/>
    <cellStyle name="AdjNo 3 5 6" xfId="2087" xr:uid="{00000000-0005-0000-0000-0000EF090000}"/>
    <cellStyle name="AdjNo 3 5 6 2" xfId="2088" xr:uid="{00000000-0005-0000-0000-0000F0090000}"/>
    <cellStyle name="AdjNo 3 5 6 3" xfId="23992" xr:uid="{00000000-0005-0000-0000-0000F1090000}"/>
    <cellStyle name="AdjNo 3 5 6 4" xfId="23993" xr:uid="{00000000-0005-0000-0000-0000F2090000}"/>
    <cellStyle name="AdjNo 3 5 7" xfId="2089" xr:uid="{00000000-0005-0000-0000-0000F3090000}"/>
    <cellStyle name="AdjNo 3 5 7 2" xfId="2090" xr:uid="{00000000-0005-0000-0000-0000F4090000}"/>
    <cellStyle name="AdjNo 3 5 7 3" xfId="23994" xr:uid="{00000000-0005-0000-0000-0000F5090000}"/>
    <cellStyle name="AdjNo 3 5 7 4" xfId="23995" xr:uid="{00000000-0005-0000-0000-0000F6090000}"/>
    <cellStyle name="AdjNo 3 5 8" xfId="2091" xr:uid="{00000000-0005-0000-0000-0000F7090000}"/>
    <cellStyle name="AdjNo 3 5 9" xfId="23996" xr:uid="{00000000-0005-0000-0000-0000F8090000}"/>
    <cellStyle name="AdjNo 3 6" xfId="2092" xr:uid="{00000000-0005-0000-0000-0000F9090000}"/>
    <cellStyle name="AdjNo 3 6 2" xfId="2093" xr:uid="{00000000-0005-0000-0000-0000FA090000}"/>
    <cellStyle name="AdjNo 3 6 3" xfId="23997" xr:uid="{00000000-0005-0000-0000-0000FB090000}"/>
    <cellStyle name="AdjNo 3 6 4" xfId="23998" xr:uid="{00000000-0005-0000-0000-0000FC090000}"/>
    <cellStyle name="AdjNo 3 7" xfId="2094" xr:uid="{00000000-0005-0000-0000-0000FD090000}"/>
    <cellStyle name="AdjNo 3 7 2" xfId="2095" xr:uid="{00000000-0005-0000-0000-0000FE090000}"/>
    <cellStyle name="AdjNo 3 7 3" xfId="23999" xr:uid="{00000000-0005-0000-0000-0000FF090000}"/>
    <cellStyle name="AdjNo 3 7 4" xfId="24000" xr:uid="{00000000-0005-0000-0000-0000000A0000}"/>
    <cellStyle name="AdjNo 3 8" xfId="2096" xr:uid="{00000000-0005-0000-0000-0000010A0000}"/>
    <cellStyle name="AdjNo 3 8 2" xfId="2097" xr:uid="{00000000-0005-0000-0000-0000020A0000}"/>
    <cellStyle name="AdjNo 3 8 3" xfId="24001" xr:uid="{00000000-0005-0000-0000-0000030A0000}"/>
    <cellStyle name="AdjNo 3 8 4" xfId="24002" xr:uid="{00000000-0005-0000-0000-0000040A0000}"/>
    <cellStyle name="AdjNo 3 9" xfId="2098" xr:uid="{00000000-0005-0000-0000-0000050A0000}"/>
    <cellStyle name="AdjNo 3 9 2" xfId="2099" xr:uid="{00000000-0005-0000-0000-0000060A0000}"/>
    <cellStyle name="AdjNo 3 9 3" xfId="24003" xr:uid="{00000000-0005-0000-0000-0000070A0000}"/>
    <cellStyle name="AdjNo 3 9 4" xfId="24004" xr:uid="{00000000-0005-0000-0000-0000080A0000}"/>
    <cellStyle name="AdjNo 4" xfId="2100" xr:uid="{00000000-0005-0000-0000-0000090A0000}"/>
    <cellStyle name="AdjNo 4 10" xfId="2101" xr:uid="{00000000-0005-0000-0000-00000A0A0000}"/>
    <cellStyle name="AdjNo 4 10 2" xfId="2102" xr:uid="{00000000-0005-0000-0000-00000B0A0000}"/>
    <cellStyle name="AdjNo 4 10 3" xfId="24005" xr:uid="{00000000-0005-0000-0000-00000C0A0000}"/>
    <cellStyle name="AdjNo 4 10 4" xfId="24006" xr:uid="{00000000-0005-0000-0000-00000D0A0000}"/>
    <cellStyle name="AdjNo 4 11" xfId="2103" xr:uid="{00000000-0005-0000-0000-00000E0A0000}"/>
    <cellStyle name="AdjNo 4 11 2" xfId="2104" xr:uid="{00000000-0005-0000-0000-00000F0A0000}"/>
    <cellStyle name="AdjNo 4 11 3" xfId="24007" xr:uid="{00000000-0005-0000-0000-0000100A0000}"/>
    <cellStyle name="AdjNo 4 11 4" xfId="24008" xr:uid="{00000000-0005-0000-0000-0000110A0000}"/>
    <cellStyle name="AdjNo 4 12" xfId="2105" xr:uid="{00000000-0005-0000-0000-0000120A0000}"/>
    <cellStyle name="AdjNo 4 13" xfId="24009" xr:uid="{00000000-0005-0000-0000-0000130A0000}"/>
    <cellStyle name="AdjNo 4 14" xfId="24010" xr:uid="{00000000-0005-0000-0000-0000140A0000}"/>
    <cellStyle name="AdjNo 4 2" xfId="2106" xr:uid="{00000000-0005-0000-0000-0000150A0000}"/>
    <cellStyle name="AdjNo 4 2 10" xfId="24011" xr:uid="{00000000-0005-0000-0000-0000160A0000}"/>
    <cellStyle name="AdjNo 4 2 2" xfId="2107" xr:uid="{00000000-0005-0000-0000-0000170A0000}"/>
    <cellStyle name="AdjNo 4 2 2 2" xfId="2108" xr:uid="{00000000-0005-0000-0000-0000180A0000}"/>
    <cellStyle name="AdjNo 4 2 2 3" xfId="24012" xr:uid="{00000000-0005-0000-0000-0000190A0000}"/>
    <cellStyle name="AdjNo 4 2 2 4" xfId="24013" xr:uid="{00000000-0005-0000-0000-00001A0A0000}"/>
    <cellStyle name="AdjNo 4 2 3" xfId="2109" xr:uid="{00000000-0005-0000-0000-00001B0A0000}"/>
    <cellStyle name="AdjNo 4 2 3 2" xfId="2110" xr:uid="{00000000-0005-0000-0000-00001C0A0000}"/>
    <cellStyle name="AdjNo 4 2 3 3" xfId="24014" xr:uid="{00000000-0005-0000-0000-00001D0A0000}"/>
    <cellStyle name="AdjNo 4 2 3 4" xfId="24015" xr:uid="{00000000-0005-0000-0000-00001E0A0000}"/>
    <cellStyle name="AdjNo 4 2 4" xfId="2111" xr:uid="{00000000-0005-0000-0000-00001F0A0000}"/>
    <cellStyle name="AdjNo 4 2 4 2" xfId="2112" xr:uid="{00000000-0005-0000-0000-0000200A0000}"/>
    <cellStyle name="AdjNo 4 2 4 3" xfId="24016" xr:uid="{00000000-0005-0000-0000-0000210A0000}"/>
    <cellStyle name="AdjNo 4 2 4 4" xfId="24017" xr:uid="{00000000-0005-0000-0000-0000220A0000}"/>
    <cellStyle name="AdjNo 4 2 5" xfId="2113" xr:uid="{00000000-0005-0000-0000-0000230A0000}"/>
    <cellStyle name="AdjNo 4 2 5 2" xfId="2114" xr:uid="{00000000-0005-0000-0000-0000240A0000}"/>
    <cellStyle name="AdjNo 4 2 5 3" xfId="24018" xr:uid="{00000000-0005-0000-0000-0000250A0000}"/>
    <cellStyle name="AdjNo 4 2 5 4" xfId="24019" xr:uid="{00000000-0005-0000-0000-0000260A0000}"/>
    <cellStyle name="AdjNo 4 2 6" xfId="2115" xr:uid="{00000000-0005-0000-0000-0000270A0000}"/>
    <cellStyle name="AdjNo 4 2 6 2" xfId="2116" xr:uid="{00000000-0005-0000-0000-0000280A0000}"/>
    <cellStyle name="AdjNo 4 2 6 3" xfId="24020" xr:uid="{00000000-0005-0000-0000-0000290A0000}"/>
    <cellStyle name="AdjNo 4 2 6 4" xfId="24021" xr:uid="{00000000-0005-0000-0000-00002A0A0000}"/>
    <cellStyle name="AdjNo 4 2 7" xfId="2117" xr:uid="{00000000-0005-0000-0000-00002B0A0000}"/>
    <cellStyle name="AdjNo 4 2 7 2" xfId="2118" xr:uid="{00000000-0005-0000-0000-00002C0A0000}"/>
    <cellStyle name="AdjNo 4 2 7 3" xfId="24022" xr:uid="{00000000-0005-0000-0000-00002D0A0000}"/>
    <cellStyle name="AdjNo 4 2 7 4" xfId="24023" xr:uid="{00000000-0005-0000-0000-00002E0A0000}"/>
    <cellStyle name="AdjNo 4 2 8" xfId="2119" xr:uid="{00000000-0005-0000-0000-00002F0A0000}"/>
    <cellStyle name="AdjNo 4 2 9" xfId="24024" xr:uid="{00000000-0005-0000-0000-0000300A0000}"/>
    <cellStyle name="AdjNo 4 3" xfId="2120" xr:uid="{00000000-0005-0000-0000-0000310A0000}"/>
    <cellStyle name="AdjNo 4 3 10" xfId="24025" xr:uid="{00000000-0005-0000-0000-0000320A0000}"/>
    <cellStyle name="AdjNo 4 3 2" xfId="2121" xr:uid="{00000000-0005-0000-0000-0000330A0000}"/>
    <cellStyle name="AdjNo 4 3 2 2" xfId="2122" xr:uid="{00000000-0005-0000-0000-0000340A0000}"/>
    <cellStyle name="AdjNo 4 3 2 3" xfId="24026" xr:uid="{00000000-0005-0000-0000-0000350A0000}"/>
    <cellStyle name="AdjNo 4 3 2 4" xfId="24027" xr:uid="{00000000-0005-0000-0000-0000360A0000}"/>
    <cellStyle name="AdjNo 4 3 3" xfId="2123" xr:uid="{00000000-0005-0000-0000-0000370A0000}"/>
    <cellStyle name="AdjNo 4 3 3 2" xfId="2124" xr:uid="{00000000-0005-0000-0000-0000380A0000}"/>
    <cellStyle name="AdjNo 4 3 3 3" xfId="24028" xr:uid="{00000000-0005-0000-0000-0000390A0000}"/>
    <cellStyle name="AdjNo 4 3 3 4" xfId="24029" xr:uid="{00000000-0005-0000-0000-00003A0A0000}"/>
    <cellStyle name="AdjNo 4 3 4" xfId="2125" xr:uid="{00000000-0005-0000-0000-00003B0A0000}"/>
    <cellStyle name="AdjNo 4 3 4 2" xfId="2126" xr:uid="{00000000-0005-0000-0000-00003C0A0000}"/>
    <cellStyle name="AdjNo 4 3 4 3" xfId="24030" xr:uid="{00000000-0005-0000-0000-00003D0A0000}"/>
    <cellStyle name="AdjNo 4 3 4 4" xfId="24031" xr:uid="{00000000-0005-0000-0000-00003E0A0000}"/>
    <cellStyle name="AdjNo 4 3 5" xfId="2127" xr:uid="{00000000-0005-0000-0000-00003F0A0000}"/>
    <cellStyle name="AdjNo 4 3 5 2" xfId="2128" xr:uid="{00000000-0005-0000-0000-0000400A0000}"/>
    <cellStyle name="AdjNo 4 3 5 3" xfId="24032" xr:uid="{00000000-0005-0000-0000-0000410A0000}"/>
    <cellStyle name="AdjNo 4 3 5 4" xfId="24033" xr:uid="{00000000-0005-0000-0000-0000420A0000}"/>
    <cellStyle name="AdjNo 4 3 6" xfId="2129" xr:uid="{00000000-0005-0000-0000-0000430A0000}"/>
    <cellStyle name="AdjNo 4 3 6 2" xfId="2130" xr:uid="{00000000-0005-0000-0000-0000440A0000}"/>
    <cellStyle name="AdjNo 4 3 6 3" xfId="24034" xr:uid="{00000000-0005-0000-0000-0000450A0000}"/>
    <cellStyle name="AdjNo 4 3 6 4" xfId="24035" xr:uid="{00000000-0005-0000-0000-0000460A0000}"/>
    <cellStyle name="AdjNo 4 3 7" xfId="2131" xr:uid="{00000000-0005-0000-0000-0000470A0000}"/>
    <cellStyle name="AdjNo 4 3 7 2" xfId="2132" xr:uid="{00000000-0005-0000-0000-0000480A0000}"/>
    <cellStyle name="AdjNo 4 3 7 3" xfId="24036" xr:uid="{00000000-0005-0000-0000-0000490A0000}"/>
    <cellStyle name="AdjNo 4 3 7 4" xfId="24037" xr:uid="{00000000-0005-0000-0000-00004A0A0000}"/>
    <cellStyle name="AdjNo 4 3 8" xfId="2133" xr:uid="{00000000-0005-0000-0000-00004B0A0000}"/>
    <cellStyle name="AdjNo 4 3 9" xfId="24038" xr:uid="{00000000-0005-0000-0000-00004C0A0000}"/>
    <cellStyle name="AdjNo 4 4" xfId="2134" xr:uid="{00000000-0005-0000-0000-00004D0A0000}"/>
    <cellStyle name="AdjNo 4 4 10" xfId="24039" xr:uid="{00000000-0005-0000-0000-00004E0A0000}"/>
    <cellStyle name="AdjNo 4 4 2" xfId="2135" xr:uid="{00000000-0005-0000-0000-00004F0A0000}"/>
    <cellStyle name="AdjNo 4 4 2 2" xfId="2136" xr:uid="{00000000-0005-0000-0000-0000500A0000}"/>
    <cellStyle name="AdjNo 4 4 2 3" xfId="24040" xr:uid="{00000000-0005-0000-0000-0000510A0000}"/>
    <cellStyle name="AdjNo 4 4 2 4" xfId="24041" xr:uid="{00000000-0005-0000-0000-0000520A0000}"/>
    <cellStyle name="AdjNo 4 4 3" xfId="2137" xr:uid="{00000000-0005-0000-0000-0000530A0000}"/>
    <cellStyle name="AdjNo 4 4 3 2" xfId="2138" xr:uid="{00000000-0005-0000-0000-0000540A0000}"/>
    <cellStyle name="AdjNo 4 4 3 3" xfId="24042" xr:uid="{00000000-0005-0000-0000-0000550A0000}"/>
    <cellStyle name="AdjNo 4 4 3 4" xfId="24043" xr:uid="{00000000-0005-0000-0000-0000560A0000}"/>
    <cellStyle name="AdjNo 4 4 4" xfId="2139" xr:uid="{00000000-0005-0000-0000-0000570A0000}"/>
    <cellStyle name="AdjNo 4 4 4 2" xfId="2140" xr:uid="{00000000-0005-0000-0000-0000580A0000}"/>
    <cellStyle name="AdjNo 4 4 4 3" xfId="24044" xr:uid="{00000000-0005-0000-0000-0000590A0000}"/>
    <cellStyle name="AdjNo 4 4 4 4" xfId="24045" xr:uid="{00000000-0005-0000-0000-00005A0A0000}"/>
    <cellStyle name="AdjNo 4 4 5" xfId="2141" xr:uid="{00000000-0005-0000-0000-00005B0A0000}"/>
    <cellStyle name="AdjNo 4 4 5 2" xfId="2142" xr:uid="{00000000-0005-0000-0000-00005C0A0000}"/>
    <cellStyle name="AdjNo 4 4 5 3" xfId="24046" xr:uid="{00000000-0005-0000-0000-00005D0A0000}"/>
    <cellStyle name="AdjNo 4 4 5 4" xfId="24047" xr:uid="{00000000-0005-0000-0000-00005E0A0000}"/>
    <cellStyle name="AdjNo 4 4 6" xfId="2143" xr:uid="{00000000-0005-0000-0000-00005F0A0000}"/>
    <cellStyle name="AdjNo 4 4 6 2" xfId="2144" xr:uid="{00000000-0005-0000-0000-0000600A0000}"/>
    <cellStyle name="AdjNo 4 4 6 3" xfId="24048" xr:uid="{00000000-0005-0000-0000-0000610A0000}"/>
    <cellStyle name="AdjNo 4 4 6 4" xfId="24049" xr:uid="{00000000-0005-0000-0000-0000620A0000}"/>
    <cellStyle name="AdjNo 4 4 7" xfId="2145" xr:uid="{00000000-0005-0000-0000-0000630A0000}"/>
    <cellStyle name="AdjNo 4 4 7 2" xfId="2146" xr:uid="{00000000-0005-0000-0000-0000640A0000}"/>
    <cellStyle name="AdjNo 4 4 7 3" xfId="24050" xr:uid="{00000000-0005-0000-0000-0000650A0000}"/>
    <cellStyle name="AdjNo 4 4 7 4" xfId="24051" xr:uid="{00000000-0005-0000-0000-0000660A0000}"/>
    <cellStyle name="AdjNo 4 4 8" xfId="2147" xr:uid="{00000000-0005-0000-0000-0000670A0000}"/>
    <cellStyle name="AdjNo 4 4 9" xfId="24052" xr:uid="{00000000-0005-0000-0000-0000680A0000}"/>
    <cellStyle name="AdjNo 4 5" xfId="2148" xr:uid="{00000000-0005-0000-0000-0000690A0000}"/>
    <cellStyle name="AdjNo 4 5 10" xfId="24053" xr:uid="{00000000-0005-0000-0000-00006A0A0000}"/>
    <cellStyle name="AdjNo 4 5 2" xfId="2149" xr:uid="{00000000-0005-0000-0000-00006B0A0000}"/>
    <cellStyle name="AdjNo 4 5 2 2" xfId="2150" xr:uid="{00000000-0005-0000-0000-00006C0A0000}"/>
    <cellStyle name="AdjNo 4 5 2 3" xfId="24054" xr:uid="{00000000-0005-0000-0000-00006D0A0000}"/>
    <cellStyle name="AdjNo 4 5 2 4" xfId="24055" xr:uid="{00000000-0005-0000-0000-00006E0A0000}"/>
    <cellStyle name="AdjNo 4 5 3" xfId="2151" xr:uid="{00000000-0005-0000-0000-00006F0A0000}"/>
    <cellStyle name="AdjNo 4 5 3 2" xfId="2152" xr:uid="{00000000-0005-0000-0000-0000700A0000}"/>
    <cellStyle name="AdjNo 4 5 3 3" xfId="24056" xr:uid="{00000000-0005-0000-0000-0000710A0000}"/>
    <cellStyle name="AdjNo 4 5 3 4" xfId="24057" xr:uid="{00000000-0005-0000-0000-0000720A0000}"/>
    <cellStyle name="AdjNo 4 5 4" xfId="2153" xr:uid="{00000000-0005-0000-0000-0000730A0000}"/>
    <cellStyle name="AdjNo 4 5 4 2" xfId="2154" xr:uid="{00000000-0005-0000-0000-0000740A0000}"/>
    <cellStyle name="AdjNo 4 5 4 3" xfId="24058" xr:uid="{00000000-0005-0000-0000-0000750A0000}"/>
    <cellStyle name="AdjNo 4 5 4 4" xfId="24059" xr:uid="{00000000-0005-0000-0000-0000760A0000}"/>
    <cellStyle name="AdjNo 4 5 5" xfId="2155" xr:uid="{00000000-0005-0000-0000-0000770A0000}"/>
    <cellStyle name="AdjNo 4 5 5 2" xfId="2156" xr:uid="{00000000-0005-0000-0000-0000780A0000}"/>
    <cellStyle name="AdjNo 4 5 5 3" xfId="24060" xr:uid="{00000000-0005-0000-0000-0000790A0000}"/>
    <cellStyle name="AdjNo 4 5 5 4" xfId="24061" xr:uid="{00000000-0005-0000-0000-00007A0A0000}"/>
    <cellStyle name="AdjNo 4 5 6" xfId="2157" xr:uid="{00000000-0005-0000-0000-00007B0A0000}"/>
    <cellStyle name="AdjNo 4 5 6 2" xfId="2158" xr:uid="{00000000-0005-0000-0000-00007C0A0000}"/>
    <cellStyle name="AdjNo 4 5 6 3" xfId="24062" xr:uid="{00000000-0005-0000-0000-00007D0A0000}"/>
    <cellStyle name="AdjNo 4 5 6 4" xfId="24063" xr:uid="{00000000-0005-0000-0000-00007E0A0000}"/>
    <cellStyle name="AdjNo 4 5 7" xfId="2159" xr:uid="{00000000-0005-0000-0000-00007F0A0000}"/>
    <cellStyle name="AdjNo 4 5 7 2" xfId="2160" xr:uid="{00000000-0005-0000-0000-0000800A0000}"/>
    <cellStyle name="AdjNo 4 5 7 3" xfId="24064" xr:uid="{00000000-0005-0000-0000-0000810A0000}"/>
    <cellStyle name="AdjNo 4 5 7 4" xfId="24065" xr:uid="{00000000-0005-0000-0000-0000820A0000}"/>
    <cellStyle name="AdjNo 4 5 8" xfId="2161" xr:uid="{00000000-0005-0000-0000-0000830A0000}"/>
    <cellStyle name="AdjNo 4 5 9" xfId="24066" xr:uid="{00000000-0005-0000-0000-0000840A0000}"/>
    <cellStyle name="AdjNo 4 6" xfId="2162" xr:uid="{00000000-0005-0000-0000-0000850A0000}"/>
    <cellStyle name="AdjNo 4 6 2" xfId="2163" xr:uid="{00000000-0005-0000-0000-0000860A0000}"/>
    <cellStyle name="AdjNo 4 6 3" xfId="24067" xr:uid="{00000000-0005-0000-0000-0000870A0000}"/>
    <cellStyle name="AdjNo 4 6 4" xfId="24068" xr:uid="{00000000-0005-0000-0000-0000880A0000}"/>
    <cellStyle name="AdjNo 4 7" xfId="2164" xr:uid="{00000000-0005-0000-0000-0000890A0000}"/>
    <cellStyle name="AdjNo 4 7 2" xfId="2165" xr:uid="{00000000-0005-0000-0000-00008A0A0000}"/>
    <cellStyle name="AdjNo 4 7 3" xfId="24069" xr:uid="{00000000-0005-0000-0000-00008B0A0000}"/>
    <cellStyle name="AdjNo 4 7 4" xfId="24070" xr:uid="{00000000-0005-0000-0000-00008C0A0000}"/>
    <cellStyle name="AdjNo 4 8" xfId="2166" xr:uid="{00000000-0005-0000-0000-00008D0A0000}"/>
    <cellStyle name="AdjNo 4 8 2" xfId="2167" xr:uid="{00000000-0005-0000-0000-00008E0A0000}"/>
    <cellStyle name="AdjNo 4 8 3" xfId="24071" xr:uid="{00000000-0005-0000-0000-00008F0A0000}"/>
    <cellStyle name="AdjNo 4 8 4" xfId="24072" xr:uid="{00000000-0005-0000-0000-0000900A0000}"/>
    <cellStyle name="AdjNo 4 9" xfId="2168" xr:uid="{00000000-0005-0000-0000-0000910A0000}"/>
    <cellStyle name="AdjNo 4 9 2" xfId="2169" xr:uid="{00000000-0005-0000-0000-0000920A0000}"/>
    <cellStyle name="AdjNo 4 9 3" xfId="24073" xr:uid="{00000000-0005-0000-0000-0000930A0000}"/>
    <cellStyle name="AdjNo 4 9 4" xfId="24074" xr:uid="{00000000-0005-0000-0000-0000940A0000}"/>
    <cellStyle name="AdjNo 5" xfId="2170" xr:uid="{00000000-0005-0000-0000-0000950A0000}"/>
    <cellStyle name="AdjNo 5 10" xfId="2171" xr:uid="{00000000-0005-0000-0000-0000960A0000}"/>
    <cellStyle name="AdjNo 5 10 2" xfId="2172" xr:uid="{00000000-0005-0000-0000-0000970A0000}"/>
    <cellStyle name="AdjNo 5 10 3" xfId="24075" xr:uid="{00000000-0005-0000-0000-0000980A0000}"/>
    <cellStyle name="AdjNo 5 10 4" xfId="24076" xr:uid="{00000000-0005-0000-0000-0000990A0000}"/>
    <cellStyle name="AdjNo 5 11" xfId="2173" xr:uid="{00000000-0005-0000-0000-00009A0A0000}"/>
    <cellStyle name="AdjNo 5 11 2" xfId="2174" xr:uid="{00000000-0005-0000-0000-00009B0A0000}"/>
    <cellStyle name="AdjNo 5 11 3" xfId="24077" xr:uid="{00000000-0005-0000-0000-00009C0A0000}"/>
    <cellStyle name="AdjNo 5 11 4" xfId="24078" xr:uid="{00000000-0005-0000-0000-00009D0A0000}"/>
    <cellStyle name="AdjNo 5 12" xfId="2175" xr:uid="{00000000-0005-0000-0000-00009E0A0000}"/>
    <cellStyle name="AdjNo 5 13" xfId="24079" xr:uid="{00000000-0005-0000-0000-00009F0A0000}"/>
    <cellStyle name="AdjNo 5 14" xfId="24080" xr:uid="{00000000-0005-0000-0000-0000A00A0000}"/>
    <cellStyle name="AdjNo 5 2" xfId="2176" xr:uid="{00000000-0005-0000-0000-0000A10A0000}"/>
    <cellStyle name="AdjNo 5 2 10" xfId="24081" xr:uid="{00000000-0005-0000-0000-0000A20A0000}"/>
    <cellStyle name="AdjNo 5 2 2" xfId="2177" xr:uid="{00000000-0005-0000-0000-0000A30A0000}"/>
    <cellStyle name="AdjNo 5 2 2 2" xfId="2178" xr:uid="{00000000-0005-0000-0000-0000A40A0000}"/>
    <cellStyle name="AdjNo 5 2 2 3" xfId="24082" xr:uid="{00000000-0005-0000-0000-0000A50A0000}"/>
    <cellStyle name="AdjNo 5 2 2 4" xfId="24083" xr:uid="{00000000-0005-0000-0000-0000A60A0000}"/>
    <cellStyle name="AdjNo 5 2 3" xfId="2179" xr:uid="{00000000-0005-0000-0000-0000A70A0000}"/>
    <cellStyle name="AdjNo 5 2 3 2" xfId="2180" xr:uid="{00000000-0005-0000-0000-0000A80A0000}"/>
    <cellStyle name="AdjNo 5 2 3 3" xfId="24084" xr:uid="{00000000-0005-0000-0000-0000A90A0000}"/>
    <cellStyle name="AdjNo 5 2 3 4" xfId="24085" xr:uid="{00000000-0005-0000-0000-0000AA0A0000}"/>
    <cellStyle name="AdjNo 5 2 4" xfId="2181" xr:uid="{00000000-0005-0000-0000-0000AB0A0000}"/>
    <cellStyle name="AdjNo 5 2 4 2" xfId="2182" xr:uid="{00000000-0005-0000-0000-0000AC0A0000}"/>
    <cellStyle name="AdjNo 5 2 4 3" xfId="24086" xr:uid="{00000000-0005-0000-0000-0000AD0A0000}"/>
    <cellStyle name="AdjNo 5 2 4 4" xfId="24087" xr:uid="{00000000-0005-0000-0000-0000AE0A0000}"/>
    <cellStyle name="AdjNo 5 2 5" xfId="2183" xr:uid="{00000000-0005-0000-0000-0000AF0A0000}"/>
    <cellStyle name="AdjNo 5 2 5 2" xfId="2184" xr:uid="{00000000-0005-0000-0000-0000B00A0000}"/>
    <cellStyle name="AdjNo 5 2 5 3" xfId="24088" xr:uid="{00000000-0005-0000-0000-0000B10A0000}"/>
    <cellStyle name="AdjNo 5 2 5 4" xfId="24089" xr:uid="{00000000-0005-0000-0000-0000B20A0000}"/>
    <cellStyle name="AdjNo 5 2 6" xfId="2185" xr:uid="{00000000-0005-0000-0000-0000B30A0000}"/>
    <cellStyle name="AdjNo 5 2 6 2" xfId="2186" xr:uid="{00000000-0005-0000-0000-0000B40A0000}"/>
    <cellStyle name="AdjNo 5 2 6 3" xfId="24090" xr:uid="{00000000-0005-0000-0000-0000B50A0000}"/>
    <cellStyle name="AdjNo 5 2 6 4" xfId="24091" xr:uid="{00000000-0005-0000-0000-0000B60A0000}"/>
    <cellStyle name="AdjNo 5 2 7" xfId="2187" xr:uid="{00000000-0005-0000-0000-0000B70A0000}"/>
    <cellStyle name="AdjNo 5 2 7 2" xfId="2188" xr:uid="{00000000-0005-0000-0000-0000B80A0000}"/>
    <cellStyle name="AdjNo 5 2 7 3" xfId="24092" xr:uid="{00000000-0005-0000-0000-0000B90A0000}"/>
    <cellStyle name="AdjNo 5 2 7 4" xfId="24093" xr:uid="{00000000-0005-0000-0000-0000BA0A0000}"/>
    <cellStyle name="AdjNo 5 2 8" xfId="2189" xr:uid="{00000000-0005-0000-0000-0000BB0A0000}"/>
    <cellStyle name="AdjNo 5 2 9" xfId="24094" xr:uid="{00000000-0005-0000-0000-0000BC0A0000}"/>
    <cellStyle name="AdjNo 5 3" xfId="2190" xr:uid="{00000000-0005-0000-0000-0000BD0A0000}"/>
    <cellStyle name="AdjNo 5 3 10" xfId="24095" xr:uid="{00000000-0005-0000-0000-0000BE0A0000}"/>
    <cellStyle name="AdjNo 5 3 2" xfId="2191" xr:uid="{00000000-0005-0000-0000-0000BF0A0000}"/>
    <cellStyle name="AdjNo 5 3 2 2" xfId="2192" xr:uid="{00000000-0005-0000-0000-0000C00A0000}"/>
    <cellStyle name="AdjNo 5 3 2 3" xfId="24096" xr:uid="{00000000-0005-0000-0000-0000C10A0000}"/>
    <cellStyle name="AdjNo 5 3 2 4" xfId="24097" xr:uid="{00000000-0005-0000-0000-0000C20A0000}"/>
    <cellStyle name="AdjNo 5 3 3" xfId="2193" xr:uid="{00000000-0005-0000-0000-0000C30A0000}"/>
    <cellStyle name="AdjNo 5 3 3 2" xfId="2194" xr:uid="{00000000-0005-0000-0000-0000C40A0000}"/>
    <cellStyle name="AdjNo 5 3 3 3" xfId="24098" xr:uid="{00000000-0005-0000-0000-0000C50A0000}"/>
    <cellStyle name="AdjNo 5 3 3 4" xfId="24099" xr:uid="{00000000-0005-0000-0000-0000C60A0000}"/>
    <cellStyle name="AdjNo 5 3 4" xfId="2195" xr:uid="{00000000-0005-0000-0000-0000C70A0000}"/>
    <cellStyle name="AdjNo 5 3 4 2" xfId="2196" xr:uid="{00000000-0005-0000-0000-0000C80A0000}"/>
    <cellStyle name="AdjNo 5 3 4 3" xfId="24100" xr:uid="{00000000-0005-0000-0000-0000C90A0000}"/>
    <cellStyle name="AdjNo 5 3 4 4" xfId="24101" xr:uid="{00000000-0005-0000-0000-0000CA0A0000}"/>
    <cellStyle name="AdjNo 5 3 5" xfId="2197" xr:uid="{00000000-0005-0000-0000-0000CB0A0000}"/>
    <cellStyle name="AdjNo 5 3 5 2" xfId="2198" xr:uid="{00000000-0005-0000-0000-0000CC0A0000}"/>
    <cellStyle name="AdjNo 5 3 5 3" xfId="24102" xr:uid="{00000000-0005-0000-0000-0000CD0A0000}"/>
    <cellStyle name="AdjNo 5 3 5 4" xfId="24103" xr:uid="{00000000-0005-0000-0000-0000CE0A0000}"/>
    <cellStyle name="AdjNo 5 3 6" xfId="2199" xr:uid="{00000000-0005-0000-0000-0000CF0A0000}"/>
    <cellStyle name="AdjNo 5 3 6 2" xfId="2200" xr:uid="{00000000-0005-0000-0000-0000D00A0000}"/>
    <cellStyle name="AdjNo 5 3 6 3" xfId="24104" xr:uid="{00000000-0005-0000-0000-0000D10A0000}"/>
    <cellStyle name="AdjNo 5 3 6 4" xfId="24105" xr:uid="{00000000-0005-0000-0000-0000D20A0000}"/>
    <cellStyle name="AdjNo 5 3 7" xfId="2201" xr:uid="{00000000-0005-0000-0000-0000D30A0000}"/>
    <cellStyle name="AdjNo 5 3 7 2" xfId="2202" xr:uid="{00000000-0005-0000-0000-0000D40A0000}"/>
    <cellStyle name="AdjNo 5 3 7 3" xfId="24106" xr:uid="{00000000-0005-0000-0000-0000D50A0000}"/>
    <cellStyle name="AdjNo 5 3 7 4" xfId="24107" xr:uid="{00000000-0005-0000-0000-0000D60A0000}"/>
    <cellStyle name="AdjNo 5 3 8" xfId="2203" xr:uid="{00000000-0005-0000-0000-0000D70A0000}"/>
    <cellStyle name="AdjNo 5 3 9" xfId="24108" xr:uid="{00000000-0005-0000-0000-0000D80A0000}"/>
    <cellStyle name="AdjNo 5 4" xfId="2204" xr:uid="{00000000-0005-0000-0000-0000D90A0000}"/>
    <cellStyle name="AdjNo 5 4 10" xfId="24109" xr:uid="{00000000-0005-0000-0000-0000DA0A0000}"/>
    <cellStyle name="AdjNo 5 4 2" xfId="2205" xr:uid="{00000000-0005-0000-0000-0000DB0A0000}"/>
    <cellStyle name="AdjNo 5 4 2 2" xfId="2206" xr:uid="{00000000-0005-0000-0000-0000DC0A0000}"/>
    <cellStyle name="AdjNo 5 4 2 3" xfId="24110" xr:uid="{00000000-0005-0000-0000-0000DD0A0000}"/>
    <cellStyle name="AdjNo 5 4 2 4" xfId="24111" xr:uid="{00000000-0005-0000-0000-0000DE0A0000}"/>
    <cellStyle name="AdjNo 5 4 3" xfId="2207" xr:uid="{00000000-0005-0000-0000-0000DF0A0000}"/>
    <cellStyle name="AdjNo 5 4 3 2" xfId="2208" xr:uid="{00000000-0005-0000-0000-0000E00A0000}"/>
    <cellStyle name="AdjNo 5 4 3 3" xfId="24112" xr:uid="{00000000-0005-0000-0000-0000E10A0000}"/>
    <cellStyle name="AdjNo 5 4 3 4" xfId="24113" xr:uid="{00000000-0005-0000-0000-0000E20A0000}"/>
    <cellStyle name="AdjNo 5 4 4" xfId="2209" xr:uid="{00000000-0005-0000-0000-0000E30A0000}"/>
    <cellStyle name="AdjNo 5 4 4 2" xfId="2210" xr:uid="{00000000-0005-0000-0000-0000E40A0000}"/>
    <cellStyle name="AdjNo 5 4 4 3" xfId="24114" xr:uid="{00000000-0005-0000-0000-0000E50A0000}"/>
    <cellStyle name="AdjNo 5 4 4 4" xfId="24115" xr:uid="{00000000-0005-0000-0000-0000E60A0000}"/>
    <cellStyle name="AdjNo 5 4 5" xfId="2211" xr:uid="{00000000-0005-0000-0000-0000E70A0000}"/>
    <cellStyle name="AdjNo 5 4 5 2" xfId="2212" xr:uid="{00000000-0005-0000-0000-0000E80A0000}"/>
    <cellStyle name="AdjNo 5 4 5 3" xfId="24116" xr:uid="{00000000-0005-0000-0000-0000E90A0000}"/>
    <cellStyle name="AdjNo 5 4 5 4" xfId="24117" xr:uid="{00000000-0005-0000-0000-0000EA0A0000}"/>
    <cellStyle name="AdjNo 5 4 6" xfId="2213" xr:uid="{00000000-0005-0000-0000-0000EB0A0000}"/>
    <cellStyle name="AdjNo 5 4 6 2" xfId="2214" xr:uid="{00000000-0005-0000-0000-0000EC0A0000}"/>
    <cellStyle name="AdjNo 5 4 6 3" xfId="24118" xr:uid="{00000000-0005-0000-0000-0000ED0A0000}"/>
    <cellStyle name="AdjNo 5 4 6 4" xfId="24119" xr:uid="{00000000-0005-0000-0000-0000EE0A0000}"/>
    <cellStyle name="AdjNo 5 4 7" xfId="2215" xr:uid="{00000000-0005-0000-0000-0000EF0A0000}"/>
    <cellStyle name="AdjNo 5 4 7 2" xfId="2216" xr:uid="{00000000-0005-0000-0000-0000F00A0000}"/>
    <cellStyle name="AdjNo 5 4 7 3" xfId="24120" xr:uid="{00000000-0005-0000-0000-0000F10A0000}"/>
    <cellStyle name="AdjNo 5 4 7 4" xfId="24121" xr:uid="{00000000-0005-0000-0000-0000F20A0000}"/>
    <cellStyle name="AdjNo 5 4 8" xfId="2217" xr:uid="{00000000-0005-0000-0000-0000F30A0000}"/>
    <cellStyle name="AdjNo 5 4 9" xfId="24122" xr:uid="{00000000-0005-0000-0000-0000F40A0000}"/>
    <cellStyle name="AdjNo 5 5" xfId="2218" xr:uid="{00000000-0005-0000-0000-0000F50A0000}"/>
    <cellStyle name="AdjNo 5 5 10" xfId="24123" xr:uid="{00000000-0005-0000-0000-0000F60A0000}"/>
    <cellStyle name="AdjNo 5 5 2" xfId="2219" xr:uid="{00000000-0005-0000-0000-0000F70A0000}"/>
    <cellStyle name="AdjNo 5 5 2 2" xfId="2220" xr:uid="{00000000-0005-0000-0000-0000F80A0000}"/>
    <cellStyle name="AdjNo 5 5 2 3" xfId="24124" xr:uid="{00000000-0005-0000-0000-0000F90A0000}"/>
    <cellStyle name="AdjNo 5 5 2 4" xfId="24125" xr:uid="{00000000-0005-0000-0000-0000FA0A0000}"/>
    <cellStyle name="AdjNo 5 5 3" xfId="2221" xr:uid="{00000000-0005-0000-0000-0000FB0A0000}"/>
    <cellStyle name="AdjNo 5 5 3 2" xfId="2222" xr:uid="{00000000-0005-0000-0000-0000FC0A0000}"/>
    <cellStyle name="AdjNo 5 5 3 3" xfId="24126" xr:uid="{00000000-0005-0000-0000-0000FD0A0000}"/>
    <cellStyle name="AdjNo 5 5 3 4" xfId="24127" xr:uid="{00000000-0005-0000-0000-0000FE0A0000}"/>
    <cellStyle name="AdjNo 5 5 4" xfId="2223" xr:uid="{00000000-0005-0000-0000-0000FF0A0000}"/>
    <cellStyle name="AdjNo 5 5 4 2" xfId="2224" xr:uid="{00000000-0005-0000-0000-0000000B0000}"/>
    <cellStyle name="AdjNo 5 5 4 3" xfId="24128" xr:uid="{00000000-0005-0000-0000-0000010B0000}"/>
    <cellStyle name="AdjNo 5 5 4 4" xfId="24129" xr:uid="{00000000-0005-0000-0000-0000020B0000}"/>
    <cellStyle name="AdjNo 5 5 5" xfId="2225" xr:uid="{00000000-0005-0000-0000-0000030B0000}"/>
    <cellStyle name="AdjNo 5 5 5 2" xfId="2226" xr:uid="{00000000-0005-0000-0000-0000040B0000}"/>
    <cellStyle name="AdjNo 5 5 5 3" xfId="24130" xr:uid="{00000000-0005-0000-0000-0000050B0000}"/>
    <cellStyle name="AdjNo 5 5 5 4" xfId="24131" xr:uid="{00000000-0005-0000-0000-0000060B0000}"/>
    <cellStyle name="AdjNo 5 5 6" xfId="2227" xr:uid="{00000000-0005-0000-0000-0000070B0000}"/>
    <cellStyle name="AdjNo 5 5 6 2" xfId="2228" xr:uid="{00000000-0005-0000-0000-0000080B0000}"/>
    <cellStyle name="AdjNo 5 5 6 3" xfId="24132" xr:uid="{00000000-0005-0000-0000-0000090B0000}"/>
    <cellStyle name="AdjNo 5 5 6 4" xfId="24133" xr:uid="{00000000-0005-0000-0000-00000A0B0000}"/>
    <cellStyle name="AdjNo 5 5 7" xfId="2229" xr:uid="{00000000-0005-0000-0000-00000B0B0000}"/>
    <cellStyle name="AdjNo 5 5 7 2" xfId="2230" xr:uid="{00000000-0005-0000-0000-00000C0B0000}"/>
    <cellStyle name="AdjNo 5 5 7 3" xfId="24134" xr:uid="{00000000-0005-0000-0000-00000D0B0000}"/>
    <cellStyle name="AdjNo 5 5 7 4" xfId="24135" xr:uid="{00000000-0005-0000-0000-00000E0B0000}"/>
    <cellStyle name="AdjNo 5 5 8" xfId="2231" xr:uid="{00000000-0005-0000-0000-00000F0B0000}"/>
    <cellStyle name="AdjNo 5 5 9" xfId="24136" xr:uid="{00000000-0005-0000-0000-0000100B0000}"/>
    <cellStyle name="AdjNo 5 6" xfId="2232" xr:uid="{00000000-0005-0000-0000-0000110B0000}"/>
    <cellStyle name="AdjNo 5 6 2" xfId="2233" xr:uid="{00000000-0005-0000-0000-0000120B0000}"/>
    <cellStyle name="AdjNo 5 6 3" xfId="24137" xr:uid="{00000000-0005-0000-0000-0000130B0000}"/>
    <cellStyle name="AdjNo 5 6 4" xfId="24138" xr:uid="{00000000-0005-0000-0000-0000140B0000}"/>
    <cellStyle name="AdjNo 5 7" xfId="2234" xr:uid="{00000000-0005-0000-0000-0000150B0000}"/>
    <cellStyle name="AdjNo 5 7 2" xfId="2235" xr:uid="{00000000-0005-0000-0000-0000160B0000}"/>
    <cellStyle name="AdjNo 5 7 3" xfId="24139" xr:uid="{00000000-0005-0000-0000-0000170B0000}"/>
    <cellStyle name="AdjNo 5 7 4" xfId="24140" xr:uid="{00000000-0005-0000-0000-0000180B0000}"/>
    <cellStyle name="AdjNo 5 8" xfId="2236" xr:uid="{00000000-0005-0000-0000-0000190B0000}"/>
    <cellStyle name="AdjNo 5 8 2" xfId="2237" xr:uid="{00000000-0005-0000-0000-00001A0B0000}"/>
    <cellStyle name="AdjNo 5 8 3" xfId="24141" xr:uid="{00000000-0005-0000-0000-00001B0B0000}"/>
    <cellStyle name="AdjNo 5 8 4" xfId="24142" xr:uid="{00000000-0005-0000-0000-00001C0B0000}"/>
    <cellStyle name="AdjNo 5 9" xfId="2238" xr:uid="{00000000-0005-0000-0000-00001D0B0000}"/>
    <cellStyle name="AdjNo 5 9 2" xfId="2239" xr:uid="{00000000-0005-0000-0000-00001E0B0000}"/>
    <cellStyle name="AdjNo 5 9 3" xfId="24143" xr:uid="{00000000-0005-0000-0000-00001F0B0000}"/>
    <cellStyle name="AdjNo 5 9 4" xfId="24144" xr:uid="{00000000-0005-0000-0000-0000200B0000}"/>
    <cellStyle name="AdjNo 6" xfId="2240" xr:uid="{00000000-0005-0000-0000-0000210B0000}"/>
    <cellStyle name="AdjNo 6 10" xfId="2241" xr:uid="{00000000-0005-0000-0000-0000220B0000}"/>
    <cellStyle name="AdjNo 6 10 2" xfId="2242" xr:uid="{00000000-0005-0000-0000-0000230B0000}"/>
    <cellStyle name="AdjNo 6 10 3" xfId="24145" xr:uid="{00000000-0005-0000-0000-0000240B0000}"/>
    <cellStyle name="AdjNo 6 10 4" xfId="24146" xr:uid="{00000000-0005-0000-0000-0000250B0000}"/>
    <cellStyle name="AdjNo 6 11" xfId="2243" xr:uid="{00000000-0005-0000-0000-0000260B0000}"/>
    <cellStyle name="AdjNo 6 11 2" xfId="2244" xr:uid="{00000000-0005-0000-0000-0000270B0000}"/>
    <cellStyle name="AdjNo 6 11 3" xfId="24147" xr:uid="{00000000-0005-0000-0000-0000280B0000}"/>
    <cellStyle name="AdjNo 6 11 4" xfId="24148" xr:uid="{00000000-0005-0000-0000-0000290B0000}"/>
    <cellStyle name="AdjNo 6 12" xfId="2245" xr:uid="{00000000-0005-0000-0000-00002A0B0000}"/>
    <cellStyle name="AdjNo 6 13" xfId="24149" xr:uid="{00000000-0005-0000-0000-00002B0B0000}"/>
    <cellStyle name="AdjNo 6 14" xfId="24150" xr:uid="{00000000-0005-0000-0000-00002C0B0000}"/>
    <cellStyle name="AdjNo 6 2" xfId="2246" xr:uid="{00000000-0005-0000-0000-00002D0B0000}"/>
    <cellStyle name="AdjNo 6 2 10" xfId="24151" xr:uid="{00000000-0005-0000-0000-00002E0B0000}"/>
    <cellStyle name="AdjNo 6 2 2" xfId="2247" xr:uid="{00000000-0005-0000-0000-00002F0B0000}"/>
    <cellStyle name="AdjNo 6 2 2 2" xfId="2248" xr:uid="{00000000-0005-0000-0000-0000300B0000}"/>
    <cellStyle name="AdjNo 6 2 2 3" xfId="24152" xr:uid="{00000000-0005-0000-0000-0000310B0000}"/>
    <cellStyle name="AdjNo 6 2 2 4" xfId="24153" xr:uid="{00000000-0005-0000-0000-0000320B0000}"/>
    <cellStyle name="AdjNo 6 2 3" xfId="2249" xr:uid="{00000000-0005-0000-0000-0000330B0000}"/>
    <cellStyle name="AdjNo 6 2 3 2" xfId="2250" xr:uid="{00000000-0005-0000-0000-0000340B0000}"/>
    <cellStyle name="AdjNo 6 2 3 3" xfId="24154" xr:uid="{00000000-0005-0000-0000-0000350B0000}"/>
    <cellStyle name="AdjNo 6 2 3 4" xfId="24155" xr:uid="{00000000-0005-0000-0000-0000360B0000}"/>
    <cellStyle name="AdjNo 6 2 4" xfId="2251" xr:uid="{00000000-0005-0000-0000-0000370B0000}"/>
    <cellStyle name="AdjNo 6 2 4 2" xfId="2252" xr:uid="{00000000-0005-0000-0000-0000380B0000}"/>
    <cellStyle name="AdjNo 6 2 4 3" xfId="24156" xr:uid="{00000000-0005-0000-0000-0000390B0000}"/>
    <cellStyle name="AdjNo 6 2 4 4" xfId="24157" xr:uid="{00000000-0005-0000-0000-00003A0B0000}"/>
    <cellStyle name="AdjNo 6 2 5" xfId="2253" xr:uid="{00000000-0005-0000-0000-00003B0B0000}"/>
    <cellStyle name="AdjNo 6 2 5 2" xfId="2254" xr:uid="{00000000-0005-0000-0000-00003C0B0000}"/>
    <cellStyle name="AdjNo 6 2 5 3" xfId="24158" xr:uid="{00000000-0005-0000-0000-00003D0B0000}"/>
    <cellStyle name="AdjNo 6 2 5 4" xfId="24159" xr:uid="{00000000-0005-0000-0000-00003E0B0000}"/>
    <cellStyle name="AdjNo 6 2 6" xfId="2255" xr:uid="{00000000-0005-0000-0000-00003F0B0000}"/>
    <cellStyle name="AdjNo 6 2 6 2" xfId="2256" xr:uid="{00000000-0005-0000-0000-0000400B0000}"/>
    <cellStyle name="AdjNo 6 2 6 3" xfId="24160" xr:uid="{00000000-0005-0000-0000-0000410B0000}"/>
    <cellStyle name="AdjNo 6 2 6 4" xfId="24161" xr:uid="{00000000-0005-0000-0000-0000420B0000}"/>
    <cellStyle name="AdjNo 6 2 7" xfId="2257" xr:uid="{00000000-0005-0000-0000-0000430B0000}"/>
    <cellStyle name="AdjNo 6 2 7 2" xfId="2258" xr:uid="{00000000-0005-0000-0000-0000440B0000}"/>
    <cellStyle name="AdjNo 6 2 7 3" xfId="24162" xr:uid="{00000000-0005-0000-0000-0000450B0000}"/>
    <cellStyle name="AdjNo 6 2 7 4" xfId="24163" xr:uid="{00000000-0005-0000-0000-0000460B0000}"/>
    <cellStyle name="AdjNo 6 2 8" xfId="2259" xr:uid="{00000000-0005-0000-0000-0000470B0000}"/>
    <cellStyle name="AdjNo 6 2 9" xfId="24164" xr:uid="{00000000-0005-0000-0000-0000480B0000}"/>
    <cellStyle name="AdjNo 6 3" xfId="2260" xr:uid="{00000000-0005-0000-0000-0000490B0000}"/>
    <cellStyle name="AdjNo 6 3 10" xfId="24165" xr:uid="{00000000-0005-0000-0000-00004A0B0000}"/>
    <cellStyle name="AdjNo 6 3 2" xfId="2261" xr:uid="{00000000-0005-0000-0000-00004B0B0000}"/>
    <cellStyle name="AdjNo 6 3 2 2" xfId="2262" xr:uid="{00000000-0005-0000-0000-00004C0B0000}"/>
    <cellStyle name="AdjNo 6 3 2 3" xfId="24166" xr:uid="{00000000-0005-0000-0000-00004D0B0000}"/>
    <cellStyle name="AdjNo 6 3 2 4" xfId="24167" xr:uid="{00000000-0005-0000-0000-00004E0B0000}"/>
    <cellStyle name="AdjNo 6 3 3" xfId="2263" xr:uid="{00000000-0005-0000-0000-00004F0B0000}"/>
    <cellStyle name="AdjNo 6 3 3 2" xfId="2264" xr:uid="{00000000-0005-0000-0000-0000500B0000}"/>
    <cellStyle name="AdjNo 6 3 3 3" xfId="24168" xr:uid="{00000000-0005-0000-0000-0000510B0000}"/>
    <cellStyle name="AdjNo 6 3 3 4" xfId="24169" xr:uid="{00000000-0005-0000-0000-0000520B0000}"/>
    <cellStyle name="AdjNo 6 3 4" xfId="2265" xr:uid="{00000000-0005-0000-0000-0000530B0000}"/>
    <cellStyle name="AdjNo 6 3 4 2" xfId="2266" xr:uid="{00000000-0005-0000-0000-0000540B0000}"/>
    <cellStyle name="AdjNo 6 3 4 3" xfId="24170" xr:uid="{00000000-0005-0000-0000-0000550B0000}"/>
    <cellStyle name="AdjNo 6 3 4 4" xfId="24171" xr:uid="{00000000-0005-0000-0000-0000560B0000}"/>
    <cellStyle name="AdjNo 6 3 5" xfId="2267" xr:uid="{00000000-0005-0000-0000-0000570B0000}"/>
    <cellStyle name="AdjNo 6 3 5 2" xfId="2268" xr:uid="{00000000-0005-0000-0000-0000580B0000}"/>
    <cellStyle name="AdjNo 6 3 5 3" xfId="24172" xr:uid="{00000000-0005-0000-0000-0000590B0000}"/>
    <cellStyle name="AdjNo 6 3 5 4" xfId="24173" xr:uid="{00000000-0005-0000-0000-00005A0B0000}"/>
    <cellStyle name="AdjNo 6 3 6" xfId="2269" xr:uid="{00000000-0005-0000-0000-00005B0B0000}"/>
    <cellStyle name="AdjNo 6 3 6 2" xfId="2270" xr:uid="{00000000-0005-0000-0000-00005C0B0000}"/>
    <cellStyle name="AdjNo 6 3 6 3" xfId="24174" xr:uid="{00000000-0005-0000-0000-00005D0B0000}"/>
    <cellStyle name="AdjNo 6 3 6 4" xfId="24175" xr:uid="{00000000-0005-0000-0000-00005E0B0000}"/>
    <cellStyle name="AdjNo 6 3 7" xfId="2271" xr:uid="{00000000-0005-0000-0000-00005F0B0000}"/>
    <cellStyle name="AdjNo 6 3 7 2" xfId="2272" xr:uid="{00000000-0005-0000-0000-0000600B0000}"/>
    <cellStyle name="AdjNo 6 3 7 3" xfId="24176" xr:uid="{00000000-0005-0000-0000-0000610B0000}"/>
    <cellStyle name="AdjNo 6 3 7 4" xfId="24177" xr:uid="{00000000-0005-0000-0000-0000620B0000}"/>
    <cellStyle name="AdjNo 6 3 8" xfId="2273" xr:uid="{00000000-0005-0000-0000-0000630B0000}"/>
    <cellStyle name="AdjNo 6 3 9" xfId="24178" xr:uid="{00000000-0005-0000-0000-0000640B0000}"/>
    <cellStyle name="AdjNo 6 4" xfId="2274" xr:uid="{00000000-0005-0000-0000-0000650B0000}"/>
    <cellStyle name="AdjNo 6 4 10" xfId="24179" xr:uid="{00000000-0005-0000-0000-0000660B0000}"/>
    <cellStyle name="AdjNo 6 4 2" xfId="2275" xr:uid="{00000000-0005-0000-0000-0000670B0000}"/>
    <cellStyle name="AdjNo 6 4 2 2" xfId="2276" xr:uid="{00000000-0005-0000-0000-0000680B0000}"/>
    <cellStyle name="AdjNo 6 4 2 3" xfId="24180" xr:uid="{00000000-0005-0000-0000-0000690B0000}"/>
    <cellStyle name="AdjNo 6 4 2 4" xfId="24181" xr:uid="{00000000-0005-0000-0000-00006A0B0000}"/>
    <cellStyle name="AdjNo 6 4 3" xfId="2277" xr:uid="{00000000-0005-0000-0000-00006B0B0000}"/>
    <cellStyle name="AdjNo 6 4 3 2" xfId="2278" xr:uid="{00000000-0005-0000-0000-00006C0B0000}"/>
    <cellStyle name="AdjNo 6 4 3 3" xfId="24182" xr:uid="{00000000-0005-0000-0000-00006D0B0000}"/>
    <cellStyle name="AdjNo 6 4 3 4" xfId="24183" xr:uid="{00000000-0005-0000-0000-00006E0B0000}"/>
    <cellStyle name="AdjNo 6 4 4" xfId="2279" xr:uid="{00000000-0005-0000-0000-00006F0B0000}"/>
    <cellStyle name="AdjNo 6 4 4 2" xfId="2280" xr:uid="{00000000-0005-0000-0000-0000700B0000}"/>
    <cellStyle name="AdjNo 6 4 4 3" xfId="24184" xr:uid="{00000000-0005-0000-0000-0000710B0000}"/>
    <cellStyle name="AdjNo 6 4 4 4" xfId="24185" xr:uid="{00000000-0005-0000-0000-0000720B0000}"/>
    <cellStyle name="AdjNo 6 4 5" xfId="2281" xr:uid="{00000000-0005-0000-0000-0000730B0000}"/>
    <cellStyle name="AdjNo 6 4 5 2" xfId="2282" xr:uid="{00000000-0005-0000-0000-0000740B0000}"/>
    <cellStyle name="AdjNo 6 4 5 3" xfId="24186" xr:uid="{00000000-0005-0000-0000-0000750B0000}"/>
    <cellStyle name="AdjNo 6 4 5 4" xfId="24187" xr:uid="{00000000-0005-0000-0000-0000760B0000}"/>
    <cellStyle name="AdjNo 6 4 6" xfId="2283" xr:uid="{00000000-0005-0000-0000-0000770B0000}"/>
    <cellStyle name="AdjNo 6 4 6 2" xfId="2284" xr:uid="{00000000-0005-0000-0000-0000780B0000}"/>
    <cellStyle name="AdjNo 6 4 6 3" xfId="24188" xr:uid="{00000000-0005-0000-0000-0000790B0000}"/>
    <cellStyle name="AdjNo 6 4 6 4" xfId="24189" xr:uid="{00000000-0005-0000-0000-00007A0B0000}"/>
    <cellStyle name="AdjNo 6 4 7" xfId="2285" xr:uid="{00000000-0005-0000-0000-00007B0B0000}"/>
    <cellStyle name="AdjNo 6 4 7 2" xfId="2286" xr:uid="{00000000-0005-0000-0000-00007C0B0000}"/>
    <cellStyle name="AdjNo 6 4 7 3" xfId="24190" xr:uid="{00000000-0005-0000-0000-00007D0B0000}"/>
    <cellStyle name="AdjNo 6 4 7 4" xfId="24191" xr:uid="{00000000-0005-0000-0000-00007E0B0000}"/>
    <cellStyle name="AdjNo 6 4 8" xfId="2287" xr:uid="{00000000-0005-0000-0000-00007F0B0000}"/>
    <cellStyle name="AdjNo 6 4 9" xfId="24192" xr:uid="{00000000-0005-0000-0000-0000800B0000}"/>
    <cellStyle name="AdjNo 6 5" xfId="2288" xr:uid="{00000000-0005-0000-0000-0000810B0000}"/>
    <cellStyle name="AdjNo 6 5 10" xfId="24193" xr:uid="{00000000-0005-0000-0000-0000820B0000}"/>
    <cellStyle name="AdjNo 6 5 2" xfId="2289" xr:uid="{00000000-0005-0000-0000-0000830B0000}"/>
    <cellStyle name="AdjNo 6 5 2 2" xfId="2290" xr:uid="{00000000-0005-0000-0000-0000840B0000}"/>
    <cellStyle name="AdjNo 6 5 2 3" xfId="24194" xr:uid="{00000000-0005-0000-0000-0000850B0000}"/>
    <cellStyle name="AdjNo 6 5 2 4" xfId="24195" xr:uid="{00000000-0005-0000-0000-0000860B0000}"/>
    <cellStyle name="AdjNo 6 5 3" xfId="2291" xr:uid="{00000000-0005-0000-0000-0000870B0000}"/>
    <cellStyle name="AdjNo 6 5 3 2" xfId="2292" xr:uid="{00000000-0005-0000-0000-0000880B0000}"/>
    <cellStyle name="AdjNo 6 5 3 3" xfId="24196" xr:uid="{00000000-0005-0000-0000-0000890B0000}"/>
    <cellStyle name="AdjNo 6 5 3 4" xfId="24197" xr:uid="{00000000-0005-0000-0000-00008A0B0000}"/>
    <cellStyle name="AdjNo 6 5 4" xfId="2293" xr:uid="{00000000-0005-0000-0000-00008B0B0000}"/>
    <cellStyle name="AdjNo 6 5 4 2" xfId="2294" xr:uid="{00000000-0005-0000-0000-00008C0B0000}"/>
    <cellStyle name="AdjNo 6 5 4 3" xfId="24198" xr:uid="{00000000-0005-0000-0000-00008D0B0000}"/>
    <cellStyle name="AdjNo 6 5 4 4" xfId="24199" xr:uid="{00000000-0005-0000-0000-00008E0B0000}"/>
    <cellStyle name="AdjNo 6 5 5" xfId="2295" xr:uid="{00000000-0005-0000-0000-00008F0B0000}"/>
    <cellStyle name="AdjNo 6 5 5 2" xfId="2296" xr:uid="{00000000-0005-0000-0000-0000900B0000}"/>
    <cellStyle name="AdjNo 6 5 5 3" xfId="24200" xr:uid="{00000000-0005-0000-0000-0000910B0000}"/>
    <cellStyle name="AdjNo 6 5 5 4" xfId="24201" xr:uid="{00000000-0005-0000-0000-0000920B0000}"/>
    <cellStyle name="AdjNo 6 5 6" xfId="2297" xr:uid="{00000000-0005-0000-0000-0000930B0000}"/>
    <cellStyle name="AdjNo 6 5 6 2" xfId="2298" xr:uid="{00000000-0005-0000-0000-0000940B0000}"/>
    <cellStyle name="AdjNo 6 5 6 3" xfId="24202" xr:uid="{00000000-0005-0000-0000-0000950B0000}"/>
    <cellStyle name="AdjNo 6 5 6 4" xfId="24203" xr:uid="{00000000-0005-0000-0000-0000960B0000}"/>
    <cellStyle name="AdjNo 6 5 7" xfId="2299" xr:uid="{00000000-0005-0000-0000-0000970B0000}"/>
    <cellStyle name="AdjNo 6 5 7 2" xfId="2300" xr:uid="{00000000-0005-0000-0000-0000980B0000}"/>
    <cellStyle name="AdjNo 6 5 7 3" xfId="24204" xr:uid="{00000000-0005-0000-0000-0000990B0000}"/>
    <cellStyle name="AdjNo 6 5 7 4" xfId="24205" xr:uid="{00000000-0005-0000-0000-00009A0B0000}"/>
    <cellStyle name="AdjNo 6 5 8" xfId="2301" xr:uid="{00000000-0005-0000-0000-00009B0B0000}"/>
    <cellStyle name="AdjNo 6 5 9" xfId="24206" xr:uid="{00000000-0005-0000-0000-00009C0B0000}"/>
    <cellStyle name="AdjNo 6 6" xfId="2302" xr:uid="{00000000-0005-0000-0000-00009D0B0000}"/>
    <cellStyle name="AdjNo 6 6 2" xfId="2303" xr:uid="{00000000-0005-0000-0000-00009E0B0000}"/>
    <cellStyle name="AdjNo 6 6 3" xfId="24207" xr:uid="{00000000-0005-0000-0000-00009F0B0000}"/>
    <cellStyle name="AdjNo 6 6 4" xfId="24208" xr:uid="{00000000-0005-0000-0000-0000A00B0000}"/>
    <cellStyle name="AdjNo 6 7" xfId="2304" xr:uid="{00000000-0005-0000-0000-0000A10B0000}"/>
    <cellStyle name="AdjNo 6 7 2" xfId="2305" xr:uid="{00000000-0005-0000-0000-0000A20B0000}"/>
    <cellStyle name="AdjNo 6 7 3" xfId="24209" xr:uid="{00000000-0005-0000-0000-0000A30B0000}"/>
    <cellStyle name="AdjNo 6 7 4" xfId="24210" xr:uid="{00000000-0005-0000-0000-0000A40B0000}"/>
    <cellStyle name="AdjNo 6 8" xfId="2306" xr:uid="{00000000-0005-0000-0000-0000A50B0000}"/>
    <cellStyle name="AdjNo 6 8 2" xfId="2307" xr:uid="{00000000-0005-0000-0000-0000A60B0000}"/>
    <cellStyle name="AdjNo 6 8 3" xfId="24211" xr:uid="{00000000-0005-0000-0000-0000A70B0000}"/>
    <cellStyle name="AdjNo 6 8 4" xfId="24212" xr:uid="{00000000-0005-0000-0000-0000A80B0000}"/>
    <cellStyle name="AdjNo 6 9" xfId="2308" xr:uid="{00000000-0005-0000-0000-0000A90B0000}"/>
    <cellStyle name="AdjNo 6 9 2" xfId="2309" xr:uid="{00000000-0005-0000-0000-0000AA0B0000}"/>
    <cellStyle name="AdjNo 6 9 3" xfId="24213" xr:uid="{00000000-0005-0000-0000-0000AB0B0000}"/>
    <cellStyle name="AdjNo 6 9 4" xfId="24214" xr:uid="{00000000-0005-0000-0000-0000AC0B0000}"/>
    <cellStyle name="AdjNo 7" xfId="2310" xr:uid="{00000000-0005-0000-0000-0000AD0B0000}"/>
    <cellStyle name="AdjNo 7 10" xfId="2311" xr:uid="{00000000-0005-0000-0000-0000AE0B0000}"/>
    <cellStyle name="AdjNo 7 10 2" xfId="2312" xr:uid="{00000000-0005-0000-0000-0000AF0B0000}"/>
    <cellStyle name="AdjNo 7 10 3" xfId="24215" xr:uid="{00000000-0005-0000-0000-0000B00B0000}"/>
    <cellStyle name="AdjNo 7 10 4" xfId="24216" xr:uid="{00000000-0005-0000-0000-0000B10B0000}"/>
    <cellStyle name="AdjNo 7 11" xfId="2313" xr:uid="{00000000-0005-0000-0000-0000B20B0000}"/>
    <cellStyle name="AdjNo 7 11 2" xfId="2314" xr:uid="{00000000-0005-0000-0000-0000B30B0000}"/>
    <cellStyle name="AdjNo 7 11 3" xfId="24217" xr:uid="{00000000-0005-0000-0000-0000B40B0000}"/>
    <cellStyle name="AdjNo 7 11 4" xfId="24218" xr:uid="{00000000-0005-0000-0000-0000B50B0000}"/>
    <cellStyle name="AdjNo 7 12" xfId="2315" xr:uid="{00000000-0005-0000-0000-0000B60B0000}"/>
    <cellStyle name="AdjNo 7 13" xfId="24219" xr:uid="{00000000-0005-0000-0000-0000B70B0000}"/>
    <cellStyle name="AdjNo 7 14" xfId="24220" xr:uid="{00000000-0005-0000-0000-0000B80B0000}"/>
    <cellStyle name="AdjNo 7 2" xfId="2316" xr:uid="{00000000-0005-0000-0000-0000B90B0000}"/>
    <cellStyle name="AdjNo 7 2 10" xfId="24221" xr:uid="{00000000-0005-0000-0000-0000BA0B0000}"/>
    <cellStyle name="AdjNo 7 2 2" xfId="2317" xr:uid="{00000000-0005-0000-0000-0000BB0B0000}"/>
    <cellStyle name="AdjNo 7 2 2 2" xfId="2318" xr:uid="{00000000-0005-0000-0000-0000BC0B0000}"/>
    <cellStyle name="AdjNo 7 2 2 3" xfId="24222" xr:uid="{00000000-0005-0000-0000-0000BD0B0000}"/>
    <cellStyle name="AdjNo 7 2 2 4" xfId="24223" xr:uid="{00000000-0005-0000-0000-0000BE0B0000}"/>
    <cellStyle name="AdjNo 7 2 3" xfId="2319" xr:uid="{00000000-0005-0000-0000-0000BF0B0000}"/>
    <cellStyle name="AdjNo 7 2 3 2" xfId="2320" xr:uid="{00000000-0005-0000-0000-0000C00B0000}"/>
    <cellStyle name="AdjNo 7 2 3 3" xfId="24224" xr:uid="{00000000-0005-0000-0000-0000C10B0000}"/>
    <cellStyle name="AdjNo 7 2 3 4" xfId="24225" xr:uid="{00000000-0005-0000-0000-0000C20B0000}"/>
    <cellStyle name="AdjNo 7 2 4" xfId="2321" xr:uid="{00000000-0005-0000-0000-0000C30B0000}"/>
    <cellStyle name="AdjNo 7 2 4 2" xfId="2322" xr:uid="{00000000-0005-0000-0000-0000C40B0000}"/>
    <cellStyle name="AdjNo 7 2 4 3" xfId="24226" xr:uid="{00000000-0005-0000-0000-0000C50B0000}"/>
    <cellStyle name="AdjNo 7 2 4 4" xfId="24227" xr:uid="{00000000-0005-0000-0000-0000C60B0000}"/>
    <cellStyle name="AdjNo 7 2 5" xfId="2323" xr:uid="{00000000-0005-0000-0000-0000C70B0000}"/>
    <cellStyle name="AdjNo 7 2 5 2" xfId="2324" xr:uid="{00000000-0005-0000-0000-0000C80B0000}"/>
    <cellStyle name="AdjNo 7 2 5 3" xfId="24228" xr:uid="{00000000-0005-0000-0000-0000C90B0000}"/>
    <cellStyle name="AdjNo 7 2 5 4" xfId="24229" xr:uid="{00000000-0005-0000-0000-0000CA0B0000}"/>
    <cellStyle name="AdjNo 7 2 6" xfId="2325" xr:uid="{00000000-0005-0000-0000-0000CB0B0000}"/>
    <cellStyle name="AdjNo 7 2 6 2" xfId="2326" xr:uid="{00000000-0005-0000-0000-0000CC0B0000}"/>
    <cellStyle name="AdjNo 7 2 6 3" xfId="24230" xr:uid="{00000000-0005-0000-0000-0000CD0B0000}"/>
    <cellStyle name="AdjNo 7 2 6 4" xfId="24231" xr:uid="{00000000-0005-0000-0000-0000CE0B0000}"/>
    <cellStyle name="AdjNo 7 2 7" xfId="2327" xr:uid="{00000000-0005-0000-0000-0000CF0B0000}"/>
    <cellStyle name="AdjNo 7 2 7 2" xfId="2328" xr:uid="{00000000-0005-0000-0000-0000D00B0000}"/>
    <cellStyle name="AdjNo 7 2 7 3" xfId="24232" xr:uid="{00000000-0005-0000-0000-0000D10B0000}"/>
    <cellStyle name="AdjNo 7 2 7 4" xfId="24233" xr:uid="{00000000-0005-0000-0000-0000D20B0000}"/>
    <cellStyle name="AdjNo 7 2 8" xfId="2329" xr:uid="{00000000-0005-0000-0000-0000D30B0000}"/>
    <cellStyle name="AdjNo 7 2 9" xfId="24234" xr:uid="{00000000-0005-0000-0000-0000D40B0000}"/>
    <cellStyle name="AdjNo 7 3" xfId="2330" xr:uid="{00000000-0005-0000-0000-0000D50B0000}"/>
    <cellStyle name="AdjNo 7 3 10" xfId="24235" xr:uid="{00000000-0005-0000-0000-0000D60B0000}"/>
    <cellStyle name="AdjNo 7 3 2" xfId="2331" xr:uid="{00000000-0005-0000-0000-0000D70B0000}"/>
    <cellStyle name="AdjNo 7 3 2 2" xfId="2332" xr:uid="{00000000-0005-0000-0000-0000D80B0000}"/>
    <cellStyle name="AdjNo 7 3 2 3" xfId="24236" xr:uid="{00000000-0005-0000-0000-0000D90B0000}"/>
    <cellStyle name="AdjNo 7 3 2 4" xfId="24237" xr:uid="{00000000-0005-0000-0000-0000DA0B0000}"/>
    <cellStyle name="AdjNo 7 3 3" xfId="2333" xr:uid="{00000000-0005-0000-0000-0000DB0B0000}"/>
    <cellStyle name="AdjNo 7 3 3 2" xfId="2334" xr:uid="{00000000-0005-0000-0000-0000DC0B0000}"/>
    <cellStyle name="AdjNo 7 3 3 3" xfId="24238" xr:uid="{00000000-0005-0000-0000-0000DD0B0000}"/>
    <cellStyle name="AdjNo 7 3 3 4" xfId="24239" xr:uid="{00000000-0005-0000-0000-0000DE0B0000}"/>
    <cellStyle name="AdjNo 7 3 4" xfId="2335" xr:uid="{00000000-0005-0000-0000-0000DF0B0000}"/>
    <cellStyle name="AdjNo 7 3 4 2" xfId="2336" xr:uid="{00000000-0005-0000-0000-0000E00B0000}"/>
    <cellStyle name="AdjNo 7 3 4 3" xfId="24240" xr:uid="{00000000-0005-0000-0000-0000E10B0000}"/>
    <cellStyle name="AdjNo 7 3 4 4" xfId="24241" xr:uid="{00000000-0005-0000-0000-0000E20B0000}"/>
    <cellStyle name="AdjNo 7 3 5" xfId="2337" xr:uid="{00000000-0005-0000-0000-0000E30B0000}"/>
    <cellStyle name="AdjNo 7 3 5 2" xfId="2338" xr:uid="{00000000-0005-0000-0000-0000E40B0000}"/>
    <cellStyle name="AdjNo 7 3 5 3" xfId="24242" xr:uid="{00000000-0005-0000-0000-0000E50B0000}"/>
    <cellStyle name="AdjNo 7 3 5 4" xfId="24243" xr:uid="{00000000-0005-0000-0000-0000E60B0000}"/>
    <cellStyle name="AdjNo 7 3 6" xfId="2339" xr:uid="{00000000-0005-0000-0000-0000E70B0000}"/>
    <cellStyle name="AdjNo 7 3 6 2" xfId="2340" xr:uid="{00000000-0005-0000-0000-0000E80B0000}"/>
    <cellStyle name="AdjNo 7 3 6 3" xfId="24244" xr:uid="{00000000-0005-0000-0000-0000E90B0000}"/>
    <cellStyle name="AdjNo 7 3 6 4" xfId="24245" xr:uid="{00000000-0005-0000-0000-0000EA0B0000}"/>
    <cellStyle name="AdjNo 7 3 7" xfId="2341" xr:uid="{00000000-0005-0000-0000-0000EB0B0000}"/>
    <cellStyle name="AdjNo 7 3 7 2" xfId="2342" xr:uid="{00000000-0005-0000-0000-0000EC0B0000}"/>
    <cellStyle name="AdjNo 7 3 7 3" xfId="24246" xr:uid="{00000000-0005-0000-0000-0000ED0B0000}"/>
    <cellStyle name="AdjNo 7 3 7 4" xfId="24247" xr:uid="{00000000-0005-0000-0000-0000EE0B0000}"/>
    <cellStyle name="AdjNo 7 3 8" xfId="2343" xr:uid="{00000000-0005-0000-0000-0000EF0B0000}"/>
    <cellStyle name="AdjNo 7 3 9" xfId="24248" xr:uid="{00000000-0005-0000-0000-0000F00B0000}"/>
    <cellStyle name="AdjNo 7 4" xfId="2344" xr:uid="{00000000-0005-0000-0000-0000F10B0000}"/>
    <cellStyle name="AdjNo 7 4 10" xfId="24249" xr:uid="{00000000-0005-0000-0000-0000F20B0000}"/>
    <cellStyle name="AdjNo 7 4 2" xfId="2345" xr:uid="{00000000-0005-0000-0000-0000F30B0000}"/>
    <cellStyle name="AdjNo 7 4 2 2" xfId="2346" xr:uid="{00000000-0005-0000-0000-0000F40B0000}"/>
    <cellStyle name="AdjNo 7 4 2 3" xfId="24250" xr:uid="{00000000-0005-0000-0000-0000F50B0000}"/>
    <cellStyle name="AdjNo 7 4 2 4" xfId="24251" xr:uid="{00000000-0005-0000-0000-0000F60B0000}"/>
    <cellStyle name="AdjNo 7 4 3" xfId="2347" xr:uid="{00000000-0005-0000-0000-0000F70B0000}"/>
    <cellStyle name="AdjNo 7 4 3 2" xfId="2348" xr:uid="{00000000-0005-0000-0000-0000F80B0000}"/>
    <cellStyle name="AdjNo 7 4 3 3" xfId="24252" xr:uid="{00000000-0005-0000-0000-0000F90B0000}"/>
    <cellStyle name="AdjNo 7 4 3 4" xfId="24253" xr:uid="{00000000-0005-0000-0000-0000FA0B0000}"/>
    <cellStyle name="AdjNo 7 4 4" xfId="2349" xr:uid="{00000000-0005-0000-0000-0000FB0B0000}"/>
    <cellStyle name="AdjNo 7 4 4 2" xfId="2350" xr:uid="{00000000-0005-0000-0000-0000FC0B0000}"/>
    <cellStyle name="AdjNo 7 4 4 3" xfId="24254" xr:uid="{00000000-0005-0000-0000-0000FD0B0000}"/>
    <cellStyle name="AdjNo 7 4 4 4" xfId="24255" xr:uid="{00000000-0005-0000-0000-0000FE0B0000}"/>
    <cellStyle name="AdjNo 7 4 5" xfId="2351" xr:uid="{00000000-0005-0000-0000-0000FF0B0000}"/>
    <cellStyle name="AdjNo 7 4 5 2" xfId="2352" xr:uid="{00000000-0005-0000-0000-0000000C0000}"/>
    <cellStyle name="AdjNo 7 4 5 3" xfId="24256" xr:uid="{00000000-0005-0000-0000-0000010C0000}"/>
    <cellStyle name="AdjNo 7 4 5 4" xfId="24257" xr:uid="{00000000-0005-0000-0000-0000020C0000}"/>
    <cellStyle name="AdjNo 7 4 6" xfId="2353" xr:uid="{00000000-0005-0000-0000-0000030C0000}"/>
    <cellStyle name="AdjNo 7 4 6 2" xfId="2354" xr:uid="{00000000-0005-0000-0000-0000040C0000}"/>
    <cellStyle name="AdjNo 7 4 6 3" xfId="24258" xr:uid="{00000000-0005-0000-0000-0000050C0000}"/>
    <cellStyle name="AdjNo 7 4 6 4" xfId="24259" xr:uid="{00000000-0005-0000-0000-0000060C0000}"/>
    <cellStyle name="AdjNo 7 4 7" xfId="2355" xr:uid="{00000000-0005-0000-0000-0000070C0000}"/>
    <cellStyle name="AdjNo 7 4 7 2" xfId="2356" xr:uid="{00000000-0005-0000-0000-0000080C0000}"/>
    <cellStyle name="AdjNo 7 4 7 3" xfId="24260" xr:uid="{00000000-0005-0000-0000-0000090C0000}"/>
    <cellStyle name="AdjNo 7 4 7 4" xfId="24261" xr:uid="{00000000-0005-0000-0000-00000A0C0000}"/>
    <cellStyle name="AdjNo 7 4 8" xfId="2357" xr:uid="{00000000-0005-0000-0000-00000B0C0000}"/>
    <cellStyle name="AdjNo 7 4 9" xfId="24262" xr:uid="{00000000-0005-0000-0000-00000C0C0000}"/>
    <cellStyle name="AdjNo 7 5" xfId="2358" xr:uid="{00000000-0005-0000-0000-00000D0C0000}"/>
    <cellStyle name="AdjNo 7 5 10" xfId="24263" xr:uid="{00000000-0005-0000-0000-00000E0C0000}"/>
    <cellStyle name="AdjNo 7 5 2" xfId="2359" xr:uid="{00000000-0005-0000-0000-00000F0C0000}"/>
    <cellStyle name="AdjNo 7 5 2 2" xfId="2360" xr:uid="{00000000-0005-0000-0000-0000100C0000}"/>
    <cellStyle name="AdjNo 7 5 2 3" xfId="24264" xr:uid="{00000000-0005-0000-0000-0000110C0000}"/>
    <cellStyle name="AdjNo 7 5 2 4" xfId="24265" xr:uid="{00000000-0005-0000-0000-0000120C0000}"/>
    <cellStyle name="AdjNo 7 5 3" xfId="2361" xr:uid="{00000000-0005-0000-0000-0000130C0000}"/>
    <cellStyle name="AdjNo 7 5 3 2" xfId="2362" xr:uid="{00000000-0005-0000-0000-0000140C0000}"/>
    <cellStyle name="AdjNo 7 5 3 3" xfId="24266" xr:uid="{00000000-0005-0000-0000-0000150C0000}"/>
    <cellStyle name="AdjNo 7 5 3 4" xfId="24267" xr:uid="{00000000-0005-0000-0000-0000160C0000}"/>
    <cellStyle name="AdjNo 7 5 4" xfId="2363" xr:uid="{00000000-0005-0000-0000-0000170C0000}"/>
    <cellStyle name="AdjNo 7 5 4 2" xfId="2364" xr:uid="{00000000-0005-0000-0000-0000180C0000}"/>
    <cellStyle name="AdjNo 7 5 4 3" xfId="24268" xr:uid="{00000000-0005-0000-0000-0000190C0000}"/>
    <cellStyle name="AdjNo 7 5 4 4" xfId="24269" xr:uid="{00000000-0005-0000-0000-00001A0C0000}"/>
    <cellStyle name="AdjNo 7 5 5" xfId="2365" xr:uid="{00000000-0005-0000-0000-00001B0C0000}"/>
    <cellStyle name="AdjNo 7 5 5 2" xfId="2366" xr:uid="{00000000-0005-0000-0000-00001C0C0000}"/>
    <cellStyle name="AdjNo 7 5 5 3" xfId="24270" xr:uid="{00000000-0005-0000-0000-00001D0C0000}"/>
    <cellStyle name="AdjNo 7 5 5 4" xfId="24271" xr:uid="{00000000-0005-0000-0000-00001E0C0000}"/>
    <cellStyle name="AdjNo 7 5 6" xfId="2367" xr:uid="{00000000-0005-0000-0000-00001F0C0000}"/>
    <cellStyle name="AdjNo 7 5 6 2" xfId="2368" xr:uid="{00000000-0005-0000-0000-0000200C0000}"/>
    <cellStyle name="AdjNo 7 5 6 3" xfId="24272" xr:uid="{00000000-0005-0000-0000-0000210C0000}"/>
    <cellStyle name="AdjNo 7 5 6 4" xfId="24273" xr:uid="{00000000-0005-0000-0000-0000220C0000}"/>
    <cellStyle name="AdjNo 7 5 7" xfId="2369" xr:uid="{00000000-0005-0000-0000-0000230C0000}"/>
    <cellStyle name="AdjNo 7 5 7 2" xfId="2370" xr:uid="{00000000-0005-0000-0000-0000240C0000}"/>
    <cellStyle name="AdjNo 7 5 7 3" xfId="24274" xr:uid="{00000000-0005-0000-0000-0000250C0000}"/>
    <cellStyle name="AdjNo 7 5 7 4" xfId="24275" xr:uid="{00000000-0005-0000-0000-0000260C0000}"/>
    <cellStyle name="AdjNo 7 5 8" xfId="2371" xr:uid="{00000000-0005-0000-0000-0000270C0000}"/>
    <cellStyle name="AdjNo 7 5 9" xfId="24276" xr:uid="{00000000-0005-0000-0000-0000280C0000}"/>
    <cellStyle name="AdjNo 7 6" xfId="2372" xr:uid="{00000000-0005-0000-0000-0000290C0000}"/>
    <cellStyle name="AdjNo 7 6 2" xfId="2373" xr:uid="{00000000-0005-0000-0000-00002A0C0000}"/>
    <cellStyle name="AdjNo 7 6 3" xfId="24277" xr:uid="{00000000-0005-0000-0000-00002B0C0000}"/>
    <cellStyle name="AdjNo 7 6 4" xfId="24278" xr:uid="{00000000-0005-0000-0000-00002C0C0000}"/>
    <cellStyle name="AdjNo 7 7" xfId="2374" xr:uid="{00000000-0005-0000-0000-00002D0C0000}"/>
    <cellStyle name="AdjNo 7 7 2" xfId="2375" xr:uid="{00000000-0005-0000-0000-00002E0C0000}"/>
    <cellStyle name="AdjNo 7 7 3" xfId="24279" xr:uid="{00000000-0005-0000-0000-00002F0C0000}"/>
    <cellStyle name="AdjNo 7 7 4" xfId="24280" xr:uid="{00000000-0005-0000-0000-0000300C0000}"/>
    <cellStyle name="AdjNo 7 8" xfId="2376" xr:uid="{00000000-0005-0000-0000-0000310C0000}"/>
    <cellStyle name="AdjNo 7 8 2" xfId="2377" xr:uid="{00000000-0005-0000-0000-0000320C0000}"/>
    <cellStyle name="AdjNo 7 8 3" xfId="24281" xr:uid="{00000000-0005-0000-0000-0000330C0000}"/>
    <cellStyle name="AdjNo 7 8 4" xfId="24282" xr:uid="{00000000-0005-0000-0000-0000340C0000}"/>
    <cellStyle name="AdjNo 7 9" xfId="2378" xr:uid="{00000000-0005-0000-0000-0000350C0000}"/>
    <cellStyle name="AdjNo 7 9 2" xfId="2379" xr:uid="{00000000-0005-0000-0000-0000360C0000}"/>
    <cellStyle name="AdjNo 7 9 3" xfId="24283" xr:uid="{00000000-0005-0000-0000-0000370C0000}"/>
    <cellStyle name="AdjNo 7 9 4" xfId="24284" xr:uid="{00000000-0005-0000-0000-0000380C0000}"/>
    <cellStyle name="AdjNo 8" xfId="2380" xr:uid="{00000000-0005-0000-0000-0000390C0000}"/>
    <cellStyle name="AdjNo 8 10" xfId="2381" xr:uid="{00000000-0005-0000-0000-00003A0C0000}"/>
    <cellStyle name="AdjNo 8 10 2" xfId="2382" xr:uid="{00000000-0005-0000-0000-00003B0C0000}"/>
    <cellStyle name="AdjNo 8 10 3" xfId="24285" xr:uid="{00000000-0005-0000-0000-00003C0C0000}"/>
    <cellStyle name="AdjNo 8 10 4" xfId="24286" xr:uid="{00000000-0005-0000-0000-00003D0C0000}"/>
    <cellStyle name="AdjNo 8 11" xfId="2383" xr:uid="{00000000-0005-0000-0000-00003E0C0000}"/>
    <cellStyle name="AdjNo 8 11 2" xfId="2384" xr:uid="{00000000-0005-0000-0000-00003F0C0000}"/>
    <cellStyle name="AdjNo 8 11 3" xfId="24287" xr:uid="{00000000-0005-0000-0000-0000400C0000}"/>
    <cellStyle name="AdjNo 8 11 4" xfId="24288" xr:uid="{00000000-0005-0000-0000-0000410C0000}"/>
    <cellStyle name="AdjNo 8 12" xfId="2385" xr:uid="{00000000-0005-0000-0000-0000420C0000}"/>
    <cellStyle name="AdjNo 8 13" xfId="24289" xr:uid="{00000000-0005-0000-0000-0000430C0000}"/>
    <cellStyle name="AdjNo 8 14" xfId="24290" xr:uid="{00000000-0005-0000-0000-0000440C0000}"/>
    <cellStyle name="AdjNo 8 2" xfId="2386" xr:uid="{00000000-0005-0000-0000-0000450C0000}"/>
    <cellStyle name="AdjNo 8 2 10" xfId="24291" xr:uid="{00000000-0005-0000-0000-0000460C0000}"/>
    <cellStyle name="AdjNo 8 2 2" xfId="2387" xr:uid="{00000000-0005-0000-0000-0000470C0000}"/>
    <cellStyle name="AdjNo 8 2 2 2" xfId="2388" xr:uid="{00000000-0005-0000-0000-0000480C0000}"/>
    <cellStyle name="AdjNo 8 2 2 3" xfId="24292" xr:uid="{00000000-0005-0000-0000-0000490C0000}"/>
    <cellStyle name="AdjNo 8 2 2 4" xfId="24293" xr:uid="{00000000-0005-0000-0000-00004A0C0000}"/>
    <cellStyle name="AdjNo 8 2 3" xfId="2389" xr:uid="{00000000-0005-0000-0000-00004B0C0000}"/>
    <cellStyle name="AdjNo 8 2 3 2" xfId="2390" xr:uid="{00000000-0005-0000-0000-00004C0C0000}"/>
    <cellStyle name="AdjNo 8 2 3 3" xfId="24294" xr:uid="{00000000-0005-0000-0000-00004D0C0000}"/>
    <cellStyle name="AdjNo 8 2 3 4" xfId="24295" xr:uid="{00000000-0005-0000-0000-00004E0C0000}"/>
    <cellStyle name="AdjNo 8 2 4" xfId="2391" xr:uid="{00000000-0005-0000-0000-00004F0C0000}"/>
    <cellStyle name="AdjNo 8 2 4 2" xfId="2392" xr:uid="{00000000-0005-0000-0000-0000500C0000}"/>
    <cellStyle name="AdjNo 8 2 4 3" xfId="24296" xr:uid="{00000000-0005-0000-0000-0000510C0000}"/>
    <cellStyle name="AdjNo 8 2 4 4" xfId="24297" xr:uid="{00000000-0005-0000-0000-0000520C0000}"/>
    <cellStyle name="AdjNo 8 2 5" xfId="2393" xr:uid="{00000000-0005-0000-0000-0000530C0000}"/>
    <cellStyle name="AdjNo 8 2 5 2" xfId="2394" xr:uid="{00000000-0005-0000-0000-0000540C0000}"/>
    <cellStyle name="AdjNo 8 2 5 3" xfId="24298" xr:uid="{00000000-0005-0000-0000-0000550C0000}"/>
    <cellStyle name="AdjNo 8 2 5 4" xfId="24299" xr:uid="{00000000-0005-0000-0000-0000560C0000}"/>
    <cellStyle name="AdjNo 8 2 6" xfId="2395" xr:uid="{00000000-0005-0000-0000-0000570C0000}"/>
    <cellStyle name="AdjNo 8 2 6 2" xfId="2396" xr:uid="{00000000-0005-0000-0000-0000580C0000}"/>
    <cellStyle name="AdjNo 8 2 6 3" xfId="24300" xr:uid="{00000000-0005-0000-0000-0000590C0000}"/>
    <cellStyle name="AdjNo 8 2 6 4" xfId="24301" xr:uid="{00000000-0005-0000-0000-00005A0C0000}"/>
    <cellStyle name="AdjNo 8 2 7" xfId="2397" xr:uid="{00000000-0005-0000-0000-00005B0C0000}"/>
    <cellStyle name="AdjNo 8 2 7 2" xfId="2398" xr:uid="{00000000-0005-0000-0000-00005C0C0000}"/>
    <cellStyle name="AdjNo 8 2 7 3" xfId="24302" xr:uid="{00000000-0005-0000-0000-00005D0C0000}"/>
    <cellStyle name="AdjNo 8 2 7 4" xfId="24303" xr:uid="{00000000-0005-0000-0000-00005E0C0000}"/>
    <cellStyle name="AdjNo 8 2 8" xfId="2399" xr:uid="{00000000-0005-0000-0000-00005F0C0000}"/>
    <cellStyle name="AdjNo 8 2 9" xfId="24304" xr:uid="{00000000-0005-0000-0000-0000600C0000}"/>
    <cellStyle name="AdjNo 8 3" xfId="2400" xr:uid="{00000000-0005-0000-0000-0000610C0000}"/>
    <cellStyle name="AdjNo 8 3 10" xfId="24305" xr:uid="{00000000-0005-0000-0000-0000620C0000}"/>
    <cellStyle name="AdjNo 8 3 2" xfId="2401" xr:uid="{00000000-0005-0000-0000-0000630C0000}"/>
    <cellStyle name="AdjNo 8 3 2 2" xfId="2402" xr:uid="{00000000-0005-0000-0000-0000640C0000}"/>
    <cellStyle name="AdjNo 8 3 2 3" xfId="24306" xr:uid="{00000000-0005-0000-0000-0000650C0000}"/>
    <cellStyle name="AdjNo 8 3 2 4" xfId="24307" xr:uid="{00000000-0005-0000-0000-0000660C0000}"/>
    <cellStyle name="AdjNo 8 3 3" xfId="2403" xr:uid="{00000000-0005-0000-0000-0000670C0000}"/>
    <cellStyle name="AdjNo 8 3 3 2" xfId="2404" xr:uid="{00000000-0005-0000-0000-0000680C0000}"/>
    <cellStyle name="AdjNo 8 3 3 3" xfId="24308" xr:uid="{00000000-0005-0000-0000-0000690C0000}"/>
    <cellStyle name="AdjNo 8 3 3 4" xfId="24309" xr:uid="{00000000-0005-0000-0000-00006A0C0000}"/>
    <cellStyle name="AdjNo 8 3 4" xfId="2405" xr:uid="{00000000-0005-0000-0000-00006B0C0000}"/>
    <cellStyle name="AdjNo 8 3 4 2" xfId="2406" xr:uid="{00000000-0005-0000-0000-00006C0C0000}"/>
    <cellStyle name="AdjNo 8 3 4 3" xfId="24310" xr:uid="{00000000-0005-0000-0000-00006D0C0000}"/>
    <cellStyle name="AdjNo 8 3 4 4" xfId="24311" xr:uid="{00000000-0005-0000-0000-00006E0C0000}"/>
    <cellStyle name="AdjNo 8 3 5" xfId="2407" xr:uid="{00000000-0005-0000-0000-00006F0C0000}"/>
    <cellStyle name="AdjNo 8 3 5 2" xfId="2408" xr:uid="{00000000-0005-0000-0000-0000700C0000}"/>
    <cellStyle name="AdjNo 8 3 5 3" xfId="24312" xr:uid="{00000000-0005-0000-0000-0000710C0000}"/>
    <cellStyle name="AdjNo 8 3 5 4" xfId="24313" xr:uid="{00000000-0005-0000-0000-0000720C0000}"/>
    <cellStyle name="AdjNo 8 3 6" xfId="2409" xr:uid="{00000000-0005-0000-0000-0000730C0000}"/>
    <cellStyle name="AdjNo 8 3 6 2" xfId="2410" xr:uid="{00000000-0005-0000-0000-0000740C0000}"/>
    <cellStyle name="AdjNo 8 3 6 3" xfId="24314" xr:uid="{00000000-0005-0000-0000-0000750C0000}"/>
    <cellStyle name="AdjNo 8 3 6 4" xfId="24315" xr:uid="{00000000-0005-0000-0000-0000760C0000}"/>
    <cellStyle name="AdjNo 8 3 7" xfId="2411" xr:uid="{00000000-0005-0000-0000-0000770C0000}"/>
    <cellStyle name="AdjNo 8 3 7 2" xfId="2412" xr:uid="{00000000-0005-0000-0000-0000780C0000}"/>
    <cellStyle name="AdjNo 8 3 7 3" xfId="24316" xr:uid="{00000000-0005-0000-0000-0000790C0000}"/>
    <cellStyle name="AdjNo 8 3 7 4" xfId="24317" xr:uid="{00000000-0005-0000-0000-00007A0C0000}"/>
    <cellStyle name="AdjNo 8 3 8" xfId="2413" xr:uid="{00000000-0005-0000-0000-00007B0C0000}"/>
    <cellStyle name="AdjNo 8 3 9" xfId="24318" xr:uid="{00000000-0005-0000-0000-00007C0C0000}"/>
    <cellStyle name="AdjNo 8 4" xfId="2414" xr:uid="{00000000-0005-0000-0000-00007D0C0000}"/>
    <cellStyle name="AdjNo 8 4 10" xfId="24319" xr:uid="{00000000-0005-0000-0000-00007E0C0000}"/>
    <cellStyle name="AdjNo 8 4 2" xfId="2415" xr:uid="{00000000-0005-0000-0000-00007F0C0000}"/>
    <cellStyle name="AdjNo 8 4 2 2" xfId="2416" xr:uid="{00000000-0005-0000-0000-0000800C0000}"/>
    <cellStyle name="AdjNo 8 4 2 3" xfId="24320" xr:uid="{00000000-0005-0000-0000-0000810C0000}"/>
    <cellStyle name="AdjNo 8 4 2 4" xfId="24321" xr:uid="{00000000-0005-0000-0000-0000820C0000}"/>
    <cellStyle name="AdjNo 8 4 3" xfId="2417" xr:uid="{00000000-0005-0000-0000-0000830C0000}"/>
    <cellStyle name="AdjNo 8 4 3 2" xfId="2418" xr:uid="{00000000-0005-0000-0000-0000840C0000}"/>
    <cellStyle name="AdjNo 8 4 3 3" xfId="24322" xr:uid="{00000000-0005-0000-0000-0000850C0000}"/>
    <cellStyle name="AdjNo 8 4 3 4" xfId="24323" xr:uid="{00000000-0005-0000-0000-0000860C0000}"/>
    <cellStyle name="AdjNo 8 4 4" xfId="2419" xr:uid="{00000000-0005-0000-0000-0000870C0000}"/>
    <cellStyle name="AdjNo 8 4 4 2" xfId="2420" xr:uid="{00000000-0005-0000-0000-0000880C0000}"/>
    <cellStyle name="AdjNo 8 4 4 3" xfId="24324" xr:uid="{00000000-0005-0000-0000-0000890C0000}"/>
    <cellStyle name="AdjNo 8 4 4 4" xfId="24325" xr:uid="{00000000-0005-0000-0000-00008A0C0000}"/>
    <cellStyle name="AdjNo 8 4 5" xfId="2421" xr:uid="{00000000-0005-0000-0000-00008B0C0000}"/>
    <cellStyle name="AdjNo 8 4 5 2" xfId="2422" xr:uid="{00000000-0005-0000-0000-00008C0C0000}"/>
    <cellStyle name="AdjNo 8 4 5 3" xfId="24326" xr:uid="{00000000-0005-0000-0000-00008D0C0000}"/>
    <cellStyle name="AdjNo 8 4 5 4" xfId="24327" xr:uid="{00000000-0005-0000-0000-00008E0C0000}"/>
    <cellStyle name="AdjNo 8 4 6" xfId="2423" xr:uid="{00000000-0005-0000-0000-00008F0C0000}"/>
    <cellStyle name="AdjNo 8 4 6 2" xfId="2424" xr:uid="{00000000-0005-0000-0000-0000900C0000}"/>
    <cellStyle name="AdjNo 8 4 6 3" xfId="24328" xr:uid="{00000000-0005-0000-0000-0000910C0000}"/>
    <cellStyle name="AdjNo 8 4 6 4" xfId="24329" xr:uid="{00000000-0005-0000-0000-0000920C0000}"/>
    <cellStyle name="AdjNo 8 4 7" xfId="2425" xr:uid="{00000000-0005-0000-0000-0000930C0000}"/>
    <cellStyle name="AdjNo 8 4 7 2" xfId="2426" xr:uid="{00000000-0005-0000-0000-0000940C0000}"/>
    <cellStyle name="AdjNo 8 4 7 3" xfId="24330" xr:uid="{00000000-0005-0000-0000-0000950C0000}"/>
    <cellStyle name="AdjNo 8 4 7 4" xfId="24331" xr:uid="{00000000-0005-0000-0000-0000960C0000}"/>
    <cellStyle name="AdjNo 8 4 8" xfId="2427" xr:uid="{00000000-0005-0000-0000-0000970C0000}"/>
    <cellStyle name="AdjNo 8 4 9" xfId="24332" xr:uid="{00000000-0005-0000-0000-0000980C0000}"/>
    <cellStyle name="AdjNo 8 5" xfId="2428" xr:uid="{00000000-0005-0000-0000-0000990C0000}"/>
    <cellStyle name="AdjNo 8 5 10" xfId="24333" xr:uid="{00000000-0005-0000-0000-00009A0C0000}"/>
    <cellStyle name="AdjNo 8 5 2" xfId="2429" xr:uid="{00000000-0005-0000-0000-00009B0C0000}"/>
    <cellStyle name="AdjNo 8 5 2 2" xfId="2430" xr:uid="{00000000-0005-0000-0000-00009C0C0000}"/>
    <cellStyle name="AdjNo 8 5 2 3" xfId="24334" xr:uid="{00000000-0005-0000-0000-00009D0C0000}"/>
    <cellStyle name="AdjNo 8 5 2 4" xfId="24335" xr:uid="{00000000-0005-0000-0000-00009E0C0000}"/>
    <cellStyle name="AdjNo 8 5 3" xfId="2431" xr:uid="{00000000-0005-0000-0000-00009F0C0000}"/>
    <cellStyle name="AdjNo 8 5 3 2" xfId="2432" xr:uid="{00000000-0005-0000-0000-0000A00C0000}"/>
    <cellStyle name="AdjNo 8 5 3 3" xfId="24336" xr:uid="{00000000-0005-0000-0000-0000A10C0000}"/>
    <cellStyle name="AdjNo 8 5 3 4" xfId="24337" xr:uid="{00000000-0005-0000-0000-0000A20C0000}"/>
    <cellStyle name="AdjNo 8 5 4" xfId="2433" xr:uid="{00000000-0005-0000-0000-0000A30C0000}"/>
    <cellStyle name="AdjNo 8 5 4 2" xfId="2434" xr:uid="{00000000-0005-0000-0000-0000A40C0000}"/>
    <cellStyle name="AdjNo 8 5 4 3" xfId="24338" xr:uid="{00000000-0005-0000-0000-0000A50C0000}"/>
    <cellStyle name="AdjNo 8 5 4 4" xfId="24339" xr:uid="{00000000-0005-0000-0000-0000A60C0000}"/>
    <cellStyle name="AdjNo 8 5 5" xfId="2435" xr:uid="{00000000-0005-0000-0000-0000A70C0000}"/>
    <cellStyle name="AdjNo 8 5 5 2" xfId="2436" xr:uid="{00000000-0005-0000-0000-0000A80C0000}"/>
    <cellStyle name="AdjNo 8 5 5 3" xfId="24340" xr:uid="{00000000-0005-0000-0000-0000A90C0000}"/>
    <cellStyle name="AdjNo 8 5 5 4" xfId="24341" xr:uid="{00000000-0005-0000-0000-0000AA0C0000}"/>
    <cellStyle name="AdjNo 8 5 6" xfId="2437" xr:uid="{00000000-0005-0000-0000-0000AB0C0000}"/>
    <cellStyle name="AdjNo 8 5 6 2" xfId="2438" xr:uid="{00000000-0005-0000-0000-0000AC0C0000}"/>
    <cellStyle name="AdjNo 8 5 6 3" xfId="24342" xr:uid="{00000000-0005-0000-0000-0000AD0C0000}"/>
    <cellStyle name="AdjNo 8 5 6 4" xfId="24343" xr:uid="{00000000-0005-0000-0000-0000AE0C0000}"/>
    <cellStyle name="AdjNo 8 5 7" xfId="2439" xr:uid="{00000000-0005-0000-0000-0000AF0C0000}"/>
    <cellStyle name="AdjNo 8 5 7 2" xfId="2440" xr:uid="{00000000-0005-0000-0000-0000B00C0000}"/>
    <cellStyle name="AdjNo 8 5 7 3" xfId="24344" xr:uid="{00000000-0005-0000-0000-0000B10C0000}"/>
    <cellStyle name="AdjNo 8 5 7 4" xfId="24345" xr:uid="{00000000-0005-0000-0000-0000B20C0000}"/>
    <cellStyle name="AdjNo 8 5 8" xfId="2441" xr:uid="{00000000-0005-0000-0000-0000B30C0000}"/>
    <cellStyle name="AdjNo 8 5 9" xfId="24346" xr:uid="{00000000-0005-0000-0000-0000B40C0000}"/>
    <cellStyle name="AdjNo 8 6" xfId="2442" xr:uid="{00000000-0005-0000-0000-0000B50C0000}"/>
    <cellStyle name="AdjNo 8 6 2" xfId="2443" xr:uid="{00000000-0005-0000-0000-0000B60C0000}"/>
    <cellStyle name="AdjNo 8 6 3" xfId="24347" xr:uid="{00000000-0005-0000-0000-0000B70C0000}"/>
    <cellStyle name="AdjNo 8 6 4" xfId="24348" xr:uid="{00000000-0005-0000-0000-0000B80C0000}"/>
    <cellStyle name="AdjNo 8 7" xfId="2444" xr:uid="{00000000-0005-0000-0000-0000B90C0000}"/>
    <cellStyle name="AdjNo 8 7 2" xfId="2445" xr:uid="{00000000-0005-0000-0000-0000BA0C0000}"/>
    <cellStyle name="AdjNo 8 7 3" xfId="24349" xr:uid="{00000000-0005-0000-0000-0000BB0C0000}"/>
    <cellStyle name="AdjNo 8 7 4" xfId="24350" xr:uid="{00000000-0005-0000-0000-0000BC0C0000}"/>
    <cellStyle name="AdjNo 8 8" xfId="2446" xr:uid="{00000000-0005-0000-0000-0000BD0C0000}"/>
    <cellStyle name="AdjNo 8 8 2" xfId="2447" xr:uid="{00000000-0005-0000-0000-0000BE0C0000}"/>
    <cellStyle name="AdjNo 8 8 3" xfId="24351" xr:uid="{00000000-0005-0000-0000-0000BF0C0000}"/>
    <cellStyle name="AdjNo 8 8 4" xfId="24352" xr:uid="{00000000-0005-0000-0000-0000C00C0000}"/>
    <cellStyle name="AdjNo 8 9" xfId="2448" xr:uid="{00000000-0005-0000-0000-0000C10C0000}"/>
    <cellStyle name="AdjNo 8 9 2" xfId="2449" xr:uid="{00000000-0005-0000-0000-0000C20C0000}"/>
    <cellStyle name="AdjNo 8 9 3" xfId="24353" xr:uid="{00000000-0005-0000-0000-0000C30C0000}"/>
    <cellStyle name="AdjNo 8 9 4" xfId="24354" xr:uid="{00000000-0005-0000-0000-0000C40C0000}"/>
    <cellStyle name="AdjNo 9" xfId="2450" xr:uid="{00000000-0005-0000-0000-0000C50C0000}"/>
    <cellStyle name="AdjNo 9 10" xfId="2451" xr:uid="{00000000-0005-0000-0000-0000C60C0000}"/>
    <cellStyle name="AdjNo 9 10 2" xfId="2452" xr:uid="{00000000-0005-0000-0000-0000C70C0000}"/>
    <cellStyle name="AdjNo 9 10 3" xfId="24355" xr:uid="{00000000-0005-0000-0000-0000C80C0000}"/>
    <cellStyle name="AdjNo 9 10 4" xfId="24356" xr:uid="{00000000-0005-0000-0000-0000C90C0000}"/>
    <cellStyle name="AdjNo 9 11" xfId="2453" xr:uid="{00000000-0005-0000-0000-0000CA0C0000}"/>
    <cellStyle name="AdjNo 9 11 2" xfId="2454" xr:uid="{00000000-0005-0000-0000-0000CB0C0000}"/>
    <cellStyle name="AdjNo 9 11 3" xfId="24357" xr:uid="{00000000-0005-0000-0000-0000CC0C0000}"/>
    <cellStyle name="AdjNo 9 11 4" xfId="24358" xr:uid="{00000000-0005-0000-0000-0000CD0C0000}"/>
    <cellStyle name="AdjNo 9 12" xfId="2455" xr:uid="{00000000-0005-0000-0000-0000CE0C0000}"/>
    <cellStyle name="AdjNo 9 13" xfId="24359" xr:uid="{00000000-0005-0000-0000-0000CF0C0000}"/>
    <cellStyle name="AdjNo 9 14" xfId="24360" xr:uid="{00000000-0005-0000-0000-0000D00C0000}"/>
    <cellStyle name="AdjNo 9 2" xfId="2456" xr:uid="{00000000-0005-0000-0000-0000D10C0000}"/>
    <cellStyle name="AdjNo 9 2 10" xfId="24361" xr:uid="{00000000-0005-0000-0000-0000D20C0000}"/>
    <cellStyle name="AdjNo 9 2 2" xfId="2457" xr:uid="{00000000-0005-0000-0000-0000D30C0000}"/>
    <cellStyle name="AdjNo 9 2 2 2" xfId="2458" xr:uid="{00000000-0005-0000-0000-0000D40C0000}"/>
    <cellStyle name="AdjNo 9 2 2 3" xfId="24362" xr:uid="{00000000-0005-0000-0000-0000D50C0000}"/>
    <cellStyle name="AdjNo 9 2 2 4" xfId="24363" xr:uid="{00000000-0005-0000-0000-0000D60C0000}"/>
    <cellStyle name="AdjNo 9 2 3" xfId="2459" xr:uid="{00000000-0005-0000-0000-0000D70C0000}"/>
    <cellStyle name="AdjNo 9 2 3 2" xfId="2460" xr:uid="{00000000-0005-0000-0000-0000D80C0000}"/>
    <cellStyle name="AdjNo 9 2 3 3" xfId="24364" xr:uid="{00000000-0005-0000-0000-0000D90C0000}"/>
    <cellStyle name="AdjNo 9 2 3 4" xfId="24365" xr:uid="{00000000-0005-0000-0000-0000DA0C0000}"/>
    <cellStyle name="AdjNo 9 2 4" xfId="2461" xr:uid="{00000000-0005-0000-0000-0000DB0C0000}"/>
    <cellStyle name="AdjNo 9 2 4 2" xfId="2462" xr:uid="{00000000-0005-0000-0000-0000DC0C0000}"/>
    <cellStyle name="AdjNo 9 2 4 3" xfId="24366" xr:uid="{00000000-0005-0000-0000-0000DD0C0000}"/>
    <cellStyle name="AdjNo 9 2 4 4" xfId="24367" xr:uid="{00000000-0005-0000-0000-0000DE0C0000}"/>
    <cellStyle name="AdjNo 9 2 5" xfId="2463" xr:uid="{00000000-0005-0000-0000-0000DF0C0000}"/>
    <cellStyle name="AdjNo 9 2 5 2" xfId="2464" xr:uid="{00000000-0005-0000-0000-0000E00C0000}"/>
    <cellStyle name="AdjNo 9 2 5 3" xfId="24368" xr:uid="{00000000-0005-0000-0000-0000E10C0000}"/>
    <cellStyle name="AdjNo 9 2 5 4" xfId="24369" xr:uid="{00000000-0005-0000-0000-0000E20C0000}"/>
    <cellStyle name="AdjNo 9 2 6" xfId="2465" xr:uid="{00000000-0005-0000-0000-0000E30C0000}"/>
    <cellStyle name="AdjNo 9 2 6 2" xfId="2466" xr:uid="{00000000-0005-0000-0000-0000E40C0000}"/>
    <cellStyle name="AdjNo 9 2 6 3" xfId="24370" xr:uid="{00000000-0005-0000-0000-0000E50C0000}"/>
    <cellStyle name="AdjNo 9 2 6 4" xfId="24371" xr:uid="{00000000-0005-0000-0000-0000E60C0000}"/>
    <cellStyle name="AdjNo 9 2 7" xfId="2467" xr:uid="{00000000-0005-0000-0000-0000E70C0000}"/>
    <cellStyle name="AdjNo 9 2 7 2" xfId="2468" xr:uid="{00000000-0005-0000-0000-0000E80C0000}"/>
    <cellStyle name="AdjNo 9 2 7 3" xfId="24372" xr:uid="{00000000-0005-0000-0000-0000E90C0000}"/>
    <cellStyle name="AdjNo 9 2 7 4" xfId="24373" xr:uid="{00000000-0005-0000-0000-0000EA0C0000}"/>
    <cellStyle name="AdjNo 9 2 8" xfId="2469" xr:uid="{00000000-0005-0000-0000-0000EB0C0000}"/>
    <cellStyle name="AdjNo 9 2 9" xfId="24374" xr:uid="{00000000-0005-0000-0000-0000EC0C0000}"/>
    <cellStyle name="AdjNo 9 3" xfId="2470" xr:uid="{00000000-0005-0000-0000-0000ED0C0000}"/>
    <cellStyle name="AdjNo 9 3 10" xfId="24375" xr:uid="{00000000-0005-0000-0000-0000EE0C0000}"/>
    <cellStyle name="AdjNo 9 3 2" xfId="2471" xr:uid="{00000000-0005-0000-0000-0000EF0C0000}"/>
    <cellStyle name="AdjNo 9 3 2 2" xfId="2472" xr:uid="{00000000-0005-0000-0000-0000F00C0000}"/>
    <cellStyle name="AdjNo 9 3 2 3" xfId="24376" xr:uid="{00000000-0005-0000-0000-0000F10C0000}"/>
    <cellStyle name="AdjNo 9 3 2 4" xfId="24377" xr:uid="{00000000-0005-0000-0000-0000F20C0000}"/>
    <cellStyle name="AdjNo 9 3 3" xfId="2473" xr:uid="{00000000-0005-0000-0000-0000F30C0000}"/>
    <cellStyle name="AdjNo 9 3 3 2" xfId="2474" xr:uid="{00000000-0005-0000-0000-0000F40C0000}"/>
    <cellStyle name="AdjNo 9 3 3 3" xfId="24378" xr:uid="{00000000-0005-0000-0000-0000F50C0000}"/>
    <cellStyle name="AdjNo 9 3 3 4" xfId="24379" xr:uid="{00000000-0005-0000-0000-0000F60C0000}"/>
    <cellStyle name="AdjNo 9 3 4" xfId="2475" xr:uid="{00000000-0005-0000-0000-0000F70C0000}"/>
    <cellStyle name="AdjNo 9 3 4 2" xfId="2476" xr:uid="{00000000-0005-0000-0000-0000F80C0000}"/>
    <cellStyle name="AdjNo 9 3 4 3" xfId="24380" xr:uid="{00000000-0005-0000-0000-0000F90C0000}"/>
    <cellStyle name="AdjNo 9 3 4 4" xfId="24381" xr:uid="{00000000-0005-0000-0000-0000FA0C0000}"/>
    <cellStyle name="AdjNo 9 3 5" xfId="2477" xr:uid="{00000000-0005-0000-0000-0000FB0C0000}"/>
    <cellStyle name="AdjNo 9 3 5 2" xfId="2478" xr:uid="{00000000-0005-0000-0000-0000FC0C0000}"/>
    <cellStyle name="AdjNo 9 3 5 3" xfId="24382" xr:uid="{00000000-0005-0000-0000-0000FD0C0000}"/>
    <cellStyle name="AdjNo 9 3 5 4" xfId="24383" xr:uid="{00000000-0005-0000-0000-0000FE0C0000}"/>
    <cellStyle name="AdjNo 9 3 6" xfId="2479" xr:uid="{00000000-0005-0000-0000-0000FF0C0000}"/>
    <cellStyle name="AdjNo 9 3 6 2" xfId="2480" xr:uid="{00000000-0005-0000-0000-0000000D0000}"/>
    <cellStyle name="AdjNo 9 3 6 3" xfId="24384" xr:uid="{00000000-0005-0000-0000-0000010D0000}"/>
    <cellStyle name="AdjNo 9 3 6 4" xfId="24385" xr:uid="{00000000-0005-0000-0000-0000020D0000}"/>
    <cellStyle name="AdjNo 9 3 7" xfId="2481" xr:uid="{00000000-0005-0000-0000-0000030D0000}"/>
    <cellStyle name="AdjNo 9 3 7 2" xfId="2482" xr:uid="{00000000-0005-0000-0000-0000040D0000}"/>
    <cellStyle name="AdjNo 9 3 7 3" xfId="24386" xr:uid="{00000000-0005-0000-0000-0000050D0000}"/>
    <cellStyle name="AdjNo 9 3 7 4" xfId="24387" xr:uid="{00000000-0005-0000-0000-0000060D0000}"/>
    <cellStyle name="AdjNo 9 3 8" xfId="2483" xr:uid="{00000000-0005-0000-0000-0000070D0000}"/>
    <cellStyle name="AdjNo 9 3 9" xfId="24388" xr:uid="{00000000-0005-0000-0000-0000080D0000}"/>
    <cellStyle name="AdjNo 9 4" xfId="2484" xr:uid="{00000000-0005-0000-0000-0000090D0000}"/>
    <cellStyle name="AdjNo 9 4 10" xfId="24389" xr:uid="{00000000-0005-0000-0000-00000A0D0000}"/>
    <cellStyle name="AdjNo 9 4 2" xfId="2485" xr:uid="{00000000-0005-0000-0000-00000B0D0000}"/>
    <cellStyle name="AdjNo 9 4 2 2" xfId="2486" xr:uid="{00000000-0005-0000-0000-00000C0D0000}"/>
    <cellStyle name="AdjNo 9 4 2 3" xfId="24390" xr:uid="{00000000-0005-0000-0000-00000D0D0000}"/>
    <cellStyle name="AdjNo 9 4 2 4" xfId="24391" xr:uid="{00000000-0005-0000-0000-00000E0D0000}"/>
    <cellStyle name="AdjNo 9 4 3" xfId="2487" xr:uid="{00000000-0005-0000-0000-00000F0D0000}"/>
    <cellStyle name="AdjNo 9 4 3 2" xfId="2488" xr:uid="{00000000-0005-0000-0000-0000100D0000}"/>
    <cellStyle name="AdjNo 9 4 3 3" xfId="24392" xr:uid="{00000000-0005-0000-0000-0000110D0000}"/>
    <cellStyle name="AdjNo 9 4 3 4" xfId="24393" xr:uid="{00000000-0005-0000-0000-0000120D0000}"/>
    <cellStyle name="AdjNo 9 4 4" xfId="2489" xr:uid="{00000000-0005-0000-0000-0000130D0000}"/>
    <cellStyle name="AdjNo 9 4 4 2" xfId="2490" xr:uid="{00000000-0005-0000-0000-0000140D0000}"/>
    <cellStyle name="AdjNo 9 4 4 3" xfId="24394" xr:uid="{00000000-0005-0000-0000-0000150D0000}"/>
    <cellStyle name="AdjNo 9 4 4 4" xfId="24395" xr:uid="{00000000-0005-0000-0000-0000160D0000}"/>
    <cellStyle name="AdjNo 9 4 5" xfId="2491" xr:uid="{00000000-0005-0000-0000-0000170D0000}"/>
    <cellStyle name="AdjNo 9 4 5 2" xfId="2492" xr:uid="{00000000-0005-0000-0000-0000180D0000}"/>
    <cellStyle name="AdjNo 9 4 5 3" xfId="24396" xr:uid="{00000000-0005-0000-0000-0000190D0000}"/>
    <cellStyle name="AdjNo 9 4 5 4" xfId="24397" xr:uid="{00000000-0005-0000-0000-00001A0D0000}"/>
    <cellStyle name="AdjNo 9 4 6" xfId="2493" xr:uid="{00000000-0005-0000-0000-00001B0D0000}"/>
    <cellStyle name="AdjNo 9 4 6 2" xfId="2494" xr:uid="{00000000-0005-0000-0000-00001C0D0000}"/>
    <cellStyle name="AdjNo 9 4 6 3" xfId="24398" xr:uid="{00000000-0005-0000-0000-00001D0D0000}"/>
    <cellStyle name="AdjNo 9 4 6 4" xfId="24399" xr:uid="{00000000-0005-0000-0000-00001E0D0000}"/>
    <cellStyle name="AdjNo 9 4 7" xfId="2495" xr:uid="{00000000-0005-0000-0000-00001F0D0000}"/>
    <cellStyle name="AdjNo 9 4 7 2" xfId="2496" xr:uid="{00000000-0005-0000-0000-0000200D0000}"/>
    <cellStyle name="AdjNo 9 4 7 3" xfId="24400" xr:uid="{00000000-0005-0000-0000-0000210D0000}"/>
    <cellStyle name="AdjNo 9 4 7 4" xfId="24401" xr:uid="{00000000-0005-0000-0000-0000220D0000}"/>
    <cellStyle name="AdjNo 9 4 8" xfId="2497" xr:uid="{00000000-0005-0000-0000-0000230D0000}"/>
    <cellStyle name="AdjNo 9 4 9" xfId="24402" xr:uid="{00000000-0005-0000-0000-0000240D0000}"/>
    <cellStyle name="AdjNo 9 5" xfId="2498" xr:uid="{00000000-0005-0000-0000-0000250D0000}"/>
    <cellStyle name="AdjNo 9 5 10" xfId="24403" xr:uid="{00000000-0005-0000-0000-0000260D0000}"/>
    <cellStyle name="AdjNo 9 5 2" xfId="2499" xr:uid="{00000000-0005-0000-0000-0000270D0000}"/>
    <cellStyle name="AdjNo 9 5 2 2" xfId="2500" xr:uid="{00000000-0005-0000-0000-0000280D0000}"/>
    <cellStyle name="AdjNo 9 5 2 3" xfId="24404" xr:uid="{00000000-0005-0000-0000-0000290D0000}"/>
    <cellStyle name="AdjNo 9 5 2 4" xfId="24405" xr:uid="{00000000-0005-0000-0000-00002A0D0000}"/>
    <cellStyle name="AdjNo 9 5 3" xfId="2501" xr:uid="{00000000-0005-0000-0000-00002B0D0000}"/>
    <cellStyle name="AdjNo 9 5 3 2" xfId="2502" xr:uid="{00000000-0005-0000-0000-00002C0D0000}"/>
    <cellStyle name="AdjNo 9 5 3 3" xfId="24406" xr:uid="{00000000-0005-0000-0000-00002D0D0000}"/>
    <cellStyle name="AdjNo 9 5 3 4" xfId="24407" xr:uid="{00000000-0005-0000-0000-00002E0D0000}"/>
    <cellStyle name="AdjNo 9 5 4" xfId="2503" xr:uid="{00000000-0005-0000-0000-00002F0D0000}"/>
    <cellStyle name="AdjNo 9 5 4 2" xfId="2504" xr:uid="{00000000-0005-0000-0000-0000300D0000}"/>
    <cellStyle name="AdjNo 9 5 4 3" xfId="24408" xr:uid="{00000000-0005-0000-0000-0000310D0000}"/>
    <cellStyle name="AdjNo 9 5 4 4" xfId="24409" xr:uid="{00000000-0005-0000-0000-0000320D0000}"/>
    <cellStyle name="AdjNo 9 5 5" xfId="2505" xr:uid="{00000000-0005-0000-0000-0000330D0000}"/>
    <cellStyle name="AdjNo 9 5 5 2" xfId="2506" xr:uid="{00000000-0005-0000-0000-0000340D0000}"/>
    <cellStyle name="AdjNo 9 5 5 3" xfId="24410" xr:uid="{00000000-0005-0000-0000-0000350D0000}"/>
    <cellStyle name="AdjNo 9 5 5 4" xfId="24411" xr:uid="{00000000-0005-0000-0000-0000360D0000}"/>
    <cellStyle name="AdjNo 9 5 6" xfId="2507" xr:uid="{00000000-0005-0000-0000-0000370D0000}"/>
    <cellStyle name="AdjNo 9 5 6 2" xfId="2508" xr:uid="{00000000-0005-0000-0000-0000380D0000}"/>
    <cellStyle name="AdjNo 9 5 6 3" xfId="24412" xr:uid="{00000000-0005-0000-0000-0000390D0000}"/>
    <cellStyle name="AdjNo 9 5 6 4" xfId="24413" xr:uid="{00000000-0005-0000-0000-00003A0D0000}"/>
    <cellStyle name="AdjNo 9 5 7" xfId="2509" xr:uid="{00000000-0005-0000-0000-00003B0D0000}"/>
    <cellStyle name="AdjNo 9 5 7 2" xfId="2510" xr:uid="{00000000-0005-0000-0000-00003C0D0000}"/>
    <cellStyle name="AdjNo 9 5 7 3" xfId="24414" xr:uid="{00000000-0005-0000-0000-00003D0D0000}"/>
    <cellStyle name="AdjNo 9 5 7 4" xfId="24415" xr:uid="{00000000-0005-0000-0000-00003E0D0000}"/>
    <cellStyle name="AdjNo 9 5 8" xfId="2511" xr:uid="{00000000-0005-0000-0000-00003F0D0000}"/>
    <cellStyle name="AdjNo 9 5 9" xfId="24416" xr:uid="{00000000-0005-0000-0000-0000400D0000}"/>
    <cellStyle name="AdjNo 9 6" xfId="2512" xr:uid="{00000000-0005-0000-0000-0000410D0000}"/>
    <cellStyle name="AdjNo 9 6 2" xfId="2513" xr:uid="{00000000-0005-0000-0000-0000420D0000}"/>
    <cellStyle name="AdjNo 9 6 3" xfId="24417" xr:uid="{00000000-0005-0000-0000-0000430D0000}"/>
    <cellStyle name="AdjNo 9 6 4" xfId="24418" xr:uid="{00000000-0005-0000-0000-0000440D0000}"/>
    <cellStyle name="AdjNo 9 7" xfId="2514" xr:uid="{00000000-0005-0000-0000-0000450D0000}"/>
    <cellStyle name="AdjNo 9 7 2" xfId="2515" xr:uid="{00000000-0005-0000-0000-0000460D0000}"/>
    <cellStyle name="AdjNo 9 7 3" xfId="24419" xr:uid="{00000000-0005-0000-0000-0000470D0000}"/>
    <cellStyle name="AdjNo 9 7 4" xfId="24420" xr:uid="{00000000-0005-0000-0000-0000480D0000}"/>
    <cellStyle name="AdjNo 9 8" xfId="2516" xr:uid="{00000000-0005-0000-0000-0000490D0000}"/>
    <cellStyle name="AdjNo 9 8 2" xfId="2517" xr:uid="{00000000-0005-0000-0000-00004A0D0000}"/>
    <cellStyle name="AdjNo 9 8 3" xfId="24421" xr:uid="{00000000-0005-0000-0000-00004B0D0000}"/>
    <cellStyle name="AdjNo 9 8 4" xfId="24422" xr:uid="{00000000-0005-0000-0000-00004C0D0000}"/>
    <cellStyle name="AdjNo 9 9" xfId="2518" xr:uid="{00000000-0005-0000-0000-00004D0D0000}"/>
    <cellStyle name="AdjNo 9 9 2" xfId="2519" xr:uid="{00000000-0005-0000-0000-00004E0D0000}"/>
    <cellStyle name="AdjNo 9 9 3" xfId="24423" xr:uid="{00000000-0005-0000-0000-00004F0D0000}"/>
    <cellStyle name="AdjNo 9 9 4" xfId="24424" xr:uid="{00000000-0005-0000-0000-0000500D0000}"/>
    <cellStyle name="Adjustment" xfId="2520" xr:uid="{00000000-0005-0000-0000-0000510D0000}"/>
    <cellStyle name="Adjustment 10" xfId="2521" xr:uid="{00000000-0005-0000-0000-0000520D0000}"/>
    <cellStyle name="Adjustment 10 10" xfId="2522" xr:uid="{00000000-0005-0000-0000-0000530D0000}"/>
    <cellStyle name="Adjustment 10 10 2" xfId="2523" xr:uid="{00000000-0005-0000-0000-0000540D0000}"/>
    <cellStyle name="Adjustment 10 10 3" xfId="24425" xr:uid="{00000000-0005-0000-0000-0000550D0000}"/>
    <cellStyle name="Adjustment 10 10 4" xfId="24426" xr:uid="{00000000-0005-0000-0000-0000560D0000}"/>
    <cellStyle name="Adjustment 10 11" xfId="2524" xr:uid="{00000000-0005-0000-0000-0000570D0000}"/>
    <cellStyle name="Adjustment 10 11 2" xfId="2525" xr:uid="{00000000-0005-0000-0000-0000580D0000}"/>
    <cellStyle name="Adjustment 10 11 3" xfId="24427" xr:uid="{00000000-0005-0000-0000-0000590D0000}"/>
    <cellStyle name="Adjustment 10 11 4" xfId="24428" xr:uid="{00000000-0005-0000-0000-00005A0D0000}"/>
    <cellStyle name="Adjustment 10 12" xfId="2526" xr:uid="{00000000-0005-0000-0000-00005B0D0000}"/>
    <cellStyle name="Adjustment 10 13" xfId="24429" xr:uid="{00000000-0005-0000-0000-00005C0D0000}"/>
    <cellStyle name="Adjustment 10 14" xfId="24430" xr:uid="{00000000-0005-0000-0000-00005D0D0000}"/>
    <cellStyle name="Adjustment 10 2" xfId="2527" xr:uid="{00000000-0005-0000-0000-00005E0D0000}"/>
    <cellStyle name="Adjustment 10 2 10" xfId="24431" xr:uid="{00000000-0005-0000-0000-00005F0D0000}"/>
    <cellStyle name="Adjustment 10 2 2" xfId="2528" xr:uid="{00000000-0005-0000-0000-0000600D0000}"/>
    <cellStyle name="Adjustment 10 2 2 2" xfId="2529" xr:uid="{00000000-0005-0000-0000-0000610D0000}"/>
    <cellStyle name="Adjustment 10 2 2 3" xfId="24432" xr:uid="{00000000-0005-0000-0000-0000620D0000}"/>
    <cellStyle name="Adjustment 10 2 2 4" xfId="24433" xr:uid="{00000000-0005-0000-0000-0000630D0000}"/>
    <cellStyle name="Adjustment 10 2 3" xfId="2530" xr:uid="{00000000-0005-0000-0000-0000640D0000}"/>
    <cellStyle name="Adjustment 10 2 3 2" xfId="2531" xr:uid="{00000000-0005-0000-0000-0000650D0000}"/>
    <cellStyle name="Adjustment 10 2 3 3" xfId="24434" xr:uid="{00000000-0005-0000-0000-0000660D0000}"/>
    <cellStyle name="Adjustment 10 2 3 4" xfId="24435" xr:uid="{00000000-0005-0000-0000-0000670D0000}"/>
    <cellStyle name="Adjustment 10 2 4" xfId="2532" xr:uid="{00000000-0005-0000-0000-0000680D0000}"/>
    <cellStyle name="Adjustment 10 2 4 2" xfId="2533" xr:uid="{00000000-0005-0000-0000-0000690D0000}"/>
    <cellStyle name="Adjustment 10 2 4 3" xfId="24436" xr:uid="{00000000-0005-0000-0000-00006A0D0000}"/>
    <cellStyle name="Adjustment 10 2 4 4" xfId="24437" xr:uid="{00000000-0005-0000-0000-00006B0D0000}"/>
    <cellStyle name="Adjustment 10 2 5" xfId="2534" xr:uid="{00000000-0005-0000-0000-00006C0D0000}"/>
    <cellStyle name="Adjustment 10 2 5 2" xfId="2535" xr:uid="{00000000-0005-0000-0000-00006D0D0000}"/>
    <cellStyle name="Adjustment 10 2 5 3" xfId="24438" xr:uid="{00000000-0005-0000-0000-00006E0D0000}"/>
    <cellStyle name="Adjustment 10 2 5 4" xfId="24439" xr:uid="{00000000-0005-0000-0000-00006F0D0000}"/>
    <cellStyle name="Adjustment 10 2 6" xfId="2536" xr:uid="{00000000-0005-0000-0000-0000700D0000}"/>
    <cellStyle name="Adjustment 10 2 6 2" xfId="2537" xr:uid="{00000000-0005-0000-0000-0000710D0000}"/>
    <cellStyle name="Adjustment 10 2 6 3" xfId="24440" xr:uid="{00000000-0005-0000-0000-0000720D0000}"/>
    <cellStyle name="Adjustment 10 2 6 4" xfId="24441" xr:uid="{00000000-0005-0000-0000-0000730D0000}"/>
    <cellStyle name="Adjustment 10 2 7" xfId="2538" xr:uid="{00000000-0005-0000-0000-0000740D0000}"/>
    <cellStyle name="Adjustment 10 2 7 2" xfId="2539" xr:uid="{00000000-0005-0000-0000-0000750D0000}"/>
    <cellStyle name="Adjustment 10 2 7 3" xfId="24442" xr:uid="{00000000-0005-0000-0000-0000760D0000}"/>
    <cellStyle name="Adjustment 10 2 7 4" xfId="24443" xr:uid="{00000000-0005-0000-0000-0000770D0000}"/>
    <cellStyle name="Adjustment 10 2 8" xfId="2540" xr:uid="{00000000-0005-0000-0000-0000780D0000}"/>
    <cellStyle name="Adjustment 10 2 9" xfId="24444" xr:uid="{00000000-0005-0000-0000-0000790D0000}"/>
    <cellStyle name="Adjustment 10 3" xfId="2541" xr:uid="{00000000-0005-0000-0000-00007A0D0000}"/>
    <cellStyle name="Adjustment 10 3 10" xfId="24445" xr:uid="{00000000-0005-0000-0000-00007B0D0000}"/>
    <cellStyle name="Adjustment 10 3 2" xfId="2542" xr:uid="{00000000-0005-0000-0000-00007C0D0000}"/>
    <cellStyle name="Adjustment 10 3 2 2" xfId="2543" xr:uid="{00000000-0005-0000-0000-00007D0D0000}"/>
    <cellStyle name="Adjustment 10 3 2 3" xfId="24446" xr:uid="{00000000-0005-0000-0000-00007E0D0000}"/>
    <cellStyle name="Adjustment 10 3 2 4" xfId="24447" xr:uid="{00000000-0005-0000-0000-00007F0D0000}"/>
    <cellStyle name="Adjustment 10 3 3" xfId="2544" xr:uid="{00000000-0005-0000-0000-0000800D0000}"/>
    <cellStyle name="Adjustment 10 3 3 2" xfId="2545" xr:uid="{00000000-0005-0000-0000-0000810D0000}"/>
    <cellStyle name="Adjustment 10 3 3 3" xfId="24448" xr:uid="{00000000-0005-0000-0000-0000820D0000}"/>
    <cellStyle name="Adjustment 10 3 3 4" xfId="24449" xr:uid="{00000000-0005-0000-0000-0000830D0000}"/>
    <cellStyle name="Adjustment 10 3 4" xfId="2546" xr:uid="{00000000-0005-0000-0000-0000840D0000}"/>
    <cellStyle name="Adjustment 10 3 4 2" xfId="2547" xr:uid="{00000000-0005-0000-0000-0000850D0000}"/>
    <cellStyle name="Adjustment 10 3 4 3" xfId="24450" xr:uid="{00000000-0005-0000-0000-0000860D0000}"/>
    <cellStyle name="Adjustment 10 3 4 4" xfId="24451" xr:uid="{00000000-0005-0000-0000-0000870D0000}"/>
    <cellStyle name="Adjustment 10 3 5" xfId="2548" xr:uid="{00000000-0005-0000-0000-0000880D0000}"/>
    <cellStyle name="Adjustment 10 3 5 2" xfId="2549" xr:uid="{00000000-0005-0000-0000-0000890D0000}"/>
    <cellStyle name="Adjustment 10 3 5 3" xfId="24452" xr:uid="{00000000-0005-0000-0000-00008A0D0000}"/>
    <cellStyle name="Adjustment 10 3 5 4" xfId="24453" xr:uid="{00000000-0005-0000-0000-00008B0D0000}"/>
    <cellStyle name="Adjustment 10 3 6" xfId="2550" xr:uid="{00000000-0005-0000-0000-00008C0D0000}"/>
    <cellStyle name="Adjustment 10 3 6 2" xfId="2551" xr:uid="{00000000-0005-0000-0000-00008D0D0000}"/>
    <cellStyle name="Adjustment 10 3 6 3" xfId="24454" xr:uid="{00000000-0005-0000-0000-00008E0D0000}"/>
    <cellStyle name="Adjustment 10 3 6 4" xfId="24455" xr:uid="{00000000-0005-0000-0000-00008F0D0000}"/>
    <cellStyle name="Adjustment 10 3 7" xfId="2552" xr:uid="{00000000-0005-0000-0000-0000900D0000}"/>
    <cellStyle name="Adjustment 10 3 7 2" xfId="2553" xr:uid="{00000000-0005-0000-0000-0000910D0000}"/>
    <cellStyle name="Adjustment 10 3 7 3" xfId="24456" xr:uid="{00000000-0005-0000-0000-0000920D0000}"/>
    <cellStyle name="Adjustment 10 3 7 4" xfId="24457" xr:uid="{00000000-0005-0000-0000-0000930D0000}"/>
    <cellStyle name="Adjustment 10 3 8" xfId="2554" xr:uid="{00000000-0005-0000-0000-0000940D0000}"/>
    <cellStyle name="Adjustment 10 3 9" xfId="24458" xr:uid="{00000000-0005-0000-0000-0000950D0000}"/>
    <cellStyle name="Adjustment 10 4" xfId="2555" xr:uid="{00000000-0005-0000-0000-0000960D0000}"/>
    <cellStyle name="Adjustment 10 4 10" xfId="24459" xr:uid="{00000000-0005-0000-0000-0000970D0000}"/>
    <cellStyle name="Adjustment 10 4 2" xfId="2556" xr:uid="{00000000-0005-0000-0000-0000980D0000}"/>
    <cellStyle name="Adjustment 10 4 2 2" xfId="2557" xr:uid="{00000000-0005-0000-0000-0000990D0000}"/>
    <cellStyle name="Adjustment 10 4 2 3" xfId="24460" xr:uid="{00000000-0005-0000-0000-00009A0D0000}"/>
    <cellStyle name="Adjustment 10 4 2 4" xfId="24461" xr:uid="{00000000-0005-0000-0000-00009B0D0000}"/>
    <cellStyle name="Adjustment 10 4 3" xfId="2558" xr:uid="{00000000-0005-0000-0000-00009C0D0000}"/>
    <cellStyle name="Adjustment 10 4 3 2" xfId="2559" xr:uid="{00000000-0005-0000-0000-00009D0D0000}"/>
    <cellStyle name="Adjustment 10 4 3 3" xfId="24462" xr:uid="{00000000-0005-0000-0000-00009E0D0000}"/>
    <cellStyle name="Adjustment 10 4 3 4" xfId="24463" xr:uid="{00000000-0005-0000-0000-00009F0D0000}"/>
    <cellStyle name="Adjustment 10 4 4" xfId="2560" xr:uid="{00000000-0005-0000-0000-0000A00D0000}"/>
    <cellStyle name="Adjustment 10 4 4 2" xfId="2561" xr:uid="{00000000-0005-0000-0000-0000A10D0000}"/>
    <cellStyle name="Adjustment 10 4 4 3" xfId="24464" xr:uid="{00000000-0005-0000-0000-0000A20D0000}"/>
    <cellStyle name="Adjustment 10 4 4 4" xfId="24465" xr:uid="{00000000-0005-0000-0000-0000A30D0000}"/>
    <cellStyle name="Adjustment 10 4 5" xfId="2562" xr:uid="{00000000-0005-0000-0000-0000A40D0000}"/>
    <cellStyle name="Adjustment 10 4 5 2" xfId="2563" xr:uid="{00000000-0005-0000-0000-0000A50D0000}"/>
    <cellStyle name="Adjustment 10 4 5 3" xfId="24466" xr:uid="{00000000-0005-0000-0000-0000A60D0000}"/>
    <cellStyle name="Adjustment 10 4 5 4" xfId="24467" xr:uid="{00000000-0005-0000-0000-0000A70D0000}"/>
    <cellStyle name="Adjustment 10 4 6" xfId="2564" xr:uid="{00000000-0005-0000-0000-0000A80D0000}"/>
    <cellStyle name="Adjustment 10 4 6 2" xfId="2565" xr:uid="{00000000-0005-0000-0000-0000A90D0000}"/>
    <cellStyle name="Adjustment 10 4 6 3" xfId="24468" xr:uid="{00000000-0005-0000-0000-0000AA0D0000}"/>
    <cellStyle name="Adjustment 10 4 6 4" xfId="24469" xr:uid="{00000000-0005-0000-0000-0000AB0D0000}"/>
    <cellStyle name="Adjustment 10 4 7" xfId="2566" xr:uid="{00000000-0005-0000-0000-0000AC0D0000}"/>
    <cellStyle name="Adjustment 10 4 7 2" xfId="2567" xr:uid="{00000000-0005-0000-0000-0000AD0D0000}"/>
    <cellStyle name="Adjustment 10 4 7 3" xfId="24470" xr:uid="{00000000-0005-0000-0000-0000AE0D0000}"/>
    <cellStyle name="Adjustment 10 4 7 4" xfId="24471" xr:uid="{00000000-0005-0000-0000-0000AF0D0000}"/>
    <cellStyle name="Adjustment 10 4 8" xfId="2568" xr:uid="{00000000-0005-0000-0000-0000B00D0000}"/>
    <cellStyle name="Adjustment 10 4 9" xfId="24472" xr:uid="{00000000-0005-0000-0000-0000B10D0000}"/>
    <cellStyle name="Adjustment 10 5" xfId="2569" xr:uid="{00000000-0005-0000-0000-0000B20D0000}"/>
    <cellStyle name="Adjustment 10 5 10" xfId="24473" xr:uid="{00000000-0005-0000-0000-0000B30D0000}"/>
    <cellStyle name="Adjustment 10 5 2" xfId="2570" xr:uid="{00000000-0005-0000-0000-0000B40D0000}"/>
    <cellStyle name="Adjustment 10 5 2 2" xfId="2571" xr:uid="{00000000-0005-0000-0000-0000B50D0000}"/>
    <cellStyle name="Adjustment 10 5 2 3" xfId="24474" xr:uid="{00000000-0005-0000-0000-0000B60D0000}"/>
    <cellStyle name="Adjustment 10 5 2 4" xfId="24475" xr:uid="{00000000-0005-0000-0000-0000B70D0000}"/>
    <cellStyle name="Adjustment 10 5 3" xfId="2572" xr:uid="{00000000-0005-0000-0000-0000B80D0000}"/>
    <cellStyle name="Adjustment 10 5 3 2" xfId="2573" xr:uid="{00000000-0005-0000-0000-0000B90D0000}"/>
    <cellStyle name="Adjustment 10 5 3 3" xfId="24476" xr:uid="{00000000-0005-0000-0000-0000BA0D0000}"/>
    <cellStyle name="Adjustment 10 5 3 4" xfId="24477" xr:uid="{00000000-0005-0000-0000-0000BB0D0000}"/>
    <cellStyle name="Adjustment 10 5 4" xfId="2574" xr:uid="{00000000-0005-0000-0000-0000BC0D0000}"/>
    <cellStyle name="Adjustment 10 5 4 2" xfId="2575" xr:uid="{00000000-0005-0000-0000-0000BD0D0000}"/>
    <cellStyle name="Adjustment 10 5 4 3" xfId="24478" xr:uid="{00000000-0005-0000-0000-0000BE0D0000}"/>
    <cellStyle name="Adjustment 10 5 4 4" xfId="24479" xr:uid="{00000000-0005-0000-0000-0000BF0D0000}"/>
    <cellStyle name="Adjustment 10 5 5" xfId="2576" xr:uid="{00000000-0005-0000-0000-0000C00D0000}"/>
    <cellStyle name="Adjustment 10 5 5 2" xfId="2577" xr:uid="{00000000-0005-0000-0000-0000C10D0000}"/>
    <cellStyle name="Adjustment 10 5 5 3" xfId="24480" xr:uid="{00000000-0005-0000-0000-0000C20D0000}"/>
    <cellStyle name="Adjustment 10 5 5 4" xfId="24481" xr:uid="{00000000-0005-0000-0000-0000C30D0000}"/>
    <cellStyle name="Adjustment 10 5 6" xfId="2578" xr:uid="{00000000-0005-0000-0000-0000C40D0000}"/>
    <cellStyle name="Adjustment 10 5 6 2" xfId="2579" xr:uid="{00000000-0005-0000-0000-0000C50D0000}"/>
    <cellStyle name="Adjustment 10 5 6 3" xfId="24482" xr:uid="{00000000-0005-0000-0000-0000C60D0000}"/>
    <cellStyle name="Adjustment 10 5 6 4" xfId="24483" xr:uid="{00000000-0005-0000-0000-0000C70D0000}"/>
    <cellStyle name="Adjustment 10 5 7" xfId="2580" xr:uid="{00000000-0005-0000-0000-0000C80D0000}"/>
    <cellStyle name="Adjustment 10 5 7 2" xfId="2581" xr:uid="{00000000-0005-0000-0000-0000C90D0000}"/>
    <cellStyle name="Adjustment 10 5 7 3" xfId="24484" xr:uid="{00000000-0005-0000-0000-0000CA0D0000}"/>
    <cellStyle name="Adjustment 10 5 7 4" xfId="24485" xr:uid="{00000000-0005-0000-0000-0000CB0D0000}"/>
    <cellStyle name="Adjustment 10 5 8" xfId="2582" xr:uid="{00000000-0005-0000-0000-0000CC0D0000}"/>
    <cellStyle name="Adjustment 10 5 9" xfId="24486" xr:uid="{00000000-0005-0000-0000-0000CD0D0000}"/>
    <cellStyle name="Adjustment 10 6" xfId="2583" xr:uid="{00000000-0005-0000-0000-0000CE0D0000}"/>
    <cellStyle name="Adjustment 10 6 2" xfId="2584" xr:uid="{00000000-0005-0000-0000-0000CF0D0000}"/>
    <cellStyle name="Adjustment 10 6 3" xfId="24487" xr:uid="{00000000-0005-0000-0000-0000D00D0000}"/>
    <cellStyle name="Adjustment 10 6 4" xfId="24488" xr:uid="{00000000-0005-0000-0000-0000D10D0000}"/>
    <cellStyle name="Adjustment 10 7" xfId="2585" xr:uid="{00000000-0005-0000-0000-0000D20D0000}"/>
    <cellStyle name="Adjustment 10 7 2" xfId="2586" xr:uid="{00000000-0005-0000-0000-0000D30D0000}"/>
    <cellStyle name="Adjustment 10 7 3" xfId="24489" xr:uid="{00000000-0005-0000-0000-0000D40D0000}"/>
    <cellStyle name="Adjustment 10 7 4" xfId="24490" xr:uid="{00000000-0005-0000-0000-0000D50D0000}"/>
    <cellStyle name="Adjustment 10 8" xfId="2587" xr:uid="{00000000-0005-0000-0000-0000D60D0000}"/>
    <cellStyle name="Adjustment 10 8 2" xfId="2588" xr:uid="{00000000-0005-0000-0000-0000D70D0000}"/>
    <cellStyle name="Adjustment 10 8 3" xfId="24491" xr:uid="{00000000-0005-0000-0000-0000D80D0000}"/>
    <cellStyle name="Adjustment 10 8 4" xfId="24492" xr:uid="{00000000-0005-0000-0000-0000D90D0000}"/>
    <cellStyle name="Adjustment 10 9" xfId="2589" xr:uid="{00000000-0005-0000-0000-0000DA0D0000}"/>
    <cellStyle name="Adjustment 10 9 2" xfId="2590" xr:uid="{00000000-0005-0000-0000-0000DB0D0000}"/>
    <cellStyle name="Adjustment 10 9 3" xfId="24493" xr:uid="{00000000-0005-0000-0000-0000DC0D0000}"/>
    <cellStyle name="Adjustment 10 9 4" xfId="24494" xr:uid="{00000000-0005-0000-0000-0000DD0D0000}"/>
    <cellStyle name="Adjustment 11" xfId="2591" xr:uid="{00000000-0005-0000-0000-0000DE0D0000}"/>
    <cellStyle name="Adjustment 11 10" xfId="2592" xr:uid="{00000000-0005-0000-0000-0000DF0D0000}"/>
    <cellStyle name="Adjustment 11 10 2" xfId="2593" xr:uid="{00000000-0005-0000-0000-0000E00D0000}"/>
    <cellStyle name="Adjustment 11 10 3" xfId="24495" xr:uid="{00000000-0005-0000-0000-0000E10D0000}"/>
    <cellStyle name="Adjustment 11 10 4" xfId="24496" xr:uid="{00000000-0005-0000-0000-0000E20D0000}"/>
    <cellStyle name="Adjustment 11 11" xfId="2594" xr:uid="{00000000-0005-0000-0000-0000E30D0000}"/>
    <cellStyle name="Adjustment 11 11 2" xfId="2595" xr:uid="{00000000-0005-0000-0000-0000E40D0000}"/>
    <cellStyle name="Adjustment 11 11 3" xfId="24497" xr:uid="{00000000-0005-0000-0000-0000E50D0000}"/>
    <cellStyle name="Adjustment 11 11 4" xfId="24498" xr:uid="{00000000-0005-0000-0000-0000E60D0000}"/>
    <cellStyle name="Adjustment 11 12" xfId="2596" xr:uid="{00000000-0005-0000-0000-0000E70D0000}"/>
    <cellStyle name="Adjustment 11 13" xfId="24499" xr:uid="{00000000-0005-0000-0000-0000E80D0000}"/>
    <cellStyle name="Adjustment 11 14" xfId="24500" xr:uid="{00000000-0005-0000-0000-0000E90D0000}"/>
    <cellStyle name="Adjustment 11 2" xfId="2597" xr:uid="{00000000-0005-0000-0000-0000EA0D0000}"/>
    <cellStyle name="Adjustment 11 2 10" xfId="24501" xr:uid="{00000000-0005-0000-0000-0000EB0D0000}"/>
    <cellStyle name="Adjustment 11 2 2" xfId="2598" xr:uid="{00000000-0005-0000-0000-0000EC0D0000}"/>
    <cellStyle name="Adjustment 11 2 2 2" xfId="2599" xr:uid="{00000000-0005-0000-0000-0000ED0D0000}"/>
    <cellStyle name="Adjustment 11 2 2 3" xfId="24502" xr:uid="{00000000-0005-0000-0000-0000EE0D0000}"/>
    <cellStyle name="Adjustment 11 2 2 4" xfId="24503" xr:uid="{00000000-0005-0000-0000-0000EF0D0000}"/>
    <cellStyle name="Adjustment 11 2 3" xfId="2600" xr:uid="{00000000-0005-0000-0000-0000F00D0000}"/>
    <cellStyle name="Adjustment 11 2 3 2" xfId="2601" xr:uid="{00000000-0005-0000-0000-0000F10D0000}"/>
    <cellStyle name="Adjustment 11 2 3 3" xfId="24504" xr:uid="{00000000-0005-0000-0000-0000F20D0000}"/>
    <cellStyle name="Adjustment 11 2 3 4" xfId="24505" xr:uid="{00000000-0005-0000-0000-0000F30D0000}"/>
    <cellStyle name="Adjustment 11 2 4" xfId="2602" xr:uid="{00000000-0005-0000-0000-0000F40D0000}"/>
    <cellStyle name="Adjustment 11 2 4 2" xfId="2603" xr:uid="{00000000-0005-0000-0000-0000F50D0000}"/>
    <cellStyle name="Adjustment 11 2 4 3" xfId="24506" xr:uid="{00000000-0005-0000-0000-0000F60D0000}"/>
    <cellStyle name="Adjustment 11 2 4 4" xfId="24507" xr:uid="{00000000-0005-0000-0000-0000F70D0000}"/>
    <cellStyle name="Adjustment 11 2 5" xfId="2604" xr:uid="{00000000-0005-0000-0000-0000F80D0000}"/>
    <cellStyle name="Adjustment 11 2 5 2" xfId="2605" xr:uid="{00000000-0005-0000-0000-0000F90D0000}"/>
    <cellStyle name="Adjustment 11 2 5 3" xfId="24508" xr:uid="{00000000-0005-0000-0000-0000FA0D0000}"/>
    <cellStyle name="Adjustment 11 2 5 4" xfId="24509" xr:uid="{00000000-0005-0000-0000-0000FB0D0000}"/>
    <cellStyle name="Adjustment 11 2 6" xfId="2606" xr:uid="{00000000-0005-0000-0000-0000FC0D0000}"/>
    <cellStyle name="Adjustment 11 2 6 2" xfId="2607" xr:uid="{00000000-0005-0000-0000-0000FD0D0000}"/>
    <cellStyle name="Adjustment 11 2 6 3" xfId="24510" xr:uid="{00000000-0005-0000-0000-0000FE0D0000}"/>
    <cellStyle name="Adjustment 11 2 6 4" xfId="24511" xr:uid="{00000000-0005-0000-0000-0000FF0D0000}"/>
    <cellStyle name="Adjustment 11 2 7" xfId="2608" xr:uid="{00000000-0005-0000-0000-0000000E0000}"/>
    <cellStyle name="Adjustment 11 2 7 2" xfId="2609" xr:uid="{00000000-0005-0000-0000-0000010E0000}"/>
    <cellStyle name="Adjustment 11 2 7 3" xfId="24512" xr:uid="{00000000-0005-0000-0000-0000020E0000}"/>
    <cellStyle name="Adjustment 11 2 7 4" xfId="24513" xr:uid="{00000000-0005-0000-0000-0000030E0000}"/>
    <cellStyle name="Adjustment 11 2 8" xfId="2610" xr:uid="{00000000-0005-0000-0000-0000040E0000}"/>
    <cellStyle name="Adjustment 11 2 9" xfId="24514" xr:uid="{00000000-0005-0000-0000-0000050E0000}"/>
    <cellStyle name="Adjustment 11 3" xfId="2611" xr:uid="{00000000-0005-0000-0000-0000060E0000}"/>
    <cellStyle name="Adjustment 11 3 10" xfId="24515" xr:uid="{00000000-0005-0000-0000-0000070E0000}"/>
    <cellStyle name="Adjustment 11 3 2" xfId="2612" xr:uid="{00000000-0005-0000-0000-0000080E0000}"/>
    <cellStyle name="Adjustment 11 3 2 2" xfId="2613" xr:uid="{00000000-0005-0000-0000-0000090E0000}"/>
    <cellStyle name="Adjustment 11 3 2 3" xfId="24516" xr:uid="{00000000-0005-0000-0000-00000A0E0000}"/>
    <cellStyle name="Adjustment 11 3 2 4" xfId="24517" xr:uid="{00000000-0005-0000-0000-00000B0E0000}"/>
    <cellStyle name="Adjustment 11 3 3" xfId="2614" xr:uid="{00000000-0005-0000-0000-00000C0E0000}"/>
    <cellStyle name="Adjustment 11 3 3 2" xfId="2615" xr:uid="{00000000-0005-0000-0000-00000D0E0000}"/>
    <cellStyle name="Adjustment 11 3 3 3" xfId="24518" xr:uid="{00000000-0005-0000-0000-00000E0E0000}"/>
    <cellStyle name="Adjustment 11 3 3 4" xfId="24519" xr:uid="{00000000-0005-0000-0000-00000F0E0000}"/>
    <cellStyle name="Adjustment 11 3 4" xfId="2616" xr:uid="{00000000-0005-0000-0000-0000100E0000}"/>
    <cellStyle name="Adjustment 11 3 4 2" xfId="2617" xr:uid="{00000000-0005-0000-0000-0000110E0000}"/>
    <cellStyle name="Adjustment 11 3 4 3" xfId="24520" xr:uid="{00000000-0005-0000-0000-0000120E0000}"/>
    <cellStyle name="Adjustment 11 3 4 4" xfId="24521" xr:uid="{00000000-0005-0000-0000-0000130E0000}"/>
    <cellStyle name="Adjustment 11 3 5" xfId="2618" xr:uid="{00000000-0005-0000-0000-0000140E0000}"/>
    <cellStyle name="Adjustment 11 3 5 2" xfId="2619" xr:uid="{00000000-0005-0000-0000-0000150E0000}"/>
    <cellStyle name="Adjustment 11 3 5 3" xfId="24522" xr:uid="{00000000-0005-0000-0000-0000160E0000}"/>
    <cellStyle name="Adjustment 11 3 5 4" xfId="24523" xr:uid="{00000000-0005-0000-0000-0000170E0000}"/>
    <cellStyle name="Adjustment 11 3 6" xfId="2620" xr:uid="{00000000-0005-0000-0000-0000180E0000}"/>
    <cellStyle name="Adjustment 11 3 6 2" xfId="2621" xr:uid="{00000000-0005-0000-0000-0000190E0000}"/>
    <cellStyle name="Adjustment 11 3 6 3" xfId="24524" xr:uid="{00000000-0005-0000-0000-00001A0E0000}"/>
    <cellStyle name="Adjustment 11 3 6 4" xfId="24525" xr:uid="{00000000-0005-0000-0000-00001B0E0000}"/>
    <cellStyle name="Adjustment 11 3 7" xfId="2622" xr:uid="{00000000-0005-0000-0000-00001C0E0000}"/>
    <cellStyle name="Adjustment 11 3 7 2" xfId="2623" xr:uid="{00000000-0005-0000-0000-00001D0E0000}"/>
    <cellStyle name="Adjustment 11 3 7 3" xfId="24526" xr:uid="{00000000-0005-0000-0000-00001E0E0000}"/>
    <cellStyle name="Adjustment 11 3 7 4" xfId="24527" xr:uid="{00000000-0005-0000-0000-00001F0E0000}"/>
    <cellStyle name="Adjustment 11 3 8" xfId="2624" xr:uid="{00000000-0005-0000-0000-0000200E0000}"/>
    <cellStyle name="Adjustment 11 3 9" xfId="24528" xr:uid="{00000000-0005-0000-0000-0000210E0000}"/>
    <cellStyle name="Adjustment 11 4" xfId="2625" xr:uid="{00000000-0005-0000-0000-0000220E0000}"/>
    <cellStyle name="Adjustment 11 4 10" xfId="24529" xr:uid="{00000000-0005-0000-0000-0000230E0000}"/>
    <cellStyle name="Adjustment 11 4 2" xfId="2626" xr:uid="{00000000-0005-0000-0000-0000240E0000}"/>
    <cellStyle name="Adjustment 11 4 2 2" xfId="2627" xr:uid="{00000000-0005-0000-0000-0000250E0000}"/>
    <cellStyle name="Adjustment 11 4 2 3" xfId="24530" xr:uid="{00000000-0005-0000-0000-0000260E0000}"/>
    <cellStyle name="Adjustment 11 4 2 4" xfId="24531" xr:uid="{00000000-0005-0000-0000-0000270E0000}"/>
    <cellStyle name="Adjustment 11 4 3" xfId="2628" xr:uid="{00000000-0005-0000-0000-0000280E0000}"/>
    <cellStyle name="Adjustment 11 4 3 2" xfId="2629" xr:uid="{00000000-0005-0000-0000-0000290E0000}"/>
    <cellStyle name="Adjustment 11 4 3 3" xfId="24532" xr:uid="{00000000-0005-0000-0000-00002A0E0000}"/>
    <cellStyle name="Adjustment 11 4 3 4" xfId="24533" xr:uid="{00000000-0005-0000-0000-00002B0E0000}"/>
    <cellStyle name="Adjustment 11 4 4" xfId="2630" xr:uid="{00000000-0005-0000-0000-00002C0E0000}"/>
    <cellStyle name="Adjustment 11 4 4 2" xfId="2631" xr:uid="{00000000-0005-0000-0000-00002D0E0000}"/>
    <cellStyle name="Adjustment 11 4 4 3" xfId="24534" xr:uid="{00000000-0005-0000-0000-00002E0E0000}"/>
    <cellStyle name="Adjustment 11 4 4 4" xfId="24535" xr:uid="{00000000-0005-0000-0000-00002F0E0000}"/>
    <cellStyle name="Adjustment 11 4 5" xfId="2632" xr:uid="{00000000-0005-0000-0000-0000300E0000}"/>
    <cellStyle name="Adjustment 11 4 5 2" xfId="2633" xr:uid="{00000000-0005-0000-0000-0000310E0000}"/>
    <cellStyle name="Adjustment 11 4 5 3" xfId="24536" xr:uid="{00000000-0005-0000-0000-0000320E0000}"/>
    <cellStyle name="Adjustment 11 4 5 4" xfId="24537" xr:uid="{00000000-0005-0000-0000-0000330E0000}"/>
    <cellStyle name="Adjustment 11 4 6" xfId="2634" xr:uid="{00000000-0005-0000-0000-0000340E0000}"/>
    <cellStyle name="Adjustment 11 4 6 2" xfId="2635" xr:uid="{00000000-0005-0000-0000-0000350E0000}"/>
    <cellStyle name="Adjustment 11 4 6 3" xfId="24538" xr:uid="{00000000-0005-0000-0000-0000360E0000}"/>
    <cellStyle name="Adjustment 11 4 6 4" xfId="24539" xr:uid="{00000000-0005-0000-0000-0000370E0000}"/>
    <cellStyle name="Adjustment 11 4 7" xfId="2636" xr:uid="{00000000-0005-0000-0000-0000380E0000}"/>
    <cellStyle name="Adjustment 11 4 7 2" xfId="2637" xr:uid="{00000000-0005-0000-0000-0000390E0000}"/>
    <cellStyle name="Adjustment 11 4 7 3" xfId="24540" xr:uid="{00000000-0005-0000-0000-00003A0E0000}"/>
    <cellStyle name="Adjustment 11 4 7 4" xfId="24541" xr:uid="{00000000-0005-0000-0000-00003B0E0000}"/>
    <cellStyle name="Adjustment 11 4 8" xfId="2638" xr:uid="{00000000-0005-0000-0000-00003C0E0000}"/>
    <cellStyle name="Adjustment 11 4 9" xfId="24542" xr:uid="{00000000-0005-0000-0000-00003D0E0000}"/>
    <cellStyle name="Adjustment 11 5" xfId="2639" xr:uid="{00000000-0005-0000-0000-00003E0E0000}"/>
    <cellStyle name="Adjustment 11 5 10" xfId="24543" xr:uid="{00000000-0005-0000-0000-00003F0E0000}"/>
    <cellStyle name="Adjustment 11 5 2" xfId="2640" xr:uid="{00000000-0005-0000-0000-0000400E0000}"/>
    <cellStyle name="Adjustment 11 5 2 2" xfId="2641" xr:uid="{00000000-0005-0000-0000-0000410E0000}"/>
    <cellStyle name="Adjustment 11 5 2 3" xfId="24544" xr:uid="{00000000-0005-0000-0000-0000420E0000}"/>
    <cellStyle name="Adjustment 11 5 2 4" xfId="24545" xr:uid="{00000000-0005-0000-0000-0000430E0000}"/>
    <cellStyle name="Adjustment 11 5 3" xfId="2642" xr:uid="{00000000-0005-0000-0000-0000440E0000}"/>
    <cellStyle name="Adjustment 11 5 3 2" xfId="2643" xr:uid="{00000000-0005-0000-0000-0000450E0000}"/>
    <cellStyle name="Adjustment 11 5 3 3" xfId="24546" xr:uid="{00000000-0005-0000-0000-0000460E0000}"/>
    <cellStyle name="Adjustment 11 5 3 4" xfId="24547" xr:uid="{00000000-0005-0000-0000-0000470E0000}"/>
    <cellStyle name="Adjustment 11 5 4" xfId="2644" xr:uid="{00000000-0005-0000-0000-0000480E0000}"/>
    <cellStyle name="Adjustment 11 5 4 2" xfId="2645" xr:uid="{00000000-0005-0000-0000-0000490E0000}"/>
    <cellStyle name="Adjustment 11 5 4 3" xfId="24548" xr:uid="{00000000-0005-0000-0000-00004A0E0000}"/>
    <cellStyle name="Adjustment 11 5 4 4" xfId="24549" xr:uid="{00000000-0005-0000-0000-00004B0E0000}"/>
    <cellStyle name="Adjustment 11 5 5" xfId="2646" xr:uid="{00000000-0005-0000-0000-00004C0E0000}"/>
    <cellStyle name="Adjustment 11 5 5 2" xfId="2647" xr:uid="{00000000-0005-0000-0000-00004D0E0000}"/>
    <cellStyle name="Adjustment 11 5 5 3" xfId="24550" xr:uid="{00000000-0005-0000-0000-00004E0E0000}"/>
    <cellStyle name="Adjustment 11 5 5 4" xfId="24551" xr:uid="{00000000-0005-0000-0000-00004F0E0000}"/>
    <cellStyle name="Adjustment 11 5 6" xfId="2648" xr:uid="{00000000-0005-0000-0000-0000500E0000}"/>
    <cellStyle name="Adjustment 11 5 6 2" xfId="2649" xr:uid="{00000000-0005-0000-0000-0000510E0000}"/>
    <cellStyle name="Adjustment 11 5 6 3" xfId="24552" xr:uid="{00000000-0005-0000-0000-0000520E0000}"/>
    <cellStyle name="Adjustment 11 5 6 4" xfId="24553" xr:uid="{00000000-0005-0000-0000-0000530E0000}"/>
    <cellStyle name="Adjustment 11 5 7" xfId="2650" xr:uid="{00000000-0005-0000-0000-0000540E0000}"/>
    <cellStyle name="Adjustment 11 5 7 2" xfId="2651" xr:uid="{00000000-0005-0000-0000-0000550E0000}"/>
    <cellStyle name="Adjustment 11 5 7 3" xfId="24554" xr:uid="{00000000-0005-0000-0000-0000560E0000}"/>
    <cellStyle name="Adjustment 11 5 7 4" xfId="24555" xr:uid="{00000000-0005-0000-0000-0000570E0000}"/>
    <cellStyle name="Adjustment 11 5 8" xfId="2652" xr:uid="{00000000-0005-0000-0000-0000580E0000}"/>
    <cellStyle name="Adjustment 11 5 9" xfId="24556" xr:uid="{00000000-0005-0000-0000-0000590E0000}"/>
    <cellStyle name="Adjustment 11 6" xfId="2653" xr:uid="{00000000-0005-0000-0000-00005A0E0000}"/>
    <cellStyle name="Adjustment 11 6 2" xfId="2654" xr:uid="{00000000-0005-0000-0000-00005B0E0000}"/>
    <cellStyle name="Adjustment 11 6 3" xfId="24557" xr:uid="{00000000-0005-0000-0000-00005C0E0000}"/>
    <cellStyle name="Adjustment 11 6 4" xfId="24558" xr:uid="{00000000-0005-0000-0000-00005D0E0000}"/>
    <cellStyle name="Adjustment 11 7" xfId="2655" xr:uid="{00000000-0005-0000-0000-00005E0E0000}"/>
    <cellStyle name="Adjustment 11 7 2" xfId="2656" xr:uid="{00000000-0005-0000-0000-00005F0E0000}"/>
    <cellStyle name="Adjustment 11 7 3" xfId="24559" xr:uid="{00000000-0005-0000-0000-0000600E0000}"/>
    <cellStyle name="Adjustment 11 7 4" xfId="24560" xr:uid="{00000000-0005-0000-0000-0000610E0000}"/>
    <cellStyle name="Adjustment 11 8" xfId="2657" xr:uid="{00000000-0005-0000-0000-0000620E0000}"/>
    <cellStyle name="Adjustment 11 8 2" xfId="2658" xr:uid="{00000000-0005-0000-0000-0000630E0000}"/>
    <cellStyle name="Adjustment 11 8 3" xfId="24561" xr:uid="{00000000-0005-0000-0000-0000640E0000}"/>
    <cellStyle name="Adjustment 11 8 4" xfId="24562" xr:uid="{00000000-0005-0000-0000-0000650E0000}"/>
    <cellStyle name="Adjustment 11 9" xfId="2659" xr:uid="{00000000-0005-0000-0000-0000660E0000}"/>
    <cellStyle name="Adjustment 11 9 2" xfId="2660" xr:uid="{00000000-0005-0000-0000-0000670E0000}"/>
    <cellStyle name="Adjustment 11 9 3" xfId="24563" xr:uid="{00000000-0005-0000-0000-0000680E0000}"/>
    <cellStyle name="Adjustment 11 9 4" xfId="24564" xr:uid="{00000000-0005-0000-0000-0000690E0000}"/>
    <cellStyle name="Adjustment 12" xfId="2661" xr:uid="{00000000-0005-0000-0000-00006A0E0000}"/>
    <cellStyle name="Adjustment 12 10" xfId="2662" xr:uid="{00000000-0005-0000-0000-00006B0E0000}"/>
    <cellStyle name="Adjustment 12 10 2" xfId="2663" xr:uid="{00000000-0005-0000-0000-00006C0E0000}"/>
    <cellStyle name="Adjustment 12 10 3" xfId="24565" xr:uid="{00000000-0005-0000-0000-00006D0E0000}"/>
    <cellStyle name="Adjustment 12 10 4" xfId="24566" xr:uid="{00000000-0005-0000-0000-00006E0E0000}"/>
    <cellStyle name="Adjustment 12 11" xfId="2664" xr:uid="{00000000-0005-0000-0000-00006F0E0000}"/>
    <cellStyle name="Adjustment 12 11 2" xfId="2665" xr:uid="{00000000-0005-0000-0000-0000700E0000}"/>
    <cellStyle name="Adjustment 12 11 3" xfId="24567" xr:uid="{00000000-0005-0000-0000-0000710E0000}"/>
    <cellStyle name="Adjustment 12 11 4" xfId="24568" xr:uid="{00000000-0005-0000-0000-0000720E0000}"/>
    <cellStyle name="Adjustment 12 12" xfId="2666" xr:uid="{00000000-0005-0000-0000-0000730E0000}"/>
    <cellStyle name="Adjustment 12 13" xfId="24569" xr:uid="{00000000-0005-0000-0000-0000740E0000}"/>
    <cellStyle name="Adjustment 12 14" xfId="24570" xr:uid="{00000000-0005-0000-0000-0000750E0000}"/>
    <cellStyle name="Adjustment 12 2" xfId="2667" xr:uid="{00000000-0005-0000-0000-0000760E0000}"/>
    <cellStyle name="Adjustment 12 2 10" xfId="24571" xr:uid="{00000000-0005-0000-0000-0000770E0000}"/>
    <cellStyle name="Adjustment 12 2 2" xfId="2668" xr:uid="{00000000-0005-0000-0000-0000780E0000}"/>
    <cellStyle name="Adjustment 12 2 2 2" xfId="2669" xr:uid="{00000000-0005-0000-0000-0000790E0000}"/>
    <cellStyle name="Adjustment 12 2 2 3" xfId="24572" xr:uid="{00000000-0005-0000-0000-00007A0E0000}"/>
    <cellStyle name="Adjustment 12 2 2 4" xfId="24573" xr:uid="{00000000-0005-0000-0000-00007B0E0000}"/>
    <cellStyle name="Adjustment 12 2 3" xfId="2670" xr:uid="{00000000-0005-0000-0000-00007C0E0000}"/>
    <cellStyle name="Adjustment 12 2 3 2" xfId="2671" xr:uid="{00000000-0005-0000-0000-00007D0E0000}"/>
    <cellStyle name="Adjustment 12 2 3 3" xfId="24574" xr:uid="{00000000-0005-0000-0000-00007E0E0000}"/>
    <cellStyle name="Adjustment 12 2 3 4" xfId="24575" xr:uid="{00000000-0005-0000-0000-00007F0E0000}"/>
    <cellStyle name="Adjustment 12 2 4" xfId="2672" xr:uid="{00000000-0005-0000-0000-0000800E0000}"/>
    <cellStyle name="Adjustment 12 2 4 2" xfId="2673" xr:uid="{00000000-0005-0000-0000-0000810E0000}"/>
    <cellStyle name="Adjustment 12 2 4 3" xfId="24576" xr:uid="{00000000-0005-0000-0000-0000820E0000}"/>
    <cellStyle name="Adjustment 12 2 4 4" xfId="24577" xr:uid="{00000000-0005-0000-0000-0000830E0000}"/>
    <cellStyle name="Adjustment 12 2 5" xfId="2674" xr:uid="{00000000-0005-0000-0000-0000840E0000}"/>
    <cellStyle name="Adjustment 12 2 5 2" xfId="2675" xr:uid="{00000000-0005-0000-0000-0000850E0000}"/>
    <cellStyle name="Adjustment 12 2 5 3" xfId="24578" xr:uid="{00000000-0005-0000-0000-0000860E0000}"/>
    <cellStyle name="Adjustment 12 2 5 4" xfId="24579" xr:uid="{00000000-0005-0000-0000-0000870E0000}"/>
    <cellStyle name="Adjustment 12 2 6" xfId="2676" xr:uid="{00000000-0005-0000-0000-0000880E0000}"/>
    <cellStyle name="Adjustment 12 2 6 2" xfId="2677" xr:uid="{00000000-0005-0000-0000-0000890E0000}"/>
    <cellStyle name="Adjustment 12 2 6 3" xfId="24580" xr:uid="{00000000-0005-0000-0000-00008A0E0000}"/>
    <cellStyle name="Adjustment 12 2 6 4" xfId="24581" xr:uid="{00000000-0005-0000-0000-00008B0E0000}"/>
    <cellStyle name="Adjustment 12 2 7" xfId="2678" xr:uid="{00000000-0005-0000-0000-00008C0E0000}"/>
    <cellStyle name="Adjustment 12 2 7 2" xfId="2679" xr:uid="{00000000-0005-0000-0000-00008D0E0000}"/>
    <cellStyle name="Adjustment 12 2 7 3" xfId="24582" xr:uid="{00000000-0005-0000-0000-00008E0E0000}"/>
    <cellStyle name="Adjustment 12 2 7 4" xfId="24583" xr:uid="{00000000-0005-0000-0000-00008F0E0000}"/>
    <cellStyle name="Adjustment 12 2 8" xfId="2680" xr:uid="{00000000-0005-0000-0000-0000900E0000}"/>
    <cellStyle name="Adjustment 12 2 9" xfId="24584" xr:uid="{00000000-0005-0000-0000-0000910E0000}"/>
    <cellStyle name="Adjustment 12 3" xfId="2681" xr:uid="{00000000-0005-0000-0000-0000920E0000}"/>
    <cellStyle name="Adjustment 12 3 10" xfId="24585" xr:uid="{00000000-0005-0000-0000-0000930E0000}"/>
    <cellStyle name="Adjustment 12 3 2" xfId="2682" xr:uid="{00000000-0005-0000-0000-0000940E0000}"/>
    <cellStyle name="Adjustment 12 3 2 2" xfId="2683" xr:uid="{00000000-0005-0000-0000-0000950E0000}"/>
    <cellStyle name="Adjustment 12 3 2 3" xfId="24586" xr:uid="{00000000-0005-0000-0000-0000960E0000}"/>
    <cellStyle name="Adjustment 12 3 2 4" xfId="24587" xr:uid="{00000000-0005-0000-0000-0000970E0000}"/>
    <cellStyle name="Adjustment 12 3 3" xfId="2684" xr:uid="{00000000-0005-0000-0000-0000980E0000}"/>
    <cellStyle name="Adjustment 12 3 3 2" xfId="2685" xr:uid="{00000000-0005-0000-0000-0000990E0000}"/>
    <cellStyle name="Adjustment 12 3 3 3" xfId="24588" xr:uid="{00000000-0005-0000-0000-00009A0E0000}"/>
    <cellStyle name="Adjustment 12 3 3 4" xfId="24589" xr:uid="{00000000-0005-0000-0000-00009B0E0000}"/>
    <cellStyle name="Adjustment 12 3 4" xfId="2686" xr:uid="{00000000-0005-0000-0000-00009C0E0000}"/>
    <cellStyle name="Adjustment 12 3 4 2" xfId="2687" xr:uid="{00000000-0005-0000-0000-00009D0E0000}"/>
    <cellStyle name="Adjustment 12 3 4 3" xfId="24590" xr:uid="{00000000-0005-0000-0000-00009E0E0000}"/>
    <cellStyle name="Adjustment 12 3 4 4" xfId="24591" xr:uid="{00000000-0005-0000-0000-00009F0E0000}"/>
    <cellStyle name="Adjustment 12 3 5" xfId="2688" xr:uid="{00000000-0005-0000-0000-0000A00E0000}"/>
    <cellStyle name="Adjustment 12 3 5 2" xfId="2689" xr:uid="{00000000-0005-0000-0000-0000A10E0000}"/>
    <cellStyle name="Adjustment 12 3 5 3" xfId="24592" xr:uid="{00000000-0005-0000-0000-0000A20E0000}"/>
    <cellStyle name="Adjustment 12 3 5 4" xfId="24593" xr:uid="{00000000-0005-0000-0000-0000A30E0000}"/>
    <cellStyle name="Adjustment 12 3 6" xfId="2690" xr:uid="{00000000-0005-0000-0000-0000A40E0000}"/>
    <cellStyle name="Adjustment 12 3 6 2" xfId="2691" xr:uid="{00000000-0005-0000-0000-0000A50E0000}"/>
    <cellStyle name="Adjustment 12 3 6 3" xfId="24594" xr:uid="{00000000-0005-0000-0000-0000A60E0000}"/>
    <cellStyle name="Adjustment 12 3 6 4" xfId="24595" xr:uid="{00000000-0005-0000-0000-0000A70E0000}"/>
    <cellStyle name="Adjustment 12 3 7" xfId="2692" xr:uid="{00000000-0005-0000-0000-0000A80E0000}"/>
    <cellStyle name="Adjustment 12 3 7 2" xfId="2693" xr:uid="{00000000-0005-0000-0000-0000A90E0000}"/>
    <cellStyle name="Adjustment 12 3 7 3" xfId="24596" xr:uid="{00000000-0005-0000-0000-0000AA0E0000}"/>
    <cellStyle name="Adjustment 12 3 7 4" xfId="24597" xr:uid="{00000000-0005-0000-0000-0000AB0E0000}"/>
    <cellStyle name="Adjustment 12 3 8" xfId="2694" xr:uid="{00000000-0005-0000-0000-0000AC0E0000}"/>
    <cellStyle name="Adjustment 12 3 9" xfId="24598" xr:uid="{00000000-0005-0000-0000-0000AD0E0000}"/>
    <cellStyle name="Adjustment 12 4" xfId="2695" xr:uid="{00000000-0005-0000-0000-0000AE0E0000}"/>
    <cellStyle name="Adjustment 12 4 10" xfId="24599" xr:uid="{00000000-0005-0000-0000-0000AF0E0000}"/>
    <cellStyle name="Adjustment 12 4 2" xfId="2696" xr:uid="{00000000-0005-0000-0000-0000B00E0000}"/>
    <cellStyle name="Adjustment 12 4 2 2" xfId="2697" xr:uid="{00000000-0005-0000-0000-0000B10E0000}"/>
    <cellStyle name="Adjustment 12 4 2 3" xfId="24600" xr:uid="{00000000-0005-0000-0000-0000B20E0000}"/>
    <cellStyle name="Adjustment 12 4 2 4" xfId="24601" xr:uid="{00000000-0005-0000-0000-0000B30E0000}"/>
    <cellStyle name="Adjustment 12 4 3" xfId="2698" xr:uid="{00000000-0005-0000-0000-0000B40E0000}"/>
    <cellStyle name="Adjustment 12 4 3 2" xfId="2699" xr:uid="{00000000-0005-0000-0000-0000B50E0000}"/>
    <cellStyle name="Adjustment 12 4 3 3" xfId="24602" xr:uid="{00000000-0005-0000-0000-0000B60E0000}"/>
    <cellStyle name="Adjustment 12 4 3 4" xfId="24603" xr:uid="{00000000-0005-0000-0000-0000B70E0000}"/>
    <cellStyle name="Adjustment 12 4 4" xfId="2700" xr:uid="{00000000-0005-0000-0000-0000B80E0000}"/>
    <cellStyle name="Adjustment 12 4 4 2" xfId="2701" xr:uid="{00000000-0005-0000-0000-0000B90E0000}"/>
    <cellStyle name="Adjustment 12 4 4 3" xfId="24604" xr:uid="{00000000-0005-0000-0000-0000BA0E0000}"/>
    <cellStyle name="Adjustment 12 4 4 4" xfId="24605" xr:uid="{00000000-0005-0000-0000-0000BB0E0000}"/>
    <cellStyle name="Adjustment 12 4 5" xfId="2702" xr:uid="{00000000-0005-0000-0000-0000BC0E0000}"/>
    <cellStyle name="Adjustment 12 4 5 2" xfId="2703" xr:uid="{00000000-0005-0000-0000-0000BD0E0000}"/>
    <cellStyle name="Adjustment 12 4 5 3" xfId="24606" xr:uid="{00000000-0005-0000-0000-0000BE0E0000}"/>
    <cellStyle name="Adjustment 12 4 5 4" xfId="24607" xr:uid="{00000000-0005-0000-0000-0000BF0E0000}"/>
    <cellStyle name="Adjustment 12 4 6" xfId="2704" xr:uid="{00000000-0005-0000-0000-0000C00E0000}"/>
    <cellStyle name="Adjustment 12 4 6 2" xfId="2705" xr:uid="{00000000-0005-0000-0000-0000C10E0000}"/>
    <cellStyle name="Adjustment 12 4 6 3" xfId="24608" xr:uid="{00000000-0005-0000-0000-0000C20E0000}"/>
    <cellStyle name="Adjustment 12 4 6 4" xfId="24609" xr:uid="{00000000-0005-0000-0000-0000C30E0000}"/>
    <cellStyle name="Adjustment 12 4 7" xfId="2706" xr:uid="{00000000-0005-0000-0000-0000C40E0000}"/>
    <cellStyle name="Adjustment 12 4 7 2" xfId="2707" xr:uid="{00000000-0005-0000-0000-0000C50E0000}"/>
    <cellStyle name="Adjustment 12 4 7 3" xfId="24610" xr:uid="{00000000-0005-0000-0000-0000C60E0000}"/>
    <cellStyle name="Adjustment 12 4 7 4" xfId="24611" xr:uid="{00000000-0005-0000-0000-0000C70E0000}"/>
    <cellStyle name="Adjustment 12 4 8" xfId="2708" xr:uid="{00000000-0005-0000-0000-0000C80E0000}"/>
    <cellStyle name="Adjustment 12 4 9" xfId="24612" xr:uid="{00000000-0005-0000-0000-0000C90E0000}"/>
    <cellStyle name="Adjustment 12 5" xfId="2709" xr:uid="{00000000-0005-0000-0000-0000CA0E0000}"/>
    <cellStyle name="Adjustment 12 5 10" xfId="24613" xr:uid="{00000000-0005-0000-0000-0000CB0E0000}"/>
    <cellStyle name="Adjustment 12 5 2" xfId="2710" xr:uid="{00000000-0005-0000-0000-0000CC0E0000}"/>
    <cellStyle name="Adjustment 12 5 2 2" xfId="2711" xr:uid="{00000000-0005-0000-0000-0000CD0E0000}"/>
    <cellStyle name="Adjustment 12 5 2 3" xfId="24614" xr:uid="{00000000-0005-0000-0000-0000CE0E0000}"/>
    <cellStyle name="Adjustment 12 5 2 4" xfId="24615" xr:uid="{00000000-0005-0000-0000-0000CF0E0000}"/>
    <cellStyle name="Adjustment 12 5 3" xfId="2712" xr:uid="{00000000-0005-0000-0000-0000D00E0000}"/>
    <cellStyle name="Adjustment 12 5 3 2" xfId="2713" xr:uid="{00000000-0005-0000-0000-0000D10E0000}"/>
    <cellStyle name="Adjustment 12 5 3 3" xfId="24616" xr:uid="{00000000-0005-0000-0000-0000D20E0000}"/>
    <cellStyle name="Adjustment 12 5 3 4" xfId="24617" xr:uid="{00000000-0005-0000-0000-0000D30E0000}"/>
    <cellStyle name="Adjustment 12 5 4" xfId="2714" xr:uid="{00000000-0005-0000-0000-0000D40E0000}"/>
    <cellStyle name="Adjustment 12 5 4 2" xfId="2715" xr:uid="{00000000-0005-0000-0000-0000D50E0000}"/>
    <cellStyle name="Adjustment 12 5 4 3" xfId="24618" xr:uid="{00000000-0005-0000-0000-0000D60E0000}"/>
    <cellStyle name="Adjustment 12 5 4 4" xfId="24619" xr:uid="{00000000-0005-0000-0000-0000D70E0000}"/>
    <cellStyle name="Adjustment 12 5 5" xfId="2716" xr:uid="{00000000-0005-0000-0000-0000D80E0000}"/>
    <cellStyle name="Adjustment 12 5 5 2" xfId="2717" xr:uid="{00000000-0005-0000-0000-0000D90E0000}"/>
    <cellStyle name="Adjustment 12 5 5 3" xfId="24620" xr:uid="{00000000-0005-0000-0000-0000DA0E0000}"/>
    <cellStyle name="Adjustment 12 5 5 4" xfId="24621" xr:uid="{00000000-0005-0000-0000-0000DB0E0000}"/>
    <cellStyle name="Adjustment 12 5 6" xfId="2718" xr:uid="{00000000-0005-0000-0000-0000DC0E0000}"/>
    <cellStyle name="Adjustment 12 5 6 2" xfId="2719" xr:uid="{00000000-0005-0000-0000-0000DD0E0000}"/>
    <cellStyle name="Adjustment 12 5 6 3" xfId="24622" xr:uid="{00000000-0005-0000-0000-0000DE0E0000}"/>
    <cellStyle name="Adjustment 12 5 6 4" xfId="24623" xr:uid="{00000000-0005-0000-0000-0000DF0E0000}"/>
    <cellStyle name="Adjustment 12 5 7" xfId="2720" xr:uid="{00000000-0005-0000-0000-0000E00E0000}"/>
    <cellStyle name="Adjustment 12 5 7 2" xfId="2721" xr:uid="{00000000-0005-0000-0000-0000E10E0000}"/>
    <cellStyle name="Adjustment 12 5 7 3" xfId="24624" xr:uid="{00000000-0005-0000-0000-0000E20E0000}"/>
    <cellStyle name="Adjustment 12 5 7 4" xfId="24625" xr:uid="{00000000-0005-0000-0000-0000E30E0000}"/>
    <cellStyle name="Adjustment 12 5 8" xfId="2722" xr:uid="{00000000-0005-0000-0000-0000E40E0000}"/>
    <cellStyle name="Adjustment 12 5 9" xfId="24626" xr:uid="{00000000-0005-0000-0000-0000E50E0000}"/>
    <cellStyle name="Adjustment 12 6" xfId="2723" xr:uid="{00000000-0005-0000-0000-0000E60E0000}"/>
    <cellStyle name="Adjustment 12 6 2" xfId="2724" xr:uid="{00000000-0005-0000-0000-0000E70E0000}"/>
    <cellStyle name="Adjustment 12 6 3" xfId="24627" xr:uid="{00000000-0005-0000-0000-0000E80E0000}"/>
    <cellStyle name="Adjustment 12 6 4" xfId="24628" xr:uid="{00000000-0005-0000-0000-0000E90E0000}"/>
    <cellStyle name="Adjustment 12 7" xfId="2725" xr:uid="{00000000-0005-0000-0000-0000EA0E0000}"/>
    <cellStyle name="Adjustment 12 7 2" xfId="2726" xr:uid="{00000000-0005-0000-0000-0000EB0E0000}"/>
    <cellStyle name="Adjustment 12 7 3" xfId="24629" xr:uid="{00000000-0005-0000-0000-0000EC0E0000}"/>
    <cellStyle name="Adjustment 12 7 4" xfId="24630" xr:uid="{00000000-0005-0000-0000-0000ED0E0000}"/>
    <cellStyle name="Adjustment 12 8" xfId="2727" xr:uid="{00000000-0005-0000-0000-0000EE0E0000}"/>
    <cellStyle name="Adjustment 12 8 2" xfId="2728" xr:uid="{00000000-0005-0000-0000-0000EF0E0000}"/>
    <cellStyle name="Adjustment 12 8 3" xfId="24631" xr:uid="{00000000-0005-0000-0000-0000F00E0000}"/>
    <cellStyle name="Adjustment 12 8 4" xfId="24632" xr:uid="{00000000-0005-0000-0000-0000F10E0000}"/>
    <cellStyle name="Adjustment 12 9" xfId="2729" xr:uid="{00000000-0005-0000-0000-0000F20E0000}"/>
    <cellStyle name="Adjustment 12 9 2" xfId="2730" xr:uid="{00000000-0005-0000-0000-0000F30E0000}"/>
    <cellStyle name="Adjustment 12 9 3" xfId="24633" xr:uid="{00000000-0005-0000-0000-0000F40E0000}"/>
    <cellStyle name="Adjustment 12 9 4" xfId="24634" xr:uid="{00000000-0005-0000-0000-0000F50E0000}"/>
    <cellStyle name="Adjustment 13" xfId="2731" xr:uid="{00000000-0005-0000-0000-0000F60E0000}"/>
    <cellStyle name="Adjustment 13 10" xfId="2732" xr:uid="{00000000-0005-0000-0000-0000F70E0000}"/>
    <cellStyle name="Adjustment 13 10 2" xfId="2733" xr:uid="{00000000-0005-0000-0000-0000F80E0000}"/>
    <cellStyle name="Adjustment 13 10 3" xfId="24635" xr:uid="{00000000-0005-0000-0000-0000F90E0000}"/>
    <cellStyle name="Adjustment 13 10 4" xfId="24636" xr:uid="{00000000-0005-0000-0000-0000FA0E0000}"/>
    <cellStyle name="Adjustment 13 11" xfId="2734" xr:uid="{00000000-0005-0000-0000-0000FB0E0000}"/>
    <cellStyle name="Adjustment 13 11 2" xfId="2735" xr:uid="{00000000-0005-0000-0000-0000FC0E0000}"/>
    <cellStyle name="Adjustment 13 11 3" xfId="24637" xr:uid="{00000000-0005-0000-0000-0000FD0E0000}"/>
    <cellStyle name="Adjustment 13 11 4" xfId="24638" xr:uid="{00000000-0005-0000-0000-0000FE0E0000}"/>
    <cellStyle name="Adjustment 13 12" xfId="2736" xr:uid="{00000000-0005-0000-0000-0000FF0E0000}"/>
    <cellStyle name="Adjustment 13 13" xfId="24639" xr:uid="{00000000-0005-0000-0000-0000000F0000}"/>
    <cellStyle name="Adjustment 13 14" xfId="24640" xr:uid="{00000000-0005-0000-0000-0000010F0000}"/>
    <cellStyle name="Adjustment 13 2" xfId="2737" xr:uid="{00000000-0005-0000-0000-0000020F0000}"/>
    <cellStyle name="Adjustment 13 2 10" xfId="24641" xr:uid="{00000000-0005-0000-0000-0000030F0000}"/>
    <cellStyle name="Adjustment 13 2 2" xfId="2738" xr:uid="{00000000-0005-0000-0000-0000040F0000}"/>
    <cellStyle name="Adjustment 13 2 2 2" xfId="2739" xr:uid="{00000000-0005-0000-0000-0000050F0000}"/>
    <cellStyle name="Adjustment 13 2 2 3" xfId="24642" xr:uid="{00000000-0005-0000-0000-0000060F0000}"/>
    <cellStyle name="Adjustment 13 2 2 4" xfId="24643" xr:uid="{00000000-0005-0000-0000-0000070F0000}"/>
    <cellStyle name="Adjustment 13 2 3" xfId="2740" xr:uid="{00000000-0005-0000-0000-0000080F0000}"/>
    <cellStyle name="Adjustment 13 2 3 2" xfId="2741" xr:uid="{00000000-0005-0000-0000-0000090F0000}"/>
    <cellStyle name="Adjustment 13 2 3 3" xfId="24644" xr:uid="{00000000-0005-0000-0000-00000A0F0000}"/>
    <cellStyle name="Adjustment 13 2 3 4" xfId="24645" xr:uid="{00000000-0005-0000-0000-00000B0F0000}"/>
    <cellStyle name="Adjustment 13 2 4" xfId="2742" xr:uid="{00000000-0005-0000-0000-00000C0F0000}"/>
    <cellStyle name="Adjustment 13 2 4 2" xfId="2743" xr:uid="{00000000-0005-0000-0000-00000D0F0000}"/>
    <cellStyle name="Adjustment 13 2 4 3" xfId="24646" xr:uid="{00000000-0005-0000-0000-00000E0F0000}"/>
    <cellStyle name="Adjustment 13 2 4 4" xfId="24647" xr:uid="{00000000-0005-0000-0000-00000F0F0000}"/>
    <cellStyle name="Adjustment 13 2 5" xfId="2744" xr:uid="{00000000-0005-0000-0000-0000100F0000}"/>
    <cellStyle name="Adjustment 13 2 5 2" xfId="2745" xr:uid="{00000000-0005-0000-0000-0000110F0000}"/>
    <cellStyle name="Adjustment 13 2 5 3" xfId="24648" xr:uid="{00000000-0005-0000-0000-0000120F0000}"/>
    <cellStyle name="Adjustment 13 2 5 4" xfId="24649" xr:uid="{00000000-0005-0000-0000-0000130F0000}"/>
    <cellStyle name="Adjustment 13 2 6" xfId="2746" xr:uid="{00000000-0005-0000-0000-0000140F0000}"/>
    <cellStyle name="Adjustment 13 2 6 2" xfId="2747" xr:uid="{00000000-0005-0000-0000-0000150F0000}"/>
    <cellStyle name="Adjustment 13 2 6 3" xfId="24650" xr:uid="{00000000-0005-0000-0000-0000160F0000}"/>
    <cellStyle name="Adjustment 13 2 6 4" xfId="24651" xr:uid="{00000000-0005-0000-0000-0000170F0000}"/>
    <cellStyle name="Adjustment 13 2 7" xfId="2748" xr:uid="{00000000-0005-0000-0000-0000180F0000}"/>
    <cellStyle name="Adjustment 13 2 7 2" xfId="2749" xr:uid="{00000000-0005-0000-0000-0000190F0000}"/>
    <cellStyle name="Adjustment 13 2 7 3" xfId="24652" xr:uid="{00000000-0005-0000-0000-00001A0F0000}"/>
    <cellStyle name="Adjustment 13 2 7 4" xfId="24653" xr:uid="{00000000-0005-0000-0000-00001B0F0000}"/>
    <cellStyle name="Adjustment 13 2 8" xfId="2750" xr:uid="{00000000-0005-0000-0000-00001C0F0000}"/>
    <cellStyle name="Adjustment 13 2 9" xfId="24654" xr:uid="{00000000-0005-0000-0000-00001D0F0000}"/>
    <cellStyle name="Adjustment 13 3" xfId="2751" xr:uid="{00000000-0005-0000-0000-00001E0F0000}"/>
    <cellStyle name="Adjustment 13 3 10" xfId="24655" xr:uid="{00000000-0005-0000-0000-00001F0F0000}"/>
    <cellStyle name="Adjustment 13 3 2" xfId="2752" xr:uid="{00000000-0005-0000-0000-0000200F0000}"/>
    <cellStyle name="Adjustment 13 3 2 2" xfId="2753" xr:uid="{00000000-0005-0000-0000-0000210F0000}"/>
    <cellStyle name="Adjustment 13 3 2 3" xfId="24656" xr:uid="{00000000-0005-0000-0000-0000220F0000}"/>
    <cellStyle name="Adjustment 13 3 2 4" xfId="24657" xr:uid="{00000000-0005-0000-0000-0000230F0000}"/>
    <cellStyle name="Adjustment 13 3 3" xfId="2754" xr:uid="{00000000-0005-0000-0000-0000240F0000}"/>
    <cellStyle name="Adjustment 13 3 3 2" xfId="2755" xr:uid="{00000000-0005-0000-0000-0000250F0000}"/>
    <cellStyle name="Adjustment 13 3 3 3" xfId="24658" xr:uid="{00000000-0005-0000-0000-0000260F0000}"/>
    <cellStyle name="Adjustment 13 3 3 4" xfId="24659" xr:uid="{00000000-0005-0000-0000-0000270F0000}"/>
    <cellStyle name="Adjustment 13 3 4" xfId="2756" xr:uid="{00000000-0005-0000-0000-0000280F0000}"/>
    <cellStyle name="Adjustment 13 3 4 2" xfId="2757" xr:uid="{00000000-0005-0000-0000-0000290F0000}"/>
    <cellStyle name="Adjustment 13 3 4 3" xfId="24660" xr:uid="{00000000-0005-0000-0000-00002A0F0000}"/>
    <cellStyle name="Adjustment 13 3 4 4" xfId="24661" xr:uid="{00000000-0005-0000-0000-00002B0F0000}"/>
    <cellStyle name="Adjustment 13 3 5" xfId="2758" xr:uid="{00000000-0005-0000-0000-00002C0F0000}"/>
    <cellStyle name="Adjustment 13 3 5 2" xfId="2759" xr:uid="{00000000-0005-0000-0000-00002D0F0000}"/>
    <cellStyle name="Adjustment 13 3 5 3" xfId="24662" xr:uid="{00000000-0005-0000-0000-00002E0F0000}"/>
    <cellStyle name="Adjustment 13 3 5 4" xfId="24663" xr:uid="{00000000-0005-0000-0000-00002F0F0000}"/>
    <cellStyle name="Adjustment 13 3 6" xfId="2760" xr:uid="{00000000-0005-0000-0000-0000300F0000}"/>
    <cellStyle name="Adjustment 13 3 6 2" xfId="2761" xr:uid="{00000000-0005-0000-0000-0000310F0000}"/>
    <cellStyle name="Adjustment 13 3 6 3" xfId="24664" xr:uid="{00000000-0005-0000-0000-0000320F0000}"/>
    <cellStyle name="Adjustment 13 3 6 4" xfId="24665" xr:uid="{00000000-0005-0000-0000-0000330F0000}"/>
    <cellStyle name="Adjustment 13 3 7" xfId="2762" xr:uid="{00000000-0005-0000-0000-0000340F0000}"/>
    <cellStyle name="Adjustment 13 3 7 2" xfId="2763" xr:uid="{00000000-0005-0000-0000-0000350F0000}"/>
    <cellStyle name="Adjustment 13 3 7 3" xfId="24666" xr:uid="{00000000-0005-0000-0000-0000360F0000}"/>
    <cellStyle name="Adjustment 13 3 7 4" xfId="24667" xr:uid="{00000000-0005-0000-0000-0000370F0000}"/>
    <cellStyle name="Adjustment 13 3 8" xfId="2764" xr:uid="{00000000-0005-0000-0000-0000380F0000}"/>
    <cellStyle name="Adjustment 13 3 9" xfId="24668" xr:uid="{00000000-0005-0000-0000-0000390F0000}"/>
    <cellStyle name="Adjustment 13 4" xfId="2765" xr:uid="{00000000-0005-0000-0000-00003A0F0000}"/>
    <cellStyle name="Adjustment 13 4 10" xfId="24669" xr:uid="{00000000-0005-0000-0000-00003B0F0000}"/>
    <cellStyle name="Adjustment 13 4 2" xfId="2766" xr:uid="{00000000-0005-0000-0000-00003C0F0000}"/>
    <cellStyle name="Adjustment 13 4 2 2" xfId="2767" xr:uid="{00000000-0005-0000-0000-00003D0F0000}"/>
    <cellStyle name="Adjustment 13 4 2 3" xfId="24670" xr:uid="{00000000-0005-0000-0000-00003E0F0000}"/>
    <cellStyle name="Adjustment 13 4 2 4" xfId="24671" xr:uid="{00000000-0005-0000-0000-00003F0F0000}"/>
    <cellStyle name="Adjustment 13 4 3" xfId="2768" xr:uid="{00000000-0005-0000-0000-0000400F0000}"/>
    <cellStyle name="Adjustment 13 4 3 2" xfId="2769" xr:uid="{00000000-0005-0000-0000-0000410F0000}"/>
    <cellStyle name="Adjustment 13 4 3 3" xfId="24672" xr:uid="{00000000-0005-0000-0000-0000420F0000}"/>
    <cellStyle name="Adjustment 13 4 3 4" xfId="24673" xr:uid="{00000000-0005-0000-0000-0000430F0000}"/>
    <cellStyle name="Adjustment 13 4 4" xfId="2770" xr:uid="{00000000-0005-0000-0000-0000440F0000}"/>
    <cellStyle name="Adjustment 13 4 4 2" xfId="2771" xr:uid="{00000000-0005-0000-0000-0000450F0000}"/>
    <cellStyle name="Adjustment 13 4 4 3" xfId="24674" xr:uid="{00000000-0005-0000-0000-0000460F0000}"/>
    <cellStyle name="Adjustment 13 4 4 4" xfId="24675" xr:uid="{00000000-0005-0000-0000-0000470F0000}"/>
    <cellStyle name="Adjustment 13 4 5" xfId="2772" xr:uid="{00000000-0005-0000-0000-0000480F0000}"/>
    <cellStyle name="Adjustment 13 4 5 2" xfId="2773" xr:uid="{00000000-0005-0000-0000-0000490F0000}"/>
    <cellStyle name="Adjustment 13 4 5 3" xfId="24676" xr:uid="{00000000-0005-0000-0000-00004A0F0000}"/>
    <cellStyle name="Adjustment 13 4 5 4" xfId="24677" xr:uid="{00000000-0005-0000-0000-00004B0F0000}"/>
    <cellStyle name="Adjustment 13 4 6" xfId="2774" xr:uid="{00000000-0005-0000-0000-00004C0F0000}"/>
    <cellStyle name="Adjustment 13 4 6 2" xfId="2775" xr:uid="{00000000-0005-0000-0000-00004D0F0000}"/>
    <cellStyle name="Adjustment 13 4 6 3" xfId="24678" xr:uid="{00000000-0005-0000-0000-00004E0F0000}"/>
    <cellStyle name="Adjustment 13 4 6 4" xfId="24679" xr:uid="{00000000-0005-0000-0000-00004F0F0000}"/>
    <cellStyle name="Adjustment 13 4 7" xfId="2776" xr:uid="{00000000-0005-0000-0000-0000500F0000}"/>
    <cellStyle name="Adjustment 13 4 7 2" xfId="2777" xr:uid="{00000000-0005-0000-0000-0000510F0000}"/>
    <cellStyle name="Adjustment 13 4 7 3" xfId="24680" xr:uid="{00000000-0005-0000-0000-0000520F0000}"/>
    <cellStyle name="Adjustment 13 4 7 4" xfId="24681" xr:uid="{00000000-0005-0000-0000-0000530F0000}"/>
    <cellStyle name="Adjustment 13 4 8" xfId="2778" xr:uid="{00000000-0005-0000-0000-0000540F0000}"/>
    <cellStyle name="Adjustment 13 4 9" xfId="24682" xr:uid="{00000000-0005-0000-0000-0000550F0000}"/>
    <cellStyle name="Adjustment 13 5" xfId="2779" xr:uid="{00000000-0005-0000-0000-0000560F0000}"/>
    <cellStyle name="Adjustment 13 5 10" xfId="24683" xr:uid="{00000000-0005-0000-0000-0000570F0000}"/>
    <cellStyle name="Adjustment 13 5 2" xfId="2780" xr:uid="{00000000-0005-0000-0000-0000580F0000}"/>
    <cellStyle name="Adjustment 13 5 2 2" xfId="2781" xr:uid="{00000000-0005-0000-0000-0000590F0000}"/>
    <cellStyle name="Adjustment 13 5 2 3" xfId="24684" xr:uid="{00000000-0005-0000-0000-00005A0F0000}"/>
    <cellStyle name="Adjustment 13 5 2 4" xfId="24685" xr:uid="{00000000-0005-0000-0000-00005B0F0000}"/>
    <cellStyle name="Adjustment 13 5 3" xfId="2782" xr:uid="{00000000-0005-0000-0000-00005C0F0000}"/>
    <cellStyle name="Adjustment 13 5 3 2" xfId="2783" xr:uid="{00000000-0005-0000-0000-00005D0F0000}"/>
    <cellStyle name="Adjustment 13 5 3 3" xfId="24686" xr:uid="{00000000-0005-0000-0000-00005E0F0000}"/>
    <cellStyle name="Adjustment 13 5 3 4" xfId="24687" xr:uid="{00000000-0005-0000-0000-00005F0F0000}"/>
    <cellStyle name="Adjustment 13 5 4" xfId="2784" xr:uid="{00000000-0005-0000-0000-0000600F0000}"/>
    <cellStyle name="Adjustment 13 5 4 2" xfId="2785" xr:uid="{00000000-0005-0000-0000-0000610F0000}"/>
    <cellStyle name="Adjustment 13 5 4 3" xfId="24688" xr:uid="{00000000-0005-0000-0000-0000620F0000}"/>
    <cellStyle name="Adjustment 13 5 4 4" xfId="24689" xr:uid="{00000000-0005-0000-0000-0000630F0000}"/>
    <cellStyle name="Adjustment 13 5 5" xfId="2786" xr:uid="{00000000-0005-0000-0000-0000640F0000}"/>
    <cellStyle name="Adjustment 13 5 5 2" xfId="2787" xr:uid="{00000000-0005-0000-0000-0000650F0000}"/>
    <cellStyle name="Adjustment 13 5 5 3" xfId="24690" xr:uid="{00000000-0005-0000-0000-0000660F0000}"/>
    <cellStyle name="Adjustment 13 5 5 4" xfId="24691" xr:uid="{00000000-0005-0000-0000-0000670F0000}"/>
    <cellStyle name="Adjustment 13 5 6" xfId="2788" xr:uid="{00000000-0005-0000-0000-0000680F0000}"/>
    <cellStyle name="Adjustment 13 5 6 2" xfId="2789" xr:uid="{00000000-0005-0000-0000-0000690F0000}"/>
    <cellStyle name="Adjustment 13 5 6 3" xfId="24692" xr:uid="{00000000-0005-0000-0000-00006A0F0000}"/>
    <cellStyle name="Adjustment 13 5 6 4" xfId="24693" xr:uid="{00000000-0005-0000-0000-00006B0F0000}"/>
    <cellStyle name="Adjustment 13 5 7" xfId="2790" xr:uid="{00000000-0005-0000-0000-00006C0F0000}"/>
    <cellStyle name="Adjustment 13 5 7 2" xfId="2791" xr:uid="{00000000-0005-0000-0000-00006D0F0000}"/>
    <cellStyle name="Adjustment 13 5 7 3" xfId="24694" xr:uid="{00000000-0005-0000-0000-00006E0F0000}"/>
    <cellStyle name="Adjustment 13 5 7 4" xfId="24695" xr:uid="{00000000-0005-0000-0000-00006F0F0000}"/>
    <cellStyle name="Adjustment 13 5 8" xfId="2792" xr:uid="{00000000-0005-0000-0000-0000700F0000}"/>
    <cellStyle name="Adjustment 13 5 9" xfId="24696" xr:uid="{00000000-0005-0000-0000-0000710F0000}"/>
    <cellStyle name="Adjustment 13 6" xfId="2793" xr:uid="{00000000-0005-0000-0000-0000720F0000}"/>
    <cellStyle name="Adjustment 13 6 2" xfId="2794" xr:uid="{00000000-0005-0000-0000-0000730F0000}"/>
    <cellStyle name="Adjustment 13 6 3" xfId="24697" xr:uid="{00000000-0005-0000-0000-0000740F0000}"/>
    <cellStyle name="Adjustment 13 6 4" xfId="24698" xr:uid="{00000000-0005-0000-0000-0000750F0000}"/>
    <cellStyle name="Adjustment 13 7" xfId="2795" xr:uid="{00000000-0005-0000-0000-0000760F0000}"/>
    <cellStyle name="Adjustment 13 7 2" xfId="2796" xr:uid="{00000000-0005-0000-0000-0000770F0000}"/>
    <cellStyle name="Adjustment 13 7 3" xfId="24699" xr:uid="{00000000-0005-0000-0000-0000780F0000}"/>
    <cellStyle name="Adjustment 13 7 4" xfId="24700" xr:uid="{00000000-0005-0000-0000-0000790F0000}"/>
    <cellStyle name="Adjustment 13 8" xfId="2797" xr:uid="{00000000-0005-0000-0000-00007A0F0000}"/>
    <cellStyle name="Adjustment 13 8 2" xfId="2798" xr:uid="{00000000-0005-0000-0000-00007B0F0000}"/>
    <cellStyle name="Adjustment 13 8 3" xfId="24701" xr:uid="{00000000-0005-0000-0000-00007C0F0000}"/>
    <cellStyle name="Adjustment 13 8 4" xfId="24702" xr:uid="{00000000-0005-0000-0000-00007D0F0000}"/>
    <cellStyle name="Adjustment 13 9" xfId="2799" xr:uid="{00000000-0005-0000-0000-00007E0F0000}"/>
    <cellStyle name="Adjustment 13 9 2" xfId="2800" xr:uid="{00000000-0005-0000-0000-00007F0F0000}"/>
    <cellStyle name="Adjustment 13 9 3" xfId="24703" xr:uid="{00000000-0005-0000-0000-0000800F0000}"/>
    <cellStyle name="Adjustment 13 9 4" xfId="24704" xr:uid="{00000000-0005-0000-0000-0000810F0000}"/>
    <cellStyle name="Adjustment 14" xfId="2801" xr:uid="{00000000-0005-0000-0000-0000820F0000}"/>
    <cellStyle name="Adjustment 14 10" xfId="24705" xr:uid="{00000000-0005-0000-0000-0000830F0000}"/>
    <cellStyle name="Adjustment 14 2" xfId="2802" xr:uid="{00000000-0005-0000-0000-0000840F0000}"/>
    <cellStyle name="Adjustment 14 2 2" xfId="2803" xr:uid="{00000000-0005-0000-0000-0000850F0000}"/>
    <cellStyle name="Adjustment 14 2 3" xfId="24706" xr:uid="{00000000-0005-0000-0000-0000860F0000}"/>
    <cellStyle name="Adjustment 14 2 4" xfId="24707" xr:uid="{00000000-0005-0000-0000-0000870F0000}"/>
    <cellStyle name="Adjustment 14 3" xfId="2804" xr:uid="{00000000-0005-0000-0000-0000880F0000}"/>
    <cellStyle name="Adjustment 14 3 2" xfId="2805" xr:uid="{00000000-0005-0000-0000-0000890F0000}"/>
    <cellStyle name="Adjustment 14 3 3" xfId="24708" xr:uid="{00000000-0005-0000-0000-00008A0F0000}"/>
    <cellStyle name="Adjustment 14 3 4" xfId="24709" xr:uid="{00000000-0005-0000-0000-00008B0F0000}"/>
    <cellStyle name="Adjustment 14 4" xfId="2806" xr:uid="{00000000-0005-0000-0000-00008C0F0000}"/>
    <cellStyle name="Adjustment 14 4 2" xfId="2807" xr:uid="{00000000-0005-0000-0000-00008D0F0000}"/>
    <cellStyle name="Adjustment 14 4 3" xfId="24710" xr:uid="{00000000-0005-0000-0000-00008E0F0000}"/>
    <cellStyle name="Adjustment 14 4 4" xfId="24711" xr:uid="{00000000-0005-0000-0000-00008F0F0000}"/>
    <cellStyle name="Adjustment 14 5" xfId="2808" xr:uid="{00000000-0005-0000-0000-0000900F0000}"/>
    <cellStyle name="Adjustment 14 5 2" xfId="2809" xr:uid="{00000000-0005-0000-0000-0000910F0000}"/>
    <cellStyle name="Adjustment 14 5 3" xfId="24712" xr:uid="{00000000-0005-0000-0000-0000920F0000}"/>
    <cellStyle name="Adjustment 14 5 4" xfId="24713" xr:uid="{00000000-0005-0000-0000-0000930F0000}"/>
    <cellStyle name="Adjustment 14 6" xfId="2810" xr:uid="{00000000-0005-0000-0000-0000940F0000}"/>
    <cellStyle name="Adjustment 14 6 2" xfId="2811" xr:uid="{00000000-0005-0000-0000-0000950F0000}"/>
    <cellStyle name="Adjustment 14 6 3" xfId="24714" xr:uid="{00000000-0005-0000-0000-0000960F0000}"/>
    <cellStyle name="Adjustment 14 6 4" xfId="24715" xr:uid="{00000000-0005-0000-0000-0000970F0000}"/>
    <cellStyle name="Adjustment 14 7" xfId="2812" xr:uid="{00000000-0005-0000-0000-0000980F0000}"/>
    <cellStyle name="Adjustment 14 7 2" xfId="2813" xr:uid="{00000000-0005-0000-0000-0000990F0000}"/>
    <cellStyle name="Adjustment 14 7 3" xfId="24716" xr:uid="{00000000-0005-0000-0000-00009A0F0000}"/>
    <cellStyle name="Adjustment 14 7 4" xfId="24717" xr:uid="{00000000-0005-0000-0000-00009B0F0000}"/>
    <cellStyle name="Adjustment 14 8" xfId="2814" xr:uid="{00000000-0005-0000-0000-00009C0F0000}"/>
    <cellStyle name="Adjustment 14 9" xfId="24718" xr:uid="{00000000-0005-0000-0000-00009D0F0000}"/>
    <cellStyle name="Adjustment 15" xfId="2815" xr:uid="{00000000-0005-0000-0000-00009E0F0000}"/>
    <cellStyle name="Adjustment 15 10" xfId="24719" xr:uid="{00000000-0005-0000-0000-00009F0F0000}"/>
    <cellStyle name="Adjustment 15 2" xfId="2816" xr:uid="{00000000-0005-0000-0000-0000A00F0000}"/>
    <cellStyle name="Adjustment 15 2 2" xfId="2817" xr:uid="{00000000-0005-0000-0000-0000A10F0000}"/>
    <cellStyle name="Adjustment 15 2 3" xfId="24720" xr:uid="{00000000-0005-0000-0000-0000A20F0000}"/>
    <cellStyle name="Adjustment 15 2 4" xfId="24721" xr:uid="{00000000-0005-0000-0000-0000A30F0000}"/>
    <cellStyle name="Adjustment 15 3" xfId="2818" xr:uid="{00000000-0005-0000-0000-0000A40F0000}"/>
    <cellStyle name="Adjustment 15 3 2" xfId="2819" xr:uid="{00000000-0005-0000-0000-0000A50F0000}"/>
    <cellStyle name="Adjustment 15 3 3" xfId="24722" xr:uid="{00000000-0005-0000-0000-0000A60F0000}"/>
    <cellStyle name="Adjustment 15 3 4" xfId="24723" xr:uid="{00000000-0005-0000-0000-0000A70F0000}"/>
    <cellStyle name="Adjustment 15 4" xfId="2820" xr:uid="{00000000-0005-0000-0000-0000A80F0000}"/>
    <cellStyle name="Adjustment 15 4 2" xfId="2821" xr:uid="{00000000-0005-0000-0000-0000A90F0000}"/>
    <cellStyle name="Adjustment 15 4 3" xfId="24724" xr:uid="{00000000-0005-0000-0000-0000AA0F0000}"/>
    <cellStyle name="Adjustment 15 4 4" xfId="24725" xr:uid="{00000000-0005-0000-0000-0000AB0F0000}"/>
    <cellStyle name="Adjustment 15 5" xfId="2822" xr:uid="{00000000-0005-0000-0000-0000AC0F0000}"/>
    <cellStyle name="Adjustment 15 5 2" xfId="2823" xr:uid="{00000000-0005-0000-0000-0000AD0F0000}"/>
    <cellStyle name="Adjustment 15 5 3" xfId="24726" xr:uid="{00000000-0005-0000-0000-0000AE0F0000}"/>
    <cellStyle name="Adjustment 15 5 4" xfId="24727" xr:uid="{00000000-0005-0000-0000-0000AF0F0000}"/>
    <cellStyle name="Adjustment 15 6" xfId="2824" xr:uid="{00000000-0005-0000-0000-0000B00F0000}"/>
    <cellStyle name="Adjustment 15 6 2" xfId="2825" xr:uid="{00000000-0005-0000-0000-0000B10F0000}"/>
    <cellStyle name="Adjustment 15 6 3" xfId="24728" xr:uid="{00000000-0005-0000-0000-0000B20F0000}"/>
    <cellStyle name="Adjustment 15 6 4" xfId="24729" xr:uid="{00000000-0005-0000-0000-0000B30F0000}"/>
    <cellStyle name="Adjustment 15 7" xfId="2826" xr:uid="{00000000-0005-0000-0000-0000B40F0000}"/>
    <cellStyle name="Adjustment 15 7 2" xfId="2827" xr:uid="{00000000-0005-0000-0000-0000B50F0000}"/>
    <cellStyle name="Adjustment 15 7 3" xfId="24730" xr:uid="{00000000-0005-0000-0000-0000B60F0000}"/>
    <cellStyle name="Adjustment 15 7 4" xfId="24731" xr:uid="{00000000-0005-0000-0000-0000B70F0000}"/>
    <cellStyle name="Adjustment 15 8" xfId="2828" xr:uid="{00000000-0005-0000-0000-0000B80F0000}"/>
    <cellStyle name="Adjustment 15 9" xfId="24732" xr:uid="{00000000-0005-0000-0000-0000B90F0000}"/>
    <cellStyle name="Adjustment 16" xfId="2829" xr:uid="{00000000-0005-0000-0000-0000BA0F0000}"/>
    <cellStyle name="Adjustment 16 10" xfId="24733" xr:uid="{00000000-0005-0000-0000-0000BB0F0000}"/>
    <cellStyle name="Adjustment 16 2" xfId="2830" xr:uid="{00000000-0005-0000-0000-0000BC0F0000}"/>
    <cellStyle name="Adjustment 16 2 2" xfId="2831" xr:uid="{00000000-0005-0000-0000-0000BD0F0000}"/>
    <cellStyle name="Adjustment 16 2 3" xfId="24734" xr:uid="{00000000-0005-0000-0000-0000BE0F0000}"/>
    <cellStyle name="Adjustment 16 2 4" xfId="24735" xr:uid="{00000000-0005-0000-0000-0000BF0F0000}"/>
    <cellStyle name="Adjustment 16 3" xfId="2832" xr:uid="{00000000-0005-0000-0000-0000C00F0000}"/>
    <cellStyle name="Adjustment 16 3 2" xfId="2833" xr:uid="{00000000-0005-0000-0000-0000C10F0000}"/>
    <cellStyle name="Adjustment 16 3 3" xfId="24736" xr:uid="{00000000-0005-0000-0000-0000C20F0000}"/>
    <cellStyle name="Adjustment 16 3 4" xfId="24737" xr:uid="{00000000-0005-0000-0000-0000C30F0000}"/>
    <cellStyle name="Adjustment 16 4" xfId="2834" xr:uid="{00000000-0005-0000-0000-0000C40F0000}"/>
    <cellStyle name="Adjustment 16 4 2" xfId="2835" xr:uid="{00000000-0005-0000-0000-0000C50F0000}"/>
    <cellStyle name="Adjustment 16 4 3" xfId="24738" xr:uid="{00000000-0005-0000-0000-0000C60F0000}"/>
    <cellStyle name="Adjustment 16 4 4" xfId="24739" xr:uid="{00000000-0005-0000-0000-0000C70F0000}"/>
    <cellStyle name="Adjustment 16 5" xfId="2836" xr:uid="{00000000-0005-0000-0000-0000C80F0000}"/>
    <cellStyle name="Adjustment 16 5 2" xfId="2837" xr:uid="{00000000-0005-0000-0000-0000C90F0000}"/>
    <cellStyle name="Adjustment 16 5 3" xfId="24740" xr:uid="{00000000-0005-0000-0000-0000CA0F0000}"/>
    <cellStyle name="Adjustment 16 5 4" xfId="24741" xr:uid="{00000000-0005-0000-0000-0000CB0F0000}"/>
    <cellStyle name="Adjustment 16 6" xfId="2838" xr:uid="{00000000-0005-0000-0000-0000CC0F0000}"/>
    <cellStyle name="Adjustment 16 6 2" xfId="2839" xr:uid="{00000000-0005-0000-0000-0000CD0F0000}"/>
    <cellStyle name="Adjustment 16 6 3" xfId="24742" xr:uid="{00000000-0005-0000-0000-0000CE0F0000}"/>
    <cellStyle name="Adjustment 16 6 4" xfId="24743" xr:uid="{00000000-0005-0000-0000-0000CF0F0000}"/>
    <cellStyle name="Adjustment 16 7" xfId="2840" xr:uid="{00000000-0005-0000-0000-0000D00F0000}"/>
    <cellStyle name="Adjustment 16 7 2" xfId="2841" xr:uid="{00000000-0005-0000-0000-0000D10F0000}"/>
    <cellStyle name="Adjustment 16 7 3" xfId="24744" xr:uid="{00000000-0005-0000-0000-0000D20F0000}"/>
    <cellStyle name="Adjustment 16 7 4" xfId="24745" xr:uid="{00000000-0005-0000-0000-0000D30F0000}"/>
    <cellStyle name="Adjustment 16 8" xfId="2842" xr:uid="{00000000-0005-0000-0000-0000D40F0000}"/>
    <cellStyle name="Adjustment 16 9" xfId="24746" xr:uid="{00000000-0005-0000-0000-0000D50F0000}"/>
    <cellStyle name="Adjustment 17" xfId="2843" xr:uid="{00000000-0005-0000-0000-0000D60F0000}"/>
    <cellStyle name="Adjustment 17 10" xfId="24747" xr:uid="{00000000-0005-0000-0000-0000D70F0000}"/>
    <cellStyle name="Adjustment 17 2" xfId="2844" xr:uid="{00000000-0005-0000-0000-0000D80F0000}"/>
    <cellStyle name="Adjustment 17 2 2" xfId="2845" xr:uid="{00000000-0005-0000-0000-0000D90F0000}"/>
    <cellStyle name="Adjustment 17 2 3" xfId="24748" xr:uid="{00000000-0005-0000-0000-0000DA0F0000}"/>
    <cellStyle name="Adjustment 17 2 4" xfId="24749" xr:uid="{00000000-0005-0000-0000-0000DB0F0000}"/>
    <cellStyle name="Adjustment 17 3" xfId="2846" xr:uid="{00000000-0005-0000-0000-0000DC0F0000}"/>
    <cellStyle name="Adjustment 17 3 2" xfId="2847" xr:uid="{00000000-0005-0000-0000-0000DD0F0000}"/>
    <cellStyle name="Adjustment 17 3 3" xfId="24750" xr:uid="{00000000-0005-0000-0000-0000DE0F0000}"/>
    <cellStyle name="Adjustment 17 3 4" xfId="24751" xr:uid="{00000000-0005-0000-0000-0000DF0F0000}"/>
    <cellStyle name="Adjustment 17 4" xfId="2848" xr:uid="{00000000-0005-0000-0000-0000E00F0000}"/>
    <cellStyle name="Adjustment 17 4 2" xfId="2849" xr:uid="{00000000-0005-0000-0000-0000E10F0000}"/>
    <cellStyle name="Adjustment 17 4 3" xfId="24752" xr:uid="{00000000-0005-0000-0000-0000E20F0000}"/>
    <cellStyle name="Adjustment 17 4 4" xfId="24753" xr:uid="{00000000-0005-0000-0000-0000E30F0000}"/>
    <cellStyle name="Adjustment 17 5" xfId="2850" xr:uid="{00000000-0005-0000-0000-0000E40F0000}"/>
    <cellStyle name="Adjustment 17 5 2" xfId="2851" xr:uid="{00000000-0005-0000-0000-0000E50F0000}"/>
    <cellStyle name="Adjustment 17 5 3" xfId="24754" xr:uid="{00000000-0005-0000-0000-0000E60F0000}"/>
    <cellStyle name="Adjustment 17 5 4" xfId="24755" xr:uid="{00000000-0005-0000-0000-0000E70F0000}"/>
    <cellStyle name="Adjustment 17 6" xfId="2852" xr:uid="{00000000-0005-0000-0000-0000E80F0000}"/>
    <cellStyle name="Adjustment 17 6 2" xfId="2853" xr:uid="{00000000-0005-0000-0000-0000E90F0000}"/>
    <cellStyle name="Adjustment 17 6 3" xfId="24756" xr:uid="{00000000-0005-0000-0000-0000EA0F0000}"/>
    <cellStyle name="Adjustment 17 6 4" xfId="24757" xr:uid="{00000000-0005-0000-0000-0000EB0F0000}"/>
    <cellStyle name="Adjustment 17 7" xfId="2854" xr:uid="{00000000-0005-0000-0000-0000EC0F0000}"/>
    <cellStyle name="Adjustment 17 7 2" xfId="2855" xr:uid="{00000000-0005-0000-0000-0000ED0F0000}"/>
    <cellStyle name="Adjustment 17 7 3" xfId="24758" xr:uid="{00000000-0005-0000-0000-0000EE0F0000}"/>
    <cellStyle name="Adjustment 17 7 4" xfId="24759" xr:uid="{00000000-0005-0000-0000-0000EF0F0000}"/>
    <cellStyle name="Adjustment 17 8" xfId="2856" xr:uid="{00000000-0005-0000-0000-0000F00F0000}"/>
    <cellStyle name="Adjustment 17 9" xfId="24760" xr:uid="{00000000-0005-0000-0000-0000F10F0000}"/>
    <cellStyle name="Adjustment 18" xfId="2857" xr:uid="{00000000-0005-0000-0000-0000F20F0000}"/>
    <cellStyle name="Adjustment 18 2" xfId="2858" xr:uid="{00000000-0005-0000-0000-0000F30F0000}"/>
    <cellStyle name="Adjustment 18 3" xfId="24761" xr:uid="{00000000-0005-0000-0000-0000F40F0000}"/>
    <cellStyle name="Adjustment 18 4" xfId="24762" xr:uid="{00000000-0005-0000-0000-0000F50F0000}"/>
    <cellStyle name="Adjustment 19" xfId="2859" xr:uid="{00000000-0005-0000-0000-0000F60F0000}"/>
    <cellStyle name="Adjustment 19 2" xfId="2860" xr:uid="{00000000-0005-0000-0000-0000F70F0000}"/>
    <cellStyle name="Adjustment 19 3" xfId="24763" xr:uid="{00000000-0005-0000-0000-0000F80F0000}"/>
    <cellStyle name="Adjustment 19 4" xfId="24764" xr:uid="{00000000-0005-0000-0000-0000F90F0000}"/>
    <cellStyle name="Adjustment 2" xfId="2861" xr:uid="{00000000-0005-0000-0000-0000FA0F0000}"/>
    <cellStyle name="Adjustment 2 10" xfId="2862" xr:uid="{00000000-0005-0000-0000-0000FB0F0000}"/>
    <cellStyle name="Adjustment 2 10 2" xfId="2863" xr:uid="{00000000-0005-0000-0000-0000FC0F0000}"/>
    <cellStyle name="Adjustment 2 10 3" xfId="24765" xr:uid="{00000000-0005-0000-0000-0000FD0F0000}"/>
    <cellStyle name="Adjustment 2 10 4" xfId="24766" xr:uid="{00000000-0005-0000-0000-0000FE0F0000}"/>
    <cellStyle name="Adjustment 2 11" xfId="2864" xr:uid="{00000000-0005-0000-0000-0000FF0F0000}"/>
    <cellStyle name="Adjustment 2 11 2" xfId="2865" xr:uid="{00000000-0005-0000-0000-000000100000}"/>
    <cellStyle name="Adjustment 2 11 3" xfId="24767" xr:uid="{00000000-0005-0000-0000-000001100000}"/>
    <cellStyle name="Adjustment 2 11 4" xfId="24768" xr:uid="{00000000-0005-0000-0000-000002100000}"/>
    <cellStyle name="Adjustment 2 12" xfId="2866" xr:uid="{00000000-0005-0000-0000-000003100000}"/>
    <cellStyle name="Adjustment 2 13" xfId="24769" xr:uid="{00000000-0005-0000-0000-000004100000}"/>
    <cellStyle name="Adjustment 2 14" xfId="24770" xr:uid="{00000000-0005-0000-0000-000005100000}"/>
    <cellStyle name="Adjustment 2 2" xfId="2867" xr:uid="{00000000-0005-0000-0000-000006100000}"/>
    <cellStyle name="Adjustment 2 2 10" xfId="24771" xr:uid="{00000000-0005-0000-0000-000007100000}"/>
    <cellStyle name="Adjustment 2 2 2" xfId="2868" xr:uid="{00000000-0005-0000-0000-000008100000}"/>
    <cellStyle name="Adjustment 2 2 2 2" xfId="2869" xr:uid="{00000000-0005-0000-0000-000009100000}"/>
    <cellStyle name="Adjustment 2 2 2 3" xfId="24772" xr:uid="{00000000-0005-0000-0000-00000A100000}"/>
    <cellStyle name="Adjustment 2 2 2 4" xfId="24773" xr:uid="{00000000-0005-0000-0000-00000B100000}"/>
    <cellStyle name="Adjustment 2 2 3" xfId="2870" xr:uid="{00000000-0005-0000-0000-00000C100000}"/>
    <cellStyle name="Adjustment 2 2 3 2" xfId="2871" xr:uid="{00000000-0005-0000-0000-00000D100000}"/>
    <cellStyle name="Adjustment 2 2 3 3" xfId="24774" xr:uid="{00000000-0005-0000-0000-00000E100000}"/>
    <cellStyle name="Adjustment 2 2 3 4" xfId="24775" xr:uid="{00000000-0005-0000-0000-00000F100000}"/>
    <cellStyle name="Adjustment 2 2 4" xfId="2872" xr:uid="{00000000-0005-0000-0000-000010100000}"/>
    <cellStyle name="Adjustment 2 2 4 2" xfId="2873" xr:uid="{00000000-0005-0000-0000-000011100000}"/>
    <cellStyle name="Adjustment 2 2 4 3" xfId="24776" xr:uid="{00000000-0005-0000-0000-000012100000}"/>
    <cellStyle name="Adjustment 2 2 4 4" xfId="24777" xr:uid="{00000000-0005-0000-0000-000013100000}"/>
    <cellStyle name="Adjustment 2 2 5" xfId="2874" xr:uid="{00000000-0005-0000-0000-000014100000}"/>
    <cellStyle name="Adjustment 2 2 5 2" xfId="2875" xr:uid="{00000000-0005-0000-0000-000015100000}"/>
    <cellStyle name="Adjustment 2 2 5 3" xfId="24778" xr:uid="{00000000-0005-0000-0000-000016100000}"/>
    <cellStyle name="Adjustment 2 2 5 4" xfId="24779" xr:uid="{00000000-0005-0000-0000-000017100000}"/>
    <cellStyle name="Adjustment 2 2 6" xfId="2876" xr:uid="{00000000-0005-0000-0000-000018100000}"/>
    <cellStyle name="Adjustment 2 2 6 2" xfId="2877" xr:uid="{00000000-0005-0000-0000-000019100000}"/>
    <cellStyle name="Adjustment 2 2 6 3" xfId="24780" xr:uid="{00000000-0005-0000-0000-00001A100000}"/>
    <cellStyle name="Adjustment 2 2 6 4" xfId="24781" xr:uid="{00000000-0005-0000-0000-00001B100000}"/>
    <cellStyle name="Adjustment 2 2 7" xfId="2878" xr:uid="{00000000-0005-0000-0000-00001C100000}"/>
    <cellStyle name="Adjustment 2 2 7 2" xfId="2879" xr:uid="{00000000-0005-0000-0000-00001D100000}"/>
    <cellStyle name="Adjustment 2 2 7 3" xfId="24782" xr:uid="{00000000-0005-0000-0000-00001E100000}"/>
    <cellStyle name="Adjustment 2 2 7 4" xfId="24783" xr:uid="{00000000-0005-0000-0000-00001F100000}"/>
    <cellStyle name="Adjustment 2 2 8" xfId="2880" xr:uid="{00000000-0005-0000-0000-000020100000}"/>
    <cellStyle name="Adjustment 2 2 9" xfId="24784" xr:uid="{00000000-0005-0000-0000-000021100000}"/>
    <cellStyle name="Adjustment 2 3" xfId="2881" xr:uid="{00000000-0005-0000-0000-000022100000}"/>
    <cellStyle name="Adjustment 2 3 10" xfId="24785" xr:uid="{00000000-0005-0000-0000-000023100000}"/>
    <cellStyle name="Adjustment 2 3 2" xfId="2882" xr:uid="{00000000-0005-0000-0000-000024100000}"/>
    <cellStyle name="Adjustment 2 3 2 2" xfId="2883" xr:uid="{00000000-0005-0000-0000-000025100000}"/>
    <cellStyle name="Adjustment 2 3 2 3" xfId="24786" xr:uid="{00000000-0005-0000-0000-000026100000}"/>
    <cellStyle name="Adjustment 2 3 2 4" xfId="24787" xr:uid="{00000000-0005-0000-0000-000027100000}"/>
    <cellStyle name="Adjustment 2 3 3" xfId="2884" xr:uid="{00000000-0005-0000-0000-000028100000}"/>
    <cellStyle name="Adjustment 2 3 3 2" xfId="2885" xr:uid="{00000000-0005-0000-0000-000029100000}"/>
    <cellStyle name="Adjustment 2 3 3 3" xfId="24788" xr:uid="{00000000-0005-0000-0000-00002A100000}"/>
    <cellStyle name="Adjustment 2 3 3 4" xfId="24789" xr:uid="{00000000-0005-0000-0000-00002B100000}"/>
    <cellStyle name="Adjustment 2 3 4" xfId="2886" xr:uid="{00000000-0005-0000-0000-00002C100000}"/>
    <cellStyle name="Adjustment 2 3 4 2" xfId="2887" xr:uid="{00000000-0005-0000-0000-00002D100000}"/>
    <cellStyle name="Adjustment 2 3 4 3" xfId="24790" xr:uid="{00000000-0005-0000-0000-00002E100000}"/>
    <cellStyle name="Adjustment 2 3 4 4" xfId="24791" xr:uid="{00000000-0005-0000-0000-00002F100000}"/>
    <cellStyle name="Adjustment 2 3 5" xfId="2888" xr:uid="{00000000-0005-0000-0000-000030100000}"/>
    <cellStyle name="Adjustment 2 3 5 2" xfId="2889" xr:uid="{00000000-0005-0000-0000-000031100000}"/>
    <cellStyle name="Adjustment 2 3 5 3" xfId="24792" xr:uid="{00000000-0005-0000-0000-000032100000}"/>
    <cellStyle name="Adjustment 2 3 5 4" xfId="24793" xr:uid="{00000000-0005-0000-0000-000033100000}"/>
    <cellStyle name="Adjustment 2 3 6" xfId="2890" xr:uid="{00000000-0005-0000-0000-000034100000}"/>
    <cellStyle name="Adjustment 2 3 6 2" xfId="2891" xr:uid="{00000000-0005-0000-0000-000035100000}"/>
    <cellStyle name="Adjustment 2 3 6 3" xfId="24794" xr:uid="{00000000-0005-0000-0000-000036100000}"/>
    <cellStyle name="Adjustment 2 3 6 4" xfId="24795" xr:uid="{00000000-0005-0000-0000-000037100000}"/>
    <cellStyle name="Adjustment 2 3 7" xfId="2892" xr:uid="{00000000-0005-0000-0000-000038100000}"/>
    <cellStyle name="Adjustment 2 3 7 2" xfId="2893" xr:uid="{00000000-0005-0000-0000-000039100000}"/>
    <cellStyle name="Adjustment 2 3 7 3" xfId="24796" xr:uid="{00000000-0005-0000-0000-00003A100000}"/>
    <cellStyle name="Adjustment 2 3 7 4" xfId="24797" xr:uid="{00000000-0005-0000-0000-00003B100000}"/>
    <cellStyle name="Adjustment 2 3 8" xfId="2894" xr:uid="{00000000-0005-0000-0000-00003C100000}"/>
    <cellStyle name="Adjustment 2 3 9" xfId="24798" xr:uid="{00000000-0005-0000-0000-00003D100000}"/>
    <cellStyle name="Adjustment 2 4" xfId="2895" xr:uid="{00000000-0005-0000-0000-00003E100000}"/>
    <cellStyle name="Adjustment 2 4 10" xfId="24799" xr:uid="{00000000-0005-0000-0000-00003F100000}"/>
    <cellStyle name="Adjustment 2 4 2" xfId="2896" xr:uid="{00000000-0005-0000-0000-000040100000}"/>
    <cellStyle name="Adjustment 2 4 2 2" xfId="2897" xr:uid="{00000000-0005-0000-0000-000041100000}"/>
    <cellStyle name="Adjustment 2 4 2 3" xfId="24800" xr:uid="{00000000-0005-0000-0000-000042100000}"/>
    <cellStyle name="Adjustment 2 4 2 4" xfId="24801" xr:uid="{00000000-0005-0000-0000-000043100000}"/>
    <cellStyle name="Adjustment 2 4 3" xfId="2898" xr:uid="{00000000-0005-0000-0000-000044100000}"/>
    <cellStyle name="Adjustment 2 4 3 2" xfId="2899" xr:uid="{00000000-0005-0000-0000-000045100000}"/>
    <cellStyle name="Adjustment 2 4 3 3" xfId="24802" xr:uid="{00000000-0005-0000-0000-000046100000}"/>
    <cellStyle name="Adjustment 2 4 3 4" xfId="24803" xr:uid="{00000000-0005-0000-0000-000047100000}"/>
    <cellStyle name="Adjustment 2 4 4" xfId="2900" xr:uid="{00000000-0005-0000-0000-000048100000}"/>
    <cellStyle name="Adjustment 2 4 4 2" xfId="2901" xr:uid="{00000000-0005-0000-0000-000049100000}"/>
    <cellStyle name="Adjustment 2 4 4 3" xfId="24804" xr:uid="{00000000-0005-0000-0000-00004A100000}"/>
    <cellStyle name="Adjustment 2 4 4 4" xfId="24805" xr:uid="{00000000-0005-0000-0000-00004B100000}"/>
    <cellStyle name="Adjustment 2 4 5" xfId="2902" xr:uid="{00000000-0005-0000-0000-00004C100000}"/>
    <cellStyle name="Adjustment 2 4 5 2" xfId="2903" xr:uid="{00000000-0005-0000-0000-00004D100000}"/>
    <cellStyle name="Adjustment 2 4 5 3" xfId="24806" xr:uid="{00000000-0005-0000-0000-00004E100000}"/>
    <cellStyle name="Adjustment 2 4 5 4" xfId="24807" xr:uid="{00000000-0005-0000-0000-00004F100000}"/>
    <cellStyle name="Adjustment 2 4 6" xfId="2904" xr:uid="{00000000-0005-0000-0000-000050100000}"/>
    <cellStyle name="Adjustment 2 4 6 2" xfId="2905" xr:uid="{00000000-0005-0000-0000-000051100000}"/>
    <cellStyle name="Adjustment 2 4 6 3" xfId="24808" xr:uid="{00000000-0005-0000-0000-000052100000}"/>
    <cellStyle name="Adjustment 2 4 6 4" xfId="24809" xr:uid="{00000000-0005-0000-0000-000053100000}"/>
    <cellStyle name="Adjustment 2 4 7" xfId="2906" xr:uid="{00000000-0005-0000-0000-000054100000}"/>
    <cellStyle name="Adjustment 2 4 7 2" xfId="2907" xr:uid="{00000000-0005-0000-0000-000055100000}"/>
    <cellStyle name="Adjustment 2 4 7 3" xfId="24810" xr:uid="{00000000-0005-0000-0000-000056100000}"/>
    <cellStyle name="Adjustment 2 4 7 4" xfId="24811" xr:uid="{00000000-0005-0000-0000-000057100000}"/>
    <cellStyle name="Adjustment 2 4 8" xfId="2908" xr:uid="{00000000-0005-0000-0000-000058100000}"/>
    <cellStyle name="Adjustment 2 4 9" xfId="24812" xr:uid="{00000000-0005-0000-0000-000059100000}"/>
    <cellStyle name="Adjustment 2 5" xfId="2909" xr:uid="{00000000-0005-0000-0000-00005A100000}"/>
    <cellStyle name="Adjustment 2 5 10" xfId="24813" xr:uid="{00000000-0005-0000-0000-00005B100000}"/>
    <cellStyle name="Adjustment 2 5 2" xfId="2910" xr:uid="{00000000-0005-0000-0000-00005C100000}"/>
    <cellStyle name="Adjustment 2 5 2 2" xfId="2911" xr:uid="{00000000-0005-0000-0000-00005D100000}"/>
    <cellStyle name="Adjustment 2 5 2 3" xfId="24814" xr:uid="{00000000-0005-0000-0000-00005E100000}"/>
    <cellStyle name="Adjustment 2 5 2 4" xfId="24815" xr:uid="{00000000-0005-0000-0000-00005F100000}"/>
    <cellStyle name="Adjustment 2 5 3" xfId="2912" xr:uid="{00000000-0005-0000-0000-000060100000}"/>
    <cellStyle name="Adjustment 2 5 3 2" xfId="2913" xr:uid="{00000000-0005-0000-0000-000061100000}"/>
    <cellStyle name="Adjustment 2 5 3 3" xfId="24816" xr:uid="{00000000-0005-0000-0000-000062100000}"/>
    <cellStyle name="Adjustment 2 5 3 4" xfId="24817" xr:uid="{00000000-0005-0000-0000-000063100000}"/>
    <cellStyle name="Adjustment 2 5 4" xfId="2914" xr:uid="{00000000-0005-0000-0000-000064100000}"/>
    <cellStyle name="Adjustment 2 5 4 2" xfId="2915" xr:uid="{00000000-0005-0000-0000-000065100000}"/>
    <cellStyle name="Adjustment 2 5 4 3" xfId="24818" xr:uid="{00000000-0005-0000-0000-000066100000}"/>
    <cellStyle name="Adjustment 2 5 4 4" xfId="24819" xr:uid="{00000000-0005-0000-0000-000067100000}"/>
    <cellStyle name="Adjustment 2 5 5" xfId="2916" xr:uid="{00000000-0005-0000-0000-000068100000}"/>
    <cellStyle name="Adjustment 2 5 5 2" xfId="2917" xr:uid="{00000000-0005-0000-0000-000069100000}"/>
    <cellStyle name="Adjustment 2 5 5 3" xfId="24820" xr:uid="{00000000-0005-0000-0000-00006A100000}"/>
    <cellStyle name="Adjustment 2 5 5 4" xfId="24821" xr:uid="{00000000-0005-0000-0000-00006B100000}"/>
    <cellStyle name="Adjustment 2 5 6" xfId="2918" xr:uid="{00000000-0005-0000-0000-00006C100000}"/>
    <cellStyle name="Adjustment 2 5 6 2" xfId="2919" xr:uid="{00000000-0005-0000-0000-00006D100000}"/>
    <cellStyle name="Adjustment 2 5 6 3" xfId="24822" xr:uid="{00000000-0005-0000-0000-00006E100000}"/>
    <cellStyle name="Adjustment 2 5 6 4" xfId="24823" xr:uid="{00000000-0005-0000-0000-00006F100000}"/>
    <cellStyle name="Adjustment 2 5 7" xfId="2920" xr:uid="{00000000-0005-0000-0000-000070100000}"/>
    <cellStyle name="Adjustment 2 5 7 2" xfId="2921" xr:uid="{00000000-0005-0000-0000-000071100000}"/>
    <cellStyle name="Adjustment 2 5 7 3" xfId="24824" xr:uid="{00000000-0005-0000-0000-000072100000}"/>
    <cellStyle name="Adjustment 2 5 7 4" xfId="24825" xr:uid="{00000000-0005-0000-0000-000073100000}"/>
    <cellStyle name="Adjustment 2 5 8" xfId="2922" xr:uid="{00000000-0005-0000-0000-000074100000}"/>
    <cellStyle name="Adjustment 2 5 9" xfId="24826" xr:uid="{00000000-0005-0000-0000-000075100000}"/>
    <cellStyle name="Adjustment 2 6" xfId="2923" xr:uid="{00000000-0005-0000-0000-000076100000}"/>
    <cellStyle name="Adjustment 2 6 2" xfId="2924" xr:uid="{00000000-0005-0000-0000-000077100000}"/>
    <cellStyle name="Adjustment 2 6 3" xfId="24827" xr:uid="{00000000-0005-0000-0000-000078100000}"/>
    <cellStyle name="Adjustment 2 6 4" xfId="24828" xr:uid="{00000000-0005-0000-0000-000079100000}"/>
    <cellStyle name="Adjustment 2 7" xfId="2925" xr:uid="{00000000-0005-0000-0000-00007A100000}"/>
    <cellStyle name="Adjustment 2 7 2" xfId="2926" xr:uid="{00000000-0005-0000-0000-00007B100000}"/>
    <cellStyle name="Adjustment 2 7 3" xfId="24829" xr:uid="{00000000-0005-0000-0000-00007C100000}"/>
    <cellStyle name="Adjustment 2 7 4" xfId="24830" xr:uid="{00000000-0005-0000-0000-00007D100000}"/>
    <cellStyle name="Adjustment 2 8" xfId="2927" xr:uid="{00000000-0005-0000-0000-00007E100000}"/>
    <cellStyle name="Adjustment 2 8 2" xfId="2928" xr:uid="{00000000-0005-0000-0000-00007F100000}"/>
    <cellStyle name="Adjustment 2 8 3" xfId="24831" xr:uid="{00000000-0005-0000-0000-000080100000}"/>
    <cellStyle name="Adjustment 2 8 4" xfId="24832" xr:uid="{00000000-0005-0000-0000-000081100000}"/>
    <cellStyle name="Adjustment 2 9" xfId="2929" xr:uid="{00000000-0005-0000-0000-000082100000}"/>
    <cellStyle name="Adjustment 2 9 2" xfId="2930" xr:uid="{00000000-0005-0000-0000-000083100000}"/>
    <cellStyle name="Adjustment 2 9 3" xfId="24833" xr:uid="{00000000-0005-0000-0000-000084100000}"/>
    <cellStyle name="Adjustment 2 9 4" xfId="24834" xr:uid="{00000000-0005-0000-0000-000085100000}"/>
    <cellStyle name="Adjustment 20" xfId="2931" xr:uid="{00000000-0005-0000-0000-000086100000}"/>
    <cellStyle name="Adjustment 20 2" xfId="2932" xr:uid="{00000000-0005-0000-0000-000087100000}"/>
    <cellStyle name="Adjustment 20 3" xfId="24835" xr:uid="{00000000-0005-0000-0000-000088100000}"/>
    <cellStyle name="Adjustment 20 4" xfId="24836" xr:uid="{00000000-0005-0000-0000-000089100000}"/>
    <cellStyle name="Adjustment 21" xfId="2933" xr:uid="{00000000-0005-0000-0000-00008A100000}"/>
    <cellStyle name="Adjustment 21 2" xfId="2934" xr:uid="{00000000-0005-0000-0000-00008B100000}"/>
    <cellStyle name="Adjustment 21 3" xfId="24837" xr:uid="{00000000-0005-0000-0000-00008C100000}"/>
    <cellStyle name="Adjustment 21 4" xfId="24838" xr:uid="{00000000-0005-0000-0000-00008D100000}"/>
    <cellStyle name="Adjustment 22" xfId="2935" xr:uid="{00000000-0005-0000-0000-00008E100000}"/>
    <cellStyle name="Adjustment 22 2" xfId="2936" xr:uid="{00000000-0005-0000-0000-00008F100000}"/>
    <cellStyle name="Adjustment 22 3" xfId="24839" xr:uid="{00000000-0005-0000-0000-000090100000}"/>
    <cellStyle name="Adjustment 22 4" xfId="24840" xr:uid="{00000000-0005-0000-0000-000091100000}"/>
    <cellStyle name="Adjustment 23" xfId="2937" xr:uid="{00000000-0005-0000-0000-000092100000}"/>
    <cellStyle name="Adjustment 23 2" xfId="2938" xr:uid="{00000000-0005-0000-0000-000093100000}"/>
    <cellStyle name="Adjustment 23 3" xfId="24841" xr:uid="{00000000-0005-0000-0000-000094100000}"/>
    <cellStyle name="Adjustment 23 4" xfId="24842" xr:uid="{00000000-0005-0000-0000-000095100000}"/>
    <cellStyle name="Adjustment 24" xfId="2939" xr:uid="{00000000-0005-0000-0000-000096100000}"/>
    <cellStyle name="Adjustment 25" xfId="24843" xr:uid="{00000000-0005-0000-0000-000097100000}"/>
    <cellStyle name="Adjustment 26" xfId="24844" xr:uid="{00000000-0005-0000-0000-000098100000}"/>
    <cellStyle name="Adjustment 3" xfId="2940" xr:uid="{00000000-0005-0000-0000-000099100000}"/>
    <cellStyle name="Adjustment 3 10" xfId="2941" xr:uid="{00000000-0005-0000-0000-00009A100000}"/>
    <cellStyle name="Adjustment 3 10 2" xfId="2942" xr:uid="{00000000-0005-0000-0000-00009B100000}"/>
    <cellStyle name="Adjustment 3 10 3" xfId="24845" xr:uid="{00000000-0005-0000-0000-00009C100000}"/>
    <cellStyle name="Adjustment 3 10 4" xfId="24846" xr:uid="{00000000-0005-0000-0000-00009D100000}"/>
    <cellStyle name="Adjustment 3 11" xfId="2943" xr:uid="{00000000-0005-0000-0000-00009E100000}"/>
    <cellStyle name="Adjustment 3 11 2" xfId="2944" xr:uid="{00000000-0005-0000-0000-00009F100000}"/>
    <cellStyle name="Adjustment 3 11 3" xfId="24847" xr:uid="{00000000-0005-0000-0000-0000A0100000}"/>
    <cellStyle name="Adjustment 3 11 4" xfId="24848" xr:uid="{00000000-0005-0000-0000-0000A1100000}"/>
    <cellStyle name="Adjustment 3 12" xfId="2945" xr:uid="{00000000-0005-0000-0000-0000A2100000}"/>
    <cellStyle name="Adjustment 3 13" xfId="24849" xr:uid="{00000000-0005-0000-0000-0000A3100000}"/>
    <cellStyle name="Adjustment 3 14" xfId="24850" xr:uid="{00000000-0005-0000-0000-0000A4100000}"/>
    <cellStyle name="Adjustment 3 2" xfId="2946" xr:uid="{00000000-0005-0000-0000-0000A5100000}"/>
    <cellStyle name="Adjustment 3 2 10" xfId="24851" xr:uid="{00000000-0005-0000-0000-0000A6100000}"/>
    <cellStyle name="Adjustment 3 2 2" xfId="2947" xr:uid="{00000000-0005-0000-0000-0000A7100000}"/>
    <cellStyle name="Adjustment 3 2 2 2" xfId="2948" xr:uid="{00000000-0005-0000-0000-0000A8100000}"/>
    <cellStyle name="Adjustment 3 2 2 3" xfId="24852" xr:uid="{00000000-0005-0000-0000-0000A9100000}"/>
    <cellStyle name="Adjustment 3 2 2 4" xfId="24853" xr:uid="{00000000-0005-0000-0000-0000AA100000}"/>
    <cellStyle name="Adjustment 3 2 3" xfId="2949" xr:uid="{00000000-0005-0000-0000-0000AB100000}"/>
    <cellStyle name="Adjustment 3 2 3 2" xfId="2950" xr:uid="{00000000-0005-0000-0000-0000AC100000}"/>
    <cellStyle name="Adjustment 3 2 3 3" xfId="24854" xr:uid="{00000000-0005-0000-0000-0000AD100000}"/>
    <cellStyle name="Adjustment 3 2 3 4" xfId="24855" xr:uid="{00000000-0005-0000-0000-0000AE100000}"/>
    <cellStyle name="Adjustment 3 2 4" xfId="2951" xr:uid="{00000000-0005-0000-0000-0000AF100000}"/>
    <cellStyle name="Adjustment 3 2 4 2" xfId="2952" xr:uid="{00000000-0005-0000-0000-0000B0100000}"/>
    <cellStyle name="Adjustment 3 2 4 3" xfId="24856" xr:uid="{00000000-0005-0000-0000-0000B1100000}"/>
    <cellStyle name="Adjustment 3 2 4 4" xfId="24857" xr:uid="{00000000-0005-0000-0000-0000B2100000}"/>
    <cellStyle name="Adjustment 3 2 5" xfId="2953" xr:uid="{00000000-0005-0000-0000-0000B3100000}"/>
    <cellStyle name="Adjustment 3 2 5 2" xfId="2954" xr:uid="{00000000-0005-0000-0000-0000B4100000}"/>
    <cellStyle name="Adjustment 3 2 5 3" xfId="24858" xr:uid="{00000000-0005-0000-0000-0000B5100000}"/>
    <cellStyle name="Adjustment 3 2 5 4" xfId="24859" xr:uid="{00000000-0005-0000-0000-0000B6100000}"/>
    <cellStyle name="Adjustment 3 2 6" xfId="2955" xr:uid="{00000000-0005-0000-0000-0000B7100000}"/>
    <cellStyle name="Adjustment 3 2 6 2" xfId="2956" xr:uid="{00000000-0005-0000-0000-0000B8100000}"/>
    <cellStyle name="Adjustment 3 2 6 3" xfId="24860" xr:uid="{00000000-0005-0000-0000-0000B9100000}"/>
    <cellStyle name="Adjustment 3 2 6 4" xfId="24861" xr:uid="{00000000-0005-0000-0000-0000BA100000}"/>
    <cellStyle name="Adjustment 3 2 7" xfId="2957" xr:uid="{00000000-0005-0000-0000-0000BB100000}"/>
    <cellStyle name="Adjustment 3 2 7 2" xfId="2958" xr:uid="{00000000-0005-0000-0000-0000BC100000}"/>
    <cellStyle name="Adjustment 3 2 7 3" xfId="24862" xr:uid="{00000000-0005-0000-0000-0000BD100000}"/>
    <cellStyle name="Adjustment 3 2 7 4" xfId="24863" xr:uid="{00000000-0005-0000-0000-0000BE100000}"/>
    <cellStyle name="Adjustment 3 2 8" xfId="2959" xr:uid="{00000000-0005-0000-0000-0000BF100000}"/>
    <cellStyle name="Adjustment 3 2 9" xfId="24864" xr:uid="{00000000-0005-0000-0000-0000C0100000}"/>
    <cellStyle name="Adjustment 3 3" xfId="2960" xr:uid="{00000000-0005-0000-0000-0000C1100000}"/>
    <cellStyle name="Adjustment 3 3 10" xfId="24865" xr:uid="{00000000-0005-0000-0000-0000C2100000}"/>
    <cellStyle name="Adjustment 3 3 2" xfId="2961" xr:uid="{00000000-0005-0000-0000-0000C3100000}"/>
    <cellStyle name="Adjustment 3 3 2 2" xfId="2962" xr:uid="{00000000-0005-0000-0000-0000C4100000}"/>
    <cellStyle name="Adjustment 3 3 2 3" xfId="24866" xr:uid="{00000000-0005-0000-0000-0000C5100000}"/>
    <cellStyle name="Adjustment 3 3 2 4" xfId="24867" xr:uid="{00000000-0005-0000-0000-0000C6100000}"/>
    <cellStyle name="Adjustment 3 3 3" xfId="2963" xr:uid="{00000000-0005-0000-0000-0000C7100000}"/>
    <cellStyle name="Adjustment 3 3 3 2" xfId="2964" xr:uid="{00000000-0005-0000-0000-0000C8100000}"/>
    <cellStyle name="Adjustment 3 3 3 3" xfId="24868" xr:uid="{00000000-0005-0000-0000-0000C9100000}"/>
    <cellStyle name="Adjustment 3 3 3 4" xfId="24869" xr:uid="{00000000-0005-0000-0000-0000CA100000}"/>
    <cellStyle name="Adjustment 3 3 4" xfId="2965" xr:uid="{00000000-0005-0000-0000-0000CB100000}"/>
    <cellStyle name="Adjustment 3 3 4 2" xfId="2966" xr:uid="{00000000-0005-0000-0000-0000CC100000}"/>
    <cellStyle name="Adjustment 3 3 4 3" xfId="24870" xr:uid="{00000000-0005-0000-0000-0000CD100000}"/>
    <cellStyle name="Adjustment 3 3 4 4" xfId="24871" xr:uid="{00000000-0005-0000-0000-0000CE100000}"/>
    <cellStyle name="Adjustment 3 3 5" xfId="2967" xr:uid="{00000000-0005-0000-0000-0000CF100000}"/>
    <cellStyle name="Adjustment 3 3 5 2" xfId="2968" xr:uid="{00000000-0005-0000-0000-0000D0100000}"/>
    <cellStyle name="Adjustment 3 3 5 3" xfId="24872" xr:uid="{00000000-0005-0000-0000-0000D1100000}"/>
    <cellStyle name="Adjustment 3 3 5 4" xfId="24873" xr:uid="{00000000-0005-0000-0000-0000D2100000}"/>
    <cellStyle name="Adjustment 3 3 6" xfId="2969" xr:uid="{00000000-0005-0000-0000-0000D3100000}"/>
    <cellStyle name="Adjustment 3 3 6 2" xfId="2970" xr:uid="{00000000-0005-0000-0000-0000D4100000}"/>
    <cellStyle name="Adjustment 3 3 6 3" xfId="24874" xr:uid="{00000000-0005-0000-0000-0000D5100000}"/>
    <cellStyle name="Adjustment 3 3 6 4" xfId="24875" xr:uid="{00000000-0005-0000-0000-0000D6100000}"/>
    <cellStyle name="Adjustment 3 3 7" xfId="2971" xr:uid="{00000000-0005-0000-0000-0000D7100000}"/>
    <cellStyle name="Adjustment 3 3 7 2" xfId="2972" xr:uid="{00000000-0005-0000-0000-0000D8100000}"/>
    <cellStyle name="Adjustment 3 3 7 3" xfId="24876" xr:uid="{00000000-0005-0000-0000-0000D9100000}"/>
    <cellStyle name="Adjustment 3 3 7 4" xfId="24877" xr:uid="{00000000-0005-0000-0000-0000DA100000}"/>
    <cellStyle name="Adjustment 3 3 8" xfId="2973" xr:uid="{00000000-0005-0000-0000-0000DB100000}"/>
    <cellStyle name="Adjustment 3 3 9" xfId="24878" xr:uid="{00000000-0005-0000-0000-0000DC100000}"/>
    <cellStyle name="Adjustment 3 4" xfId="2974" xr:uid="{00000000-0005-0000-0000-0000DD100000}"/>
    <cellStyle name="Adjustment 3 4 10" xfId="24879" xr:uid="{00000000-0005-0000-0000-0000DE100000}"/>
    <cellStyle name="Adjustment 3 4 2" xfId="2975" xr:uid="{00000000-0005-0000-0000-0000DF100000}"/>
    <cellStyle name="Adjustment 3 4 2 2" xfId="2976" xr:uid="{00000000-0005-0000-0000-0000E0100000}"/>
    <cellStyle name="Adjustment 3 4 2 3" xfId="24880" xr:uid="{00000000-0005-0000-0000-0000E1100000}"/>
    <cellStyle name="Adjustment 3 4 2 4" xfId="24881" xr:uid="{00000000-0005-0000-0000-0000E2100000}"/>
    <cellStyle name="Adjustment 3 4 3" xfId="2977" xr:uid="{00000000-0005-0000-0000-0000E3100000}"/>
    <cellStyle name="Adjustment 3 4 3 2" xfId="2978" xr:uid="{00000000-0005-0000-0000-0000E4100000}"/>
    <cellStyle name="Adjustment 3 4 3 3" xfId="24882" xr:uid="{00000000-0005-0000-0000-0000E5100000}"/>
    <cellStyle name="Adjustment 3 4 3 4" xfId="24883" xr:uid="{00000000-0005-0000-0000-0000E6100000}"/>
    <cellStyle name="Adjustment 3 4 4" xfId="2979" xr:uid="{00000000-0005-0000-0000-0000E7100000}"/>
    <cellStyle name="Adjustment 3 4 4 2" xfId="2980" xr:uid="{00000000-0005-0000-0000-0000E8100000}"/>
    <cellStyle name="Adjustment 3 4 4 3" xfId="24884" xr:uid="{00000000-0005-0000-0000-0000E9100000}"/>
    <cellStyle name="Adjustment 3 4 4 4" xfId="24885" xr:uid="{00000000-0005-0000-0000-0000EA100000}"/>
    <cellStyle name="Adjustment 3 4 5" xfId="2981" xr:uid="{00000000-0005-0000-0000-0000EB100000}"/>
    <cellStyle name="Adjustment 3 4 5 2" xfId="2982" xr:uid="{00000000-0005-0000-0000-0000EC100000}"/>
    <cellStyle name="Adjustment 3 4 5 3" xfId="24886" xr:uid="{00000000-0005-0000-0000-0000ED100000}"/>
    <cellStyle name="Adjustment 3 4 5 4" xfId="24887" xr:uid="{00000000-0005-0000-0000-0000EE100000}"/>
    <cellStyle name="Adjustment 3 4 6" xfId="2983" xr:uid="{00000000-0005-0000-0000-0000EF100000}"/>
    <cellStyle name="Adjustment 3 4 6 2" xfId="2984" xr:uid="{00000000-0005-0000-0000-0000F0100000}"/>
    <cellStyle name="Adjustment 3 4 6 3" xfId="24888" xr:uid="{00000000-0005-0000-0000-0000F1100000}"/>
    <cellStyle name="Adjustment 3 4 6 4" xfId="24889" xr:uid="{00000000-0005-0000-0000-0000F2100000}"/>
    <cellStyle name="Adjustment 3 4 7" xfId="2985" xr:uid="{00000000-0005-0000-0000-0000F3100000}"/>
    <cellStyle name="Adjustment 3 4 7 2" xfId="2986" xr:uid="{00000000-0005-0000-0000-0000F4100000}"/>
    <cellStyle name="Adjustment 3 4 7 3" xfId="24890" xr:uid="{00000000-0005-0000-0000-0000F5100000}"/>
    <cellStyle name="Adjustment 3 4 7 4" xfId="24891" xr:uid="{00000000-0005-0000-0000-0000F6100000}"/>
    <cellStyle name="Adjustment 3 4 8" xfId="2987" xr:uid="{00000000-0005-0000-0000-0000F7100000}"/>
    <cellStyle name="Adjustment 3 4 9" xfId="24892" xr:uid="{00000000-0005-0000-0000-0000F8100000}"/>
    <cellStyle name="Adjustment 3 5" xfId="2988" xr:uid="{00000000-0005-0000-0000-0000F9100000}"/>
    <cellStyle name="Adjustment 3 5 10" xfId="24893" xr:uid="{00000000-0005-0000-0000-0000FA100000}"/>
    <cellStyle name="Adjustment 3 5 2" xfId="2989" xr:uid="{00000000-0005-0000-0000-0000FB100000}"/>
    <cellStyle name="Adjustment 3 5 2 2" xfId="2990" xr:uid="{00000000-0005-0000-0000-0000FC100000}"/>
    <cellStyle name="Adjustment 3 5 2 3" xfId="24894" xr:uid="{00000000-0005-0000-0000-0000FD100000}"/>
    <cellStyle name="Adjustment 3 5 2 4" xfId="24895" xr:uid="{00000000-0005-0000-0000-0000FE100000}"/>
    <cellStyle name="Adjustment 3 5 3" xfId="2991" xr:uid="{00000000-0005-0000-0000-0000FF100000}"/>
    <cellStyle name="Adjustment 3 5 3 2" xfId="2992" xr:uid="{00000000-0005-0000-0000-000000110000}"/>
    <cellStyle name="Adjustment 3 5 3 3" xfId="24896" xr:uid="{00000000-0005-0000-0000-000001110000}"/>
    <cellStyle name="Adjustment 3 5 3 4" xfId="24897" xr:uid="{00000000-0005-0000-0000-000002110000}"/>
    <cellStyle name="Adjustment 3 5 4" xfId="2993" xr:uid="{00000000-0005-0000-0000-000003110000}"/>
    <cellStyle name="Adjustment 3 5 4 2" xfId="2994" xr:uid="{00000000-0005-0000-0000-000004110000}"/>
    <cellStyle name="Adjustment 3 5 4 3" xfId="24898" xr:uid="{00000000-0005-0000-0000-000005110000}"/>
    <cellStyle name="Adjustment 3 5 4 4" xfId="24899" xr:uid="{00000000-0005-0000-0000-000006110000}"/>
    <cellStyle name="Adjustment 3 5 5" xfId="2995" xr:uid="{00000000-0005-0000-0000-000007110000}"/>
    <cellStyle name="Adjustment 3 5 5 2" xfId="2996" xr:uid="{00000000-0005-0000-0000-000008110000}"/>
    <cellStyle name="Adjustment 3 5 5 3" xfId="24900" xr:uid="{00000000-0005-0000-0000-000009110000}"/>
    <cellStyle name="Adjustment 3 5 5 4" xfId="24901" xr:uid="{00000000-0005-0000-0000-00000A110000}"/>
    <cellStyle name="Adjustment 3 5 6" xfId="2997" xr:uid="{00000000-0005-0000-0000-00000B110000}"/>
    <cellStyle name="Adjustment 3 5 6 2" xfId="2998" xr:uid="{00000000-0005-0000-0000-00000C110000}"/>
    <cellStyle name="Adjustment 3 5 6 3" xfId="24902" xr:uid="{00000000-0005-0000-0000-00000D110000}"/>
    <cellStyle name="Adjustment 3 5 6 4" xfId="24903" xr:uid="{00000000-0005-0000-0000-00000E110000}"/>
    <cellStyle name="Adjustment 3 5 7" xfId="2999" xr:uid="{00000000-0005-0000-0000-00000F110000}"/>
    <cellStyle name="Adjustment 3 5 7 2" xfId="3000" xr:uid="{00000000-0005-0000-0000-000010110000}"/>
    <cellStyle name="Adjustment 3 5 7 3" xfId="24904" xr:uid="{00000000-0005-0000-0000-000011110000}"/>
    <cellStyle name="Adjustment 3 5 7 4" xfId="24905" xr:uid="{00000000-0005-0000-0000-000012110000}"/>
    <cellStyle name="Adjustment 3 5 8" xfId="3001" xr:uid="{00000000-0005-0000-0000-000013110000}"/>
    <cellStyle name="Adjustment 3 5 9" xfId="24906" xr:uid="{00000000-0005-0000-0000-000014110000}"/>
    <cellStyle name="Adjustment 3 6" xfId="3002" xr:uid="{00000000-0005-0000-0000-000015110000}"/>
    <cellStyle name="Adjustment 3 6 2" xfId="3003" xr:uid="{00000000-0005-0000-0000-000016110000}"/>
    <cellStyle name="Adjustment 3 6 3" xfId="24907" xr:uid="{00000000-0005-0000-0000-000017110000}"/>
    <cellStyle name="Adjustment 3 6 4" xfId="24908" xr:uid="{00000000-0005-0000-0000-000018110000}"/>
    <cellStyle name="Adjustment 3 7" xfId="3004" xr:uid="{00000000-0005-0000-0000-000019110000}"/>
    <cellStyle name="Adjustment 3 7 2" xfId="3005" xr:uid="{00000000-0005-0000-0000-00001A110000}"/>
    <cellStyle name="Adjustment 3 7 3" xfId="24909" xr:uid="{00000000-0005-0000-0000-00001B110000}"/>
    <cellStyle name="Adjustment 3 7 4" xfId="24910" xr:uid="{00000000-0005-0000-0000-00001C110000}"/>
    <cellStyle name="Adjustment 3 8" xfId="3006" xr:uid="{00000000-0005-0000-0000-00001D110000}"/>
    <cellStyle name="Adjustment 3 8 2" xfId="3007" xr:uid="{00000000-0005-0000-0000-00001E110000}"/>
    <cellStyle name="Adjustment 3 8 3" xfId="24911" xr:uid="{00000000-0005-0000-0000-00001F110000}"/>
    <cellStyle name="Adjustment 3 8 4" xfId="24912" xr:uid="{00000000-0005-0000-0000-000020110000}"/>
    <cellStyle name="Adjustment 3 9" xfId="3008" xr:uid="{00000000-0005-0000-0000-000021110000}"/>
    <cellStyle name="Adjustment 3 9 2" xfId="3009" xr:uid="{00000000-0005-0000-0000-000022110000}"/>
    <cellStyle name="Adjustment 3 9 3" xfId="24913" xr:uid="{00000000-0005-0000-0000-000023110000}"/>
    <cellStyle name="Adjustment 3 9 4" xfId="24914" xr:uid="{00000000-0005-0000-0000-000024110000}"/>
    <cellStyle name="Adjustment 4" xfId="3010" xr:uid="{00000000-0005-0000-0000-000025110000}"/>
    <cellStyle name="Adjustment 4 10" xfId="3011" xr:uid="{00000000-0005-0000-0000-000026110000}"/>
    <cellStyle name="Adjustment 4 10 2" xfId="3012" xr:uid="{00000000-0005-0000-0000-000027110000}"/>
    <cellStyle name="Adjustment 4 10 3" xfId="24915" xr:uid="{00000000-0005-0000-0000-000028110000}"/>
    <cellStyle name="Adjustment 4 10 4" xfId="24916" xr:uid="{00000000-0005-0000-0000-000029110000}"/>
    <cellStyle name="Adjustment 4 11" xfId="3013" xr:uid="{00000000-0005-0000-0000-00002A110000}"/>
    <cellStyle name="Adjustment 4 11 2" xfId="3014" xr:uid="{00000000-0005-0000-0000-00002B110000}"/>
    <cellStyle name="Adjustment 4 11 3" xfId="24917" xr:uid="{00000000-0005-0000-0000-00002C110000}"/>
    <cellStyle name="Adjustment 4 11 4" xfId="24918" xr:uid="{00000000-0005-0000-0000-00002D110000}"/>
    <cellStyle name="Adjustment 4 12" xfId="3015" xr:uid="{00000000-0005-0000-0000-00002E110000}"/>
    <cellStyle name="Adjustment 4 13" xfId="24919" xr:uid="{00000000-0005-0000-0000-00002F110000}"/>
    <cellStyle name="Adjustment 4 14" xfId="24920" xr:uid="{00000000-0005-0000-0000-000030110000}"/>
    <cellStyle name="Adjustment 4 2" xfId="3016" xr:uid="{00000000-0005-0000-0000-000031110000}"/>
    <cellStyle name="Adjustment 4 2 10" xfId="24921" xr:uid="{00000000-0005-0000-0000-000032110000}"/>
    <cellStyle name="Adjustment 4 2 2" xfId="3017" xr:uid="{00000000-0005-0000-0000-000033110000}"/>
    <cellStyle name="Adjustment 4 2 2 2" xfId="3018" xr:uid="{00000000-0005-0000-0000-000034110000}"/>
    <cellStyle name="Adjustment 4 2 2 3" xfId="24922" xr:uid="{00000000-0005-0000-0000-000035110000}"/>
    <cellStyle name="Adjustment 4 2 2 4" xfId="24923" xr:uid="{00000000-0005-0000-0000-000036110000}"/>
    <cellStyle name="Adjustment 4 2 3" xfId="3019" xr:uid="{00000000-0005-0000-0000-000037110000}"/>
    <cellStyle name="Adjustment 4 2 3 2" xfId="3020" xr:uid="{00000000-0005-0000-0000-000038110000}"/>
    <cellStyle name="Adjustment 4 2 3 3" xfId="24924" xr:uid="{00000000-0005-0000-0000-000039110000}"/>
    <cellStyle name="Adjustment 4 2 3 4" xfId="24925" xr:uid="{00000000-0005-0000-0000-00003A110000}"/>
    <cellStyle name="Adjustment 4 2 4" xfId="3021" xr:uid="{00000000-0005-0000-0000-00003B110000}"/>
    <cellStyle name="Adjustment 4 2 4 2" xfId="3022" xr:uid="{00000000-0005-0000-0000-00003C110000}"/>
    <cellStyle name="Adjustment 4 2 4 3" xfId="24926" xr:uid="{00000000-0005-0000-0000-00003D110000}"/>
    <cellStyle name="Adjustment 4 2 4 4" xfId="24927" xr:uid="{00000000-0005-0000-0000-00003E110000}"/>
    <cellStyle name="Adjustment 4 2 5" xfId="3023" xr:uid="{00000000-0005-0000-0000-00003F110000}"/>
    <cellStyle name="Adjustment 4 2 5 2" xfId="3024" xr:uid="{00000000-0005-0000-0000-000040110000}"/>
    <cellStyle name="Adjustment 4 2 5 3" xfId="24928" xr:uid="{00000000-0005-0000-0000-000041110000}"/>
    <cellStyle name="Adjustment 4 2 5 4" xfId="24929" xr:uid="{00000000-0005-0000-0000-000042110000}"/>
    <cellStyle name="Adjustment 4 2 6" xfId="3025" xr:uid="{00000000-0005-0000-0000-000043110000}"/>
    <cellStyle name="Adjustment 4 2 6 2" xfId="3026" xr:uid="{00000000-0005-0000-0000-000044110000}"/>
    <cellStyle name="Adjustment 4 2 6 3" xfId="24930" xr:uid="{00000000-0005-0000-0000-000045110000}"/>
    <cellStyle name="Adjustment 4 2 6 4" xfId="24931" xr:uid="{00000000-0005-0000-0000-000046110000}"/>
    <cellStyle name="Adjustment 4 2 7" xfId="3027" xr:uid="{00000000-0005-0000-0000-000047110000}"/>
    <cellStyle name="Adjustment 4 2 7 2" xfId="3028" xr:uid="{00000000-0005-0000-0000-000048110000}"/>
    <cellStyle name="Adjustment 4 2 7 3" xfId="24932" xr:uid="{00000000-0005-0000-0000-000049110000}"/>
    <cellStyle name="Adjustment 4 2 7 4" xfId="24933" xr:uid="{00000000-0005-0000-0000-00004A110000}"/>
    <cellStyle name="Adjustment 4 2 8" xfId="3029" xr:uid="{00000000-0005-0000-0000-00004B110000}"/>
    <cellStyle name="Adjustment 4 2 9" xfId="24934" xr:uid="{00000000-0005-0000-0000-00004C110000}"/>
    <cellStyle name="Adjustment 4 3" xfId="3030" xr:uid="{00000000-0005-0000-0000-00004D110000}"/>
    <cellStyle name="Adjustment 4 3 10" xfId="24935" xr:uid="{00000000-0005-0000-0000-00004E110000}"/>
    <cellStyle name="Adjustment 4 3 2" xfId="3031" xr:uid="{00000000-0005-0000-0000-00004F110000}"/>
    <cellStyle name="Adjustment 4 3 2 2" xfId="3032" xr:uid="{00000000-0005-0000-0000-000050110000}"/>
    <cellStyle name="Adjustment 4 3 2 3" xfId="24936" xr:uid="{00000000-0005-0000-0000-000051110000}"/>
    <cellStyle name="Adjustment 4 3 2 4" xfId="24937" xr:uid="{00000000-0005-0000-0000-000052110000}"/>
    <cellStyle name="Adjustment 4 3 3" xfId="3033" xr:uid="{00000000-0005-0000-0000-000053110000}"/>
    <cellStyle name="Adjustment 4 3 3 2" xfId="3034" xr:uid="{00000000-0005-0000-0000-000054110000}"/>
    <cellStyle name="Adjustment 4 3 3 3" xfId="24938" xr:uid="{00000000-0005-0000-0000-000055110000}"/>
    <cellStyle name="Adjustment 4 3 3 4" xfId="24939" xr:uid="{00000000-0005-0000-0000-000056110000}"/>
    <cellStyle name="Adjustment 4 3 4" xfId="3035" xr:uid="{00000000-0005-0000-0000-000057110000}"/>
    <cellStyle name="Adjustment 4 3 4 2" xfId="3036" xr:uid="{00000000-0005-0000-0000-000058110000}"/>
    <cellStyle name="Adjustment 4 3 4 3" xfId="24940" xr:uid="{00000000-0005-0000-0000-000059110000}"/>
    <cellStyle name="Adjustment 4 3 4 4" xfId="24941" xr:uid="{00000000-0005-0000-0000-00005A110000}"/>
    <cellStyle name="Adjustment 4 3 5" xfId="3037" xr:uid="{00000000-0005-0000-0000-00005B110000}"/>
    <cellStyle name="Adjustment 4 3 5 2" xfId="3038" xr:uid="{00000000-0005-0000-0000-00005C110000}"/>
    <cellStyle name="Adjustment 4 3 5 3" xfId="24942" xr:uid="{00000000-0005-0000-0000-00005D110000}"/>
    <cellStyle name="Adjustment 4 3 5 4" xfId="24943" xr:uid="{00000000-0005-0000-0000-00005E110000}"/>
    <cellStyle name="Adjustment 4 3 6" xfId="3039" xr:uid="{00000000-0005-0000-0000-00005F110000}"/>
    <cellStyle name="Adjustment 4 3 6 2" xfId="3040" xr:uid="{00000000-0005-0000-0000-000060110000}"/>
    <cellStyle name="Adjustment 4 3 6 3" xfId="24944" xr:uid="{00000000-0005-0000-0000-000061110000}"/>
    <cellStyle name="Adjustment 4 3 6 4" xfId="24945" xr:uid="{00000000-0005-0000-0000-000062110000}"/>
    <cellStyle name="Adjustment 4 3 7" xfId="3041" xr:uid="{00000000-0005-0000-0000-000063110000}"/>
    <cellStyle name="Adjustment 4 3 7 2" xfId="3042" xr:uid="{00000000-0005-0000-0000-000064110000}"/>
    <cellStyle name="Adjustment 4 3 7 3" xfId="24946" xr:uid="{00000000-0005-0000-0000-000065110000}"/>
    <cellStyle name="Adjustment 4 3 7 4" xfId="24947" xr:uid="{00000000-0005-0000-0000-000066110000}"/>
    <cellStyle name="Adjustment 4 3 8" xfId="3043" xr:uid="{00000000-0005-0000-0000-000067110000}"/>
    <cellStyle name="Adjustment 4 3 9" xfId="24948" xr:uid="{00000000-0005-0000-0000-000068110000}"/>
    <cellStyle name="Adjustment 4 4" xfId="3044" xr:uid="{00000000-0005-0000-0000-000069110000}"/>
    <cellStyle name="Adjustment 4 4 10" xfId="24949" xr:uid="{00000000-0005-0000-0000-00006A110000}"/>
    <cellStyle name="Adjustment 4 4 2" xfId="3045" xr:uid="{00000000-0005-0000-0000-00006B110000}"/>
    <cellStyle name="Adjustment 4 4 2 2" xfId="3046" xr:uid="{00000000-0005-0000-0000-00006C110000}"/>
    <cellStyle name="Adjustment 4 4 2 3" xfId="24950" xr:uid="{00000000-0005-0000-0000-00006D110000}"/>
    <cellStyle name="Adjustment 4 4 2 4" xfId="24951" xr:uid="{00000000-0005-0000-0000-00006E110000}"/>
    <cellStyle name="Adjustment 4 4 3" xfId="3047" xr:uid="{00000000-0005-0000-0000-00006F110000}"/>
    <cellStyle name="Adjustment 4 4 3 2" xfId="3048" xr:uid="{00000000-0005-0000-0000-000070110000}"/>
    <cellStyle name="Adjustment 4 4 3 3" xfId="24952" xr:uid="{00000000-0005-0000-0000-000071110000}"/>
    <cellStyle name="Adjustment 4 4 3 4" xfId="24953" xr:uid="{00000000-0005-0000-0000-000072110000}"/>
    <cellStyle name="Adjustment 4 4 4" xfId="3049" xr:uid="{00000000-0005-0000-0000-000073110000}"/>
    <cellStyle name="Adjustment 4 4 4 2" xfId="3050" xr:uid="{00000000-0005-0000-0000-000074110000}"/>
    <cellStyle name="Adjustment 4 4 4 3" xfId="24954" xr:uid="{00000000-0005-0000-0000-000075110000}"/>
    <cellStyle name="Adjustment 4 4 4 4" xfId="24955" xr:uid="{00000000-0005-0000-0000-000076110000}"/>
    <cellStyle name="Adjustment 4 4 5" xfId="3051" xr:uid="{00000000-0005-0000-0000-000077110000}"/>
    <cellStyle name="Adjustment 4 4 5 2" xfId="3052" xr:uid="{00000000-0005-0000-0000-000078110000}"/>
    <cellStyle name="Adjustment 4 4 5 3" xfId="24956" xr:uid="{00000000-0005-0000-0000-000079110000}"/>
    <cellStyle name="Adjustment 4 4 5 4" xfId="24957" xr:uid="{00000000-0005-0000-0000-00007A110000}"/>
    <cellStyle name="Adjustment 4 4 6" xfId="3053" xr:uid="{00000000-0005-0000-0000-00007B110000}"/>
    <cellStyle name="Adjustment 4 4 6 2" xfId="3054" xr:uid="{00000000-0005-0000-0000-00007C110000}"/>
    <cellStyle name="Adjustment 4 4 6 3" xfId="24958" xr:uid="{00000000-0005-0000-0000-00007D110000}"/>
    <cellStyle name="Adjustment 4 4 6 4" xfId="24959" xr:uid="{00000000-0005-0000-0000-00007E110000}"/>
    <cellStyle name="Adjustment 4 4 7" xfId="3055" xr:uid="{00000000-0005-0000-0000-00007F110000}"/>
    <cellStyle name="Adjustment 4 4 7 2" xfId="3056" xr:uid="{00000000-0005-0000-0000-000080110000}"/>
    <cellStyle name="Adjustment 4 4 7 3" xfId="24960" xr:uid="{00000000-0005-0000-0000-000081110000}"/>
    <cellStyle name="Adjustment 4 4 7 4" xfId="24961" xr:uid="{00000000-0005-0000-0000-000082110000}"/>
    <cellStyle name="Adjustment 4 4 8" xfId="3057" xr:uid="{00000000-0005-0000-0000-000083110000}"/>
    <cellStyle name="Adjustment 4 4 9" xfId="24962" xr:uid="{00000000-0005-0000-0000-000084110000}"/>
    <cellStyle name="Adjustment 4 5" xfId="3058" xr:uid="{00000000-0005-0000-0000-000085110000}"/>
    <cellStyle name="Adjustment 4 5 10" xfId="24963" xr:uid="{00000000-0005-0000-0000-000086110000}"/>
    <cellStyle name="Adjustment 4 5 2" xfId="3059" xr:uid="{00000000-0005-0000-0000-000087110000}"/>
    <cellStyle name="Adjustment 4 5 2 2" xfId="3060" xr:uid="{00000000-0005-0000-0000-000088110000}"/>
    <cellStyle name="Adjustment 4 5 2 3" xfId="24964" xr:uid="{00000000-0005-0000-0000-000089110000}"/>
    <cellStyle name="Adjustment 4 5 2 4" xfId="24965" xr:uid="{00000000-0005-0000-0000-00008A110000}"/>
    <cellStyle name="Adjustment 4 5 3" xfId="3061" xr:uid="{00000000-0005-0000-0000-00008B110000}"/>
    <cellStyle name="Adjustment 4 5 3 2" xfId="3062" xr:uid="{00000000-0005-0000-0000-00008C110000}"/>
    <cellStyle name="Adjustment 4 5 3 3" xfId="24966" xr:uid="{00000000-0005-0000-0000-00008D110000}"/>
    <cellStyle name="Adjustment 4 5 3 4" xfId="24967" xr:uid="{00000000-0005-0000-0000-00008E110000}"/>
    <cellStyle name="Adjustment 4 5 4" xfId="3063" xr:uid="{00000000-0005-0000-0000-00008F110000}"/>
    <cellStyle name="Adjustment 4 5 4 2" xfId="3064" xr:uid="{00000000-0005-0000-0000-000090110000}"/>
    <cellStyle name="Adjustment 4 5 4 3" xfId="24968" xr:uid="{00000000-0005-0000-0000-000091110000}"/>
    <cellStyle name="Adjustment 4 5 4 4" xfId="24969" xr:uid="{00000000-0005-0000-0000-000092110000}"/>
    <cellStyle name="Adjustment 4 5 5" xfId="3065" xr:uid="{00000000-0005-0000-0000-000093110000}"/>
    <cellStyle name="Adjustment 4 5 5 2" xfId="3066" xr:uid="{00000000-0005-0000-0000-000094110000}"/>
    <cellStyle name="Adjustment 4 5 5 3" xfId="24970" xr:uid="{00000000-0005-0000-0000-000095110000}"/>
    <cellStyle name="Adjustment 4 5 5 4" xfId="24971" xr:uid="{00000000-0005-0000-0000-000096110000}"/>
    <cellStyle name="Adjustment 4 5 6" xfId="3067" xr:uid="{00000000-0005-0000-0000-000097110000}"/>
    <cellStyle name="Adjustment 4 5 6 2" xfId="3068" xr:uid="{00000000-0005-0000-0000-000098110000}"/>
    <cellStyle name="Adjustment 4 5 6 3" xfId="24972" xr:uid="{00000000-0005-0000-0000-000099110000}"/>
    <cellStyle name="Adjustment 4 5 6 4" xfId="24973" xr:uid="{00000000-0005-0000-0000-00009A110000}"/>
    <cellStyle name="Adjustment 4 5 7" xfId="3069" xr:uid="{00000000-0005-0000-0000-00009B110000}"/>
    <cellStyle name="Adjustment 4 5 7 2" xfId="3070" xr:uid="{00000000-0005-0000-0000-00009C110000}"/>
    <cellStyle name="Adjustment 4 5 7 3" xfId="24974" xr:uid="{00000000-0005-0000-0000-00009D110000}"/>
    <cellStyle name="Adjustment 4 5 7 4" xfId="24975" xr:uid="{00000000-0005-0000-0000-00009E110000}"/>
    <cellStyle name="Adjustment 4 5 8" xfId="3071" xr:uid="{00000000-0005-0000-0000-00009F110000}"/>
    <cellStyle name="Adjustment 4 5 9" xfId="24976" xr:uid="{00000000-0005-0000-0000-0000A0110000}"/>
    <cellStyle name="Adjustment 4 6" xfId="3072" xr:uid="{00000000-0005-0000-0000-0000A1110000}"/>
    <cellStyle name="Adjustment 4 6 2" xfId="3073" xr:uid="{00000000-0005-0000-0000-0000A2110000}"/>
    <cellStyle name="Adjustment 4 6 3" xfId="24977" xr:uid="{00000000-0005-0000-0000-0000A3110000}"/>
    <cellStyle name="Adjustment 4 6 4" xfId="24978" xr:uid="{00000000-0005-0000-0000-0000A4110000}"/>
    <cellStyle name="Adjustment 4 7" xfId="3074" xr:uid="{00000000-0005-0000-0000-0000A5110000}"/>
    <cellStyle name="Adjustment 4 7 2" xfId="3075" xr:uid="{00000000-0005-0000-0000-0000A6110000}"/>
    <cellStyle name="Adjustment 4 7 3" xfId="24979" xr:uid="{00000000-0005-0000-0000-0000A7110000}"/>
    <cellStyle name="Adjustment 4 7 4" xfId="24980" xr:uid="{00000000-0005-0000-0000-0000A8110000}"/>
    <cellStyle name="Adjustment 4 8" xfId="3076" xr:uid="{00000000-0005-0000-0000-0000A9110000}"/>
    <cellStyle name="Adjustment 4 8 2" xfId="3077" xr:uid="{00000000-0005-0000-0000-0000AA110000}"/>
    <cellStyle name="Adjustment 4 8 3" xfId="24981" xr:uid="{00000000-0005-0000-0000-0000AB110000}"/>
    <cellStyle name="Adjustment 4 8 4" xfId="24982" xr:uid="{00000000-0005-0000-0000-0000AC110000}"/>
    <cellStyle name="Adjustment 4 9" xfId="3078" xr:uid="{00000000-0005-0000-0000-0000AD110000}"/>
    <cellStyle name="Adjustment 4 9 2" xfId="3079" xr:uid="{00000000-0005-0000-0000-0000AE110000}"/>
    <cellStyle name="Adjustment 4 9 3" xfId="24983" xr:uid="{00000000-0005-0000-0000-0000AF110000}"/>
    <cellStyle name="Adjustment 4 9 4" xfId="24984" xr:uid="{00000000-0005-0000-0000-0000B0110000}"/>
    <cellStyle name="Adjustment 5" xfId="3080" xr:uid="{00000000-0005-0000-0000-0000B1110000}"/>
    <cellStyle name="Adjustment 5 10" xfId="3081" xr:uid="{00000000-0005-0000-0000-0000B2110000}"/>
    <cellStyle name="Adjustment 5 10 2" xfId="3082" xr:uid="{00000000-0005-0000-0000-0000B3110000}"/>
    <cellStyle name="Adjustment 5 10 3" xfId="24985" xr:uid="{00000000-0005-0000-0000-0000B4110000}"/>
    <cellStyle name="Adjustment 5 10 4" xfId="24986" xr:uid="{00000000-0005-0000-0000-0000B5110000}"/>
    <cellStyle name="Adjustment 5 11" xfId="3083" xr:uid="{00000000-0005-0000-0000-0000B6110000}"/>
    <cellStyle name="Adjustment 5 11 2" xfId="3084" xr:uid="{00000000-0005-0000-0000-0000B7110000}"/>
    <cellStyle name="Adjustment 5 11 3" xfId="24987" xr:uid="{00000000-0005-0000-0000-0000B8110000}"/>
    <cellStyle name="Adjustment 5 11 4" xfId="24988" xr:uid="{00000000-0005-0000-0000-0000B9110000}"/>
    <cellStyle name="Adjustment 5 12" xfId="3085" xr:uid="{00000000-0005-0000-0000-0000BA110000}"/>
    <cellStyle name="Adjustment 5 13" xfId="24989" xr:uid="{00000000-0005-0000-0000-0000BB110000}"/>
    <cellStyle name="Adjustment 5 14" xfId="24990" xr:uid="{00000000-0005-0000-0000-0000BC110000}"/>
    <cellStyle name="Adjustment 5 2" xfId="3086" xr:uid="{00000000-0005-0000-0000-0000BD110000}"/>
    <cellStyle name="Adjustment 5 2 10" xfId="24991" xr:uid="{00000000-0005-0000-0000-0000BE110000}"/>
    <cellStyle name="Adjustment 5 2 2" xfId="3087" xr:uid="{00000000-0005-0000-0000-0000BF110000}"/>
    <cellStyle name="Adjustment 5 2 2 2" xfId="3088" xr:uid="{00000000-0005-0000-0000-0000C0110000}"/>
    <cellStyle name="Adjustment 5 2 2 3" xfId="24992" xr:uid="{00000000-0005-0000-0000-0000C1110000}"/>
    <cellStyle name="Adjustment 5 2 2 4" xfId="24993" xr:uid="{00000000-0005-0000-0000-0000C2110000}"/>
    <cellStyle name="Adjustment 5 2 3" xfId="3089" xr:uid="{00000000-0005-0000-0000-0000C3110000}"/>
    <cellStyle name="Adjustment 5 2 3 2" xfId="3090" xr:uid="{00000000-0005-0000-0000-0000C4110000}"/>
    <cellStyle name="Adjustment 5 2 3 3" xfId="24994" xr:uid="{00000000-0005-0000-0000-0000C5110000}"/>
    <cellStyle name="Adjustment 5 2 3 4" xfId="24995" xr:uid="{00000000-0005-0000-0000-0000C6110000}"/>
    <cellStyle name="Adjustment 5 2 4" xfId="3091" xr:uid="{00000000-0005-0000-0000-0000C7110000}"/>
    <cellStyle name="Adjustment 5 2 4 2" xfId="3092" xr:uid="{00000000-0005-0000-0000-0000C8110000}"/>
    <cellStyle name="Adjustment 5 2 4 3" xfId="24996" xr:uid="{00000000-0005-0000-0000-0000C9110000}"/>
    <cellStyle name="Adjustment 5 2 4 4" xfId="24997" xr:uid="{00000000-0005-0000-0000-0000CA110000}"/>
    <cellStyle name="Adjustment 5 2 5" xfId="3093" xr:uid="{00000000-0005-0000-0000-0000CB110000}"/>
    <cellStyle name="Adjustment 5 2 5 2" xfId="3094" xr:uid="{00000000-0005-0000-0000-0000CC110000}"/>
    <cellStyle name="Adjustment 5 2 5 3" xfId="24998" xr:uid="{00000000-0005-0000-0000-0000CD110000}"/>
    <cellStyle name="Adjustment 5 2 5 4" xfId="24999" xr:uid="{00000000-0005-0000-0000-0000CE110000}"/>
    <cellStyle name="Adjustment 5 2 6" xfId="3095" xr:uid="{00000000-0005-0000-0000-0000CF110000}"/>
    <cellStyle name="Adjustment 5 2 6 2" xfId="3096" xr:uid="{00000000-0005-0000-0000-0000D0110000}"/>
    <cellStyle name="Adjustment 5 2 6 3" xfId="25000" xr:uid="{00000000-0005-0000-0000-0000D1110000}"/>
    <cellStyle name="Adjustment 5 2 6 4" xfId="25001" xr:uid="{00000000-0005-0000-0000-0000D2110000}"/>
    <cellStyle name="Adjustment 5 2 7" xfId="3097" xr:uid="{00000000-0005-0000-0000-0000D3110000}"/>
    <cellStyle name="Adjustment 5 2 7 2" xfId="3098" xr:uid="{00000000-0005-0000-0000-0000D4110000}"/>
    <cellStyle name="Adjustment 5 2 7 3" xfId="25002" xr:uid="{00000000-0005-0000-0000-0000D5110000}"/>
    <cellStyle name="Adjustment 5 2 7 4" xfId="25003" xr:uid="{00000000-0005-0000-0000-0000D6110000}"/>
    <cellStyle name="Adjustment 5 2 8" xfId="3099" xr:uid="{00000000-0005-0000-0000-0000D7110000}"/>
    <cellStyle name="Adjustment 5 2 9" xfId="25004" xr:uid="{00000000-0005-0000-0000-0000D8110000}"/>
    <cellStyle name="Adjustment 5 3" xfId="3100" xr:uid="{00000000-0005-0000-0000-0000D9110000}"/>
    <cellStyle name="Adjustment 5 3 10" xfId="25005" xr:uid="{00000000-0005-0000-0000-0000DA110000}"/>
    <cellStyle name="Adjustment 5 3 2" xfId="3101" xr:uid="{00000000-0005-0000-0000-0000DB110000}"/>
    <cellStyle name="Adjustment 5 3 2 2" xfId="3102" xr:uid="{00000000-0005-0000-0000-0000DC110000}"/>
    <cellStyle name="Adjustment 5 3 2 3" xfId="25006" xr:uid="{00000000-0005-0000-0000-0000DD110000}"/>
    <cellStyle name="Adjustment 5 3 2 4" xfId="25007" xr:uid="{00000000-0005-0000-0000-0000DE110000}"/>
    <cellStyle name="Adjustment 5 3 3" xfId="3103" xr:uid="{00000000-0005-0000-0000-0000DF110000}"/>
    <cellStyle name="Adjustment 5 3 3 2" xfId="3104" xr:uid="{00000000-0005-0000-0000-0000E0110000}"/>
    <cellStyle name="Adjustment 5 3 3 3" xfId="25008" xr:uid="{00000000-0005-0000-0000-0000E1110000}"/>
    <cellStyle name="Adjustment 5 3 3 4" xfId="25009" xr:uid="{00000000-0005-0000-0000-0000E2110000}"/>
    <cellStyle name="Adjustment 5 3 4" xfId="3105" xr:uid="{00000000-0005-0000-0000-0000E3110000}"/>
    <cellStyle name="Adjustment 5 3 4 2" xfId="3106" xr:uid="{00000000-0005-0000-0000-0000E4110000}"/>
    <cellStyle name="Adjustment 5 3 4 3" xfId="25010" xr:uid="{00000000-0005-0000-0000-0000E5110000}"/>
    <cellStyle name="Adjustment 5 3 4 4" xfId="25011" xr:uid="{00000000-0005-0000-0000-0000E6110000}"/>
    <cellStyle name="Adjustment 5 3 5" xfId="3107" xr:uid="{00000000-0005-0000-0000-0000E7110000}"/>
    <cellStyle name="Adjustment 5 3 5 2" xfId="3108" xr:uid="{00000000-0005-0000-0000-0000E8110000}"/>
    <cellStyle name="Adjustment 5 3 5 3" xfId="25012" xr:uid="{00000000-0005-0000-0000-0000E9110000}"/>
    <cellStyle name="Adjustment 5 3 5 4" xfId="25013" xr:uid="{00000000-0005-0000-0000-0000EA110000}"/>
    <cellStyle name="Adjustment 5 3 6" xfId="3109" xr:uid="{00000000-0005-0000-0000-0000EB110000}"/>
    <cellStyle name="Adjustment 5 3 6 2" xfId="3110" xr:uid="{00000000-0005-0000-0000-0000EC110000}"/>
    <cellStyle name="Adjustment 5 3 6 3" xfId="25014" xr:uid="{00000000-0005-0000-0000-0000ED110000}"/>
    <cellStyle name="Adjustment 5 3 6 4" xfId="25015" xr:uid="{00000000-0005-0000-0000-0000EE110000}"/>
    <cellStyle name="Adjustment 5 3 7" xfId="3111" xr:uid="{00000000-0005-0000-0000-0000EF110000}"/>
    <cellStyle name="Adjustment 5 3 7 2" xfId="3112" xr:uid="{00000000-0005-0000-0000-0000F0110000}"/>
    <cellStyle name="Adjustment 5 3 7 3" xfId="25016" xr:uid="{00000000-0005-0000-0000-0000F1110000}"/>
    <cellStyle name="Adjustment 5 3 7 4" xfId="25017" xr:uid="{00000000-0005-0000-0000-0000F2110000}"/>
    <cellStyle name="Adjustment 5 3 8" xfId="3113" xr:uid="{00000000-0005-0000-0000-0000F3110000}"/>
    <cellStyle name="Adjustment 5 3 9" xfId="25018" xr:uid="{00000000-0005-0000-0000-0000F4110000}"/>
    <cellStyle name="Adjustment 5 4" xfId="3114" xr:uid="{00000000-0005-0000-0000-0000F5110000}"/>
    <cellStyle name="Adjustment 5 4 10" xfId="25019" xr:uid="{00000000-0005-0000-0000-0000F6110000}"/>
    <cellStyle name="Adjustment 5 4 2" xfId="3115" xr:uid="{00000000-0005-0000-0000-0000F7110000}"/>
    <cellStyle name="Adjustment 5 4 2 2" xfId="3116" xr:uid="{00000000-0005-0000-0000-0000F8110000}"/>
    <cellStyle name="Adjustment 5 4 2 3" xfId="25020" xr:uid="{00000000-0005-0000-0000-0000F9110000}"/>
    <cellStyle name="Adjustment 5 4 2 4" xfId="25021" xr:uid="{00000000-0005-0000-0000-0000FA110000}"/>
    <cellStyle name="Adjustment 5 4 3" xfId="3117" xr:uid="{00000000-0005-0000-0000-0000FB110000}"/>
    <cellStyle name="Adjustment 5 4 3 2" xfId="3118" xr:uid="{00000000-0005-0000-0000-0000FC110000}"/>
    <cellStyle name="Adjustment 5 4 3 3" xfId="25022" xr:uid="{00000000-0005-0000-0000-0000FD110000}"/>
    <cellStyle name="Adjustment 5 4 3 4" xfId="25023" xr:uid="{00000000-0005-0000-0000-0000FE110000}"/>
    <cellStyle name="Adjustment 5 4 4" xfId="3119" xr:uid="{00000000-0005-0000-0000-0000FF110000}"/>
    <cellStyle name="Adjustment 5 4 4 2" xfId="3120" xr:uid="{00000000-0005-0000-0000-000000120000}"/>
    <cellStyle name="Adjustment 5 4 4 3" xfId="25024" xr:uid="{00000000-0005-0000-0000-000001120000}"/>
    <cellStyle name="Adjustment 5 4 4 4" xfId="25025" xr:uid="{00000000-0005-0000-0000-000002120000}"/>
    <cellStyle name="Adjustment 5 4 5" xfId="3121" xr:uid="{00000000-0005-0000-0000-000003120000}"/>
    <cellStyle name="Adjustment 5 4 5 2" xfId="3122" xr:uid="{00000000-0005-0000-0000-000004120000}"/>
    <cellStyle name="Adjustment 5 4 5 3" xfId="25026" xr:uid="{00000000-0005-0000-0000-000005120000}"/>
    <cellStyle name="Adjustment 5 4 5 4" xfId="25027" xr:uid="{00000000-0005-0000-0000-000006120000}"/>
    <cellStyle name="Adjustment 5 4 6" xfId="3123" xr:uid="{00000000-0005-0000-0000-000007120000}"/>
    <cellStyle name="Adjustment 5 4 6 2" xfId="3124" xr:uid="{00000000-0005-0000-0000-000008120000}"/>
    <cellStyle name="Adjustment 5 4 6 3" xfId="25028" xr:uid="{00000000-0005-0000-0000-000009120000}"/>
    <cellStyle name="Adjustment 5 4 6 4" xfId="25029" xr:uid="{00000000-0005-0000-0000-00000A120000}"/>
    <cellStyle name="Adjustment 5 4 7" xfId="3125" xr:uid="{00000000-0005-0000-0000-00000B120000}"/>
    <cellStyle name="Adjustment 5 4 7 2" xfId="3126" xr:uid="{00000000-0005-0000-0000-00000C120000}"/>
    <cellStyle name="Adjustment 5 4 7 3" xfId="25030" xr:uid="{00000000-0005-0000-0000-00000D120000}"/>
    <cellStyle name="Adjustment 5 4 7 4" xfId="25031" xr:uid="{00000000-0005-0000-0000-00000E120000}"/>
    <cellStyle name="Adjustment 5 4 8" xfId="3127" xr:uid="{00000000-0005-0000-0000-00000F120000}"/>
    <cellStyle name="Adjustment 5 4 9" xfId="25032" xr:uid="{00000000-0005-0000-0000-000010120000}"/>
    <cellStyle name="Adjustment 5 5" xfId="3128" xr:uid="{00000000-0005-0000-0000-000011120000}"/>
    <cellStyle name="Adjustment 5 5 10" xfId="25033" xr:uid="{00000000-0005-0000-0000-000012120000}"/>
    <cellStyle name="Adjustment 5 5 2" xfId="3129" xr:uid="{00000000-0005-0000-0000-000013120000}"/>
    <cellStyle name="Adjustment 5 5 2 2" xfId="3130" xr:uid="{00000000-0005-0000-0000-000014120000}"/>
    <cellStyle name="Adjustment 5 5 2 3" xfId="25034" xr:uid="{00000000-0005-0000-0000-000015120000}"/>
    <cellStyle name="Adjustment 5 5 2 4" xfId="25035" xr:uid="{00000000-0005-0000-0000-000016120000}"/>
    <cellStyle name="Adjustment 5 5 3" xfId="3131" xr:uid="{00000000-0005-0000-0000-000017120000}"/>
    <cellStyle name="Adjustment 5 5 3 2" xfId="3132" xr:uid="{00000000-0005-0000-0000-000018120000}"/>
    <cellStyle name="Adjustment 5 5 3 3" xfId="25036" xr:uid="{00000000-0005-0000-0000-000019120000}"/>
    <cellStyle name="Adjustment 5 5 3 4" xfId="25037" xr:uid="{00000000-0005-0000-0000-00001A120000}"/>
    <cellStyle name="Adjustment 5 5 4" xfId="3133" xr:uid="{00000000-0005-0000-0000-00001B120000}"/>
    <cellStyle name="Adjustment 5 5 4 2" xfId="3134" xr:uid="{00000000-0005-0000-0000-00001C120000}"/>
    <cellStyle name="Adjustment 5 5 4 3" xfId="25038" xr:uid="{00000000-0005-0000-0000-00001D120000}"/>
    <cellStyle name="Adjustment 5 5 4 4" xfId="25039" xr:uid="{00000000-0005-0000-0000-00001E120000}"/>
    <cellStyle name="Adjustment 5 5 5" xfId="3135" xr:uid="{00000000-0005-0000-0000-00001F120000}"/>
    <cellStyle name="Adjustment 5 5 5 2" xfId="3136" xr:uid="{00000000-0005-0000-0000-000020120000}"/>
    <cellStyle name="Adjustment 5 5 5 3" xfId="25040" xr:uid="{00000000-0005-0000-0000-000021120000}"/>
    <cellStyle name="Adjustment 5 5 5 4" xfId="25041" xr:uid="{00000000-0005-0000-0000-000022120000}"/>
    <cellStyle name="Adjustment 5 5 6" xfId="3137" xr:uid="{00000000-0005-0000-0000-000023120000}"/>
    <cellStyle name="Adjustment 5 5 6 2" xfId="3138" xr:uid="{00000000-0005-0000-0000-000024120000}"/>
    <cellStyle name="Adjustment 5 5 6 3" xfId="25042" xr:uid="{00000000-0005-0000-0000-000025120000}"/>
    <cellStyle name="Adjustment 5 5 6 4" xfId="25043" xr:uid="{00000000-0005-0000-0000-000026120000}"/>
    <cellStyle name="Adjustment 5 5 7" xfId="3139" xr:uid="{00000000-0005-0000-0000-000027120000}"/>
    <cellStyle name="Adjustment 5 5 7 2" xfId="3140" xr:uid="{00000000-0005-0000-0000-000028120000}"/>
    <cellStyle name="Adjustment 5 5 7 3" xfId="25044" xr:uid="{00000000-0005-0000-0000-000029120000}"/>
    <cellStyle name="Adjustment 5 5 7 4" xfId="25045" xr:uid="{00000000-0005-0000-0000-00002A120000}"/>
    <cellStyle name="Adjustment 5 5 8" xfId="3141" xr:uid="{00000000-0005-0000-0000-00002B120000}"/>
    <cellStyle name="Adjustment 5 5 9" xfId="25046" xr:uid="{00000000-0005-0000-0000-00002C120000}"/>
    <cellStyle name="Adjustment 5 6" xfId="3142" xr:uid="{00000000-0005-0000-0000-00002D120000}"/>
    <cellStyle name="Adjustment 5 6 2" xfId="3143" xr:uid="{00000000-0005-0000-0000-00002E120000}"/>
    <cellStyle name="Adjustment 5 6 3" xfId="25047" xr:uid="{00000000-0005-0000-0000-00002F120000}"/>
    <cellStyle name="Adjustment 5 6 4" xfId="25048" xr:uid="{00000000-0005-0000-0000-000030120000}"/>
    <cellStyle name="Adjustment 5 7" xfId="3144" xr:uid="{00000000-0005-0000-0000-000031120000}"/>
    <cellStyle name="Adjustment 5 7 2" xfId="3145" xr:uid="{00000000-0005-0000-0000-000032120000}"/>
    <cellStyle name="Adjustment 5 7 3" xfId="25049" xr:uid="{00000000-0005-0000-0000-000033120000}"/>
    <cellStyle name="Adjustment 5 7 4" xfId="25050" xr:uid="{00000000-0005-0000-0000-000034120000}"/>
    <cellStyle name="Adjustment 5 8" xfId="3146" xr:uid="{00000000-0005-0000-0000-000035120000}"/>
    <cellStyle name="Adjustment 5 8 2" xfId="3147" xr:uid="{00000000-0005-0000-0000-000036120000}"/>
    <cellStyle name="Adjustment 5 8 3" xfId="25051" xr:uid="{00000000-0005-0000-0000-000037120000}"/>
    <cellStyle name="Adjustment 5 8 4" xfId="25052" xr:uid="{00000000-0005-0000-0000-000038120000}"/>
    <cellStyle name="Adjustment 5 9" xfId="3148" xr:uid="{00000000-0005-0000-0000-000039120000}"/>
    <cellStyle name="Adjustment 5 9 2" xfId="3149" xr:uid="{00000000-0005-0000-0000-00003A120000}"/>
    <cellStyle name="Adjustment 5 9 3" xfId="25053" xr:uid="{00000000-0005-0000-0000-00003B120000}"/>
    <cellStyle name="Adjustment 5 9 4" xfId="25054" xr:uid="{00000000-0005-0000-0000-00003C120000}"/>
    <cellStyle name="Adjustment 6" xfId="3150" xr:uid="{00000000-0005-0000-0000-00003D120000}"/>
    <cellStyle name="Adjustment 6 10" xfId="3151" xr:uid="{00000000-0005-0000-0000-00003E120000}"/>
    <cellStyle name="Adjustment 6 10 2" xfId="3152" xr:uid="{00000000-0005-0000-0000-00003F120000}"/>
    <cellStyle name="Adjustment 6 10 3" xfId="25055" xr:uid="{00000000-0005-0000-0000-000040120000}"/>
    <cellStyle name="Adjustment 6 10 4" xfId="25056" xr:uid="{00000000-0005-0000-0000-000041120000}"/>
    <cellStyle name="Adjustment 6 11" xfId="3153" xr:uid="{00000000-0005-0000-0000-000042120000}"/>
    <cellStyle name="Adjustment 6 11 2" xfId="3154" xr:uid="{00000000-0005-0000-0000-000043120000}"/>
    <cellStyle name="Adjustment 6 11 3" xfId="25057" xr:uid="{00000000-0005-0000-0000-000044120000}"/>
    <cellStyle name="Adjustment 6 11 4" xfId="25058" xr:uid="{00000000-0005-0000-0000-000045120000}"/>
    <cellStyle name="Adjustment 6 12" xfId="3155" xr:uid="{00000000-0005-0000-0000-000046120000}"/>
    <cellStyle name="Adjustment 6 13" xfId="25059" xr:uid="{00000000-0005-0000-0000-000047120000}"/>
    <cellStyle name="Adjustment 6 14" xfId="25060" xr:uid="{00000000-0005-0000-0000-000048120000}"/>
    <cellStyle name="Adjustment 6 2" xfId="3156" xr:uid="{00000000-0005-0000-0000-000049120000}"/>
    <cellStyle name="Adjustment 6 2 10" xfId="25061" xr:uid="{00000000-0005-0000-0000-00004A120000}"/>
    <cellStyle name="Adjustment 6 2 2" xfId="3157" xr:uid="{00000000-0005-0000-0000-00004B120000}"/>
    <cellStyle name="Adjustment 6 2 2 2" xfId="3158" xr:uid="{00000000-0005-0000-0000-00004C120000}"/>
    <cellStyle name="Adjustment 6 2 2 3" xfId="25062" xr:uid="{00000000-0005-0000-0000-00004D120000}"/>
    <cellStyle name="Adjustment 6 2 2 4" xfId="25063" xr:uid="{00000000-0005-0000-0000-00004E120000}"/>
    <cellStyle name="Adjustment 6 2 3" xfId="3159" xr:uid="{00000000-0005-0000-0000-00004F120000}"/>
    <cellStyle name="Adjustment 6 2 3 2" xfId="3160" xr:uid="{00000000-0005-0000-0000-000050120000}"/>
    <cellStyle name="Adjustment 6 2 3 3" xfId="25064" xr:uid="{00000000-0005-0000-0000-000051120000}"/>
    <cellStyle name="Adjustment 6 2 3 4" xfId="25065" xr:uid="{00000000-0005-0000-0000-000052120000}"/>
    <cellStyle name="Adjustment 6 2 4" xfId="3161" xr:uid="{00000000-0005-0000-0000-000053120000}"/>
    <cellStyle name="Adjustment 6 2 4 2" xfId="3162" xr:uid="{00000000-0005-0000-0000-000054120000}"/>
    <cellStyle name="Adjustment 6 2 4 3" xfId="25066" xr:uid="{00000000-0005-0000-0000-000055120000}"/>
    <cellStyle name="Adjustment 6 2 4 4" xfId="25067" xr:uid="{00000000-0005-0000-0000-000056120000}"/>
    <cellStyle name="Adjustment 6 2 5" xfId="3163" xr:uid="{00000000-0005-0000-0000-000057120000}"/>
    <cellStyle name="Adjustment 6 2 5 2" xfId="3164" xr:uid="{00000000-0005-0000-0000-000058120000}"/>
    <cellStyle name="Adjustment 6 2 5 3" xfId="25068" xr:uid="{00000000-0005-0000-0000-000059120000}"/>
    <cellStyle name="Adjustment 6 2 5 4" xfId="25069" xr:uid="{00000000-0005-0000-0000-00005A120000}"/>
    <cellStyle name="Adjustment 6 2 6" xfId="3165" xr:uid="{00000000-0005-0000-0000-00005B120000}"/>
    <cellStyle name="Adjustment 6 2 6 2" xfId="3166" xr:uid="{00000000-0005-0000-0000-00005C120000}"/>
    <cellStyle name="Adjustment 6 2 6 3" xfId="25070" xr:uid="{00000000-0005-0000-0000-00005D120000}"/>
    <cellStyle name="Adjustment 6 2 6 4" xfId="25071" xr:uid="{00000000-0005-0000-0000-00005E120000}"/>
    <cellStyle name="Adjustment 6 2 7" xfId="3167" xr:uid="{00000000-0005-0000-0000-00005F120000}"/>
    <cellStyle name="Adjustment 6 2 7 2" xfId="3168" xr:uid="{00000000-0005-0000-0000-000060120000}"/>
    <cellStyle name="Adjustment 6 2 7 3" xfId="25072" xr:uid="{00000000-0005-0000-0000-000061120000}"/>
    <cellStyle name="Adjustment 6 2 7 4" xfId="25073" xr:uid="{00000000-0005-0000-0000-000062120000}"/>
    <cellStyle name="Adjustment 6 2 8" xfId="3169" xr:uid="{00000000-0005-0000-0000-000063120000}"/>
    <cellStyle name="Adjustment 6 2 9" xfId="25074" xr:uid="{00000000-0005-0000-0000-000064120000}"/>
    <cellStyle name="Adjustment 6 3" xfId="3170" xr:uid="{00000000-0005-0000-0000-000065120000}"/>
    <cellStyle name="Adjustment 6 3 10" xfId="25075" xr:uid="{00000000-0005-0000-0000-000066120000}"/>
    <cellStyle name="Adjustment 6 3 2" xfId="3171" xr:uid="{00000000-0005-0000-0000-000067120000}"/>
    <cellStyle name="Adjustment 6 3 2 2" xfId="3172" xr:uid="{00000000-0005-0000-0000-000068120000}"/>
    <cellStyle name="Adjustment 6 3 2 3" xfId="25076" xr:uid="{00000000-0005-0000-0000-000069120000}"/>
    <cellStyle name="Adjustment 6 3 2 4" xfId="25077" xr:uid="{00000000-0005-0000-0000-00006A120000}"/>
    <cellStyle name="Adjustment 6 3 3" xfId="3173" xr:uid="{00000000-0005-0000-0000-00006B120000}"/>
    <cellStyle name="Adjustment 6 3 3 2" xfId="3174" xr:uid="{00000000-0005-0000-0000-00006C120000}"/>
    <cellStyle name="Adjustment 6 3 3 3" xfId="25078" xr:uid="{00000000-0005-0000-0000-00006D120000}"/>
    <cellStyle name="Adjustment 6 3 3 4" xfId="25079" xr:uid="{00000000-0005-0000-0000-00006E120000}"/>
    <cellStyle name="Adjustment 6 3 4" xfId="3175" xr:uid="{00000000-0005-0000-0000-00006F120000}"/>
    <cellStyle name="Adjustment 6 3 4 2" xfId="3176" xr:uid="{00000000-0005-0000-0000-000070120000}"/>
    <cellStyle name="Adjustment 6 3 4 3" xfId="25080" xr:uid="{00000000-0005-0000-0000-000071120000}"/>
    <cellStyle name="Adjustment 6 3 4 4" xfId="25081" xr:uid="{00000000-0005-0000-0000-000072120000}"/>
    <cellStyle name="Adjustment 6 3 5" xfId="3177" xr:uid="{00000000-0005-0000-0000-000073120000}"/>
    <cellStyle name="Adjustment 6 3 5 2" xfId="3178" xr:uid="{00000000-0005-0000-0000-000074120000}"/>
    <cellStyle name="Adjustment 6 3 5 3" xfId="25082" xr:uid="{00000000-0005-0000-0000-000075120000}"/>
    <cellStyle name="Adjustment 6 3 5 4" xfId="25083" xr:uid="{00000000-0005-0000-0000-000076120000}"/>
    <cellStyle name="Adjustment 6 3 6" xfId="3179" xr:uid="{00000000-0005-0000-0000-000077120000}"/>
    <cellStyle name="Adjustment 6 3 6 2" xfId="3180" xr:uid="{00000000-0005-0000-0000-000078120000}"/>
    <cellStyle name="Adjustment 6 3 6 3" xfId="25084" xr:uid="{00000000-0005-0000-0000-000079120000}"/>
    <cellStyle name="Adjustment 6 3 6 4" xfId="25085" xr:uid="{00000000-0005-0000-0000-00007A120000}"/>
    <cellStyle name="Adjustment 6 3 7" xfId="3181" xr:uid="{00000000-0005-0000-0000-00007B120000}"/>
    <cellStyle name="Adjustment 6 3 7 2" xfId="3182" xr:uid="{00000000-0005-0000-0000-00007C120000}"/>
    <cellStyle name="Adjustment 6 3 7 3" xfId="25086" xr:uid="{00000000-0005-0000-0000-00007D120000}"/>
    <cellStyle name="Adjustment 6 3 7 4" xfId="25087" xr:uid="{00000000-0005-0000-0000-00007E120000}"/>
    <cellStyle name="Adjustment 6 3 8" xfId="3183" xr:uid="{00000000-0005-0000-0000-00007F120000}"/>
    <cellStyle name="Adjustment 6 3 9" xfId="25088" xr:uid="{00000000-0005-0000-0000-000080120000}"/>
    <cellStyle name="Adjustment 6 4" xfId="3184" xr:uid="{00000000-0005-0000-0000-000081120000}"/>
    <cellStyle name="Adjustment 6 4 10" xfId="25089" xr:uid="{00000000-0005-0000-0000-000082120000}"/>
    <cellStyle name="Adjustment 6 4 2" xfId="3185" xr:uid="{00000000-0005-0000-0000-000083120000}"/>
    <cellStyle name="Adjustment 6 4 2 2" xfId="3186" xr:uid="{00000000-0005-0000-0000-000084120000}"/>
    <cellStyle name="Adjustment 6 4 2 3" xfId="25090" xr:uid="{00000000-0005-0000-0000-000085120000}"/>
    <cellStyle name="Adjustment 6 4 2 4" xfId="25091" xr:uid="{00000000-0005-0000-0000-000086120000}"/>
    <cellStyle name="Adjustment 6 4 3" xfId="3187" xr:uid="{00000000-0005-0000-0000-000087120000}"/>
    <cellStyle name="Adjustment 6 4 3 2" xfId="3188" xr:uid="{00000000-0005-0000-0000-000088120000}"/>
    <cellStyle name="Adjustment 6 4 3 3" xfId="25092" xr:uid="{00000000-0005-0000-0000-000089120000}"/>
    <cellStyle name="Adjustment 6 4 3 4" xfId="25093" xr:uid="{00000000-0005-0000-0000-00008A120000}"/>
    <cellStyle name="Adjustment 6 4 4" xfId="3189" xr:uid="{00000000-0005-0000-0000-00008B120000}"/>
    <cellStyle name="Adjustment 6 4 4 2" xfId="3190" xr:uid="{00000000-0005-0000-0000-00008C120000}"/>
    <cellStyle name="Adjustment 6 4 4 3" xfId="25094" xr:uid="{00000000-0005-0000-0000-00008D120000}"/>
    <cellStyle name="Adjustment 6 4 4 4" xfId="25095" xr:uid="{00000000-0005-0000-0000-00008E120000}"/>
    <cellStyle name="Adjustment 6 4 5" xfId="3191" xr:uid="{00000000-0005-0000-0000-00008F120000}"/>
    <cellStyle name="Adjustment 6 4 5 2" xfId="3192" xr:uid="{00000000-0005-0000-0000-000090120000}"/>
    <cellStyle name="Adjustment 6 4 5 3" xfId="25096" xr:uid="{00000000-0005-0000-0000-000091120000}"/>
    <cellStyle name="Adjustment 6 4 5 4" xfId="25097" xr:uid="{00000000-0005-0000-0000-000092120000}"/>
    <cellStyle name="Adjustment 6 4 6" xfId="3193" xr:uid="{00000000-0005-0000-0000-000093120000}"/>
    <cellStyle name="Adjustment 6 4 6 2" xfId="3194" xr:uid="{00000000-0005-0000-0000-000094120000}"/>
    <cellStyle name="Adjustment 6 4 6 3" xfId="25098" xr:uid="{00000000-0005-0000-0000-000095120000}"/>
    <cellStyle name="Adjustment 6 4 6 4" xfId="25099" xr:uid="{00000000-0005-0000-0000-000096120000}"/>
    <cellStyle name="Adjustment 6 4 7" xfId="3195" xr:uid="{00000000-0005-0000-0000-000097120000}"/>
    <cellStyle name="Adjustment 6 4 7 2" xfId="3196" xr:uid="{00000000-0005-0000-0000-000098120000}"/>
    <cellStyle name="Adjustment 6 4 7 3" xfId="25100" xr:uid="{00000000-0005-0000-0000-000099120000}"/>
    <cellStyle name="Adjustment 6 4 7 4" xfId="25101" xr:uid="{00000000-0005-0000-0000-00009A120000}"/>
    <cellStyle name="Adjustment 6 4 8" xfId="3197" xr:uid="{00000000-0005-0000-0000-00009B120000}"/>
    <cellStyle name="Adjustment 6 4 9" xfId="25102" xr:uid="{00000000-0005-0000-0000-00009C120000}"/>
    <cellStyle name="Adjustment 6 5" xfId="3198" xr:uid="{00000000-0005-0000-0000-00009D120000}"/>
    <cellStyle name="Adjustment 6 5 10" xfId="25103" xr:uid="{00000000-0005-0000-0000-00009E120000}"/>
    <cellStyle name="Adjustment 6 5 2" xfId="3199" xr:uid="{00000000-0005-0000-0000-00009F120000}"/>
    <cellStyle name="Adjustment 6 5 2 2" xfId="3200" xr:uid="{00000000-0005-0000-0000-0000A0120000}"/>
    <cellStyle name="Adjustment 6 5 2 3" xfId="25104" xr:uid="{00000000-0005-0000-0000-0000A1120000}"/>
    <cellStyle name="Adjustment 6 5 2 4" xfId="25105" xr:uid="{00000000-0005-0000-0000-0000A2120000}"/>
    <cellStyle name="Adjustment 6 5 3" xfId="3201" xr:uid="{00000000-0005-0000-0000-0000A3120000}"/>
    <cellStyle name="Adjustment 6 5 3 2" xfId="3202" xr:uid="{00000000-0005-0000-0000-0000A4120000}"/>
    <cellStyle name="Adjustment 6 5 3 3" xfId="25106" xr:uid="{00000000-0005-0000-0000-0000A5120000}"/>
    <cellStyle name="Adjustment 6 5 3 4" xfId="25107" xr:uid="{00000000-0005-0000-0000-0000A6120000}"/>
    <cellStyle name="Adjustment 6 5 4" xfId="3203" xr:uid="{00000000-0005-0000-0000-0000A7120000}"/>
    <cellStyle name="Adjustment 6 5 4 2" xfId="3204" xr:uid="{00000000-0005-0000-0000-0000A8120000}"/>
    <cellStyle name="Adjustment 6 5 4 3" xfId="25108" xr:uid="{00000000-0005-0000-0000-0000A9120000}"/>
    <cellStyle name="Adjustment 6 5 4 4" xfId="25109" xr:uid="{00000000-0005-0000-0000-0000AA120000}"/>
    <cellStyle name="Adjustment 6 5 5" xfId="3205" xr:uid="{00000000-0005-0000-0000-0000AB120000}"/>
    <cellStyle name="Adjustment 6 5 5 2" xfId="3206" xr:uid="{00000000-0005-0000-0000-0000AC120000}"/>
    <cellStyle name="Adjustment 6 5 5 3" xfId="25110" xr:uid="{00000000-0005-0000-0000-0000AD120000}"/>
    <cellStyle name="Adjustment 6 5 5 4" xfId="25111" xr:uid="{00000000-0005-0000-0000-0000AE120000}"/>
    <cellStyle name="Adjustment 6 5 6" xfId="3207" xr:uid="{00000000-0005-0000-0000-0000AF120000}"/>
    <cellStyle name="Adjustment 6 5 6 2" xfId="3208" xr:uid="{00000000-0005-0000-0000-0000B0120000}"/>
    <cellStyle name="Adjustment 6 5 6 3" xfId="25112" xr:uid="{00000000-0005-0000-0000-0000B1120000}"/>
    <cellStyle name="Adjustment 6 5 6 4" xfId="25113" xr:uid="{00000000-0005-0000-0000-0000B2120000}"/>
    <cellStyle name="Adjustment 6 5 7" xfId="3209" xr:uid="{00000000-0005-0000-0000-0000B3120000}"/>
    <cellStyle name="Adjustment 6 5 7 2" xfId="3210" xr:uid="{00000000-0005-0000-0000-0000B4120000}"/>
    <cellStyle name="Adjustment 6 5 7 3" xfId="25114" xr:uid="{00000000-0005-0000-0000-0000B5120000}"/>
    <cellStyle name="Adjustment 6 5 7 4" xfId="25115" xr:uid="{00000000-0005-0000-0000-0000B6120000}"/>
    <cellStyle name="Adjustment 6 5 8" xfId="3211" xr:uid="{00000000-0005-0000-0000-0000B7120000}"/>
    <cellStyle name="Adjustment 6 5 9" xfId="25116" xr:uid="{00000000-0005-0000-0000-0000B8120000}"/>
    <cellStyle name="Adjustment 6 6" xfId="3212" xr:uid="{00000000-0005-0000-0000-0000B9120000}"/>
    <cellStyle name="Adjustment 6 6 2" xfId="3213" xr:uid="{00000000-0005-0000-0000-0000BA120000}"/>
    <cellStyle name="Adjustment 6 6 3" xfId="25117" xr:uid="{00000000-0005-0000-0000-0000BB120000}"/>
    <cellStyle name="Adjustment 6 6 4" xfId="25118" xr:uid="{00000000-0005-0000-0000-0000BC120000}"/>
    <cellStyle name="Adjustment 6 7" xfId="3214" xr:uid="{00000000-0005-0000-0000-0000BD120000}"/>
    <cellStyle name="Adjustment 6 7 2" xfId="3215" xr:uid="{00000000-0005-0000-0000-0000BE120000}"/>
    <cellStyle name="Adjustment 6 7 3" xfId="25119" xr:uid="{00000000-0005-0000-0000-0000BF120000}"/>
    <cellStyle name="Adjustment 6 7 4" xfId="25120" xr:uid="{00000000-0005-0000-0000-0000C0120000}"/>
    <cellStyle name="Adjustment 6 8" xfId="3216" xr:uid="{00000000-0005-0000-0000-0000C1120000}"/>
    <cellStyle name="Adjustment 6 8 2" xfId="3217" xr:uid="{00000000-0005-0000-0000-0000C2120000}"/>
    <cellStyle name="Adjustment 6 8 3" xfId="25121" xr:uid="{00000000-0005-0000-0000-0000C3120000}"/>
    <cellStyle name="Adjustment 6 8 4" xfId="25122" xr:uid="{00000000-0005-0000-0000-0000C4120000}"/>
    <cellStyle name="Adjustment 6 9" xfId="3218" xr:uid="{00000000-0005-0000-0000-0000C5120000}"/>
    <cellStyle name="Adjustment 6 9 2" xfId="3219" xr:uid="{00000000-0005-0000-0000-0000C6120000}"/>
    <cellStyle name="Adjustment 6 9 3" xfId="25123" xr:uid="{00000000-0005-0000-0000-0000C7120000}"/>
    <cellStyle name="Adjustment 6 9 4" xfId="25124" xr:uid="{00000000-0005-0000-0000-0000C8120000}"/>
    <cellStyle name="Adjustment 7" xfId="3220" xr:uid="{00000000-0005-0000-0000-0000C9120000}"/>
    <cellStyle name="Adjustment 7 10" xfId="3221" xr:uid="{00000000-0005-0000-0000-0000CA120000}"/>
    <cellStyle name="Adjustment 7 10 2" xfId="3222" xr:uid="{00000000-0005-0000-0000-0000CB120000}"/>
    <cellStyle name="Adjustment 7 10 3" xfId="25125" xr:uid="{00000000-0005-0000-0000-0000CC120000}"/>
    <cellStyle name="Adjustment 7 10 4" xfId="25126" xr:uid="{00000000-0005-0000-0000-0000CD120000}"/>
    <cellStyle name="Adjustment 7 11" xfId="3223" xr:uid="{00000000-0005-0000-0000-0000CE120000}"/>
    <cellStyle name="Adjustment 7 11 2" xfId="3224" xr:uid="{00000000-0005-0000-0000-0000CF120000}"/>
    <cellStyle name="Adjustment 7 11 3" xfId="25127" xr:uid="{00000000-0005-0000-0000-0000D0120000}"/>
    <cellStyle name="Adjustment 7 11 4" xfId="25128" xr:uid="{00000000-0005-0000-0000-0000D1120000}"/>
    <cellStyle name="Adjustment 7 12" xfId="3225" xr:uid="{00000000-0005-0000-0000-0000D2120000}"/>
    <cellStyle name="Adjustment 7 13" xfId="25129" xr:uid="{00000000-0005-0000-0000-0000D3120000}"/>
    <cellStyle name="Adjustment 7 14" xfId="25130" xr:uid="{00000000-0005-0000-0000-0000D4120000}"/>
    <cellStyle name="Adjustment 7 2" xfId="3226" xr:uid="{00000000-0005-0000-0000-0000D5120000}"/>
    <cellStyle name="Adjustment 7 2 10" xfId="25131" xr:uid="{00000000-0005-0000-0000-0000D6120000}"/>
    <cellStyle name="Adjustment 7 2 2" xfId="3227" xr:uid="{00000000-0005-0000-0000-0000D7120000}"/>
    <cellStyle name="Adjustment 7 2 2 2" xfId="3228" xr:uid="{00000000-0005-0000-0000-0000D8120000}"/>
    <cellStyle name="Adjustment 7 2 2 3" xfId="25132" xr:uid="{00000000-0005-0000-0000-0000D9120000}"/>
    <cellStyle name="Adjustment 7 2 2 4" xfId="25133" xr:uid="{00000000-0005-0000-0000-0000DA120000}"/>
    <cellStyle name="Adjustment 7 2 3" xfId="3229" xr:uid="{00000000-0005-0000-0000-0000DB120000}"/>
    <cellStyle name="Adjustment 7 2 3 2" xfId="3230" xr:uid="{00000000-0005-0000-0000-0000DC120000}"/>
    <cellStyle name="Adjustment 7 2 3 3" xfId="25134" xr:uid="{00000000-0005-0000-0000-0000DD120000}"/>
    <cellStyle name="Adjustment 7 2 3 4" xfId="25135" xr:uid="{00000000-0005-0000-0000-0000DE120000}"/>
    <cellStyle name="Adjustment 7 2 4" xfId="3231" xr:uid="{00000000-0005-0000-0000-0000DF120000}"/>
    <cellStyle name="Adjustment 7 2 4 2" xfId="3232" xr:uid="{00000000-0005-0000-0000-0000E0120000}"/>
    <cellStyle name="Adjustment 7 2 4 3" xfId="25136" xr:uid="{00000000-0005-0000-0000-0000E1120000}"/>
    <cellStyle name="Adjustment 7 2 4 4" xfId="25137" xr:uid="{00000000-0005-0000-0000-0000E2120000}"/>
    <cellStyle name="Adjustment 7 2 5" xfId="3233" xr:uid="{00000000-0005-0000-0000-0000E3120000}"/>
    <cellStyle name="Adjustment 7 2 5 2" xfId="3234" xr:uid="{00000000-0005-0000-0000-0000E4120000}"/>
    <cellStyle name="Adjustment 7 2 5 3" xfId="25138" xr:uid="{00000000-0005-0000-0000-0000E5120000}"/>
    <cellStyle name="Adjustment 7 2 5 4" xfId="25139" xr:uid="{00000000-0005-0000-0000-0000E6120000}"/>
    <cellStyle name="Adjustment 7 2 6" xfId="3235" xr:uid="{00000000-0005-0000-0000-0000E7120000}"/>
    <cellStyle name="Adjustment 7 2 6 2" xfId="3236" xr:uid="{00000000-0005-0000-0000-0000E8120000}"/>
    <cellStyle name="Adjustment 7 2 6 3" xfId="25140" xr:uid="{00000000-0005-0000-0000-0000E9120000}"/>
    <cellStyle name="Adjustment 7 2 6 4" xfId="25141" xr:uid="{00000000-0005-0000-0000-0000EA120000}"/>
    <cellStyle name="Adjustment 7 2 7" xfId="3237" xr:uid="{00000000-0005-0000-0000-0000EB120000}"/>
    <cellStyle name="Adjustment 7 2 7 2" xfId="3238" xr:uid="{00000000-0005-0000-0000-0000EC120000}"/>
    <cellStyle name="Adjustment 7 2 7 3" xfId="25142" xr:uid="{00000000-0005-0000-0000-0000ED120000}"/>
    <cellStyle name="Adjustment 7 2 7 4" xfId="25143" xr:uid="{00000000-0005-0000-0000-0000EE120000}"/>
    <cellStyle name="Adjustment 7 2 8" xfId="3239" xr:uid="{00000000-0005-0000-0000-0000EF120000}"/>
    <cellStyle name="Adjustment 7 2 9" xfId="25144" xr:uid="{00000000-0005-0000-0000-0000F0120000}"/>
    <cellStyle name="Adjustment 7 3" xfId="3240" xr:uid="{00000000-0005-0000-0000-0000F1120000}"/>
    <cellStyle name="Adjustment 7 3 10" xfId="25145" xr:uid="{00000000-0005-0000-0000-0000F2120000}"/>
    <cellStyle name="Adjustment 7 3 2" xfId="3241" xr:uid="{00000000-0005-0000-0000-0000F3120000}"/>
    <cellStyle name="Adjustment 7 3 2 2" xfId="3242" xr:uid="{00000000-0005-0000-0000-0000F4120000}"/>
    <cellStyle name="Adjustment 7 3 2 3" xfId="25146" xr:uid="{00000000-0005-0000-0000-0000F5120000}"/>
    <cellStyle name="Adjustment 7 3 2 4" xfId="25147" xr:uid="{00000000-0005-0000-0000-0000F6120000}"/>
    <cellStyle name="Adjustment 7 3 3" xfId="3243" xr:uid="{00000000-0005-0000-0000-0000F7120000}"/>
    <cellStyle name="Adjustment 7 3 3 2" xfId="3244" xr:uid="{00000000-0005-0000-0000-0000F8120000}"/>
    <cellStyle name="Adjustment 7 3 3 3" xfId="25148" xr:uid="{00000000-0005-0000-0000-0000F9120000}"/>
    <cellStyle name="Adjustment 7 3 3 4" xfId="25149" xr:uid="{00000000-0005-0000-0000-0000FA120000}"/>
    <cellStyle name="Adjustment 7 3 4" xfId="3245" xr:uid="{00000000-0005-0000-0000-0000FB120000}"/>
    <cellStyle name="Adjustment 7 3 4 2" xfId="3246" xr:uid="{00000000-0005-0000-0000-0000FC120000}"/>
    <cellStyle name="Adjustment 7 3 4 3" xfId="25150" xr:uid="{00000000-0005-0000-0000-0000FD120000}"/>
    <cellStyle name="Adjustment 7 3 4 4" xfId="25151" xr:uid="{00000000-0005-0000-0000-0000FE120000}"/>
    <cellStyle name="Adjustment 7 3 5" xfId="3247" xr:uid="{00000000-0005-0000-0000-0000FF120000}"/>
    <cellStyle name="Adjustment 7 3 5 2" xfId="3248" xr:uid="{00000000-0005-0000-0000-000000130000}"/>
    <cellStyle name="Adjustment 7 3 5 3" xfId="25152" xr:uid="{00000000-0005-0000-0000-000001130000}"/>
    <cellStyle name="Adjustment 7 3 5 4" xfId="25153" xr:uid="{00000000-0005-0000-0000-000002130000}"/>
    <cellStyle name="Adjustment 7 3 6" xfId="3249" xr:uid="{00000000-0005-0000-0000-000003130000}"/>
    <cellStyle name="Adjustment 7 3 6 2" xfId="3250" xr:uid="{00000000-0005-0000-0000-000004130000}"/>
    <cellStyle name="Adjustment 7 3 6 3" xfId="25154" xr:uid="{00000000-0005-0000-0000-000005130000}"/>
    <cellStyle name="Adjustment 7 3 6 4" xfId="25155" xr:uid="{00000000-0005-0000-0000-000006130000}"/>
    <cellStyle name="Adjustment 7 3 7" xfId="3251" xr:uid="{00000000-0005-0000-0000-000007130000}"/>
    <cellStyle name="Adjustment 7 3 7 2" xfId="3252" xr:uid="{00000000-0005-0000-0000-000008130000}"/>
    <cellStyle name="Adjustment 7 3 7 3" xfId="25156" xr:uid="{00000000-0005-0000-0000-000009130000}"/>
    <cellStyle name="Adjustment 7 3 7 4" xfId="25157" xr:uid="{00000000-0005-0000-0000-00000A130000}"/>
    <cellStyle name="Adjustment 7 3 8" xfId="3253" xr:uid="{00000000-0005-0000-0000-00000B130000}"/>
    <cellStyle name="Adjustment 7 3 9" xfId="25158" xr:uid="{00000000-0005-0000-0000-00000C130000}"/>
    <cellStyle name="Adjustment 7 4" xfId="3254" xr:uid="{00000000-0005-0000-0000-00000D130000}"/>
    <cellStyle name="Adjustment 7 4 10" xfId="25159" xr:uid="{00000000-0005-0000-0000-00000E130000}"/>
    <cellStyle name="Adjustment 7 4 2" xfId="3255" xr:uid="{00000000-0005-0000-0000-00000F130000}"/>
    <cellStyle name="Adjustment 7 4 2 2" xfId="3256" xr:uid="{00000000-0005-0000-0000-000010130000}"/>
    <cellStyle name="Adjustment 7 4 2 3" xfId="25160" xr:uid="{00000000-0005-0000-0000-000011130000}"/>
    <cellStyle name="Adjustment 7 4 2 4" xfId="25161" xr:uid="{00000000-0005-0000-0000-000012130000}"/>
    <cellStyle name="Adjustment 7 4 3" xfId="3257" xr:uid="{00000000-0005-0000-0000-000013130000}"/>
    <cellStyle name="Adjustment 7 4 3 2" xfId="3258" xr:uid="{00000000-0005-0000-0000-000014130000}"/>
    <cellStyle name="Adjustment 7 4 3 3" xfId="25162" xr:uid="{00000000-0005-0000-0000-000015130000}"/>
    <cellStyle name="Adjustment 7 4 3 4" xfId="25163" xr:uid="{00000000-0005-0000-0000-000016130000}"/>
    <cellStyle name="Adjustment 7 4 4" xfId="3259" xr:uid="{00000000-0005-0000-0000-000017130000}"/>
    <cellStyle name="Adjustment 7 4 4 2" xfId="3260" xr:uid="{00000000-0005-0000-0000-000018130000}"/>
    <cellStyle name="Adjustment 7 4 4 3" xfId="25164" xr:uid="{00000000-0005-0000-0000-000019130000}"/>
    <cellStyle name="Adjustment 7 4 4 4" xfId="25165" xr:uid="{00000000-0005-0000-0000-00001A130000}"/>
    <cellStyle name="Adjustment 7 4 5" xfId="3261" xr:uid="{00000000-0005-0000-0000-00001B130000}"/>
    <cellStyle name="Adjustment 7 4 5 2" xfId="3262" xr:uid="{00000000-0005-0000-0000-00001C130000}"/>
    <cellStyle name="Adjustment 7 4 5 3" xfId="25166" xr:uid="{00000000-0005-0000-0000-00001D130000}"/>
    <cellStyle name="Adjustment 7 4 5 4" xfId="25167" xr:uid="{00000000-0005-0000-0000-00001E130000}"/>
    <cellStyle name="Adjustment 7 4 6" xfId="3263" xr:uid="{00000000-0005-0000-0000-00001F130000}"/>
    <cellStyle name="Adjustment 7 4 6 2" xfId="3264" xr:uid="{00000000-0005-0000-0000-000020130000}"/>
    <cellStyle name="Adjustment 7 4 6 3" xfId="25168" xr:uid="{00000000-0005-0000-0000-000021130000}"/>
    <cellStyle name="Adjustment 7 4 6 4" xfId="25169" xr:uid="{00000000-0005-0000-0000-000022130000}"/>
    <cellStyle name="Adjustment 7 4 7" xfId="3265" xr:uid="{00000000-0005-0000-0000-000023130000}"/>
    <cellStyle name="Adjustment 7 4 7 2" xfId="3266" xr:uid="{00000000-0005-0000-0000-000024130000}"/>
    <cellStyle name="Adjustment 7 4 7 3" xfId="25170" xr:uid="{00000000-0005-0000-0000-000025130000}"/>
    <cellStyle name="Adjustment 7 4 7 4" xfId="25171" xr:uid="{00000000-0005-0000-0000-000026130000}"/>
    <cellStyle name="Adjustment 7 4 8" xfId="3267" xr:uid="{00000000-0005-0000-0000-000027130000}"/>
    <cellStyle name="Adjustment 7 4 9" xfId="25172" xr:uid="{00000000-0005-0000-0000-000028130000}"/>
    <cellStyle name="Adjustment 7 5" xfId="3268" xr:uid="{00000000-0005-0000-0000-000029130000}"/>
    <cellStyle name="Adjustment 7 5 10" xfId="25173" xr:uid="{00000000-0005-0000-0000-00002A130000}"/>
    <cellStyle name="Adjustment 7 5 2" xfId="3269" xr:uid="{00000000-0005-0000-0000-00002B130000}"/>
    <cellStyle name="Adjustment 7 5 2 2" xfId="3270" xr:uid="{00000000-0005-0000-0000-00002C130000}"/>
    <cellStyle name="Adjustment 7 5 2 3" xfId="25174" xr:uid="{00000000-0005-0000-0000-00002D130000}"/>
    <cellStyle name="Adjustment 7 5 2 4" xfId="25175" xr:uid="{00000000-0005-0000-0000-00002E130000}"/>
    <cellStyle name="Adjustment 7 5 3" xfId="3271" xr:uid="{00000000-0005-0000-0000-00002F130000}"/>
    <cellStyle name="Adjustment 7 5 3 2" xfId="3272" xr:uid="{00000000-0005-0000-0000-000030130000}"/>
    <cellStyle name="Adjustment 7 5 3 3" xfId="25176" xr:uid="{00000000-0005-0000-0000-000031130000}"/>
    <cellStyle name="Adjustment 7 5 3 4" xfId="25177" xr:uid="{00000000-0005-0000-0000-000032130000}"/>
    <cellStyle name="Adjustment 7 5 4" xfId="3273" xr:uid="{00000000-0005-0000-0000-000033130000}"/>
    <cellStyle name="Adjustment 7 5 4 2" xfId="3274" xr:uid="{00000000-0005-0000-0000-000034130000}"/>
    <cellStyle name="Adjustment 7 5 4 3" xfId="25178" xr:uid="{00000000-0005-0000-0000-000035130000}"/>
    <cellStyle name="Adjustment 7 5 4 4" xfId="25179" xr:uid="{00000000-0005-0000-0000-000036130000}"/>
    <cellStyle name="Adjustment 7 5 5" xfId="3275" xr:uid="{00000000-0005-0000-0000-000037130000}"/>
    <cellStyle name="Adjustment 7 5 5 2" xfId="3276" xr:uid="{00000000-0005-0000-0000-000038130000}"/>
    <cellStyle name="Adjustment 7 5 5 3" xfId="25180" xr:uid="{00000000-0005-0000-0000-000039130000}"/>
    <cellStyle name="Adjustment 7 5 5 4" xfId="25181" xr:uid="{00000000-0005-0000-0000-00003A130000}"/>
    <cellStyle name="Adjustment 7 5 6" xfId="3277" xr:uid="{00000000-0005-0000-0000-00003B130000}"/>
    <cellStyle name="Adjustment 7 5 6 2" xfId="3278" xr:uid="{00000000-0005-0000-0000-00003C130000}"/>
    <cellStyle name="Adjustment 7 5 6 3" xfId="25182" xr:uid="{00000000-0005-0000-0000-00003D130000}"/>
    <cellStyle name="Adjustment 7 5 6 4" xfId="25183" xr:uid="{00000000-0005-0000-0000-00003E130000}"/>
    <cellStyle name="Adjustment 7 5 7" xfId="3279" xr:uid="{00000000-0005-0000-0000-00003F130000}"/>
    <cellStyle name="Adjustment 7 5 7 2" xfId="3280" xr:uid="{00000000-0005-0000-0000-000040130000}"/>
    <cellStyle name="Adjustment 7 5 7 3" xfId="25184" xr:uid="{00000000-0005-0000-0000-000041130000}"/>
    <cellStyle name="Adjustment 7 5 7 4" xfId="25185" xr:uid="{00000000-0005-0000-0000-000042130000}"/>
    <cellStyle name="Adjustment 7 5 8" xfId="3281" xr:uid="{00000000-0005-0000-0000-000043130000}"/>
    <cellStyle name="Adjustment 7 5 9" xfId="25186" xr:uid="{00000000-0005-0000-0000-000044130000}"/>
    <cellStyle name="Adjustment 7 6" xfId="3282" xr:uid="{00000000-0005-0000-0000-000045130000}"/>
    <cellStyle name="Adjustment 7 6 2" xfId="3283" xr:uid="{00000000-0005-0000-0000-000046130000}"/>
    <cellStyle name="Adjustment 7 6 3" xfId="25187" xr:uid="{00000000-0005-0000-0000-000047130000}"/>
    <cellStyle name="Adjustment 7 6 4" xfId="25188" xr:uid="{00000000-0005-0000-0000-000048130000}"/>
    <cellStyle name="Adjustment 7 7" xfId="3284" xr:uid="{00000000-0005-0000-0000-000049130000}"/>
    <cellStyle name="Adjustment 7 7 2" xfId="3285" xr:uid="{00000000-0005-0000-0000-00004A130000}"/>
    <cellStyle name="Adjustment 7 7 3" xfId="25189" xr:uid="{00000000-0005-0000-0000-00004B130000}"/>
    <cellStyle name="Adjustment 7 7 4" xfId="25190" xr:uid="{00000000-0005-0000-0000-00004C130000}"/>
    <cellStyle name="Adjustment 7 8" xfId="3286" xr:uid="{00000000-0005-0000-0000-00004D130000}"/>
    <cellStyle name="Adjustment 7 8 2" xfId="3287" xr:uid="{00000000-0005-0000-0000-00004E130000}"/>
    <cellStyle name="Adjustment 7 8 3" xfId="25191" xr:uid="{00000000-0005-0000-0000-00004F130000}"/>
    <cellStyle name="Adjustment 7 8 4" xfId="25192" xr:uid="{00000000-0005-0000-0000-000050130000}"/>
    <cellStyle name="Adjustment 7 9" xfId="3288" xr:uid="{00000000-0005-0000-0000-000051130000}"/>
    <cellStyle name="Adjustment 7 9 2" xfId="3289" xr:uid="{00000000-0005-0000-0000-000052130000}"/>
    <cellStyle name="Adjustment 7 9 3" xfId="25193" xr:uid="{00000000-0005-0000-0000-000053130000}"/>
    <cellStyle name="Adjustment 7 9 4" xfId="25194" xr:uid="{00000000-0005-0000-0000-000054130000}"/>
    <cellStyle name="Adjustment 8" xfId="3290" xr:uid="{00000000-0005-0000-0000-000055130000}"/>
    <cellStyle name="Adjustment 8 10" xfId="3291" xr:uid="{00000000-0005-0000-0000-000056130000}"/>
    <cellStyle name="Adjustment 8 10 2" xfId="3292" xr:uid="{00000000-0005-0000-0000-000057130000}"/>
    <cellStyle name="Adjustment 8 10 3" xfId="25195" xr:uid="{00000000-0005-0000-0000-000058130000}"/>
    <cellStyle name="Adjustment 8 10 4" xfId="25196" xr:uid="{00000000-0005-0000-0000-000059130000}"/>
    <cellStyle name="Adjustment 8 11" xfId="3293" xr:uid="{00000000-0005-0000-0000-00005A130000}"/>
    <cellStyle name="Adjustment 8 11 2" xfId="3294" xr:uid="{00000000-0005-0000-0000-00005B130000}"/>
    <cellStyle name="Adjustment 8 11 3" xfId="25197" xr:uid="{00000000-0005-0000-0000-00005C130000}"/>
    <cellStyle name="Adjustment 8 11 4" xfId="25198" xr:uid="{00000000-0005-0000-0000-00005D130000}"/>
    <cellStyle name="Adjustment 8 12" xfId="3295" xr:uid="{00000000-0005-0000-0000-00005E130000}"/>
    <cellStyle name="Adjustment 8 13" xfId="25199" xr:uid="{00000000-0005-0000-0000-00005F130000}"/>
    <cellStyle name="Adjustment 8 14" xfId="25200" xr:uid="{00000000-0005-0000-0000-000060130000}"/>
    <cellStyle name="Adjustment 8 2" xfId="3296" xr:uid="{00000000-0005-0000-0000-000061130000}"/>
    <cellStyle name="Adjustment 8 2 10" xfId="25201" xr:uid="{00000000-0005-0000-0000-000062130000}"/>
    <cellStyle name="Adjustment 8 2 2" xfId="3297" xr:uid="{00000000-0005-0000-0000-000063130000}"/>
    <cellStyle name="Adjustment 8 2 2 2" xfId="3298" xr:uid="{00000000-0005-0000-0000-000064130000}"/>
    <cellStyle name="Adjustment 8 2 2 3" xfId="25202" xr:uid="{00000000-0005-0000-0000-000065130000}"/>
    <cellStyle name="Adjustment 8 2 2 4" xfId="25203" xr:uid="{00000000-0005-0000-0000-000066130000}"/>
    <cellStyle name="Adjustment 8 2 3" xfId="3299" xr:uid="{00000000-0005-0000-0000-000067130000}"/>
    <cellStyle name="Adjustment 8 2 3 2" xfId="3300" xr:uid="{00000000-0005-0000-0000-000068130000}"/>
    <cellStyle name="Adjustment 8 2 3 3" xfId="25204" xr:uid="{00000000-0005-0000-0000-000069130000}"/>
    <cellStyle name="Adjustment 8 2 3 4" xfId="25205" xr:uid="{00000000-0005-0000-0000-00006A130000}"/>
    <cellStyle name="Adjustment 8 2 4" xfId="3301" xr:uid="{00000000-0005-0000-0000-00006B130000}"/>
    <cellStyle name="Adjustment 8 2 4 2" xfId="3302" xr:uid="{00000000-0005-0000-0000-00006C130000}"/>
    <cellStyle name="Adjustment 8 2 4 3" xfId="25206" xr:uid="{00000000-0005-0000-0000-00006D130000}"/>
    <cellStyle name="Adjustment 8 2 4 4" xfId="25207" xr:uid="{00000000-0005-0000-0000-00006E130000}"/>
    <cellStyle name="Adjustment 8 2 5" xfId="3303" xr:uid="{00000000-0005-0000-0000-00006F130000}"/>
    <cellStyle name="Adjustment 8 2 5 2" xfId="3304" xr:uid="{00000000-0005-0000-0000-000070130000}"/>
    <cellStyle name="Adjustment 8 2 5 3" xfId="25208" xr:uid="{00000000-0005-0000-0000-000071130000}"/>
    <cellStyle name="Adjustment 8 2 5 4" xfId="25209" xr:uid="{00000000-0005-0000-0000-000072130000}"/>
    <cellStyle name="Adjustment 8 2 6" xfId="3305" xr:uid="{00000000-0005-0000-0000-000073130000}"/>
    <cellStyle name="Adjustment 8 2 6 2" xfId="3306" xr:uid="{00000000-0005-0000-0000-000074130000}"/>
    <cellStyle name="Adjustment 8 2 6 3" xfId="25210" xr:uid="{00000000-0005-0000-0000-000075130000}"/>
    <cellStyle name="Adjustment 8 2 6 4" xfId="25211" xr:uid="{00000000-0005-0000-0000-000076130000}"/>
    <cellStyle name="Adjustment 8 2 7" xfId="3307" xr:uid="{00000000-0005-0000-0000-000077130000}"/>
    <cellStyle name="Adjustment 8 2 7 2" xfId="3308" xr:uid="{00000000-0005-0000-0000-000078130000}"/>
    <cellStyle name="Adjustment 8 2 7 3" xfId="25212" xr:uid="{00000000-0005-0000-0000-000079130000}"/>
    <cellStyle name="Adjustment 8 2 7 4" xfId="25213" xr:uid="{00000000-0005-0000-0000-00007A130000}"/>
    <cellStyle name="Adjustment 8 2 8" xfId="3309" xr:uid="{00000000-0005-0000-0000-00007B130000}"/>
    <cellStyle name="Adjustment 8 2 9" xfId="25214" xr:uid="{00000000-0005-0000-0000-00007C130000}"/>
    <cellStyle name="Adjustment 8 3" xfId="3310" xr:uid="{00000000-0005-0000-0000-00007D130000}"/>
    <cellStyle name="Adjustment 8 3 10" xfId="25215" xr:uid="{00000000-0005-0000-0000-00007E130000}"/>
    <cellStyle name="Adjustment 8 3 2" xfId="3311" xr:uid="{00000000-0005-0000-0000-00007F130000}"/>
    <cellStyle name="Adjustment 8 3 2 2" xfId="3312" xr:uid="{00000000-0005-0000-0000-000080130000}"/>
    <cellStyle name="Adjustment 8 3 2 3" xfId="25216" xr:uid="{00000000-0005-0000-0000-000081130000}"/>
    <cellStyle name="Adjustment 8 3 2 4" xfId="25217" xr:uid="{00000000-0005-0000-0000-000082130000}"/>
    <cellStyle name="Adjustment 8 3 3" xfId="3313" xr:uid="{00000000-0005-0000-0000-000083130000}"/>
    <cellStyle name="Adjustment 8 3 3 2" xfId="3314" xr:uid="{00000000-0005-0000-0000-000084130000}"/>
    <cellStyle name="Adjustment 8 3 3 3" xfId="25218" xr:uid="{00000000-0005-0000-0000-000085130000}"/>
    <cellStyle name="Adjustment 8 3 3 4" xfId="25219" xr:uid="{00000000-0005-0000-0000-000086130000}"/>
    <cellStyle name="Adjustment 8 3 4" xfId="3315" xr:uid="{00000000-0005-0000-0000-000087130000}"/>
    <cellStyle name="Adjustment 8 3 4 2" xfId="3316" xr:uid="{00000000-0005-0000-0000-000088130000}"/>
    <cellStyle name="Adjustment 8 3 4 3" xfId="25220" xr:uid="{00000000-0005-0000-0000-000089130000}"/>
    <cellStyle name="Adjustment 8 3 4 4" xfId="25221" xr:uid="{00000000-0005-0000-0000-00008A130000}"/>
    <cellStyle name="Adjustment 8 3 5" xfId="3317" xr:uid="{00000000-0005-0000-0000-00008B130000}"/>
    <cellStyle name="Adjustment 8 3 5 2" xfId="3318" xr:uid="{00000000-0005-0000-0000-00008C130000}"/>
    <cellStyle name="Adjustment 8 3 5 3" xfId="25222" xr:uid="{00000000-0005-0000-0000-00008D130000}"/>
    <cellStyle name="Adjustment 8 3 5 4" xfId="25223" xr:uid="{00000000-0005-0000-0000-00008E130000}"/>
    <cellStyle name="Adjustment 8 3 6" xfId="3319" xr:uid="{00000000-0005-0000-0000-00008F130000}"/>
    <cellStyle name="Adjustment 8 3 6 2" xfId="3320" xr:uid="{00000000-0005-0000-0000-000090130000}"/>
    <cellStyle name="Adjustment 8 3 6 3" xfId="25224" xr:uid="{00000000-0005-0000-0000-000091130000}"/>
    <cellStyle name="Adjustment 8 3 6 4" xfId="25225" xr:uid="{00000000-0005-0000-0000-000092130000}"/>
    <cellStyle name="Adjustment 8 3 7" xfId="3321" xr:uid="{00000000-0005-0000-0000-000093130000}"/>
    <cellStyle name="Adjustment 8 3 7 2" xfId="3322" xr:uid="{00000000-0005-0000-0000-000094130000}"/>
    <cellStyle name="Adjustment 8 3 7 3" xfId="25226" xr:uid="{00000000-0005-0000-0000-000095130000}"/>
    <cellStyle name="Adjustment 8 3 7 4" xfId="25227" xr:uid="{00000000-0005-0000-0000-000096130000}"/>
    <cellStyle name="Adjustment 8 3 8" xfId="3323" xr:uid="{00000000-0005-0000-0000-000097130000}"/>
    <cellStyle name="Adjustment 8 3 9" xfId="25228" xr:uid="{00000000-0005-0000-0000-000098130000}"/>
    <cellStyle name="Adjustment 8 4" xfId="3324" xr:uid="{00000000-0005-0000-0000-000099130000}"/>
    <cellStyle name="Adjustment 8 4 10" xfId="25229" xr:uid="{00000000-0005-0000-0000-00009A130000}"/>
    <cellStyle name="Adjustment 8 4 2" xfId="3325" xr:uid="{00000000-0005-0000-0000-00009B130000}"/>
    <cellStyle name="Adjustment 8 4 2 2" xfId="3326" xr:uid="{00000000-0005-0000-0000-00009C130000}"/>
    <cellStyle name="Adjustment 8 4 2 3" xfId="25230" xr:uid="{00000000-0005-0000-0000-00009D130000}"/>
    <cellStyle name="Adjustment 8 4 2 4" xfId="25231" xr:uid="{00000000-0005-0000-0000-00009E130000}"/>
    <cellStyle name="Adjustment 8 4 3" xfId="3327" xr:uid="{00000000-0005-0000-0000-00009F130000}"/>
    <cellStyle name="Adjustment 8 4 3 2" xfId="3328" xr:uid="{00000000-0005-0000-0000-0000A0130000}"/>
    <cellStyle name="Adjustment 8 4 3 3" xfId="25232" xr:uid="{00000000-0005-0000-0000-0000A1130000}"/>
    <cellStyle name="Adjustment 8 4 3 4" xfId="25233" xr:uid="{00000000-0005-0000-0000-0000A2130000}"/>
    <cellStyle name="Adjustment 8 4 4" xfId="3329" xr:uid="{00000000-0005-0000-0000-0000A3130000}"/>
    <cellStyle name="Adjustment 8 4 4 2" xfId="3330" xr:uid="{00000000-0005-0000-0000-0000A4130000}"/>
    <cellStyle name="Adjustment 8 4 4 3" xfId="25234" xr:uid="{00000000-0005-0000-0000-0000A5130000}"/>
    <cellStyle name="Adjustment 8 4 4 4" xfId="25235" xr:uid="{00000000-0005-0000-0000-0000A6130000}"/>
    <cellStyle name="Adjustment 8 4 5" xfId="3331" xr:uid="{00000000-0005-0000-0000-0000A7130000}"/>
    <cellStyle name="Adjustment 8 4 5 2" xfId="3332" xr:uid="{00000000-0005-0000-0000-0000A8130000}"/>
    <cellStyle name="Adjustment 8 4 5 3" xfId="25236" xr:uid="{00000000-0005-0000-0000-0000A9130000}"/>
    <cellStyle name="Adjustment 8 4 5 4" xfId="25237" xr:uid="{00000000-0005-0000-0000-0000AA130000}"/>
    <cellStyle name="Adjustment 8 4 6" xfId="3333" xr:uid="{00000000-0005-0000-0000-0000AB130000}"/>
    <cellStyle name="Adjustment 8 4 6 2" xfId="3334" xr:uid="{00000000-0005-0000-0000-0000AC130000}"/>
    <cellStyle name="Adjustment 8 4 6 3" xfId="25238" xr:uid="{00000000-0005-0000-0000-0000AD130000}"/>
    <cellStyle name="Adjustment 8 4 6 4" xfId="25239" xr:uid="{00000000-0005-0000-0000-0000AE130000}"/>
    <cellStyle name="Adjustment 8 4 7" xfId="3335" xr:uid="{00000000-0005-0000-0000-0000AF130000}"/>
    <cellStyle name="Adjustment 8 4 7 2" xfId="3336" xr:uid="{00000000-0005-0000-0000-0000B0130000}"/>
    <cellStyle name="Adjustment 8 4 7 3" xfId="25240" xr:uid="{00000000-0005-0000-0000-0000B1130000}"/>
    <cellStyle name="Adjustment 8 4 7 4" xfId="25241" xr:uid="{00000000-0005-0000-0000-0000B2130000}"/>
    <cellStyle name="Adjustment 8 4 8" xfId="3337" xr:uid="{00000000-0005-0000-0000-0000B3130000}"/>
    <cellStyle name="Adjustment 8 4 9" xfId="25242" xr:uid="{00000000-0005-0000-0000-0000B4130000}"/>
    <cellStyle name="Adjustment 8 5" xfId="3338" xr:uid="{00000000-0005-0000-0000-0000B5130000}"/>
    <cellStyle name="Adjustment 8 5 10" xfId="25243" xr:uid="{00000000-0005-0000-0000-0000B6130000}"/>
    <cellStyle name="Adjustment 8 5 2" xfId="3339" xr:uid="{00000000-0005-0000-0000-0000B7130000}"/>
    <cellStyle name="Adjustment 8 5 2 2" xfId="3340" xr:uid="{00000000-0005-0000-0000-0000B8130000}"/>
    <cellStyle name="Adjustment 8 5 2 3" xfId="25244" xr:uid="{00000000-0005-0000-0000-0000B9130000}"/>
    <cellStyle name="Adjustment 8 5 2 4" xfId="25245" xr:uid="{00000000-0005-0000-0000-0000BA130000}"/>
    <cellStyle name="Adjustment 8 5 3" xfId="3341" xr:uid="{00000000-0005-0000-0000-0000BB130000}"/>
    <cellStyle name="Adjustment 8 5 3 2" xfId="3342" xr:uid="{00000000-0005-0000-0000-0000BC130000}"/>
    <cellStyle name="Adjustment 8 5 3 3" xfId="25246" xr:uid="{00000000-0005-0000-0000-0000BD130000}"/>
    <cellStyle name="Adjustment 8 5 3 4" xfId="25247" xr:uid="{00000000-0005-0000-0000-0000BE130000}"/>
    <cellStyle name="Adjustment 8 5 4" xfId="3343" xr:uid="{00000000-0005-0000-0000-0000BF130000}"/>
    <cellStyle name="Adjustment 8 5 4 2" xfId="3344" xr:uid="{00000000-0005-0000-0000-0000C0130000}"/>
    <cellStyle name="Adjustment 8 5 4 3" xfId="25248" xr:uid="{00000000-0005-0000-0000-0000C1130000}"/>
    <cellStyle name="Adjustment 8 5 4 4" xfId="25249" xr:uid="{00000000-0005-0000-0000-0000C2130000}"/>
    <cellStyle name="Adjustment 8 5 5" xfId="3345" xr:uid="{00000000-0005-0000-0000-0000C3130000}"/>
    <cellStyle name="Adjustment 8 5 5 2" xfId="3346" xr:uid="{00000000-0005-0000-0000-0000C4130000}"/>
    <cellStyle name="Adjustment 8 5 5 3" xfId="25250" xr:uid="{00000000-0005-0000-0000-0000C5130000}"/>
    <cellStyle name="Adjustment 8 5 5 4" xfId="25251" xr:uid="{00000000-0005-0000-0000-0000C6130000}"/>
    <cellStyle name="Adjustment 8 5 6" xfId="3347" xr:uid="{00000000-0005-0000-0000-0000C7130000}"/>
    <cellStyle name="Adjustment 8 5 6 2" xfId="3348" xr:uid="{00000000-0005-0000-0000-0000C8130000}"/>
    <cellStyle name="Adjustment 8 5 6 3" xfId="25252" xr:uid="{00000000-0005-0000-0000-0000C9130000}"/>
    <cellStyle name="Adjustment 8 5 6 4" xfId="25253" xr:uid="{00000000-0005-0000-0000-0000CA130000}"/>
    <cellStyle name="Adjustment 8 5 7" xfId="3349" xr:uid="{00000000-0005-0000-0000-0000CB130000}"/>
    <cellStyle name="Adjustment 8 5 7 2" xfId="3350" xr:uid="{00000000-0005-0000-0000-0000CC130000}"/>
    <cellStyle name="Adjustment 8 5 7 3" xfId="25254" xr:uid="{00000000-0005-0000-0000-0000CD130000}"/>
    <cellStyle name="Adjustment 8 5 7 4" xfId="25255" xr:uid="{00000000-0005-0000-0000-0000CE130000}"/>
    <cellStyle name="Adjustment 8 5 8" xfId="3351" xr:uid="{00000000-0005-0000-0000-0000CF130000}"/>
    <cellStyle name="Adjustment 8 5 9" xfId="25256" xr:uid="{00000000-0005-0000-0000-0000D0130000}"/>
    <cellStyle name="Adjustment 8 6" xfId="3352" xr:uid="{00000000-0005-0000-0000-0000D1130000}"/>
    <cellStyle name="Adjustment 8 6 2" xfId="3353" xr:uid="{00000000-0005-0000-0000-0000D2130000}"/>
    <cellStyle name="Adjustment 8 6 3" xfId="25257" xr:uid="{00000000-0005-0000-0000-0000D3130000}"/>
    <cellStyle name="Adjustment 8 6 4" xfId="25258" xr:uid="{00000000-0005-0000-0000-0000D4130000}"/>
    <cellStyle name="Adjustment 8 7" xfId="3354" xr:uid="{00000000-0005-0000-0000-0000D5130000}"/>
    <cellStyle name="Adjustment 8 7 2" xfId="3355" xr:uid="{00000000-0005-0000-0000-0000D6130000}"/>
    <cellStyle name="Adjustment 8 7 3" xfId="25259" xr:uid="{00000000-0005-0000-0000-0000D7130000}"/>
    <cellStyle name="Adjustment 8 7 4" xfId="25260" xr:uid="{00000000-0005-0000-0000-0000D8130000}"/>
    <cellStyle name="Adjustment 8 8" xfId="3356" xr:uid="{00000000-0005-0000-0000-0000D9130000}"/>
    <cellStyle name="Adjustment 8 8 2" xfId="3357" xr:uid="{00000000-0005-0000-0000-0000DA130000}"/>
    <cellStyle name="Adjustment 8 8 3" xfId="25261" xr:uid="{00000000-0005-0000-0000-0000DB130000}"/>
    <cellStyle name="Adjustment 8 8 4" xfId="25262" xr:uid="{00000000-0005-0000-0000-0000DC130000}"/>
    <cellStyle name="Adjustment 8 9" xfId="3358" xr:uid="{00000000-0005-0000-0000-0000DD130000}"/>
    <cellStyle name="Adjustment 8 9 2" xfId="3359" xr:uid="{00000000-0005-0000-0000-0000DE130000}"/>
    <cellStyle name="Adjustment 8 9 3" xfId="25263" xr:uid="{00000000-0005-0000-0000-0000DF130000}"/>
    <cellStyle name="Adjustment 8 9 4" xfId="25264" xr:uid="{00000000-0005-0000-0000-0000E0130000}"/>
    <cellStyle name="Adjustment 9" xfId="3360" xr:uid="{00000000-0005-0000-0000-0000E1130000}"/>
    <cellStyle name="Adjustment 9 10" xfId="3361" xr:uid="{00000000-0005-0000-0000-0000E2130000}"/>
    <cellStyle name="Adjustment 9 10 2" xfId="3362" xr:uid="{00000000-0005-0000-0000-0000E3130000}"/>
    <cellStyle name="Adjustment 9 10 3" xfId="25265" xr:uid="{00000000-0005-0000-0000-0000E4130000}"/>
    <cellStyle name="Adjustment 9 10 4" xfId="25266" xr:uid="{00000000-0005-0000-0000-0000E5130000}"/>
    <cellStyle name="Adjustment 9 11" xfId="3363" xr:uid="{00000000-0005-0000-0000-0000E6130000}"/>
    <cellStyle name="Adjustment 9 11 2" xfId="3364" xr:uid="{00000000-0005-0000-0000-0000E7130000}"/>
    <cellStyle name="Adjustment 9 11 3" xfId="25267" xr:uid="{00000000-0005-0000-0000-0000E8130000}"/>
    <cellStyle name="Adjustment 9 11 4" xfId="25268" xr:uid="{00000000-0005-0000-0000-0000E9130000}"/>
    <cellStyle name="Adjustment 9 12" xfId="3365" xr:uid="{00000000-0005-0000-0000-0000EA130000}"/>
    <cellStyle name="Adjustment 9 13" xfId="25269" xr:uid="{00000000-0005-0000-0000-0000EB130000}"/>
    <cellStyle name="Adjustment 9 14" xfId="25270" xr:uid="{00000000-0005-0000-0000-0000EC130000}"/>
    <cellStyle name="Adjustment 9 2" xfId="3366" xr:uid="{00000000-0005-0000-0000-0000ED130000}"/>
    <cellStyle name="Adjustment 9 2 10" xfId="25271" xr:uid="{00000000-0005-0000-0000-0000EE130000}"/>
    <cellStyle name="Adjustment 9 2 2" xfId="3367" xr:uid="{00000000-0005-0000-0000-0000EF130000}"/>
    <cellStyle name="Adjustment 9 2 2 2" xfId="3368" xr:uid="{00000000-0005-0000-0000-0000F0130000}"/>
    <cellStyle name="Adjustment 9 2 2 3" xfId="25272" xr:uid="{00000000-0005-0000-0000-0000F1130000}"/>
    <cellStyle name="Adjustment 9 2 2 4" xfId="25273" xr:uid="{00000000-0005-0000-0000-0000F2130000}"/>
    <cellStyle name="Adjustment 9 2 3" xfId="3369" xr:uid="{00000000-0005-0000-0000-0000F3130000}"/>
    <cellStyle name="Adjustment 9 2 3 2" xfId="3370" xr:uid="{00000000-0005-0000-0000-0000F4130000}"/>
    <cellStyle name="Adjustment 9 2 3 3" xfId="25274" xr:uid="{00000000-0005-0000-0000-0000F5130000}"/>
    <cellStyle name="Adjustment 9 2 3 4" xfId="25275" xr:uid="{00000000-0005-0000-0000-0000F6130000}"/>
    <cellStyle name="Adjustment 9 2 4" xfId="3371" xr:uid="{00000000-0005-0000-0000-0000F7130000}"/>
    <cellStyle name="Adjustment 9 2 4 2" xfId="3372" xr:uid="{00000000-0005-0000-0000-0000F8130000}"/>
    <cellStyle name="Adjustment 9 2 4 3" xfId="25276" xr:uid="{00000000-0005-0000-0000-0000F9130000}"/>
    <cellStyle name="Adjustment 9 2 4 4" xfId="25277" xr:uid="{00000000-0005-0000-0000-0000FA130000}"/>
    <cellStyle name="Adjustment 9 2 5" xfId="3373" xr:uid="{00000000-0005-0000-0000-0000FB130000}"/>
    <cellStyle name="Adjustment 9 2 5 2" xfId="3374" xr:uid="{00000000-0005-0000-0000-0000FC130000}"/>
    <cellStyle name="Adjustment 9 2 5 3" xfId="25278" xr:uid="{00000000-0005-0000-0000-0000FD130000}"/>
    <cellStyle name="Adjustment 9 2 5 4" xfId="25279" xr:uid="{00000000-0005-0000-0000-0000FE130000}"/>
    <cellStyle name="Adjustment 9 2 6" xfId="3375" xr:uid="{00000000-0005-0000-0000-0000FF130000}"/>
    <cellStyle name="Adjustment 9 2 6 2" xfId="3376" xr:uid="{00000000-0005-0000-0000-000000140000}"/>
    <cellStyle name="Adjustment 9 2 6 3" xfId="25280" xr:uid="{00000000-0005-0000-0000-000001140000}"/>
    <cellStyle name="Adjustment 9 2 6 4" xfId="25281" xr:uid="{00000000-0005-0000-0000-000002140000}"/>
    <cellStyle name="Adjustment 9 2 7" xfId="3377" xr:uid="{00000000-0005-0000-0000-000003140000}"/>
    <cellStyle name="Adjustment 9 2 7 2" xfId="3378" xr:uid="{00000000-0005-0000-0000-000004140000}"/>
    <cellStyle name="Adjustment 9 2 7 3" xfId="25282" xr:uid="{00000000-0005-0000-0000-000005140000}"/>
    <cellStyle name="Adjustment 9 2 7 4" xfId="25283" xr:uid="{00000000-0005-0000-0000-000006140000}"/>
    <cellStyle name="Adjustment 9 2 8" xfId="3379" xr:uid="{00000000-0005-0000-0000-000007140000}"/>
    <cellStyle name="Adjustment 9 2 9" xfId="25284" xr:uid="{00000000-0005-0000-0000-000008140000}"/>
    <cellStyle name="Adjustment 9 3" xfId="3380" xr:uid="{00000000-0005-0000-0000-000009140000}"/>
    <cellStyle name="Adjustment 9 3 10" xfId="25285" xr:uid="{00000000-0005-0000-0000-00000A140000}"/>
    <cellStyle name="Adjustment 9 3 2" xfId="3381" xr:uid="{00000000-0005-0000-0000-00000B140000}"/>
    <cellStyle name="Adjustment 9 3 2 2" xfId="3382" xr:uid="{00000000-0005-0000-0000-00000C140000}"/>
    <cellStyle name="Adjustment 9 3 2 3" xfId="25286" xr:uid="{00000000-0005-0000-0000-00000D140000}"/>
    <cellStyle name="Adjustment 9 3 2 4" xfId="25287" xr:uid="{00000000-0005-0000-0000-00000E140000}"/>
    <cellStyle name="Adjustment 9 3 3" xfId="3383" xr:uid="{00000000-0005-0000-0000-00000F140000}"/>
    <cellStyle name="Adjustment 9 3 3 2" xfId="3384" xr:uid="{00000000-0005-0000-0000-000010140000}"/>
    <cellStyle name="Adjustment 9 3 3 3" xfId="25288" xr:uid="{00000000-0005-0000-0000-000011140000}"/>
    <cellStyle name="Adjustment 9 3 3 4" xfId="25289" xr:uid="{00000000-0005-0000-0000-000012140000}"/>
    <cellStyle name="Adjustment 9 3 4" xfId="3385" xr:uid="{00000000-0005-0000-0000-000013140000}"/>
    <cellStyle name="Adjustment 9 3 4 2" xfId="3386" xr:uid="{00000000-0005-0000-0000-000014140000}"/>
    <cellStyle name="Adjustment 9 3 4 3" xfId="25290" xr:uid="{00000000-0005-0000-0000-000015140000}"/>
    <cellStyle name="Adjustment 9 3 4 4" xfId="25291" xr:uid="{00000000-0005-0000-0000-000016140000}"/>
    <cellStyle name="Adjustment 9 3 5" xfId="3387" xr:uid="{00000000-0005-0000-0000-000017140000}"/>
    <cellStyle name="Adjustment 9 3 5 2" xfId="3388" xr:uid="{00000000-0005-0000-0000-000018140000}"/>
    <cellStyle name="Adjustment 9 3 5 3" xfId="25292" xr:uid="{00000000-0005-0000-0000-000019140000}"/>
    <cellStyle name="Adjustment 9 3 5 4" xfId="25293" xr:uid="{00000000-0005-0000-0000-00001A140000}"/>
    <cellStyle name="Adjustment 9 3 6" xfId="3389" xr:uid="{00000000-0005-0000-0000-00001B140000}"/>
    <cellStyle name="Adjustment 9 3 6 2" xfId="3390" xr:uid="{00000000-0005-0000-0000-00001C140000}"/>
    <cellStyle name="Adjustment 9 3 6 3" xfId="25294" xr:uid="{00000000-0005-0000-0000-00001D140000}"/>
    <cellStyle name="Adjustment 9 3 6 4" xfId="25295" xr:uid="{00000000-0005-0000-0000-00001E140000}"/>
    <cellStyle name="Adjustment 9 3 7" xfId="3391" xr:uid="{00000000-0005-0000-0000-00001F140000}"/>
    <cellStyle name="Adjustment 9 3 7 2" xfId="3392" xr:uid="{00000000-0005-0000-0000-000020140000}"/>
    <cellStyle name="Adjustment 9 3 7 3" xfId="25296" xr:uid="{00000000-0005-0000-0000-000021140000}"/>
    <cellStyle name="Adjustment 9 3 7 4" xfId="25297" xr:uid="{00000000-0005-0000-0000-000022140000}"/>
    <cellStyle name="Adjustment 9 3 8" xfId="3393" xr:uid="{00000000-0005-0000-0000-000023140000}"/>
    <cellStyle name="Adjustment 9 3 9" xfId="25298" xr:uid="{00000000-0005-0000-0000-000024140000}"/>
    <cellStyle name="Adjustment 9 4" xfId="3394" xr:uid="{00000000-0005-0000-0000-000025140000}"/>
    <cellStyle name="Adjustment 9 4 10" xfId="25299" xr:uid="{00000000-0005-0000-0000-000026140000}"/>
    <cellStyle name="Adjustment 9 4 2" xfId="3395" xr:uid="{00000000-0005-0000-0000-000027140000}"/>
    <cellStyle name="Adjustment 9 4 2 2" xfId="3396" xr:uid="{00000000-0005-0000-0000-000028140000}"/>
    <cellStyle name="Adjustment 9 4 2 3" xfId="25300" xr:uid="{00000000-0005-0000-0000-000029140000}"/>
    <cellStyle name="Adjustment 9 4 2 4" xfId="25301" xr:uid="{00000000-0005-0000-0000-00002A140000}"/>
    <cellStyle name="Adjustment 9 4 3" xfId="3397" xr:uid="{00000000-0005-0000-0000-00002B140000}"/>
    <cellStyle name="Adjustment 9 4 3 2" xfId="3398" xr:uid="{00000000-0005-0000-0000-00002C140000}"/>
    <cellStyle name="Adjustment 9 4 3 3" xfId="25302" xr:uid="{00000000-0005-0000-0000-00002D140000}"/>
    <cellStyle name="Adjustment 9 4 3 4" xfId="25303" xr:uid="{00000000-0005-0000-0000-00002E140000}"/>
    <cellStyle name="Adjustment 9 4 4" xfId="3399" xr:uid="{00000000-0005-0000-0000-00002F140000}"/>
    <cellStyle name="Adjustment 9 4 4 2" xfId="3400" xr:uid="{00000000-0005-0000-0000-000030140000}"/>
    <cellStyle name="Adjustment 9 4 4 3" xfId="25304" xr:uid="{00000000-0005-0000-0000-000031140000}"/>
    <cellStyle name="Adjustment 9 4 4 4" xfId="25305" xr:uid="{00000000-0005-0000-0000-000032140000}"/>
    <cellStyle name="Adjustment 9 4 5" xfId="3401" xr:uid="{00000000-0005-0000-0000-000033140000}"/>
    <cellStyle name="Adjustment 9 4 5 2" xfId="3402" xr:uid="{00000000-0005-0000-0000-000034140000}"/>
    <cellStyle name="Adjustment 9 4 5 3" xfId="25306" xr:uid="{00000000-0005-0000-0000-000035140000}"/>
    <cellStyle name="Adjustment 9 4 5 4" xfId="25307" xr:uid="{00000000-0005-0000-0000-000036140000}"/>
    <cellStyle name="Adjustment 9 4 6" xfId="3403" xr:uid="{00000000-0005-0000-0000-000037140000}"/>
    <cellStyle name="Adjustment 9 4 6 2" xfId="3404" xr:uid="{00000000-0005-0000-0000-000038140000}"/>
    <cellStyle name="Adjustment 9 4 6 3" xfId="25308" xr:uid="{00000000-0005-0000-0000-000039140000}"/>
    <cellStyle name="Adjustment 9 4 6 4" xfId="25309" xr:uid="{00000000-0005-0000-0000-00003A140000}"/>
    <cellStyle name="Adjustment 9 4 7" xfId="3405" xr:uid="{00000000-0005-0000-0000-00003B140000}"/>
    <cellStyle name="Adjustment 9 4 7 2" xfId="3406" xr:uid="{00000000-0005-0000-0000-00003C140000}"/>
    <cellStyle name="Adjustment 9 4 7 3" xfId="25310" xr:uid="{00000000-0005-0000-0000-00003D140000}"/>
    <cellStyle name="Adjustment 9 4 7 4" xfId="25311" xr:uid="{00000000-0005-0000-0000-00003E140000}"/>
    <cellStyle name="Adjustment 9 4 8" xfId="3407" xr:uid="{00000000-0005-0000-0000-00003F140000}"/>
    <cellStyle name="Adjustment 9 4 9" xfId="25312" xr:uid="{00000000-0005-0000-0000-000040140000}"/>
    <cellStyle name="Adjustment 9 5" xfId="3408" xr:uid="{00000000-0005-0000-0000-000041140000}"/>
    <cellStyle name="Adjustment 9 5 10" xfId="25313" xr:uid="{00000000-0005-0000-0000-000042140000}"/>
    <cellStyle name="Adjustment 9 5 2" xfId="3409" xr:uid="{00000000-0005-0000-0000-000043140000}"/>
    <cellStyle name="Adjustment 9 5 2 2" xfId="3410" xr:uid="{00000000-0005-0000-0000-000044140000}"/>
    <cellStyle name="Adjustment 9 5 2 3" xfId="25314" xr:uid="{00000000-0005-0000-0000-000045140000}"/>
    <cellStyle name="Adjustment 9 5 2 4" xfId="25315" xr:uid="{00000000-0005-0000-0000-000046140000}"/>
    <cellStyle name="Adjustment 9 5 3" xfId="3411" xr:uid="{00000000-0005-0000-0000-000047140000}"/>
    <cellStyle name="Adjustment 9 5 3 2" xfId="3412" xr:uid="{00000000-0005-0000-0000-000048140000}"/>
    <cellStyle name="Adjustment 9 5 3 3" xfId="25316" xr:uid="{00000000-0005-0000-0000-000049140000}"/>
    <cellStyle name="Adjustment 9 5 3 4" xfId="25317" xr:uid="{00000000-0005-0000-0000-00004A140000}"/>
    <cellStyle name="Adjustment 9 5 4" xfId="3413" xr:uid="{00000000-0005-0000-0000-00004B140000}"/>
    <cellStyle name="Adjustment 9 5 4 2" xfId="3414" xr:uid="{00000000-0005-0000-0000-00004C140000}"/>
    <cellStyle name="Adjustment 9 5 4 3" xfId="25318" xr:uid="{00000000-0005-0000-0000-00004D140000}"/>
    <cellStyle name="Adjustment 9 5 4 4" xfId="25319" xr:uid="{00000000-0005-0000-0000-00004E140000}"/>
    <cellStyle name="Adjustment 9 5 5" xfId="3415" xr:uid="{00000000-0005-0000-0000-00004F140000}"/>
    <cellStyle name="Adjustment 9 5 5 2" xfId="3416" xr:uid="{00000000-0005-0000-0000-000050140000}"/>
    <cellStyle name="Adjustment 9 5 5 3" xfId="25320" xr:uid="{00000000-0005-0000-0000-000051140000}"/>
    <cellStyle name="Adjustment 9 5 5 4" xfId="25321" xr:uid="{00000000-0005-0000-0000-000052140000}"/>
    <cellStyle name="Adjustment 9 5 6" xfId="3417" xr:uid="{00000000-0005-0000-0000-000053140000}"/>
    <cellStyle name="Adjustment 9 5 6 2" xfId="3418" xr:uid="{00000000-0005-0000-0000-000054140000}"/>
    <cellStyle name="Adjustment 9 5 6 3" xfId="25322" xr:uid="{00000000-0005-0000-0000-000055140000}"/>
    <cellStyle name="Adjustment 9 5 6 4" xfId="25323" xr:uid="{00000000-0005-0000-0000-000056140000}"/>
    <cellStyle name="Adjustment 9 5 7" xfId="3419" xr:uid="{00000000-0005-0000-0000-000057140000}"/>
    <cellStyle name="Adjustment 9 5 7 2" xfId="3420" xr:uid="{00000000-0005-0000-0000-000058140000}"/>
    <cellStyle name="Adjustment 9 5 7 3" xfId="25324" xr:uid="{00000000-0005-0000-0000-000059140000}"/>
    <cellStyle name="Adjustment 9 5 7 4" xfId="25325" xr:uid="{00000000-0005-0000-0000-00005A140000}"/>
    <cellStyle name="Adjustment 9 5 8" xfId="3421" xr:uid="{00000000-0005-0000-0000-00005B140000}"/>
    <cellStyle name="Adjustment 9 5 9" xfId="25326" xr:uid="{00000000-0005-0000-0000-00005C140000}"/>
    <cellStyle name="Adjustment 9 6" xfId="3422" xr:uid="{00000000-0005-0000-0000-00005D140000}"/>
    <cellStyle name="Adjustment 9 6 2" xfId="3423" xr:uid="{00000000-0005-0000-0000-00005E140000}"/>
    <cellStyle name="Adjustment 9 6 3" xfId="25327" xr:uid="{00000000-0005-0000-0000-00005F140000}"/>
    <cellStyle name="Adjustment 9 6 4" xfId="25328" xr:uid="{00000000-0005-0000-0000-000060140000}"/>
    <cellStyle name="Adjustment 9 7" xfId="3424" xr:uid="{00000000-0005-0000-0000-000061140000}"/>
    <cellStyle name="Adjustment 9 7 2" xfId="3425" xr:uid="{00000000-0005-0000-0000-000062140000}"/>
    <cellStyle name="Adjustment 9 7 3" xfId="25329" xr:uid="{00000000-0005-0000-0000-000063140000}"/>
    <cellStyle name="Adjustment 9 7 4" xfId="25330" xr:uid="{00000000-0005-0000-0000-000064140000}"/>
    <cellStyle name="Adjustment 9 8" xfId="3426" xr:uid="{00000000-0005-0000-0000-000065140000}"/>
    <cellStyle name="Adjustment 9 8 2" xfId="3427" xr:uid="{00000000-0005-0000-0000-000066140000}"/>
    <cellStyle name="Adjustment 9 8 3" xfId="25331" xr:uid="{00000000-0005-0000-0000-000067140000}"/>
    <cellStyle name="Adjustment 9 8 4" xfId="25332" xr:uid="{00000000-0005-0000-0000-000068140000}"/>
    <cellStyle name="Adjustment 9 9" xfId="3428" xr:uid="{00000000-0005-0000-0000-000069140000}"/>
    <cellStyle name="Adjustment 9 9 2" xfId="3429" xr:uid="{00000000-0005-0000-0000-00006A140000}"/>
    <cellStyle name="Adjustment 9 9 3" xfId="25333" xr:uid="{00000000-0005-0000-0000-00006B140000}"/>
    <cellStyle name="Adjustment 9 9 4" xfId="25334" xr:uid="{00000000-0005-0000-0000-00006C140000}"/>
    <cellStyle name="AnalyseCode" xfId="3430" xr:uid="{00000000-0005-0000-0000-00006D140000}"/>
    <cellStyle name="AnalyseCode 10" xfId="3431" xr:uid="{00000000-0005-0000-0000-00006E140000}"/>
    <cellStyle name="AnalyseCode 10 2" xfId="3432" xr:uid="{00000000-0005-0000-0000-00006F140000}"/>
    <cellStyle name="AnalyseCode 10 3" xfId="25335" xr:uid="{00000000-0005-0000-0000-000070140000}"/>
    <cellStyle name="AnalyseCode 11" xfId="3433" xr:uid="{00000000-0005-0000-0000-000071140000}"/>
    <cellStyle name="AnalyseCode 12" xfId="25336" xr:uid="{00000000-0005-0000-0000-000072140000}"/>
    <cellStyle name="AnalyseCode 2" xfId="3434" xr:uid="{00000000-0005-0000-0000-000073140000}"/>
    <cellStyle name="AnalyseCode 2 2" xfId="3435" xr:uid="{00000000-0005-0000-0000-000074140000}"/>
    <cellStyle name="AnalyseCode 2 2 2" xfId="3436" xr:uid="{00000000-0005-0000-0000-000075140000}"/>
    <cellStyle name="AnalyseCode 2 2 2 2" xfId="3437" xr:uid="{00000000-0005-0000-0000-000076140000}"/>
    <cellStyle name="AnalyseCode 2 2 2 3" xfId="25337" xr:uid="{00000000-0005-0000-0000-000077140000}"/>
    <cellStyle name="AnalyseCode 2 2 3" xfId="3438" xr:uid="{00000000-0005-0000-0000-000078140000}"/>
    <cellStyle name="AnalyseCode 2 2 3 2" xfId="3439" xr:uid="{00000000-0005-0000-0000-000079140000}"/>
    <cellStyle name="AnalyseCode 2 2 3 3" xfId="25338" xr:uid="{00000000-0005-0000-0000-00007A140000}"/>
    <cellStyle name="AnalyseCode 2 2 4" xfId="3440" xr:uid="{00000000-0005-0000-0000-00007B140000}"/>
    <cellStyle name="AnalyseCode 2 2 4 2" xfId="3441" xr:uid="{00000000-0005-0000-0000-00007C140000}"/>
    <cellStyle name="AnalyseCode 2 2 4 3" xfId="25339" xr:uid="{00000000-0005-0000-0000-00007D140000}"/>
    <cellStyle name="AnalyseCode 2 2 5" xfId="3442" xr:uid="{00000000-0005-0000-0000-00007E140000}"/>
    <cellStyle name="AnalyseCode 2 2 5 2" xfId="3443" xr:uid="{00000000-0005-0000-0000-00007F140000}"/>
    <cellStyle name="AnalyseCode 2 2 5 3" xfId="25340" xr:uid="{00000000-0005-0000-0000-000080140000}"/>
    <cellStyle name="AnalyseCode 2 2 6" xfId="3444" xr:uid="{00000000-0005-0000-0000-000081140000}"/>
    <cellStyle name="AnalyseCode 2 2 7" xfId="25341" xr:uid="{00000000-0005-0000-0000-000082140000}"/>
    <cellStyle name="AnalyseCode 2 3" xfId="3445" xr:uid="{00000000-0005-0000-0000-000083140000}"/>
    <cellStyle name="AnalyseCode 2 3 2" xfId="3446" xr:uid="{00000000-0005-0000-0000-000084140000}"/>
    <cellStyle name="AnalyseCode 2 3 3" xfId="25342" xr:uid="{00000000-0005-0000-0000-000085140000}"/>
    <cellStyle name="AnalyseCode 2 4" xfId="3447" xr:uid="{00000000-0005-0000-0000-000086140000}"/>
    <cellStyle name="AnalyseCode 2 4 2" xfId="3448" xr:uid="{00000000-0005-0000-0000-000087140000}"/>
    <cellStyle name="AnalyseCode 2 4 3" xfId="25343" xr:uid="{00000000-0005-0000-0000-000088140000}"/>
    <cellStyle name="AnalyseCode 2 5" xfId="3449" xr:uid="{00000000-0005-0000-0000-000089140000}"/>
    <cellStyle name="AnalyseCode 2 5 2" xfId="3450" xr:uid="{00000000-0005-0000-0000-00008A140000}"/>
    <cellStyle name="AnalyseCode 2 5 3" xfId="25344" xr:uid="{00000000-0005-0000-0000-00008B140000}"/>
    <cellStyle name="AnalyseCode 2 6" xfId="3451" xr:uid="{00000000-0005-0000-0000-00008C140000}"/>
    <cellStyle name="AnalyseCode 2 7" xfId="25345" xr:uid="{00000000-0005-0000-0000-00008D140000}"/>
    <cellStyle name="AnalyseCode 3" xfId="3452" xr:uid="{00000000-0005-0000-0000-00008E140000}"/>
    <cellStyle name="AnalyseCode 3 2" xfId="3453" xr:uid="{00000000-0005-0000-0000-00008F140000}"/>
    <cellStyle name="AnalyseCode 3 3" xfId="25346" xr:uid="{00000000-0005-0000-0000-000090140000}"/>
    <cellStyle name="AnalyseCode 4" xfId="3454" xr:uid="{00000000-0005-0000-0000-000091140000}"/>
    <cellStyle name="AnalyseCode 4 2" xfId="3455" xr:uid="{00000000-0005-0000-0000-000092140000}"/>
    <cellStyle name="AnalyseCode 4 3" xfId="25347" xr:uid="{00000000-0005-0000-0000-000093140000}"/>
    <cellStyle name="AnalyseCode 5" xfId="3456" xr:uid="{00000000-0005-0000-0000-000094140000}"/>
    <cellStyle name="AnalyseCode 5 2" xfId="3457" xr:uid="{00000000-0005-0000-0000-000095140000}"/>
    <cellStyle name="AnalyseCode 5 3" xfId="25348" xr:uid="{00000000-0005-0000-0000-000096140000}"/>
    <cellStyle name="AnalyseCode 6" xfId="3458" xr:uid="{00000000-0005-0000-0000-000097140000}"/>
    <cellStyle name="AnalyseCode 6 2" xfId="3459" xr:uid="{00000000-0005-0000-0000-000098140000}"/>
    <cellStyle name="AnalyseCode 6 3" xfId="25349" xr:uid="{00000000-0005-0000-0000-000099140000}"/>
    <cellStyle name="AnalyseCode 7" xfId="3460" xr:uid="{00000000-0005-0000-0000-00009A140000}"/>
    <cellStyle name="AnalyseCode 7 2" xfId="3461" xr:uid="{00000000-0005-0000-0000-00009B140000}"/>
    <cellStyle name="AnalyseCode 7 3" xfId="25350" xr:uid="{00000000-0005-0000-0000-00009C140000}"/>
    <cellStyle name="AnalyseCode 8" xfId="3462" xr:uid="{00000000-0005-0000-0000-00009D140000}"/>
    <cellStyle name="AnalyseCode 8 2" xfId="3463" xr:uid="{00000000-0005-0000-0000-00009E140000}"/>
    <cellStyle name="AnalyseCode 8 3" xfId="25351" xr:uid="{00000000-0005-0000-0000-00009F140000}"/>
    <cellStyle name="AnalyseCode 9" xfId="3464" xr:uid="{00000000-0005-0000-0000-0000A0140000}"/>
    <cellStyle name="AnalyseCode 9 2" xfId="3465" xr:uid="{00000000-0005-0000-0000-0000A1140000}"/>
    <cellStyle name="AnalyseCode 9 3" xfId="25352" xr:uid="{00000000-0005-0000-0000-0000A2140000}"/>
    <cellStyle name="AnalyseName" xfId="3466" xr:uid="{00000000-0005-0000-0000-0000A3140000}"/>
    <cellStyle name="AnalyseName 10" xfId="3467" xr:uid="{00000000-0005-0000-0000-0000A4140000}"/>
    <cellStyle name="AnalyseName 10 2" xfId="3468" xr:uid="{00000000-0005-0000-0000-0000A5140000}"/>
    <cellStyle name="AnalyseName 10 3" xfId="25353" xr:uid="{00000000-0005-0000-0000-0000A6140000}"/>
    <cellStyle name="AnalyseName 11" xfId="3469" xr:uid="{00000000-0005-0000-0000-0000A7140000}"/>
    <cellStyle name="AnalyseName 12" xfId="25354" xr:uid="{00000000-0005-0000-0000-0000A8140000}"/>
    <cellStyle name="AnalyseName 2" xfId="3470" xr:uid="{00000000-0005-0000-0000-0000A9140000}"/>
    <cellStyle name="AnalyseName 2 2" xfId="3471" xr:uid="{00000000-0005-0000-0000-0000AA140000}"/>
    <cellStyle name="AnalyseName 2 2 2" xfId="3472" xr:uid="{00000000-0005-0000-0000-0000AB140000}"/>
    <cellStyle name="AnalyseName 2 2 2 2" xfId="3473" xr:uid="{00000000-0005-0000-0000-0000AC140000}"/>
    <cellStyle name="AnalyseName 2 2 2 3" xfId="25355" xr:uid="{00000000-0005-0000-0000-0000AD140000}"/>
    <cellStyle name="AnalyseName 2 2 3" xfId="3474" xr:uid="{00000000-0005-0000-0000-0000AE140000}"/>
    <cellStyle name="AnalyseName 2 2 3 2" xfId="3475" xr:uid="{00000000-0005-0000-0000-0000AF140000}"/>
    <cellStyle name="AnalyseName 2 2 3 3" xfId="25356" xr:uid="{00000000-0005-0000-0000-0000B0140000}"/>
    <cellStyle name="AnalyseName 2 2 4" xfId="3476" xr:uid="{00000000-0005-0000-0000-0000B1140000}"/>
    <cellStyle name="AnalyseName 2 2 4 2" xfId="3477" xr:uid="{00000000-0005-0000-0000-0000B2140000}"/>
    <cellStyle name="AnalyseName 2 2 4 3" xfId="25357" xr:uid="{00000000-0005-0000-0000-0000B3140000}"/>
    <cellStyle name="AnalyseName 2 2 5" xfId="3478" xr:uid="{00000000-0005-0000-0000-0000B4140000}"/>
    <cellStyle name="AnalyseName 2 2 5 2" xfId="3479" xr:uid="{00000000-0005-0000-0000-0000B5140000}"/>
    <cellStyle name="AnalyseName 2 2 5 3" xfId="25358" xr:uid="{00000000-0005-0000-0000-0000B6140000}"/>
    <cellStyle name="AnalyseName 2 2 6" xfId="3480" xr:uid="{00000000-0005-0000-0000-0000B7140000}"/>
    <cellStyle name="AnalyseName 2 2 7" xfId="25359" xr:uid="{00000000-0005-0000-0000-0000B8140000}"/>
    <cellStyle name="AnalyseName 2 3" xfId="3481" xr:uid="{00000000-0005-0000-0000-0000B9140000}"/>
    <cellStyle name="AnalyseName 2 3 2" xfId="3482" xr:uid="{00000000-0005-0000-0000-0000BA140000}"/>
    <cellStyle name="AnalyseName 2 3 3" xfId="25360" xr:uid="{00000000-0005-0000-0000-0000BB140000}"/>
    <cellStyle name="AnalyseName 2 4" xfId="3483" xr:uid="{00000000-0005-0000-0000-0000BC140000}"/>
    <cellStyle name="AnalyseName 2 4 2" xfId="3484" xr:uid="{00000000-0005-0000-0000-0000BD140000}"/>
    <cellStyle name="AnalyseName 2 4 3" xfId="25361" xr:uid="{00000000-0005-0000-0000-0000BE140000}"/>
    <cellStyle name="AnalyseName 2 5" xfId="3485" xr:uid="{00000000-0005-0000-0000-0000BF140000}"/>
    <cellStyle name="AnalyseName 2 5 2" xfId="3486" xr:uid="{00000000-0005-0000-0000-0000C0140000}"/>
    <cellStyle name="AnalyseName 2 5 3" xfId="25362" xr:uid="{00000000-0005-0000-0000-0000C1140000}"/>
    <cellStyle name="AnalyseName 2 6" xfId="3487" xr:uid="{00000000-0005-0000-0000-0000C2140000}"/>
    <cellStyle name="AnalyseName 2 7" xfId="25363" xr:uid="{00000000-0005-0000-0000-0000C3140000}"/>
    <cellStyle name="AnalyseName 3" xfId="3488" xr:uid="{00000000-0005-0000-0000-0000C4140000}"/>
    <cellStyle name="AnalyseName 3 2" xfId="3489" xr:uid="{00000000-0005-0000-0000-0000C5140000}"/>
    <cellStyle name="AnalyseName 3 3" xfId="25364" xr:uid="{00000000-0005-0000-0000-0000C6140000}"/>
    <cellStyle name="AnalyseName 4" xfId="3490" xr:uid="{00000000-0005-0000-0000-0000C7140000}"/>
    <cellStyle name="AnalyseName 4 2" xfId="3491" xr:uid="{00000000-0005-0000-0000-0000C8140000}"/>
    <cellStyle name="AnalyseName 4 3" xfId="25365" xr:uid="{00000000-0005-0000-0000-0000C9140000}"/>
    <cellStyle name="AnalyseName 5" xfId="3492" xr:uid="{00000000-0005-0000-0000-0000CA140000}"/>
    <cellStyle name="AnalyseName 5 2" xfId="3493" xr:uid="{00000000-0005-0000-0000-0000CB140000}"/>
    <cellStyle name="AnalyseName 5 3" xfId="25366" xr:uid="{00000000-0005-0000-0000-0000CC140000}"/>
    <cellStyle name="AnalyseName 6" xfId="3494" xr:uid="{00000000-0005-0000-0000-0000CD140000}"/>
    <cellStyle name="AnalyseName 6 2" xfId="3495" xr:uid="{00000000-0005-0000-0000-0000CE140000}"/>
    <cellStyle name="AnalyseName 6 3" xfId="25367" xr:uid="{00000000-0005-0000-0000-0000CF140000}"/>
    <cellStyle name="AnalyseName 7" xfId="3496" xr:uid="{00000000-0005-0000-0000-0000D0140000}"/>
    <cellStyle name="AnalyseName 7 2" xfId="3497" xr:uid="{00000000-0005-0000-0000-0000D1140000}"/>
    <cellStyle name="AnalyseName 7 3" xfId="25368" xr:uid="{00000000-0005-0000-0000-0000D2140000}"/>
    <cellStyle name="AnalyseName 8" xfId="3498" xr:uid="{00000000-0005-0000-0000-0000D3140000}"/>
    <cellStyle name="AnalyseName 8 2" xfId="3499" xr:uid="{00000000-0005-0000-0000-0000D4140000}"/>
    <cellStyle name="AnalyseName 8 3" xfId="25369" xr:uid="{00000000-0005-0000-0000-0000D5140000}"/>
    <cellStyle name="AnalyseName 9" xfId="3500" xr:uid="{00000000-0005-0000-0000-0000D6140000}"/>
    <cellStyle name="AnalyseName 9 2" xfId="3501" xr:uid="{00000000-0005-0000-0000-0000D7140000}"/>
    <cellStyle name="AnalyseName 9 3" xfId="25370" xr:uid="{00000000-0005-0000-0000-0000D8140000}"/>
    <cellStyle name="B_Bold_L" xfId="3502" xr:uid="{00000000-0005-0000-0000-0000D9140000}"/>
    <cellStyle name="B_Bold_L 10" xfId="3503" xr:uid="{00000000-0005-0000-0000-0000DA140000}"/>
    <cellStyle name="B_Bold_L 2" xfId="3504" xr:uid="{00000000-0005-0000-0000-0000DB140000}"/>
    <cellStyle name="B_Bold_L 2 2" xfId="3505" xr:uid="{00000000-0005-0000-0000-0000DC140000}"/>
    <cellStyle name="B_Bold_L 2 2 2" xfId="3506" xr:uid="{00000000-0005-0000-0000-0000DD140000}"/>
    <cellStyle name="B_Bold_L 2 2 3" xfId="3507" xr:uid="{00000000-0005-0000-0000-0000DE140000}"/>
    <cellStyle name="B_Bold_L 2 2 4" xfId="3508" xr:uid="{00000000-0005-0000-0000-0000DF140000}"/>
    <cellStyle name="B_Bold_L 2 2 5" xfId="3509" xr:uid="{00000000-0005-0000-0000-0000E0140000}"/>
    <cellStyle name="B_Bold_L 2 3" xfId="3510" xr:uid="{00000000-0005-0000-0000-0000E1140000}"/>
    <cellStyle name="B_Bold_L 2 4" xfId="3511" xr:uid="{00000000-0005-0000-0000-0000E2140000}"/>
    <cellStyle name="B_Bold_L 2 5" xfId="3512" xr:uid="{00000000-0005-0000-0000-0000E3140000}"/>
    <cellStyle name="B_Bold_L 3" xfId="3513" xr:uid="{00000000-0005-0000-0000-0000E4140000}"/>
    <cellStyle name="B_Bold_L 4" xfId="3514" xr:uid="{00000000-0005-0000-0000-0000E5140000}"/>
    <cellStyle name="B_Bold_L 5" xfId="3515" xr:uid="{00000000-0005-0000-0000-0000E6140000}"/>
    <cellStyle name="B_Bold_L 6" xfId="3516" xr:uid="{00000000-0005-0000-0000-0000E7140000}"/>
    <cellStyle name="B_Bold_L 7" xfId="3517" xr:uid="{00000000-0005-0000-0000-0000E8140000}"/>
    <cellStyle name="B_Bold_L 8" xfId="3518" xr:uid="{00000000-0005-0000-0000-0000E9140000}"/>
    <cellStyle name="B_Bold_L 9" xfId="3519" xr:uid="{00000000-0005-0000-0000-0000EA140000}"/>
    <cellStyle name="B_Bold_L_FY Magnitude IFRS Schedules" xfId="3520" xr:uid="{00000000-0005-0000-0000-0000EB140000}"/>
    <cellStyle name="B_Bold_L_FY Magnitude IFRS Schedules 10" xfId="3521" xr:uid="{00000000-0005-0000-0000-0000EC140000}"/>
    <cellStyle name="B_Bold_L_FY Magnitude IFRS Schedules 2" xfId="3522" xr:uid="{00000000-0005-0000-0000-0000ED140000}"/>
    <cellStyle name="B_Bold_L_FY Magnitude IFRS Schedules 2 2" xfId="3523" xr:uid="{00000000-0005-0000-0000-0000EE140000}"/>
    <cellStyle name="B_Bold_L_FY Magnitude IFRS Schedules 2 2 2" xfId="3524" xr:uid="{00000000-0005-0000-0000-0000EF140000}"/>
    <cellStyle name="B_Bold_L_FY Magnitude IFRS Schedules 2 2 3" xfId="3525" xr:uid="{00000000-0005-0000-0000-0000F0140000}"/>
    <cellStyle name="B_Bold_L_FY Magnitude IFRS Schedules 2 2 4" xfId="3526" xr:uid="{00000000-0005-0000-0000-0000F1140000}"/>
    <cellStyle name="B_Bold_L_FY Magnitude IFRS Schedules 2 2 5" xfId="3527" xr:uid="{00000000-0005-0000-0000-0000F2140000}"/>
    <cellStyle name="B_Bold_L_FY Magnitude IFRS Schedules 2 3" xfId="3528" xr:uid="{00000000-0005-0000-0000-0000F3140000}"/>
    <cellStyle name="B_Bold_L_FY Magnitude IFRS Schedules 2 4" xfId="3529" xr:uid="{00000000-0005-0000-0000-0000F4140000}"/>
    <cellStyle name="B_Bold_L_FY Magnitude IFRS Schedules 2 5" xfId="3530" xr:uid="{00000000-0005-0000-0000-0000F5140000}"/>
    <cellStyle name="B_Bold_L_FY Magnitude IFRS Schedules 3" xfId="3531" xr:uid="{00000000-0005-0000-0000-0000F6140000}"/>
    <cellStyle name="B_Bold_L_FY Magnitude IFRS Schedules 4" xfId="3532" xr:uid="{00000000-0005-0000-0000-0000F7140000}"/>
    <cellStyle name="B_Bold_L_FY Magnitude IFRS Schedules 5" xfId="3533" xr:uid="{00000000-0005-0000-0000-0000F8140000}"/>
    <cellStyle name="B_Bold_L_FY Magnitude IFRS Schedules 6" xfId="3534" xr:uid="{00000000-0005-0000-0000-0000F9140000}"/>
    <cellStyle name="B_Bold_L_FY Magnitude IFRS Schedules 7" xfId="3535" xr:uid="{00000000-0005-0000-0000-0000FA140000}"/>
    <cellStyle name="B_Bold_L_FY Magnitude IFRS Schedules 8" xfId="3536" xr:uid="{00000000-0005-0000-0000-0000FB140000}"/>
    <cellStyle name="B_Bold_L_FY Magnitude IFRS Schedules 9" xfId="3537" xr:uid="{00000000-0005-0000-0000-0000FC140000}"/>
    <cellStyle name="B_Bold_L_HK.EEV-Jun06 07-09 2006 (QF3)" xfId="3538" xr:uid="{00000000-0005-0000-0000-0000FD140000}"/>
    <cellStyle name="B_Bold_L_HK.EEV-Jun06 07-09 2006 (QF3) 10" xfId="3539" xr:uid="{00000000-0005-0000-0000-0000FE140000}"/>
    <cellStyle name="B_Bold_L_HK.EEV-Jun06 07-09 2006 (QF3) 2" xfId="3540" xr:uid="{00000000-0005-0000-0000-0000FF140000}"/>
    <cellStyle name="B_Bold_L_HK.EEV-Jun06 07-09 2006 (QF3) 2 2" xfId="3541" xr:uid="{00000000-0005-0000-0000-000000150000}"/>
    <cellStyle name="B_Bold_L_HK.EEV-Jun06 07-09 2006 (QF3) 2 2 2" xfId="3542" xr:uid="{00000000-0005-0000-0000-000001150000}"/>
    <cellStyle name="B_Bold_L_HK.EEV-Jun06 07-09 2006 (QF3) 2 2 3" xfId="3543" xr:uid="{00000000-0005-0000-0000-000002150000}"/>
    <cellStyle name="B_Bold_L_HK.EEV-Jun06 07-09 2006 (QF3) 2 2 4" xfId="3544" xr:uid="{00000000-0005-0000-0000-000003150000}"/>
    <cellStyle name="B_Bold_L_HK.EEV-Jun06 07-09 2006 (QF3) 2 2 5" xfId="3545" xr:uid="{00000000-0005-0000-0000-000004150000}"/>
    <cellStyle name="B_Bold_L_HK.EEV-Jun06 07-09 2006 (QF3) 2 3" xfId="3546" xr:uid="{00000000-0005-0000-0000-000005150000}"/>
    <cellStyle name="B_Bold_L_HK.EEV-Jun06 07-09 2006 (QF3) 2 4" xfId="3547" xr:uid="{00000000-0005-0000-0000-000006150000}"/>
    <cellStyle name="B_Bold_L_HK.EEV-Jun06 07-09 2006 (QF3) 2 5" xfId="3548" xr:uid="{00000000-0005-0000-0000-000007150000}"/>
    <cellStyle name="B_Bold_L_HK.EEV-Jun06 07-09 2006 (QF3) 3" xfId="3549" xr:uid="{00000000-0005-0000-0000-000008150000}"/>
    <cellStyle name="B_Bold_L_HK.EEV-Jun06 07-09 2006 (QF3) 4" xfId="3550" xr:uid="{00000000-0005-0000-0000-000009150000}"/>
    <cellStyle name="B_Bold_L_HK.EEV-Jun06 07-09 2006 (QF3) 5" xfId="3551" xr:uid="{00000000-0005-0000-0000-00000A150000}"/>
    <cellStyle name="B_Bold_L_HK.EEV-Jun06 07-09 2006 (QF3) 6" xfId="3552" xr:uid="{00000000-0005-0000-0000-00000B150000}"/>
    <cellStyle name="B_Bold_L_HK.EEV-Jun06 07-09 2006 (QF3) 7" xfId="3553" xr:uid="{00000000-0005-0000-0000-00000C150000}"/>
    <cellStyle name="B_Bold_L_HK.EEV-Jun06 07-09 2006 (QF3) 8" xfId="3554" xr:uid="{00000000-0005-0000-0000-00000D150000}"/>
    <cellStyle name="B_Bold_L_HK.EEV-Jun06 07-09 2006 (QF3) 9" xfId="3555" xr:uid="{00000000-0005-0000-0000-00000E150000}"/>
    <cellStyle name="B_Bold_L_SG.EEV-June06 6+6" xfId="3556" xr:uid="{00000000-0005-0000-0000-00000F150000}"/>
    <cellStyle name="B_Bold_L_SG.EEV-June06 6+6 10" xfId="3557" xr:uid="{00000000-0005-0000-0000-000010150000}"/>
    <cellStyle name="B_Bold_L_SG.EEV-June06 6+6 2" xfId="3558" xr:uid="{00000000-0005-0000-0000-000011150000}"/>
    <cellStyle name="B_Bold_L_SG.EEV-June06 6+6 2 2" xfId="3559" xr:uid="{00000000-0005-0000-0000-000012150000}"/>
    <cellStyle name="B_Bold_L_SG.EEV-June06 6+6 2 2 2" xfId="3560" xr:uid="{00000000-0005-0000-0000-000013150000}"/>
    <cellStyle name="B_Bold_L_SG.EEV-June06 6+6 2 2 3" xfId="3561" xr:uid="{00000000-0005-0000-0000-000014150000}"/>
    <cellStyle name="B_Bold_L_SG.EEV-June06 6+6 2 2 4" xfId="3562" xr:uid="{00000000-0005-0000-0000-000015150000}"/>
    <cellStyle name="B_Bold_L_SG.EEV-June06 6+6 2 2 5" xfId="3563" xr:uid="{00000000-0005-0000-0000-000016150000}"/>
    <cellStyle name="B_Bold_L_SG.EEV-June06 6+6 2 3" xfId="3564" xr:uid="{00000000-0005-0000-0000-000017150000}"/>
    <cellStyle name="B_Bold_L_SG.EEV-June06 6+6 2 4" xfId="3565" xr:uid="{00000000-0005-0000-0000-000018150000}"/>
    <cellStyle name="B_Bold_L_SG.EEV-June06 6+6 2 5" xfId="3566" xr:uid="{00000000-0005-0000-0000-000019150000}"/>
    <cellStyle name="B_Bold_L_SG.EEV-June06 6+6 3" xfId="3567" xr:uid="{00000000-0005-0000-0000-00001A150000}"/>
    <cellStyle name="B_Bold_L_SG.EEV-June06 6+6 4" xfId="3568" xr:uid="{00000000-0005-0000-0000-00001B150000}"/>
    <cellStyle name="B_Bold_L_SG.EEV-June06 6+6 5" xfId="3569" xr:uid="{00000000-0005-0000-0000-00001C150000}"/>
    <cellStyle name="B_Bold_L_SG.EEV-June06 6+6 6" xfId="3570" xr:uid="{00000000-0005-0000-0000-00001D150000}"/>
    <cellStyle name="B_Bold_L_SG.EEV-June06 6+6 7" xfId="3571" xr:uid="{00000000-0005-0000-0000-00001E150000}"/>
    <cellStyle name="B_Bold_L_SG.EEV-June06 6+6 8" xfId="3572" xr:uid="{00000000-0005-0000-0000-00001F150000}"/>
    <cellStyle name="B_Bold_L_SG.EEV-June06 6+6 9" xfId="3573" xr:uid="{00000000-0005-0000-0000-000020150000}"/>
    <cellStyle name="B_Bot" xfId="3574" xr:uid="{00000000-0005-0000-0000-000021150000}"/>
    <cellStyle name="B_Bot 10" xfId="3575" xr:uid="{00000000-0005-0000-0000-000022150000}"/>
    <cellStyle name="B_Bot 10 2" xfId="3576" xr:uid="{00000000-0005-0000-0000-000023150000}"/>
    <cellStyle name="B_Bot 10 3" xfId="25371" xr:uid="{00000000-0005-0000-0000-000024150000}"/>
    <cellStyle name="B_Bot 11" xfId="3577" xr:uid="{00000000-0005-0000-0000-000025150000}"/>
    <cellStyle name="B_Bot 11 2" xfId="3578" xr:uid="{00000000-0005-0000-0000-000026150000}"/>
    <cellStyle name="B_Bot 11 3" xfId="25372" xr:uid="{00000000-0005-0000-0000-000027150000}"/>
    <cellStyle name="B_Bot 12" xfId="3579" xr:uid="{00000000-0005-0000-0000-000028150000}"/>
    <cellStyle name="B_Bot 12 2" xfId="3580" xr:uid="{00000000-0005-0000-0000-000029150000}"/>
    <cellStyle name="B_Bot 12 3" xfId="25373" xr:uid="{00000000-0005-0000-0000-00002A150000}"/>
    <cellStyle name="B_Bot 13" xfId="3581" xr:uid="{00000000-0005-0000-0000-00002B150000}"/>
    <cellStyle name="B_Bot 13 2" xfId="3582" xr:uid="{00000000-0005-0000-0000-00002C150000}"/>
    <cellStyle name="B_Bot 13 3" xfId="25374" xr:uid="{00000000-0005-0000-0000-00002D150000}"/>
    <cellStyle name="B_Bot 14" xfId="3583" xr:uid="{00000000-0005-0000-0000-00002E150000}"/>
    <cellStyle name="B_Bot 14 2" xfId="3584" xr:uid="{00000000-0005-0000-0000-00002F150000}"/>
    <cellStyle name="B_Bot 14 3" xfId="25375" xr:uid="{00000000-0005-0000-0000-000030150000}"/>
    <cellStyle name="B_Bot 15" xfId="3585" xr:uid="{00000000-0005-0000-0000-000031150000}"/>
    <cellStyle name="B_Bot 15 2" xfId="3586" xr:uid="{00000000-0005-0000-0000-000032150000}"/>
    <cellStyle name="B_Bot 15 3" xfId="25376" xr:uid="{00000000-0005-0000-0000-000033150000}"/>
    <cellStyle name="B_Bot 16" xfId="3587" xr:uid="{00000000-0005-0000-0000-000034150000}"/>
    <cellStyle name="B_Bot 16 2" xfId="3588" xr:uid="{00000000-0005-0000-0000-000035150000}"/>
    <cellStyle name="B_Bot 16 3" xfId="25377" xr:uid="{00000000-0005-0000-0000-000036150000}"/>
    <cellStyle name="B_Bot 17" xfId="3589" xr:uid="{00000000-0005-0000-0000-000037150000}"/>
    <cellStyle name="B_Bot 17 2" xfId="3590" xr:uid="{00000000-0005-0000-0000-000038150000}"/>
    <cellStyle name="B_Bot 17 3" xfId="25378" xr:uid="{00000000-0005-0000-0000-000039150000}"/>
    <cellStyle name="B_Bot 18" xfId="3591" xr:uid="{00000000-0005-0000-0000-00003A150000}"/>
    <cellStyle name="B_Bot 18 2" xfId="3592" xr:uid="{00000000-0005-0000-0000-00003B150000}"/>
    <cellStyle name="B_Bot 18 3" xfId="25379" xr:uid="{00000000-0005-0000-0000-00003C150000}"/>
    <cellStyle name="B_Bot 19" xfId="3593" xr:uid="{00000000-0005-0000-0000-00003D150000}"/>
    <cellStyle name="B_Bot 19 2" xfId="3594" xr:uid="{00000000-0005-0000-0000-00003E150000}"/>
    <cellStyle name="B_Bot 19 3" xfId="25380" xr:uid="{00000000-0005-0000-0000-00003F150000}"/>
    <cellStyle name="B_Bot 2" xfId="3595" xr:uid="{00000000-0005-0000-0000-000040150000}"/>
    <cellStyle name="B_Bot 2 2" xfId="3596" xr:uid="{00000000-0005-0000-0000-000041150000}"/>
    <cellStyle name="B_Bot 2 3" xfId="25381" xr:uid="{00000000-0005-0000-0000-000042150000}"/>
    <cellStyle name="B_Bot 20" xfId="3597" xr:uid="{00000000-0005-0000-0000-000043150000}"/>
    <cellStyle name="B_Bot 20 2" xfId="3598" xr:uid="{00000000-0005-0000-0000-000044150000}"/>
    <cellStyle name="B_Bot 20 3" xfId="25382" xr:uid="{00000000-0005-0000-0000-000045150000}"/>
    <cellStyle name="B_Bot 21" xfId="3599" xr:uid="{00000000-0005-0000-0000-000046150000}"/>
    <cellStyle name="B_Bot 21 2" xfId="3600" xr:uid="{00000000-0005-0000-0000-000047150000}"/>
    <cellStyle name="B_Bot 21 3" xfId="25383" xr:uid="{00000000-0005-0000-0000-000048150000}"/>
    <cellStyle name="B_Bot 22" xfId="3601" xr:uid="{00000000-0005-0000-0000-000049150000}"/>
    <cellStyle name="B_Bot 22 2" xfId="3602" xr:uid="{00000000-0005-0000-0000-00004A150000}"/>
    <cellStyle name="B_Bot 22 3" xfId="25384" xr:uid="{00000000-0005-0000-0000-00004B150000}"/>
    <cellStyle name="B_Bot 23" xfId="3603" xr:uid="{00000000-0005-0000-0000-00004C150000}"/>
    <cellStyle name="B_Bot 23 2" xfId="3604" xr:uid="{00000000-0005-0000-0000-00004D150000}"/>
    <cellStyle name="B_Bot 23 3" xfId="25385" xr:uid="{00000000-0005-0000-0000-00004E150000}"/>
    <cellStyle name="B_Bot 24" xfId="3605" xr:uid="{00000000-0005-0000-0000-00004F150000}"/>
    <cellStyle name="B_Bot 25" xfId="25386" xr:uid="{00000000-0005-0000-0000-000050150000}"/>
    <cellStyle name="B_Bot 3" xfId="3606" xr:uid="{00000000-0005-0000-0000-000051150000}"/>
    <cellStyle name="B_Bot 3 2" xfId="3607" xr:uid="{00000000-0005-0000-0000-000052150000}"/>
    <cellStyle name="B_Bot 3 3" xfId="25387" xr:uid="{00000000-0005-0000-0000-000053150000}"/>
    <cellStyle name="B_Bot 4" xfId="3608" xr:uid="{00000000-0005-0000-0000-000054150000}"/>
    <cellStyle name="B_Bot 4 2" xfId="3609" xr:uid="{00000000-0005-0000-0000-000055150000}"/>
    <cellStyle name="B_Bot 4 3" xfId="25388" xr:uid="{00000000-0005-0000-0000-000056150000}"/>
    <cellStyle name="B_Bot 5" xfId="3610" xr:uid="{00000000-0005-0000-0000-000057150000}"/>
    <cellStyle name="B_Bot 5 2" xfId="3611" xr:uid="{00000000-0005-0000-0000-000058150000}"/>
    <cellStyle name="B_Bot 5 3" xfId="25389" xr:uid="{00000000-0005-0000-0000-000059150000}"/>
    <cellStyle name="B_Bot 6" xfId="3612" xr:uid="{00000000-0005-0000-0000-00005A150000}"/>
    <cellStyle name="B_Bot 6 2" xfId="3613" xr:uid="{00000000-0005-0000-0000-00005B150000}"/>
    <cellStyle name="B_Bot 6 3" xfId="25390" xr:uid="{00000000-0005-0000-0000-00005C150000}"/>
    <cellStyle name="B_Bot 7" xfId="3614" xr:uid="{00000000-0005-0000-0000-00005D150000}"/>
    <cellStyle name="B_Bot 7 2" xfId="3615" xr:uid="{00000000-0005-0000-0000-00005E150000}"/>
    <cellStyle name="B_Bot 7 3" xfId="25391" xr:uid="{00000000-0005-0000-0000-00005F150000}"/>
    <cellStyle name="B_Bot 8" xfId="3616" xr:uid="{00000000-0005-0000-0000-000060150000}"/>
    <cellStyle name="B_Bot 8 2" xfId="3617" xr:uid="{00000000-0005-0000-0000-000061150000}"/>
    <cellStyle name="B_Bot 8 3" xfId="25392" xr:uid="{00000000-0005-0000-0000-000062150000}"/>
    <cellStyle name="B_Bot 9" xfId="3618" xr:uid="{00000000-0005-0000-0000-000063150000}"/>
    <cellStyle name="B_Bot 9 2" xfId="3619" xr:uid="{00000000-0005-0000-0000-000064150000}"/>
    <cellStyle name="B_Bot 9 3" xfId="25393" xr:uid="{00000000-0005-0000-0000-000065150000}"/>
    <cellStyle name="B_Bot_ASSUMP" xfId="3620" xr:uid="{00000000-0005-0000-0000-000066150000}"/>
    <cellStyle name="B_Bot_ASSUMP 10" xfId="3621" xr:uid="{00000000-0005-0000-0000-000067150000}"/>
    <cellStyle name="B_Bot_ASSUMP 10 2" xfId="3622" xr:uid="{00000000-0005-0000-0000-000068150000}"/>
    <cellStyle name="B_Bot_ASSUMP 10 3" xfId="25394" xr:uid="{00000000-0005-0000-0000-000069150000}"/>
    <cellStyle name="B_Bot_ASSUMP 11" xfId="3623" xr:uid="{00000000-0005-0000-0000-00006A150000}"/>
    <cellStyle name="B_Bot_ASSUMP 11 2" xfId="3624" xr:uid="{00000000-0005-0000-0000-00006B150000}"/>
    <cellStyle name="B_Bot_ASSUMP 11 3" xfId="25395" xr:uid="{00000000-0005-0000-0000-00006C150000}"/>
    <cellStyle name="B_Bot_ASSUMP 12" xfId="3625" xr:uid="{00000000-0005-0000-0000-00006D150000}"/>
    <cellStyle name="B_Bot_ASSUMP 12 2" xfId="3626" xr:uid="{00000000-0005-0000-0000-00006E150000}"/>
    <cellStyle name="B_Bot_ASSUMP 12 3" xfId="25396" xr:uid="{00000000-0005-0000-0000-00006F150000}"/>
    <cellStyle name="B_Bot_ASSUMP 13" xfId="3627" xr:uid="{00000000-0005-0000-0000-000070150000}"/>
    <cellStyle name="B_Bot_ASSUMP 13 2" xfId="3628" xr:uid="{00000000-0005-0000-0000-000071150000}"/>
    <cellStyle name="B_Bot_ASSUMP 13 3" xfId="25397" xr:uid="{00000000-0005-0000-0000-000072150000}"/>
    <cellStyle name="B_Bot_ASSUMP 14" xfId="3629" xr:uid="{00000000-0005-0000-0000-000073150000}"/>
    <cellStyle name="B_Bot_ASSUMP 14 2" xfId="3630" xr:uid="{00000000-0005-0000-0000-000074150000}"/>
    <cellStyle name="B_Bot_ASSUMP 14 3" xfId="25398" xr:uid="{00000000-0005-0000-0000-000075150000}"/>
    <cellStyle name="B_Bot_ASSUMP 15" xfId="3631" xr:uid="{00000000-0005-0000-0000-000076150000}"/>
    <cellStyle name="B_Bot_ASSUMP 15 2" xfId="3632" xr:uid="{00000000-0005-0000-0000-000077150000}"/>
    <cellStyle name="B_Bot_ASSUMP 15 3" xfId="25399" xr:uid="{00000000-0005-0000-0000-000078150000}"/>
    <cellStyle name="B_Bot_ASSUMP 16" xfId="3633" xr:uid="{00000000-0005-0000-0000-000079150000}"/>
    <cellStyle name="B_Bot_ASSUMP 16 2" xfId="3634" xr:uid="{00000000-0005-0000-0000-00007A150000}"/>
    <cellStyle name="B_Bot_ASSUMP 16 3" xfId="25400" xr:uid="{00000000-0005-0000-0000-00007B150000}"/>
    <cellStyle name="B_Bot_ASSUMP 17" xfId="3635" xr:uid="{00000000-0005-0000-0000-00007C150000}"/>
    <cellStyle name="B_Bot_ASSUMP 17 2" xfId="3636" xr:uid="{00000000-0005-0000-0000-00007D150000}"/>
    <cellStyle name="B_Bot_ASSUMP 17 3" xfId="25401" xr:uid="{00000000-0005-0000-0000-00007E150000}"/>
    <cellStyle name="B_Bot_ASSUMP 18" xfId="3637" xr:uid="{00000000-0005-0000-0000-00007F150000}"/>
    <cellStyle name="B_Bot_ASSUMP 18 2" xfId="3638" xr:uid="{00000000-0005-0000-0000-000080150000}"/>
    <cellStyle name="B_Bot_ASSUMP 18 3" xfId="25402" xr:uid="{00000000-0005-0000-0000-000081150000}"/>
    <cellStyle name="B_Bot_ASSUMP 19" xfId="3639" xr:uid="{00000000-0005-0000-0000-000082150000}"/>
    <cellStyle name="B_Bot_ASSUMP 19 2" xfId="3640" xr:uid="{00000000-0005-0000-0000-000083150000}"/>
    <cellStyle name="B_Bot_ASSUMP 19 3" xfId="25403" xr:uid="{00000000-0005-0000-0000-000084150000}"/>
    <cellStyle name="B_Bot_ASSUMP 2" xfId="3641" xr:uid="{00000000-0005-0000-0000-000085150000}"/>
    <cellStyle name="B_Bot_ASSUMP 2 2" xfId="3642" xr:uid="{00000000-0005-0000-0000-000086150000}"/>
    <cellStyle name="B_Bot_ASSUMP 2 3" xfId="25404" xr:uid="{00000000-0005-0000-0000-000087150000}"/>
    <cellStyle name="B_Bot_ASSUMP 20" xfId="3643" xr:uid="{00000000-0005-0000-0000-000088150000}"/>
    <cellStyle name="B_Bot_ASSUMP 20 2" xfId="3644" xr:uid="{00000000-0005-0000-0000-000089150000}"/>
    <cellStyle name="B_Bot_ASSUMP 20 3" xfId="25405" xr:uid="{00000000-0005-0000-0000-00008A150000}"/>
    <cellStyle name="B_Bot_ASSUMP 21" xfId="3645" xr:uid="{00000000-0005-0000-0000-00008B150000}"/>
    <cellStyle name="B_Bot_ASSUMP 21 2" xfId="3646" xr:uid="{00000000-0005-0000-0000-00008C150000}"/>
    <cellStyle name="B_Bot_ASSUMP 21 3" xfId="25406" xr:uid="{00000000-0005-0000-0000-00008D150000}"/>
    <cellStyle name="B_Bot_ASSUMP 22" xfId="3647" xr:uid="{00000000-0005-0000-0000-00008E150000}"/>
    <cellStyle name="B_Bot_ASSUMP 22 2" xfId="3648" xr:uid="{00000000-0005-0000-0000-00008F150000}"/>
    <cellStyle name="B_Bot_ASSUMP 22 3" xfId="25407" xr:uid="{00000000-0005-0000-0000-000090150000}"/>
    <cellStyle name="B_Bot_ASSUMP 23" xfId="3649" xr:uid="{00000000-0005-0000-0000-000091150000}"/>
    <cellStyle name="B_Bot_ASSUMP 23 2" xfId="3650" xr:uid="{00000000-0005-0000-0000-000092150000}"/>
    <cellStyle name="B_Bot_ASSUMP 23 3" xfId="25408" xr:uid="{00000000-0005-0000-0000-000093150000}"/>
    <cellStyle name="B_Bot_ASSUMP 24" xfId="3651" xr:uid="{00000000-0005-0000-0000-000094150000}"/>
    <cellStyle name="B_Bot_ASSUMP 25" xfId="25409" xr:uid="{00000000-0005-0000-0000-000095150000}"/>
    <cellStyle name="B_Bot_ASSUMP 3" xfId="3652" xr:uid="{00000000-0005-0000-0000-000096150000}"/>
    <cellStyle name="B_Bot_ASSUMP 3 2" xfId="3653" xr:uid="{00000000-0005-0000-0000-000097150000}"/>
    <cellStyle name="B_Bot_ASSUMP 3 3" xfId="25410" xr:uid="{00000000-0005-0000-0000-000098150000}"/>
    <cellStyle name="B_Bot_ASSUMP 4" xfId="3654" xr:uid="{00000000-0005-0000-0000-000099150000}"/>
    <cellStyle name="B_Bot_ASSUMP 4 2" xfId="3655" xr:uid="{00000000-0005-0000-0000-00009A150000}"/>
    <cellStyle name="B_Bot_ASSUMP 4 3" xfId="25411" xr:uid="{00000000-0005-0000-0000-00009B150000}"/>
    <cellStyle name="B_Bot_ASSUMP 5" xfId="3656" xr:uid="{00000000-0005-0000-0000-00009C150000}"/>
    <cellStyle name="B_Bot_ASSUMP 5 2" xfId="3657" xr:uid="{00000000-0005-0000-0000-00009D150000}"/>
    <cellStyle name="B_Bot_ASSUMP 5 3" xfId="25412" xr:uid="{00000000-0005-0000-0000-00009E150000}"/>
    <cellStyle name="B_Bot_ASSUMP 6" xfId="3658" xr:uid="{00000000-0005-0000-0000-00009F150000}"/>
    <cellStyle name="B_Bot_ASSUMP 6 2" xfId="3659" xr:uid="{00000000-0005-0000-0000-0000A0150000}"/>
    <cellStyle name="B_Bot_ASSUMP 6 3" xfId="25413" xr:uid="{00000000-0005-0000-0000-0000A1150000}"/>
    <cellStyle name="B_Bot_ASSUMP 7" xfId="3660" xr:uid="{00000000-0005-0000-0000-0000A2150000}"/>
    <cellStyle name="B_Bot_ASSUMP 7 2" xfId="3661" xr:uid="{00000000-0005-0000-0000-0000A3150000}"/>
    <cellStyle name="B_Bot_ASSUMP 7 3" xfId="25414" xr:uid="{00000000-0005-0000-0000-0000A4150000}"/>
    <cellStyle name="B_Bot_ASSUMP 8" xfId="3662" xr:uid="{00000000-0005-0000-0000-0000A5150000}"/>
    <cellStyle name="B_Bot_ASSUMP 8 2" xfId="3663" xr:uid="{00000000-0005-0000-0000-0000A6150000}"/>
    <cellStyle name="B_Bot_ASSUMP 8 3" xfId="25415" xr:uid="{00000000-0005-0000-0000-0000A7150000}"/>
    <cellStyle name="B_Bot_ASSUMP 9" xfId="3664" xr:uid="{00000000-0005-0000-0000-0000A8150000}"/>
    <cellStyle name="B_Bot_ASSUMP 9 2" xfId="3665" xr:uid="{00000000-0005-0000-0000-0000A9150000}"/>
    <cellStyle name="B_Bot_ASSUMP 9 3" xfId="25416" xr:uid="{00000000-0005-0000-0000-0000AA150000}"/>
    <cellStyle name="B_Bot_ASSUMP_PROD_DETAILS" xfId="3666" xr:uid="{00000000-0005-0000-0000-0000AB150000}"/>
    <cellStyle name="B_Bot_ASSUMP_PROD_DETAILS 2" xfId="3667" xr:uid="{00000000-0005-0000-0000-0000AC150000}"/>
    <cellStyle name="B_Bot_ASSUMP_PROD_DETAILS 3" xfId="25417" xr:uid="{00000000-0005-0000-0000-0000AD150000}"/>
    <cellStyle name="B_Bot_ASSUMP_SOLVENCY POSITION " xfId="3668" xr:uid="{00000000-0005-0000-0000-0000AE150000}"/>
    <cellStyle name="B_Bot_ASSUMP_SOLVENCY POSITION  2" xfId="3669" xr:uid="{00000000-0005-0000-0000-0000AF150000}"/>
    <cellStyle name="B_Bot_ASSUMP_SOLVENCY POSITION  3" xfId="25418" xr:uid="{00000000-0005-0000-0000-0000B0150000}"/>
    <cellStyle name="B_Bot_Checks" xfId="3670" xr:uid="{00000000-0005-0000-0000-0000B1150000}"/>
    <cellStyle name="B_Bot_Checks 10" xfId="3671" xr:uid="{00000000-0005-0000-0000-0000B2150000}"/>
    <cellStyle name="B_Bot_Checks 10 2" xfId="3672" xr:uid="{00000000-0005-0000-0000-0000B3150000}"/>
    <cellStyle name="B_Bot_Checks 10 3" xfId="25419" xr:uid="{00000000-0005-0000-0000-0000B4150000}"/>
    <cellStyle name="B_Bot_Checks 11" xfId="3673" xr:uid="{00000000-0005-0000-0000-0000B5150000}"/>
    <cellStyle name="B_Bot_Checks 11 2" xfId="3674" xr:uid="{00000000-0005-0000-0000-0000B6150000}"/>
    <cellStyle name="B_Bot_Checks 11 3" xfId="25420" xr:uid="{00000000-0005-0000-0000-0000B7150000}"/>
    <cellStyle name="B_Bot_Checks 12" xfId="3675" xr:uid="{00000000-0005-0000-0000-0000B8150000}"/>
    <cellStyle name="B_Bot_Checks 12 2" xfId="3676" xr:uid="{00000000-0005-0000-0000-0000B9150000}"/>
    <cellStyle name="B_Bot_Checks 12 3" xfId="25421" xr:uid="{00000000-0005-0000-0000-0000BA150000}"/>
    <cellStyle name="B_Bot_Checks 13" xfId="3677" xr:uid="{00000000-0005-0000-0000-0000BB150000}"/>
    <cellStyle name="B_Bot_Checks 13 2" xfId="3678" xr:uid="{00000000-0005-0000-0000-0000BC150000}"/>
    <cellStyle name="B_Bot_Checks 13 3" xfId="25422" xr:uid="{00000000-0005-0000-0000-0000BD150000}"/>
    <cellStyle name="B_Bot_Checks 14" xfId="3679" xr:uid="{00000000-0005-0000-0000-0000BE150000}"/>
    <cellStyle name="B_Bot_Checks 14 2" xfId="3680" xr:uid="{00000000-0005-0000-0000-0000BF150000}"/>
    <cellStyle name="B_Bot_Checks 14 3" xfId="25423" xr:uid="{00000000-0005-0000-0000-0000C0150000}"/>
    <cellStyle name="B_Bot_Checks 15" xfId="3681" xr:uid="{00000000-0005-0000-0000-0000C1150000}"/>
    <cellStyle name="B_Bot_Checks 15 2" xfId="3682" xr:uid="{00000000-0005-0000-0000-0000C2150000}"/>
    <cellStyle name="B_Bot_Checks 15 3" xfId="25424" xr:uid="{00000000-0005-0000-0000-0000C3150000}"/>
    <cellStyle name="B_Bot_Checks 16" xfId="3683" xr:uid="{00000000-0005-0000-0000-0000C4150000}"/>
    <cellStyle name="B_Bot_Checks 16 2" xfId="3684" xr:uid="{00000000-0005-0000-0000-0000C5150000}"/>
    <cellStyle name="B_Bot_Checks 16 3" xfId="25425" xr:uid="{00000000-0005-0000-0000-0000C6150000}"/>
    <cellStyle name="B_Bot_Checks 17" xfId="3685" xr:uid="{00000000-0005-0000-0000-0000C7150000}"/>
    <cellStyle name="B_Bot_Checks 17 2" xfId="3686" xr:uid="{00000000-0005-0000-0000-0000C8150000}"/>
    <cellStyle name="B_Bot_Checks 17 3" xfId="25426" xr:uid="{00000000-0005-0000-0000-0000C9150000}"/>
    <cellStyle name="B_Bot_Checks 18" xfId="3687" xr:uid="{00000000-0005-0000-0000-0000CA150000}"/>
    <cellStyle name="B_Bot_Checks 18 2" xfId="3688" xr:uid="{00000000-0005-0000-0000-0000CB150000}"/>
    <cellStyle name="B_Bot_Checks 18 3" xfId="25427" xr:uid="{00000000-0005-0000-0000-0000CC150000}"/>
    <cellStyle name="B_Bot_Checks 19" xfId="3689" xr:uid="{00000000-0005-0000-0000-0000CD150000}"/>
    <cellStyle name="B_Bot_Checks 19 2" xfId="3690" xr:uid="{00000000-0005-0000-0000-0000CE150000}"/>
    <cellStyle name="B_Bot_Checks 19 3" xfId="25428" xr:uid="{00000000-0005-0000-0000-0000CF150000}"/>
    <cellStyle name="B_Bot_Checks 2" xfId="3691" xr:uid="{00000000-0005-0000-0000-0000D0150000}"/>
    <cellStyle name="B_Bot_Checks 2 2" xfId="3692" xr:uid="{00000000-0005-0000-0000-0000D1150000}"/>
    <cellStyle name="B_Bot_Checks 2 3" xfId="25429" xr:uid="{00000000-0005-0000-0000-0000D2150000}"/>
    <cellStyle name="B_Bot_Checks 20" xfId="3693" xr:uid="{00000000-0005-0000-0000-0000D3150000}"/>
    <cellStyle name="B_Bot_Checks 20 2" xfId="3694" xr:uid="{00000000-0005-0000-0000-0000D4150000}"/>
    <cellStyle name="B_Bot_Checks 20 3" xfId="25430" xr:uid="{00000000-0005-0000-0000-0000D5150000}"/>
    <cellStyle name="B_Bot_Checks 21" xfId="3695" xr:uid="{00000000-0005-0000-0000-0000D6150000}"/>
    <cellStyle name="B_Bot_Checks 21 2" xfId="3696" xr:uid="{00000000-0005-0000-0000-0000D7150000}"/>
    <cellStyle name="B_Bot_Checks 21 3" xfId="25431" xr:uid="{00000000-0005-0000-0000-0000D8150000}"/>
    <cellStyle name="B_Bot_Checks 22" xfId="3697" xr:uid="{00000000-0005-0000-0000-0000D9150000}"/>
    <cellStyle name="B_Bot_Checks 22 2" xfId="3698" xr:uid="{00000000-0005-0000-0000-0000DA150000}"/>
    <cellStyle name="B_Bot_Checks 22 3" xfId="25432" xr:uid="{00000000-0005-0000-0000-0000DB150000}"/>
    <cellStyle name="B_Bot_Checks 23" xfId="3699" xr:uid="{00000000-0005-0000-0000-0000DC150000}"/>
    <cellStyle name="B_Bot_Checks 23 2" xfId="3700" xr:uid="{00000000-0005-0000-0000-0000DD150000}"/>
    <cellStyle name="B_Bot_Checks 23 3" xfId="25433" xr:uid="{00000000-0005-0000-0000-0000DE150000}"/>
    <cellStyle name="B_Bot_Checks 24" xfId="3701" xr:uid="{00000000-0005-0000-0000-0000DF150000}"/>
    <cellStyle name="B_Bot_Checks 25" xfId="25434" xr:uid="{00000000-0005-0000-0000-0000E0150000}"/>
    <cellStyle name="B_Bot_Checks 3" xfId="3702" xr:uid="{00000000-0005-0000-0000-0000E1150000}"/>
    <cellStyle name="B_Bot_Checks 3 2" xfId="3703" xr:uid="{00000000-0005-0000-0000-0000E2150000}"/>
    <cellStyle name="B_Bot_Checks 3 3" xfId="25435" xr:uid="{00000000-0005-0000-0000-0000E3150000}"/>
    <cellStyle name="B_Bot_Checks 4" xfId="3704" xr:uid="{00000000-0005-0000-0000-0000E4150000}"/>
    <cellStyle name="B_Bot_Checks 4 2" xfId="3705" xr:uid="{00000000-0005-0000-0000-0000E5150000}"/>
    <cellStyle name="B_Bot_Checks 4 3" xfId="25436" xr:uid="{00000000-0005-0000-0000-0000E6150000}"/>
    <cellStyle name="B_Bot_Checks 5" xfId="3706" xr:uid="{00000000-0005-0000-0000-0000E7150000}"/>
    <cellStyle name="B_Bot_Checks 5 2" xfId="3707" xr:uid="{00000000-0005-0000-0000-0000E8150000}"/>
    <cellStyle name="B_Bot_Checks 5 3" xfId="25437" xr:uid="{00000000-0005-0000-0000-0000E9150000}"/>
    <cellStyle name="B_Bot_Checks 6" xfId="3708" xr:uid="{00000000-0005-0000-0000-0000EA150000}"/>
    <cellStyle name="B_Bot_Checks 6 2" xfId="3709" xr:uid="{00000000-0005-0000-0000-0000EB150000}"/>
    <cellStyle name="B_Bot_Checks 6 3" xfId="25438" xr:uid="{00000000-0005-0000-0000-0000EC150000}"/>
    <cellStyle name="B_Bot_Checks 7" xfId="3710" xr:uid="{00000000-0005-0000-0000-0000ED150000}"/>
    <cellStyle name="B_Bot_Checks 7 2" xfId="3711" xr:uid="{00000000-0005-0000-0000-0000EE150000}"/>
    <cellStyle name="B_Bot_Checks 7 3" xfId="25439" xr:uid="{00000000-0005-0000-0000-0000EF150000}"/>
    <cellStyle name="B_Bot_Checks 8" xfId="3712" xr:uid="{00000000-0005-0000-0000-0000F0150000}"/>
    <cellStyle name="B_Bot_Checks 8 2" xfId="3713" xr:uid="{00000000-0005-0000-0000-0000F1150000}"/>
    <cellStyle name="B_Bot_Checks 8 3" xfId="25440" xr:uid="{00000000-0005-0000-0000-0000F2150000}"/>
    <cellStyle name="B_Bot_Checks 9" xfId="3714" xr:uid="{00000000-0005-0000-0000-0000F3150000}"/>
    <cellStyle name="B_Bot_Checks 9 2" xfId="3715" xr:uid="{00000000-0005-0000-0000-0000F4150000}"/>
    <cellStyle name="B_Bot_Checks 9 3" xfId="25441" xr:uid="{00000000-0005-0000-0000-0000F5150000}"/>
    <cellStyle name="B_Bot_Checks_PROD_DETAILS" xfId="3716" xr:uid="{00000000-0005-0000-0000-0000F6150000}"/>
    <cellStyle name="B_Bot_Checks_PROD_DETAILS 2" xfId="3717" xr:uid="{00000000-0005-0000-0000-0000F7150000}"/>
    <cellStyle name="B_Bot_Checks_PROD_DETAILS 3" xfId="25442" xr:uid="{00000000-0005-0000-0000-0000F8150000}"/>
    <cellStyle name="B_Bot_Checks_SOLVENCY POSITION " xfId="3718" xr:uid="{00000000-0005-0000-0000-0000F9150000}"/>
    <cellStyle name="B_Bot_Checks_SOLVENCY POSITION  2" xfId="3719" xr:uid="{00000000-0005-0000-0000-0000FA150000}"/>
    <cellStyle name="B_Bot_Checks_SOLVENCY POSITION  3" xfId="25443" xr:uid="{00000000-0005-0000-0000-0000FB150000}"/>
    <cellStyle name="B_Bot_Group Life" xfId="3720" xr:uid="{00000000-0005-0000-0000-0000FC150000}"/>
    <cellStyle name="B_Bot_Group Life 10" xfId="3721" xr:uid="{00000000-0005-0000-0000-0000FD150000}"/>
    <cellStyle name="B_Bot_Group Life 10 2" xfId="3722" xr:uid="{00000000-0005-0000-0000-0000FE150000}"/>
    <cellStyle name="B_Bot_Group Life 10 3" xfId="25444" xr:uid="{00000000-0005-0000-0000-0000FF150000}"/>
    <cellStyle name="B_Bot_Group Life 11" xfId="3723" xr:uid="{00000000-0005-0000-0000-000000160000}"/>
    <cellStyle name="B_Bot_Group Life 11 2" xfId="3724" xr:uid="{00000000-0005-0000-0000-000001160000}"/>
    <cellStyle name="B_Bot_Group Life 11 3" xfId="25445" xr:uid="{00000000-0005-0000-0000-000002160000}"/>
    <cellStyle name="B_Bot_Group Life 12" xfId="3725" xr:uid="{00000000-0005-0000-0000-000003160000}"/>
    <cellStyle name="B_Bot_Group Life 12 2" xfId="3726" xr:uid="{00000000-0005-0000-0000-000004160000}"/>
    <cellStyle name="B_Bot_Group Life 12 3" xfId="25446" xr:uid="{00000000-0005-0000-0000-000005160000}"/>
    <cellStyle name="B_Bot_Group Life 13" xfId="3727" xr:uid="{00000000-0005-0000-0000-000006160000}"/>
    <cellStyle name="B_Bot_Group Life 13 2" xfId="3728" xr:uid="{00000000-0005-0000-0000-000007160000}"/>
    <cellStyle name="B_Bot_Group Life 13 3" xfId="25447" xr:uid="{00000000-0005-0000-0000-000008160000}"/>
    <cellStyle name="B_Bot_Group Life 14" xfId="3729" xr:uid="{00000000-0005-0000-0000-000009160000}"/>
    <cellStyle name="B_Bot_Group Life 14 2" xfId="3730" xr:uid="{00000000-0005-0000-0000-00000A160000}"/>
    <cellStyle name="B_Bot_Group Life 14 3" xfId="25448" xr:uid="{00000000-0005-0000-0000-00000B160000}"/>
    <cellStyle name="B_Bot_Group Life 15" xfId="3731" xr:uid="{00000000-0005-0000-0000-00000C160000}"/>
    <cellStyle name="B_Bot_Group Life 15 2" xfId="3732" xr:uid="{00000000-0005-0000-0000-00000D160000}"/>
    <cellStyle name="B_Bot_Group Life 15 3" xfId="25449" xr:uid="{00000000-0005-0000-0000-00000E160000}"/>
    <cellStyle name="B_Bot_Group Life 16" xfId="3733" xr:uid="{00000000-0005-0000-0000-00000F160000}"/>
    <cellStyle name="B_Bot_Group Life 16 2" xfId="3734" xr:uid="{00000000-0005-0000-0000-000010160000}"/>
    <cellStyle name="B_Bot_Group Life 16 3" xfId="25450" xr:uid="{00000000-0005-0000-0000-000011160000}"/>
    <cellStyle name="B_Bot_Group Life 17" xfId="3735" xr:uid="{00000000-0005-0000-0000-000012160000}"/>
    <cellStyle name="B_Bot_Group Life 17 2" xfId="3736" xr:uid="{00000000-0005-0000-0000-000013160000}"/>
    <cellStyle name="B_Bot_Group Life 17 3" xfId="25451" xr:uid="{00000000-0005-0000-0000-000014160000}"/>
    <cellStyle name="B_Bot_Group Life 18" xfId="3737" xr:uid="{00000000-0005-0000-0000-000015160000}"/>
    <cellStyle name="B_Bot_Group Life 18 2" xfId="3738" xr:uid="{00000000-0005-0000-0000-000016160000}"/>
    <cellStyle name="B_Bot_Group Life 18 3" xfId="25452" xr:uid="{00000000-0005-0000-0000-000017160000}"/>
    <cellStyle name="B_Bot_Group Life 19" xfId="3739" xr:uid="{00000000-0005-0000-0000-000018160000}"/>
    <cellStyle name="B_Bot_Group Life 19 2" xfId="3740" xr:uid="{00000000-0005-0000-0000-000019160000}"/>
    <cellStyle name="B_Bot_Group Life 19 3" xfId="25453" xr:uid="{00000000-0005-0000-0000-00001A160000}"/>
    <cellStyle name="B_Bot_Group Life 2" xfId="3741" xr:uid="{00000000-0005-0000-0000-00001B160000}"/>
    <cellStyle name="B_Bot_Group Life 2 2" xfId="3742" xr:uid="{00000000-0005-0000-0000-00001C160000}"/>
    <cellStyle name="B_Bot_Group Life 2 3" xfId="25454" xr:uid="{00000000-0005-0000-0000-00001D160000}"/>
    <cellStyle name="B_Bot_Group Life 20" xfId="3743" xr:uid="{00000000-0005-0000-0000-00001E160000}"/>
    <cellStyle name="B_Bot_Group Life 20 2" xfId="3744" xr:uid="{00000000-0005-0000-0000-00001F160000}"/>
    <cellStyle name="B_Bot_Group Life 20 3" xfId="25455" xr:uid="{00000000-0005-0000-0000-000020160000}"/>
    <cellStyle name="B_Bot_Group Life 21" xfId="3745" xr:uid="{00000000-0005-0000-0000-000021160000}"/>
    <cellStyle name="B_Bot_Group Life 21 2" xfId="3746" xr:uid="{00000000-0005-0000-0000-000022160000}"/>
    <cellStyle name="B_Bot_Group Life 21 3" xfId="25456" xr:uid="{00000000-0005-0000-0000-000023160000}"/>
    <cellStyle name="B_Bot_Group Life 22" xfId="3747" xr:uid="{00000000-0005-0000-0000-000024160000}"/>
    <cellStyle name="B_Bot_Group Life 22 2" xfId="3748" xr:uid="{00000000-0005-0000-0000-000025160000}"/>
    <cellStyle name="B_Bot_Group Life 22 3" xfId="25457" xr:uid="{00000000-0005-0000-0000-000026160000}"/>
    <cellStyle name="B_Bot_Group Life 23" xfId="3749" xr:uid="{00000000-0005-0000-0000-000027160000}"/>
    <cellStyle name="B_Bot_Group Life 23 2" xfId="3750" xr:uid="{00000000-0005-0000-0000-000028160000}"/>
    <cellStyle name="B_Bot_Group Life 23 3" xfId="25458" xr:uid="{00000000-0005-0000-0000-000029160000}"/>
    <cellStyle name="B_Bot_Group Life 24" xfId="3751" xr:uid="{00000000-0005-0000-0000-00002A160000}"/>
    <cellStyle name="B_Bot_Group Life 25" xfId="25459" xr:uid="{00000000-0005-0000-0000-00002B160000}"/>
    <cellStyle name="B_Bot_Group Life 3" xfId="3752" xr:uid="{00000000-0005-0000-0000-00002C160000}"/>
    <cellStyle name="B_Bot_Group Life 3 2" xfId="3753" xr:uid="{00000000-0005-0000-0000-00002D160000}"/>
    <cellStyle name="B_Bot_Group Life 3 3" xfId="25460" xr:uid="{00000000-0005-0000-0000-00002E160000}"/>
    <cellStyle name="B_Bot_Group Life 4" xfId="3754" xr:uid="{00000000-0005-0000-0000-00002F160000}"/>
    <cellStyle name="B_Bot_Group Life 4 2" xfId="3755" xr:uid="{00000000-0005-0000-0000-000030160000}"/>
    <cellStyle name="B_Bot_Group Life 4 3" xfId="25461" xr:uid="{00000000-0005-0000-0000-000031160000}"/>
    <cellStyle name="B_Bot_Group Life 5" xfId="3756" xr:uid="{00000000-0005-0000-0000-000032160000}"/>
    <cellStyle name="B_Bot_Group Life 5 2" xfId="3757" xr:uid="{00000000-0005-0000-0000-000033160000}"/>
    <cellStyle name="B_Bot_Group Life 5 3" xfId="25462" xr:uid="{00000000-0005-0000-0000-000034160000}"/>
    <cellStyle name="B_Bot_Group Life 6" xfId="3758" xr:uid="{00000000-0005-0000-0000-000035160000}"/>
    <cellStyle name="B_Bot_Group Life 6 2" xfId="3759" xr:uid="{00000000-0005-0000-0000-000036160000}"/>
    <cellStyle name="B_Bot_Group Life 6 3" xfId="25463" xr:uid="{00000000-0005-0000-0000-000037160000}"/>
    <cellStyle name="B_Bot_Group Life 7" xfId="3760" xr:uid="{00000000-0005-0000-0000-000038160000}"/>
    <cellStyle name="B_Bot_Group Life 7 2" xfId="3761" xr:uid="{00000000-0005-0000-0000-000039160000}"/>
    <cellStyle name="B_Bot_Group Life 7 3" xfId="25464" xr:uid="{00000000-0005-0000-0000-00003A160000}"/>
    <cellStyle name="B_Bot_Group Life 8" xfId="3762" xr:uid="{00000000-0005-0000-0000-00003B160000}"/>
    <cellStyle name="B_Bot_Group Life 8 2" xfId="3763" xr:uid="{00000000-0005-0000-0000-00003C160000}"/>
    <cellStyle name="B_Bot_Group Life 8 3" xfId="25465" xr:uid="{00000000-0005-0000-0000-00003D160000}"/>
    <cellStyle name="B_Bot_Group Life 9" xfId="3764" xr:uid="{00000000-0005-0000-0000-00003E160000}"/>
    <cellStyle name="B_Bot_Group Life 9 2" xfId="3765" xr:uid="{00000000-0005-0000-0000-00003F160000}"/>
    <cellStyle name="B_Bot_Group Life 9 3" xfId="25466" xr:uid="{00000000-0005-0000-0000-000040160000}"/>
    <cellStyle name="B_Bot_Group Life_PROD_DETAILS" xfId="3766" xr:uid="{00000000-0005-0000-0000-000041160000}"/>
    <cellStyle name="B_Bot_Group Life_PROD_DETAILS 2" xfId="3767" xr:uid="{00000000-0005-0000-0000-000042160000}"/>
    <cellStyle name="B_Bot_Group Life_PROD_DETAILS 3" xfId="25467" xr:uid="{00000000-0005-0000-0000-000043160000}"/>
    <cellStyle name="B_Bot_Group Life_SOLVENCY POSITION " xfId="3768" xr:uid="{00000000-0005-0000-0000-000044160000}"/>
    <cellStyle name="B_Bot_Group Life_SOLVENCY POSITION  2" xfId="3769" xr:uid="{00000000-0005-0000-0000-000045160000}"/>
    <cellStyle name="B_Bot_Group Life_SOLVENCY POSITION  3" xfId="25468" xr:uid="{00000000-0005-0000-0000-000046160000}"/>
    <cellStyle name="B_Bot_HK P &amp; L (To Finance to compute tax)" xfId="3770" xr:uid="{00000000-0005-0000-0000-000047160000}"/>
    <cellStyle name="B_Bot_HK P &amp; L (To Finance to compute tax) 10" xfId="3771" xr:uid="{00000000-0005-0000-0000-000048160000}"/>
    <cellStyle name="B_Bot_HK P &amp; L (To Finance to compute tax) 10 2" xfId="3772" xr:uid="{00000000-0005-0000-0000-000049160000}"/>
    <cellStyle name="B_Bot_HK P &amp; L (To Finance to compute tax) 10 3" xfId="25469" xr:uid="{00000000-0005-0000-0000-00004A160000}"/>
    <cellStyle name="B_Bot_HK P &amp; L (To Finance to compute tax) 11" xfId="3773" xr:uid="{00000000-0005-0000-0000-00004B160000}"/>
    <cellStyle name="B_Bot_HK P &amp; L (To Finance to compute tax) 11 2" xfId="3774" xr:uid="{00000000-0005-0000-0000-00004C160000}"/>
    <cellStyle name="B_Bot_HK P &amp; L (To Finance to compute tax) 11 3" xfId="25470" xr:uid="{00000000-0005-0000-0000-00004D160000}"/>
    <cellStyle name="B_Bot_HK P &amp; L (To Finance to compute tax) 12" xfId="3775" xr:uid="{00000000-0005-0000-0000-00004E160000}"/>
    <cellStyle name="B_Bot_HK P &amp; L (To Finance to compute tax) 12 2" xfId="3776" xr:uid="{00000000-0005-0000-0000-00004F160000}"/>
    <cellStyle name="B_Bot_HK P &amp; L (To Finance to compute tax) 12 3" xfId="25471" xr:uid="{00000000-0005-0000-0000-000050160000}"/>
    <cellStyle name="B_Bot_HK P &amp; L (To Finance to compute tax) 13" xfId="3777" xr:uid="{00000000-0005-0000-0000-000051160000}"/>
    <cellStyle name="B_Bot_HK P &amp; L (To Finance to compute tax) 13 2" xfId="3778" xr:uid="{00000000-0005-0000-0000-000052160000}"/>
    <cellStyle name="B_Bot_HK P &amp; L (To Finance to compute tax) 13 3" xfId="25472" xr:uid="{00000000-0005-0000-0000-000053160000}"/>
    <cellStyle name="B_Bot_HK P &amp; L (To Finance to compute tax) 14" xfId="3779" xr:uid="{00000000-0005-0000-0000-000054160000}"/>
    <cellStyle name="B_Bot_HK P &amp; L (To Finance to compute tax) 14 2" xfId="3780" xr:uid="{00000000-0005-0000-0000-000055160000}"/>
    <cellStyle name="B_Bot_HK P &amp; L (To Finance to compute tax) 14 3" xfId="25473" xr:uid="{00000000-0005-0000-0000-000056160000}"/>
    <cellStyle name="B_Bot_HK P &amp; L (To Finance to compute tax) 15" xfId="3781" xr:uid="{00000000-0005-0000-0000-000057160000}"/>
    <cellStyle name="B_Bot_HK P &amp; L (To Finance to compute tax) 15 2" xfId="3782" xr:uid="{00000000-0005-0000-0000-000058160000}"/>
    <cellStyle name="B_Bot_HK P &amp; L (To Finance to compute tax) 15 3" xfId="25474" xr:uid="{00000000-0005-0000-0000-000059160000}"/>
    <cellStyle name="B_Bot_HK P &amp; L (To Finance to compute tax) 16" xfId="3783" xr:uid="{00000000-0005-0000-0000-00005A160000}"/>
    <cellStyle name="B_Bot_HK P &amp; L (To Finance to compute tax) 16 2" xfId="3784" xr:uid="{00000000-0005-0000-0000-00005B160000}"/>
    <cellStyle name="B_Bot_HK P &amp; L (To Finance to compute tax) 16 3" xfId="25475" xr:uid="{00000000-0005-0000-0000-00005C160000}"/>
    <cellStyle name="B_Bot_HK P &amp; L (To Finance to compute tax) 17" xfId="3785" xr:uid="{00000000-0005-0000-0000-00005D160000}"/>
    <cellStyle name="B_Bot_HK P &amp; L (To Finance to compute tax) 17 2" xfId="3786" xr:uid="{00000000-0005-0000-0000-00005E160000}"/>
    <cellStyle name="B_Bot_HK P &amp; L (To Finance to compute tax) 17 3" xfId="25476" xr:uid="{00000000-0005-0000-0000-00005F160000}"/>
    <cellStyle name="B_Bot_HK P &amp; L (To Finance to compute tax) 18" xfId="3787" xr:uid="{00000000-0005-0000-0000-000060160000}"/>
    <cellStyle name="B_Bot_HK P &amp; L (To Finance to compute tax) 18 2" xfId="3788" xr:uid="{00000000-0005-0000-0000-000061160000}"/>
    <cellStyle name="B_Bot_HK P &amp; L (To Finance to compute tax) 18 3" xfId="25477" xr:uid="{00000000-0005-0000-0000-000062160000}"/>
    <cellStyle name="B_Bot_HK P &amp; L (To Finance to compute tax) 19" xfId="3789" xr:uid="{00000000-0005-0000-0000-000063160000}"/>
    <cellStyle name="B_Bot_HK P &amp; L (To Finance to compute tax) 19 2" xfId="3790" xr:uid="{00000000-0005-0000-0000-000064160000}"/>
    <cellStyle name="B_Bot_HK P &amp; L (To Finance to compute tax) 19 3" xfId="25478" xr:uid="{00000000-0005-0000-0000-000065160000}"/>
    <cellStyle name="B_Bot_HK P &amp; L (To Finance to compute tax) 2" xfId="3791" xr:uid="{00000000-0005-0000-0000-000066160000}"/>
    <cellStyle name="B_Bot_HK P &amp; L (To Finance to compute tax) 2 2" xfId="3792" xr:uid="{00000000-0005-0000-0000-000067160000}"/>
    <cellStyle name="B_Bot_HK P &amp; L (To Finance to compute tax) 2 3" xfId="25479" xr:uid="{00000000-0005-0000-0000-000068160000}"/>
    <cellStyle name="B_Bot_HK P &amp; L (To Finance to compute tax) 20" xfId="3793" xr:uid="{00000000-0005-0000-0000-000069160000}"/>
    <cellStyle name="B_Bot_HK P &amp; L (To Finance to compute tax) 20 2" xfId="3794" xr:uid="{00000000-0005-0000-0000-00006A160000}"/>
    <cellStyle name="B_Bot_HK P &amp; L (To Finance to compute tax) 20 3" xfId="25480" xr:uid="{00000000-0005-0000-0000-00006B160000}"/>
    <cellStyle name="B_Bot_HK P &amp; L (To Finance to compute tax) 21" xfId="3795" xr:uid="{00000000-0005-0000-0000-00006C160000}"/>
    <cellStyle name="B_Bot_HK P &amp; L (To Finance to compute tax) 21 2" xfId="3796" xr:uid="{00000000-0005-0000-0000-00006D160000}"/>
    <cellStyle name="B_Bot_HK P &amp; L (To Finance to compute tax) 21 3" xfId="25481" xr:uid="{00000000-0005-0000-0000-00006E160000}"/>
    <cellStyle name="B_Bot_HK P &amp; L (To Finance to compute tax) 22" xfId="3797" xr:uid="{00000000-0005-0000-0000-00006F160000}"/>
    <cellStyle name="B_Bot_HK P &amp; L (To Finance to compute tax) 22 2" xfId="3798" xr:uid="{00000000-0005-0000-0000-000070160000}"/>
    <cellStyle name="B_Bot_HK P &amp; L (To Finance to compute tax) 22 3" xfId="25482" xr:uid="{00000000-0005-0000-0000-000071160000}"/>
    <cellStyle name="B_Bot_HK P &amp; L (To Finance to compute tax) 23" xfId="3799" xr:uid="{00000000-0005-0000-0000-000072160000}"/>
    <cellStyle name="B_Bot_HK P &amp; L (To Finance to compute tax) 23 2" xfId="3800" xr:uid="{00000000-0005-0000-0000-000073160000}"/>
    <cellStyle name="B_Bot_HK P &amp; L (To Finance to compute tax) 23 3" xfId="25483" xr:uid="{00000000-0005-0000-0000-000074160000}"/>
    <cellStyle name="B_Bot_HK P &amp; L (To Finance to compute tax) 24" xfId="3801" xr:uid="{00000000-0005-0000-0000-000075160000}"/>
    <cellStyle name="B_Bot_HK P &amp; L (To Finance to compute tax) 25" xfId="25484" xr:uid="{00000000-0005-0000-0000-000076160000}"/>
    <cellStyle name="B_Bot_HK P &amp; L (To Finance to compute tax) 3" xfId="3802" xr:uid="{00000000-0005-0000-0000-000077160000}"/>
    <cellStyle name="B_Bot_HK P &amp; L (To Finance to compute tax) 3 2" xfId="3803" xr:uid="{00000000-0005-0000-0000-000078160000}"/>
    <cellStyle name="B_Bot_HK P &amp; L (To Finance to compute tax) 3 3" xfId="25485" xr:uid="{00000000-0005-0000-0000-000079160000}"/>
    <cellStyle name="B_Bot_HK P &amp; L (To Finance to compute tax) 4" xfId="3804" xr:uid="{00000000-0005-0000-0000-00007A160000}"/>
    <cellStyle name="B_Bot_HK P &amp; L (To Finance to compute tax) 4 2" xfId="3805" xr:uid="{00000000-0005-0000-0000-00007B160000}"/>
    <cellStyle name="B_Bot_HK P &amp; L (To Finance to compute tax) 4 3" xfId="25486" xr:uid="{00000000-0005-0000-0000-00007C160000}"/>
    <cellStyle name="B_Bot_HK P &amp; L (To Finance to compute tax) 5" xfId="3806" xr:uid="{00000000-0005-0000-0000-00007D160000}"/>
    <cellStyle name="B_Bot_HK P &amp; L (To Finance to compute tax) 5 2" xfId="3807" xr:uid="{00000000-0005-0000-0000-00007E160000}"/>
    <cellStyle name="B_Bot_HK P &amp; L (To Finance to compute tax) 5 3" xfId="25487" xr:uid="{00000000-0005-0000-0000-00007F160000}"/>
    <cellStyle name="B_Bot_HK P &amp; L (To Finance to compute tax) 6" xfId="3808" xr:uid="{00000000-0005-0000-0000-000080160000}"/>
    <cellStyle name="B_Bot_HK P &amp; L (To Finance to compute tax) 6 2" xfId="3809" xr:uid="{00000000-0005-0000-0000-000081160000}"/>
    <cellStyle name="B_Bot_HK P &amp; L (To Finance to compute tax) 6 3" xfId="25488" xr:uid="{00000000-0005-0000-0000-000082160000}"/>
    <cellStyle name="B_Bot_HK P &amp; L (To Finance to compute tax) 7" xfId="3810" xr:uid="{00000000-0005-0000-0000-000083160000}"/>
    <cellStyle name="B_Bot_HK P &amp; L (To Finance to compute tax) 7 2" xfId="3811" xr:uid="{00000000-0005-0000-0000-000084160000}"/>
    <cellStyle name="B_Bot_HK P &amp; L (To Finance to compute tax) 7 3" xfId="25489" xr:uid="{00000000-0005-0000-0000-000085160000}"/>
    <cellStyle name="B_Bot_HK P &amp; L (To Finance to compute tax) 8" xfId="3812" xr:uid="{00000000-0005-0000-0000-000086160000}"/>
    <cellStyle name="B_Bot_HK P &amp; L (To Finance to compute tax) 8 2" xfId="3813" xr:uid="{00000000-0005-0000-0000-000087160000}"/>
    <cellStyle name="B_Bot_HK P &amp; L (To Finance to compute tax) 8 3" xfId="25490" xr:uid="{00000000-0005-0000-0000-000088160000}"/>
    <cellStyle name="B_Bot_HK P &amp; L (To Finance to compute tax) 9" xfId="3814" xr:uid="{00000000-0005-0000-0000-000089160000}"/>
    <cellStyle name="B_Bot_HK P &amp; L (To Finance to compute tax) 9 2" xfId="3815" xr:uid="{00000000-0005-0000-0000-00008A160000}"/>
    <cellStyle name="B_Bot_HK P &amp; L (To Finance to compute tax) 9 3" xfId="25491" xr:uid="{00000000-0005-0000-0000-00008B160000}"/>
    <cellStyle name="B_Bot_HK P &amp; L (To Finance to compute tax)_PROD_DETAILS" xfId="3816" xr:uid="{00000000-0005-0000-0000-00008C160000}"/>
    <cellStyle name="B_Bot_HK P &amp; L (To Finance to compute tax)_PROD_DETAILS 2" xfId="3817" xr:uid="{00000000-0005-0000-0000-00008D160000}"/>
    <cellStyle name="B_Bot_HK P &amp; L (To Finance to compute tax)_PROD_DETAILS 3" xfId="25492" xr:uid="{00000000-0005-0000-0000-00008E160000}"/>
    <cellStyle name="B_Bot_HK P &amp; L (To Finance to compute tax)_SOLVENCY POSITION " xfId="3818" xr:uid="{00000000-0005-0000-0000-00008F160000}"/>
    <cellStyle name="B_Bot_HK P &amp; L (To Finance to compute tax)_SOLVENCY POSITION  2" xfId="3819" xr:uid="{00000000-0005-0000-0000-000090160000}"/>
    <cellStyle name="B_Bot_HK P &amp; L (To Finance to compute tax)_SOLVENCY POSITION  3" xfId="25493" xr:uid="{00000000-0005-0000-0000-000091160000}"/>
    <cellStyle name="B_Bot_HK.EEV-Apr06v2" xfId="3820" xr:uid="{00000000-0005-0000-0000-000092160000}"/>
    <cellStyle name="B_Bot_HK.EEV-Apr06v2 10" xfId="3821" xr:uid="{00000000-0005-0000-0000-000093160000}"/>
    <cellStyle name="B_Bot_HK.EEV-Apr06v2 10 2" xfId="3822" xr:uid="{00000000-0005-0000-0000-000094160000}"/>
    <cellStyle name="B_Bot_HK.EEV-Apr06v2 10 3" xfId="25494" xr:uid="{00000000-0005-0000-0000-000095160000}"/>
    <cellStyle name="B_Bot_HK.EEV-Apr06v2 11" xfId="3823" xr:uid="{00000000-0005-0000-0000-000096160000}"/>
    <cellStyle name="B_Bot_HK.EEV-Apr06v2 11 2" xfId="3824" xr:uid="{00000000-0005-0000-0000-000097160000}"/>
    <cellStyle name="B_Bot_HK.EEV-Apr06v2 11 3" xfId="25495" xr:uid="{00000000-0005-0000-0000-000098160000}"/>
    <cellStyle name="B_Bot_HK.EEV-Apr06v2 12" xfId="3825" xr:uid="{00000000-0005-0000-0000-000099160000}"/>
    <cellStyle name="B_Bot_HK.EEV-Apr06v2 12 2" xfId="3826" xr:uid="{00000000-0005-0000-0000-00009A160000}"/>
    <cellStyle name="B_Bot_HK.EEV-Apr06v2 12 3" xfId="25496" xr:uid="{00000000-0005-0000-0000-00009B160000}"/>
    <cellStyle name="B_Bot_HK.EEV-Apr06v2 13" xfId="3827" xr:uid="{00000000-0005-0000-0000-00009C160000}"/>
    <cellStyle name="B_Bot_HK.EEV-Apr06v2 13 2" xfId="3828" xr:uid="{00000000-0005-0000-0000-00009D160000}"/>
    <cellStyle name="B_Bot_HK.EEV-Apr06v2 13 3" xfId="25497" xr:uid="{00000000-0005-0000-0000-00009E160000}"/>
    <cellStyle name="B_Bot_HK.EEV-Apr06v2 14" xfId="3829" xr:uid="{00000000-0005-0000-0000-00009F160000}"/>
    <cellStyle name="B_Bot_HK.EEV-Apr06v2 14 2" xfId="3830" xr:uid="{00000000-0005-0000-0000-0000A0160000}"/>
    <cellStyle name="B_Bot_HK.EEV-Apr06v2 14 3" xfId="25498" xr:uid="{00000000-0005-0000-0000-0000A1160000}"/>
    <cellStyle name="B_Bot_HK.EEV-Apr06v2 15" xfId="3831" xr:uid="{00000000-0005-0000-0000-0000A2160000}"/>
    <cellStyle name="B_Bot_HK.EEV-Apr06v2 15 2" xfId="3832" xr:uid="{00000000-0005-0000-0000-0000A3160000}"/>
    <cellStyle name="B_Bot_HK.EEV-Apr06v2 15 3" xfId="25499" xr:uid="{00000000-0005-0000-0000-0000A4160000}"/>
    <cellStyle name="B_Bot_HK.EEV-Apr06v2 16" xfId="3833" xr:uid="{00000000-0005-0000-0000-0000A5160000}"/>
    <cellStyle name="B_Bot_HK.EEV-Apr06v2 16 2" xfId="3834" xr:uid="{00000000-0005-0000-0000-0000A6160000}"/>
    <cellStyle name="B_Bot_HK.EEV-Apr06v2 16 3" xfId="25500" xr:uid="{00000000-0005-0000-0000-0000A7160000}"/>
    <cellStyle name="B_Bot_HK.EEV-Apr06v2 17" xfId="3835" xr:uid="{00000000-0005-0000-0000-0000A8160000}"/>
    <cellStyle name="B_Bot_HK.EEV-Apr06v2 17 2" xfId="3836" xr:uid="{00000000-0005-0000-0000-0000A9160000}"/>
    <cellStyle name="B_Bot_HK.EEV-Apr06v2 17 3" xfId="25501" xr:uid="{00000000-0005-0000-0000-0000AA160000}"/>
    <cellStyle name="B_Bot_HK.EEV-Apr06v2 18" xfId="3837" xr:uid="{00000000-0005-0000-0000-0000AB160000}"/>
    <cellStyle name="B_Bot_HK.EEV-Apr06v2 18 2" xfId="3838" xr:uid="{00000000-0005-0000-0000-0000AC160000}"/>
    <cellStyle name="B_Bot_HK.EEV-Apr06v2 18 3" xfId="25502" xr:uid="{00000000-0005-0000-0000-0000AD160000}"/>
    <cellStyle name="B_Bot_HK.EEV-Apr06v2 19" xfId="3839" xr:uid="{00000000-0005-0000-0000-0000AE160000}"/>
    <cellStyle name="B_Bot_HK.EEV-Apr06v2 19 2" xfId="3840" xr:uid="{00000000-0005-0000-0000-0000AF160000}"/>
    <cellStyle name="B_Bot_HK.EEV-Apr06v2 19 3" xfId="25503" xr:uid="{00000000-0005-0000-0000-0000B0160000}"/>
    <cellStyle name="B_Bot_HK.EEV-Apr06v2 2" xfId="3841" xr:uid="{00000000-0005-0000-0000-0000B1160000}"/>
    <cellStyle name="B_Bot_HK.EEV-Apr06v2 2 2" xfId="3842" xr:uid="{00000000-0005-0000-0000-0000B2160000}"/>
    <cellStyle name="B_Bot_HK.EEV-Apr06v2 2 3" xfId="25504" xr:uid="{00000000-0005-0000-0000-0000B3160000}"/>
    <cellStyle name="B_Bot_HK.EEV-Apr06v2 20" xfId="3843" xr:uid="{00000000-0005-0000-0000-0000B4160000}"/>
    <cellStyle name="B_Bot_HK.EEV-Apr06v2 20 2" xfId="3844" xr:uid="{00000000-0005-0000-0000-0000B5160000}"/>
    <cellStyle name="B_Bot_HK.EEV-Apr06v2 20 3" xfId="25505" xr:uid="{00000000-0005-0000-0000-0000B6160000}"/>
    <cellStyle name="B_Bot_HK.EEV-Apr06v2 21" xfId="3845" xr:uid="{00000000-0005-0000-0000-0000B7160000}"/>
    <cellStyle name="B_Bot_HK.EEV-Apr06v2 21 2" xfId="3846" xr:uid="{00000000-0005-0000-0000-0000B8160000}"/>
    <cellStyle name="B_Bot_HK.EEV-Apr06v2 21 3" xfId="25506" xr:uid="{00000000-0005-0000-0000-0000B9160000}"/>
    <cellStyle name="B_Bot_HK.EEV-Apr06v2 22" xfId="3847" xr:uid="{00000000-0005-0000-0000-0000BA160000}"/>
    <cellStyle name="B_Bot_HK.EEV-Apr06v2 22 2" xfId="3848" xr:uid="{00000000-0005-0000-0000-0000BB160000}"/>
    <cellStyle name="B_Bot_HK.EEV-Apr06v2 22 3" xfId="25507" xr:uid="{00000000-0005-0000-0000-0000BC160000}"/>
    <cellStyle name="B_Bot_HK.EEV-Apr06v2 23" xfId="3849" xr:uid="{00000000-0005-0000-0000-0000BD160000}"/>
    <cellStyle name="B_Bot_HK.EEV-Apr06v2 23 2" xfId="3850" xr:uid="{00000000-0005-0000-0000-0000BE160000}"/>
    <cellStyle name="B_Bot_HK.EEV-Apr06v2 23 3" xfId="25508" xr:uid="{00000000-0005-0000-0000-0000BF160000}"/>
    <cellStyle name="B_Bot_HK.EEV-Apr06v2 24" xfId="3851" xr:uid="{00000000-0005-0000-0000-0000C0160000}"/>
    <cellStyle name="B_Bot_HK.EEV-Apr06v2 25" xfId="25509" xr:uid="{00000000-0005-0000-0000-0000C1160000}"/>
    <cellStyle name="B_Bot_HK.EEV-Apr06v2 3" xfId="3852" xr:uid="{00000000-0005-0000-0000-0000C2160000}"/>
    <cellStyle name="B_Bot_HK.EEV-Apr06v2 3 2" xfId="3853" xr:uid="{00000000-0005-0000-0000-0000C3160000}"/>
    <cellStyle name="B_Bot_HK.EEV-Apr06v2 3 3" xfId="25510" xr:uid="{00000000-0005-0000-0000-0000C4160000}"/>
    <cellStyle name="B_Bot_HK.EEV-Apr06v2 4" xfId="3854" xr:uid="{00000000-0005-0000-0000-0000C5160000}"/>
    <cellStyle name="B_Bot_HK.EEV-Apr06v2 4 2" xfId="3855" xr:uid="{00000000-0005-0000-0000-0000C6160000}"/>
    <cellStyle name="B_Bot_HK.EEV-Apr06v2 4 3" xfId="25511" xr:uid="{00000000-0005-0000-0000-0000C7160000}"/>
    <cellStyle name="B_Bot_HK.EEV-Apr06v2 5" xfId="3856" xr:uid="{00000000-0005-0000-0000-0000C8160000}"/>
    <cellStyle name="B_Bot_HK.EEV-Apr06v2 5 2" xfId="3857" xr:uid="{00000000-0005-0000-0000-0000C9160000}"/>
    <cellStyle name="B_Bot_HK.EEV-Apr06v2 5 3" xfId="25512" xr:uid="{00000000-0005-0000-0000-0000CA160000}"/>
    <cellStyle name="B_Bot_HK.EEV-Apr06v2 6" xfId="3858" xr:uid="{00000000-0005-0000-0000-0000CB160000}"/>
    <cellStyle name="B_Bot_HK.EEV-Apr06v2 6 2" xfId="3859" xr:uid="{00000000-0005-0000-0000-0000CC160000}"/>
    <cellStyle name="B_Bot_HK.EEV-Apr06v2 6 3" xfId="25513" xr:uid="{00000000-0005-0000-0000-0000CD160000}"/>
    <cellStyle name="B_Bot_HK.EEV-Apr06v2 7" xfId="3860" xr:uid="{00000000-0005-0000-0000-0000CE160000}"/>
    <cellStyle name="B_Bot_HK.EEV-Apr06v2 7 2" xfId="3861" xr:uid="{00000000-0005-0000-0000-0000CF160000}"/>
    <cellStyle name="B_Bot_HK.EEV-Apr06v2 7 3" xfId="25514" xr:uid="{00000000-0005-0000-0000-0000D0160000}"/>
    <cellStyle name="B_Bot_HK.EEV-Apr06v2 8" xfId="3862" xr:uid="{00000000-0005-0000-0000-0000D1160000}"/>
    <cellStyle name="B_Bot_HK.EEV-Apr06v2 8 2" xfId="3863" xr:uid="{00000000-0005-0000-0000-0000D2160000}"/>
    <cellStyle name="B_Bot_HK.EEV-Apr06v2 8 3" xfId="25515" xr:uid="{00000000-0005-0000-0000-0000D3160000}"/>
    <cellStyle name="B_Bot_HK.EEV-Apr06v2 9" xfId="3864" xr:uid="{00000000-0005-0000-0000-0000D4160000}"/>
    <cellStyle name="B_Bot_HK.EEV-Apr06v2 9 2" xfId="3865" xr:uid="{00000000-0005-0000-0000-0000D5160000}"/>
    <cellStyle name="B_Bot_HK.EEV-Apr06v2 9 3" xfId="25516" xr:uid="{00000000-0005-0000-0000-0000D6160000}"/>
    <cellStyle name="B_Bot_HK.EEV-Apr06v2_HK.EEV-May06 4+2 kkh" xfId="3866" xr:uid="{00000000-0005-0000-0000-0000D7160000}"/>
    <cellStyle name="B_Bot_HK.EEV-Apr06v2_HK.EEV-May06 4+2 kkh 10" xfId="3867" xr:uid="{00000000-0005-0000-0000-0000D8160000}"/>
    <cellStyle name="B_Bot_HK.EEV-Apr06v2_HK.EEV-May06 4+2 kkh 10 2" xfId="3868" xr:uid="{00000000-0005-0000-0000-0000D9160000}"/>
    <cellStyle name="B_Bot_HK.EEV-Apr06v2_HK.EEV-May06 4+2 kkh 10 3" xfId="25517" xr:uid="{00000000-0005-0000-0000-0000DA160000}"/>
    <cellStyle name="B_Bot_HK.EEV-Apr06v2_HK.EEV-May06 4+2 kkh 11" xfId="3869" xr:uid="{00000000-0005-0000-0000-0000DB160000}"/>
    <cellStyle name="B_Bot_HK.EEV-Apr06v2_HK.EEV-May06 4+2 kkh 11 2" xfId="3870" xr:uid="{00000000-0005-0000-0000-0000DC160000}"/>
    <cellStyle name="B_Bot_HK.EEV-Apr06v2_HK.EEV-May06 4+2 kkh 11 3" xfId="25518" xr:uid="{00000000-0005-0000-0000-0000DD160000}"/>
    <cellStyle name="B_Bot_HK.EEV-Apr06v2_HK.EEV-May06 4+2 kkh 12" xfId="3871" xr:uid="{00000000-0005-0000-0000-0000DE160000}"/>
    <cellStyle name="B_Bot_HK.EEV-Apr06v2_HK.EEV-May06 4+2 kkh 12 2" xfId="3872" xr:uid="{00000000-0005-0000-0000-0000DF160000}"/>
    <cellStyle name="B_Bot_HK.EEV-Apr06v2_HK.EEV-May06 4+2 kkh 12 3" xfId="25519" xr:uid="{00000000-0005-0000-0000-0000E0160000}"/>
    <cellStyle name="B_Bot_HK.EEV-Apr06v2_HK.EEV-May06 4+2 kkh 13" xfId="3873" xr:uid="{00000000-0005-0000-0000-0000E1160000}"/>
    <cellStyle name="B_Bot_HK.EEV-Apr06v2_HK.EEV-May06 4+2 kkh 13 2" xfId="3874" xr:uid="{00000000-0005-0000-0000-0000E2160000}"/>
    <cellStyle name="B_Bot_HK.EEV-Apr06v2_HK.EEV-May06 4+2 kkh 13 3" xfId="25520" xr:uid="{00000000-0005-0000-0000-0000E3160000}"/>
    <cellStyle name="B_Bot_HK.EEV-Apr06v2_HK.EEV-May06 4+2 kkh 14" xfId="3875" xr:uid="{00000000-0005-0000-0000-0000E4160000}"/>
    <cellStyle name="B_Bot_HK.EEV-Apr06v2_HK.EEV-May06 4+2 kkh 14 2" xfId="3876" xr:uid="{00000000-0005-0000-0000-0000E5160000}"/>
    <cellStyle name="B_Bot_HK.EEV-Apr06v2_HK.EEV-May06 4+2 kkh 14 3" xfId="25521" xr:uid="{00000000-0005-0000-0000-0000E6160000}"/>
    <cellStyle name="B_Bot_HK.EEV-Apr06v2_HK.EEV-May06 4+2 kkh 15" xfId="3877" xr:uid="{00000000-0005-0000-0000-0000E7160000}"/>
    <cellStyle name="B_Bot_HK.EEV-Apr06v2_HK.EEV-May06 4+2 kkh 15 2" xfId="3878" xr:uid="{00000000-0005-0000-0000-0000E8160000}"/>
    <cellStyle name="B_Bot_HK.EEV-Apr06v2_HK.EEV-May06 4+2 kkh 15 3" xfId="25522" xr:uid="{00000000-0005-0000-0000-0000E9160000}"/>
    <cellStyle name="B_Bot_HK.EEV-Apr06v2_HK.EEV-May06 4+2 kkh 16" xfId="3879" xr:uid="{00000000-0005-0000-0000-0000EA160000}"/>
    <cellStyle name="B_Bot_HK.EEV-Apr06v2_HK.EEV-May06 4+2 kkh 16 2" xfId="3880" xr:uid="{00000000-0005-0000-0000-0000EB160000}"/>
    <cellStyle name="B_Bot_HK.EEV-Apr06v2_HK.EEV-May06 4+2 kkh 16 3" xfId="25523" xr:uid="{00000000-0005-0000-0000-0000EC160000}"/>
    <cellStyle name="B_Bot_HK.EEV-Apr06v2_HK.EEV-May06 4+2 kkh 17" xfId="3881" xr:uid="{00000000-0005-0000-0000-0000ED160000}"/>
    <cellStyle name="B_Bot_HK.EEV-Apr06v2_HK.EEV-May06 4+2 kkh 17 2" xfId="3882" xr:uid="{00000000-0005-0000-0000-0000EE160000}"/>
    <cellStyle name="B_Bot_HK.EEV-Apr06v2_HK.EEV-May06 4+2 kkh 17 3" xfId="25524" xr:uid="{00000000-0005-0000-0000-0000EF160000}"/>
    <cellStyle name="B_Bot_HK.EEV-Apr06v2_HK.EEV-May06 4+2 kkh 18" xfId="3883" xr:uid="{00000000-0005-0000-0000-0000F0160000}"/>
    <cellStyle name="B_Bot_HK.EEV-Apr06v2_HK.EEV-May06 4+2 kkh 18 2" xfId="3884" xr:uid="{00000000-0005-0000-0000-0000F1160000}"/>
    <cellStyle name="B_Bot_HK.EEV-Apr06v2_HK.EEV-May06 4+2 kkh 18 3" xfId="25525" xr:uid="{00000000-0005-0000-0000-0000F2160000}"/>
    <cellStyle name="B_Bot_HK.EEV-Apr06v2_HK.EEV-May06 4+2 kkh 19" xfId="3885" xr:uid="{00000000-0005-0000-0000-0000F3160000}"/>
    <cellStyle name="B_Bot_HK.EEV-Apr06v2_HK.EEV-May06 4+2 kkh 19 2" xfId="3886" xr:uid="{00000000-0005-0000-0000-0000F4160000}"/>
    <cellStyle name="B_Bot_HK.EEV-Apr06v2_HK.EEV-May06 4+2 kkh 19 3" xfId="25526" xr:uid="{00000000-0005-0000-0000-0000F5160000}"/>
    <cellStyle name="B_Bot_HK.EEV-Apr06v2_HK.EEV-May06 4+2 kkh 2" xfId="3887" xr:uid="{00000000-0005-0000-0000-0000F6160000}"/>
    <cellStyle name="B_Bot_HK.EEV-Apr06v2_HK.EEV-May06 4+2 kkh 2 2" xfId="3888" xr:uid="{00000000-0005-0000-0000-0000F7160000}"/>
    <cellStyle name="B_Bot_HK.EEV-Apr06v2_HK.EEV-May06 4+2 kkh 2 3" xfId="25527" xr:uid="{00000000-0005-0000-0000-0000F8160000}"/>
    <cellStyle name="B_Bot_HK.EEV-Apr06v2_HK.EEV-May06 4+2 kkh 20" xfId="3889" xr:uid="{00000000-0005-0000-0000-0000F9160000}"/>
    <cellStyle name="B_Bot_HK.EEV-Apr06v2_HK.EEV-May06 4+2 kkh 20 2" xfId="3890" xr:uid="{00000000-0005-0000-0000-0000FA160000}"/>
    <cellStyle name="B_Bot_HK.EEV-Apr06v2_HK.EEV-May06 4+2 kkh 20 3" xfId="25528" xr:uid="{00000000-0005-0000-0000-0000FB160000}"/>
    <cellStyle name="B_Bot_HK.EEV-Apr06v2_HK.EEV-May06 4+2 kkh 21" xfId="3891" xr:uid="{00000000-0005-0000-0000-0000FC160000}"/>
    <cellStyle name="B_Bot_HK.EEV-Apr06v2_HK.EEV-May06 4+2 kkh 21 2" xfId="3892" xr:uid="{00000000-0005-0000-0000-0000FD160000}"/>
    <cellStyle name="B_Bot_HK.EEV-Apr06v2_HK.EEV-May06 4+2 kkh 21 3" xfId="25529" xr:uid="{00000000-0005-0000-0000-0000FE160000}"/>
    <cellStyle name="B_Bot_HK.EEV-Apr06v2_HK.EEV-May06 4+2 kkh 22" xfId="3893" xr:uid="{00000000-0005-0000-0000-0000FF160000}"/>
    <cellStyle name="B_Bot_HK.EEV-Apr06v2_HK.EEV-May06 4+2 kkh 22 2" xfId="3894" xr:uid="{00000000-0005-0000-0000-000000170000}"/>
    <cellStyle name="B_Bot_HK.EEV-Apr06v2_HK.EEV-May06 4+2 kkh 22 3" xfId="25530" xr:uid="{00000000-0005-0000-0000-000001170000}"/>
    <cellStyle name="B_Bot_HK.EEV-Apr06v2_HK.EEV-May06 4+2 kkh 23" xfId="3895" xr:uid="{00000000-0005-0000-0000-000002170000}"/>
    <cellStyle name="B_Bot_HK.EEV-Apr06v2_HK.EEV-May06 4+2 kkh 23 2" xfId="3896" xr:uid="{00000000-0005-0000-0000-000003170000}"/>
    <cellStyle name="B_Bot_HK.EEV-Apr06v2_HK.EEV-May06 4+2 kkh 23 3" xfId="25531" xr:uid="{00000000-0005-0000-0000-000004170000}"/>
    <cellStyle name="B_Bot_HK.EEV-Apr06v2_HK.EEV-May06 4+2 kkh 24" xfId="3897" xr:uid="{00000000-0005-0000-0000-000005170000}"/>
    <cellStyle name="B_Bot_HK.EEV-Apr06v2_HK.EEV-May06 4+2 kkh 25" xfId="25532" xr:uid="{00000000-0005-0000-0000-000006170000}"/>
    <cellStyle name="B_Bot_HK.EEV-Apr06v2_HK.EEV-May06 4+2 kkh 3" xfId="3898" xr:uid="{00000000-0005-0000-0000-000007170000}"/>
    <cellStyle name="B_Bot_HK.EEV-Apr06v2_HK.EEV-May06 4+2 kkh 3 2" xfId="3899" xr:uid="{00000000-0005-0000-0000-000008170000}"/>
    <cellStyle name="B_Bot_HK.EEV-Apr06v2_HK.EEV-May06 4+2 kkh 3 3" xfId="25533" xr:uid="{00000000-0005-0000-0000-000009170000}"/>
    <cellStyle name="B_Bot_HK.EEV-Apr06v2_HK.EEV-May06 4+2 kkh 4" xfId="3900" xr:uid="{00000000-0005-0000-0000-00000A170000}"/>
    <cellStyle name="B_Bot_HK.EEV-Apr06v2_HK.EEV-May06 4+2 kkh 4 2" xfId="3901" xr:uid="{00000000-0005-0000-0000-00000B170000}"/>
    <cellStyle name="B_Bot_HK.EEV-Apr06v2_HK.EEV-May06 4+2 kkh 4 3" xfId="25534" xr:uid="{00000000-0005-0000-0000-00000C170000}"/>
    <cellStyle name="B_Bot_HK.EEV-Apr06v2_HK.EEV-May06 4+2 kkh 5" xfId="3902" xr:uid="{00000000-0005-0000-0000-00000D170000}"/>
    <cellStyle name="B_Bot_HK.EEV-Apr06v2_HK.EEV-May06 4+2 kkh 5 2" xfId="3903" xr:uid="{00000000-0005-0000-0000-00000E170000}"/>
    <cellStyle name="B_Bot_HK.EEV-Apr06v2_HK.EEV-May06 4+2 kkh 5 3" xfId="25535" xr:uid="{00000000-0005-0000-0000-00000F170000}"/>
    <cellStyle name="B_Bot_HK.EEV-Apr06v2_HK.EEV-May06 4+2 kkh 6" xfId="3904" xr:uid="{00000000-0005-0000-0000-000010170000}"/>
    <cellStyle name="B_Bot_HK.EEV-Apr06v2_HK.EEV-May06 4+2 kkh 6 2" xfId="3905" xr:uid="{00000000-0005-0000-0000-000011170000}"/>
    <cellStyle name="B_Bot_HK.EEV-Apr06v2_HK.EEV-May06 4+2 kkh 6 3" xfId="25536" xr:uid="{00000000-0005-0000-0000-000012170000}"/>
    <cellStyle name="B_Bot_HK.EEV-Apr06v2_HK.EEV-May06 4+2 kkh 7" xfId="3906" xr:uid="{00000000-0005-0000-0000-000013170000}"/>
    <cellStyle name="B_Bot_HK.EEV-Apr06v2_HK.EEV-May06 4+2 kkh 7 2" xfId="3907" xr:uid="{00000000-0005-0000-0000-000014170000}"/>
    <cellStyle name="B_Bot_HK.EEV-Apr06v2_HK.EEV-May06 4+2 kkh 7 3" xfId="25537" xr:uid="{00000000-0005-0000-0000-000015170000}"/>
    <cellStyle name="B_Bot_HK.EEV-Apr06v2_HK.EEV-May06 4+2 kkh 8" xfId="3908" xr:uid="{00000000-0005-0000-0000-000016170000}"/>
    <cellStyle name="B_Bot_HK.EEV-Apr06v2_HK.EEV-May06 4+2 kkh 8 2" xfId="3909" xr:uid="{00000000-0005-0000-0000-000017170000}"/>
    <cellStyle name="B_Bot_HK.EEV-Apr06v2_HK.EEV-May06 4+2 kkh 8 3" xfId="25538" xr:uid="{00000000-0005-0000-0000-000018170000}"/>
    <cellStyle name="B_Bot_HK.EEV-Apr06v2_HK.EEV-May06 4+2 kkh 9" xfId="3910" xr:uid="{00000000-0005-0000-0000-000019170000}"/>
    <cellStyle name="B_Bot_HK.EEV-Apr06v2_HK.EEV-May06 4+2 kkh 9 2" xfId="3911" xr:uid="{00000000-0005-0000-0000-00001A170000}"/>
    <cellStyle name="B_Bot_HK.EEV-Apr06v2_HK.EEV-May06 4+2 kkh 9 3" xfId="25539" xr:uid="{00000000-0005-0000-0000-00001B170000}"/>
    <cellStyle name="B_Bot_HK.EEV-Apr06v2_HK.EEV-May06 4+2 kkh_PROD_DETAILS" xfId="3912" xr:uid="{00000000-0005-0000-0000-00001C170000}"/>
    <cellStyle name="B_Bot_HK.EEV-Apr06v2_HK.EEV-May06 4+2 kkh_PROD_DETAILS 2" xfId="3913" xr:uid="{00000000-0005-0000-0000-00001D170000}"/>
    <cellStyle name="B_Bot_HK.EEV-Apr06v2_HK.EEV-May06 4+2 kkh_PROD_DETAILS 3" xfId="25540" xr:uid="{00000000-0005-0000-0000-00001E170000}"/>
    <cellStyle name="B_Bot_HK.EEV-Apr06v2_HK.EEV-May06 4+2 kkh_SOLVENCY POSITION " xfId="3914" xr:uid="{00000000-0005-0000-0000-00001F170000}"/>
    <cellStyle name="B_Bot_HK.EEV-Apr06v2_HK.EEV-May06 4+2 kkh_SOLVENCY POSITION  2" xfId="3915" xr:uid="{00000000-0005-0000-0000-000020170000}"/>
    <cellStyle name="B_Bot_HK.EEV-Apr06v2_HK.EEV-May06 4+2 kkh_SOLVENCY POSITION  3" xfId="25541" xr:uid="{00000000-0005-0000-0000-000021170000}"/>
    <cellStyle name="B_Bot_HK.EEV-Apr06v2_PROD_DETAILS" xfId="3916" xr:uid="{00000000-0005-0000-0000-000022170000}"/>
    <cellStyle name="B_Bot_HK.EEV-Apr06v2_PROD_DETAILS 2" xfId="3917" xr:uid="{00000000-0005-0000-0000-000023170000}"/>
    <cellStyle name="B_Bot_HK.EEV-Apr06v2_PROD_DETAILS 3" xfId="25542" xr:uid="{00000000-0005-0000-0000-000024170000}"/>
    <cellStyle name="B_Bot_HK.EEV-Apr06v2_SOLVENCY POSITION " xfId="3918" xr:uid="{00000000-0005-0000-0000-000025170000}"/>
    <cellStyle name="B_Bot_HK.EEV-Apr06v2_SOLVENCY POSITION  2" xfId="3919" xr:uid="{00000000-0005-0000-0000-000026170000}"/>
    <cellStyle name="B_Bot_HK.EEV-Apr06v2_SOLVENCY POSITION  3" xfId="25543" xr:uid="{00000000-0005-0000-0000-000027170000}"/>
    <cellStyle name="B_Bot_HK.EEV-Jun06 07-09 2006 (QF3)" xfId="3920" xr:uid="{00000000-0005-0000-0000-000028170000}"/>
    <cellStyle name="B_Bot_HK.EEV-Jun06 07-09 2006 (QF3) 10" xfId="3921" xr:uid="{00000000-0005-0000-0000-000029170000}"/>
    <cellStyle name="B_Bot_HK.EEV-Jun06 07-09 2006 (QF3) 10 2" xfId="3922" xr:uid="{00000000-0005-0000-0000-00002A170000}"/>
    <cellStyle name="B_Bot_HK.EEV-Jun06 07-09 2006 (QF3) 10 3" xfId="25544" xr:uid="{00000000-0005-0000-0000-00002B170000}"/>
    <cellStyle name="B_Bot_HK.EEV-Jun06 07-09 2006 (QF3) 11" xfId="3923" xr:uid="{00000000-0005-0000-0000-00002C170000}"/>
    <cellStyle name="B_Bot_HK.EEV-Jun06 07-09 2006 (QF3) 11 2" xfId="3924" xr:uid="{00000000-0005-0000-0000-00002D170000}"/>
    <cellStyle name="B_Bot_HK.EEV-Jun06 07-09 2006 (QF3) 11 3" xfId="25545" xr:uid="{00000000-0005-0000-0000-00002E170000}"/>
    <cellStyle name="B_Bot_HK.EEV-Jun06 07-09 2006 (QF3) 12" xfId="3925" xr:uid="{00000000-0005-0000-0000-00002F170000}"/>
    <cellStyle name="B_Bot_HK.EEV-Jun06 07-09 2006 (QF3) 12 2" xfId="3926" xr:uid="{00000000-0005-0000-0000-000030170000}"/>
    <cellStyle name="B_Bot_HK.EEV-Jun06 07-09 2006 (QF3) 12 3" xfId="25546" xr:uid="{00000000-0005-0000-0000-000031170000}"/>
    <cellStyle name="B_Bot_HK.EEV-Jun06 07-09 2006 (QF3) 13" xfId="3927" xr:uid="{00000000-0005-0000-0000-000032170000}"/>
    <cellStyle name="B_Bot_HK.EEV-Jun06 07-09 2006 (QF3) 13 2" xfId="3928" xr:uid="{00000000-0005-0000-0000-000033170000}"/>
    <cellStyle name="B_Bot_HK.EEV-Jun06 07-09 2006 (QF3) 13 3" xfId="25547" xr:uid="{00000000-0005-0000-0000-000034170000}"/>
    <cellStyle name="B_Bot_HK.EEV-Jun06 07-09 2006 (QF3) 14" xfId="3929" xr:uid="{00000000-0005-0000-0000-000035170000}"/>
    <cellStyle name="B_Bot_HK.EEV-Jun06 07-09 2006 (QF3) 14 2" xfId="3930" xr:uid="{00000000-0005-0000-0000-000036170000}"/>
    <cellStyle name="B_Bot_HK.EEV-Jun06 07-09 2006 (QF3) 14 3" xfId="25548" xr:uid="{00000000-0005-0000-0000-000037170000}"/>
    <cellStyle name="B_Bot_HK.EEV-Jun06 07-09 2006 (QF3) 15" xfId="3931" xr:uid="{00000000-0005-0000-0000-000038170000}"/>
    <cellStyle name="B_Bot_HK.EEV-Jun06 07-09 2006 (QF3) 15 2" xfId="3932" xr:uid="{00000000-0005-0000-0000-000039170000}"/>
    <cellStyle name="B_Bot_HK.EEV-Jun06 07-09 2006 (QF3) 15 3" xfId="25549" xr:uid="{00000000-0005-0000-0000-00003A170000}"/>
    <cellStyle name="B_Bot_HK.EEV-Jun06 07-09 2006 (QF3) 16" xfId="3933" xr:uid="{00000000-0005-0000-0000-00003B170000}"/>
    <cellStyle name="B_Bot_HK.EEV-Jun06 07-09 2006 (QF3) 16 2" xfId="3934" xr:uid="{00000000-0005-0000-0000-00003C170000}"/>
    <cellStyle name="B_Bot_HK.EEV-Jun06 07-09 2006 (QF3) 16 3" xfId="25550" xr:uid="{00000000-0005-0000-0000-00003D170000}"/>
    <cellStyle name="B_Bot_HK.EEV-Jun06 07-09 2006 (QF3) 17" xfId="3935" xr:uid="{00000000-0005-0000-0000-00003E170000}"/>
    <cellStyle name="B_Bot_HK.EEV-Jun06 07-09 2006 (QF3) 17 2" xfId="3936" xr:uid="{00000000-0005-0000-0000-00003F170000}"/>
    <cellStyle name="B_Bot_HK.EEV-Jun06 07-09 2006 (QF3) 17 3" xfId="25551" xr:uid="{00000000-0005-0000-0000-000040170000}"/>
    <cellStyle name="B_Bot_HK.EEV-Jun06 07-09 2006 (QF3) 18" xfId="3937" xr:uid="{00000000-0005-0000-0000-000041170000}"/>
    <cellStyle name="B_Bot_HK.EEV-Jun06 07-09 2006 (QF3) 18 2" xfId="3938" xr:uid="{00000000-0005-0000-0000-000042170000}"/>
    <cellStyle name="B_Bot_HK.EEV-Jun06 07-09 2006 (QF3) 18 3" xfId="25552" xr:uid="{00000000-0005-0000-0000-000043170000}"/>
    <cellStyle name="B_Bot_HK.EEV-Jun06 07-09 2006 (QF3) 19" xfId="3939" xr:uid="{00000000-0005-0000-0000-000044170000}"/>
    <cellStyle name="B_Bot_HK.EEV-Jun06 07-09 2006 (QF3) 19 2" xfId="3940" xr:uid="{00000000-0005-0000-0000-000045170000}"/>
    <cellStyle name="B_Bot_HK.EEV-Jun06 07-09 2006 (QF3) 19 3" xfId="25553" xr:uid="{00000000-0005-0000-0000-000046170000}"/>
    <cellStyle name="B_Bot_HK.EEV-Jun06 07-09 2006 (QF3) 2" xfId="3941" xr:uid="{00000000-0005-0000-0000-000047170000}"/>
    <cellStyle name="B_Bot_HK.EEV-Jun06 07-09 2006 (QF3) 2 2" xfId="3942" xr:uid="{00000000-0005-0000-0000-000048170000}"/>
    <cellStyle name="B_Bot_HK.EEV-Jun06 07-09 2006 (QF3) 2 3" xfId="25554" xr:uid="{00000000-0005-0000-0000-000049170000}"/>
    <cellStyle name="B_Bot_HK.EEV-Jun06 07-09 2006 (QF3) 20" xfId="3943" xr:uid="{00000000-0005-0000-0000-00004A170000}"/>
    <cellStyle name="B_Bot_HK.EEV-Jun06 07-09 2006 (QF3) 20 2" xfId="3944" xr:uid="{00000000-0005-0000-0000-00004B170000}"/>
    <cellStyle name="B_Bot_HK.EEV-Jun06 07-09 2006 (QF3) 20 3" xfId="25555" xr:uid="{00000000-0005-0000-0000-00004C170000}"/>
    <cellStyle name="B_Bot_HK.EEV-Jun06 07-09 2006 (QF3) 21" xfId="3945" xr:uid="{00000000-0005-0000-0000-00004D170000}"/>
    <cellStyle name="B_Bot_HK.EEV-Jun06 07-09 2006 (QF3) 21 2" xfId="3946" xr:uid="{00000000-0005-0000-0000-00004E170000}"/>
    <cellStyle name="B_Bot_HK.EEV-Jun06 07-09 2006 (QF3) 21 3" xfId="25556" xr:uid="{00000000-0005-0000-0000-00004F170000}"/>
    <cellStyle name="B_Bot_HK.EEV-Jun06 07-09 2006 (QF3) 22" xfId="3947" xr:uid="{00000000-0005-0000-0000-000050170000}"/>
    <cellStyle name="B_Bot_HK.EEV-Jun06 07-09 2006 (QF3) 22 2" xfId="3948" xr:uid="{00000000-0005-0000-0000-000051170000}"/>
    <cellStyle name="B_Bot_HK.EEV-Jun06 07-09 2006 (QF3) 22 3" xfId="25557" xr:uid="{00000000-0005-0000-0000-000052170000}"/>
    <cellStyle name="B_Bot_HK.EEV-Jun06 07-09 2006 (QF3) 23" xfId="3949" xr:uid="{00000000-0005-0000-0000-000053170000}"/>
    <cellStyle name="B_Bot_HK.EEV-Jun06 07-09 2006 (QF3) 23 2" xfId="3950" xr:uid="{00000000-0005-0000-0000-000054170000}"/>
    <cellStyle name="B_Bot_HK.EEV-Jun06 07-09 2006 (QF3) 23 3" xfId="25558" xr:uid="{00000000-0005-0000-0000-000055170000}"/>
    <cellStyle name="B_Bot_HK.EEV-Jun06 07-09 2006 (QF3) 24" xfId="3951" xr:uid="{00000000-0005-0000-0000-000056170000}"/>
    <cellStyle name="B_Bot_HK.EEV-Jun06 07-09 2006 (QF3) 25" xfId="25559" xr:uid="{00000000-0005-0000-0000-000057170000}"/>
    <cellStyle name="B_Bot_HK.EEV-Jun06 07-09 2006 (QF3) 3" xfId="3952" xr:uid="{00000000-0005-0000-0000-000058170000}"/>
    <cellStyle name="B_Bot_HK.EEV-Jun06 07-09 2006 (QF3) 3 2" xfId="3953" xr:uid="{00000000-0005-0000-0000-000059170000}"/>
    <cellStyle name="B_Bot_HK.EEV-Jun06 07-09 2006 (QF3) 3 3" xfId="25560" xr:uid="{00000000-0005-0000-0000-00005A170000}"/>
    <cellStyle name="B_Bot_HK.EEV-Jun06 07-09 2006 (QF3) 4" xfId="3954" xr:uid="{00000000-0005-0000-0000-00005B170000}"/>
    <cellStyle name="B_Bot_HK.EEV-Jun06 07-09 2006 (QF3) 4 2" xfId="3955" xr:uid="{00000000-0005-0000-0000-00005C170000}"/>
    <cellStyle name="B_Bot_HK.EEV-Jun06 07-09 2006 (QF3) 4 3" xfId="25561" xr:uid="{00000000-0005-0000-0000-00005D170000}"/>
    <cellStyle name="B_Bot_HK.EEV-Jun06 07-09 2006 (QF3) 5" xfId="3956" xr:uid="{00000000-0005-0000-0000-00005E170000}"/>
    <cellStyle name="B_Bot_HK.EEV-Jun06 07-09 2006 (QF3) 5 2" xfId="3957" xr:uid="{00000000-0005-0000-0000-00005F170000}"/>
    <cellStyle name="B_Bot_HK.EEV-Jun06 07-09 2006 (QF3) 5 3" xfId="25562" xr:uid="{00000000-0005-0000-0000-000060170000}"/>
    <cellStyle name="B_Bot_HK.EEV-Jun06 07-09 2006 (QF3) 6" xfId="3958" xr:uid="{00000000-0005-0000-0000-000061170000}"/>
    <cellStyle name="B_Bot_HK.EEV-Jun06 07-09 2006 (QF3) 6 2" xfId="3959" xr:uid="{00000000-0005-0000-0000-000062170000}"/>
    <cellStyle name="B_Bot_HK.EEV-Jun06 07-09 2006 (QF3) 6 3" xfId="25563" xr:uid="{00000000-0005-0000-0000-000063170000}"/>
    <cellStyle name="B_Bot_HK.EEV-Jun06 07-09 2006 (QF3) 7" xfId="3960" xr:uid="{00000000-0005-0000-0000-000064170000}"/>
    <cellStyle name="B_Bot_HK.EEV-Jun06 07-09 2006 (QF3) 7 2" xfId="3961" xr:uid="{00000000-0005-0000-0000-000065170000}"/>
    <cellStyle name="B_Bot_HK.EEV-Jun06 07-09 2006 (QF3) 7 3" xfId="25564" xr:uid="{00000000-0005-0000-0000-000066170000}"/>
    <cellStyle name="B_Bot_HK.EEV-Jun06 07-09 2006 (QF3) 8" xfId="3962" xr:uid="{00000000-0005-0000-0000-000067170000}"/>
    <cellStyle name="B_Bot_HK.EEV-Jun06 07-09 2006 (QF3) 8 2" xfId="3963" xr:uid="{00000000-0005-0000-0000-000068170000}"/>
    <cellStyle name="B_Bot_HK.EEV-Jun06 07-09 2006 (QF3) 8 3" xfId="25565" xr:uid="{00000000-0005-0000-0000-000069170000}"/>
    <cellStyle name="B_Bot_HK.EEV-Jun06 07-09 2006 (QF3) 9" xfId="3964" xr:uid="{00000000-0005-0000-0000-00006A170000}"/>
    <cellStyle name="B_Bot_HK.EEV-Jun06 07-09 2006 (QF3) 9 2" xfId="3965" xr:uid="{00000000-0005-0000-0000-00006B170000}"/>
    <cellStyle name="B_Bot_HK.EEV-Jun06 07-09 2006 (QF3) 9 3" xfId="25566" xr:uid="{00000000-0005-0000-0000-00006C170000}"/>
    <cellStyle name="B_Bot_HK.EEV-Jun06 07-09 2006 (QF3)_PROD_DETAILS" xfId="3966" xr:uid="{00000000-0005-0000-0000-00006D170000}"/>
    <cellStyle name="B_Bot_HK.EEV-Jun06 07-09 2006 (QF3)_PROD_DETAILS 2" xfId="3967" xr:uid="{00000000-0005-0000-0000-00006E170000}"/>
    <cellStyle name="B_Bot_HK.EEV-Jun06 07-09 2006 (QF3)_PROD_DETAILS 3" xfId="25567" xr:uid="{00000000-0005-0000-0000-00006F170000}"/>
    <cellStyle name="B_Bot_HK.EEV-Jun06 07-09 2006 (QF3)_SOLVENCY POSITION " xfId="3968" xr:uid="{00000000-0005-0000-0000-000070170000}"/>
    <cellStyle name="B_Bot_HK.EEV-Jun06 07-09 2006 (QF3)_SOLVENCY POSITION  2" xfId="3969" xr:uid="{00000000-0005-0000-0000-000071170000}"/>
    <cellStyle name="B_Bot_HK.EEV-Jun06 07-09 2006 (QF3)_SOLVENCY POSITION  3" xfId="25568" xr:uid="{00000000-0005-0000-0000-000072170000}"/>
    <cellStyle name="B_Bot_HK.EEV-May06 4+2" xfId="3970" xr:uid="{00000000-0005-0000-0000-000073170000}"/>
    <cellStyle name="B_Bot_HK.EEV-May06 4+2 10" xfId="3971" xr:uid="{00000000-0005-0000-0000-000074170000}"/>
    <cellStyle name="B_Bot_HK.EEV-May06 4+2 10 2" xfId="3972" xr:uid="{00000000-0005-0000-0000-000075170000}"/>
    <cellStyle name="B_Bot_HK.EEV-May06 4+2 10 3" xfId="25569" xr:uid="{00000000-0005-0000-0000-000076170000}"/>
    <cellStyle name="B_Bot_HK.EEV-May06 4+2 11" xfId="3973" xr:uid="{00000000-0005-0000-0000-000077170000}"/>
    <cellStyle name="B_Bot_HK.EEV-May06 4+2 11 2" xfId="3974" xr:uid="{00000000-0005-0000-0000-000078170000}"/>
    <cellStyle name="B_Bot_HK.EEV-May06 4+2 11 3" xfId="25570" xr:uid="{00000000-0005-0000-0000-000079170000}"/>
    <cellStyle name="B_Bot_HK.EEV-May06 4+2 12" xfId="3975" xr:uid="{00000000-0005-0000-0000-00007A170000}"/>
    <cellStyle name="B_Bot_HK.EEV-May06 4+2 12 2" xfId="3976" xr:uid="{00000000-0005-0000-0000-00007B170000}"/>
    <cellStyle name="B_Bot_HK.EEV-May06 4+2 12 3" xfId="25571" xr:uid="{00000000-0005-0000-0000-00007C170000}"/>
    <cellStyle name="B_Bot_HK.EEV-May06 4+2 13" xfId="3977" xr:uid="{00000000-0005-0000-0000-00007D170000}"/>
    <cellStyle name="B_Bot_HK.EEV-May06 4+2 13 2" xfId="3978" xr:uid="{00000000-0005-0000-0000-00007E170000}"/>
    <cellStyle name="B_Bot_HK.EEV-May06 4+2 13 3" xfId="25572" xr:uid="{00000000-0005-0000-0000-00007F170000}"/>
    <cellStyle name="B_Bot_HK.EEV-May06 4+2 14" xfId="3979" xr:uid="{00000000-0005-0000-0000-000080170000}"/>
    <cellStyle name="B_Bot_HK.EEV-May06 4+2 14 2" xfId="3980" xr:uid="{00000000-0005-0000-0000-000081170000}"/>
    <cellStyle name="B_Bot_HK.EEV-May06 4+2 14 3" xfId="25573" xr:uid="{00000000-0005-0000-0000-000082170000}"/>
    <cellStyle name="B_Bot_HK.EEV-May06 4+2 15" xfId="3981" xr:uid="{00000000-0005-0000-0000-000083170000}"/>
    <cellStyle name="B_Bot_HK.EEV-May06 4+2 15 2" xfId="3982" xr:uid="{00000000-0005-0000-0000-000084170000}"/>
    <cellStyle name="B_Bot_HK.EEV-May06 4+2 15 3" xfId="25574" xr:uid="{00000000-0005-0000-0000-000085170000}"/>
    <cellStyle name="B_Bot_HK.EEV-May06 4+2 16" xfId="3983" xr:uid="{00000000-0005-0000-0000-000086170000}"/>
    <cellStyle name="B_Bot_HK.EEV-May06 4+2 16 2" xfId="3984" xr:uid="{00000000-0005-0000-0000-000087170000}"/>
    <cellStyle name="B_Bot_HK.EEV-May06 4+2 16 3" xfId="25575" xr:uid="{00000000-0005-0000-0000-000088170000}"/>
    <cellStyle name="B_Bot_HK.EEV-May06 4+2 17" xfId="3985" xr:uid="{00000000-0005-0000-0000-000089170000}"/>
    <cellStyle name="B_Bot_HK.EEV-May06 4+2 17 2" xfId="3986" xr:uid="{00000000-0005-0000-0000-00008A170000}"/>
    <cellStyle name="B_Bot_HK.EEV-May06 4+2 17 3" xfId="25576" xr:uid="{00000000-0005-0000-0000-00008B170000}"/>
    <cellStyle name="B_Bot_HK.EEV-May06 4+2 18" xfId="3987" xr:uid="{00000000-0005-0000-0000-00008C170000}"/>
    <cellStyle name="B_Bot_HK.EEV-May06 4+2 18 2" xfId="3988" xr:uid="{00000000-0005-0000-0000-00008D170000}"/>
    <cellStyle name="B_Bot_HK.EEV-May06 4+2 18 3" xfId="25577" xr:uid="{00000000-0005-0000-0000-00008E170000}"/>
    <cellStyle name="B_Bot_HK.EEV-May06 4+2 19" xfId="3989" xr:uid="{00000000-0005-0000-0000-00008F170000}"/>
    <cellStyle name="B_Bot_HK.EEV-May06 4+2 19 2" xfId="3990" xr:uid="{00000000-0005-0000-0000-000090170000}"/>
    <cellStyle name="B_Bot_HK.EEV-May06 4+2 19 3" xfId="25578" xr:uid="{00000000-0005-0000-0000-000091170000}"/>
    <cellStyle name="B_Bot_HK.EEV-May06 4+2 2" xfId="3991" xr:uid="{00000000-0005-0000-0000-000092170000}"/>
    <cellStyle name="B_Bot_HK.EEV-May06 4+2 2 2" xfId="3992" xr:uid="{00000000-0005-0000-0000-000093170000}"/>
    <cellStyle name="B_Bot_HK.EEV-May06 4+2 2 3" xfId="25579" xr:uid="{00000000-0005-0000-0000-000094170000}"/>
    <cellStyle name="B_Bot_HK.EEV-May06 4+2 20" xfId="3993" xr:uid="{00000000-0005-0000-0000-000095170000}"/>
    <cellStyle name="B_Bot_HK.EEV-May06 4+2 20 2" xfId="3994" xr:uid="{00000000-0005-0000-0000-000096170000}"/>
    <cellStyle name="B_Bot_HK.EEV-May06 4+2 20 3" xfId="25580" xr:uid="{00000000-0005-0000-0000-000097170000}"/>
    <cellStyle name="B_Bot_HK.EEV-May06 4+2 21" xfId="3995" xr:uid="{00000000-0005-0000-0000-000098170000}"/>
    <cellStyle name="B_Bot_HK.EEV-May06 4+2 21 2" xfId="3996" xr:uid="{00000000-0005-0000-0000-000099170000}"/>
    <cellStyle name="B_Bot_HK.EEV-May06 4+2 21 3" xfId="25581" xr:uid="{00000000-0005-0000-0000-00009A170000}"/>
    <cellStyle name="B_Bot_HK.EEV-May06 4+2 22" xfId="3997" xr:uid="{00000000-0005-0000-0000-00009B170000}"/>
    <cellStyle name="B_Bot_HK.EEV-May06 4+2 22 2" xfId="3998" xr:uid="{00000000-0005-0000-0000-00009C170000}"/>
    <cellStyle name="B_Bot_HK.EEV-May06 4+2 22 3" xfId="25582" xr:uid="{00000000-0005-0000-0000-00009D170000}"/>
    <cellStyle name="B_Bot_HK.EEV-May06 4+2 23" xfId="3999" xr:uid="{00000000-0005-0000-0000-00009E170000}"/>
    <cellStyle name="B_Bot_HK.EEV-May06 4+2 23 2" xfId="4000" xr:uid="{00000000-0005-0000-0000-00009F170000}"/>
    <cellStyle name="B_Bot_HK.EEV-May06 4+2 23 3" xfId="25583" xr:uid="{00000000-0005-0000-0000-0000A0170000}"/>
    <cellStyle name="B_Bot_HK.EEV-May06 4+2 24" xfId="4001" xr:uid="{00000000-0005-0000-0000-0000A1170000}"/>
    <cellStyle name="B_Bot_HK.EEV-May06 4+2 25" xfId="25584" xr:uid="{00000000-0005-0000-0000-0000A2170000}"/>
    <cellStyle name="B_Bot_HK.EEV-May06 4+2 3" xfId="4002" xr:uid="{00000000-0005-0000-0000-0000A3170000}"/>
    <cellStyle name="B_Bot_HK.EEV-May06 4+2 3 2" xfId="4003" xr:uid="{00000000-0005-0000-0000-0000A4170000}"/>
    <cellStyle name="B_Bot_HK.EEV-May06 4+2 3 3" xfId="25585" xr:uid="{00000000-0005-0000-0000-0000A5170000}"/>
    <cellStyle name="B_Bot_HK.EEV-May06 4+2 4" xfId="4004" xr:uid="{00000000-0005-0000-0000-0000A6170000}"/>
    <cellStyle name="B_Bot_HK.EEV-May06 4+2 4 2" xfId="4005" xr:uid="{00000000-0005-0000-0000-0000A7170000}"/>
    <cellStyle name="B_Bot_HK.EEV-May06 4+2 4 3" xfId="25586" xr:uid="{00000000-0005-0000-0000-0000A8170000}"/>
    <cellStyle name="B_Bot_HK.EEV-May06 4+2 5" xfId="4006" xr:uid="{00000000-0005-0000-0000-0000A9170000}"/>
    <cellStyle name="B_Bot_HK.EEV-May06 4+2 5 2" xfId="4007" xr:uid="{00000000-0005-0000-0000-0000AA170000}"/>
    <cellStyle name="B_Bot_HK.EEV-May06 4+2 5 3" xfId="25587" xr:uid="{00000000-0005-0000-0000-0000AB170000}"/>
    <cellStyle name="B_Bot_HK.EEV-May06 4+2 6" xfId="4008" xr:uid="{00000000-0005-0000-0000-0000AC170000}"/>
    <cellStyle name="B_Bot_HK.EEV-May06 4+2 6 2" xfId="4009" xr:uid="{00000000-0005-0000-0000-0000AD170000}"/>
    <cellStyle name="B_Bot_HK.EEV-May06 4+2 6 3" xfId="25588" xr:uid="{00000000-0005-0000-0000-0000AE170000}"/>
    <cellStyle name="B_Bot_HK.EEV-May06 4+2 7" xfId="4010" xr:uid="{00000000-0005-0000-0000-0000AF170000}"/>
    <cellStyle name="B_Bot_HK.EEV-May06 4+2 7 2" xfId="4011" xr:uid="{00000000-0005-0000-0000-0000B0170000}"/>
    <cellStyle name="B_Bot_HK.EEV-May06 4+2 7 3" xfId="25589" xr:uid="{00000000-0005-0000-0000-0000B1170000}"/>
    <cellStyle name="B_Bot_HK.EEV-May06 4+2 8" xfId="4012" xr:uid="{00000000-0005-0000-0000-0000B2170000}"/>
    <cellStyle name="B_Bot_HK.EEV-May06 4+2 8 2" xfId="4013" xr:uid="{00000000-0005-0000-0000-0000B3170000}"/>
    <cellStyle name="B_Bot_HK.EEV-May06 4+2 8 3" xfId="25590" xr:uid="{00000000-0005-0000-0000-0000B4170000}"/>
    <cellStyle name="B_Bot_HK.EEV-May06 4+2 9" xfId="4014" xr:uid="{00000000-0005-0000-0000-0000B5170000}"/>
    <cellStyle name="B_Bot_HK.EEV-May06 4+2 9 2" xfId="4015" xr:uid="{00000000-0005-0000-0000-0000B6170000}"/>
    <cellStyle name="B_Bot_HK.EEV-May06 4+2 9 3" xfId="25591" xr:uid="{00000000-0005-0000-0000-0000B7170000}"/>
    <cellStyle name="B_Bot_HK.EEV-May06 4+2_HK.EEV-May06 4+2 kkh" xfId="4016" xr:uid="{00000000-0005-0000-0000-0000B8170000}"/>
    <cellStyle name="B_Bot_HK.EEV-May06 4+2_HK.EEV-May06 4+2 kkh 10" xfId="4017" xr:uid="{00000000-0005-0000-0000-0000B9170000}"/>
    <cellStyle name="B_Bot_HK.EEV-May06 4+2_HK.EEV-May06 4+2 kkh 10 2" xfId="4018" xr:uid="{00000000-0005-0000-0000-0000BA170000}"/>
    <cellStyle name="B_Bot_HK.EEV-May06 4+2_HK.EEV-May06 4+2 kkh 10 3" xfId="25592" xr:uid="{00000000-0005-0000-0000-0000BB170000}"/>
    <cellStyle name="B_Bot_HK.EEV-May06 4+2_HK.EEV-May06 4+2 kkh 11" xfId="4019" xr:uid="{00000000-0005-0000-0000-0000BC170000}"/>
    <cellStyle name="B_Bot_HK.EEV-May06 4+2_HK.EEV-May06 4+2 kkh 11 2" xfId="4020" xr:uid="{00000000-0005-0000-0000-0000BD170000}"/>
    <cellStyle name="B_Bot_HK.EEV-May06 4+2_HK.EEV-May06 4+2 kkh 11 3" xfId="25593" xr:uid="{00000000-0005-0000-0000-0000BE170000}"/>
    <cellStyle name="B_Bot_HK.EEV-May06 4+2_HK.EEV-May06 4+2 kkh 12" xfId="4021" xr:uid="{00000000-0005-0000-0000-0000BF170000}"/>
    <cellStyle name="B_Bot_HK.EEV-May06 4+2_HK.EEV-May06 4+2 kkh 12 2" xfId="4022" xr:uid="{00000000-0005-0000-0000-0000C0170000}"/>
    <cellStyle name="B_Bot_HK.EEV-May06 4+2_HK.EEV-May06 4+2 kkh 12 3" xfId="25594" xr:uid="{00000000-0005-0000-0000-0000C1170000}"/>
    <cellStyle name="B_Bot_HK.EEV-May06 4+2_HK.EEV-May06 4+2 kkh 13" xfId="4023" xr:uid="{00000000-0005-0000-0000-0000C2170000}"/>
    <cellStyle name="B_Bot_HK.EEV-May06 4+2_HK.EEV-May06 4+2 kkh 13 2" xfId="4024" xr:uid="{00000000-0005-0000-0000-0000C3170000}"/>
    <cellStyle name="B_Bot_HK.EEV-May06 4+2_HK.EEV-May06 4+2 kkh 13 3" xfId="25595" xr:uid="{00000000-0005-0000-0000-0000C4170000}"/>
    <cellStyle name="B_Bot_HK.EEV-May06 4+2_HK.EEV-May06 4+2 kkh 14" xfId="4025" xr:uid="{00000000-0005-0000-0000-0000C5170000}"/>
    <cellStyle name="B_Bot_HK.EEV-May06 4+2_HK.EEV-May06 4+2 kkh 14 2" xfId="4026" xr:uid="{00000000-0005-0000-0000-0000C6170000}"/>
    <cellStyle name="B_Bot_HK.EEV-May06 4+2_HK.EEV-May06 4+2 kkh 14 3" xfId="25596" xr:uid="{00000000-0005-0000-0000-0000C7170000}"/>
    <cellStyle name="B_Bot_HK.EEV-May06 4+2_HK.EEV-May06 4+2 kkh 15" xfId="4027" xr:uid="{00000000-0005-0000-0000-0000C8170000}"/>
    <cellStyle name="B_Bot_HK.EEV-May06 4+2_HK.EEV-May06 4+2 kkh 15 2" xfId="4028" xr:uid="{00000000-0005-0000-0000-0000C9170000}"/>
    <cellStyle name="B_Bot_HK.EEV-May06 4+2_HK.EEV-May06 4+2 kkh 15 3" xfId="25597" xr:uid="{00000000-0005-0000-0000-0000CA170000}"/>
    <cellStyle name="B_Bot_HK.EEV-May06 4+2_HK.EEV-May06 4+2 kkh 16" xfId="4029" xr:uid="{00000000-0005-0000-0000-0000CB170000}"/>
    <cellStyle name="B_Bot_HK.EEV-May06 4+2_HK.EEV-May06 4+2 kkh 16 2" xfId="4030" xr:uid="{00000000-0005-0000-0000-0000CC170000}"/>
    <cellStyle name="B_Bot_HK.EEV-May06 4+2_HK.EEV-May06 4+2 kkh 16 3" xfId="25598" xr:uid="{00000000-0005-0000-0000-0000CD170000}"/>
    <cellStyle name="B_Bot_HK.EEV-May06 4+2_HK.EEV-May06 4+2 kkh 17" xfId="4031" xr:uid="{00000000-0005-0000-0000-0000CE170000}"/>
    <cellStyle name="B_Bot_HK.EEV-May06 4+2_HK.EEV-May06 4+2 kkh 17 2" xfId="4032" xr:uid="{00000000-0005-0000-0000-0000CF170000}"/>
    <cellStyle name="B_Bot_HK.EEV-May06 4+2_HK.EEV-May06 4+2 kkh 17 3" xfId="25599" xr:uid="{00000000-0005-0000-0000-0000D0170000}"/>
    <cellStyle name="B_Bot_HK.EEV-May06 4+2_HK.EEV-May06 4+2 kkh 18" xfId="4033" xr:uid="{00000000-0005-0000-0000-0000D1170000}"/>
    <cellStyle name="B_Bot_HK.EEV-May06 4+2_HK.EEV-May06 4+2 kkh 18 2" xfId="4034" xr:uid="{00000000-0005-0000-0000-0000D2170000}"/>
    <cellStyle name="B_Bot_HK.EEV-May06 4+2_HK.EEV-May06 4+2 kkh 18 3" xfId="25600" xr:uid="{00000000-0005-0000-0000-0000D3170000}"/>
    <cellStyle name="B_Bot_HK.EEV-May06 4+2_HK.EEV-May06 4+2 kkh 19" xfId="4035" xr:uid="{00000000-0005-0000-0000-0000D4170000}"/>
    <cellStyle name="B_Bot_HK.EEV-May06 4+2_HK.EEV-May06 4+2 kkh 19 2" xfId="4036" xr:uid="{00000000-0005-0000-0000-0000D5170000}"/>
    <cellStyle name="B_Bot_HK.EEV-May06 4+2_HK.EEV-May06 4+2 kkh 19 3" xfId="25601" xr:uid="{00000000-0005-0000-0000-0000D6170000}"/>
    <cellStyle name="B_Bot_HK.EEV-May06 4+2_HK.EEV-May06 4+2 kkh 2" xfId="4037" xr:uid="{00000000-0005-0000-0000-0000D7170000}"/>
    <cellStyle name="B_Bot_HK.EEV-May06 4+2_HK.EEV-May06 4+2 kkh 2 2" xfId="4038" xr:uid="{00000000-0005-0000-0000-0000D8170000}"/>
    <cellStyle name="B_Bot_HK.EEV-May06 4+2_HK.EEV-May06 4+2 kkh 2 3" xfId="25602" xr:uid="{00000000-0005-0000-0000-0000D9170000}"/>
    <cellStyle name="B_Bot_HK.EEV-May06 4+2_HK.EEV-May06 4+2 kkh 20" xfId="4039" xr:uid="{00000000-0005-0000-0000-0000DA170000}"/>
    <cellStyle name="B_Bot_HK.EEV-May06 4+2_HK.EEV-May06 4+2 kkh 20 2" xfId="4040" xr:uid="{00000000-0005-0000-0000-0000DB170000}"/>
    <cellStyle name="B_Bot_HK.EEV-May06 4+2_HK.EEV-May06 4+2 kkh 20 3" xfId="25603" xr:uid="{00000000-0005-0000-0000-0000DC170000}"/>
    <cellStyle name="B_Bot_HK.EEV-May06 4+2_HK.EEV-May06 4+2 kkh 21" xfId="4041" xr:uid="{00000000-0005-0000-0000-0000DD170000}"/>
    <cellStyle name="B_Bot_HK.EEV-May06 4+2_HK.EEV-May06 4+2 kkh 21 2" xfId="4042" xr:uid="{00000000-0005-0000-0000-0000DE170000}"/>
    <cellStyle name="B_Bot_HK.EEV-May06 4+2_HK.EEV-May06 4+2 kkh 21 3" xfId="25604" xr:uid="{00000000-0005-0000-0000-0000DF170000}"/>
    <cellStyle name="B_Bot_HK.EEV-May06 4+2_HK.EEV-May06 4+2 kkh 22" xfId="4043" xr:uid="{00000000-0005-0000-0000-0000E0170000}"/>
    <cellStyle name="B_Bot_HK.EEV-May06 4+2_HK.EEV-May06 4+2 kkh 22 2" xfId="4044" xr:uid="{00000000-0005-0000-0000-0000E1170000}"/>
    <cellStyle name="B_Bot_HK.EEV-May06 4+2_HK.EEV-May06 4+2 kkh 22 3" xfId="25605" xr:uid="{00000000-0005-0000-0000-0000E2170000}"/>
    <cellStyle name="B_Bot_HK.EEV-May06 4+2_HK.EEV-May06 4+2 kkh 23" xfId="4045" xr:uid="{00000000-0005-0000-0000-0000E3170000}"/>
    <cellStyle name="B_Bot_HK.EEV-May06 4+2_HK.EEV-May06 4+2 kkh 23 2" xfId="4046" xr:uid="{00000000-0005-0000-0000-0000E4170000}"/>
    <cellStyle name="B_Bot_HK.EEV-May06 4+2_HK.EEV-May06 4+2 kkh 23 3" xfId="25606" xr:uid="{00000000-0005-0000-0000-0000E5170000}"/>
    <cellStyle name="B_Bot_HK.EEV-May06 4+2_HK.EEV-May06 4+2 kkh 24" xfId="4047" xr:uid="{00000000-0005-0000-0000-0000E6170000}"/>
    <cellStyle name="B_Bot_HK.EEV-May06 4+2_HK.EEV-May06 4+2 kkh 25" xfId="25607" xr:uid="{00000000-0005-0000-0000-0000E7170000}"/>
    <cellStyle name="B_Bot_HK.EEV-May06 4+2_HK.EEV-May06 4+2 kkh 3" xfId="4048" xr:uid="{00000000-0005-0000-0000-0000E8170000}"/>
    <cellStyle name="B_Bot_HK.EEV-May06 4+2_HK.EEV-May06 4+2 kkh 3 2" xfId="4049" xr:uid="{00000000-0005-0000-0000-0000E9170000}"/>
    <cellStyle name="B_Bot_HK.EEV-May06 4+2_HK.EEV-May06 4+2 kkh 3 3" xfId="25608" xr:uid="{00000000-0005-0000-0000-0000EA170000}"/>
    <cellStyle name="B_Bot_HK.EEV-May06 4+2_HK.EEV-May06 4+2 kkh 4" xfId="4050" xr:uid="{00000000-0005-0000-0000-0000EB170000}"/>
    <cellStyle name="B_Bot_HK.EEV-May06 4+2_HK.EEV-May06 4+2 kkh 4 2" xfId="4051" xr:uid="{00000000-0005-0000-0000-0000EC170000}"/>
    <cellStyle name="B_Bot_HK.EEV-May06 4+2_HK.EEV-May06 4+2 kkh 4 3" xfId="25609" xr:uid="{00000000-0005-0000-0000-0000ED170000}"/>
    <cellStyle name="B_Bot_HK.EEV-May06 4+2_HK.EEV-May06 4+2 kkh 5" xfId="4052" xr:uid="{00000000-0005-0000-0000-0000EE170000}"/>
    <cellStyle name="B_Bot_HK.EEV-May06 4+2_HK.EEV-May06 4+2 kkh 5 2" xfId="4053" xr:uid="{00000000-0005-0000-0000-0000EF170000}"/>
    <cellStyle name="B_Bot_HK.EEV-May06 4+2_HK.EEV-May06 4+2 kkh 5 3" xfId="25610" xr:uid="{00000000-0005-0000-0000-0000F0170000}"/>
    <cellStyle name="B_Bot_HK.EEV-May06 4+2_HK.EEV-May06 4+2 kkh 6" xfId="4054" xr:uid="{00000000-0005-0000-0000-0000F1170000}"/>
    <cellStyle name="B_Bot_HK.EEV-May06 4+2_HK.EEV-May06 4+2 kkh 6 2" xfId="4055" xr:uid="{00000000-0005-0000-0000-0000F2170000}"/>
    <cellStyle name="B_Bot_HK.EEV-May06 4+2_HK.EEV-May06 4+2 kkh 6 3" xfId="25611" xr:uid="{00000000-0005-0000-0000-0000F3170000}"/>
    <cellStyle name="B_Bot_HK.EEV-May06 4+2_HK.EEV-May06 4+2 kkh 7" xfId="4056" xr:uid="{00000000-0005-0000-0000-0000F4170000}"/>
    <cellStyle name="B_Bot_HK.EEV-May06 4+2_HK.EEV-May06 4+2 kkh 7 2" xfId="4057" xr:uid="{00000000-0005-0000-0000-0000F5170000}"/>
    <cellStyle name="B_Bot_HK.EEV-May06 4+2_HK.EEV-May06 4+2 kkh 7 3" xfId="25612" xr:uid="{00000000-0005-0000-0000-0000F6170000}"/>
    <cellStyle name="B_Bot_HK.EEV-May06 4+2_HK.EEV-May06 4+2 kkh 8" xfId="4058" xr:uid="{00000000-0005-0000-0000-0000F7170000}"/>
    <cellStyle name="B_Bot_HK.EEV-May06 4+2_HK.EEV-May06 4+2 kkh 8 2" xfId="4059" xr:uid="{00000000-0005-0000-0000-0000F8170000}"/>
    <cellStyle name="B_Bot_HK.EEV-May06 4+2_HK.EEV-May06 4+2 kkh 8 3" xfId="25613" xr:uid="{00000000-0005-0000-0000-0000F9170000}"/>
    <cellStyle name="B_Bot_HK.EEV-May06 4+2_HK.EEV-May06 4+2 kkh 9" xfId="4060" xr:uid="{00000000-0005-0000-0000-0000FA170000}"/>
    <cellStyle name="B_Bot_HK.EEV-May06 4+2_HK.EEV-May06 4+2 kkh 9 2" xfId="4061" xr:uid="{00000000-0005-0000-0000-0000FB170000}"/>
    <cellStyle name="B_Bot_HK.EEV-May06 4+2_HK.EEV-May06 4+2 kkh 9 3" xfId="25614" xr:uid="{00000000-0005-0000-0000-0000FC170000}"/>
    <cellStyle name="B_Bot_HK.EEV-May06 4+2_HK.EEV-May06 4+2 kkh_PROD_DETAILS" xfId="4062" xr:uid="{00000000-0005-0000-0000-0000FD170000}"/>
    <cellStyle name="B_Bot_HK.EEV-May06 4+2_HK.EEV-May06 4+2 kkh_PROD_DETAILS 2" xfId="4063" xr:uid="{00000000-0005-0000-0000-0000FE170000}"/>
    <cellStyle name="B_Bot_HK.EEV-May06 4+2_HK.EEV-May06 4+2 kkh_PROD_DETAILS 3" xfId="25615" xr:uid="{00000000-0005-0000-0000-0000FF170000}"/>
    <cellStyle name="B_Bot_HK.EEV-May06 4+2_HK.EEV-May06 4+2 kkh_SOLVENCY POSITION " xfId="4064" xr:uid="{00000000-0005-0000-0000-000000180000}"/>
    <cellStyle name="B_Bot_HK.EEV-May06 4+2_HK.EEV-May06 4+2 kkh_SOLVENCY POSITION  2" xfId="4065" xr:uid="{00000000-0005-0000-0000-000001180000}"/>
    <cellStyle name="B_Bot_HK.EEV-May06 4+2_HK.EEV-May06 4+2 kkh_SOLVENCY POSITION  3" xfId="25616" xr:uid="{00000000-0005-0000-0000-000002180000}"/>
    <cellStyle name="B_Bot_HK.EEV-May06 4+2_PROD_DETAILS" xfId="4066" xr:uid="{00000000-0005-0000-0000-000003180000}"/>
    <cellStyle name="B_Bot_HK.EEV-May06 4+2_PROD_DETAILS 2" xfId="4067" xr:uid="{00000000-0005-0000-0000-000004180000}"/>
    <cellStyle name="B_Bot_HK.EEV-May06 4+2_PROD_DETAILS 3" xfId="25617" xr:uid="{00000000-0005-0000-0000-000005180000}"/>
    <cellStyle name="B_Bot_HK.EEV-May06 4+2_SOLVENCY POSITION " xfId="4068" xr:uid="{00000000-0005-0000-0000-000006180000}"/>
    <cellStyle name="B_Bot_HK.EEV-May06 4+2_SOLVENCY POSITION  2" xfId="4069" xr:uid="{00000000-0005-0000-0000-000007180000}"/>
    <cellStyle name="B_Bot_HK.EEV-May06 4+2_SOLVENCY POSITION  3" xfId="25618" xr:uid="{00000000-0005-0000-0000-000008180000}"/>
    <cellStyle name="B_Bot_HK.NBC@Mar2006" xfId="4070" xr:uid="{00000000-0005-0000-0000-000009180000}"/>
    <cellStyle name="B_Bot_HK.NBC@Mar2006 10" xfId="4071" xr:uid="{00000000-0005-0000-0000-00000A180000}"/>
    <cellStyle name="B_Bot_HK.NBC@Mar2006 10 2" xfId="4072" xr:uid="{00000000-0005-0000-0000-00000B180000}"/>
    <cellStyle name="B_Bot_HK.NBC@Mar2006 10 3" xfId="25619" xr:uid="{00000000-0005-0000-0000-00000C180000}"/>
    <cellStyle name="B_Bot_HK.NBC@Mar2006 11" xfId="4073" xr:uid="{00000000-0005-0000-0000-00000D180000}"/>
    <cellStyle name="B_Bot_HK.NBC@Mar2006 11 2" xfId="4074" xr:uid="{00000000-0005-0000-0000-00000E180000}"/>
    <cellStyle name="B_Bot_HK.NBC@Mar2006 11 3" xfId="25620" xr:uid="{00000000-0005-0000-0000-00000F180000}"/>
    <cellStyle name="B_Bot_HK.NBC@Mar2006 12" xfId="4075" xr:uid="{00000000-0005-0000-0000-000010180000}"/>
    <cellStyle name="B_Bot_HK.NBC@Mar2006 12 2" xfId="4076" xr:uid="{00000000-0005-0000-0000-000011180000}"/>
    <cellStyle name="B_Bot_HK.NBC@Mar2006 12 3" xfId="25621" xr:uid="{00000000-0005-0000-0000-000012180000}"/>
    <cellStyle name="B_Bot_HK.NBC@Mar2006 13" xfId="4077" xr:uid="{00000000-0005-0000-0000-000013180000}"/>
    <cellStyle name="B_Bot_HK.NBC@Mar2006 13 2" xfId="4078" xr:uid="{00000000-0005-0000-0000-000014180000}"/>
    <cellStyle name="B_Bot_HK.NBC@Mar2006 13 3" xfId="25622" xr:uid="{00000000-0005-0000-0000-000015180000}"/>
    <cellStyle name="B_Bot_HK.NBC@Mar2006 14" xfId="4079" xr:uid="{00000000-0005-0000-0000-000016180000}"/>
    <cellStyle name="B_Bot_HK.NBC@Mar2006 14 2" xfId="4080" xr:uid="{00000000-0005-0000-0000-000017180000}"/>
    <cellStyle name="B_Bot_HK.NBC@Mar2006 14 3" xfId="25623" xr:uid="{00000000-0005-0000-0000-000018180000}"/>
    <cellStyle name="B_Bot_HK.NBC@Mar2006 15" xfId="4081" xr:uid="{00000000-0005-0000-0000-000019180000}"/>
    <cellStyle name="B_Bot_HK.NBC@Mar2006 15 2" xfId="4082" xr:uid="{00000000-0005-0000-0000-00001A180000}"/>
    <cellStyle name="B_Bot_HK.NBC@Mar2006 15 3" xfId="25624" xr:uid="{00000000-0005-0000-0000-00001B180000}"/>
    <cellStyle name="B_Bot_HK.NBC@Mar2006 16" xfId="4083" xr:uid="{00000000-0005-0000-0000-00001C180000}"/>
    <cellStyle name="B_Bot_HK.NBC@Mar2006 16 2" xfId="4084" xr:uid="{00000000-0005-0000-0000-00001D180000}"/>
    <cellStyle name="B_Bot_HK.NBC@Mar2006 16 3" xfId="25625" xr:uid="{00000000-0005-0000-0000-00001E180000}"/>
    <cellStyle name="B_Bot_HK.NBC@Mar2006 17" xfId="4085" xr:uid="{00000000-0005-0000-0000-00001F180000}"/>
    <cellStyle name="B_Bot_HK.NBC@Mar2006 17 2" xfId="4086" xr:uid="{00000000-0005-0000-0000-000020180000}"/>
    <cellStyle name="B_Bot_HK.NBC@Mar2006 17 3" xfId="25626" xr:uid="{00000000-0005-0000-0000-000021180000}"/>
    <cellStyle name="B_Bot_HK.NBC@Mar2006 18" xfId="4087" xr:uid="{00000000-0005-0000-0000-000022180000}"/>
    <cellStyle name="B_Bot_HK.NBC@Mar2006 18 2" xfId="4088" xr:uid="{00000000-0005-0000-0000-000023180000}"/>
    <cellStyle name="B_Bot_HK.NBC@Mar2006 18 3" xfId="25627" xr:uid="{00000000-0005-0000-0000-000024180000}"/>
    <cellStyle name="B_Bot_HK.NBC@Mar2006 19" xfId="4089" xr:uid="{00000000-0005-0000-0000-000025180000}"/>
    <cellStyle name="B_Bot_HK.NBC@Mar2006 19 2" xfId="4090" xr:uid="{00000000-0005-0000-0000-000026180000}"/>
    <cellStyle name="B_Bot_HK.NBC@Mar2006 19 3" xfId="25628" xr:uid="{00000000-0005-0000-0000-000027180000}"/>
    <cellStyle name="B_Bot_HK.NBC@Mar2006 2" xfId="4091" xr:uid="{00000000-0005-0000-0000-000028180000}"/>
    <cellStyle name="B_Bot_HK.NBC@Mar2006 2 2" xfId="4092" xr:uid="{00000000-0005-0000-0000-000029180000}"/>
    <cellStyle name="B_Bot_HK.NBC@Mar2006 2 3" xfId="25629" xr:uid="{00000000-0005-0000-0000-00002A180000}"/>
    <cellStyle name="B_Bot_HK.NBC@Mar2006 20" xfId="4093" xr:uid="{00000000-0005-0000-0000-00002B180000}"/>
    <cellStyle name="B_Bot_HK.NBC@Mar2006 20 2" xfId="4094" xr:uid="{00000000-0005-0000-0000-00002C180000}"/>
    <cellStyle name="B_Bot_HK.NBC@Mar2006 20 3" xfId="25630" xr:uid="{00000000-0005-0000-0000-00002D180000}"/>
    <cellStyle name="B_Bot_HK.NBC@Mar2006 21" xfId="4095" xr:uid="{00000000-0005-0000-0000-00002E180000}"/>
    <cellStyle name="B_Bot_HK.NBC@Mar2006 21 2" xfId="4096" xr:uid="{00000000-0005-0000-0000-00002F180000}"/>
    <cellStyle name="B_Bot_HK.NBC@Mar2006 21 3" xfId="25631" xr:uid="{00000000-0005-0000-0000-000030180000}"/>
    <cellStyle name="B_Bot_HK.NBC@Mar2006 22" xfId="4097" xr:uid="{00000000-0005-0000-0000-000031180000}"/>
    <cellStyle name="B_Bot_HK.NBC@Mar2006 22 2" xfId="4098" xr:uid="{00000000-0005-0000-0000-000032180000}"/>
    <cellStyle name="B_Bot_HK.NBC@Mar2006 22 3" xfId="25632" xr:uid="{00000000-0005-0000-0000-000033180000}"/>
    <cellStyle name="B_Bot_HK.NBC@Mar2006 23" xfId="4099" xr:uid="{00000000-0005-0000-0000-000034180000}"/>
    <cellStyle name="B_Bot_HK.NBC@Mar2006 23 2" xfId="4100" xr:uid="{00000000-0005-0000-0000-000035180000}"/>
    <cellStyle name="B_Bot_HK.NBC@Mar2006 23 3" xfId="25633" xr:uid="{00000000-0005-0000-0000-000036180000}"/>
    <cellStyle name="B_Bot_HK.NBC@Mar2006 24" xfId="4101" xr:uid="{00000000-0005-0000-0000-000037180000}"/>
    <cellStyle name="B_Bot_HK.NBC@Mar2006 25" xfId="25634" xr:uid="{00000000-0005-0000-0000-000038180000}"/>
    <cellStyle name="B_Bot_HK.NBC@Mar2006 3" xfId="4102" xr:uid="{00000000-0005-0000-0000-000039180000}"/>
    <cellStyle name="B_Bot_HK.NBC@Mar2006 3 2" xfId="4103" xr:uid="{00000000-0005-0000-0000-00003A180000}"/>
    <cellStyle name="B_Bot_HK.NBC@Mar2006 3 3" xfId="25635" xr:uid="{00000000-0005-0000-0000-00003B180000}"/>
    <cellStyle name="B_Bot_HK.NBC@Mar2006 4" xfId="4104" xr:uid="{00000000-0005-0000-0000-00003C180000}"/>
    <cellStyle name="B_Bot_HK.NBC@Mar2006 4 2" xfId="4105" xr:uid="{00000000-0005-0000-0000-00003D180000}"/>
    <cellStyle name="B_Bot_HK.NBC@Mar2006 4 3" xfId="25636" xr:uid="{00000000-0005-0000-0000-00003E180000}"/>
    <cellStyle name="B_Bot_HK.NBC@Mar2006 5" xfId="4106" xr:uid="{00000000-0005-0000-0000-00003F180000}"/>
    <cellStyle name="B_Bot_HK.NBC@Mar2006 5 2" xfId="4107" xr:uid="{00000000-0005-0000-0000-000040180000}"/>
    <cellStyle name="B_Bot_HK.NBC@Mar2006 5 3" xfId="25637" xr:uid="{00000000-0005-0000-0000-000041180000}"/>
    <cellStyle name="B_Bot_HK.NBC@Mar2006 6" xfId="4108" xr:uid="{00000000-0005-0000-0000-000042180000}"/>
    <cellStyle name="B_Bot_HK.NBC@Mar2006 6 2" xfId="4109" xr:uid="{00000000-0005-0000-0000-000043180000}"/>
    <cellStyle name="B_Bot_HK.NBC@Mar2006 6 3" xfId="25638" xr:uid="{00000000-0005-0000-0000-000044180000}"/>
    <cellStyle name="B_Bot_HK.NBC@Mar2006 7" xfId="4110" xr:uid="{00000000-0005-0000-0000-000045180000}"/>
    <cellStyle name="B_Bot_HK.NBC@Mar2006 7 2" xfId="4111" xr:uid="{00000000-0005-0000-0000-000046180000}"/>
    <cellStyle name="B_Bot_HK.NBC@Mar2006 7 3" xfId="25639" xr:uid="{00000000-0005-0000-0000-000047180000}"/>
    <cellStyle name="B_Bot_HK.NBC@Mar2006 8" xfId="4112" xr:uid="{00000000-0005-0000-0000-000048180000}"/>
    <cellStyle name="B_Bot_HK.NBC@Mar2006 8 2" xfId="4113" xr:uid="{00000000-0005-0000-0000-000049180000}"/>
    <cellStyle name="B_Bot_HK.NBC@Mar2006 8 3" xfId="25640" xr:uid="{00000000-0005-0000-0000-00004A180000}"/>
    <cellStyle name="B_Bot_HK.NBC@Mar2006 9" xfId="4114" xr:uid="{00000000-0005-0000-0000-00004B180000}"/>
    <cellStyle name="B_Bot_HK.NBC@Mar2006 9 2" xfId="4115" xr:uid="{00000000-0005-0000-0000-00004C180000}"/>
    <cellStyle name="B_Bot_HK.NBC@Mar2006 9 3" xfId="25641" xr:uid="{00000000-0005-0000-0000-00004D180000}"/>
    <cellStyle name="B_Bot_HK.NBC@Mar2006_HK.EEV-May06 4+2 kkh" xfId="4116" xr:uid="{00000000-0005-0000-0000-00004E180000}"/>
    <cellStyle name="B_Bot_HK.NBC@Mar2006_HK.EEV-May06 4+2 kkh 10" xfId="4117" xr:uid="{00000000-0005-0000-0000-00004F180000}"/>
    <cellStyle name="B_Bot_HK.NBC@Mar2006_HK.EEV-May06 4+2 kkh 10 2" xfId="4118" xr:uid="{00000000-0005-0000-0000-000050180000}"/>
    <cellStyle name="B_Bot_HK.NBC@Mar2006_HK.EEV-May06 4+2 kkh 10 3" xfId="25642" xr:uid="{00000000-0005-0000-0000-000051180000}"/>
    <cellStyle name="B_Bot_HK.NBC@Mar2006_HK.EEV-May06 4+2 kkh 11" xfId="4119" xr:uid="{00000000-0005-0000-0000-000052180000}"/>
    <cellStyle name="B_Bot_HK.NBC@Mar2006_HK.EEV-May06 4+2 kkh 11 2" xfId="4120" xr:uid="{00000000-0005-0000-0000-000053180000}"/>
    <cellStyle name="B_Bot_HK.NBC@Mar2006_HK.EEV-May06 4+2 kkh 11 3" xfId="25643" xr:uid="{00000000-0005-0000-0000-000054180000}"/>
    <cellStyle name="B_Bot_HK.NBC@Mar2006_HK.EEV-May06 4+2 kkh 12" xfId="4121" xr:uid="{00000000-0005-0000-0000-000055180000}"/>
    <cellStyle name="B_Bot_HK.NBC@Mar2006_HK.EEV-May06 4+2 kkh 12 2" xfId="4122" xr:uid="{00000000-0005-0000-0000-000056180000}"/>
    <cellStyle name="B_Bot_HK.NBC@Mar2006_HK.EEV-May06 4+2 kkh 12 3" xfId="25644" xr:uid="{00000000-0005-0000-0000-000057180000}"/>
    <cellStyle name="B_Bot_HK.NBC@Mar2006_HK.EEV-May06 4+2 kkh 13" xfId="4123" xr:uid="{00000000-0005-0000-0000-000058180000}"/>
    <cellStyle name="B_Bot_HK.NBC@Mar2006_HK.EEV-May06 4+2 kkh 13 2" xfId="4124" xr:uid="{00000000-0005-0000-0000-000059180000}"/>
    <cellStyle name="B_Bot_HK.NBC@Mar2006_HK.EEV-May06 4+2 kkh 13 3" xfId="25645" xr:uid="{00000000-0005-0000-0000-00005A180000}"/>
    <cellStyle name="B_Bot_HK.NBC@Mar2006_HK.EEV-May06 4+2 kkh 14" xfId="4125" xr:uid="{00000000-0005-0000-0000-00005B180000}"/>
    <cellStyle name="B_Bot_HK.NBC@Mar2006_HK.EEV-May06 4+2 kkh 14 2" xfId="4126" xr:uid="{00000000-0005-0000-0000-00005C180000}"/>
    <cellStyle name="B_Bot_HK.NBC@Mar2006_HK.EEV-May06 4+2 kkh 14 3" xfId="25646" xr:uid="{00000000-0005-0000-0000-00005D180000}"/>
    <cellStyle name="B_Bot_HK.NBC@Mar2006_HK.EEV-May06 4+2 kkh 15" xfId="4127" xr:uid="{00000000-0005-0000-0000-00005E180000}"/>
    <cellStyle name="B_Bot_HK.NBC@Mar2006_HK.EEV-May06 4+2 kkh 15 2" xfId="4128" xr:uid="{00000000-0005-0000-0000-00005F180000}"/>
    <cellStyle name="B_Bot_HK.NBC@Mar2006_HK.EEV-May06 4+2 kkh 15 3" xfId="25647" xr:uid="{00000000-0005-0000-0000-000060180000}"/>
    <cellStyle name="B_Bot_HK.NBC@Mar2006_HK.EEV-May06 4+2 kkh 16" xfId="4129" xr:uid="{00000000-0005-0000-0000-000061180000}"/>
    <cellStyle name="B_Bot_HK.NBC@Mar2006_HK.EEV-May06 4+2 kkh 16 2" xfId="4130" xr:uid="{00000000-0005-0000-0000-000062180000}"/>
    <cellStyle name="B_Bot_HK.NBC@Mar2006_HK.EEV-May06 4+2 kkh 16 3" xfId="25648" xr:uid="{00000000-0005-0000-0000-000063180000}"/>
    <cellStyle name="B_Bot_HK.NBC@Mar2006_HK.EEV-May06 4+2 kkh 17" xfId="4131" xr:uid="{00000000-0005-0000-0000-000064180000}"/>
    <cellStyle name="B_Bot_HK.NBC@Mar2006_HK.EEV-May06 4+2 kkh 17 2" xfId="4132" xr:uid="{00000000-0005-0000-0000-000065180000}"/>
    <cellStyle name="B_Bot_HK.NBC@Mar2006_HK.EEV-May06 4+2 kkh 17 3" xfId="25649" xr:uid="{00000000-0005-0000-0000-000066180000}"/>
    <cellStyle name="B_Bot_HK.NBC@Mar2006_HK.EEV-May06 4+2 kkh 18" xfId="4133" xr:uid="{00000000-0005-0000-0000-000067180000}"/>
    <cellStyle name="B_Bot_HK.NBC@Mar2006_HK.EEV-May06 4+2 kkh 18 2" xfId="4134" xr:uid="{00000000-0005-0000-0000-000068180000}"/>
    <cellStyle name="B_Bot_HK.NBC@Mar2006_HK.EEV-May06 4+2 kkh 18 3" xfId="25650" xr:uid="{00000000-0005-0000-0000-000069180000}"/>
    <cellStyle name="B_Bot_HK.NBC@Mar2006_HK.EEV-May06 4+2 kkh 19" xfId="4135" xr:uid="{00000000-0005-0000-0000-00006A180000}"/>
    <cellStyle name="B_Bot_HK.NBC@Mar2006_HK.EEV-May06 4+2 kkh 19 2" xfId="4136" xr:uid="{00000000-0005-0000-0000-00006B180000}"/>
    <cellStyle name="B_Bot_HK.NBC@Mar2006_HK.EEV-May06 4+2 kkh 19 3" xfId="25651" xr:uid="{00000000-0005-0000-0000-00006C180000}"/>
    <cellStyle name="B_Bot_HK.NBC@Mar2006_HK.EEV-May06 4+2 kkh 2" xfId="4137" xr:uid="{00000000-0005-0000-0000-00006D180000}"/>
    <cellStyle name="B_Bot_HK.NBC@Mar2006_HK.EEV-May06 4+2 kkh 2 2" xfId="4138" xr:uid="{00000000-0005-0000-0000-00006E180000}"/>
    <cellStyle name="B_Bot_HK.NBC@Mar2006_HK.EEV-May06 4+2 kkh 2 3" xfId="25652" xr:uid="{00000000-0005-0000-0000-00006F180000}"/>
    <cellStyle name="B_Bot_HK.NBC@Mar2006_HK.EEV-May06 4+2 kkh 20" xfId="4139" xr:uid="{00000000-0005-0000-0000-000070180000}"/>
    <cellStyle name="B_Bot_HK.NBC@Mar2006_HK.EEV-May06 4+2 kkh 20 2" xfId="4140" xr:uid="{00000000-0005-0000-0000-000071180000}"/>
    <cellStyle name="B_Bot_HK.NBC@Mar2006_HK.EEV-May06 4+2 kkh 20 3" xfId="25653" xr:uid="{00000000-0005-0000-0000-000072180000}"/>
    <cellStyle name="B_Bot_HK.NBC@Mar2006_HK.EEV-May06 4+2 kkh 21" xfId="4141" xr:uid="{00000000-0005-0000-0000-000073180000}"/>
    <cellStyle name="B_Bot_HK.NBC@Mar2006_HK.EEV-May06 4+2 kkh 21 2" xfId="4142" xr:uid="{00000000-0005-0000-0000-000074180000}"/>
    <cellStyle name="B_Bot_HK.NBC@Mar2006_HK.EEV-May06 4+2 kkh 21 3" xfId="25654" xr:uid="{00000000-0005-0000-0000-000075180000}"/>
    <cellStyle name="B_Bot_HK.NBC@Mar2006_HK.EEV-May06 4+2 kkh 22" xfId="4143" xr:uid="{00000000-0005-0000-0000-000076180000}"/>
    <cellStyle name="B_Bot_HK.NBC@Mar2006_HK.EEV-May06 4+2 kkh 22 2" xfId="4144" xr:uid="{00000000-0005-0000-0000-000077180000}"/>
    <cellStyle name="B_Bot_HK.NBC@Mar2006_HK.EEV-May06 4+2 kkh 22 3" xfId="25655" xr:uid="{00000000-0005-0000-0000-000078180000}"/>
    <cellStyle name="B_Bot_HK.NBC@Mar2006_HK.EEV-May06 4+2 kkh 23" xfId="4145" xr:uid="{00000000-0005-0000-0000-000079180000}"/>
    <cellStyle name="B_Bot_HK.NBC@Mar2006_HK.EEV-May06 4+2 kkh 23 2" xfId="4146" xr:uid="{00000000-0005-0000-0000-00007A180000}"/>
    <cellStyle name="B_Bot_HK.NBC@Mar2006_HK.EEV-May06 4+2 kkh 23 3" xfId="25656" xr:uid="{00000000-0005-0000-0000-00007B180000}"/>
    <cellStyle name="B_Bot_HK.NBC@Mar2006_HK.EEV-May06 4+2 kkh 24" xfId="4147" xr:uid="{00000000-0005-0000-0000-00007C180000}"/>
    <cellStyle name="B_Bot_HK.NBC@Mar2006_HK.EEV-May06 4+2 kkh 25" xfId="25657" xr:uid="{00000000-0005-0000-0000-00007D180000}"/>
    <cellStyle name="B_Bot_HK.NBC@Mar2006_HK.EEV-May06 4+2 kkh 3" xfId="4148" xr:uid="{00000000-0005-0000-0000-00007E180000}"/>
    <cellStyle name="B_Bot_HK.NBC@Mar2006_HK.EEV-May06 4+2 kkh 3 2" xfId="4149" xr:uid="{00000000-0005-0000-0000-00007F180000}"/>
    <cellStyle name="B_Bot_HK.NBC@Mar2006_HK.EEV-May06 4+2 kkh 3 3" xfId="25658" xr:uid="{00000000-0005-0000-0000-000080180000}"/>
    <cellStyle name="B_Bot_HK.NBC@Mar2006_HK.EEV-May06 4+2 kkh 4" xfId="4150" xr:uid="{00000000-0005-0000-0000-000081180000}"/>
    <cellStyle name="B_Bot_HK.NBC@Mar2006_HK.EEV-May06 4+2 kkh 4 2" xfId="4151" xr:uid="{00000000-0005-0000-0000-000082180000}"/>
    <cellStyle name="B_Bot_HK.NBC@Mar2006_HK.EEV-May06 4+2 kkh 4 3" xfId="25659" xr:uid="{00000000-0005-0000-0000-000083180000}"/>
    <cellStyle name="B_Bot_HK.NBC@Mar2006_HK.EEV-May06 4+2 kkh 5" xfId="4152" xr:uid="{00000000-0005-0000-0000-000084180000}"/>
    <cellStyle name="B_Bot_HK.NBC@Mar2006_HK.EEV-May06 4+2 kkh 5 2" xfId="4153" xr:uid="{00000000-0005-0000-0000-000085180000}"/>
    <cellStyle name="B_Bot_HK.NBC@Mar2006_HK.EEV-May06 4+2 kkh 5 3" xfId="25660" xr:uid="{00000000-0005-0000-0000-000086180000}"/>
    <cellStyle name="B_Bot_HK.NBC@Mar2006_HK.EEV-May06 4+2 kkh 6" xfId="4154" xr:uid="{00000000-0005-0000-0000-000087180000}"/>
    <cellStyle name="B_Bot_HK.NBC@Mar2006_HK.EEV-May06 4+2 kkh 6 2" xfId="4155" xr:uid="{00000000-0005-0000-0000-000088180000}"/>
    <cellStyle name="B_Bot_HK.NBC@Mar2006_HK.EEV-May06 4+2 kkh 6 3" xfId="25661" xr:uid="{00000000-0005-0000-0000-000089180000}"/>
    <cellStyle name="B_Bot_HK.NBC@Mar2006_HK.EEV-May06 4+2 kkh 7" xfId="4156" xr:uid="{00000000-0005-0000-0000-00008A180000}"/>
    <cellStyle name="B_Bot_HK.NBC@Mar2006_HK.EEV-May06 4+2 kkh 7 2" xfId="4157" xr:uid="{00000000-0005-0000-0000-00008B180000}"/>
    <cellStyle name="B_Bot_HK.NBC@Mar2006_HK.EEV-May06 4+2 kkh 7 3" xfId="25662" xr:uid="{00000000-0005-0000-0000-00008C180000}"/>
    <cellStyle name="B_Bot_HK.NBC@Mar2006_HK.EEV-May06 4+2 kkh 8" xfId="4158" xr:uid="{00000000-0005-0000-0000-00008D180000}"/>
    <cellStyle name="B_Bot_HK.NBC@Mar2006_HK.EEV-May06 4+2 kkh 8 2" xfId="4159" xr:uid="{00000000-0005-0000-0000-00008E180000}"/>
    <cellStyle name="B_Bot_HK.NBC@Mar2006_HK.EEV-May06 4+2 kkh 8 3" xfId="25663" xr:uid="{00000000-0005-0000-0000-00008F180000}"/>
    <cellStyle name="B_Bot_HK.NBC@Mar2006_HK.EEV-May06 4+2 kkh 9" xfId="4160" xr:uid="{00000000-0005-0000-0000-000090180000}"/>
    <cellStyle name="B_Bot_HK.NBC@Mar2006_HK.EEV-May06 4+2 kkh 9 2" xfId="4161" xr:uid="{00000000-0005-0000-0000-000091180000}"/>
    <cellStyle name="B_Bot_HK.NBC@Mar2006_HK.EEV-May06 4+2 kkh 9 3" xfId="25664" xr:uid="{00000000-0005-0000-0000-000092180000}"/>
    <cellStyle name="B_Bot_HK.NBC@Mar2006_HK.EEV-May06 4+2 kkh_PROD_DETAILS" xfId="4162" xr:uid="{00000000-0005-0000-0000-000093180000}"/>
    <cellStyle name="B_Bot_HK.NBC@Mar2006_HK.EEV-May06 4+2 kkh_PROD_DETAILS 2" xfId="4163" xr:uid="{00000000-0005-0000-0000-000094180000}"/>
    <cellStyle name="B_Bot_HK.NBC@Mar2006_HK.EEV-May06 4+2 kkh_PROD_DETAILS 3" xfId="25665" xr:uid="{00000000-0005-0000-0000-000095180000}"/>
    <cellStyle name="B_Bot_HK.NBC@Mar2006_HK.EEV-May06 4+2 kkh_SOLVENCY POSITION " xfId="4164" xr:uid="{00000000-0005-0000-0000-000096180000}"/>
    <cellStyle name="B_Bot_HK.NBC@Mar2006_HK.EEV-May06 4+2 kkh_SOLVENCY POSITION  2" xfId="4165" xr:uid="{00000000-0005-0000-0000-000097180000}"/>
    <cellStyle name="B_Bot_HK.NBC@Mar2006_HK.EEV-May06 4+2 kkh_SOLVENCY POSITION  3" xfId="25666" xr:uid="{00000000-0005-0000-0000-000098180000}"/>
    <cellStyle name="B_Bot_HK.NBC@Mar2006_PROD_DETAILS" xfId="4166" xr:uid="{00000000-0005-0000-0000-000099180000}"/>
    <cellStyle name="B_Bot_HK.NBC@Mar2006_PROD_DETAILS 2" xfId="4167" xr:uid="{00000000-0005-0000-0000-00009A180000}"/>
    <cellStyle name="B_Bot_HK.NBC@Mar2006_PROD_DETAILS 3" xfId="25667" xr:uid="{00000000-0005-0000-0000-00009B180000}"/>
    <cellStyle name="B_Bot_HK.NBC@Mar2006_SOLVENCY POSITION " xfId="4168" xr:uid="{00000000-0005-0000-0000-00009C180000}"/>
    <cellStyle name="B_Bot_HK.NBC@Mar2006_SOLVENCY POSITION  2" xfId="4169" xr:uid="{00000000-0005-0000-0000-00009D180000}"/>
    <cellStyle name="B_Bot_HK.NBC@Mar2006_SOLVENCY POSITION  3" xfId="25668" xr:uid="{00000000-0005-0000-0000-00009E180000}"/>
    <cellStyle name="B_Bot_HK_NBC@Dec2007(New Lapse)Final" xfId="4170" xr:uid="{00000000-0005-0000-0000-00009F180000}"/>
    <cellStyle name="B_Bot_HK_NBC@Dec2007(New Lapse)Final 10" xfId="4171" xr:uid="{00000000-0005-0000-0000-0000A0180000}"/>
    <cellStyle name="B_Bot_HK_NBC@Dec2007(New Lapse)Final 10 2" xfId="4172" xr:uid="{00000000-0005-0000-0000-0000A1180000}"/>
    <cellStyle name="B_Bot_HK_NBC@Dec2007(New Lapse)Final 10 3" xfId="25669" xr:uid="{00000000-0005-0000-0000-0000A2180000}"/>
    <cellStyle name="B_Bot_HK_NBC@Dec2007(New Lapse)Final 11" xfId="4173" xr:uid="{00000000-0005-0000-0000-0000A3180000}"/>
    <cellStyle name="B_Bot_HK_NBC@Dec2007(New Lapse)Final 11 2" xfId="4174" xr:uid="{00000000-0005-0000-0000-0000A4180000}"/>
    <cellStyle name="B_Bot_HK_NBC@Dec2007(New Lapse)Final 11 3" xfId="25670" xr:uid="{00000000-0005-0000-0000-0000A5180000}"/>
    <cellStyle name="B_Bot_HK_NBC@Dec2007(New Lapse)Final 12" xfId="4175" xr:uid="{00000000-0005-0000-0000-0000A6180000}"/>
    <cellStyle name="B_Bot_HK_NBC@Dec2007(New Lapse)Final 12 2" xfId="4176" xr:uid="{00000000-0005-0000-0000-0000A7180000}"/>
    <cellStyle name="B_Bot_HK_NBC@Dec2007(New Lapse)Final 12 3" xfId="25671" xr:uid="{00000000-0005-0000-0000-0000A8180000}"/>
    <cellStyle name="B_Bot_HK_NBC@Dec2007(New Lapse)Final 13" xfId="4177" xr:uid="{00000000-0005-0000-0000-0000A9180000}"/>
    <cellStyle name="B_Bot_HK_NBC@Dec2007(New Lapse)Final 13 2" xfId="4178" xr:uid="{00000000-0005-0000-0000-0000AA180000}"/>
    <cellStyle name="B_Bot_HK_NBC@Dec2007(New Lapse)Final 13 3" xfId="25672" xr:uid="{00000000-0005-0000-0000-0000AB180000}"/>
    <cellStyle name="B_Bot_HK_NBC@Dec2007(New Lapse)Final 14" xfId="4179" xr:uid="{00000000-0005-0000-0000-0000AC180000}"/>
    <cellStyle name="B_Bot_HK_NBC@Dec2007(New Lapse)Final 14 2" xfId="4180" xr:uid="{00000000-0005-0000-0000-0000AD180000}"/>
    <cellStyle name="B_Bot_HK_NBC@Dec2007(New Lapse)Final 14 3" xfId="25673" xr:uid="{00000000-0005-0000-0000-0000AE180000}"/>
    <cellStyle name="B_Bot_HK_NBC@Dec2007(New Lapse)Final 15" xfId="4181" xr:uid="{00000000-0005-0000-0000-0000AF180000}"/>
    <cellStyle name="B_Bot_HK_NBC@Dec2007(New Lapse)Final 15 2" xfId="4182" xr:uid="{00000000-0005-0000-0000-0000B0180000}"/>
    <cellStyle name="B_Bot_HK_NBC@Dec2007(New Lapse)Final 15 3" xfId="25674" xr:uid="{00000000-0005-0000-0000-0000B1180000}"/>
    <cellStyle name="B_Bot_HK_NBC@Dec2007(New Lapse)Final 16" xfId="4183" xr:uid="{00000000-0005-0000-0000-0000B2180000}"/>
    <cellStyle name="B_Bot_HK_NBC@Dec2007(New Lapse)Final 16 2" xfId="4184" xr:uid="{00000000-0005-0000-0000-0000B3180000}"/>
    <cellStyle name="B_Bot_HK_NBC@Dec2007(New Lapse)Final 16 3" xfId="25675" xr:uid="{00000000-0005-0000-0000-0000B4180000}"/>
    <cellStyle name="B_Bot_HK_NBC@Dec2007(New Lapse)Final 17" xfId="4185" xr:uid="{00000000-0005-0000-0000-0000B5180000}"/>
    <cellStyle name="B_Bot_HK_NBC@Dec2007(New Lapse)Final 17 2" xfId="4186" xr:uid="{00000000-0005-0000-0000-0000B6180000}"/>
    <cellStyle name="B_Bot_HK_NBC@Dec2007(New Lapse)Final 17 3" xfId="25676" xr:uid="{00000000-0005-0000-0000-0000B7180000}"/>
    <cellStyle name="B_Bot_HK_NBC@Dec2007(New Lapse)Final 18" xfId="4187" xr:uid="{00000000-0005-0000-0000-0000B8180000}"/>
    <cellStyle name="B_Bot_HK_NBC@Dec2007(New Lapse)Final 18 2" xfId="4188" xr:uid="{00000000-0005-0000-0000-0000B9180000}"/>
    <cellStyle name="B_Bot_HK_NBC@Dec2007(New Lapse)Final 18 3" xfId="25677" xr:uid="{00000000-0005-0000-0000-0000BA180000}"/>
    <cellStyle name="B_Bot_HK_NBC@Dec2007(New Lapse)Final 19" xfId="4189" xr:uid="{00000000-0005-0000-0000-0000BB180000}"/>
    <cellStyle name="B_Bot_HK_NBC@Dec2007(New Lapse)Final 19 2" xfId="4190" xr:uid="{00000000-0005-0000-0000-0000BC180000}"/>
    <cellStyle name="B_Bot_HK_NBC@Dec2007(New Lapse)Final 19 3" xfId="25678" xr:uid="{00000000-0005-0000-0000-0000BD180000}"/>
    <cellStyle name="B_Bot_HK_NBC@Dec2007(New Lapse)Final 2" xfId="4191" xr:uid="{00000000-0005-0000-0000-0000BE180000}"/>
    <cellStyle name="B_Bot_HK_NBC@Dec2007(New Lapse)Final 2 2" xfId="4192" xr:uid="{00000000-0005-0000-0000-0000BF180000}"/>
    <cellStyle name="B_Bot_HK_NBC@Dec2007(New Lapse)Final 2 3" xfId="25679" xr:uid="{00000000-0005-0000-0000-0000C0180000}"/>
    <cellStyle name="B_Bot_HK_NBC@Dec2007(New Lapse)Final 20" xfId="4193" xr:uid="{00000000-0005-0000-0000-0000C1180000}"/>
    <cellStyle name="B_Bot_HK_NBC@Dec2007(New Lapse)Final 20 2" xfId="4194" xr:uid="{00000000-0005-0000-0000-0000C2180000}"/>
    <cellStyle name="B_Bot_HK_NBC@Dec2007(New Lapse)Final 20 3" xfId="25680" xr:uid="{00000000-0005-0000-0000-0000C3180000}"/>
    <cellStyle name="B_Bot_HK_NBC@Dec2007(New Lapse)Final 21" xfId="4195" xr:uid="{00000000-0005-0000-0000-0000C4180000}"/>
    <cellStyle name="B_Bot_HK_NBC@Dec2007(New Lapse)Final 21 2" xfId="4196" xr:uid="{00000000-0005-0000-0000-0000C5180000}"/>
    <cellStyle name="B_Bot_HK_NBC@Dec2007(New Lapse)Final 21 3" xfId="25681" xr:uid="{00000000-0005-0000-0000-0000C6180000}"/>
    <cellStyle name="B_Bot_HK_NBC@Dec2007(New Lapse)Final 22" xfId="4197" xr:uid="{00000000-0005-0000-0000-0000C7180000}"/>
    <cellStyle name="B_Bot_HK_NBC@Dec2007(New Lapse)Final 22 2" xfId="4198" xr:uid="{00000000-0005-0000-0000-0000C8180000}"/>
    <cellStyle name="B_Bot_HK_NBC@Dec2007(New Lapse)Final 22 3" xfId="25682" xr:uid="{00000000-0005-0000-0000-0000C9180000}"/>
    <cellStyle name="B_Bot_HK_NBC@Dec2007(New Lapse)Final 23" xfId="4199" xr:uid="{00000000-0005-0000-0000-0000CA180000}"/>
    <cellStyle name="B_Bot_HK_NBC@Dec2007(New Lapse)Final 23 2" xfId="4200" xr:uid="{00000000-0005-0000-0000-0000CB180000}"/>
    <cellStyle name="B_Bot_HK_NBC@Dec2007(New Lapse)Final 23 3" xfId="25683" xr:uid="{00000000-0005-0000-0000-0000CC180000}"/>
    <cellStyle name="B_Bot_HK_NBC@Dec2007(New Lapse)Final 24" xfId="4201" xr:uid="{00000000-0005-0000-0000-0000CD180000}"/>
    <cellStyle name="B_Bot_HK_NBC@Dec2007(New Lapse)Final 25" xfId="25684" xr:uid="{00000000-0005-0000-0000-0000CE180000}"/>
    <cellStyle name="B_Bot_HK_NBC@Dec2007(New Lapse)Final 3" xfId="4202" xr:uid="{00000000-0005-0000-0000-0000CF180000}"/>
    <cellStyle name="B_Bot_HK_NBC@Dec2007(New Lapse)Final 3 2" xfId="4203" xr:uid="{00000000-0005-0000-0000-0000D0180000}"/>
    <cellStyle name="B_Bot_HK_NBC@Dec2007(New Lapse)Final 3 3" xfId="25685" xr:uid="{00000000-0005-0000-0000-0000D1180000}"/>
    <cellStyle name="B_Bot_HK_NBC@Dec2007(New Lapse)Final 4" xfId="4204" xr:uid="{00000000-0005-0000-0000-0000D2180000}"/>
    <cellStyle name="B_Bot_HK_NBC@Dec2007(New Lapse)Final 4 2" xfId="4205" xr:uid="{00000000-0005-0000-0000-0000D3180000}"/>
    <cellStyle name="B_Bot_HK_NBC@Dec2007(New Lapse)Final 4 3" xfId="25686" xr:uid="{00000000-0005-0000-0000-0000D4180000}"/>
    <cellStyle name="B_Bot_HK_NBC@Dec2007(New Lapse)Final 5" xfId="4206" xr:uid="{00000000-0005-0000-0000-0000D5180000}"/>
    <cellStyle name="B_Bot_HK_NBC@Dec2007(New Lapse)Final 5 2" xfId="4207" xr:uid="{00000000-0005-0000-0000-0000D6180000}"/>
    <cellStyle name="B_Bot_HK_NBC@Dec2007(New Lapse)Final 5 3" xfId="25687" xr:uid="{00000000-0005-0000-0000-0000D7180000}"/>
    <cellStyle name="B_Bot_HK_NBC@Dec2007(New Lapse)Final 6" xfId="4208" xr:uid="{00000000-0005-0000-0000-0000D8180000}"/>
    <cellStyle name="B_Bot_HK_NBC@Dec2007(New Lapse)Final 6 2" xfId="4209" xr:uid="{00000000-0005-0000-0000-0000D9180000}"/>
    <cellStyle name="B_Bot_HK_NBC@Dec2007(New Lapse)Final 6 3" xfId="25688" xr:uid="{00000000-0005-0000-0000-0000DA180000}"/>
    <cellStyle name="B_Bot_HK_NBC@Dec2007(New Lapse)Final 7" xfId="4210" xr:uid="{00000000-0005-0000-0000-0000DB180000}"/>
    <cellStyle name="B_Bot_HK_NBC@Dec2007(New Lapse)Final 7 2" xfId="4211" xr:uid="{00000000-0005-0000-0000-0000DC180000}"/>
    <cellStyle name="B_Bot_HK_NBC@Dec2007(New Lapse)Final 7 3" xfId="25689" xr:uid="{00000000-0005-0000-0000-0000DD180000}"/>
    <cellStyle name="B_Bot_HK_NBC@Dec2007(New Lapse)Final 8" xfId="4212" xr:uid="{00000000-0005-0000-0000-0000DE180000}"/>
    <cellStyle name="B_Bot_HK_NBC@Dec2007(New Lapse)Final 8 2" xfId="4213" xr:uid="{00000000-0005-0000-0000-0000DF180000}"/>
    <cellStyle name="B_Bot_HK_NBC@Dec2007(New Lapse)Final 8 3" xfId="25690" xr:uid="{00000000-0005-0000-0000-0000E0180000}"/>
    <cellStyle name="B_Bot_HK_NBC@Dec2007(New Lapse)Final 9" xfId="4214" xr:uid="{00000000-0005-0000-0000-0000E1180000}"/>
    <cellStyle name="B_Bot_HK_NBC@Dec2007(New Lapse)Final 9 2" xfId="4215" xr:uid="{00000000-0005-0000-0000-0000E2180000}"/>
    <cellStyle name="B_Bot_HK_NBC@Dec2007(New Lapse)Final 9 3" xfId="25691" xr:uid="{00000000-0005-0000-0000-0000E3180000}"/>
    <cellStyle name="B_Bot_HK_NBC@Dec2007(New Lapse)Final_PROD_DETAILS" xfId="4216" xr:uid="{00000000-0005-0000-0000-0000E4180000}"/>
    <cellStyle name="B_Bot_HK_NBC@Dec2007(New Lapse)Final_PROD_DETAILS 2" xfId="4217" xr:uid="{00000000-0005-0000-0000-0000E5180000}"/>
    <cellStyle name="B_Bot_HK_NBC@Dec2007(New Lapse)Final_PROD_DETAILS 3" xfId="25692" xr:uid="{00000000-0005-0000-0000-0000E6180000}"/>
    <cellStyle name="B_Bot_HK_NBC@Dec2007(New Lapse)Final_SOLVENCY POSITION " xfId="4218" xr:uid="{00000000-0005-0000-0000-0000E7180000}"/>
    <cellStyle name="B_Bot_HK_NBC@Dec2007(New Lapse)Final_SOLVENCY POSITION  2" xfId="4219" xr:uid="{00000000-0005-0000-0000-0000E8180000}"/>
    <cellStyle name="B_Bot_HK_NBC@Dec2007(New Lapse)Final_SOLVENCY POSITION  3" xfId="25693" xr:uid="{00000000-0005-0000-0000-0000E9180000}"/>
    <cellStyle name="B_Bot_KPI's" xfId="4220" xr:uid="{00000000-0005-0000-0000-0000EA180000}"/>
    <cellStyle name="B_Bot_KPI's 10" xfId="4221" xr:uid="{00000000-0005-0000-0000-0000EB180000}"/>
    <cellStyle name="B_Bot_KPI's 10 2" xfId="4222" xr:uid="{00000000-0005-0000-0000-0000EC180000}"/>
    <cellStyle name="B_Bot_KPI's 10 3" xfId="25694" xr:uid="{00000000-0005-0000-0000-0000ED180000}"/>
    <cellStyle name="B_Bot_KPI's 11" xfId="4223" xr:uid="{00000000-0005-0000-0000-0000EE180000}"/>
    <cellStyle name="B_Bot_KPI's 11 2" xfId="4224" xr:uid="{00000000-0005-0000-0000-0000EF180000}"/>
    <cellStyle name="B_Bot_KPI's 11 3" xfId="25695" xr:uid="{00000000-0005-0000-0000-0000F0180000}"/>
    <cellStyle name="B_Bot_KPI's 12" xfId="4225" xr:uid="{00000000-0005-0000-0000-0000F1180000}"/>
    <cellStyle name="B_Bot_KPI's 12 2" xfId="4226" xr:uid="{00000000-0005-0000-0000-0000F2180000}"/>
    <cellStyle name="B_Bot_KPI's 12 3" xfId="25696" xr:uid="{00000000-0005-0000-0000-0000F3180000}"/>
    <cellStyle name="B_Bot_KPI's 13" xfId="4227" xr:uid="{00000000-0005-0000-0000-0000F4180000}"/>
    <cellStyle name="B_Bot_KPI's 13 2" xfId="4228" xr:uid="{00000000-0005-0000-0000-0000F5180000}"/>
    <cellStyle name="B_Bot_KPI's 13 3" xfId="25697" xr:uid="{00000000-0005-0000-0000-0000F6180000}"/>
    <cellStyle name="B_Bot_KPI's 14" xfId="4229" xr:uid="{00000000-0005-0000-0000-0000F7180000}"/>
    <cellStyle name="B_Bot_KPI's 14 2" xfId="4230" xr:uid="{00000000-0005-0000-0000-0000F8180000}"/>
    <cellStyle name="B_Bot_KPI's 14 3" xfId="25698" xr:uid="{00000000-0005-0000-0000-0000F9180000}"/>
    <cellStyle name="B_Bot_KPI's 15" xfId="4231" xr:uid="{00000000-0005-0000-0000-0000FA180000}"/>
    <cellStyle name="B_Bot_KPI's 15 2" xfId="4232" xr:uid="{00000000-0005-0000-0000-0000FB180000}"/>
    <cellStyle name="B_Bot_KPI's 15 3" xfId="25699" xr:uid="{00000000-0005-0000-0000-0000FC180000}"/>
    <cellStyle name="B_Bot_KPI's 16" xfId="4233" xr:uid="{00000000-0005-0000-0000-0000FD180000}"/>
    <cellStyle name="B_Bot_KPI's 16 2" xfId="4234" xr:uid="{00000000-0005-0000-0000-0000FE180000}"/>
    <cellStyle name="B_Bot_KPI's 16 3" xfId="25700" xr:uid="{00000000-0005-0000-0000-0000FF180000}"/>
    <cellStyle name="B_Bot_KPI's 17" xfId="4235" xr:uid="{00000000-0005-0000-0000-000000190000}"/>
    <cellStyle name="B_Bot_KPI's 17 2" xfId="4236" xr:uid="{00000000-0005-0000-0000-000001190000}"/>
    <cellStyle name="B_Bot_KPI's 17 3" xfId="25701" xr:uid="{00000000-0005-0000-0000-000002190000}"/>
    <cellStyle name="B_Bot_KPI's 18" xfId="4237" xr:uid="{00000000-0005-0000-0000-000003190000}"/>
    <cellStyle name="B_Bot_KPI's 18 2" xfId="4238" xr:uid="{00000000-0005-0000-0000-000004190000}"/>
    <cellStyle name="B_Bot_KPI's 18 3" xfId="25702" xr:uid="{00000000-0005-0000-0000-000005190000}"/>
    <cellStyle name="B_Bot_KPI's 19" xfId="4239" xr:uid="{00000000-0005-0000-0000-000006190000}"/>
    <cellStyle name="B_Bot_KPI's 19 2" xfId="4240" xr:uid="{00000000-0005-0000-0000-000007190000}"/>
    <cellStyle name="B_Bot_KPI's 19 3" xfId="25703" xr:uid="{00000000-0005-0000-0000-000008190000}"/>
    <cellStyle name="B_Bot_KPI's 2" xfId="4241" xr:uid="{00000000-0005-0000-0000-000009190000}"/>
    <cellStyle name="B_Bot_KPI's 2 2" xfId="4242" xr:uid="{00000000-0005-0000-0000-00000A190000}"/>
    <cellStyle name="B_Bot_KPI's 2 3" xfId="25704" xr:uid="{00000000-0005-0000-0000-00000B190000}"/>
    <cellStyle name="B_Bot_KPI's 20" xfId="4243" xr:uid="{00000000-0005-0000-0000-00000C190000}"/>
    <cellStyle name="B_Bot_KPI's 20 2" xfId="4244" xr:uid="{00000000-0005-0000-0000-00000D190000}"/>
    <cellStyle name="B_Bot_KPI's 20 3" xfId="25705" xr:uid="{00000000-0005-0000-0000-00000E190000}"/>
    <cellStyle name="B_Bot_KPI's 21" xfId="4245" xr:uid="{00000000-0005-0000-0000-00000F190000}"/>
    <cellStyle name="B_Bot_KPI's 21 2" xfId="4246" xr:uid="{00000000-0005-0000-0000-000010190000}"/>
    <cellStyle name="B_Bot_KPI's 21 3" xfId="25706" xr:uid="{00000000-0005-0000-0000-000011190000}"/>
    <cellStyle name="B_Bot_KPI's 22" xfId="4247" xr:uid="{00000000-0005-0000-0000-000012190000}"/>
    <cellStyle name="B_Bot_KPI's 22 2" xfId="4248" xr:uid="{00000000-0005-0000-0000-000013190000}"/>
    <cellStyle name="B_Bot_KPI's 22 3" xfId="25707" xr:uid="{00000000-0005-0000-0000-000014190000}"/>
    <cellStyle name="B_Bot_KPI's 23" xfId="4249" xr:uid="{00000000-0005-0000-0000-000015190000}"/>
    <cellStyle name="B_Bot_KPI's 23 2" xfId="4250" xr:uid="{00000000-0005-0000-0000-000016190000}"/>
    <cellStyle name="B_Bot_KPI's 23 3" xfId="25708" xr:uid="{00000000-0005-0000-0000-000017190000}"/>
    <cellStyle name="B_Bot_KPI's 24" xfId="4251" xr:uid="{00000000-0005-0000-0000-000018190000}"/>
    <cellStyle name="B_Bot_KPI's 25" xfId="25709" xr:uid="{00000000-0005-0000-0000-000019190000}"/>
    <cellStyle name="B_Bot_KPI's 3" xfId="4252" xr:uid="{00000000-0005-0000-0000-00001A190000}"/>
    <cellStyle name="B_Bot_KPI's 3 2" xfId="4253" xr:uid="{00000000-0005-0000-0000-00001B190000}"/>
    <cellStyle name="B_Bot_KPI's 3 3" xfId="25710" xr:uid="{00000000-0005-0000-0000-00001C190000}"/>
    <cellStyle name="B_Bot_KPI's 4" xfId="4254" xr:uid="{00000000-0005-0000-0000-00001D190000}"/>
    <cellStyle name="B_Bot_KPI's 4 2" xfId="4255" xr:uid="{00000000-0005-0000-0000-00001E190000}"/>
    <cellStyle name="B_Bot_KPI's 4 3" xfId="25711" xr:uid="{00000000-0005-0000-0000-00001F190000}"/>
    <cellStyle name="B_Bot_KPI's 5" xfId="4256" xr:uid="{00000000-0005-0000-0000-000020190000}"/>
    <cellStyle name="B_Bot_KPI's 5 2" xfId="4257" xr:uid="{00000000-0005-0000-0000-000021190000}"/>
    <cellStyle name="B_Bot_KPI's 5 3" xfId="25712" xr:uid="{00000000-0005-0000-0000-000022190000}"/>
    <cellStyle name="B_Bot_KPI's 6" xfId="4258" xr:uid="{00000000-0005-0000-0000-000023190000}"/>
    <cellStyle name="B_Bot_KPI's 6 2" xfId="4259" xr:uid="{00000000-0005-0000-0000-000024190000}"/>
    <cellStyle name="B_Bot_KPI's 6 3" xfId="25713" xr:uid="{00000000-0005-0000-0000-000025190000}"/>
    <cellStyle name="B_Bot_KPI's 7" xfId="4260" xr:uid="{00000000-0005-0000-0000-000026190000}"/>
    <cellStyle name="B_Bot_KPI's 7 2" xfId="4261" xr:uid="{00000000-0005-0000-0000-000027190000}"/>
    <cellStyle name="B_Bot_KPI's 7 3" xfId="25714" xr:uid="{00000000-0005-0000-0000-000028190000}"/>
    <cellStyle name="B_Bot_KPI's 8" xfId="4262" xr:uid="{00000000-0005-0000-0000-000029190000}"/>
    <cellStyle name="B_Bot_KPI's 8 2" xfId="4263" xr:uid="{00000000-0005-0000-0000-00002A190000}"/>
    <cellStyle name="B_Bot_KPI's 8 3" xfId="25715" xr:uid="{00000000-0005-0000-0000-00002B190000}"/>
    <cellStyle name="B_Bot_KPI's 9" xfId="4264" xr:uid="{00000000-0005-0000-0000-00002C190000}"/>
    <cellStyle name="B_Bot_KPI's 9 2" xfId="4265" xr:uid="{00000000-0005-0000-0000-00002D190000}"/>
    <cellStyle name="B_Bot_KPI's 9 3" xfId="25716" xr:uid="{00000000-0005-0000-0000-00002E190000}"/>
    <cellStyle name="B_Bot_KPI's_PROD_DETAILS" xfId="4266" xr:uid="{00000000-0005-0000-0000-00002F190000}"/>
    <cellStyle name="B_Bot_KPI's_PROD_DETAILS 2" xfId="4267" xr:uid="{00000000-0005-0000-0000-000030190000}"/>
    <cellStyle name="B_Bot_KPI's_PROD_DETAILS 3" xfId="25717" xr:uid="{00000000-0005-0000-0000-000031190000}"/>
    <cellStyle name="B_Bot_KPI's_SOLVENCY POSITION " xfId="4268" xr:uid="{00000000-0005-0000-0000-000032190000}"/>
    <cellStyle name="B_Bot_KPI's_SOLVENCY POSITION  2" xfId="4269" xr:uid="{00000000-0005-0000-0000-000033190000}"/>
    <cellStyle name="B_Bot_KPI's_SOLVENCY POSITION  3" xfId="25718" xr:uid="{00000000-0005-0000-0000-000034190000}"/>
    <cellStyle name="B_Bot_p&amp;l wkgs" xfId="4270" xr:uid="{00000000-0005-0000-0000-000035190000}"/>
    <cellStyle name="B_Bot_p&amp;l wkgs 10" xfId="4271" xr:uid="{00000000-0005-0000-0000-000036190000}"/>
    <cellStyle name="B_Bot_p&amp;l wkgs 10 2" xfId="4272" xr:uid="{00000000-0005-0000-0000-000037190000}"/>
    <cellStyle name="B_Bot_p&amp;l wkgs 10 3" xfId="25719" xr:uid="{00000000-0005-0000-0000-000038190000}"/>
    <cellStyle name="B_Bot_p&amp;l wkgs 11" xfId="4273" xr:uid="{00000000-0005-0000-0000-000039190000}"/>
    <cellStyle name="B_Bot_p&amp;l wkgs 11 2" xfId="4274" xr:uid="{00000000-0005-0000-0000-00003A190000}"/>
    <cellStyle name="B_Bot_p&amp;l wkgs 11 3" xfId="25720" xr:uid="{00000000-0005-0000-0000-00003B190000}"/>
    <cellStyle name="B_Bot_p&amp;l wkgs 12" xfId="4275" xr:uid="{00000000-0005-0000-0000-00003C190000}"/>
    <cellStyle name="B_Bot_p&amp;l wkgs 12 2" xfId="4276" xr:uid="{00000000-0005-0000-0000-00003D190000}"/>
    <cellStyle name="B_Bot_p&amp;l wkgs 12 3" xfId="25721" xr:uid="{00000000-0005-0000-0000-00003E190000}"/>
    <cellStyle name="B_Bot_p&amp;l wkgs 13" xfId="4277" xr:uid="{00000000-0005-0000-0000-00003F190000}"/>
    <cellStyle name="B_Bot_p&amp;l wkgs 13 2" xfId="4278" xr:uid="{00000000-0005-0000-0000-000040190000}"/>
    <cellStyle name="B_Bot_p&amp;l wkgs 13 3" xfId="25722" xr:uid="{00000000-0005-0000-0000-000041190000}"/>
    <cellStyle name="B_Bot_p&amp;l wkgs 14" xfId="4279" xr:uid="{00000000-0005-0000-0000-000042190000}"/>
    <cellStyle name="B_Bot_p&amp;l wkgs 14 2" xfId="4280" xr:uid="{00000000-0005-0000-0000-000043190000}"/>
    <cellStyle name="B_Bot_p&amp;l wkgs 14 3" xfId="25723" xr:uid="{00000000-0005-0000-0000-000044190000}"/>
    <cellStyle name="B_Bot_p&amp;l wkgs 15" xfId="4281" xr:uid="{00000000-0005-0000-0000-000045190000}"/>
    <cellStyle name="B_Bot_p&amp;l wkgs 15 2" xfId="4282" xr:uid="{00000000-0005-0000-0000-000046190000}"/>
    <cellStyle name="B_Bot_p&amp;l wkgs 15 3" xfId="25724" xr:uid="{00000000-0005-0000-0000-000047190000}"/>
    <cellStyle name="B_Bot_p&amp;l wkgs 16" xfId="4283" xr:uid="{00000000-0005-0000-0000-000048190000}"/>
    <cellStyle name="B_Bot_p&amp;l wkgs 16 2" xfId="4284" xr:uid="{00000000-0005-0000-0000-000049190000}"/>
    <cellStyle name="B_Bot_p&amp;l wkgs 16 3" xfId="25725" xr:uid="{00000000-0005-0000-0000-00004A190000}"/>
    <cellStyle name="B_Bot_p&amp;l wkgs 17" xfId="4285" xr:uid="{00000000-0005-0000-0000-00004B190000}"/>
    <cellStyle name="B_Bot_p&amp;l wkgs 17 2" xfId="4286" xr:uid="{00000000-0005-0000-0000-00004C190000}"/>
    <cellStyle name="B_Bot_p&amp;l wkgs 17 3" xfId="25726" xr:uid="{00000000-0005-0000-0000-00004D190000}"/>
    <cellStyle name="B_Bot_p&amp;l wkgs 18" xfId="4287" xr:uid="{00000000-0005-0000-0000-00004E190000}"/>
    <cellStyle name="B_Bot_p&amp;l wkgs 18 2" xfId="4288" xr:uid="{00000000-0005-0000-0000-00004F190000}"/>
    <cellStyle name="B_Bot_p&amp;l wkgs 18 3" xfId="25727" xr:uid="{00000000-0005-0000-0000-000050190000}"/>
    <cellStyle name="B_Bot_p&amp;l wkgs 19" xfId="4289" xr:uid="{00000000-0005-0000-0000-000051190000}"/>
    <cellStyle name="B_Bot_p&amp;l wkgs 19 2" xfId="4290" xr:uid="{00000000-0005-0000-0000-000052190000}"/>
    <cellStyle name="B_Bot_p&amp;l wkgs 19 3" xfId="25728" xr:uid="{00000000-0005-0000-0000-000053190000}"/>
    <cellStyle name="B_Bot_p&amp;l wkgs 2" xfId="4291" xr:uid="{00000000-0005-0000-0000-000054190000}"/>
    <cellStyle name="B_Bot_p&amp;l wkgs 2 2" xfId="4292" xr:uid="{00000000-0005-0000-0000-000055190000}"/>
    <cellStyle name="B_Bot_p&amp;l wkgs 2 3" xfId="25729" xr:uid="{00000000-0005-0000-0000-000056190000}"/>
    <cellStyle name="B_Bot_p&amp;l wkgs 20" xfId="4293" xr:uid="{00000000-0005-0000-0000-000057190000}"/>
    <cellStyle name="B_Bot_p&amp;l wkgs 20 2" xfId="4294" xr:uid="{00000000-0005-0000-0000-000058190000}"/>
    <cellStyle name="B_Bot_p&amp;l wkgs 20 3" xfId="25730" xr:uid="{00000000-0005-0000-0000-000059190000}"/>
    <cellStyle name="B_Bot_p&amp;l wkgs 21" xfId="4295" xr:uid="{00000000-0005-0000-0000-00005A190000}"/>
    <cellStyle name="B_Bot_p&amp;l wkgs 21 2" xfId="4296" xr:uid="{00000000-0005-0000-0000-00005B190000}"/>
    <cellStyle name="B_Bot_p&amp;l wkgs 21 3" xfId="25731" xr:uid="{00000000-0005-0000-0000-00005C190000}"/>
    <cellStyle name="B_Bot_p&amp;l wkgs 22" xfId="4297" xr:uid="{00000000-0005-0000-0000-00005D190000}"/>
    <cellStyle name="B_Bot_p&amp;l wkgs 22 2" xfId="4298" xr:uid="{00000000-0005-0000-0000-00005E190000}"/>
    <cellStyle name="B_Bot_p&amp;l wkgs 22 3" xfId="25732" xr:uid="{00000000-0005-0000-0000-00005F190000}"/>
    <cellStyle name="B_Bot_p&amp;l wkgs 23" xfId="4299" xr:uid="{00000000-0005-0000-0000-000060190000}"/>
    <cellStyle name="B_Bot_p&amp;l wkgs 23 2" xfId="4300" xr:uid="{00000000-0005-0000-0000-000061190000}"/>
    <cellStyle name="B_Bot_p&amp;l wkgs 23 3" xfId="25733" xr:uid="{00000000-0005-0000-0000-000062190000}"/>
    <cellStyle name="B_Bot_p&amp;l wkgs 24" xfId="4301" xr:uid="{00000000-0005-0000-0000-000063190000}"/>
    <cellStyle name="B_Bot_p&amp;l wkgs 25" xfId="25734" xr:uid="{00000000-0005-0000-0000-000064190000}"/>
    <cellStyle name="B_Bot_p&amp;l wkgs 3" xfId="4302" xr:uid="{00000000-0005-0000-0000-000065190000}"/>
    <cellStyle name="B_Bot_p&amp;l wkgs 3 2" xfId="4303" xr:uid="{00000000-0005-0000-0000-000066190000}"/>
    <cellStyle name="B_Bot_p&amp;l wkgs 3 3" xfId="25735" xr:uid="{00000000-0005-0000-0000-000067190000}"/>
    <cellStyle name="B_Bot_p&amp;l wkgs 4" xfId="4304" xr:uid="{00000000-0005-0000-0000-000068190000}"/>
    <cellStyle name="B_Bot_p&amp;l wkgs 4 2" xfId="4305" xr:uid="{00000000-0005-0000-0000-000069190000}"/>
    <cellStyle name="B_Bot_p&amp;l wkgs 4 3" xfId="25736" xr:uid="{00000000-0005-0000-0000-00006A190000}"/>
    <cellStyle name="B_Bot_p&amp;l wkgs 5" xfId="4306" xr:uid="{00000000-0005-0000-0000-00006B190000}"/>
    <cellStyle name="B_Bot_p&amp;l wkgs 5 2" xfId="4307" xr:uid="{00000000-0005-0000-0000-00006C190000}"/>
    <cellStyle name="B_Bot_p&amp;l wkgs 5 3" xfId="25737" xr:uid="{00000000-0005-0000-0000-00006D190000}"/>
    <cellStyle name="B_Bot_p&amp;l wkgs 6" xfId="4308" xr:uid="{00000000-0005-0000-0000-00006E190000}"/>
    <cellStyle name="B_Bot_p&amp;l wkgs 6 2" xfId="4309" xr:uid="{00000000-0005-0000-0000-00006F190000}"/>
    <cellStyle name="B_Bot_p&amp;l wkgs 6 3" xfId="25738" xr:uid="{00000000-0005-0000-0000-000070190000}"/>
    <cellStyle name="B_Bot_p&amp;l wkgs 7" xfId="4310" xr:uid="{00000000-0005-0000-0000-000071190000}"/>
    <cellStyle name="B_Bot_p&amp;l wkgs 7 2" xfId="4311" xr:uid="{00000000-0005-0000-0000-000072190000}"/>
    <cellStyle name="B_Bot_p&amp;l wkgs 7 3" xfId="25739" xr:uid="{00000000-0005-0000-0000-000073190000}"/>
    <cellStyle name="B_Bot_p&amp;l wkgs 8" xfId="4312" xr:uid="{00000000-0005-0000-0000-000074190000}"/>
    <cellStyle name="B_Bot_p&amp;l wkgs 8 2" xfId="4313" xr:uid="{00000000-0005-0000-0000-000075190000}"/>
    <cellStyle name="B_Bot_p&amp;l wkgs 8 3" xfId="25740" xr:uid="{00000000-0005-0000-0000-000076190000}"/>
    <cellStyle name="B_Bot_p&amp;l wkgs 9" xfId="4314" xr:uid="{00000000-0005-0000-0000-000077190000}"/>
    <cellStyle name="B_Bot_p&amp;l wkgs 9 2" xfId="4315" xr:uid="{00000000-0005-0000-0000-000078190000}"/>
    <cellStyle name="B_Bot_p&amp;l wkgs 9 3" xfId="25741" xr:uid="{00000000-0005-0000-0000-000079190000}"/>
    <cellStyle name="B_Bot_p&amp;l wkgs_PROD_DETAILS" xfId="4316" xr:uid="{00000000-0005-0000-0000-00007A190000}"/>
    <cellStyle name="B_Bot_p&amp;l wkgs_PROD_DETAILS 2" xfId="4317" xr:uid="{00000000-0005-0000-0000-00007B190000}"/>
    <cellStyle name="B_Bot_p&amp;l wkgs_PROD_DETAILS 3" xfId="25742" xr:uid="{00000000-0005-0000-0000-00007C190000}"/>
    <cellStyle name="B_Bot_p&amp;l wkgs_SOLVENCY POSITION " xfId="4318" xr:uid="{00000000-0005-0000-0000-00007D190000}"/>
    <cellStyle name="B_Bot_p&amp;l wkgs_SOLVENCY POSITION  2" xfId="4319" xr:uid="{00000000-0005-0000-0000-00007E190000}"/>
    <cellStyle name="B_Bot_p&amp;l wkgs_SOLVENCY POSITION  3" xfId="25743" xr:uid="{00000000-0005-0000-0000-00007F190000}"/>
    <cellStyle name="B_Bot_PROD_DETAILS" xfId="4320" xr:uid="{00000000-0005-0000-0000-000080190000}"/>
    <cellStyle name="B_Bot_PROD_DETAILS 2" xfId="4321" xr:uid="{00000000-0005-0000-0000-000081190000}"/>
    <cellStyle name="B_Bot_PROD_DETAILS 3" xfId="25744" xr:uid="{00000000-0005-0000-0000-000082190000}"/>
    <cellStyle name="B_Bot_Prophet Roll" xfId="4322" xr:uid="{00000000-0005-0000-0000-000083190000}"/>
    <cellStyle name="B_Bot_Prophet Roll 10" xfId="4323" xr:uid="{00000000-0005-0000-0000-000084190000}"/>
    <cellStyle name="B_Bot_Prophet Roll 10 2" xfId="4324" xr:uid="{00000000-0005-0000-0000-000085190000}"/>
    <cellStyle name="B_Bot_Prophet Roll 10 3" xfId="25745" xr:uid="{00000000-0005-0000-0000-000086190000}"/>
    <cellStyle name="B_Bot_Prophet Roll 11" xfId="4325" xr:uid="{00000000-0005-0000-0000-000087190000}"/>
    <cellStyle name="B_Bot_Prophet Roll 11 2" xfId="4326" xr:uid="{00000000-0005-0000-0000-000088190000}"/>
    <cellStyle name="B_Bot_Prophet Roll 11 3" xfId="25746" xr:uid="{00000000-0005-0000-0000-000089190000}"/>
    <cellStyle name="B_Bot_Prophet Roll 12" xfId="4327" xr:uid="{00000000-0005-0000-0000-00008A190000}"/>
    <cellStyle name="B_Bot_Prophet Roll 12 2" xfId="4328" xr:uid="{00000000-0005-0000-0000-00008B190000}"/>
    <cellStyle name="B_Bot_Prophet Roll 12 3" xfId="25747" xr:uid="{00000000-0005-0000-0000-00008C190000}"/>
    <cellStyle name="B_Bot_Prophet Roll 13" xfId="4329" xr:uid="{00000000-0005-0000-0000-00008D190000}"/>
    <cellStyle name="B_Bot_Prophet Roll 13 2" xfId="4330" xr:uid="{00000000-0005-0000-0000-00008E190000}"/>
    <cellStyle name="B_Bot_Prophet Roll 13 3" xfId="25748" xr:uid="{00000000-0005-0000-0000-00008F190000}"/>
    <cellStyle name="B_Bot_Prophet Roll 14" xfId="4331" xr:uid="{00000000-0005-0000-0000-000090190000}"/>
    <cellStyle name="B_Bot_Prophet Roll 14 2" xfId="4332" xr:uid="{00000000-0005-0000-0000-000091190000}"/>
    <cellStyle name="B_Bot_Prophet Roll 14 3" xfId="25749" xr:uid="{00000000-0005-0000-0000-000092190000}"/>
    <cellStyle name="B_Bot_Prophet Roll 15" xfId="4333" xr:uid="{00000000-0005-0000-0000-000093190000}"/>
    <cellStyle name="B_Bot_Prophet Roll 15 2" xfId="4334" xr:uid="{00000000-0005-0000-0000-000094190000}"/>
    <cellStyle name="B_Bot_Prophet Roll 15 3" xfId="25750" xr:uid="{00000000-0005-0000-0000-000095190000}"/>
    <cellStyle name="B_Bot_Prophet Roll 16" xfId="4335" xr:uid="{00000000-0005-0000-0000-000096190000}"/>
    <cellStyle name="B_Bot_Prophet Roll 16 2" xfId="4336" xr:uid="{00000000-0005-0000-0000-000097190000}"/>
    <cellStyle name="B_Bot_Prophet Roll 16 3" xfId="25751" xr:uid="{00000000-0005-0000-0000-000098190000}"/>
    <cellStyle name="B_Bot_Prophet Roll 17" xfId="4337" xr:uid="{00000000-0005-0000-0000-000099190000}"/>
    <cellStyle name="B_Bot_Prophet Roll 17 2" xfId="4338" xr:uid="{00000000-0005-0000-0000-00009A190000}"/>
    <cellStyle name="B_Bot_Prophet Roll 17 3" xfId="25752" xr:uid="{00000000-0005-0000-0000-00009B190000}"/>
    <cellStyle name="B_Bot_Prophet Roll 18" xfId="4339" xr:uid="{00000000-0005-0000-0000-00009C190000}"/>
    <cellStyle name="B_Bot_Prophet Roll 18 2" xfId="4340" xr:uid="{00000000-0005-0000-0000-00009D190000}"/>
    <cellStyle name="B_Bot_Prophet Roll 18 3" xfId="25753" xr:uid="{00000000-0005-0000-0000-00009E190000}"/>
    <cellStyle name="B_Bot_Prophet Roll 19" xfId="4341" xr:uid="{00000000-0005-0000-0000-00009F190000}"/>
    <cellStyle name="B_Bot_Prophet Roll 19 2" xfId="4342" xr:uid="{00000000-0005-0000-0000-0000A0190000}"/>
    <cellStyle name="B_Bot_Prophet Roll 19 3" xfId="25754" xr:uid="{00000000-0005-0000-0000-0000A1190000}"/>
    <cellStyle name="B_Bot_Prophet Roll 2" xfId="4343" xr:uid="{00000000-0005-0000-0000-0000A2190000}"/>
    <cellStyle name="B_Bot_Prophet Roll 2 2" xfId="4344" xr:uid="{00000000-0005-0000-0000-0000A3190000}"/>
    <cellStyle name="B_Bot_Prophet Roll 2 3" xfId="25755" xr:uid="{00000000-0005-0000-0000-0000A4190000}"/>
    <cellStyle name="B_Bot_Prophet Roll 20" xfId="4345" xr:uid="{00000000-0005-0000-0000-0000A5190000}"/>
    <cellStyle name="B_Bot_Prophet Roll 20 2" xfId="4346" xr:uid="{00000000-0005-0000-0000-0000A6190000}"/>
    <cellStyle name="B_Bot_Prophet Roll 20 3" xfId="25756" xr:uid="{00000000-0005-0000-0000-0000A7190000}"/>
    <cellStyle name="B_Bot_Prophet Roll 21" xfId="4347" xr:uid="{00000000-0005-0000-0000-0000A8190000}"/>
    <cellStyle name="B_Bot_Prophet Roll 21 2" xfId="4348" xr:uid="{00000000-0005-0000-0000-0000A9190000}"/>
    <cellStyle name="B_Bot_Prophet Roll 21 3" xfId="25757" xr:uid="{00000000-0005-0000-0000-0000AA190000}"/>
    <cellStyle name="B_Bot_Prophet Roll 22" xfId="4349" xr:uid="{00000000-0005-0000-0000-0000AB190000}"/>
    <cellStyle name="B_Bot_Prophet Roll 22 2" xfId="4350" xr:uid="{00000000-0005-0000-0000-0000AC190000}"/>
    <cellStyle name="B_Bot_Prophet Roll 22 3" xfId="25758" xr:uid="{00000000-0005-0000-0000-0000AD190000}"/>
    <cellStyle name="B_Bot_Prophet Roll 23" xfId="4351" xr:uid="{00000000-0005-0000-0000-0000AE190000}"/>
    <cellStyle name="B_Bot_Prophet Roll 23 2" xfId="4352" xr:uid="{00000000-0005-0000-0000-0000AF190000}"/>
    <cellStyle name="B_Bot_Prophet Roll 23 3" xfId="25759" xr:uid="{00000000-0005-0000-0000-0000B0190000}"/>
    <cellStyle name="B_Bot_Prophet Roll 24" xfId="4353" xr:uid="{00000000-0005-0000-0000-0000B1190000}"/>
    <cellStyle name="B_Bot_Prophet Roll 25" xfId="25760" xr:uid="{00000000-0005-0000-0000-0000B2190000}"/>
    <cellStyle name="B_Bot_Prophet Roll 3" xfId="4354" xr:uid="{00000000-0005-0000-0000-0000B3190000}"/>
    <cellStyle name="B_Bot_Prophet Roll 3 2" xfId="4355" xr:uid="{00000000-0005-0000-0000-0000B4190000}"/>
    <cellStyle name="B_Bot_Prophet Roll 3 3" xfId="25761" xr:uid="{00000000-0005-0000-0000-0000B5190000}"/>
    <cellStyle name="B_Bot_Prophet Roll 4" xfId="4356" xr:uid="{00000000-0005-0000-0000-0000B6190000}"/>
    <cellStyle name="B_Bot_Prophet Roll 4 2" xfId="4357" xr:uid="{00000000-0005-0000-0000-0000B7190000}"/>
    <cellStyle name="B_Bot_Prophet Roll 4 3" xfId="25762" xr:uid="{00000000-0005-0000-0000-0000B8190000}"/>
    <cellStyle name="B_Bot_Prophet Roll 5" xfId="4358" xr:uid="{00000000-0005-0000-0000-0000B9190000}"/>
    <cellStyle name="B_Bot_Prophet Roll 5 2" xfId="4359" xr:uid="{00000000-0005-0000-0000-0000BA190000}"/>
    <cellStyle name="B_Bot_Prophet Roll 5 3" xfId="25763" xr:uid="{00000000-0005-0000-0000-0000BB190000}"/>
    <cellStyle name="B_Bot_Prophet Roll 6" xfId="4360" xr:uid="{00000000-0005-0000-0000-0000BC190000}"/>
    <cellStyle name="B_Bot_Prophet Roll 6 2" xfId="4361" xr:uid="{00000000-0005-0000-0000-0000BD190000}"/>
    <cellStyle name="B_Bot_Prophet Roll 6 3" xfId="25764" xr:uid="{00000000-0005-0000-0000-0000BE190000}"/>
    <cellStyle name="B_Bot_Prophet Roll 7" xfId="4362" xr:uid="{00000000-0005-0000-0000-0000BF190000}"/>
    <cellStyle name="B_Bot_Prophet Roll 7 2" xfId="4363" xr:uid="{00000000-0005-0000-0000-0000C0190000}"/>
    <cellStyle name="B_Bot_Prophet Roll 7 3" xfId="25765" xr:uid="{00000000-0005-0000-0000-0000C1190000}"/>
    <cellStyle name="B_Bot_Prophet Roll 8" xfId="4364" xr:uid="{00000000-0005-0000-0000-0000C2190000}"/>
    <cellStyle name="B_Bot_Prophet Roll 8 2" xfId="4365" xr:uid="{00000000-0005-0000-0000-0000C3190000}"/>
    <cellStyle name="B_Bot_Prophet Roll 8 3" xfId="25766" xr:uid="{00000000-0005-0000-0000-0000C4190000}"/>
    <cellStyle name="B_Bot_Prophet Roll 9" xfId="4366" xr:uid="{00000000-0005-0000-0000-0000C5190000}"/>
    <cellStyle name="B_Bot_Prophet Roll 9 2" xfId="4367" xr:uid="{00000000-0005-0000-0000-0000C6190000}"/>
    <cellStyle name="B_Bot_Prophet Roll 9 3" xfId="25767" xr:uid="{00000000-0005-0000-0000-0000C7190000}"/>
    <cellStyle name="B_Bot_Prophet Roll_PROD_DETAILS" xfId="4368" xr:uid="{00000000-0005-0000-0000-0000C8190000}"/>
    <cellStyle name="B_Bot_Prophet Roll_PROD_DETAILS 2" xfId="4369" xr:uid="{00000000-0005-0000-0000-0000C9190000}"/>
    <cellStyle name="B_Bot_Prophet Roll_PROD_DETAILS 3" xfId="25768" xr:uid="{00000000-0005-0000-0000-0000CA190000}"/>
    <cellStyle name="B_Bot_Prophet Roll_SOLVENCY POSITION " xfId="4370" xr:uid="{00000000-0005-0000-0000-0000CB190000}"/>
    <cellStyle name="B_Bot_Prophet Roll_SOLVENCY POSITION  2" xfId="4371" xr:uid="{00000000-0005-0000-0000-0000CC190000}"/>
    <cellStyle name="B_Bot_Prophet Roll_SOLVENCY POSITION  3" xfId="25769" xr:uid="{00000000-0005-0000-0000-0000CD190000}"/>
    <cellStyle name="B_Bot_Prophet SalesProj Roll" xfId="4372" xr:uid="{00000000-0005-0000-0000-0000CE190000}"/>
    <cellStyle name="B_Bot_Prophet SalesProj Roll 10" xfId="4373" xr:uid="{00000000-0005-0000-0000-0000CF190000}"/>
    <cellStyle name="B_Bot_Prophet SalesProj Roll 10 2" xfId="4374" xr:uid="{00000000-0005-0000-0000-0000D0190000}"/>
    <cellStyle name="B_Bot_Prophet SalesProj Roll 10 3" xfId="25770" xr:uid="{00000000-0005-0000-0000-0000D1190000}"/>
    <cellStyle name="B_Bot_Prophet SalesProj Roll 11" xfId="4375" xr:uid="{00000000-0005-0000-0000-0000D2190000}"/>
    <cellStyle name="B_Bot_Prophet SalesProj Roll 11 2" xfId="4376" xr:uid="{00000000-0005-0000-0000-0000D3190000}"/>
    <cellStyle name="B_Bot_Prophet SalesProj Roll 11 3" xfId="25771" xr:uid="{00000000-0005-0000-0000-0000D4190000}"/>
    <cellStyle name="B_Bot_Prophet SalesProj Roll 12" xfId="4377" xr:uid="{00000000-0005-0000-0000-0000D5190000}"/>
    <cellStyle name="B_Bot_Prophet SalesProj Roll 12 2" xfId="4378" xr:uid="{00000000-0005-0000-0000-0000D6190000}"/>
    <cellStyle name="B_Bot_Prophet SalesProj Roll 12 3" xfId="25772" xr:uid="{00000000-0005-0000-0000-0000D7190000}"/>
    <cellStyle name="B_Bot_Prophet SalesProj Roll 13" xfId="4379" xr:uid="{00000000-0005-0000-0000-0000D8190000}"/>
    <cellStyle name="B_Bot_Prophet SalesProj Roll 13 2" xfId="4380" xr:uid="{00000000-0005-0000-0000-0000D9190000}"/>
    <cellStyle name="B_Bot_Prophet SalesProj Roll 13 3" xfId="25773" xr:uid="{00000000-0005-0000-0000-0000DA190000}"/>
    <cellStyle name="B_Bot_Prophet SalesProj Roll 14" xfId="4381" xr:uid="{00000000-0005-0000-0000-0000DB190000}"/>
    <cellStyle name="B_Bot_Prophet SalesProj Roll 14 2" xfId="4382" xr:uid="{00000000-0005-0000-0000-0000DC190000}"/>
    <cellStyle name="B_Bot_Prophet SalesProj Roll 14 3" xfId="25774" xr:uid="{00000000-0005-0000-0000-0000DD190000}"/>
    <cellStyle name="B_Bot_Prophet SalesProj Roll 15" xfId="4383" xr:uid="{00000000-0005-0000-0000-0000DE190000}"/>
    <cellStyle name="B_Bot_Prophet SalesProj Roll 15 2" xfId="4384" xr:uid="{00000000-0005-0000-0000-0000DF190000}"/>
    <cellStyle name="B_Bot_Prophet SalesProj Roll 15 3" xfId="25775" xr:uid="{00000000-0005-0000-0000-0000E0190000}"/>
    <cellStyle name="B_Bot_Prophet SalesProj Roll 16" xfId="4385" xr:uid="{00000000-0005-0000-0000-0000E1190000}"/>
    <cellStyle name="B_Bot_Prophet SalesProj Roll 16 2" xfId="4386" xr:uid="{00000000-0005-0000-0000-0000E2190000}"/>
    <cellStyle name="B_Bot_Prophet SalesProj Roll 16 3" xfId="25776" xr:uid="{00000000-0005-0000-0000-0000E3190000}"/>
    <cellStyle name="B_Bot_Prophet SalesProj Roll 17" xfId="4387" xr:uid="{00000000-0005-0000-0000-0000E4190000}"/>
    <cellStyle name="B_Bot_Prophet SalesProj Roll 17 2" xfId="4388" xr:uid="{00000000-0005-0000-0000-0000E5190000}"/>
    <cellStyle name="B_Bot_Prophet SalesProj Roll 17 3" xfId="25777" xr:uid="{00000000-0005-0000-0000-0000E6190000}"/>
    <cellStyle name="B_Bot_Prophet SalesProj Roll 18" xfId="4389" xr:uid="{00000000-0005-0000-0000-0000E7190000}"/>
    <cellStyle name="B_Bot_Prophet SalesProj Roll 18 2" xfId="4390" xr:uid="{00000000-0005-0000-0000-0000E8190000}"/>
    <cellStyle name="B_Bot_Prophet SalesProj Roll 18 3" xfId="25778" xr:uid="{00000000-0005-0000-0000-0000E9190000}"/>
    <cellStyle name="B_Bot_Prophet SalesProj Roll 19" xfId="4391" xr:uid="{00000000-0005-0000-0000-0000EA190000}"/>
    <cellStyle name="B_Bot_Prophet SalesProj Roll 19 2" xfId="4392" xr:uid="{00000000-0005-0000-0000-0000EB190000}"/>
    <cellStyle name="B_Bot_Prophet SalesProj Roll 19 3" xfId="25779" xr:uid="{00000000-0005-0000-0000-0000EC190000}"/>
    <cellStyle name="B_Bot_Prophet SalesProj Roll 2" xfId="4393" xr:uid="{00000000-0005-0000-0000-0000ED190000}"/>
    <cellStyle name="B_Bot_Prophet SalesProj Roll 2 2" xfId="4394" xr:uid="{00000000-0005-0000-0000-0000EE190000}"/>
    <cellStyle name="B_Bot_Prophet SalesProj Roll 2 3" xfId="25780" xr:uid="{00000000-0005-0000-0000-0000EF190000}"/>
    <cellStyle name="B_Bot_Prophet SalesProj Roll 20" xfId="4395" xr:uid="{00000000-0005-0000-0000-0000F0190000}"/>
    <cellStyle name="B_Bot_Prophet SalesProj Roll 20 2" xfId="4396" xr:uid="{00000000-0005-0000-0000-0000F1190000}"/>
    <cellStyle name="B_Bot_Prophet SalesProj Roll 20 3" xfId="25781" xr:uid="{00000000-0005-0000-0000-0000F2190000}"/>
    <cellStyle name="B_Bot_Prophet SalesProj Roll 21" xfId="4397" xr:uid="{00000000-0005-0000-0000-0000F3190000}"/>
    <cellStyle name="B_Bot_Prophet SalesProj Roll 21 2" xfId="4398" xr:uid="{00000000-0005-0000-0000-0000F4190000}"/>
    <cellStyle name="B_Bot_Prophet SalesProj Roll 21 3" xfId="25782" xr:uid="{00000000-0005-0000-0000-0000F5190000}"/>
    <cellStyle name="B_Bot_Prophet SalesProj Roll 22" xfId="4399" xr:uid="{00000000-0005-0000-0000-0000F6190000}"/>
    <cellStyle name="B_Bot_Prophet SalesProj Roll 22 2" xfId="4400" xr:uid="{00000000-0005-0000-0000-0000F7190000}"/>
    <cellStyle name="B_Bot_Prophet SalesProj Roll 22 3" xfId="25783" xr:uid="{00000000-0005-0000-0000-0000F8190000}"/>
    <cellStyle name="B_Bot_Prophet SalesProj Roll 23" xfId="4401" xr:uid="{00000000-0005-0000-0000-0000F9190000}"/>
    <cellStyle name="B_Bot_Prophet SalesProj Roll 23 2" xfId="4402" xr:uid="{00000000-0005-0000-0000-0000FA190000}"/>
    <cellStyle name="B_Bot_Prophet SalesProj Roll 23 3" xfId="25784" xr:uid="{00000000-0005-0000-0000-0000FB190000}"/>
    <cellStyle name="B_Bot_Prophet SalesProj Roll 24" xfId="4403" xr:uid="{00000000-0005-0000-0000-0000FC190000}"/>
    <cellStyle name="B_Bot_Prophet SalesProj Roll 25" xfId="25785" xr:uid="{00000000-0005-0000-0000-0000FD190000}"/>
    <cellStyle name="B_Bot_Prophet SalesProj Roll 3" xfId="4404" xr:uid="{00000000-0005-0000-0000-0000FE190000}"/>
    <cellStyle name="B_Bot_Prophet SalesProj Roll 3 2" xfId="4405" xr:uid="{00000000-0005-0000-0000-0000FF190000}"/>
    <cellStyle name="B_Bot_Prophet SalesProj Roll 3 3" xfId="25786" xr:uid="{00000000-0005-0000-0000-0000001A0000}"/>
    <cellStyle name="B_Bot_Prophet SalesProj Roll 4" xfId="4406" xr:uid="{00000000-0005-0000-0000-0000011A0000}"/>
    <cellStyle name="B_Bot_Prophet SalesProj Roll 4 2" xfId="4407" xr:uid="{00000000-0005-0000-0000-0000021A0000}"/>
    <cellStyle name="B_Bot_Prophet SalesProj Roll 4 3" xfId="25787" xr:uid="{00000000-0005-0000-0000-0000031A0000}"/>
    <cellStyle name="B_Bot_Prophet SalesProj Roll 5" xfId="4408" xr:uid="{00000000-0005-0000-0000-0000041A0000}"/>
    <cellStyle name="B_Bot_Prophet SalesProj Roll 5 2" xfId="4409" xr:uid="{00000000-0005-0000-0000-0000051A0000}"/>
    <cellStyle name="B_Bot_Prophet SalesProj Roll 5 3" xfId="25788" xr:uid="{00000000-0005-0000-0000-0000061A0000}"/>
    <cellStyle name="B_Bot_Prophet SalesProj Roll 6" xfId="4410" xr:uid="{00000000-0005-0000-0000-0000071A0000}"/>
    <cellStyle name="B_Bot_Prophet SalesProj Roll 6 2" xfId="4411" xr:uid="{00000000-0005-0000-0000-0000081A0000}"/>
    <cellStyle name="B_Bot_Prophet SalesProj Roll 6 3" xfId="25789" xr:uid="{00000000-0005-0000-0000-0000091A0000}"/>
    <cellStyle name="B_Bot_Prophet SalesProj Roll 7" xfId="4412" xr:uid="{00000000-0005-0000-0000-00000A1A0000}"/>
    <cellStyle name="B_Bot_Prophet SalesProj Roll 7 2" xfId="4413" xr:uid="{00000000-0005-0000-0000-00000B1A0000}"/>
    <cellStyle name="B_Bot_Prophet SalesProj Roll 7 3" xfId="25790" xr:uid="{00000000-0005-0000-0000-00000C1A0000}"/>
    <cellStyle name="B_Bot_Prophet SalesProj Roll 8" xfId="4414" xr:uid="{00000000-0005-0000-0000-00000D1A0000}"/>
    <cellStyle name="B_Bot_Prophet SalesProj Roll 8 2" xfId="4415" xr:uid="{00000000-0005-0000-0000-00000E1A0000}"/>
    <cellStyle name="B_Bot_Prophet SalesProj Roll 8 3" xfId="25791" xr:uid="{00000000-0005-0000-0000-00000F1A0000}"/>
    <cellStyle name="B_Bot_Prophet SalesProj Roll 9" xfId="4416" xr:uid="{00000000-0005-0000-0000-0000101A0000}"/>
    <cellStyle name="B_Bot_Prophet SalesProj Roll 9 2" xfId="4417" xr:uid="{00000000-0005-0000-0000-0000111A0000}"/>
    <cellStyle name="B_Bot_Prophet SalesProj Roll 9 3" xfId="25792" xr:uid="{00000000-0005-0000-0000-0000121A0000}"/>
    <cellStyle name="B_Bot_Prophet SalesProj Roll_PROD_DETAILS" xfId="4418" xr:uid="{00000000-0005-0000-0000-0000131A0000}"/>
    <cellStyle name="B_Bot_Prophet SalesProj Roll_PROD_DETAILS 2" xfId="4419" xr:uid="{00000000-0005-0000-0000-0000141A0000}"/>
    <cellStyle name="B_Bot_Prophet SalesProj Roll_PROD_DETAILS 3" xfId="25793" xr:uid="{00000000-0005-0000-0000-0000151A0000}"/>
    <cellStyle name="B_Bot_Prophet SalesProj Roll_SOLVENCY POSITION " xfId="4420" xr:uid="{00000000-0005-0000-0000-0000161A0000}"/>
    <cellStyle name="B_Bot_Prophet SalesProj Roll_SOLVENCY POSITION  2" xfId="4421" xr:uid="{00000000-0005-0000-0000-0000171A0000}"/>
    <cellStyle name="B_Bot_Prophet SalesProj Roll_SOLVENCY POSITION  3" xfId="25794" xr:uid="{00000000-0005-0000-0000-0000181A0000}"/>
    <cellStyle name="B_Bot_Prophet-EEV ReportingFinal301205-Apr06" xfId="4422" xr:uid="{00000000-0005-0000-0000-0000191A0000}"/>
    <cellStyle name="B_Bot_Prophet-EEV ReportingFinal301205-Apr06 10" xfId="4423" xr:uid="{00000000-0005-0000-0000-00001A1A0000}"/>
    <cellStyle name="B_Bot_Prophet-EEV ReportingFinal301205-Apr06 10 2" xfId="4424" xr:uid="{00000000-0005-0000-0000-00001B1A0000}"/>
    <cellStyle name="B_Bot_Prophet-EEV ReportingFinal301205-Apr06 10 3" xfId="25795" xr:uid="{00000000-0005-0000-0000-00001C1A0000}"/>
    <cellStyle name="B_Bot_Prophet-EEV ReportingFinal301205-Apr06 11" xfId="4425" xr:uid="{00000000-0005-0000-0000-00001D1A0000}"/>
    <cellStyle name="B_Bot_Prophet-EEV ReportingFinal301205-Apr06 11 2" xfId="4426" xr:uid="{00000000-0005-0000-0000-00001E1A0000}"/>
    <cellStyle name="B_Bot_Prophet-EEV ReportingFinal301205-Apr06 11 3" xfId="25796" xr:uid="{00000000-0005-0000-0000-00001F1A0000}"/>
    <cellStyle name="B_Bot_Prophet-EEV ReportingFinal301205-Apr06 12" xfId="4427" xr:uid="{00000000-0005-0000-0000-0000201A0000}"/>
    <cellStyle name="B_Bot_Prophet-EEV ReportingFinal301205-Apr06 12 2" xfId="4428" xr:uid="{00000000-0005-0000-0000-0000211A0000}"/>
    <cellStyle name="B_Bot_Prophet-EEV ReportingFinal301205-Apr06 12 3" xfId="25797" xr:uid="{00000000-0005-0000-0000-0000221A0000}"/>
    <cellStyle name="B_Bot_Prophet-EEV ReportingFinal301205-Apr06 13" xfId="4429" xr:uid="{00000000-0005-0000-0000-0000231A0000}"/>
    <cellStyle name="B_Bot_Prophet-EEV ReportingFinal301205-Apr06 13 2" xfId="4430" xr:uid="{00000000-0005-0000-0000-0000241A0000}"/>
    <cellStyle name="B_Bot_Prophet-EEV ReportingFinal301205-Apr06 13 3" xfId="25798" xr:uid="{00000000-0005-0000-0000-0000251A0000}"/>
    <cellStyle name="B_Bot_Prophet-EEV ReportingFinal301205-Apr06 14" xfId="4431" xr:uid="{00000000-0005-0000-0000-0000261A0000}"/>
    <cellStyle name="B_Bot_Prophet-EEV ReportingFinal301205-Apr06 14 2" xfId="4432" xr:uid="{00000000-0005-0000-0000-0000271A0000}"/>
    <cellStyle name="B_Bot_Prophet-EEV ReportingFinal301205-Apr06 14 3" xfId="25799" xr:uid="{00000000-0005-0000-0000-0000281A0000}"/>
    <cellStyle name="B_Bot_Prophet-EEV ReportingFinal301205-Apr06 15" xfId="4433" xr:uid="{00000000-0005-0000-0000-0000291A0000}"/>
    <cellStyle name="B_Bot_Prophet-EEV ReportingFinal301205-Apr06 15 2" xfId="4434" xr:uid="{00000000-0005-0000-0000-00002A1A0000}"/>
    <cellStyle name="B_Bot_Prophet-EEV ReportingFinal301205-Apr06 15 3" xfId="25800" xr:uid="{00000000-0005-0000-0000-00002B1A0000}"/>
    <cellStyle name="B_Bot_Prophet-EEV ReportingFinal301205-Apr06 16" xfId="4435" xr:uid="{00000000-0005-0000-0000-00002C1A0000}"/>
    <cellStyle name="B_Bot_Prophet-EEV ReportingFinal301205-Apr06 16 2" xfId="4436" xr:uid="{00000000-0005-0000-0000-00002D1A0000}"/>
    <cellStyle name="B_Bot_Prophet-EEV ReportingFinal301205-Apr06 16 3" xfId="25801" xr:uid="{00000000-0005-0000-0000-00002E1A0000}"/>
    <cellStyle name="B_Bot_Prophet-EEV ReportingFinal301205-Apr06 17" xfId="4437" xr:uid="{00000000-0005-0000-0000-00002F1A0000}"/>
    <cellStyle name="B_Bot_Prophet-EEV ReportingFinal301205-Apr06 17 2" xfId="4438" xr:uid="{00000000-0005-0000-0000-0000301A0000}"/>
    <cellStyle name="B_Bot_Prophet-EEV ReportingFinal301205-Apr06 17 3" xfId="25802" xr:uid="{00000000-0005-0000-0000-0000311A0000}"/>
    <cellStyle name="B_Bot_Prophet-EEV ReportingFinal301205-Apr06 18" xfId="4439" xr:uid="{00000000-0005-0000-0000-0000321A0000}"/>
    <cellStyle name="B_Bot_Prophet-EEV ReportingFinal301205-Apr06 18 2" xfId="4440" xr:uid="{00000000-0005-0000-0000-0000331A0000}"/>
    <cellStyle name="B_Bot_Prophet-EEV ReportingFinal301205-Apr06 18 3" xfId="25803" xr:uid="{00000000-0005-0000-0000-0000341A0000}"/>
    <cellStyle name="B_Bot_Prophet-EEV ReportingFinal301205-Apr06 19" xfId="4441" xr:uid="{00000000-0005-0000-0000-0000351A0000}"/>
    <cellStyle name="B_Bot_Prophet-EEV ReportingFinal301205-Apr06 19 2" xfId="4442" xr:uid="{00000000-0005-0000-0000-0000361A0000}"/>
    <cellStyle name="B_Bot_Prophet-EEV ReportingFinal301205-Apr06 19 3" xfId="25804" xr:uid="{00000000-0005-0000-0000-0000371A0000}"/>
    <cellStyle name="B_Bot_Prophet-EEV ReportingFinal301205-Apr06 2" xfId="4443" xr:uid="{00000000-0005-0000-0000-0000381A0000}"/>
    <cellStyle name="B_Bot_Prophet-EEV ReportingFinal301205-Apr06 2 2" xfId="4444" xr:uid="{00000000-0005-0000-0000-0000391A0000}"/>
    <cellStyle name="B_Bot_Prophet-EEV ReportingFinal301205-Apr06 2 3" xfId="25805" xr:uid="{00000000-0005-0000-0000-00003A1A0000}"/>
    <cellStyle name="B_Bot_Prophet-EEV ReportingFinal301205-Apr06 20" xfId="4445" xr:uid="{00000000-0005-0000-0000-00003B1A0000}"/>
    <cellStyle name="B_Bot_Prophet-EEV ReportingFinal301205-Apr06 20 2" xfId="4446" xr:uid="{00000000-0005-0000-0000-00003C1A0000}"/>
    <cellStyle name="B_Bot_Prophet-EEV ReportingFinal301205-Apr06 20 3" xfId="25806" xr:uid="{00000000-0005-0000-0000-00003D1A0000}"/>
    <cellStyle name="B_Bot_Prophet-EEV ReportingFinal301205-Apr06 21" xfId="4447" xr:uid="{00000000-0005-0000-0000-00003E1A0000}"/>
    <cellStyle name="B_Bot_Prophet-EEV ReportingFinal301205-Apr06 21 2" xfId="4448" xr:uid="{00000000-0005-0000-0000-00003F1A0000}"/>
    <cellStyle name="B_Bot_Prophet-EEV ReportingFinal301205-Apr06 21 3" xfId="25807" xr:uid="{00000000-0005-0000-0000-0000401A0000}"/>
    <cellStyle name="B_Bot_Prophet-EEV ReportingFinal301205-Apr06 22" xfId="4449" xr:uid="{00000000-0005-0000-0000-0000411A0000}"/>
    <cellStyle name="B_Bot_Prophet-EEV ReportingFinal301205-Apr06 22 2" xfId="4450" xr:uid="{00000000-0005-0000-0000-0000421A0000}"/>
    <cellStyle name="B_Bot_Prophet-EEV ReportingFinal301205-Apr06 22 3" xfId="25808" xr:uid="{00000000-0005-0000-0000-0000431A0000}"/>
    <cellStyle name="B_Bot_Prophet-EEV ReportingFinal301205-Apr06 23" xfId="4451" xr:uid="{00000000-0005-0000-0000-0000441A0000}"/>
    <cellStyle name="B_Bot_Prophet-EEV ReportingFinal301205-Apr06 23 2" xfId="4452" xr:uid="{00000000-0005-0000-0000-0000451A0000}"/>
    <cellStyle name="B_Bot_Prophet-EEV ReportingFinal301205-Apr06 23 3" xfId="25809" xr:uid="{00000000-0005-0000-0000-0000461A0000}"/>
    <cellStyle name="B_Bot_Prophet-EEV ReportingFinal301205-Apr06 24" xfId="4453" xr:uid="{00000000-0005-0000-0000-0000471A0000}"/>
    <cellStyle name="B_Bot_Prophet-EEV ReportingFinal301205-Apr06 25" xfId="25810" xr:uid="{00000000-0005-0000-0000-0000481A0000}"/>
    <cellStyle name="B_Bot_Prophet-EEV ReportingFinal301205-Apr06 3" xfId="4454" xr:uid="{00000000-0005-0000-0000-0000491A0000}"/>
    <cellStyle name="B_Bot_Prophet-EEV ReportingFinal301205-Apr06 3 2" xfId="4455" xr:uid="{00000000-0005-0000-0000-00004A1A0000}"/>
    <cellStyle name="B_Bot_Prophet-EEV ReportingFinal301205-Apr06 3 3" xfId="25811" xr:uid="{00000000-0005-0000-0000-00004B1A0000}"/>
    <cellStyle name="B_Bot_Prophet-EEV ReportingFinal301205-Apr06 4" xfId="4456" xr:uid="{00000000-0005-0000-0000-00004C1A0000}"/>
    <cellStyle name="B_Bot_Prophet-EEV ReportingFinal301205-Apr06 4 2" xfId="4457" xr:uid="{00000000-0005-0000-0000-00004D1A0000}"/>
    <cellStyle name="B_Bot_Prophet-EEV ReportingFinal301205-Apr06 4 3" xfId="25812" xr:uid="{00000000-0005-0000-0000-00004E1A0000}"/>
    <cellStyle name="B_Bot_Prophet-EEV ReportingFinal301205-Apr06 5" xfId="4458" xr:uid="{00000000-0005-0000-0000-00004F1A0000}"/>
    <cellStyle name="B_Bot_Prophet-EEV ReportingFinal301205-Apr06 5 2" xfId="4459" xr:uid="{00000000-0005-0000-0000-0000501A0000}"/>
    <cellStyle name="B_Bot_Prophet-EEV ReportingFinal301205-Apr06 5 3" xfId="25813" xr:uid="{00000000-0005-0000-0000-0000511A0000}"/>
    <cellStyle name="B_Bot_Prophet-EEV ReportingFinal301205-Apr06 6" xfId="4460" xr:uid="{00000000-0005-0000-0000-0000521A0000}"/>
    <cellStyle name="B_Bot_Prophet-EEV ReportingFinal301205-Apr06 6 2" xfId="4461" xr:uid="{00000000-0005-0000-0000-0000531A0000}"/>
    <cellStyle name="B_Bot_Prophet-EEV ReportingFinal301205-Apr06 6 3" xfId="25814" xr:uid="{00000000-0005-0000-0000-0000541A0000}"/>
    <cellStyle name="B_Bot_Prophet-EEV ReportingFinal301205-Apr06 7" xfId="4462" xr:uid="{00000000-0005-0000-0000-0000551A0000}"/>
    <cellStyle name="B_Bot_Prophet-EEV ReportingFinal301205-Apr06 7 2" xfId="4463" xr:uid="{00000000-0005-0000-0000-0000561A0000}"/>
    <cellStyle name="B_Bot_Prophet-EEV ReportingFinal301205-Apr06 7 3" xfId="25815" xr:uid="{00000000-0005-0000-0000-0000571A0000}"/>
    <cellStyle name="B_Bot_Prophet-EEV ReportingFinal301205-Apr06 8" xfId="4464" xr:uid="{00000000-0005-0000-0000-0000581A0000}"/>
    <cellStyle name="B_Bot_Prophet-EEV ReportingFinal301205-Apr06 8 2" xfId="4465" xr:uid="{00000000-0005-0000-0000-0000591A0000}"/>
    <cellStyle name="B_Bot_Prophet-EEV ReportingFinal301205-Apr06 8 3" xfId="25816" xr:uid="{00000000-0005-0000-0000-00005A1A0000}"/>
    <cellStyle name="B_Bot_Prophet-EEV ReportingFinal301205-Apr06 9" xfId="4466" xr:uid="{00000000-0005-0000-0000-00005B1A0000}"/>
    <cellStyle name="B_Bot_Prophet-EEV ReportingFinal301205-Apr06 9 2" xfId="4467" xr:uid="{00000000-0005-0000-0000-00005C1A0000}"/>
    <cellStyle name="B_Bot_Prophet-EEV ReportingFinal301205-Apr06 9 3" xfId="25817" xr:uid="{00000000-0005-0000-0000-00005D1A0000}"/>
    <cellStyle name="B_Bot_Prophet-EEV ReportingFinal301205-Apr06_HK.EEV-May06 4+2 kkh" xfId="4468" xr:uid="{00000000-0005-0000-0000-00005E1A0000}"/>
    <cellStyle name="B_Bot_Prophet-EEV ReportingFinal301205-Apr06_HK.EEV-May06 4+2 kkh 10" xfId="4469" xr:uid="{00000000-0005-0000-0000-00005F1A0000}"/>
    <cellStyle name="B_Bot_Prophet-EEV ReportingFinal301205-Apr06_HK.EEV-May06 4+2 kkh 10 2" xfId="4470" xr:uid="{00000000-0005-0000-0000-0000601A0000}"/>
    <cellStyle name="B_Bot_Prophet-EEV ReportingFinal301205-Apr06_HK.EEV-May06 4+2 kkh 10 3" xfId="25818" xr:uid="{00000000-0005-0000-0000-0000611A0000}"/>
    <cellStyle name="B_Bot_Prophet-EEV ReportingFinal301205-Apr06_HK.EEV-May06 4+2 kkh 11" xfId="4471" xr:uid="{00000000-0005-0000-0000-0000621A0000}"/>
    <cellStyle name="B_Bot_Prophet-EEV ReportingFinal301205-Apr06_HK.EEV-May06 4+2 kkh 11 2" xfId="4472" xr:uid="{00000000-0005-0000-0000-0000631A0000}"/>
    <cellStyle name="B_Bot_Prophet-EEV ReportingFinal301205-Apr06_HK.EEV-May06 4+2 kkh 11 3" xfId="25819" xr:uid="{00000000-0005-0000-0000-0000641A0000}"/>
    <cellStyle name="B_Bot_Prophet-EEV ReportingFinal301205-Apr06_HK.EEV-May06 4+2 kkh 12" xfId="4473" xr:uid="{00000000-0005-0000-0000-0000651A0000}"/>
    <cellStyle name="B_Bot_Prophet-EEV ReportingFinal301205-Apr06_HK.EEV-May06 4+2 kkh 12 2" xfId="4474" xr:uid="{00000000-0005-0000-0000-0000661A0000}"/>
    <cellStyle name="B_Bot_Prophet-EEV ReportingFinal301205-Apr06_HK.EEV-May06 4+2 kkh 12 3" xfId="25820" xr:uid="{00000000-0005-0000-0000-0000671A0000}"/>
    <cellStyle name="B_Bot_Prophet-EEV ReportingFinal301205-Apr06_HK.EEV-May06 4+2 kkh 13" xfId="4475" xr:uid="{00000000-0005-0000-0000-0000681A0000}"/>
    <cellStyle name="B_Bot_Prophet-EEV ReportingFinal301205-Apr06_HK.EEV-May06 4+2 kkh 13 2" xfId="4476" xr:uid="{00000000-0005-0000-0000-0000691A0000}"/>
    <cellStyle name="B_Bot_Prophet-EEV ReportingFinal301205-Apr06_HK.EEV-May06 4+2 kkh 13 3" xfId="25821" xr:uid="{00000000-0005-0000-0000-00006A1A0000}"/>
    <cellStyle name="B_Bot_Prophet-EEV ReportingFinal301205-Apr06_HK.EEV-May06 4+2 kkh 14" xfId="4477" xr:uid="{00000000-0005-0000-0000-00006B1A0000}"/>
    <cellStyle name="B_Bot_Prophet-EEV ReportingFinal301205-Apr06_HK.EEV-May06 4+2 kkh 14 2" xfId="4478" xr:uid="{00000000-0005-0000-0000-00006C1A0000}"/>
    <cellStyle name="B_Bot_Prophet-EEV ReportingFinal301205-Apr06_HK.EEV-May06 4+2 kkh 14 3" xfId="25822" xr:uid="{00000000-0005-0000-0000-00006D1A0000}"/>
    <cellStyle name="B_Bot_Prophet-EEV ReportingFinal301205-Apr06_HK.EEV-May06 4+2 kkh 15" xfId="4479" xr:uid="{00000000-0005-0000-0000-00006E1A0000}"/>
    <cellStyle name="B_Bot_Prophet-EEV ReportingFinal301205-Apr06_HK.EEV-May06 4+2 kkh 15 2" xfId="4480" xr:uid="{00000000-0005-0000-0000-00006F1A0000}"/>
    <cellStyle name="B_Bot_Prophet-EEV ReportingFinal301205-Apr06_HK.EEV-May06 4+2 kkh 15 3" xfId="25823" xr:uid="{00000000-0005-0000-0000-0000701A0000}"/>
    <cellStyle name="B_Bot_Prophet-EEV ReportingFinal301205-Apr06_HK.EEV-May06 4+2 kkh 16" xfId="4481" xr:uid="{00000000-0005-0000-0000-0000711A0000}"/>
    <cellStyle name="B_Bot_Prophet-EEV ReportingFinal301205-Apr06_HK.EEV-May06 4+2 kkh 16 2" xfId="4482" xr:uid="{00000000-0005-0000-0000-0000721A0000}"/>
    <cellStyle name="B_Bot_Prophet-EEV ReportingFinal301205-Apr06_HK.EEV-May06 4+2 kkh 16 3" xfId="25824" xr:uid="{00000000-0005-0000-0000-0000731A0000}"/>
    <cellStyle name="B_Bot_Prophet-EEV ReportingFinal301205-Apr06_HK.EEV-May06 4+2 kkh 17" xfId="4483" xr:uid="{00000000-0005-0000-0000-0000741A0000}"/>
    <cellStyle name="B_Bot_Prophet-EEV ReportingFinal301205-Apr06_HK.EEV-May06 4+2 kkh 17 2" xfId="4484" xr:uid="{00000000-0005-0000-0000-0000751A0000}"/>
    <cellStyle name="B_Bot_Prophet-EEV ReportingFinal301205-Apr06_HK.EEV-May06 4+2 kkh 17 3" xfId="25825" xr:uid="{00000000-0005-0000-0000-0000761A0000}"/>
    <cellStyle name="B_Bot_Prophet-EEV ReportingFinal301205-Apr06_HK.EEV-May06 4+2 kkh 18" xfId="4485" xr:uid="{00000000-0005-0000-0000-0000771A0000}"/>
    <cellStyle name="B_Bot_Prophet-EEV ReportingFinal301205-Apr06_HK.EEV-May06 4+2 kkh 18 2" xfId="4486" xr:uid="{00000000-0005-0000-0000-0000781A0000}"/>
    <cellStyle name="B_Bot_Prophet-EEV ReportingFinal301205-Apr06_HK.EEV-May06 4+2 kkh 18 3" xfId="25826" xr:uid="{00000000-0005-0000-0000-0000791A0000}"/>
    <cellStyle name="B_Bot_Prophet-EEV ReportingFinal301205-Apr06_HK.EEV-May06 4+2 kkh 19" xfId="4487" xr:uid="{00000000-0005-0000-0000-00007A1A0000}"/>
    <cellStyle name="B_Bot_Prophet-EEV ReportingFinal301205-Apr06_HK.EEV-May06 4+2 kkh 19 2" xfId="4488" xr:uid="{00000000-0005-0000-0000-00007B1A0000}"/>
    <cellStyle name="B_Bot_Prophet-EEV ReportingFinal301205-Apr06_HK.EEV-May06 4+2 kkh 19 3" xfId="25827" xr:uid="{00000000-0005-0000-0000-00007C1A0000}"/>
    <cellStyle name="B_Bot_Prophet-EEV ReportingFinal301205-Apr06_HK.EEV-May06 4+2 kkh 2" xfId="4489" xr:uid="{00000000-0005-0000-0000-00007D1A0000}"/>
    <cellStyle name="B_Bot_Prophet-EEV ReportingFinal301205-Apr06_HK.EEV-May06 4+2 kkh 2 2" xfId="4490" xr:uid="{00000000-0005-0000-0000-00007E1A0000}"/>
    <cellStyle name="B_Bot_Prophet-EEV ReportingFinal301205-Apr06_HK.EEV-May06 4+2 kkh 2 3" xfId="25828" xr:uid="{00000000-0005-0000-0000-00007F1A0000}"/>
    <cellStyle name="B_Bot_Prophet-EEV ReportingFinal301205-Apr06_HK.EEV-May06 4+2 kkh 20" xfId="4491" xr:uid="{00000000-0005-0000-0000-0000801A0000}"/>
    <cellStyle name="B_Bot_Prophet-EEV ReportingFinal301205-Apr06_HK.EEV-May06 4+2 kkh 20 2" xfId="4492" xr:uid="{00000000-0005-0000-0000-0000811A0000}"/>
    <cellStyle name="B_Bot_Prophet-EEV ReportingFinal301205-Apr06_HK.EEV-May06 4+2 kkh 20 3" xfId="25829" xr:uid="{00000000-0005-0000-0000-0000821A0000}"/>
    <cellStyle name="B_Bot_Prophet-EEV ReportingFinal301205-Apr06_HK.EEV-May06 4+2 kkh 21" xfId="4493" xr:uid="{00000000-0005-0000-0000-0000831A0000}"/>
    <cellStyle name="B_Bot_Prophet-EEV ReportingFinal301205-Apr06_HK.EEV-May06 4+2 kkh 21 2" xfId="4494" xr:uid="{00000000-0005-0000-0000-0000841A0000}"/>
    <cellStyle name="B_Bot_Prophet-EEV ReportingFinal301205-Apr06_HK.EEV-May06 4+2 kkh 21 3" xfId="25830" xr:uid="{00000000-0005-0000-0000-0000851A0000}"/>
    <cellStyle name="B_Bot_Prophet-EEV ReportingFinal301205-Apr06_HK.EEV-May06 4+2 kkh 22" xfId="4495" xr:uid="{00000000-0005-0000-0000-0000861A0000}"/>
    <cellStyle name="B_Bot_Prophet-EEV ReportingFinal301205-Apr06_HK.EEV-May06 4+2 kkh 22 2" xfId="4496" xr:uid="{00000000-0005-0000-0000-0000871A0000}"/>
    <cellStyle name="B_Bot_Prophet-EEV ReportingFinal301205-Apr06_HK.EEV-May06 4+2 kkh 22 3" xfId="25831" xr:uid="{00000000-0005-0000-0000-0000881A0000}"/>
    <cellStyle name="B_Bot_Prophet-EEV ReportingFinal301205-Apr06_HK.EEV-May06 4+2 kkh 23" xfId="4497" xr:uid="{00000000-0005-0000-0000-0000891A0000}"/>
    <cellStyle name="B_Bot_Prophet-EEV ReportingFinal301205-Apr06_HK.EEV-May06 4+2 kkh 23 2" xfId="4498" xr:uid="{00000000-0005-0000-0000-00008A1A0000}"/>
    <cellStyle name="B_Bot_Prophet-EEV ReportingFinal301205-Apr06_HK.EEV-May06 4+2 kkh 23 3" xfId="25832" xr:uid="{00000000-0005-0000-0000-00008B1A0000}"/>
    <cellStyle name="B_Bot_Prophet-EEV ReportingFinal301205-Apr06_HK.EEV-May06 4+2 kkh 24" xfId="4499" xr:uid="{00000000-0005-0000-0000-00008C1A0000}"/>
    <cellStyle name="B_Bot_Prophet-EEV ReportingFinal301205-Apr06_HK.EEV-May06 4+2 kkh 25" xfId="25833" xr:uid="{00000000-0005-0000-0000-00008D1A0000}"/>
    <cellStyle name="B_Bot_Prophet-EEV ReportingFinal301205-Apr06_HK.EEV-May06 4+2 kkh 3" xfId="4500" xr:uid="{00000000-0005-0000-0000-00008E1A0000}"/>
    <cellStyle name="B_Bot_Prophet-EEV ReportingFinal301205-Apr06_HK.EEV-May06 4+2 kkh 3 2" xfId="4501" xr:uid="{00000000-0005-0000-0000-00008F1A0000}"/>
    <cellStyle name="B_Bot_Prophet-EEV ReportingFinal301205-Apr06_HK.EEV-May06 4+2 kkh 3 3" xfId="25834" xr:uid="{00000000-0005-0000-0000-0000901A0000}"/>
    <cellStyle name="B_Bot_Prophet-EEV ReportingFinal301205-Apr06_HK.EEV-May06 4+2 kkh 4" xfId="4502" xr:uid="{00000000-0005-0000-0000-0000911A0000}"/>
    <cellStyle name="B_Bot_Prophet-EEV ReportingFinal301205-Apr06_HK.EEV-May06 4+2 kkh 4 2" xfId="4503" xr:uid="{00000000-0005-0000-0000-0000921A0000}"/>
    <cellStyle name="B_Bot_Prophet-EEV ReportingFinal301205-Apr06_HK.EEV-May06 4+2 kkh 4 3" xfId="25835" xr:uid="{00000000-0005-0000-0000-0000931A0000}"/>
    <cellStyle name="B_Bot_Prophet-EEV ReportingFinal301205-Apr06_HK.EEV-May06 4+2 kkh 5" xfId="4504" xr:uid="{00000000-0005-0000-0000-0000941A0000}"/>
    <cellStyle name="B_Bot_Prophet-EEV ReportingFinal301205-Apr06_HK.EEV-May06 4+2 kkh 5 2" xfId="4505" xr:uid="{00000000-0005-0000-0000-0000951A0000}"/>
    <cellStyle name="B_Bot_Prophet-EEV ReportingFinal301205-Apr06_HK.EEV-May06 4+2 kkh 5 3" xfId="25836" xr:uid="{00000000-0005-0000-0000-0000961A0000}"/>
    <cellStyle name="B_Bot_Prophet-EEV ReportingFinal301205-Apr06_HK.EEV-May06 4+2 kkh 6" xfId="4506" xr:uid="{00000000-0005-0000-0000-0000971A0000}"/>
    <cellStyle name="B_Bot_Prophet-EEV ReportingFinal301205-Apr06_HK.EEV-May06 4+2 kkh 6 2" xfId="4507" xr:uid="{00000000-0005-0000-0000-0000981A0000}"/>
    <cellStyle name="B_Bot_Prophet-EEV ReportingFinal301205-Apr06_HK.EEV-May06 4+2 kkh 6 3" xfId="25837" xr:uid="{00000000-0005-0000-0000-0000991A0000}"/>
    <cellStyle name="B_Bot_Prophet-EEV ReportingFinal301205-Apr06_HK.EEV-May06 4+2 kkh 7" xfId="4508" xr:uid="{00000000-0005-0000-0000-00009A1A0000}"/>
    <cellStyle name="B_Bot_Prophet-EEV ReportingFinal301205-Apr06_HK.EEV-May06 4+2 kkh 7 2" xfId="4509" xr:uid="{00000000-0005-0000-0000-00009B1A0000}"/>
    <cellStyle name="B_Bot_Prophet-EEV ReportingFinal301205-Apr06_HK.EEV-May06 4+2 kkh 7 3" xfId="25838" xr:uid="{00000000-0005-0000-0000-00009C1A0000}"/>
    <cellStyle name="B_Bot_Prophet-EEV ReportingFinal301205-Apr06_HK.EEV-May06 4+2 kkh 8" xfId="4510" xr:uid="{00000000-0005-0000-0000-00009D1A0000}"/>
    <cellStyle name="B_Bot_Prophet-EEV ReportingFinal301205-Apr06_HK.EEV-May06 4+2 kkh 8 2" xfId="4511" xr:uid="{00000000-0005-0000-0000-00009E1A0000}"/>
    <cellStyle name="B_Bot_Prophet-EEV ReportingFinal301205-Apr06_HK.EEV-May06 4+2 kkh 8 3" xfId="25839" xr:uid="{00000000-0005-0000-0000-00009F1A0000}"/>
    <cellStyle name="B_Bot_Prophet-EEV ReportingFinal301205-Apr06_HK.EEV-May06 4+2 kkh 9" xfId="4512" xr:uid="{00000000-0005-0000-0000-0000A01A0000}"/>
    <cellStyle name="B_Bot_Prophet-EEV ReportingFinal301205-Apr06_HK.EEV-May06 4+2 kkh 9 2" xfId="4513" xr:uid="{00000000-0005-0000-0000-0000A11A0000}"/>
    <cellStyle name="B_Bot_Prophet-EEV ReportingFinal301205-Apr06_HK.EEV-May06 4+2 kkh 9 3" xfId="25840" xr:uid="{00000000-0005-0000-0000-0000A21A0000}"/>
    <cellStyle name="B_Bot_Prophet-EEV ReportingFinal301205-Apr06_HK.EEV-May06 4+2 kkh_PROD_DETAILS" xfId="4514" xr:uid="{00000000-0005-0000-0000-0000A31A0000}"/>
    <cellStyle name="B_Bot_Prophet-EEV ReportingFinal301205-Apr06_HK.EEV-May06 4+2 kkh_PROD_DETAILS 2" xfId="4515" xr:uid="{00000000-0005-0000-0000-0000A41A0000}"/>
    <cellStyle name="B_Bot_Prophet-EEV ReportingFinal301205-Apr06_HK.EEV-May06 4+2 kkh_PROD_DETAILS 3" xfId="25841" xr:uid="{00000000-0005-0000-0000-0000A51A0000}"/>
    <cellStyle name="B_Bot_Prophet-EEV ReportingFinal301205-Apr06_HK.EEV-May06 4+2 kkh_SOLVENCY POSITION " xfId="4516" xr:uid="{00000000-0005-0000-0000-0000A61A0000}"/>
    <cellStyle name="B_Bot_Prophet-EEV ReportingFinal301205-Apr06_HK.EEV-May06 4+2 kkh_SOLVENCY POSITION  2" xfId="4517" xr:uid="{00000000-0005-0000-0000-0000A71A0000}"/>
    <cellStyle name="B_Bot_Prophet-EEV ReportingFinal301205-Apr06_HK.EEV-May06 4+2 kkh_SOLVENCY POSITION  3" xfId="25842" xr:uid="{00000000-0005-0000-0000-0000A81A0000}"/>
    <cellStyle name="B_Bot_Prophet-EEV ReportingFinal301205-Apr06_PROD_DETAILS" xfId="4518" xr:uid="{00000000-0005-0000-0000-0000A91A0000}"/>
    <cellStyle name="B_Bot_Prophet-EEV ReportingFinal301205-Apr06_PROD_DETAILS 2" xfId="4519" xr:uid="{00000000-0005-0000-0000-0000AA1A0000}"/>
    <cellStyle name="B_Bot_Prophet-EEV ReportingFinal301205-Apr06_PROD_DETAILS 3" xfId="25843" xr:uid="{00000000-0005-0000-0000-0000AB1A0000}"/>
    <cellStyle name="B_Bot_Prophet-EEV ReportingFinal301205-Apr06_SOLVENCY POSITION " xfId="4520" xr:uid="{00000000-0005-0000-0000-0000AC1A0000}"/>
    <cellStyle name="B_Bot_Prophet-EEV ReportingFinal301205-Apr06_SOLVENCY POSITION  2" xfId="4521" xr:uid="{00000000-0005-0000-0000-0000AD1A0000}"/>
    <cellStyle name="B_Bot_Prophet-EEV ReportingFinal301205-Apr06_SOLVENCY POSITION  3" xfId="25844" xr:uid="{00000000-0005-0000-0000-0000AE1A0000}"/>
    <cellStyle name="B_Bot_QF12007_FINchecks" xfId="4522" xr:uid="{00000000-0005-0000-0000-0000AF1A0000}"/>
    <cellStyle name="B_Bot_QF12007_FINchecks 10" xfId="4523" xr:uid="{00000000-0005-0000-0000-0000B01A0000}"/>
    <cellStyle name="B_Bot_QF12007_FINchecks 10 2" xfId="4524" xr:uid="{00000000-0005-0000-0000-0000B11A0000}"/>
    <cellStyle name="B_Bot_QF12007_FINchecks 10 3" xfId="25845" xr:uid="{00000000-0005-0000-0000-0000B21A0000}"/>
    <cellStyle name="B_Bot_QF12007_FINchecks 11" xfId="4525" xr:uid="{00000000-0005-0000-0000-0000B31A0000}"/>
    <cellStyle name="B_Bot_QF12007_FINchecks 11 2" xfId="4526" xr:uid="{00000000-0005-0000-0000-0000B41A0000}"/>
    <cellStyle name="B_Bot_QF12007_FINchecks 11 3" xfId="25846" xr:uid="{00000000-0005-0000-0000-0000B51A0000}"/>
    <cellStyle name="B_Bot_QF12007_FINchecks 12" xfId="4527" xr:uid="{00000000-0005-0000-0000-0000B61A0000}"/>
    <cellStyle name="B_Bot_QF12007_FINchecks 12 2" xfId="4528" xr:uid="{00000000-0005-0000-0000-0000B71A0000}"/>
    <cellStyle name="B_Bot_QF12007_FINchecks 12 3" xfId="25847" xr:uid="{00000000-0005-0000-0000-0000B81A0000}"/>
    <cellStyle name="B_Bot_QF12007_FINchecks 13" xfId="4529" xr:uid="{00000000-0005-0000-0000-0000B91A0000}"/>
    <cellStyle name="B_Bot_QF12007_FINchecks 13 2" xfId="4530" xr:uid="{00000000-0005-0000-0000-0000BA1A0000}"/>
    <cellStyle name="B_Bot_QF12007_FINchecks 13 3" xfId="25848" xr:uid="{00000000-0005-0000-0000-0000BB1A0000}"/>
    <cellStyle name="B_Bot_QF12007_FINchecks 14" xfId="4531" xr:uid="{00000000-0005-0000-0000-0000BC1A0000}"/>
    <cellStyle name="B_Bot_QF12007_FINchecks 14 2" xfId="4532" xr:uid="{00000000-0005-0000-0000-0000BD1A0000}"/>
    <cellStyle name="B_Bot_QF12007_FINchecks 14 3" xfId="25849" xr:uid="{00000000-0005-0000-0000-0000BE1A0000}"/>
    <cellStyle name="B_Bot_QF12007_FINchecks 15" xfId="4533" xr:uid="{00000000-0005-0000-0000-0000BF1A0000}"/>
    <cellStyle name="B_Bot_QF12007_FINchecks 15 2" xfId="4534" xr:uid="{00000000-0005-0000-0000-0000C01A0000}"/>
    <cellStyle name="B_Bot_QF12007_FINchecks 15 3" xfId="25850" xr:uid="{00000000-0005-0000-0000-0000C11A0000}"/>
    <cellStyle name="B_Bot_QF12007_FINchecks 16" xfId="4535" xr:uid="{00000000-0005-0000-0000-0000C21A0000}"/>
    <cellStyle name="B_Bot_QF12007_FINchecks 16 2" xfId="4536" xr:uid="{00000000-0005-0000-0000-0000C31A0000}"/>
    <cellStyle name="B_Bot_QF12007_FINchecks 16 3" xfId="25851" xr:uid="{00000000-0005-0000-0000-0000C41A0000}"/>
    <cellStyle name="B_Bot_QF12007_FINchecks 17" xfId="4537" xr:uid="{00000000-0005-0000-0000-0000C51A0000}"/>
    <cellStyle name="B_Bot_QF12007_FINchecks 17 2" xfId="4538" xr:uid="{00000000-0005-0000-0000-0000C61A0000}"/>
    <cellStyle name="B_Bot_QF12007_FINchecks 17 3" xfId="25852" xr:uid="{00000000-0005-0000-0000-0000C71A0000}"/>
    <cellStyle name="B_Bot_QF12007_FINchecks 18" xfId="4539" xr:uid="{00000000-0005-0000-0000-0000C81A0000}"/>
    <cellStyle name="B_Bot_QF12007_FINchecks 18 2" xfId="4540" xr:uid="{00000000-0005-0000-0000-0000C91A0000}"/>
    <cellStyle name="B_Bot_QF12007_FINchecks 18 3" xfId="25853" xr:uid="{00000000-0005-0000-0000-0000CA1A0000}"/>
    <cellStyle name="B_Bot_QF12007_FINchecks 19" xfId="4541" xr:uid="{00000000-0005-0000-0000-0000CB1A0000}"/>
    <cellStyle name="B_Bot_QF12007_FINchecks 19 2" xfId="4542" xr:uid="{00000000-0005-0000-0000-0000CC1A0000}"/>
    <cellStyle name="B_Bot_QF12007_FINchecks 19 3" xfId="25854" xr:uid="{00000000-0005-0000-0000-0000CD1A0000}"/>
    <cellStyle name="B_Bot_QF12007_FINchecks 2" xfId="4543" xr:uid="{00000000-0005-0000-0000-0000CE1A0000}"/>
    <cellStyle name="B_Bot_QF12007_FINchecks 2 2" xfId="4544" xr:uid="{00000000-0005-0000-0000-0000CF1A0000}"/>
    <cellStyle name="B_Bot_QF12007_FINchecks 2 3" xfId="25855" xr:uid="{00000000-0005-0000-0000-0000D01A0000}"/>
    <cellStyle name="B_Bot_QF12007_FINchecks 20" xfId="4545" xr:uid="{00000000-0005-0000-0000-0000D11A0000}"/>
    <cellStyle name="B_Bot_QF12007_FINchecks 20 2" xfId="4546" xr:uid="{00000000-0005-0000-0000-0000D21A0000}"/>
    <cellStyle name="B_Bot_QF12007_FINchecks 20 3" xfId="25856" xr:uid="{00000000-0005-0000-0000-0000D31A0000}"/>
    <cellStyle name="B_Bot_QF12007_FINchecks 21" xfId="4547" xr:uid="{00000000-0005-0000-0000-0000D41A0000}"/>
    <cellStyle name="B_Bot_QF12007_FINchecks 21 2" xfId="4548" xr:uid="{00000000-0005-0000-0000-0000D51A0000}"/>
    <cellStyle name="B_Bot_QF12007_FINchecks 21 3" xfId="25857" xr:uid="{00000000-0005-0000-0000-0000D61A0000}"/>
    <cellStyle name="B_Bot_QF12007_FINchecks 22" xfId="4549" xr:uid="{00000000-0005-0000-0000-0000D71A0000}"/>
    <cellStyle name="B_Bot_QF12007_FINchecks 22 2" xfId="4550" xr:uid="{00000000-0005-0000-0000-0000D81A0000}"/>
    <cellStyle name="B_Bot_QF12007_FINchecks 22 3" xfId="25858" xr:uid="{00000000-0005-0000-0000-0000D91A0000}"/>
    <cellStyle name="B_Bot_QF12007_FINchecks 23" xfId="4551" xr:uid="{00000000-0005-0000-0000-0000DA1A0000}"/>
    <cellStyle name="B_Bot_QF12007_FINchecks 23 2" xfId="4552" xr:uid="{00000000-0005-0000-0000-0000DB1A0000}"/>
    <cellStyle name="B_Bot_QF12007_FINchecks 23 3" xfId="25859" xr:uid="{00000000-0005-0000-0000-0000DC1A0000}"/>
    <cellStyle name="B_Bot_QF12007_FINchecks 24" xfId="4553" xr:uid="{00000000-0005-0000-0000-0000DD1A0000}"/>
    <cellStyle name="B_Bot_QF12007_FINchecks 25" xfId="25860" xr:uid="{00000000-0005-0000-0000-0000DE1A0000}"/>
    <cellStyle name="B_Bot_QF12007_FINchecks 3" xfId="4554" xr:uid="{00000000-0005-0000-0000-0000DF1A0000}"/>
    <cellStyle name="B_Bot_QF12007_FINchecks 3 2" xfId="4555" xr:uid="{00000000-0005-0000-0000-0000E01A0000}"/>
    <cellStyle name="B_Bot_QF12007_FINchecks 3 3" xfId="25861" xr:uid="{00000000-0005-0000-0000-0000E11A0000}"/>
    <cellStyle name="B_Bot_QF12007_FINchecks 4" xfId="4556" xr:uid="{00000000-0005-0000-0000-0000E21A0000}"/>
    <cellStyle name="B_Bot_QF12007_FINchecks 4 2" xfId="4557" xr:uid="{00000000-0005-0000-0000-0000E31A0000}"/>
    <cellStyle name="B_Bot_QF12007_FINchecks 4 3" xfId="25862" xr:uid="{00000000-0005-0000-0000-0000E41A0000}"/>
    <cellStyle name="B_Bot_QF12007_FINchecks 5" xfId="4558" xr:uid="{00000000-0005-0000-0000-0000E51A0000}"/>
    <cellStyle name="B_Bot_QF12007_FINchecks 5 2" xfId="4559" xr:uid="{00000000-0005-0000-0000-0000E61A0000}"/>
    <cellStyle name="B_Bot_QF12007_FINchecks 5 3" xfId="25863" xr:uid="{00000000-0005-0000-0000-0000E71A0000}"/>
    <cellStyle name="B_Bot_QF12007_FINchecks 6" xfId="4560" xr:uid="{00000000-0005-0000-0000-0000E81A0000}"/>
    <cellStyle name="B_Bot_QF12007_FINchecks 6 2" xfId="4561" xr:uid="{00000000-0005-0000-0000-0000E91A0000}"/>
    <cellStyle name="B_Bot_QF12007_FINchecks 6 3" xfId="25864" xr:uid="{00000000-0005-0000-0000-0000EA1A0000}"/>
    <cellStyle name="B_Bot_QF12007_FINchecks 7" xfId="4562" xr:uid="{00000000-0005-0000-0000-0000EB1A0000}"/>
    <cellStyle name="B_Bot_QF12007_FINchecks 7 2" xfId="4563" xr:uid="{00000000-0005-0000-0000-0000EC1A0000}"/>
    <cellStyle name="B_Bot_QF12007_FINchecks 7 3" xfId="25865" xr:uid="{00000000-0005-0000-0000-0000ED1A0000}"/>
    <cellStyle name="B_Bot_QF12007_FINchecks 8" xfId="4564" xr:uid="{00000000-0005-0000-0000-0000EE1A0000}"/>
    <cellStyle name="B_Bot_QF12007_FINchecks 8 2" xfId="4565" xr:uid="{00000000-0005-0000-0000-0000EF1A0000}"/>
    <cellStyle name="B_Bot_QF12007_FINchecks 8 3" xfId="25866" xr:uid="{00000000-0005-0000-0000-0000F01A0000}"/>
    <cellStyle name="B_Bot_QF12007_FINchecks 9" xfId="4566" xr:uid="{00000000-0005-0000-0000-0000F11A0000}"/>
    <cellStyle name="B_Bot_QF12007_FINchecks 9 2" xfId="4567" xr:uid="{00000000-0005-0000-0000-0000F21A0000}"/>
    <cellStyle name="B_Bot_QF12007_FINchecks 9 3" xfId="25867" xr:uid="{00000000-0005-0000-0000-0000F31A0000}"/>
    <cellStyle name="B_Bot_QF12007_FINchecks_PROD_DETAILS" xfId="4568" xr:uid="{00000000-0005-0000-0000-0000F41A0000}"/>
    <cellStyle name="B_Bot_QF12007_FINchecks_PROD_DETAILS 2" xfId="4569" xr:uid="{00000000-0005-0000-0000-0000F51A0000}"/>
    <cellStyle name="B_Bot_QF12007_FINchecks_PROD_DETAILS 3" xfId="25868" xr:uid="{00000000-0005-0000-0000-0000F61A0000}"/>
    <cellStyle name="B_Bot_QF12007_FINchecks_SOLVENCY POSITION " xfId="4570" xr:uid="{00000000-0005-0000-0000-0000F71A0000}"/>
    <cellStyle name="B_Bot_QF12007_FINchecks_SOLVENCY POSITION  2" xfId="4571" xr:uid="{00000000-0005-0000-0000-0000F81A0000}"/>
    <cellStyle name="B_Bot_QF12007_FINchecks_SOLVENCY POSITION  3" xfId="25869" xr:uid="{00000000-0005-0000-0000-0000F91A0000}"/>
    <cellStyle name="B_Bot_SG.EEV-Apr06" xfId="4572" xr:uid="{00000000-0005-0000-0000-0000FA1A0000}"/>
    <cellStyle name="B_Bot_SG.EEV-Apr06 10" xfId="4573" xr:uid="{00000000-0005-0000-0000-0000FB1A0000}"/>
    <cellStyle name="B_Bot_SG.EEV-Apr06 10 2" xfId="4574" xr:uid="{00000000-0005-0000-0000-0000FC1A0000}"/>
    <cellStyle name="B_Bot_SG.EEV-Apr06 10 3" xfId="25870" xr:uid="{00000000-0005-0000-0000-0000FD1A0000}"/>
    <cellStyle name="B_Bot_SG.EEV-Apr06 11" xfId="4575" xr:uid="{00000000-0005-0000-0000-0000FE1A0000}"/>
    <cellStyle name="B_Bot_SG.EEV-Apr06 11 2" xfId="4576" xr:uid="{00000000-0005-0000-0000-0000FF1A0000}"/>
    <cellStyle name="B_Bot_SG.EEV-Apr06 11 3" xfId="25871" xr:uid="{00000000-0005-0000-0000-0000001B0000}"/>
    <cellStyle name="B_Bot_SG.EEV-Apr06 12" xfId="4577" xr:uid="{00000000-0005-0000-0000-0000011B0000}"/>
    <cellStyle name="B_Bot_SG.EEV-Apr06 12 2" xfId="4578" xr:uid="{00000000-0005-0000-0000-0000021B0000}"/>
    <cellStyle name="B_Bot_SG.EEV-Apr06 12 3" xfId="25872" xr:uid="{00000000-0005-0000-0000-0000031B0000}"/>
    <cellStyle name="B_Bot_SG.EEV-Apr06 13" xfId="4579" xr:uid="{00000000-0005-0000-0000-0000041B0000}"/>
    <cellStyle name="B_Bot_SG.EEV-Apr06 13 2" xfId="4580" xr:uid="{00000000-0005-0000-0000-0000051B0000}"/>
    <cellStyle name="B_Bot_SG.EEV-Apr06 13 3" xfId="25873" xr:uid="{00000000-0005-0000-0000-0000061B0000}"/>
    <cellStyle name="B_Bot_SG.EEV-Apr06 14" xfId="4581" xr:uid="{00000000-0005-0000-0000-0000071B0000}"/>
    <cellStyle name="B_Bot_SG.EEV-Apr06 14 2" xfId="4582" xr:uid="{00000000-0005-0000-0000-0000081B0000}"/>
    <cellStyle name="B_Bot_SG.EEV-Apr06 14 3" xfId="25874" xr:uid="{00000000-0005-0000-0000-0000091B0000}"/>
    <cellStyle name="B_Bot_SG.EEV-Apr06 15" xfId="4583" xr:uid="{00000000-0005-0000-0000-00000A1B0000}"/>
    <cellStyle name="B_Bot_SG.EEV-Apr06 15 2" xfId="4584" xr:uid="{00000000-0005-0000-0000-00000B1B0000}"/>
    <cellStyle name="B_Bot_SG.EEV-Apr06 15 3" xfId="25875" xr:uid="{00000000-0005-0000-0000-00000C1B0000}"/>
    <cellStyle name="B_Bot_SG.EEV-Apr06 16" xfId="4585" xr:uid="{00000000-0005-0000-0000-00000D1B0000}"/>
    <cellStyle name="B_Bot_SG.EEV-Apr06 16 2" xfId="4586" xr:uid="{00000000-0005-0000-0000-00000E1B0000}"/>
    <cellStyle name="B_Bot_SG.EEV-Apr06 16 3" xfId="25876" xr:uid="{00000000-0005-0000-0000-00000F1B0000}"/>
    <cellStyle name="B_Bot_SG.EEV-Apr06 17" xfId="4587" xr:uid="{00000000-0005-0000-0000-0000101B0000}"/>
    <cellStyle name="B_Bot_SG.EEV-Apr06 17 2" xfId="4588" xr:uid="{00000000-0005-0000-0000-0000111B0000}"/>
    <cellStyle name="B_Bot_SG.EEV-Apr06 17 3" xfId="25877" xr:uid="{00000000-0005-0000-0000-0000121B0000}"/>
    <cellStyle name="B_Bot_SG.EEV-Apr06 18" xfId="4589" xr:uid="{00000000-0005-0000-0000-0000131B0000}"/>
    <cellStyle name="B_Bot_SG.EEV-Apr06 18 2" xfId="4590" xr:uid="{00000000-0005-0000-0000-0000141B0000}"/>
    <cellStyle name="B_Bot_SG.EEV-Apr06 18 3" xfId="25878" xr:uid="{00000000-0005-0000-0000-0000151B0000}"/>
    <cellStyle name="B_Bot_SG.EEV-Apr06 19" xfId="4591" xr:uid="{00000000-0005-0000-0000-0000161B0000}"/>
    <cellStyle name="B_Bot_SG.EEV-Apr06 19 2" xfId="4592" xr:uid="{00000000-0005-0000-0000-0000171B0000}"/>
    <cellStyle name="B_Bot_SG.EEV-Apr06 19 3" xfId="25879" xr:uid="{00000000-0005-0000-0000-0000181B0000}"/>
    <cellStyle name="B_Bot_SG.EEV-Apr06 2" xfId="4593" xr:uid="{00000000-0005-0000-0000-0000191B0000}"/>
    <cellStyle name="B_Bot_SG.EEV-Apr06 2 2" xfId="4594" xr:uid="{00000000-0005-0000-0000-00001A1B0000}"/>
    <cellStyle name="B_Bot_SG.EEV-Apr06 2 3" xfId="25880" xr:uid="{00000000-0005-0000-0000-00001B1B0000}"/>
    <cellStyle name="B_Bot_SG.EEV-Apr06 20" xfId="4595" xr:uid="{00000000-0005-0000-0000-00001C1B0000}"/>
    <cellStyle name="B_Bot_SG.EEV-Apr06 20 2" xfId="4596" xr:uid="{00000000-0005-0000-0000-00001D1B0000}"/>
    <cellStyle name="B_Bot_SG.EEV-Apr06 20 3" xfId="25881" xr:uid="{00000000-0005-0000-0000-00001E1B0000}"/>
    <cellStyle name="B_Bot_SG.EEV-Apr06 21" xfId="4597" xr:uid="{00000000-0005-0000-0000-00001F1B0000}"/>
    <cellStyle name="B_Bot_SG.EEV-Apr06 21 2" xfId="4598" xr:uid="{00000000-0005-0000-0000-0000201B0000}"/>
    <cellStyle name="B_Bot_SG.EEV-Apr06 21 3" xfId="25882" xr:uid="{00000000-0005-0000-0000-0000211B0000}"/>
    <cellStyle name="B_Bot_SG.EEV-Apr06 22" xfId="4599" xr:uid="{00000000-0005-0000-0000-0000221B0000}"/>
    <cellStyle name="B_Bot_SG.EEV-Apr06 22 2" xfId="4600" xr:uid="{00000000-0005-0000-0000-0000231B0000}"/>
    <cellStyle name="B_Bot_SG.EEV-Apr06 22 3" xfId="25883" xr:uid="{00000000-0005-0000-0000-0000241B0000}"/>
    <cellStyle name="B_Bot_SG.EEV-Apr06 23" xfId="4601" xr:uid="{00000000-0005-0000-0000-0000251B0000}"/>
    <cellStyle name="B_Bot_SG.EEV-Apr06 23 2" xfId="4602" xr:uid="{00000000-0005-0000-0000-0000261B0000}"/>
    <cellStyle name="B_Bot_SG.EEV-Apr06 23 3" xfId="25884" xr:uid="{00000000-0005-0000-0000-0000271B0000}"/>
    <cellStyle name="B_Bot_SG.EEV-Apr06 24" xfId="4603" xr:uid="{00000000-0005-0000-0000-0000281B0000}"/>
    <cellStyle name="B_Bot_SG.EEV-Apr06 25" xfId="25885" xr:uid="{00000000-0005-0000-0000-0000291B0000}"/>
    <cellStyle name="B_Bot_SG.EEV-Apr06 3" xfId="4604" xr:uid="{00000000-0005-0000-0000-00002A1B0000}"/>
    <cellStyle name="B_Bot_SG.EEV-Apr06 3 2" xfId="4605" xr:uid="{00000000-0005-0000-0000-00002B1B0000}"/>
    <cellStyle name="B_Bot_SG.EEV-Apr06 3 3" xfId="25886" xr:uid="{00000000-0005-0000-0000-00002C1B0000}"/>
    <cellStyle name="B_Bot_SG.EEV-Apr06 4" xfId="4606" xr:uid="{00000000-0005-0000-0000-00002D1B0000}"/>
    <cellStyle name="B_Bot_SG.EEV-Apr06 4 2" xfId="4607" xr:uid="{00000000-0005-0000-0000-00002E1B0000}"/>
    <cellStyle name="B_Bot_SG.EEV-Apr06 4 3" xfId="25887" xr:uid="{00000000-0005-0000-0000-00002F1B0000}"/>
    <cellStyle name="B_Bot_SG.EEV-Apr06 5" xfId="4608" xr:uid="{00000000-0005-0000-0000-0000301B0000}"/>
    <cellStyle name="B_Bot_SG.EEV-Apr06 5 2" xfId="4609" xr:uid="{00000000-0005-0000-0000-0000311B0000}"/>
    <cellStyle name="B_Bot_SG.EEV-Apr06 5 3" xfId="25888" xr:uid="{00000000-0005-0000-0000-0000321B0000}"/>
    <cellStyle name="B_Bot_SG.EEV-Apr06 6" xfId="4610" xr:uid="{00000000-0005-0000-0000-0000331B0000}"/>
    <cellStyle name="B_Bot_SG.EEV-Apr06 6 2" xfId="4611" xr:uid="{00000000-0005-0000-0000-0000341B0000}"/>
    <cellStyle name="B_Bot_SG.EEV-Apr06 6 3" xfId="25889" xr:uid="{00000000-0005-0000-0000-0000351B0000}"/>
    <cellStyle name="B_Bot_SG.EEV-Apr06 7" xfId="4612" xr:uid="{00000000-0005-0000-0000-0000361B0000}"/>
    <cellStyle name="B_Bot_SG.EEV-Apr06 7 2" xfId="4613" xr:uid="{00000000-0005-0000-0000-0000371B0000}"/>
    <cellStyle name="B_Bot_SG.EEV-Apr06 7 3" xfId="25890" xr:uid="{00000000-0005-0000-0000-0000381B0000}"/>
    <cellStyle name="B_Bot_SG.EEV-Apr06 8" xfId="4614" xr:uid="{00000000-0005-0000-0000-0000391B0000}"/>
    <cellStyle name="B_Bot_SG.EEV-Apr06 8 2" xfId="4615" xr:uid="{00000000-0005-0000-0000-00003A1B0000}"/>
    <cellStyle name="B_Bot_SG.EEV-Apr06 8 3" xfId="25891" xr:uid="{00000000-0005-0000-0000-00003B1B0000}"/>
    <cellStyle name="B_Bot_SG.EEV-Apr06 9" xfId="4616" xr:uid="{00000000-0005-0000-0000-00003C1B0000}"/>
    <cellStyle name="B_Bot_SG.EEV-Apr06 9 2" xfId="4617" xr:uid="{00000000-0005-0000-0000-00003D1B0000}"/>
    <cellStyle name="B_Bot_SG.EEV-Apr06 9 3" xfId="25892" xr:uid="{00000000-0005-0000-0000-00003E1B0000}"/>
    <cellStyle name="B_Bot_SG.EEV-Apr06_HK.EEV-May06 4+2 kkh" xfId="4618" xr:uid="{00000000-0005-0000-0000-00003F1B0000}"/>
    <cellStyle name="B_Bot_SG.EEV-Apr06_HK.EEV-May06 4+2 kkh 10" xfId="4619" xr:uid="{00000000-0005-0000-0000-0000401B0000}"/>
    <cellStyle name="B_Bot_SG.EEV-Apr06_HK.EEV-May06 4+2 kkh 10 2" xfId="4620" xr:uid="{00000000-0005-0000-0000-0000411B0000}"/>
    <cellStyle name="B_Bot_SG.EEV-Apr06_HK.EEV-May06 4+2 kkh 10 3" xfId="25893" xr:uid="{00000000-0005-0000-0000-0000421B0000}"/>
    <cellStyle name="B_Bot_SG.EEV-Apr06_HK.EEV-May06 4+2 kkh 11" xfId="4621" xr:uid="{00000000-0005-0000-0000-0000431B0000}"/>
    <cellStyle name="B_Bot_SG.EEV-Apr06_HK.EEV-May06 4+2 kkh 11 2" xfId="4622" xr:uid="{00000000-0005-0000-0000-0000441B0000}"/>
    <cellStyle name="B_Bot_SG.EEV-Apr06_HK.EEV-May06 4+2 kkh 11 3" xfId="25894" xr:uid="{00000000-0005-0000-0000-0000451B0000}"/>
    <cellStyle name="B_Bot_SG.EEV-Apr06_HK.EEV-May06 4+2 kkh 12" xfId="4623" xr:uid="{00000000-0005-0000-0000-0000461B0000}"/>
    <cellStyle name="B_Bot_SG.EEV-Apr06_HK.EEV-May06 4+2 kkh 12 2" xfId="4624" xr:uid="{00000000-0005-0000-0000-0000471B0000}"/>
    <cellStyle name="B_Bot_SG.EEV-Apr06_HK.EEV-May06 4+2 kkh 12 3" xfId="25895" xr:uid="{00000000-0005-0000-0000-0000481B0000}"/>
    <cellStyle name="B_Bot_SG.EEV-Apr06_HK.EEV-May06 4+2 kkh 13" xfId="4625" xr:uid="{00000000-0005-0000-0000-0000491B0000}"/>
    <cellStyle name="B_Bot_SG.EEV-Apr06_HK.EEV-May06 4+2 kkh 13 2" xfId="4626" xr:uid="{00000000-0005-0000-0000-00004A1B0000}"/>
    <cellStyle name="B_Bot_SG.EEV-Apr06_HK.EEV-May06 4+2 kkh 13 3" xfId="25896" xr:uid="{00000000-0005-0000-0000-00004B1B0000}"/>
    <cellStyle name="B_Bot_SG.EEV-Apr06_HK.EEV-May06 4+2 kkh 14" xfId="4627" xr:uid="{00000000-0005-0000-0000-00004C1B0000}"/>
    <cellStyle name="B_Bot_SG.EEV-Apr06_HK.EEV-May06 4+2 kkh 14 2" xfId="4628" xr:uid="{00000000-0005-0000-0000-00004D1B0000}"/>
    <cellStyle name="B_Bot_SG.EEV-Apr06_HK.EEV-May06 4+2 kkh 14 3" xfId="25897" xr:uid="{00000000-0005-0000-0000-00004E1B0000}"/>
    <cellStyle name="B_Bot_SG.EEV-Apr06_HK.EEV-May06 4+2 kkh 15" xfId="4629" xr:uid="{00000000-0005-0000-0000-00004F1B0000}"/>
    <cellStyle name="B_Bot_SG.EEV-Apr06_HK.EEV-May06 4+2 kkh 15 2" xfId="4630" xr:uid="{00000000-0005-0000-0000-0000501B0000}"/>
    <cellStyle name="B_Bot_SG.EEV-Apr06_HK.EEV-May06 4+2 kkh 15 3" xfId="25898" xr:uid="{00000000-0005-0000-0000-0000511B0000}"/>
    <cellStyle name="B_Bot_SG.EEV-Apr06_HK.EEV-May06 4+2 kkh 16" xfId="4631" xr:uid="{00000000-0005-0000-0000-0000521B0000}"/>
    <cellStyle name="B_Bot_SG.EEV-Apr06_HK.EEV-May06 4+2 kkh 16 2" xfId="4632" xr:uid="{00000000-0005-0000-0000-0000531B0000}"/>
    <cellStyle name="B_Bot_SG.EEV-Apr06_HK.EEV-May06 4+2 kkh 16 3" xfId="25899" xr:uid="{00000000-0005-0000-0000-0000541B0000}"/>
    <cellStyle name="B_Bot_SG.EEV-Apr06_HK.EEV-May06 4+2 kkh 17" xfId="4633" xr:uid="{00000000-0005-0000-0000-0000551B0000}"/>
    <cellStyle name="B_Bot_SG.EEV-Apr06_HK.EEV-May06 4+2 kkh 17 2" xfId="4634" xr:uid="{00000000-0005-0000-0000-0000561B0000}"/>
    <cellStyle name="B_Bot_SG.EEV-Apr06_HK.EEV-May06 4+2 kkh 17 3" xfId="25900" xr:uid="{00000000-0005-0000-0000-0000571B0000}"/>
    <cellStyle name="B_Bot_SG.EEV-Apr06_HK.EEV-May06 4+2 kkh 18" xfId="4635" xr:uid="{00000000-0005-0000-0000-0000581B0000}"/>
    <cellStyle name="B_Bot_SG.EEV-Apr06_HK.EEV-May06 4+2 kkh 18 2" xfId="4636" xr:uid="{00000000-0005-0000-0000-0000591B0000}"/>
    <cellStyle name="B_Bot_SG.EEV-Apr06_HK.EEV-May06 4+2 kkh 18 3" xfId="25901" xr:uid="{00000000-0005-0000-0000-00005A1B0000}"/>
    <cellStyle name="B_Bot_SG.EEV-Apr06_HK.EEV-May06 4+2 kkh 19" xfId="4637" xr:uid="{00000000-0005-0000-0000-00005B1B0000}"/>
    <cellStyle name="B_Bot_SG.EEV-Apr06_HK.EEV-May06 4+2 kkh 19 2" xfId="4638" xr:uid="{00000000-0005-0000-0000-00005C1B0000}"/>
    <cellStyle name="B_Bot_SG.EEV-Apr06_HK.EEV-May06 4+2 kkh 19 3" xfId="25902" xr:uid="{00000000-0005-0000-0000-00005D1B0000}"/>
    <cellStyle name="B_Bot_SG.EEV-Apr06_HK.EEV-May06 4+2 kkh 2" xfId="4639" xr:uid="{00000000-0005-0000-0000-00005E1B0000}"/>
    <cellStyle name="B_Bot_SG.EEV-Apr06_HK.EEV-May06 4+2 kkh 2 2" xfId="4640" xr:uid="{00000000-0005-0000-0000-00005F1B0000}"/>
    <cellStyle name="B_Bot_SG.EEV-Apr06_HK.EEV-May06 4+2 kkh 2 3" xfId="25903" xr:uid="{00000000-0005-0000-0000-0000601B0000}"/>
    <cellStyle name="B_Bot_SG.EEV-Apr06_HK.EEV-May06 4+2 kkh 20" xfId="4641" xr:uid="{00000000-0005-0000-0000-0000611B0000}"/>
    <cellStyle name="B_Bot_SG.EEV-Apr06_HK.EEV-May06 4+2 kkh 20 2" xfId="4642" xr:uid="{00000000-0005-0000-0000-0000621B0000}"/>
    <cellStyle name="B_Bot_SG.EEV-Apr06_HK.EEV-May06 4+2 kkh 20 3" xfId="25904" xr:uid="{00000000-0005-0000-0000-0000631B0000}"/>
    <cellStyle name="B_Bot_SG.EEV-Apr06_HK.EEV-May06 4+2 kkh 21" xfId="4643" xr:uid="{00000000-0005-0000-0000-0000641B0000}"/>
    <cellStyle name="B_Bot_SG.EEV-Apr06_HK.EEV-May06 4+2 kkh 21 2" xfId="4644" xr:uid="{00000000-0005-0000-0000-0000651B0000}"/>
    <cellStyle name="B_Bot_SG.EEV-Apr06_HK.EEV-May06 4+2 kkh 21 3" xfId="25905" xr:uid="{00000000-0005-0000-0000-0000661B0000}"/>
    <cellStyle name="B_Bot_SG.EEV-Apr06_HK.EEV-May06 4+2 kkh 22" xfId="4645" xr:uid="{00000000-0005-0000-0000-0000671B0000}"/>
    <cellStyle name="B_Bot_SG.EEV-Apr06_HK.EEV-May06 4+2 kkh 22 2" xfId="4646" xr:uid="{00000000-0005-0000-0000-0000681B0000}"/>
    <cellStyle name="B_Bot_SG.EEV-Apr06_HK.EEV-May06 4+2 kkh 22 3" xfId="25906" xr:uid="{00000000-0005-0000-0000-0000691B0000}"/>
    <cellStyle name="B_Bot_SG.EEV-Apr06_HK.EEV-May06 4+2 kkh 23" xfId="4647" xr:uid="{00000000-0005-0000-0000-00006A1B0000}"/>
    <cellStyle name="B_Bot_SG.EEV-Apr06_HK.EEV-May06 4+2 kkh 23 2" xfId="4648" xr:uid="{00000000-0005-0000-0000-00006B1B0000}"/>
    <cellStyle name="B_Bot_SG.EEV-Apr06_HK.EEV-May06 4+2 kkh 23 3" xfId="25907" xr:uid="{00000000-0005-0000-0000-00006C1B0000}"/>
    <cellStyle name="B_Bot_SG.EEV-Apr06_HK.EEV-May06 4+2 kkh 24" xfId="4649" xr:uid="{00000000-0005-0000-0000-00006D1B0000}"/>
    <cellStyle name="B_Bot_SG.EEV-Apr06_HK.EEV-May06 4+2 kkh 25" xfId="25908" xr:uid="{00000000-0005-0000-0000-00006E1B0000}"/>
    <cellStyle name="B_Bot_SG.EEV-Apr06_HK.EEV-May06 4+2 kkh 3" xfId="4650" xr:uid="{00000000-0005-0000-0000-00006F1B0000}"/>
    <cellStyle name="B_Bot_SG.EEV-Apr06_HK.EEV-May06 4+2 kkh 3 2" xfId="4651" xr:uid="{00000000-0005-0000-0000-0000701B0000}"/>
    <cellStyle name="B_Bot_SG.EEV-Apr06_HK.EEV-May06 4+2 kkh 3 3" xfId="25909" xr:uid="{00000000-0005-0000-0000-0000711B0000}"/>
    <cellStyle name="B_Bot_SG.EEV-Apr06_HK.EEV-May06 4+2 kkh 4" xfId="4652" xr:uid="{00000000-0005-0000-0000-0000721B0000}"/>
    <cellStyle name="B_Bot_SG.EEV-Apr06_HK.EEV-May06 4+2 kkh 4 2" xfId="4653" xr:uid="{00000000-0005-0000-0000-0000731B0000}"/>
    <cellStyle name="B_Bot_SG.EEV-Apr06_HK.EEV-May06 4+2 kkh 4 3" xfId="25910" xr:uid="{00000000-0005-0000-0000-0000741B0000}"/>
    <cellStyle name="B_Bot_SG.EEV-Apr06_HK.EEV-May06 4+2 kkh 5" xfId="4654" xr:uid="{00000000-0005-0000-0000-0000751B0000}"/>
    <cellStyle name="B_Bot_SG.EEV-Apr06_HK.EEV-May06 4+2 kkh 5 2" xfId="4655" xr:uid="{00000000-0005-0000-0000-0000761B0000}"/>
    <cellStyle name="B_Bot_SG.EEV-Apr06_HK.EEV-May06 4+2 kkh 5 3" xfId="25911" xr:uid="{00000000-0005-0000-0000-0000771B0000}"/>
    <cellStyle name="B_Bot_SG.EEV-Apr06_HK.EEV-May06 4+2 kkh 6" xfId="4656" xr:uid="{00000000-0005-0000-0000-0000781B0000}"/>
    <cellStyle name="B_Bot_SG.EEV-Apr06_HK.EEV-May06 4+2 kkh 6 2" xfId="4657" xr:uid="{00000000-0005-0000-0000-0000791B0000}"/>
    <cellStyle name="B_Bot_SG.EEV-Apr06_HK.EEV-May06 4+2 kkh 6 3" xfId="25912" xr:uid="{00000000-0005-0000-0000-00007A1B0000}"/>
    <cellStyle name="B_Bot_SG.EEV-Apr06_HK.EEV-May06 4+2 kkh 7" xfId="4658" xr:uid="{00000000-0005-0000-0000-00007B1B0000}"/>
    <cellStyle name="B_Bot_SG.EEV-Apr06_HK.EEV-May06 4+2 kkh 7 2" xfId="4659" xr:uid="{00000000-0005-0000-0000-00007C1B0000}"/>
    <cellStyle name="B_Bot_SG.EEV-Apr06_HK.EEV-May06 4+2 kkh 7 3" xfId="25913" xr:uid="{00000000-0005-0000-0000-00007D1B0000}"/>
    <cellStyle name="B_Bot_SG.EEV-Apr06_HK.EEV-May06 4+2 kkh 8" xfId="4660" xr:uid="{00000000-0005-0000-0000-00007E1B0000}"/>
    <cellStyle name="B_Bot_SG.EEV-Apr06_HK.EEV-May06 4+2 kkh 8 2" xfId="4661" xr:uid="{00000000-0005-0000-0000-00007F1B0000}"/>
    <cellStyle name="B_Bot_SG.EEV-Apr06_HK.EEV-May06 4+2 kkh 8 3" xfId="25914" xr:uid="{00000000-0005-0000-0000-0000801B0000}"/>
    <cellStyle name="B_Bot_SG.EEV-Apr06_HK.EEV-May06 4+2 kkh 9" xfId="4662" xr:uid="{00000000-0005-0000-0000-0000811B0000}"/>
    <cellStyle name="B_Bot_SG.EEV-Apr06_HK.EEV-May06 4+2 kkh 9 2" xfId="4663" xr:uid="{00000000-0005-0000-0000-0000821B0000}"/>
    <cellStyle name="B_Bot_SG.EEV-Apr06_HK.EEV-May06 4+2 kkh 9 3" xfId="25915" xr:uid="{00000000-0005-0000-0000-0000831B0000}"/>
    <cellStyle name="B_Bot_SG.EEV-Apr06_HK.EEV-May06 4+2 kkh_PROD_DETAILS" xfId="4664" xr:uid="{00000000-0005-0000-0000-0000841B0000}"/>
    <cellStyle name="B_Bot_SG.EEV-Apr06_HK.EEV-May06 4+2 kkh_PROD_DETAILS 2" xfId="4665" xr:uid="{00000000-0005-0000-0000-0000851B0000}"/>
    <cellStyle name="B_Bot_SG.EEV-Apr06_HK.EEV-May06 4+2 kkh_PROD_DETAILS 3" xfId="25916" xr:uid="{00000000-0005-0000-0000-0000861B0000}"/>
    <cellStyle name="B_Bot_SG.EEV-Apr06_HK.EEV-May06 4+2 kkh_SOLVENCY POSITION " xfId="4666" xr:uid="{00000000-0005-0000-0000-0000871B0000}"/>
    <cellStyle name="B_Bot_SG.EEV-Apr06_HK.EEV-May06 4+2 kkh_SOLVENCY POSITION  2" xfId="4667" xr:uid="{00000000-0005-0000-0000-0000881B0000}"/>
    <cellStyle name="B_Bot_SG.EEV-Apr06_HK.EEV-May06 4+2 kkh_SOLVENCY POSITION  3" xfId="25917" xr:uid="{00000000-0005-0000-0000-0000891B0000}"/>
    <cellStyle name="B_Bot_SG.EEV-Apr06_PROD_DETAILS" xfId="4668" xr:uid="{00000000-0005-0000-0000-00008A1B0000}"/>
    <cellStyle name="B_Bot_SG.EEV-Apr06_PROD_DETAILS 2" xfId="4669" xr:uid="{00000000-0005-0000-0000-00008B1B0000}"/>
    <cellStyle name="B_Bot_SG.EEV-Apr06_PROD_DETAILS 3" xfId="25918" xr:uid="{00000000-0005-0000-0000-00008C1B0000}"/>
    <cellStyle name="B_Bot_SG.EEV-Apr06_SOLVENCY POSITION " xfId="4670" xr:uid="{00000000-0005-0000-0000-00008D1B0000}"/>
    <cellStyle name="B_Bot_SG.EEV-Apr06_SOLVENCY POSITION  2" xfId="4671" xr:uid="{00000000-0005-0000-0000-00008E1B0000}"/>
    <cellStyle name="B_Bot_SG.EEV-Apr06_SOLVENCY POSITION  3" xfId="25919" xr:uid="{00000000-0005-0000-0000-00008F1B0000}"/>
    <cellStyle name="B_Bot_SG.EEV-June06 6+6" xfId="4672" xr:uid="{00000000-0005-0000-0000-0000901B0000}"/>
    <cellStyle name="B_Bot_SG.EEV-June06 6+6 10" xfId="4673" xr:uid="{00000000-0005-0000-0000-0000911B0000}"/>
    <cellStyle name="B_Bot_SG.EEV-June06 6+6 10 2" xfId="4674" xr:uid="{00000000-0005-0000-0000-0000921B0000}"/>
    <cellStyle name="B_Bot_SG.EEV-June06 6+6 10 3" xfId="25920" xr:uid="{00000000-0005-0000-0000-0000931B0000}"/>
    <cellStyle name="B_Bot_SG.EEV-June06 6+6 11" xfId="4675" xr:uid="{00000000-0005-0000-0000-0000941B0000}"/>
    <cellStyle name="B_Bot_SG.EEV-June06 6+6 11 2" xfId="4676" xr:uid="{00000000-0005-0000-0000-0000951B0000}"/>
    <cellStyle name="B_Bot_SG.EEV-June06 6+6 11 3" xfId="25921" xr:uid="{00000000-0005-0000-0000-0000961B0000}"/>
    <cellStyle name="B_Bot_SG.EEV-June06 6+6 12" xfId="4677" xr:uid="{00000000-0005-0000-0000-0000971B0000}"/>
    <cellStyle name="B_Bot_SG.EEV-June06 6+6 12 2" xfId="4678" xr:uid="{00000000-0005-0000-0000-0000981B0000}"/>
    <cellStyle name="B_Bot_SG.EEV-June06 6+6 12 3" xfId="25922" xr:uid="{00000000-0005-0000-0000-0000991B0000}"/>
    <cellStyle name="B_Bot_SG.EEV-June06 6+6 13" xfId="4679" xr:uid="{00000000-0005-0000-0000-00009A1B0000}"/>
    <cellStyle name="B_Bot_SG.EEV-June06 6+6 13 2" xfId="4680" xr:uid="{00000000-0005-0000-0000-00009B1B0000}"/>
    <cellStyle name="B_Bot_SG.EEV-June06 6+6 13 3" xfId="25923" xr:uid="{00000000-0005-0000-0000-00009C1B0000}"/>
    <cellStyle name="B_Bot_SG.EEV-June06 6+6 14" xfId="4681" xr:uid="{00000000-0005-0000-0000-00009D1B0000}"/>
    <cellStyle name="B_Bot_SG.EEV-June06 6+6 14 2" xfId="4682" xr:uid="{00000000-0005-0000-0000-00009E1B0000}"/>
    <cellStyle name="B_Bot_SG.EEV-June06 6+6 14 3" xfId="25924" xr:uid="{00000000-0005-0000-0000-00009F1B0000}"/>
    <cellStyle name="B_Bot_SG.EEV-June06 6+6 15" xfId="4683" xr:uid="{00000000-0005-0000-0000-0000A01B0000}"/>
    <cellStyle name="B_Bot_SG.EEV-June06 6+6 15 2" xfId="4684" xr:uid="{00000000-0005-0000-0000-0000A11B0000}"/>
    <cellStyle name="B_Bot_SG.EEV-June06 6+6 15 3" xfId="25925" xr:uid="{00000000-0005-0000-0000-0000A21B0000}"/>
    <cellStyle name="B_Bot_SG.EEV-June06 6+6 16" xfId="4685" xr:uid="{00000000-0005-0000-0000-0000A31B0000}"/>
    <cellStyle name="B_Bot_SG.EEV-June06 6+6 16 2" xfId="4686" xr:uid="{00000000-0005-0000-0000-0000A41B0000}"/>
    <cellStyle name="B_Bot_SG.EEV-June06 6+6 16 3" xfId="25926" xr:uid="{00000000-0005-0000-0000-0000A51B0000}"/>
    <cellStyle name="B_Bot_SG.EEV-June06 6+6 17" xfId="4687" xr:uid="{00000000-0005-0000-0000-0000A61B0000}"/>
    <cellStyle name="B_Bot_SG.EEV-June06 6+6 17 2" xfId="4688" xr:uid="{00000000-0005-0000-0000-0000A71B0000}"/>
    <cellStyle name="B_Bot_SG.EEV-June06 6+6 17 3" xfId="25927" xr:uid="{00000000-0005-0000-0000-0000A81B0000}"/>
    <cellStyle name="B_Bot_SG.EEV-June06 6+6 18" xfId="4689" xr:uid="{00000000-0005-0000-0000-0000A91B0000}"/>
    <cellStyle name="B_Bot_SG.EEV-June06 6+6 18 2" xfId="4690" xr:uid="{00000000-0005-0000-0000-0000AA1B0000}"/>
    <cellStyle name="B_Bot_SG.EEV-June06 6+6 18 3" xfId="25928" xr:uid="{00000000-0005-0000-0000-0000AB1B0000}"/>
    <cellStyle name="B_Bot_SG.EEV-June06 6+6 19" xfId="4691" xr:uid="{00000000-0005-0000-0000-0000AC1B0000}"/>
    <cellStyle name="B_Bot_SG.EEV-June06 6+6 19 2" xfId="4692" xr:uid="{00000000-0005-0000-0000-0000AD1B0000}"/>
    <cellStyle name="B_Bot_SG.EEV-June06 6+6 19 3" xfId="25929" xr:uid="{00000000-0005-0000-0000-0000AE1B0000}"/>
    <cellStyle name="B_Bot_SG.EEV-June06 6+6 2" xfId="4693" xr:uid="{00000000-0005-0000-0000-0000AF1B0000}"/>
    <cellStyle name="B_Bot_SG.EEV-June06 6+6 2 2" xfId="4694" xr:uid="{00000000-0005-0000-0000-0000B01B0000}"/>
    <cellStyle name="B_Bot_SG.EEV-June06 6+6 2 3" xfId="25930" xr:uid="{00000000-0005-0000-0000-0000B11B0000}"/>
    <cellStyle name="B_Bot_SG.EEV-June06 6+6 20" xfId="4695" xr:uid="{00000000-0005-0000-0000-0000B21B0000}"/>
    <cellStyle name="B_Bot_SG.EEV-June06 6+6 20 2" xfId="4696" xr:uid="{00000000-0005-0000-0000-0000B31B0000}"/>
    <cellStyle name="B_Bot_SG.EEV-June06 6+6 20 3" xfId="25931" xr:uid="{00000000-0005-0000-0000-0000B41B0000}"/>
    <cellStyle name="B_Bot_SG.EEV-June06 6+6 21" xfId="4697" xr:uid="{00000000-0005-0000-0000-0000B51B0000}"/>
    <cellStyle name="B_Bot_SG.EEV-June06 6+6 21 2" xfId="4698" xr:uid="{00000000-0005-0000-0000-0000B61B0000}"/>
    <cellStyle name="B_Bot_SG.EEV-June06 6+6 21 3" xfId="25932" xr:uid="{00000000-0005-0000-0000-0000B71B0000}"/>
    <cellStyle name="B_Bot_SG.EEV-June06 6+6 22" xfId="4699" xr:uid="{00000000-0005-0000-0000-0000B81B0000}"/>
    <cellStyle name="B_Bot_SG.EEV-June06 6+6 22 2" xfId="4700" xr:uid="{00000000-0005-0000-0000-0000B91B0000}"/>
    <cellStyle name="B_Bot_SG.EEV-June06 6+6 22 3" xfId="25933" xr:uid="{00000000-0005-0000-0000-0000BA1B0000}"/>
    <cellStyle name="B_Bot_SG.EEV-June06 6+6 23" xfId="4701" xr:uid="{00000000-0005-0000-0000-0000BB1B0000}"/>
    <cellStyle name="B_Bot_SG.EEV-June06 6+6 23 2" xfId="4702" xr:uid="{00000000-0005-0000-0000-0000BC1B0000}"/>
    <cellStyle name="B_Bot_SG.EEV-June06 6+6 23 3" xfId="25934" xr:uid="{00000000-0005-0000-0000-0000BD1B0000}"/>
    <cellStyle name="B_Bot_SG.EEV-June06 6+6 24" xfId="4703" xr:uid="{00000000-0005-0000-0000-0000BE1B0000}"/>
    <cellStyle name="B_Bot_SG.EEV-June06 6+6 25" xfId="25935" xr:uid="{00000000-0005-0000-0000-0000BF1B0000}"/>
    <cellStyle name="B_Bot_SG.EEV-June06 6+6 3" xfId="4704" xr:uid="{00000000-0005-0000-0000-0000C01B0000}"/>
    <cellStyle name="B_Bot_SG.EEV-June06 6+6 3 2" xfId="4705" xr:uid="{00000000-0005-0000-0000-0000C11B0000}"/>
    <cellStyle name="B_Bot_SG.EEV-June06 6+6 3 3" xfId="25936" xr:uid="{00000000-0005-0000-0000-0000C21B0000}"/>
    <cellStyle name="B_Bot_SG.EEV-June06 6+6 4" xfId="4706" xr:uid="{00000000-0005-0000-0000-0000C31B0000}"/>
    <cellStyle name="B_Bot_SG.EEV-June06 6+6 4 2" xfId="4707" xr:uid="{00000000-0005-0000-0000-0000C41B0000}"/>
    <cellStyle name="B_Bot_SG.EEV-June06 6+6 4 3" xfId="25937" xr:uid="{00000000-0005-0000-0000-0000C51B0000}"/>
    <cellStyle name="B_Bot_SG.EEV-June06 6+6 5" xfId="4708" xr:uid="{00000000-0005-0000-0000-0000C61B0000}"/>
    <cellStyle name="B_Bot_SG.EEV-June06 6+6 5 2" xfId="4709" xr:uid="{00000000-0005-0000-0000-0000C71B0000}"/>
    <cellStyle name="B_Bot_SG.EEV-June06 6+6 5 3" xfId="25938" xr:uid="{00000000-0005-0000-0000-0000C81B0000}"/>
    <cellStyle name="B_Bot_SG.EEV-June06 6+6 6" xfId="4710" xr:uid="{00000000-0005-0000-0000-0000C91B0000}"/>
    <cellStyle name="B_Bot_SG.EEV-June06 6+6 6 2" xfId="4711" xr:uid="{00000000-0005-0000-0000-0000CA1B0000}"/>
    <cellStyle name="B_Bot_SG.EEV-June06 6+6 6 3" xfId="25939" xr:uid="{00000000-0005-0000-0000-0000CB1B0000}"/>
    <cellStyle name="B_Bot_SG.EEV-June06 6+6 7" xfId="4712" xr:uid="{00000000-0005-0000-0000-0000CC1B0000}"/>
    <cellStyle name="B_Bot_SG.EEV-June06 6+6 7 2" xfId="4713" xr:uid="{00000000-0005-0000-0000-0000CD1B0000}"/>
    <cellStyle name="B_Bot_SG.EEV-June06 6+6 7 3" xfId="25940" xr:uid="{00000000-0005-0000-0000-0000CE1B0000}"/>
    <cellStyle name="B_Bot_SG.EEV-June06 6+6 8" xfId="4714" xr:uid="{00000000-0005-0000-0000-0000CF1B0000}"/>
    <cellStyle name="B_Bot_SG.EEV-June06 6+6 8 2" xfId="4715" xr:uid="{00000000-0005-0000-0000-0000D01B0000}"/>
    <cellStyle name="B_Bot_SG.EEV-June06 6+6 8 3" xfId="25941" xr:uid="{00000000-0005-0000-0000-0000D11B0000}"/>
    <cellStyle name="B_Bot_SG.EEV-June06 6+6 9" xfId="4716" xr:uid="{00000000-0005-0000-0000-0000D21B0000}"/>
    <cellStyle name="B_Bot_SG.EEV-June06 6+6 9 2" xfId="4717" xr:uid="{00000000-0005-0000-0000-0000D31B0000}"/>
    <cellStyle name="B_Bot_SG.EEV-June06 6+6 9 3" xfId="25942" xr:uid="{00000000-0005-0000-0000-0000D41B0000}"/>
    <cellStyle name="B_Bot_SG.EEV-June06 6+6_PROD_DETAILS" xfId="4718" xr:uid="{00000000-0005-0000-0000-0000D51B0000}"/>
    <cellStyle name="B_Bot_SG.EEV-June06 6+6_PROD_DETAILS 2" xfId="4719" xr:uid="{00000000-0005-0000-0000-0000D61B0000}"/>
    <cellStyle name="B_Bot_SG.EEV-June06 6+6_PROD_DETAILS 3" xfId="25943" xr:uid="{00000000-0005-0000-0000-0000D71B0000}"/>
    <cellStyle name="B_Bot_SG.EEV-June06 6+6_SOLVENCY POSITION " xfId="4720" xr:uid="{00000000-0005-0000-0000-0000D81B0000}"/>
    <cellStyle name="B_Bot_SG.EEV-June06 6+6_SOLVENCY POSITION  2" xfId="4721" xr:uid="{00000000-0005-0000-0000-0000D91B0000}"/>
    <cellStyle name="B_Bot_SG.EEV-June06 6+6_SOLVENCY POSITION  3" xfId="25944" xr:uid="{00000000-0005-0000-0000-0000DA1B0000}"/>
    <cellStyle name="B_Bot_SG.EEV-May06 4+2" xfId="4722" xr:uid="{00000000-0005-0000-0000-0000DB1B0000}"/>
    <cellStyle name="B_Bot_SG.EEV-May06 4+2 10" xfId="4723" xr:uid="{00000000-0005-0000-0000-0000DC1B0000}"/>
    <cellStyle name="B_Bot_SG.EEV-May06 4+2 10 2" xfId="4724" xr:uid="{00000000-0005-0000-0000-0000DD1B0000}"/>
    <cellStyle name="B_Bot_SG.EEV-May06 4+2 10 3" xfId="25945" xr:uid="{00000000-0005-0000-0000-0000DE1B0000}"/>
    <cellStyle name="B_Bot_SG.EEV-May06 4+2 11" xfId="4725" xr:uid="{00000000-0005-0000-0000-0000DF1B0000}"/>
    <cellStyle name="B_Bot_SG.EEV-May06 4+2 11 2" xfId="4726" xr:uid="{00000000-0005-0000-0000-0000E01B0000}"/>
    <cellStyle name="B_Bot_SG.EEV-May06 4+2 11 3" xfId="25946" xr:uid="{00000000-0005-0000-0000-0000E11B0000}"/>
    <cellStyle name="B_Bot_SG.EEV-May06 4+2 12" xfId="4727" xr:uid="{00000000-0005-0000-0000-0000E21B0000}"/>
    <cellStyle name="B_Bot_SG.EEV-May06 4+2 12 2" xfId="4728" xr:uid="{00000000-0005-0000-0000-0000E31B0000}"/>
    <cellStyle name="B_Bot_SG.EEV-May06 4+2 12 3" xfId="25947" xr:uid="{00000000-0005-0000-0000-0000E41B0000}"/>
    <cellStyle name="B_Bot_SG.EEV-May06 4+2 13" xfId="4729" xr:uid="{00000000-0005-0000-0000-0000E51B0000}"/>
    <cellStyle name="B_Bot_SG.EEV-May06 4+2 13 2" xfId="4730" xr:uid="{00000000-0005-0000-0000-0000E61B0000}"/>
    <cellStyle name="B_Bot_SG.EEV-May06 4+2 13 3" xfId="25948" xr:uid="{00000000-0005-0000-0000-0000E71B0000}"/>
    <cellStyle name="B_Bot_SG.EEV-May06 4+2 14" xfId="4731" xr:uid="{00000000-0005-0000-0000-0000E81B0000}"/>
    <cellStyle name="B_Bot_SG.EEV-May06 4+2 14 2" xfId="4732" xr:uid="{00000000-0005-0000-0000-0000E91B0000}"/>
    <cellStyle name="B_Bot_SG.EEV-May06 4+2 14 3" xfId="25949" xr:uid="{00000000-0005-0000-0000-0000EA1B0000}"/>
    <cellStyle name="B_Bot_SG.EEV-May06 4+2 15" xfId="4733" xr:uid="{00000000-0005-0000-0000-0000EB1B0000}"/>
    <cellStyle name="B_Bot_SG.EEV-May06 4+2 15 2" xfId="4734" xr:uid="{00000000-0005-0000-0000-0000EC1B0000}"/>
    <cellStyle name="B_Bot_SG.EEV-May06 4+2 15 3" xfId="25950" xr:uid="{00000000-0005-0000-0000-0000ED1B0000}"/>
    <cellStyle name="B_Bot_SG.EEV-May06 4+2 16" xfId="4735" xr:uid="{00000000-0005-0000-0000-0000EE1B0000}"/>
    <cellStyle name="B_Bot_SG.EEV-May06 4+2 16 2" xfId="4736" xr:uid="{00000000-0005-0000-0000-0000EF1B0000}"/>
    <cellStyle name="B_Bot_SG.EEV-May06 4+2 16 3" xfId="25951" xr:uid="{00000000-0005-0000-0000-0000F01B0000}"/>
    <cellStyle name="B_Bot_SG.EEV-May06 4+2 17" xfId="4737" xr:uid="{00000000-0005-0000-0000-0000F11B0000}"/>
    <cellStyle name="B_Bot_SG.EEV-May06 4+2 17 2" xfId="4738" xr:uid="{00000000-0005-0000-0000-0000F21B0000}"/>
    <cellStyle name="B_Bot_SG.EEV-May06 4+2 17 3" xfId="25952" xr:uid="{00000000-0005-0000-0000-0000F31B0000}"/>
    <cellStyle name="B_Bot_SG.EEV-May06 4+2 18" xfId="4739" xr:uid="{00000000-0005-0000-0000-0000F41B0000}"/>
    <cellStyle name="B_Bot_SG.EEV-May06 4+2 18 2" xfId="4740" xr:uid="{00000000-0005-0000-0000-0000F51B0000}"/>
    <cellStyle name="B_Bot_SG.EEV-May06 4+2 18 3" xfId="25953" xr:uid="{00000000-0005-0000-0000-0000F61B0000}"/>
    <cellStyle name="B_Bot_SG.EEV-May06 4+2 19" xfId="4741" xr:uid="{00000000-0005-0000-0000-0000F71B0000}"/>
    <cellStyle name="B_Bot_SG.EEV-May06 4+2 19 2" xfId="4742" xr:uid="{00000000-0005-0000-0000-0000F81B0000}"/>
    <cellStyle name="B_Bot_SG.EEV-May06 4+2 19 3" xfId="25954" xr:uid="{00000000-0005-0000-0000-0000F91B0000}"/>
    <cellStyle name="B_Bot_SG.EEV-May06 4+2 2" xfId="4743" xr:uid="{00000000-0005-0000-0000-0000FA1B0000}"/>
    <cellStyle name="B_Bot_SG.EEV-May06 4+2 2 2" xfId="4744" xr:uid="{00000000-0005-0000-0000-0000FB1B0000}"/>
    <cellStyle name="B_Bot_SG.EEV-May06 4+2 2 3" xfId="25955" xr:uid="{00000000-0005-0000-0000-0000FC1B0000}"/>
    <cellStyle name="B_Bot_SG.EEV-May06 4+2 20" xfId="4745" xr:uid="{00000000-0005-0000-0000-0000FD1B0000}"/>
    <cellStyle name="B_Bot_SG.EEV-May06 4+2 20 2" xfId="4746" xr:uid="{00000000-0005-0000-0000-0000FE1B0000}"/>
    <cellStyle name="B_Bot_SG.EEV-May06 4+2 20 3" xfId="25956" xr:uid="{00000000-0005-0000-0000-0000FF1B0000}"/>
    <cellStyle name="B_Bot_SG.EEV-May06 4+2 21" xfId="4747" xr:uid="{00000000-0005-0000-0000-0000001C0000}"/>
    <cellStyle name="B_Bot_SG.EEV-May06 4+2 21 2" xfId="4748" xr:uid="{00000000-0005-0000-0000-0000011C0000}"/>
    <cellStyle name="B_Bot_SG.EEV-May06 4+2 21 3" xfId="25957" xr:uid="{00000000-0005-0000-0000-0000021C0000}"/>
    <cellStyle name="B_Bot_SG.EEV-May06 4+2 22" xfId="4749" xr:uid="{00000000-0005-0000-0000-0000031C0000}"/>
    <cellStyle name="B_Bot_SG.EEV-May06 4+2 22 2" xfId="4750" xr:uid="{00000000-0005-0000-0000-0000041C0000}"/>
    <cellStyle name="B_Bot_SG.EEV-May06 4+2 22 3" xfId="25958" xr:uid="{00000000-0005-0000-0000-0000051C0000}"/>
    <cellStyle name="B_Bot_SG.EEV-May06 4+2 23" xfId="4751" xr:uid="{00000000-0005-0000-0000-0000061C0000}"/>
    <cellStyle name="B_Bot_SG.EEV-May06 4+2 23 2" xfId="4752" xr:uid="{00000000-0005-0000-0000-0000071C0000}"/>
    <cellStyle name="B_Bot_SG.EEV-May06 4+2 23 3" xfId="25959" xr:uid="{00000000-0005-0000-0000-0000081C0000}"/>
    <cellStyle name="B_Bot_SG.EEV-May06 4+2 24" xfId="4753" xr:uid="{00000000-0005-0000-0000-0000091C0000}"/>
    <cellStyle name="B_Bot_SG.EEV-May06 4+2 25" xfId="25960" xr:uid="{00000000-0005-0000-0000-00000A1C0000}"/>
    <cellStyle name="B_Bot_SG.EEV-May06 4+2 3" xfId="4754" xr:uid="{00000000-0005-0000-0000-00000B1C0000}"/>
    <cellStyle name="B_Bot_SG.EEV-May06 4+2 3 2" xfId="4755" xr:uid="{00000000-0005-0000-0000-00000C1C0000}"/>
    <cellStyle name="B_Bot_SG.EEV-May06 4+2 3 3" xfId="25961" xr:uid="{00000000-0005-0000-0000-00000D1C0000}"/>
    <cellStyle name="B_Bot_SG.EEV-May06 4+2 4" xfId="4756" xr:uid="{00000000-0005-0000-0000-00000E1C0000}"/>
    <cellStyle name="B_Bot_SG.EEV-May06 4+2 4 2" xfId="4757" xr:uid="{00000000-0005-0000-0000-00000F1C0000}"/>
    <cellStyle name="B_Bot_SG.EEV-May06 4+2 4 3" xfId="25962" xr:uid="{00000000-0005-0000-0000-0000101C0000}"/>
    <cellStyle name="B_Bot_SG.EEV-May06 4+2 5" xfId="4758" xr:uid="{00000000-0005-0000-0000-0000111C0000}"/>
    <cellStyle name="B_Bot_SG.EEV-May06 4+2 5 2" xfId="4759" xr:uid="{00000000-0005-0000-0000-0000121C0000}"/>
    <cellStyle name="B_Bot_SG.EEV-May06 4+2 5 3" xfId="25963" xr:uid="{00000000-0005-0000-0000-0000131C0000}"/>
    <cellStyle name="B_Bot_SG.EEV-May06 4+2 6" xfId="4760" xr:uid="{00000000-0005-0000-0000-0000141C0000}"/>
    <cellStyle name="B_Bot_SG.EEV-May06 4+2 6 2" xfId="4761" xr:uid="{00000000-0005-0000-0000-0000151C0000}"/>
    <cellStyle name="B_Bot_SG.EEV-May06 4+2 6 3" xfId="25964" xr:uid="{00000000-0005-0000-0000-0000161C0000}"/>
    <cellStyle name="B_Bot_SG.EEV-May06 4+2 7" xfId="4762" xr:uid="{00000000-0005-0000-0000-0000171C0000}"/>
    <cellStyle name="B_Bot_SG.EEV-May06 4+2 7 2" xfId="4763" xr:uid="{00000000-0005-0000-0000-0000181C0000}"/>
    <cellStyle name="B_Bot_SG.EEV-May06 4+2 7 3" xfId="25965" xr:uid="{00000000-0005-0000-0000-0000191C0000}"/>
    <cellStyle name="B_Bot_SG.EEV-May06 4+2 8" xfId="4764" xr:uid="{00000000-0005-0000-0000-00001A1C0000}"/>
    <cellStyle name="B_Bot_SG.EEV-May06 4+2 8 2" xfId="4765" xr:uid="{00000000-0005-0000-0000-00001B1C0000}"/>
    <cellStyle name="B_Bot_SG.EEV-May06 4+2 8 3" xfId="25966" xr:uid="{00000000-0005-0000-0000-00001C1C0000}"/>
    <cellStyle name="B_Bot_SG.EEV-May06 4+2 9" xfId="4766" xr:uid="{00000000-0005-0000-0000-00001D1C0000}"/>
    <cellStyle name="B_Bot_SG.EEV-May06 4+2 9 2" xfId="4767" xr:uid="{00000000-0005-0000-0000-00001E1C0000}"/>
    <cellStyle name="B_Bot_SG.EEV-May06 4+2 9 3" xfId="25967" xr:uid="{00000000-0005-0000-0000-00001F1C0000}"/>
    <cellStyle name="B_Bot_SG.EEV-May06 4+2_PROD_DETAILS" xfId="4768" xr:uid="{00000000-0005-0000-0000-0000201C0000}"/>
    <cellStyle name="B_Bot_SG.EEV-May06 4+2_PROD_DETAILS 2" xfId="4769" xr:uid="{00000000-0005-0000-0000-0000211C0000}"/>
    <cellStyle name="B_Bot_SG.EEV-May06 4+2_PROD_DETAILS 3" xfId="25968" xr:uid="{00000000-0005-0000-0000-0000221C0000}"/>
    <cellStyle name="B_Bot_SG.EEV-May06 4+2_SOLVENCY POSITION " xfId="4770" xr:uid="{00000000-0005-0000-0000-0000231C0000}"/>
    <cellStyle name="B_Bot_SG.EEV-May06 4+2_SOLVENCY POSITION  2" xfId="4771" xr:uid="{00000000-0005-0000-0000-0000241C0000}"/>
    <cellStyle name="B_Bot_SG.EEV-May06 4+2_SOLVENCY POSITION  3" xfId="25969" xr:uid="{00000000-0005-0000-0000-0000251C0000}"/>
    <cellStyle name="B_Bot_SOLVENCY POSITION " xfId="4772" xr:uid="{00000000-0005-0000-0000-0000261C0000}"/>
    <cellStyle name="B_Bot_SOLVENCY POSITION  2" xfId="4773" xr:uid="{00000000-0005-0000-0000-0000271C0000}"/>
    <cellStyle name="B_Bot_SOLVENCY POSITION  3" xfId="25970" xr:uid="{00000000-0005-0000-0000-0000281C0000}"/>
    <cellStyle name="B_Bot_SUMM" xfId="4774" xr:uid="{00000000-0005-0000-0000-0000291C0000}"/>
    <cellStyle name="B_Bot_SUMM 10" xfId="4775" xr:uid="{00000000-0005-0000-0000-00002A1C0000}"/>
    <cellStyle name="B_Bot_SUMM 10 2" xfId="4776" xr:uid="{00000000-0005-0000-0000-00002B1C0000}"/>
    <cellStyle name="B_Bot_SUMM 10 3" xfId="25971" xr:uid="{00000000-0005-0000-0000-00002C1C0000}"/>
    <cellStyle name="B_Bot_SUMM 11" xfId="4777" xr:uid="{00000000-0005-0000-0000-00002D1C0000}"/>
    <cellStyle name="B_Bot_SUMM 11 2" xfId="4778" xr:uid="{00000000-0005-0000-0000-00002E1C0000}"/>
    <cellStyle name="B_Bot_SUMM 11 3" xfId="25972" xr:uid="{00000000-0005-0000-0000-00002F1C0000}"/>
    <cellStyle name="B_Bot_SUMM 12" xfId="4779" xr:uid="{00000000-0005-0000-0000-0000301C0000}"/>
    <cellStyle name="B_Bot_SUMM 12 2" xfId="4780" xr:uid="{00000000-0005-0000-0000-0000311C0000}"/>
    <cellStyle name="B_Bot_SUMM 12 3" xfId="25973" xr:uid="{00000000-0005-0000-0000-0000321C0000}"/>
    <cellStyle name="B_Bot_SUMM 13" xfId="4781" xr:uid="{00000000-0005-0000-0000-0000331C0000}"/>
    <cellStyle name="B_Bot_SUMM 13 2" xfId="4782" xr:uid="{00000000-0005-0000-0000-0000341C0000}"/>
    <cellStyle name="B_Bot_SUMM 13 3" xfId="25974" xr:uid="{00000000-0005-0000-0000-0000351C0000}"/>
    <cellStyle name="B_Bot_SUMM 14" xfId="4783" xr:uid="{00000000-0005-0000-0000-0000361C0000}"/>
    <cellStyle name="B_Bot_SUMM 14 2" xfId="4784" xr:uid="{00000000-0005-0000-0000-0000371C0000}"/>
    <cellStyle name="B_Bot_SUMM 14 3" xfId="25975" xr:uid="{00000000-0005-0000-0000-0000381C0000}"/>
    <cellStyle name="B_Bot_SUMM 15" xfId="4785" xr:uid="{00000000-0005-0000-0000-0000391C0000}"/>
    <cellStyle name="B_Bot_SUMM 15 2" xfId="4786" xr:uid="{00000000-0005-0000-0000-00003A1C0000}"/>
    <cellStyle name="B_Bot_SUMM 15 3" xfId="25976" xr:uid="{00000000-0005-0000-0000-00003B1C0000}"/>
    <cellStyle name="B_Bot_SUMM 16" xfId="4787" xr:uid="{00000000-0005-0000-0000-00003C1C0000}"/>
    <cellStyle name="B_Bot_SUMM 16 2" xfId="4788" xr:uid="{00000000-0005-0000-0000-00003D1C0000}"/>
    <cellStyle name="B_Bot_SUMM 16 3" xfId="25977" xr:uid="{00000000-0005-0000-0000-00003E1C0000}"/>
    <cellStyle name="B_Bot_SUMM 17" xfId="4789" xr:uid="{00000000-0005-0000-0000-00003F1C0000}"/>
    <cellStyle name="B_Bot_SUMM 17 2" xfId="4790" xr:uid="{00000000-0005-0000-0000-0000401C0000}"/>
    <cellStyle name="B_Bot_SUMM 17 3" xfId="25978" xr:uid="{00000000-0005-0000-0000-0000411C0000}"/>
    <cellStyle name="B_Bot_SUMM 18" xfId="4791" xr:uid="{00000000-0005-0000-0000-0000421C0000}"/>
    <cellStyle name="B_Bot_SUMM 18 2" xfId="4792" xr:uid="{00000000-0005-0000-0000-0000431C0000}"/>
    <cellStyle name="B_Bot_SUMM 18 3" xfId="25979" xr:uid="{00000000-0005-0000-0000-0000441C0000}"/>
    <cellStyle name="B_Bot_SUMM 19" xfId="4793" xr:uid="{00000000-0005-0000-0000-0000451C0000}"/>
    <cellStyle name="B_Bot_SUMM 19 2" xfId="4794" xr:uid="{00000000-0005-0000-0000-0000461C0000}"/>
    <cellStyle name="B_Bot_SUMM 19 3" xfId="25980" xr:uid="{00000000-0005-0000-0000-0000471C0000}"/>
    <cellStyle name="B_Bot_SUMM 2" xfId="4795" xr:uid="{00000000-0005-0000-0000-0000481C0000}"/>
    <cellStyle name="B_Bot_SUMM 2 2" xfId="4796" xr:uid="{00000000-0005-0000-0000-0000491C0000}"/>
    <cellStyle name="B_Bot_SUMM 2 3" xfId="25981" xr:uid="{00000000-0005-0000-0000-00004A1C0000}"/>
    <cellStyle name="B_Bot_SUMM 20" xfId="4797" xr:uid="{00000000-0005-0000-0000-00004B1C0000}"/>
    <cellStyle name="B_Bot_SUMM 20 2" xfId="4798" xr:uid="{00000000-0005-0000-0000-00004C1C0000}"/>
    <cellStyle name="B_Bot_SUMM 20 3" xfId="25982" xr:uid="{00000000-0005-0000-0000-00004D1C0000}"/>
    <cellStyle name="B_Bot_SUMM 21" xfId="4799" xr:uid="{00000000-0005-0000-0000-00004E1C0000}"/>
    <cellStyle name="B_Bot_SUMM 21 2" xfId="4800" xr:uid="{00000000-0005-0000-0000-00004F1C0000}"/>
    <cellStyle name="B_Bot_SUMM 21 3" xfId="25983" xr:uid="{00000000-0005-0000-0000-0000501C0000}"/>
    <cellStyle name="B_Bot_SUMM 22" xfId="4801" xr:uid="{00000000-0005-0000-0000-0000511C0000}"/>
    <cellStyle name="B_Bot_SUMM 22 2" xfId="4802" xr:uid="{00000000-0005-0000-0000-0000521C0000}"/>
    <cellStyle name="B_Bot_SUMM 22 3" xfId="25984" xr:uid="{00000000-0005-0000-0000-0000531C0000}"/>
    <cellStyle name="B_Bot_SUMM 23" xfId="4803" xr:uid="{00000000-0005-0000-0000-0000541C0000}"/>
    <cellStyle name="B_Bot_SUMM 23 2" xfId="4804" xr:uid="{00000000-0005-0000-0000-0000551C0000}"/>
    <cellStyle name="B_Bot_SUMM 23 3" xfId="25985" xr:uid="{00000000-0005-0000-0000-0000561C0000}"/>
    <cellStyle name="B_Bot_SUMM 24" xfId="4805" xr:uid="{00000000-0005-0000-0000-0000571C0000}"/>
    <cellStyle name="B_Bot_SUMM 25" xfId="25986" xr:uid="{00000000-0005-0000-0000-0000581C0000}"/>
    <cellStyle name="B_Bot_SUMM 3" xfId="4806" xr:uid="{00000000-0005-0000-0000-0000591C0000}"/>
    <cellStyle name="B_Bot_SUMM 3 2" xfId="4807" xr:uid="{00000000-0005-0000-0000-00005A1C0000}"/>
    <cellStyle name="B_Bot_SUMM 3 3" xfId="25987" xr:uid="{00000000-0005-0000-0000-00005B1C0000}"/>
    <cellStyle name="B_Bot_SUMM 4" xfId="4808" xr:uid="{00000000-0005-0000-0000-00005C1C0000}"/>
    <cellStyle name="B_Bot_SUMM 4 2" xfId="4809" xr:uid="{00000000-0005-0000-0000-00005D1C0000}"/>
    <cellStyle name="B_Bot_SUMM 4 3" xfId="25988" xr:uid="{00000000-0005-0000-0000-00005E1C0000}"/>
    <cellStyle name="B_Bot_SUMM 5" xfId="4810" xr:uid="{00000000-0005-0000-0000-00005F1C0000}"/>
    <cellStyle name="B_Bot_SUMM 5 2" xfId="4811" xr:uid="{00000000-0005-0000-0000-0000601C0000}"/>
    <cellStyle name="B_Bot_SUMM 5 3" xfId="25989" xr:uid="{00000000-0005-0000-0000-0000611C0000}"/>
    <cellStyle name="B_Bot_SUMM 6" xfId="4812" xr:uid="{00000000-0005-0000-0000-0000621C0000}"/>
    <cellStyle name="B_Bot_SUMM 6 2" xfId="4813" xr:uid="{00000000-0005-0000-0000-0000631C0000}"/>
    <cellStyle name="B_Bot_SUMM 6 3" xfId="25990" xr:uid="{00000000-0005-0000-0000-0000641C0000}"/>
    <cellStyle name="B_Bot_SUMM 7" xfId="4814" xr:uid="{00000000-0005-0000-0000-0000651C0000}"/>
    <cellStyle name="B_Bot_SUMM 7 2" xfId="4815" xr:uid="{00000000-0005-0000-0000-0000661C0000}"/>
    <cellStyle name="B_Bot_SUMM 7 3" xfId="25991" xr:uid="{00000000-0005-0000-0000-0000671C0000}"/>
    <cellStyle name="B_Bot_SUMM 8" xfId="4816" xr:uid="{00000000-0005-0000-0000-0000681C0000}"/>
    <cellStyle name="B_Bot_SUMM 8 2" xfId="4817" xr:uid="{00000000-0005-0000-0000-0000691C0000}"/>
    <cellStyle name="B_Bot_SUMM 8 3" xfId="25992" xr:uid="{00000000-0005-0000-0000-00006A1C0000}"/>
    <cellStyle name="B_Bot_SUMM 9" xfId="4818" xr:uid="{00000000-0005-0000-0000-00006B1C0000}"/>
    <cellStyle name="B_Bot_SUMM 9 2" xfId="4819" xr:uid="{00000000-0005-0000-0000-00006C1C0000}"/>
    <cellStyle name="B_Bot_SUMM 9 3" xfId="25993" xr:uid="{00000000-0005-0000-0000-00006D1C0000}"/>
    <cellStyle name="B_Bot_SUMM_PROD_DETAILS" xfId="4820" xr:uid="{00000000-0005-0000-0000-00006E1C0000}"/>
    <cellStyle name="B_Bot_SUMM_PROD_DETAILS 2" xfId="4821" xr:uid="{00000000-0005-0000-0000-00006F1C0000}"/>
    <cellStyle name="B_Bot_SUMM_PROD_DETAILS 3" xfId="25994" xr:uid="{00000000-0005-0000-0000-0000701C0000}"/>
    <cellStyle name="B_Bot_SUMM_SOLVENCY POSITION " xfId="4822" xr:uid="{00000000-0005-0000-0000-0000711C0000}"/>
    <cellStyle name="B_Bot_SUMM_SOLVENCY POSITION  2" xfId="4823" xr:uid="{00000000-0005-0000-0000-0000721C0000}"/>
    <cellStyle name="B_Bot_SUMM_SOLVENCY POSITION  3" xfId="25995" xr:uid="{00000000-0005-0000-0000-0000731C0000}"/>
    <cellStyle name="B_Bot_Template" xfId="4824" xr:uid="{00000000-0005-0000-0000-0000741C0000}"/>
    <cellStyle name="B_Bot_Template 10" xfId="4825" xr:uid="{00000000-0005-0000-0000-0000751C0000}"/>
    <cellStyle name="B_Bot_Template 10 2" xfId="4826" xr:uid="{00000000-0005-0000-0000-0000761C0000}"/>
    <cellStyle name="B_Bot_Template 10 3" xfId="25996" xr:uid="{00000000-0005-0000-0000-0000771C0000}"/>
    <cellStyle name="B_Bot_Template 11" xfId="4827" xr:uid="{00000000-0005-0000-0000-0000781C0000}"/>
    <cellStyle name="B_Bot_Template 11 2" xfId="4828" xr:uid="{00000000-0005-0000-0000-0000791C0000}"/>
    <cellStyle name="B_Bot_Template 11 3" xfId="25997" xr:uid="{00000000-0005-0000-0000-00007A1C0000}"/>
    <cellStyle name="B_Bot_Template 12" xfId="4829" xr:uid="{00000000-0005-0000-0000-00007B1C0000}"/>
    <cellStyle name="B_Bot_Template 12 2" xfId="4830" xr:uid="{00000000-0005-0000-0000-00007C1C0000}"/>
    <cellStyle name="B_Bot_Template 12 3" xfId="25998" xr:uid="{00000000-0005-0000-0000-00007D1C0000}"/>
    <cellStyle name="B_Bot_Template 13" xfId="4831" xr:uid="{00000000-0005-0000-0000-00007E1C0000}"/>
    <cellStyle name="B_Bot_Template 13 2" xfId="4832" xr:uid="{00000000-0005-0000-0000-00007F1C0000}"/>
    <cellStyle name="B_Bot_Template 13 3" xfId="25999" xr:uid="{00000000-0005-0000-0000-0000801C0000}"/>
    <cellStyle name="B_Bot_Template 14" xfId="4833" xr:uid="{00000000-0005-0000-0000-0000811C0000}"/>
    <cellStyle name="B_Bot_Template 14 2" xfId="4834" xr:uid="{00000000-0005-0000-0000-0000821C0000}"/>
    <cellStyle name="B_Bot_Template 14 3" xfId="26000" xr:uid="{00000000-0005-0000-0000-0000831C0000}"/>
    <cellStyle name="B_Bot_Template 15" xfId="4835" xr:uid="{00000000-0005-0000-0000-0000841C0000}"/>
    <cellStyle name="B_Bot_Template 15 2" xfId="4836" xr:uid="{00000000-0005-0000-0000-0000851C0000}"/>
    <cellStyle name="B_Bot_Template 15 3" xfId="26001" xr:uid="{00000000-0005-0000-0000-0000861C0000}"/>
    <cellStyle name="B_Bot_Template 16" xfId="4837" xr:uid="{00000000-0005-0000-0000-0000871C0000}"/>
    <cellStyle name="B_Bot_Template 16 2" xfId="4838" xr:uid="{00000000-0005-0000-0000-0000881C0000}"/>
    <cellStyle name="B_Bot_Template 16 3" xfId="26002" xr:uid="{00000000-0005-0000-0000-0000891C0000}"/>
    <cellStyle name="B_Bot_Template 17" xfId="4839" xr:uid="{00000000-0005-0000-0000-00008A1C0000}"/>
    <cellStyle name="B_Bot_Template 17 2" xfId="4840" xr:uid="{00000000-0005-0000-0000-00008B1C0000}"/>
    <cellStyle name="B_Bot_Template 17 3" xfId="26003" xr:uid="{00000000-0005-0000-0000-00008C1C0000}"/>
    <cellStyle name="B_Bot_Template 18" xfId="4841" xr:uid="{00000000-0005-0000-0000-00008D1C0000}"/>
    <cellStyle name="B_Bot_Template 18 2" xfId="4842" xr:uid="{00000000-0005-0000-0000-00008E1C0000}"/>
    <cellStyle name="B_Bot_Template 18 3" xfId="26004" xr:uid="{00000000-0005-0000-0000-00008F1C0000}"/>
    <cellStyle name="B_Bot_Template 19" xfId="4843" xr:uid="{00000000-0005-0000-0000-0000901C0000}"/>
    <cellStyle name="B_Bot_Template 19 2" xfId="4844" xr:uid="{00000000-0005-0000-0000-0000911C0000}"/>
    <cellStyle name="B_Bot_Template 19 3" xfId="26005" xr:uid="{00000000-0005-0000-0000-0000921C0000}"/>
    <cellStyle name="B_Bot_Template 2" xfId="4845" xr:uid="{00000000-0005-0000-0000-0000931C0000}"/>
    <cellStyle name="B_Bot_Template 2 2" xfId="4846" xr:uid="{00000000-0005-0000-0000-0000941C0000}"/>
    <cellStyle name="B_Bot_Template 2 3" xfId="26006" xr:uid="{00000000-0005-0000-0000-0000951C0000}"/>
    <cellStyle name="B_Bot_Template 20" xfId="4847" xr:uid="{00000000-0005-0000-0000-0000961C0000}"/>
    <cellStyle name="B_Bot_Template 20 2" xfId="4848" xr:uid="{00000000-0005-0000-0000-0000971C0000}"/>
    <cellStyle name="B_Bot_Template 20 3" xfId="26007" xr:uid="{00000000-0005-0000-0000-0000981C0000}"/>
    <cellStyle name="B_Bot_Template 21" xfId="4849" xr:uid="{00000000-0005-0000-0000-0000991C0000}"/>
    <cellStyle name="B_Bot_Template 21 2" xfId="4850" xr:uid="{00000000-0005-0000-0000-00009A1C0000}"/>
    <cellStyle name="B_Bot_Template 21 3" xfId="26008" xr:uid="{00000000-0005-0000-0000-00009B1C0000}"/>
    <cellStyle name="B_Bot_Template 22" xfId="4851" xr:uid="{00000000-0005-0000-0000-00009C1C0000}"/>
    <cellStyle name="B_Bot_Template 22 2" xfId="4852" xr:uid="{00000000-0005-0000-0000-00009D1C0000}"/>
    <cellStyle name="B_Bot_Template 22 3" xfId="26009" xr:uid="{00000000-0005-0000-0000-00009E1C0000}"/>
    <cellStyle name="B_Bot_Template 23" xfId="4853" xr:uid="{00000000-0005-0000-0000-00009F1C0000}"/>
    <cellStyle name="B_Bot_Template 23 2" xfId="4854" xr:uid="{00000000-0005-0000-0000-0000A01C0000}"/>
    <cellStyle name="B_Bot_Template 23 3" xfId="26010" xr:uid="{00000000-0005-0000-0000-0000A11C0000}"/>
    <cellStyle name="B_Bot_Template 24" xfId="4855" xr:uid="{00000000-0005-0000-0000-0000A21C0000}"/>
    <cellStyle name="B_Bot_Template 25" xfId="26011" xr:uid="{00000000-0005-0000-0000-0000A31C0000}"/>
    <cellStyle name="B_Bot_Template 3" xfId="4856" xr:uid="{00000000-0005-0000-0000-0000A41C0000}"/>
    <cellStyle name="B_Bot_Template 3 2" xfId="4857" xr:uid="{00000000-0005-0000-0000-0000A51C0000}"/>
    <cellStyle name="B_Bot_Template 3 3" xfId="26012" xr:uid="{00000000-0005-0000-0000-0000A61C0000}"/>
    <cellStyle name="B_Bot_Template 4" xfId="4858" xr:uid="{00000000-0005-0000-0000-0000A71C0000}"/>
    <cellStyle name="B_Bot_Template 4 2" xfId="4859" xr:uid="{00000000-0005-0000-0000-0000A81C0000}"/>
    <cellStyle name="B_Bot_Template 4 3" xfId="26013" xr:uid="{00000000-0005-0000-0000-0000A91C0000}"/>
    <cellStyle name="B_Bot_Template 5" xfId="4860" xr:uid="{00000000-0005-0000-0000-0000AA1C0000}"/>
    <cellStyle name="B_Bot_Template 5 2" xfId="4861" xr:uid="{00000000-0005-0000-0000-0000AB1C0000}"/>
    <cellStyle name="B_Bot_Template 5 3" xfId="26014" xr:uid="{00000000-0005-0000-0000-0000AC1C0000}"/>
    <cellStyle name="B_Bot_Template 6" xfId="4862" xr:uid="{00000000-0005-0000-0000-0000AD1C0000}"/>
    <cellStyle name="B_Bot_Template 6 2" xfId="4863" xr:uid="{00000000-0005-0000-0000-0000AE1C0000}"/>
    <cellStyle name="B_Bot_Template 6 3" xfId="26015" xr:uid="{00000000-0005-0000-0000-0000AF1C0000}"/>
    <cellStyle name="B_Bot_Template 7" xfId="4864" xr:uid="{00000000-0005-0000-0000-0000B01C0000}"/>
    <cellStyle name="B_Bot_Template 7 2" xfId="4865" xr:uid="{00000000-0005-0000-0000-0000B11C0000}"/>
    <cellStyle name="B_Bot_Template 7 3" xfId="26016" xr:uid="{00000000-0005-0000-0000-0000B21C0000}"/>
    <cellStyle name="B_Bot_Template 8" xfId="4866" xr:uid="{00000000-0005-0000-0000-0000B31C0000}"/>
    <cellStyle name="B_Bot_Template 8 2" xfId="4867" xr:uid="{00000000-0005-0000-0000-0000B41C0000}"/>
    <cellStyle name="B_Bot_Template 8 3" xfId="26017" xr:uid="{00000000-0005-0000-0000-0000B51C0000}"/>
    <cellStyle name="B_Bot_Template 9" xfId="4868" xr:uid="{00000000-0005-0000-0000-0000B61C0000}"/>
    <cellStyle name="B_Bot_Template 9 2" xfId="4869" xr:uid="{00000000-0005-0000-0000-0000B71C0000}"/>
    <cellStyle name="B_Bot_Template 9 3" xfId="26018" xr:uid="{00000000-0005-0000-0000-0000B81C0000}"/>
    <cellStyle name="B_Bot_Template_PROD_DETAILS" xfId="4870" xr:uid="{00000000-0005-0000-0000-0000B91C0000}"/>
    <cellStyle name="B_Bot_Template_PROD_DETAILS 2" xfId="4871" xr:uid="{00000000-0005-0000-0000-0000BA1C0000}"/>
    <cellStyle name="B_Bot_Template_PROD_DETAILS 3" xfId="26019" xr:uid="{00000000-0005-0000-0000-0000BB1C0000}"/>
    <cellStyle name="B_Bot_Template_SOLVENCY POSITION " xfId="4872" xr:uid="{00000000-0005-0000-0000-0000BC1C0000}"/>
    <cellStyle name="B_Bot_Template_SOLVENCY POSITION  2" xfId="4873" xr:uid="{00000000-0005-0000-0000-0000BD1C0000}"/>
    <cellStyle name="B_Bot_Template_SOLVENCY POSITION  3" xfId="26020" xr:uid="{00000000-0005-0000-0000-0000BE1C0000}"/>
    <cellStyle name="B_BotLC" xfId="4874" xr:uid="{00000000-0005-0000-0000-0000BF1C0000}"/>
    <cellStyle name="B_BotLC 10" xfId="4875" xr:uid="{00000000-0005-0000-0000-0000C01C0000}"/>
    <cellStyle name="B_BotLC 10 2" xfId="4876" xr:uid="{00000000-0005-0000-0000-0000C11C0000}"/>
    <cellStyle name="B_BotLC 10 3" xfId="26021" xr:uid="{00000000-0005-0000-0000-0000C21C0000}"/>
    <cellStyle name="B_BotLC 11" xfId="4877" xr:uid="{00000000-0005-0000-0000-0000C31C0000}"/>
    <cellStyle name="B_BotLC 11 2" xfId="4878" xr:uid="{00000000-0005-0000-0000-0000C41C0000}"/>
    <cellStyle name="B_BotLC 11 3" xfId="26022" xr:uid="{00000000-0005-0000-0000-0000C51C0000}"/>
    <cellStyle name="B_BotLC 12" xfId="4879" xr:uid="{00000000-0005-0000-0000-0000C61C0000}"/>
    <cellStyle name="B_BotLC 12 2" xfId="4880" xr:uid="{00000000-0005-0000-0000-0000C71C0000}"/>
    <cellStyle name="B_BotLC 12 3" xfId="26023" xr:uid="{00000000-0005-0000-0000-0000C81C0000}"/>
    <cellStyle name="B_BotLC 13" xfId="4881" xr:uid="{00000000-0005-0000-0000-0000C91C0000}"/>
    <cellStyle name="B_BotLC 13 2" xfId="4882" xr:uid="{00000000-0005-0000-0000-0000CA1C0000}"/>
    <cellStyle name="B_BotLC 13 3" xfId="26024" xr:uid="{00000000-0005-0000-0000-0000CB1C0000}"/>
    <cellStyle name="B_BotLC 14" xfId="4883" xr:uid="{00000000-0005-0000-0000-0000CC1C0000}"/>
    <cellStyle name="B_BotLC 14 2" xfId="4884" xr:uid="{00000000-0005-0000-0000-0000CD1C0000}"/>
    <cellStyle name="B_BotLC 14 3" xfId="26025" xr:uid="{00000000-0005-0000-0000-0000CE1C0000}"/>
    <cellStyle name="B_BotLC 15" xfId="4885" xr:uid="{00000000-0005-0000-0000-0000CF1C0000}"/>
    <cellStyle name="B_BotLC 15 2" xfId="4886" xr:uid="{00000000-0005-0000-0000-0000D01C0000}"/>
    <cellStyle name="B_BotLC 15 3" xfId="26026" xr:uid="{00000000-0005-0000-0000-0000D11C0000}"/>
    <cellStyle name="B_BotLC 16" xfId="4887" xr:uid="{00000000-0005-0000-0000-0000D21C0000}"/>
    <cellStyle name="B_BotLC 16 2" xfId="4888" xr:uid="{00000000-0005-0000-0000-0000D31C0000}"/>
    <cellStyle name="B_BotLC 16 3" xfId="26027" xr:uid="{00000000-0005-0000-0000-0000D41C0000}"/>
    <cellStyle name="B_BotLC 17" xfId="4889" xr:uid="{00000000-0005-0000-0000-0000D51C0000}"/>
    <cellStyle name="B_BotLC 17 2" xfId="4890" xr:uid="{00000000-0005-0000-0000-0000D61C0000}"/>
    <cellStyle name="B_BotLC 17 3" xfId="26028" xr:uid="{00000000-0005-0000-0000-0000D71C0000}"/>
    <cellStyle name="B_BotLC 18" xfId="4891" xr:uid="{00000000-0005-0000-0000-0000D81C0000}"/>
    <cellStyle name="B_BotLC 18 2" xfId="4892" xr:uid="{00000000-0005-0000-0000-0000D91C0000}"/>
    <cellStyle name="B_BotLC 18 3" xfId="26029" xr:uid="{00000000-0005-0000-0000-0000DA1C0000}"/>
    <cellStyle name="B_BotLC 19" xfId="4893" xr:uid="{00000000-0005-0000-0000-0000DB1C0000}"/>
    <cellStyle name="B_BotLC 19 2" xfId="4894" xr:uid="{00000000-0005-0000-0000-0000DC1C0000}"/>
    <cellStyle name="B_BotLC 19 3" xfId="26030" xr:uid="{00000000-0005-0000-0000-0000DD1C0000}"/>
    <cellStyle name="B_BotLC 2" xfId="4895" xr:uid="{00000000-0005-0000-0000-0000DE1C0000}"/>
    <cellStyle name="B_BotLC 2 2" xfId="4896" xr:uid="{00000000-0005-0000-0000-0000DF1C0000}"/>
    <cellStyle name="B_BotLC 2 3" xfId="26031" xr:uid="{00000000-0005-0000-0000-0000E01C0000}"/>
    <cellStyle name="B_BotLC 20" xfId="4897" xr:uid="{00000000-0005-0000-0000-0000E11C0000}"/>
    <cellStyle name="B_BotLC 20 2" xfId="4898" xr:uid="{00000000-0005-0000-0000-0000E21C0000}"/>
    <cellStyle name="B_BotLC 20 3" xfId="26032" xr:uid="{00000000-0005-0000-0000-0000E31C0000}"/>
    <cellStyle name="B_BotLC 21" xfId="4899" xr:uid="{00000000-0005-0000-0000-0000E41C0000}"/>
    <cellStyle name="B_BotLC 21 2" xfId="4900" xr:uid="{00000000-0005-0000-0000-0000E51C0000}"/>
    <cellStyle name="B_BotLC 21 3" xfId="26033" xr:uid="{00000000-0005-0000-0000-0000E61C0000}"/>
    <cellStyle name="B_BotLC 22" xfId="4901" xr:uid="{00000000-0005-0000-0000-0000E71C0000}"/>
    <cellStyle name="B_BotLC 22 2" xfId="4902" xr:uid="{00000000-0005-0000-0000-0000E81C0000}"/>
    <cellStyle name="B_BotLC 22 3" xfId="26034" xr:uid="{00000000-0005-0000-0000-0000E91C0000}"/>
    <cellStyle name="B_BotLC 23" xfId="4903" xr:uid="{00000000-0005-0000-0000-0000EA1C0000}"/>
    <cellStyle name="B_BotLC 23 2" xfId="4904" xr:uid="{00000000-0005-0000-0000-0000EB1C0000}"/>
    <cellStyle name="B_BotLC 23 3" xfId="26035" xr:uid="{00000000-0005-0000-0000-0000EC1C0000}"/>
    <cellStyle name="B_BotLC 24" xfId="4905" xr:uid="{00000000-0005-0000-0000-0000ED1C0000}"/>
    <cellStyle name="B_BotLC 25" xfId="26036" xr:uid="{00000000-0005-0000-0000-0000EE1C0000}"/>
    <cellStyle name="B_BotLC 3" xfId="4906" xr:uid="{00000000-0005-0000-0000-0000EF1C0000}"/>
    <cellStyle name="B_BotLC 3 2" xfId="4907" xr:uid="{00000000-0005-0000-0000-0000F01C0000}"/>
    <cellStyle name="B_BotLC 3 3" xfId="26037" xr:uid="{00000000-0005-0000-0000-0000F11C0000}"/>
    <cellStyle name="B_BotLC 4" xfId="4908" xr:uid="{00000000-0005-0000-0000-0000F21C0000}"/>
    <cellStyle name="B_BotLC 4 2" xfId="4909" xr:uid="{00000000-0005-0000-0000-0000F31C0000}"/>
    <cellStyle name="B_BotLC 4 3" xfId="26038" xr:uid="{00000000-0005-0000-0000-0000F41C0000}"/>
    <cellStyle name="B_BotLC 5" xfId="4910" xr:uid="{00000000-0005-0000-0000-0000F51C0000}"/>
    <cellStyle name="B_BotLC 5 2" xfId="4911" xr:uid="{00000000-0005-0000-0000-0000F61C0000}"/>
    <cellStyle name="B_BotLC 5 3" xfId="26039" xr:uid="{00000000-0005-0000-0000-0000F71C0000}"/>
    <cellStyle name="B_BotLC 6" xfId="4912" xr:uid="{00000000-0005-0000-0000-0000F81C0000}"/>
    <cellStyle name="B_BotLC 6 2" xfId="4913" xr:uid="{00000000-0005-0000-0000-0000F91C0000}"/>
    <cellStyle name="B_BotLC 6 3" xfId="26040" xr:uid="{00000000-0005-0000-0000-0000FA1C0000}"/>
    <cellStyle name="B_BotLC 7" xfId="4914" xr:uid="{00000000-0005-0000-0000-0000FB1C0000}"/>
    <cellStyle name="B_BotLC 7 2" xfId="4915" xr:uid="{00000000-0005-0000-0000-0000FC1C0000}"/>
    <cellStyle name="B_BotLC 7 3" xfId="26041" xr:uid="{00000000-0005-0000-0000-0000FD1C0000}"/>
    <cellStyle name="B_BotLC 8" xfId="4916" xr:uid="{00000000-0005-0000-0000-0000FE1C0000}"/>
    <cellStyle name="B_BotLC 8 2" xfId="4917" xr:uid="{00000000-0005-0000-0000-0000FF1C0000}"/>
    <cellStyle name="B_BotLC 8 3" xfId="26042" xr:uid="{00000000-0005-0000-0000-0000001D0000}"/>
    <cellStyle name="B_BotLC 9" xfId="4918" xr:uid="{00000000-0005-0000-0000-0000011D0000}"/>
    <cellStyle name="B_BotLC 9 2" xfId="4919" xr:uid="{00000000-0005-0000-0000-0000021D0000}"/>
    <cellStyle name="B_BotLC 9 3" xfId="26043" xr:uid="{00000000-0005-0000-0000-0000031D0000}"/>
    <cellStyle name="B_BotLC_ASSUMP" xfId="4920" xr:uid="{00000000-0005-0000-0000-0000041D0000}"/>
    <cellStyle name="B_BotLC_ASSUMP 10" xfId="4921" xr:uid="{00000000-0005-0000-0000-0000051D0000}"/>
    <cellStyle name="B_BotLC_ASSUMP 10 2" xfId="4922" xr:uid="{00000000-0005-0000-0000-0000061D0000}"/>
    <cellStyle name="B_BotLC_ASSUMP 10 3" xfId="26044" xr:uid="{00000000-0005-0000-0000-0000071D0000}"/>
    <cellStyle name="B_BotLC_ASSUMP 11" xfId="4923" xr:uid="{00000000-0005-0000-0000-0000081D0000}"/>
    <cellStyle name="B_BotLC_ASSUMP 11 2" xfId="4924" xr:uid="{00000000-0005-0000-0000-0000091D0000}"/>
    <cellStyle name="B_BotLC_ASSUMP 11 3" xfId="26045" xr:uid="{00000000-0005-0000-0000-00000A1D0000}"/>
    <cellStyle name="B_BotLC_ASSUMP 12" xfId="4925" xr:uid="{00000000-0005-0000-0000-00000B1D0000}"/>
    <cellStyle name="B_BotLC_ASSUMP 12 2" xfId="4926" xr:uid="{00000000-0005-0000-0000-00000C1D0000}"/>
    <cellStyle name="B_BotLC_ASSUMP 12 3" xfId="26046" xr:uid="{00000000-0005-0000-0000-00000D1D0000}"/>
    <cellStyle name="B_BotLC_ASSUMP 13" xfId="4927" xr:uid="{00000000-0005-0000-0000-00000E1D0000}"/>
    <cellStyle name="B_BotLC_ASSUMP 13 2" xfId="4928" xr:uid="{00000000-0005-0000-0000-00000F1D0000}"/>
    <cellStyle name="B_BotLC_ASSUMP 13 3" xfId="26047" xr:uid="{00000000-0005-0000-0000-0000101D0000}"/>
    <cellStyle name="B_BotLC_ASSUMP 14" xfId="4929" xr:uid="{00000000-0005-0000-0000-0000111D0000}"/>
    <cellStyle name="B_BotLC_ASSUMP 14 2" xfId="4930" xr:uid="{00000000-0005-0000-0000-0000121D0000}"/>
    <cellStyle name="B_BotLC_ASSUMP 14 3" xfId="26048" xr:uid="{00000000-0005-0000-0000-0000131D0000}"/>
    <cellStyle name="B_BotLC_ASSUMP 15" xfId="4931" xr:uid="{00000000-0005-0000-0000-0000141D0000}"/>
    <cellStyle name="B_BotLC_ASSUMP 15 2" xfId="4932" xr:uid="{00000000-0005-0000-0000-0000151D0000}"/>
    <cellStyle name="B_BotLC_ASSUMP 15 3" xfId="26049" xr:uid="{00000000-0005-0000-0000-0000161D0000}"/>
    <cellStyle name="B_BotLC_ASSUMP 16" xfId="4933" xr:uid="{00000000-0005-0000-0000-0000171D0000}"/>
    <cellStyle name="B_BotLC_ASSUMP 16 2" xfId="4934" xr:uid="{00000000-0005-0000-0000-0000181D0000}"/>
    <cellStyle name="B_BotLC_ASSUMP 16 3" xfId="26050" xr:uid="{00000000-0005-0000-0000-0000191D0000}"/>
    <cellStyle name="B_BotLC_ASSUMP 17" xfId="4935" xr:uid="{00000000-0005-0000-0000-00001A1D0000}"/>
    <cellStyle name="B_BotLC_ASSUMP 17 2" xfId="4936" xr:uid="{00000000-0005-0000-0000-00001B1D0000}"/>
    <cellStyle name="B_BotLC_ASSUMP 17 3" xfId="26051" xr:uid="{00000000-0005-0000-0000-00001C1D0000}"/>
    <cellStyle name="B_BotLC_ASSUMP 18" xfId="4937" xr:uid="{00000000-0005-0000-0000-00001D1D0000}"/>
    <cellStyle name="B_BotLC_ASSUMP 18 2" xfId="4938" xr:uid="{00000000-0005-0000-0000-00001E1D0000}"/>
    <cellStyle name="B_BotLC_ASSUMP 18 3" xfId="26052" xr:uid="{00000000-0005-0000-0000-00001F1D0000}"/>
    <cellStyle name="B_BotLC_ASSUMP 19" xfId="4939" xr:uid="{00000000-0005-0000-0000-0000201D0000}"/>
    <cellStyle name="B_BotLC_ASSUMP 19 2" xfId="4940" xr:uid="{00000000-0005-0000-0000-0000211D0000}"/>
    <cellStyle name="B_BotLC_ASSUMP 19 3" xfId="26053" xr:uid="{00000000-0005-0000-0000-0000221D0000}"/>
    <cellStyle name="B_BotLC_ASSUMP 2" xfId="4941" xr:uid="{00000000-0005-0000-0000-0000231D0000}"/>
    <cellStyle name="B_BotLC_ASSUMP 2 2" xfId="4942" xr:uid="{00000000-0005-0000-0000-0000241D0000}"/>
    <cellStyle name="B_BotLC_ASSUMP 2 3" xfId="26054" xr:uid="{00000000-0005-0000-0000-0000251D0000}"/>
    <cellStyle name="B_BotLC_ASSUMP 20" xfId="4943" xr:uid="{00000000-0005-0000-0000-0000261D0000}"/>
    <cellStyle name="B_BotLC_ASSUMP 20 2" xfId="4944" xr:uid="{00000000-0005-0000-0000-0000271D0000}"/>
    <cellStyle name="B_BotLC_ASSUMP 20 3" xfId="26055" xr:uid="{00000000-0005-0000-0000-0000281D0000}"/>
    <cellStyle name="B_BotLC_ASSUMP 21" xfId="4945" xr:uid="{00000000-0005-0000-0000-0000291D0000}"/>
    <cellStyle name="B_BotLC_ASSUMP 21 2" xfId="4946" xr:uid="{00000000-0005-0000-0000-00002A1D0000}"/>
    <cellStyle name="B_BotLC_ASSUMP 21 3" xfId="26056" xr:uid="{00000000-0005-0000-0000-00002B1D0000}"/>
    <cellStyle name="B_BotLC_ASSUMP 22" xfId="4947" xr:uid="{00000000-0005-0000-0000-00002C1D0000}"/>
    <cellStyle name="B_BotLC_ASSUMP 22 2" xfId="4948" xr:uid="{00000000-0005-0000-0000-00002D1D0000}"/>
    <cellStyle name="B_BotLC_ASSUMP 22 3" xfId="26057" xr:uid="{00000000-0005-0000-0000-00002E1D0000}"/>
    <cellStyle name="B_BotLC_ASSUMP 23" xfId="4949" xr:uid="{00000000-0005-0000-0000-00002F1D0000}"/>
    <cellStyle name="B_BotLC_ASSUMP 23 2" xfId="4950" xr:uid="{00000000-0005-0000-0000-0000301D0000}"/>
    <cellStyle name="B_BotLC_ASSUMP 23 3" xfId="26058" xr:uid="{00000000-0005-0000-0000-0000311D0000}"/>
    <cellStyle name="B_BotLC_ASSUMP 24" xfId="4951" xr:uid="{00000000-0005-0000-0000-0000321D0000}"/>
    <cellStyle name="B_BotLC_ASSUMP 25" xfId="26059" xr:uid="{00000000-0005-0000-0000-0000331D0000}"/>
    <cellStyle name="B_BotLC_ASSUMP 3" xfId="4952" xr:uid="{00000000-0005-0000-0000-0000341D0000}"/>
    <cellStyle name="B_BotLC_ASSUMP 3 2" xfId="4953" xr:uid="{00000000-0005-0000-0000-0000351D0000}"/>
    <cellStyle name="B_BotLC_ASSUMP 3 3" xfId="26060" xr:uid="{00000000-0005-0000-0000-0000361D0000}"/>
    <cellStyle name="B_BotLC_ASSUMP 4" xfId="4954" xr:uid="{00000000-0005-0000-0000-0000371D0000}"/>
    <cellStyle name="B_BotLC_ASSUMP 4 2" xfId="4955" xr:uid="{00000000-0005-0000-0000-0000381D0000}"/>
    <cellStyle name="B_BotLC_ASSUMP 4 3" xfId="26061" xr:uid="{00000000-0005-0000-0000-0000391D0000}"/>
    <cellStyle name="B_BotLC_ASSUMP 5" xfId="4956" xr:uid="{00000000-0005-0000-0000-00003A1D0000}"/>
    <cellStyle name="B_BotLC_ASSUMP 5 2" xfId="4957" xr:uid="{00000000-0005-0000-0000-00003B1D0000}"/>
    <cellStyle name="B_BotLC_ASSUMP 5 3" xfId="26062" xr:uid="{00000000-0005-0000-0000-00003C1D0000}"/>
    <cellStyle name="B_BotLC_ASSUMP 6" xfId="4958" xr:uid="{00000000-0005-0000-0000-00003D1D0000}"/>
    <cellStyle name="B_BotLC_ASSUMP 6 2" xfId="4959" xr:uid="{00000000-0005-0000-0000-00003E1D0000}"/>
    <cellStyle name="B_BotLC_ASSUMP 6 3" xfId="26063" xr:uid="{00000000-0005-0000-0000-00003F1D0000}"/>
    <cellStyle name="B_BotLC_ASSUMP 7" xfId="4960" xr:uid="{00000000-0005-0000-0000-0000401D0000}"/>
    <cellStyle name="B_BotLC_ASSUMP 7 2" xfId="4961" xr:uid="{00000000-0005-0000-0000-0000411D0000}"/>
    <cellStyle name="B_BotLC_ASSUMP 7 3" xfId="26064" xr:uid="{00000000-0005-0000-0000-0000421D0000}"/>
    <cellStyle name="B_BotLC_ASSUMP 8" xfId="4962" xr:uid="{00000000-0005-0000-0000-0000431D0000}"/>
    <cellStyle name="B_BotLC_ASSUMP 8 2" xfId="4963" xr:uid="{00000000-0005-0000-0000-0000441D0000}"/>
    <cellStyle name="B_BotLC_ASSUMP 8 3" xfId="26065" xr:uid="{00000000-0005-0000-0000-0000451D0000}"/>
    <cellStyle name="B_BotLC_ASSUMP 9" xfId="4964" xr:uid="{00000000-0005-0000-0000-0000461D0000}"/>
    <cellStyle name="B_BotLC_ASSUMP 9 2" xfId="4965" xr:uid="{00000000-0005-0000-0000-0000471D0000}"/>
    <cellStyle name="B_BotLC_ASSUMP 9 3" xfId="26066" xr:uid="{00000000-0005-0000-0000-0000481D0000}"/>
    <cellStyle name="B_BotLC_ASSUMP_PROD_DETAILS" xfId="4966" xr:uid="{00000000-0005-0000-0000-0000491D0000}"/>
    <cellStyle name="B_BotLC_ASSUMP_PROD_DETAILS 2" xfId="4967" xr:uid="{00000000-0005-0000-0000-00004A1D0000}"/>
    <cellStyle name="B_BotLC_ASSUMP_PROD_DETAILS 3" xfId="26067" xr:uid="{00000000-0005-0000-0000-00004B1D0000}"/>
    <cellStyle name="B_BotLC_ASSUMP_SOLVENCY POSITION " xfId="4968" xr:uid="{00000000-0005-0000-0000-00004C1D0000}"/>
    <cellStyle name="B_BotLC_ASSUMP_SOLVENCY POSITION  2" xfId="4969" xr:uid="{00000000-0005-0000-0000-00004D1D0000}"/>
    <cellStyle name="B_BotLC_ASSUMP_SOLVENCY POSITION  3" xfId="26068" xr:uid="{00000000-0005-0000-0000-00004E1D0000}"/>
    <cellStyle name="B_BotLC_Checks" xfId="4970" xr:uid="{00000000-0005-0000-0000-00004F1D0000}"/>
    <cellStyle name="B_BotLC_Checks 10" xfId="4971" xr:uid="{00000000-0005-0000-0000-0000501D0000}"/>
    <cellStyle name="B_BotLC_Checks 10 2" xfId="4972" xr:uid="{00000000-0005-0000-0000-0000511D0000}"/>
    <cellStyle name="B_BotLC_Checks 10 3" xfId="26069" xr:uid="{00000000-0005-0000-0000-0000521D0000}"/>
    <cellStyle name="B_BotLC_Checks 11" xfId="4973" xr:uid="{00000000-0005-0000-0000-0000531D0000}"/>
    <cellStyle name="B_BotLC_Checks 11 2" xfId="4974" xr:uid="{00000000-0005-0000-0000-0000541D0000}"/>
    <cellStyle name="B_BotLC_Checks 11 3" xfId="26070" xr:uid="{00000000-0005-0000-0000-0000551D0000}"/>
    <cellStyle name="B_BotLC_Checks 12" xfId="4975" xr:uid="{00000000-0005-0000-0000-0000561D0000}"/>
    <cellStyle name="B_BotLC_Checks 12 2" xfId="4976" xr:uid="{00000000-0005-0000-0000-0000571D0000}"/>
    <cellStyle name="B_BotLC_Checks 12 3" xfId="26071" xr:uid="{00000000-0005-0000-0000-0000581D0000}"/>
    <cellStyle name="B_BotLC_Checks 13" xfId="4977" xr:uid="{00000000-0005-0000-0000-0000591D0000}"/>
    <cellStyle name="B_BotLC_Checks 13 2" xfId="4978" xr:uid="{00000000-0005-0000-0000-00005A1D0000}"/>
    <cellStyle name="B_BotLC_Checks 13 3" xfId="26072" xr:uid="{00000000-0005-0000-0000-00005B1D0000}"/>
    <cellStyle name="B_BotLC_Checks 14" xfId="4979" xr:uid="{00000000-0005-0000-0000-00005C1D0000}"/>
    <cellStyle name="B_BotLC_Checks 14 2" xfId="4980" xr:uid="{00000000-0005-0000-0000-00005D1D0000}"/>
    <cellStyle name="B_BotLC_Checks 14 3" xfId="26073" xr:uid="{00000000-0005-0000-0000-00005E1D0000}"/>
    <cellStyle name="B_BotLC_Checks 15" xfId="4981" xr:uid="{00000000-0005-0000-0000-00005F1D0000}"/>
    <cellStyle name="B_BotLC_Checks 15 2" xfId="4982" xr:uid="{00000000-0005-0000-0000-0000601D0000}"/>
    <cellStyle name="B_BotLC_Checks 15 3" xfId="26074" xr:uid="{00000000-0005-0000-0000-0000611D0000}"/>
    <cellStyle name="B_BotLC_Checks 16" xfId="4983" xr:uid="{00000000-0005-0000-0000-0000621D0000}"/>
    <cellStyle name="B_BotLC_Checks 16 2" xfId="4984" xr:uid="{00000000-0005-0000-0000-0000631D0000}"/>
    <cellStyle name="B_BotLC_Checks 16 3" xfId="26075" xr:uid="{00000000-0005-0000-0000-0000641D0000}"/>
    <cellStyle name="B_BotLC_Checks 17" xfId="4985" xr:uid="{00000000-0005-0000-0000-0000651D0000}"/>
    <cellStyle name="B_BotLC_Checks 17 2" xfId="4986" xr:uid="{00000000-0005-0000-0000-0000661D0000}"/>
    <cellStyle name="B_BotLC_Checks 17 3" xfId="26076" xr:uid="{00000000-0005-0000-0000-0000671D0000}"/>
    <cellStyle name="B_BotLC_Checks 18" xfId="4987" xr:uid="{00000000-0005-0000-0000-0000681D0000}"/>
    <cellStyle name="B_BotLC_Checks 18 2" xfId="4988" xr:uid="{00000000-0005-0000-0000-0000691D0000}"/>
    <cellStyle name="B_BotLC_Checks 18 3" xfId="26077" xr:uid="{00000000-0005-0000-0000-00006A1D0000}"/>
    <cellStyle name="B_BotLC_Checks 19" xfId="4989" xr:uid="{00000000-0005-0000-0000-00006B1D0000}"/>
    <cellStyle name="B_BotLC_Checks 19 2" xfId="4990" xr:uid="{00000000-0005-0000-0000-00006C1D0000}"/>
    <cellStyle name="B_BotLC_Checks 19 3" xfId="26078" xr:uid="{00000000-0005-0000-0000-00006D1D0000}"/>
    <cellStyle name="B_BotLC_Checks 2" xfId="4991" xr:uid="{00000000-0005-0000-0000-00006E1D0000}"/>
    <cellStyle name="B_BotLC_Checks 2 2" xfId="4992" xr:uid="{00000000-0005-0000-0000-00006F1D0000}"/>
    <cellStyle name="B_BotLC_Checks 2 3" xfId="26079" xr:uid="{00000000-0005-0000-0000-0000701D0000}"/>
    <cellStyle name="B_BotLC_Checks 20" xfId="4993" xr:uid="{00000000-0005-0000-0000-0000711D0000}"/>
    <cellStyle name="B_BotLC_Checks 20 2" xfId="4994" xr:uid="{00000000-0005-0000-0000-0000721D0000}"/>
    <cellStyle name="B_BotLC_Checks 20 3" xfId="26080" xr:uid="{00000000-0005-0000-0000-0000731D0000}"/>
    <cellStyle name="B_BotLC_Checks 21" xfId="4995" xr:uid="{00000000-0005-0000-0000-0000741D0000}"/>
    <cellStyle name="B_BotLC_Checks 21 2" xfId="4996" xr:uid="{00000000-0005-0000-0000-0000751D0000}"/>
    <cellStyle name="B_BotLC_Checks 21 3" xfId="26081" xr:uid="{00000000-0005-0000-0000-0000761D0000}"/>
    <cellStyle name="B_BotLC_Checks 22" xfId="4997" xr:uid="{00000000-0005-0000-0000-0000771D0000}"/>
    <cellStyle name="B_BotLC_Checks 22 2" xfId="4998" xr:uid="{00000000-0005-0000-0000-0000781D0000}"/>
    <cellStyle name="B_BotLC_Checks 22 3" xfId="26082" xr:uid="{00000000-0005-0000-0000-0000791D0000}"/>
    <cellStyle name="B_BotLC_Checks 23" xfId="4999" xr:uid="{00000000-0005-0000-0000-00007A1D0000}"/>
    <cellStyle name="B_BotLC_Checks 23 2" xfId="5000" xr:uid="{00000000-0005-0000-0000-00007B1D0000}"/>
    <cellStyle name="B_BotLC_Checks 23 3" xfId="26083" xr:uid="{00000000-0005-0000-0000-00007C1D0000}"/>
    <cellStyle name="B_BotLC_Checks 24" xfId="5001" xr:uid="{00000000-0005-0000-0000-00007D1D0000}"/>
    <cellStyle name="B_BotLC_Checks 25" xfId="26084" xr:uid="{00000000-0005-0000-0000-00007E1D0000}"/>
    <cellStyle name="B_BotLC_Checks 3" xfId="5002" xr:uid="{00000000-0005-0000-0000-00007F1D0000}"/>
    <cellStyle name="B_BotLC_Checks 3 2" xfId="5003" xr:uid="{00000000-0005-0000-0000-0000801D0000}"/>
    <cellStyle name="B_BotLC_Checks 3 3" xfId="26085" xr:uid="{00000000-0005-0000-0000-0000811D0000}"/>
    <cellStyle name="B_BotLC_Checks 4" xfId="5004" xr:uid="{00000000-0005-0000-0000-0000821D0000}"/>
    <cellStyle name="B_BotLC_Checks 4 2" xfId="5005" xr:uid="{00000000-0005-0000-0000-0000831D0000}"/>
    <cellStyle name="B_BotLC_Checks 4 3" xfId="26086" xr:uid="{00000000-0005-0000-0000-0000841D0000}"/>
    <cellStyle name="B_BotLC_Checks 5" xfId="5006" xr:uid="{00000000-0005-0000-0000-0000851D0000}"/>
    <cellStyle name="B_BotLC_Checks 5 2" xfId="5007" xr:uid="{00000000-0005-0000-0000-0000861D0000}"/>
    <cellStyle name="B_BotLC_Checks 5 3" xfId="26087" xr:uid="{00000000-0005-0000-0000-0000871D0000}"/>
    <cellStyle name="B_BotLC_Checks 6" xfId="5008" xr:uid="{00000000-0005-0000-0000-0000881D0000}"/>
    <cellStyle name="B_BotLC_Checks 6 2" xfId="5009" xr:uid="{00000000-0005-0000-0000-0000891D0000}"/>
    <cellStyle name="B_BotLC_Checks 6 3" xfId="26088" xr:uid="{00000000-0005-0000-0000-00008A1D0000}"/>
    <cellStyle name="B_BotLC_Checks 7" xfId="5010" xr:uid="{00000000-0005-0000-0000-00008B1D0000}"/>
    <cellStyle name="B_BotLC_Checks 7 2" xfId="5011" xr:uid="{00000000-0005-0000-0000-00008C1D0000}"/>
    <cellStyle name="B_BotLC_Checks 7 3" xfId="26089" xr:uid="{00000000-0005-0000-0000-00008D1D0000}"/>
    <cellStyle name="B_BotLC_Checks 8" xfId="5012" xr:uid="{00000000-0005-0000-0000-00008E1D0000}"/>
    <cellStyle name="B_BotLC_Checks 8 2" xfId="5013" xr:uid="{00000000-0005-0000-0000-00008F1D0000}"/>
    <cellStyle name="B_BotLC_Checks 8 3" xfId="26090" xr:uid="{00000000-0005-0000-0000-0000901D0000}"/>
    <cellStyle name="B_BotLC_Checks 9" xfId="5014" xr:uid="{00000000-0005-0000-0000-0000911D0000}"/>
    <cellStyle name="B_BotLC_Checks 9 2" xfId="5015" xr:uid="{00000000-0005-0000-0000-0000921D0000}"/>
    <cellStyle name="B_BotLC_Checks 9 3" xfId="26091" xr:uid="{00000000-0005-0000-0000-0000931D0000}"/>
    <cellStyle name="B_BotLC_Checks_PROD_DETAILS" xfId="5016" xr:uid="{00000000-0005-0000-0000-0000941D0000}"/>
    <cellStyle name="B_BotLC_Checks_PROD_DETAILS 2" xfId="5017" xr:uid="{00000000-0005-0000-0000-0000951D0000}"/>
    <cellStyle name="B_BotLC_Checks_PROD_DETAILS 3" xfId="26092" xr:uid="{00000000-0005-0000-0000-0000961D0000}"/>
    <cellStyle name="B_BotLC_Checks_SOLVENCY POSITION " xfId="5018" xr:uid="{00000000-0005-0000-0000-0000971D0000}"/>
    <cellStyle name="B_BotLC_Checks_SOLVENCY POSITION  2" xfId="5019" xr:uid="{00000000-0005-0000-0000-0000981D0000}"/>
    <cellStyle name="B_BotLC_Checks_SOLVENCY POSITION  3" xfId="26093" xr:uid="{00000000-0005-0000-0000-0000991D0000}"/>
    <cellStyle name="B_BotLC_Group Life" xfId="5020" xr:uid="{00000000-0005-0000-0000-00009A1D0000}"/>
    <cellStyle name="B_BotLC_Group Life 10" xfId="5021" xr:uid="{00000000-0005-0000-0000-00009B1D0000}"/>
    <cellStyle name="B_BotLC_Group Life 10 2" xfId="5022" xr:uid="{00000000-0005-0000-0000-00009C1D0000}"/>
    <cellStyle name="B_BotLC_Group Life 10 3" xfId="26094" xr:uid="{00000000-0005-0000-0000-00009D1D0000}"/>
    <cellStyle name="B_BotLC_Group Life 11" xfId="5023" xr:uid="{00000000-0005-0000-0000-00009E1D0000}"/>
    <cellStyle name="B_BotLC_Group Life 11 2" xfId="5024" xr:uid="{00000000-0005-0000-0000-00009F1D0000}"/>
    <cellStyle name="B_BotLC_Group Life 11 3" xfId="26095" xr:uid="{00000000-0005-0000-0000-0000A01D0000}"/>
    <cellStyle name="B_BotLC_Group Life 12" xfId="5025" xr:uid="{00000000-0005-0000-0000-0000A11D0000}"/>
    <cellStyle name="B_BotLC_Group Life 12 2" xfId="5026" xr:uid="{00000000-0005-0000-0000-0000A21D0000}"/>
    <cellStyle name="B_BotLC_Group Life 12 3" xfId="26096" xr:uid="{00000000-0005-0000-0000-0000A31D0000}"/>
    <cellStyle name="B_BotLC_Group Life 13" xfId="5027" xr:uid="{00000000-0005-0000-0000-0000A41D0000}"/>
    <cellStyle name="B_BotLC_Group Life 13 2" xfId="5028" xr:uid="{00000000-0005-0000-0000-0000A51D0000}"/>
    <cellStyle name="B_BotLC_Group Life 13 3" xfId="26097" xr:uid="{00000000-0005-0000-0000-0000A61D0000}"/>
    <cellStyle name="B_BotLC_Group Life 14" xfId="5029" xr:uid="{00000000-0005-0000-0000-0000A71D0000}"/>
    <cellStyle name="B_BotLC_Group Life 14 2" xfId="5030" xr:uid="{00000000-0005-0000-0000-0000A81D0000}"/>
    <cellStyle name="B_BotLC_Group Life 14 3" xfId="26098" xr:uid="{00000000-0005-0000-0000-0000A91D0000}"/>
    <cellStyle name="B_BotLC_Group Life 15" xfId="5031" xr:uid="{00000000-0005-0000-0000-0000AA1D0000}"/>
    <cellStyle name="B_BotLC_Group Life 15 2" xfId="5032" xr:uid="{00000000-0005-0000-0000-0000AB1D0000}"/>
    <cellStyle name="B_BotLC_Group Life 15 3" xfId="26099" xr:uid="{00000000-0005-0000-0000-0000AC1D0000}"/>
    <cellStyle name="B_BotLC_Group Life 16" xfId="5033" xr:uid="{00000000-0005-0000-0000-0000AD1D0000}"/>
    <cellStyle name="B_BotLC_Group Life 16 2" xfId="5034" xr:uid="{00000000-0005-0000-0000-0000AE1D0000}"/>
    <cellStyle name="B_BotLC_Group Life 16 3" xfId="26100" xr:uid="{00000000-0005-0000-0000-0000AF1D0000}"/>
    <cellStyle name="B_BotLC_Group Life 17" xfId="5035" xr:uid="{00000000-0005-0000-0000-0000B01D0000}"/>
    <cellStyle name="B_BotLC_Group Life 17 2" xfId="5036" xr:uid="{00000000-0005-0000-0000-0000B11D0000}"/>
    <cellStyle name="B_BotLC_Group Life 17 3" xfId="26101" xr:uid="{00000000-0005-0000-0000-0000B21D0000}"/>
    <cellStyle name="B_BotLC_Group Life 18" xfId="5037" xr:uid="{00000000-0005-0000-0000-0000B31D0000}"/>
    <cellStyle name="B_BotLC_Group Life 18 2" xfId="5038" xr:uid="{00000000-0005-0000-0000-0000B41D0000}"/>
    <cellStyle name="B_BotLC_Group Life 18 3" xfId="26102" xr:uid="{00000000-0005-0000-0000-0000B51D0000}"/>
    <cellStyle name="B_BotLC_Group Life 19" xfId="5039" xr:uid="{00000000-0005-0000-0000-0000B61D0000}"/>
    <cellStyle name="B_BotLC_Group Life 19 2" xfId="5040" xr:uid="{00000000-0005-0000-0000-0000B71D0000}"/>
    <cellStyle name="B_BotLC_Group Life 19 3" xfId="26103" xr:uid="{00000000-0005-0000-0000-0000B81D0000}"/>
    <cellStyle name="B_BotLC_Group Life 2" xfId="5041" xr:uid="{00000000-0005-0000-0000-0000B91D0000}"/>
    <cellStyle name="B_BotLC_Group Life 2 2" xfId="5042" xr:uid="{00000000-0005-0000-0000-0000BA1D0000}"/>
    <cellStyle name="B_BotLC_Group Life 2 3" xfId="26104" xr:uid="{00000000-0005-0000-0000-0000BB1D0000}"/>
    <cellStyle name="B_BotLC_Group Life 20" xfId="5043" xr:uid="{00000000-0005-0000-0000-0000BC1D0000}"/>
    <cellStyle name="B_BotLC_Group Life 20 2" xfId="5044" xr:uid="{00000000-0005-0000-0000-0000BD1D0000}"/>
    <cellStyle name="B_BotLC_Group Life 20 3" xfId="26105" xr:uid="{00000000-0005-0000-0000-0000BE1D0000}"/>
    <cellStyle name="B_BotLC_Group Life 21" xfId="5045" xr:uid="{00000000-0005-0000-0000-0000BF1D0000}"/>
    <cellStyle name="B_BotLC_Group Life 21 2" xfId="5046" xr:uid="{00000000-0005-0000-0000-0000C01D0000}"/>
    <cellStyle name="B_BotLC_Group Life 21 3" xfId="26106" xr:uid="{00000000-0005-0000-0000-0000C11D0000}"/>
    <cellStyle name="B_BotLC_Group Life 22" xfId="5047" xr:uid="{00000000-0005-0000-0000-0000C21D0000}"/>
    <cellStyle name="B_BotLC_Group Life 22 2" xfId="5048" xr:uid="{00000000-0005-0000-0000-0000C31D0000}"/>
    <cellStyle name="B_BotLC_Group Life 22 3" xfId="26107" xr:uid="{00000000-0005-0000-0000-0000C41D0000}"/>
    <cellStyle name="B_BotLC_Group Life 23" xfId="5049" xr:uid="{00000000-0005-0000-0000-0000C51D0000}"/>
    <cellStyle name="B_BotLC_Group Life 23 2" xfId="5050" xr:uid="{00000000-0005-0000-0000-0000C61D0000}"/>
    <cellStyle name="B_BotLC_Group Life 23 3" xfId="26108" xr:uid="{00000000-0005-0000-0000-0000C71D0000}"/>
    <cellStyle name="B_BotLC_Group Life 24" xfId="5051" xr:uid="{00000000-0005-0000-0000-0000C81D0000}"/>
    <cellStyle name="B_BotLC_Group Life 25" xfId="26109" xr:uid="{00000000-0005-0000-0000-0000C91D0000}"/>
    <cellStyle name="B_BotLC_Group Life 3" xfId="5052" xr:uid="{00000000-0005-0000-0000-0000CA1D0000}"/>
    <cellStyle name="B_BotLC_Group Life 3 2" xfId="5053" xr:uid="{00000000-0005-0000-0000-0000CB1D0000}"/>
    <cellStyle name="B_BotLC_Group Life 3 3" xfId="26110" xr:uid="{00000000-0005-0000-0000-0000CC1D0000}"/>
    <cellStyle name="B_BotLC_Group Life 4" xfId="5054" xr:uid="{00000000-0005-0000-0000-0000CD1D0000}"/>
    <cellStyle name="B_BotLC_Group Life 4 2" xfId="5055" xr:uid="{00000000-0005-0000-0000-0000CE1D0000}"/>
    <cellStyle name="B_BotLC_Group Life 4 3" xfId="26111" xr:uid="{00000000-0005-0000-0000-0000CF1D0000}"/>
    <cellStyle name="B_BotLC_Group Life 5" xfId="5056" xr:uid="{00000000-0005-0000-0000-0000D01D0000}"/>
    <cellStyle name="B_BotLC_Group Life 5 2" xfId="5057" xr:uid="{00000000-0005-0000-0000-0000D11D0000}"/>
    <cellStyle name="B_BotLC_Group Life 5 3" xfId="26112" xr:uid="{00000000-0005-0000-0000-0000D21D0000}"/>
    <cellStyle name="B_BotLC_Group Life 6" xfId="5058" xr:uid="{00000000-0005-0000-0000-0000D31D0000}"/>
    <cellStyle name="B_BotLC_Group Life 6 2" xfId="5059" xr:uid="{00000000-0005-0000-0000-0000D41D0000}"/>
    <cellStyle name="B_BotLC_Group Life 6 3" xfId="26113" xr:uid="{00000000-0005-0000-0000-0000D51D0000}"/>
    <cellStyle name="B_BotLC_Group Life 7" xfId="5060" xr:uid="{00000000-0005-0000-0000-0000D61D0000}"/>
    <cellStyle name="B_BotLC_Group Life 7 2" xfId="5061" xr:uid="{00000000-0005-0000-0000-0000D71D0000}"/>
    <cellStyle name="B_BotLC_Group Life 7 3" xfId="26114" xr:uid="{00000000-0005-0000-0000-0000D81D0000}"/>
    <cellStyle name="B_BotLC_Group Life 8" xfId="5062" xr:uid="{00000000-0005-0000-0000-0000D91D0000}"/>
    <cellStyle name="B_BotLC_Group Life 8 2" xfId="5063" xr:uid="{00000000-0005-0000-0000-0000DA1D0000}"/>
    <cellStyle name="B_BotLC_Group Life 8 3" xfId="26115" xr:uid="{00000000-0005-0000-0000-0000DB1D0000}"/>
    <cellStyle name="B_BotLC_Group Life 9" xfId="5064" xr:uid="{00000000-0005-0000-0000-0000DC1D0000}"/>
    <cellStyle name="B_BotLC_Group Life 9 2" xfId="5065" xr:uid="{00000000-0005-0000-0000-0000DD1D0000}"/>
    <cellStyle name="B_BotLC_Group Life 9 3" xfId="26116" xr:uid="{00000000-0005-0000-0000-0000DE1D0000}"/>
    <cellStyle name="B_BotLC_Group Life_PROD_DETAILS" xfId="5066" xr:uid="{00000000-0005-0000-0000-0000DF1D0000}"/>
    <cellStyle name="B_BotLC_Group Life_PROD_DETAILS 2" xfId="5067" xr:uid="{00000000-0005-0000-0000-0000E01D0000}"/>
    <cellStyle name="B_BotLC_Group Life_PROD_DETAILS 3" xfId="26117" xr:uid="{00000000-0005-0000-0000-0000E11D0000}"/>
    <cellStyle name="B_BotLC_Group Life_SOLVENCY POSITION " xfId="5068" xr:uid="{00000000-0005-0000-0000-0000E21D0000}"/>
    <cellStyle name="B_BotLC_Group Life_SOLVENCY POSITION  2" xfId="5069" xr:uid="{00000000-0005-0000-0000-0000E31D0000}"/>
    <cellStyle name="B_BotLC_Group Life_SOLVENCY POSITION  3" xfId="26118" xr:uid="{00000000-0005-0000-0000-0000E41D0000}"/>
    <cellStyle name="B_BotLC_HK P &amp; L (To Finance to compute tax)" xfId="5070" xr:uid="{00000000-0005-0000-0000-0000E51D0000}"/>
    <cellStyle name="B_BotLC_HK P &amp; L (To Finance to compute tax) 10" xfId="5071" xr:uid="{00000000-0005-0000-0000-0000E61D0000}"/>
    <cellStyle name="B_BotLC_HK P &amp; L (To Finance to compute tax) 10 2" xfId="5072" xr:uid="{00000000-0005-0000-0000-0000E71D0000}"/>
    <cellStyle name="B_BotLC_HK P &amp; L (To Finance to compute tax) 10 3" xfId="26119" xr:uid="{00000000-0005-0000-0000-0000E81D0000}"/>
    <cellStyle name="B_BotLC_HK P &amp; L (To Finance to compute tax) 11" xfId="5073" xr:uid="{00000000-0005-0000-0000-0000E91D0000}"/>
    <cellStyle name="B_BotLC_HK P &amp; L (To Finance to compute tax) 11 2" xfId="5074" xr:uid="{00000000-0005-0000-0000-0000EA1D0000}"/>
    <cellStyle name="B_BotLC_HK P &amp; L (To Finance to compute tax) 11 3" xfId="26120" xr:uid="{00000000-0005-0000-0000-0000EB1D0000}"/>
    <cellStyle name="B_BotLC_HK P &amp; L (To Finance to compute tax) 12" xfId="5075" xr:uid="{00000000-0005-0000-0000-0000EC1D0000}"/>
    <cellStyle name="B_BotLC_HK P &amp; L (To Finance to compute tax) 12 2" xfId="5076" xr:uid="{00000000-0005-0000-0000-0000ED1D0000}"/>
    <cellStyle name="B_BotLC_HK P &amp; L (To Finance to compute tax) 12 3" xfId="26121" xr:uid="{00000000-0005-0000-0000-0000EE1D0000}"/>
    <cellStyle name="B_BotLC_HK P &amp; L (To Finance to compute tax) 13" xfId="5077" xr:uid="{00000000-0005-0000-0000-0000EF1D0000}"/>
    <cellStyle name="B_BotLC_HK P &amp; L (To Finance to compute tax) 13 2" xfId="5078" xr:uid="{00000000-0005-0000-0000-0000F01D0000}"/>
    <cellStyle name="B_BotLC_HK P &amp; L (To Finance to compute tax) 13 3" xfId="26122" xr:uid="{00000000-0005-0000-0000-0000F11D0000}"/>
    <cellStyle name="B_BotLC_HK P &amp; L (To Finance to compute tax) 14" xfId="5079" xr:uid="{00000000-0005-0000-0000-0000F21D0000}"/>
    <cellStyle name="B_BotLC_HK P &amp; L (To Finance to compute tax) 14 2" xfId="5080" xr:uid="{00000000-0005-0000-0000-0000F31D0000}"/>
    <cellStyle name="B_BotLC_HK P &amp; L (To Finance to compute tax) 14 3" xfId="26123" xr:uid="{00000000-0005-0000-0000-0000F41D0000}"/>
    <cellStyle name="B_BotLC_HK P &amp; L (To Finance to compute tax) 15" xfId="5081" xr:uid="{00000000-0005-0000-0000-0000F51D0000}"/>
    <cellStyle name="B_BotLC_HK P &amp; L (To Finance to compute tax) 15 2" xfId="5082" xr:uid="{00000000-0005-0000-0000-0000F61D0000}"/>
    <cellStyle name="B_BotLC_HK P &amp; L (To Finance to compute tax) 15 3" xfId="26124" xr:uid="{00000000-0005-0000-0000-0000F71D0000}"/>
    <cellStyle name="B_BotLC_HK P &amp; L (To Finance to compute tax) 16" xfId="5083" xr:uid="{00000000-0005-0000-0000-0000F81D0000}"/>
    <cellStyle name="B_BotLC_HK P &amp; L (To Finance to compute tax) 16 2" xfId="5084" xr:uid="{00000000-0005-0000-0000-0000F91D0000}"/>
    <cellStyle name="B_BotLC_HK P &amp; L (To Finance to compute tax) 16 3" xfId="26125" xr:uid="{00000000-0005-0000-0000-0000FA1D0000}"/>
    <cellStyle name="B_BotLC_HK P &amp; L (To Finance to compute tax) 17" xfId="5085" xr:uid="{00000000-0005-0000-0000-0000FB1D0000}"/>
    <cellStyle name="B_BotLC_HK P &amp; L (To Finance to compute tax) 17 2" xfId="5086" xr:uid="{00000000-0005-0000-0000-0000FC1D0000}"/>
    <cellStyle name="B_BotLC_HK P &amp; L (To Finance to compute tax) 17 3" xfId="26126" xr:uid="{00000000-0005-0000-0000-0000FD1D0000}"/>
    <cellStyle name="B_BotLC_HK P &amp; L (To Finance to compute tax) 18" xfId="5087" xr:uid="{00000000-0005-0000-0000-0000FE1D0000}"/>
    <cellStyle name="B_BotLC_HK P &amp; L (To Finance to compute tax) 18 2" xfId="5088" xr:uid="{00000000-0005-0000-0000-0000FF1D0000}"/>
    <cellStyle name="B_BotLC_HK P &amp; L (To Finance to compute tax) 18 3" xfId="26127" xr:uid="{00000000-0005-0000-0000-0000001E0000}"/>
    <cellStyle name="B_BotLC_HK P &amp; L (To Finance to compute tax) 19" xfId="5089" xr:uid="{00000000-0005-0000-0000-0000011E0000}"/>
    <cellStyle name="B_BotLC_HK P &amp; L (To Finance to compute tax) 19 2" xfId="5090" xr:uid="{00000000-0005-0000-0000-0000021E0000}"/>
    <cellStyle name="B_BotLC_HK P &amp; L (To Finance to compute tax) 19 3" xfId="26128" xr:uid="{00000000-0005-0000-0000-0000031E0000}"/>
    <cellStyle name="B_BotLC_HK P &amp; L (To Finance to compute tax) 2" xfId="5091" xr:uid="{00000000-0005-0000-0000-0000041E0000}"/>
    <cellStyle name="B_BotLC_HK P &amp; L (To Finance to compute tax) 2 2" xfId="5092" xr:uid="{00000000-0005-0000-0000-0000051E0000}"/>
    <cellStyle name="B_BotLC_HK P &amp; L (To Finance to compute tax) 2 3" xfId="26129" xr:uid="{00000000-0005-0000-0000-0000061E0000}"/>
    <cellStyle name="B_BotLC_HK P &amp; L (To Finance to compute tax) 20" xfId="5093" xr:uid="{00000000-0005-0000-0000-0000071E0000}"/>
    <cellStyle name="B_BotLC_HK P &amp; L (To Finance to compute tax) 20 2" xfId="5094" xr:uid="{00000000-0005-0000-0000-0000081E0000}"/>
    <cellStyle name="B_BotLC_HK P &amp; L (To Finance to compute tax) 20 3" xfId="26130" xr:uid="{00000000-0005-0000-0000-0000091E0000}"/>
    <cellStyle name="B_BotLC_HK P &amp; L (To Finance to compute tax) 21" xfId="5095" xr:uid="{00000000-0005-0000-0000-00000A1E0000}"/>
    <cellStyle name="B_BotLC_HK P &amp; L (To Finance to compute tax) 21 2" xfId="5096" xr:uid="{00000000-0005-0000-0000-00000B1E0000}"/>
    <cellStyle name="B_BotLC_HK P &amp; L (To Finance to compute tax) 21 3" xfId="26131" xr:uid="{00000000-0005-0000-0000-00000C1E0000}"/>
    <cellStyle name="B_BotLC_HK P &amp; L (To Finance to compute tax) 22" xfId="5097" xr:uid="{00000000-0005-0000-0000-00000D1E0000}"/>
    <cellStyle name="B_BotLC_HK P &amp; L (To Finance to compute tax) 22 2" xfId="5098" xr:uid="{00000000-0005-0000-0000-00000E1E0000}"/>
    <cellStyle name="B_BotLC_HK P &amp; L (To Finance to compute tax) 22 3" xfId="26132" xr:uid="{00000000-0005-0000-0000-00000F1E0000}"/>
    <cellStyle name="B_BotLC_HK P &amp; L (To Finance to compute tax) 23" xfId="5099" xr:uid="{00000000-0005-0000-0000-0000101E0000}"/>
    <cellStyle name="B_BotLC_HK P &amp; L (To Finance to compute tax) 23 2" xfId="5100" xr:uid="{00000000-0005-0000-0000-0000111E0000}"/>
    <cellStyle name="B_BotLC_HK P &amp; L (To Finance to compute tax) 23 3" xfId="26133" xr:uid="{00000000-0005-0000-0000-0000121E0000}"/>
    <cellStyle name="B_BotLC_HK P &amp; L (To Finance to compute tax) 24" xfId="5101" xr:uid="{00000000-0005-0000-0000-0000131E0000}"/>
    <cellStyle name="B_BotLC_HK P &amp; L (To Finance to compute tax) 25" xfId="26134" xr:uid="{00000000-0005-0000-0000-0000141E0000}"/>
    <cellStyle name="B_BotLC_HK P &amp; L (To Finance to compute tax) 3" xfId="5102" xr:uid="{00000000-0005-0000-0000-0000151E0000}"/>
    <cellStyle name="B_BotLC_HK P &amp; L (To Finance to compute tax) 3 2" xfId="5103" xr:uid="{00000000-0005-0000-0000-0000161E0000}"/>
    <cellStyle name="B_BotLC_HK P &amp; L (To Finance to compute tax) 3 3" xfId="26135" xr:uid="{00000000-0005-0000-0000-0000171E0000}"/>
    <cellStyle name="B_BotLC_HK P &amp; L (To Finance to compute tax) 4" xfId="5104" xr:uid="{00000000-0005-0000-0000-0000181E0000}"/>
    <cellStyle name="B_BotLC_HK P &amp; L (To Finance to compute tax) 4 2" xfId="5105" xr:uid="{00000000-0005-0000-0000-0000191E0000}"/>
    <cellStyle name="B_BotLC_HK P &amp; L (To Finance to compute tax) 4 3" xfId="26136" xr:uid="{00000000-0005-0000-0000-00001A1E0000}"/>
    <cellStyle name="B_BotLC_HK P &amp; L (To Finance to compute tax) 5" xfId="5106" xr:uid="{00000000-0005-0000-0000-00001B1E0000}"/>
    <cellStyle name="B_BotLC_HK P &amp; L (To Finance to compute tax) 5 2" xfId="5107" xr:uid="{00000000-0005-0000-0000-00001C1E0000}"/>
    <cellStyle name="B_BotLC_HK P &amp; L (To Finance to compute tax) 5 3" xfId="26137" xr:uid="{00000000-0005-0000-0000-00001D1E0000}"/>
    <cellStyle name="B_BotLC_HK P &amp; L (To Finance to compute tax) 6" xfId="5108" xr:uid="{00000000-0005-0000-0000-00001E1E0000}"/>
    <cellStyle name="B_BotLC_HK P &amp; L (To Finance to compute tax) 6 2" xfId="5109" xr:uid="{00000000-0005-0000-0000-00001F1E0000}"/>
    <cellStyle name="B_BotLC_HK P &amp; L (To Finance to compute tax) 6 3" xfId="26138" xr:uid="{00000000-0005-0000-0000-0000201E0000}"/>
    <cellStyle name="B_BotLC_HK P &amp; L (To Finance to compute tax) 7" xfId="5110" xr:uid="{00000000-0005-0000-0000-0000211E0000}"/>
    <cellStyle name="B_BotLC_HK P &amp; L (To Finance to compute tax) 7 2" xfId="5111" xr:uid="{00000000-0005-0000-0000-0000221E0000}"/>
    <cellStyle name="B_BotLC_HK P &amp; L (To Finance to compute tax) 7 3" xfId="26139" xr:uid="{00000000-0005-0000-0000-0000231E0000}"/>
    <cellStyle name="B_BotLC_HK P &amp; L (To Finance to compute tax) 8" xfId="5112" xr:uid="{00000000-0005-0000-0000-0000241E0000}"/>
    <cellStyle name="B_BotLC_HK P &amp; L (To Finance to compute tax) 8 2" xfId="5113" xr:uid="{00000000-0005-0000-0000-0000251E0000}"/>
    <cellStyle name="B_BotLC_HK P &amp; L (To Finance to compute tax) 8 3" xfId="26140" xr:uid="{00000000-0005-0000-0000-0000261E0000}"/>
    <cellStyle name="B_BotLC_HK P &amp; L (To Finance to compute tax) 9" xfId="5114" xr:uid="{00000000-0005-0000-0000-0000271E0000}"/>
    <cellStyle name="B_BotLC_HK P &amp; L (To Finance to compute tax) 9 2" xfId="5115" xr:uid="{00000000-0005-0000-0000-0000281E0000}"/>
    <cellStyle name="B_BotLC_HK P &amp; L (To Finance to compute tax) 9 3" xfId="26141" xr:uid="{00000000-0005-0000-0000-0000291E0000}"/>
    <cellStyle name="B_BotLC_HK P &amp; L (To Finance to compute tax)_PROD_DETAILS" xfId="5116" xr:uid="{00000000-0005-0000-0000-00002A1E0000}"/>
    <cellStyle name="B_BotLC_HK P &amp; L (To Finance to compute tax)_PROD_DETAILS 2" xfId="5117" xr:uid="{00000000-0005-0000-0000-00002B1E0000}"/>
    <cellStyle name="B_BotLC_HK P &amp; L (To Finance to compute tax)_PROD_DETAILS 3" xfId="26142" xr:uid="{00000000-0005-0000-0000-00002C1E0000}"/>
    <cellStyle name="B_BotLC_HK P &amp; L (To Finance to compute tax)_SOLVENCY POSITION " xfId="5118" xr:uid="{00000000-0005-0000-0000-00002D1E0000}"/>
    <cellStyle name="B_BotLC_HK P &amp; L (To Finance to compute tax)_SOLVENCY POSITION  2" xfId="5119" xr:uid="{00000000-0005-0000-0000-00002E1E0000}"/>
    <cellStyle name="B_BotLC_HK P &amp; L (To Finance to compute tax)_SOLVENCY POSITION  3" xfId="26143" xr:uid="{00000000-0005-0000-0000-00002F1E0000}"/>
    <cellStyle name="B_BotLC_HK.EEV-Apr06v2" xfId="5120" xr:uid="{00000000-0005-0000-0000-0000301E0000}"/>
    <cellStyle name="B_BotLC_HK.EEV-Apr06v2 10" xfId="5121" xr:uid="{00000000-0005-0000-0000-0000311E0000}"/>
    <cellStyle name="B_BotLC_HK.EEV-Apr06v2 10 2" xfId="5122" xr:uid="{00000000-0005-0000-0000-0000321E0000}"/>
    <cellStyle name="B_BotLC_HK.EEV-Apr06v2 10 3" xfId="26144" xr:uid="{00000000-0005-0000-0000-0000331E0000}"/>
    <cellStyle name="B_BotLC_HK.EEV-Apr06v2 11" xfId="5123" xr:uid="{00000000-0005-0000-0000-0000341E0000}"/>
    <cellStyle name="B_BotLC_HK.EEV-Apr06v2 11 2" xfId="5124" xr:uid="{00000000-0005-0000-0000-0000351E0000}"/>
    <cellStyle name="B_BotLC_HK.EEV-Apr06v2 11 3" xfId="26145" xr:uid="{00000000-0005-0000-0000-0000361E0000}"/>
    <cellStyle name="B_BotLC_HK.EEV-Apr06v2 12" xfId="5125" xr:uid="{00000000-0005-0000-0000-0000371E0000}"/>
    <cellStyle name="B_BotLC_HK.EEV-Apr06v2 12 2" xfId="5126" xr:uid="{00000000-0005-0000-0000-0000381E0000}"/>
    <cellStyle name="B_BotLC_HK.EEV-Apr06v2 12 3" xfId="26146" xr:uid="{00000000-0005-0000-0000-0000391E0000}"/>
    <cellStyle name="B_BotLC_HK.EEV-Apr06v2 13" xfId="5127" xr:uid="{00000000-0005-0000-0000-00003A1E0000}"/>
    <cellStyle name="B_BotLC_HK.EEV-Apr06v2 13 2" xfId="5128" xr:uid="{00000000-0005-0000-0000-00003B1E0000}"/>
    <cellStyle name="B_BotLC_HK.EEV-Apr06v2 13 3" xfId="26147" xr:uid="{00000000-0005-0000-0000-00003C1E0000}"/>
    <cellStyle name="B_BotLC_HK.EEV-Apr06v2 14" xfId="5129" xr:uid="{00000000-0005-0000-0000-00003D1E0000}"/>
    <cellStyle name="B_BotLC_HK.EEV-Apr06v2 14 2" xfId="5130" xr:uid="{00000000-0005-0000-0000-00003E1E0000}"/>
    <cellStyle name="B_BotLC_HK.EEV-Apr06v2 14 3" xfId="26148" xr:uid="{00000000-0005-0000-0000-00003F1E0000}"/>
    <cellStyle name="B_BotLC_HK.EEV-Apr06v2 15" xfId="5131" xr:uid="{00000000-0005-0000-0000-0000401E0000}"/>
    <cellStyle name="B_BotLC_HK.EEV-Apr06v2 15 2" xfId="5132" xr:uid="{00000000-0005-0000-0000-0000411E0000}"/>
    <cellStyle name="B_BotLC_HK.EEV-Apr06v2 15 3" xfId="26149" xr:uid="{00000000-0005-0000-0000-0000421E0000}"/>
    <cellStyle name="B_BotLC_HK.EEV-Apr06v2 16" xfId="5133" xr:uid="{00000000-0005-0000-0000-0000431E0000}"/>
    <cellStyle name="B_BotLC_HK.EEV-Apr06v2 16 2" xfId="5134" xr:uid="{00000000-0005-0000-0000-0000441E0000}"/>
    <cellStyle name="B_BotLC_HK.EEV-Apr06v2 16 3" xfId="26150" xr:uid="{00000000-0005-0000-0000-0000451E0000}"/>
    <cellStyle name="B_BotLC_HK.EEV-Apr06v2 17" xfId="5135" xr:uid="{00000000-0005-0000-0000-0000461E0000}"/>
    <cellStyle name="B_BotLC_HK.EEV-Apr06v2 17 2" xfId="5136" xr:uid="{00000000-0005-0000-0000-0000471E0000}"/>
    <cellStyle name="B_BotLC_HK.EEV-Apr06v2 17 3" xfId="26151" xr:uid="{00000000-0005-0000-0000-0000481E0000}"/>
    <cellStyle name="B_BotLC_HK.EEV-Apr06v2 18" xfId="5137" xr:uid="{00000000-0005-0000-0000-0000491E0000}"/>
    <cellStyle name="B_BotLC_HK.EEV-Apr06v2 18 2" xfId="5138" xr:uid="{00000000-0005-0000-0000-00004A1E0000}"/>
    <cellStyle name="B_BotLC_HK.EEV-Apr06v2 18 3" xfId="26152" xr:uid="{00000000-0005-0000-0000-00004B1E0000}"/>
    <cellStyle name="B_BotLC_HK.EEV-Apr06v2 19" xfId="5139" xr:uid="{00000000-0005-0000-0000-00004C1E0000}"/>
    <cellStyle name="B_BotLC_HK.EEV-Apr06v2 19 2" xfId="5140" xr:uid="{00000000-0005-0000-0000-00004D1E0000}"/>
    <cellStyle name="B_BotLC_HK.EEV-Apr06v2 19 3" xfId="26153" xr:uid="{00000000-0005-0000-0000-00004E1E0000}"/>
    <cellStyle name="B_BotLC_HK.EEV-Apr06v2 2" xfId="5141" xr:uid="{00000000-0005-0000-0000-00004F1E0000}"/>
    <cellStyle name="B_BotLC_HK.EEV-Apr06v2 2 2" xfId="5142" xr:uid="{00000000-0005-0000-0000-0000501E0000}"/>
    <cellStyle name="B_BotLC_HK.EEV-Apr06v2 2 3" xfId="26154" xr:uid="{00000000-0005-0000-0000-0000511E0000}"/>
    <cellStyle name="B_BotLC_HK.EEV-Apr06v2 20" xfId="5143" xr:uid="{00000000-0005-0000-0000-0000521E0000}"/>
    <cellStyle name="B_BotLC_HK.EEV-Apr06v2 20 2" xfId="5144" xr:uid="{00000000-0005-0000-0000-0000531E0000}"/>
    <cellStyle name="B_BotLC_HK.EEV-Apr06v2 20 3" xfId="26155" xr:uid="{00000000-0005-0000-0000-0000541E0000}"/>
    <cellStyle name="B_BotLC_HK.EEV-Apr06v2 21" xfId="5145" xr:uid="{00000000-0005-0000-0000-0000551E0000}"/>
    <cellStyle name="B_BotLC_HK.EEV-Apr06v2 21 2" xfId="5146" xr:uid="{00000000-0005-0000-0000-0000561E0000}"/>
    <cellStyle name="B_BotLC_HK.EEV-Apr06v2 21 3" xfId="26156" xr:uid="{00000000-0005-0000-0000-0000571E0000}"/>
    <cellStyle name="B_BotLC_HK.EEV-Apr06v2 22" xfId="5147" xr:uid="{00000000-0005-0000-0000-0000581E0000}"/>
    <cellStyle name="B_BotLC_HK.EEV-Apr06v2 22 2" xfId="5148" xr:uid="{00000000-0005-0000-0000-0000591E0000}"/>
    <cellStyle name="B_BotLC_HK.EEV-Apr06v2 22 3" xfId="26157" xr:uid="{00000000-0005-0000-0000-00005A1E0000}"/>
    <cellStyle name="B_BotLC_HK.EEV-Apr06v2 23" xfId="5149" xr:uid="{00000000-0005-0000-0000-00005B1E0000}"/>
    <cellStyle name="B_BotLC_HK.EEV-Apr06v2 23 2" xfId="5150" xr:uid="{00000000-0005-0000-0000-00005C1E0000}"/>
    <cellStyle name="B_BotLC_HK.EEV-Apr06v2 23 3" xfId="26158" xr:uid="{00000000-0005-0000-0000-00005D1E0000}"/>
    <cellStyle name="B_BotLC_HK.EEV-Apr06v2 24" xfId="5151" xr:uid="{00000000-0005-0000-0000-00005E1E0000}"/>
    <cellStyle name="B_BotLC_HK.EEV-Apr06v2 25" xfId="26159" xr:uid="{00000000-0005-0000-0000-00005F1E0000}"/>
    <cellStyle name="B_BotLC_HK.EEV-Apr06v2 3" xfId="5152" xr:uid="{00000000-0005-0000-0000-0000601E0000}"/>
    <cellStyle name="B_BotLC_HK.EEV-Apr06v2 3 2" xfId="5153" xr:uid="{00000000-0005-0000-0000-0000611E0000}"/>
    <cellStyle name="B_BotLC_HK.EEV-Apr06v2 3 3" xfId="26160" xr:uid="{00000000-0005-0000-0000-0000621E0000}"/>
    <cellStyle name="B_BotLC_HK.EEV-Apr06v2 4" xfId="5154" xr:uid="{00000000-0005-0000-0000-0000631E0000}"/>
    <cellStyle name="B_BotLC_HK.EEV-Apr06v2 4 2" xfId="5155" xr:uid="{00000000-0005-0000-0000-0000641E0000}"/>
    <cellStyle name="B_BotLC_HK.EEV-Apr06v2 4 3" xfId="26161" xr:uid="{00000000-0005-0000-0000-0000651E0000}"/>
    <cellStyle name="B_BotLC_HK.EEV-Apr06v2 5" xfId="5156" xr:uid="{00000000-0005-0000-0000-0000661E0000}"/>
    <cellStyle name="B_BotLC_HK.EEV-Apr06v2 5 2" xfId="5157" xr:uid="{00000000-0005-0000-0000-0000671E0000}"/>
    <cellStyle name="B_BotLC_HK.EEV-Apr06v2 5 3" xfId="26162" xr:uid="{00000000-0005-0000-0000-0000681E0000}"/>
    <cellStyle name="B_BotLC_HK.EEV-Apr06v2 6" xfId="5158" xr:uid="{00000000-0005-0000-0000-0000691E0000}"/>
    <cellStyle name="B_BotLC_HK.EEV-Apr06v2 6 2" xfId="5159" xr:uid="{00000000-0005-0000-0000-00006A1E0000}"/>
    <cellStyle name="B_BotLC_HK.EEV-Apr06v2 6 3" xfId="26163" xr:uid="{00000000-0005-0000-0000-00006B1E0000}"/>
    <cellStyle name="B_BotLC_HK.EEV-Apr06v2 7" xfId="5160" xr:uid="{00000000-0005-0000-0000-00006C1E0000}"/>
    <cellStyle name="B_BotLC_HK.EEV-Apr06v2 7 2" xfId="5161" xr:uid="{00000000-0005-0000-0000-00006D1E0000}"/>
    <cellStyle name="B_BotLC_HK.EEV-Apr06v2 7 3" xfId="26164" xr:uid="{00000000-0005-0000-0000-00006E1E0000}"/>
    <cellStyle name="B_BotLC_HK.EEV-Apr06v2 8" xfId="5162" xr:uid="{00000000-0005-0000-0000-00006F1E0000}"/>
    <cellStyle name="B_BotLC_HK.EEV-Apr06v2 8 2" xfId="5163" xr:uid="{00000000-0005-0000-0000-0000701E0000}"/>
    <cellStyle name="B_BotLC_HK.EEV-Apr06v2 8 3" xfId="26165" xr:uid="{00000000-0005-0000-0000-0000711E0000}"/>
    <cellStyle name="B_BotLC_HK.EEV-Apr06v2 9" xfId="5164" xr:uid="{00000000-0005-0000-0000-0000721E0000}"/>
    <cellStyle name="B_BotLC_HK.EEV-Apr06v2 9 2" xfId="5165" xr:uid="{00000000-0005-0000-0000-0000731E0000}"/>
    <cellStyle name="B_BotLC_HK.EEV-Apr06v2 9 3" xfId="26166" xr:uid="{00000000-0005-0000-0000-0000741E0000}"/>
    <cellStyle name="B_BotLC_HK.EEV-Apr06v2_HK.EEV-May06 4+2 kkh" xfId="5166" xr:uid="{00000000-0005-0000-0000-0000751E0000}"/>
    <cellStyle name="B_BotLC_HK.EEV-Apr06v2_HK.EEV-May06 4+2 kkh 10" xfId="5167" xr:uid="{00000000-0005-0000-0000-0000761E0000}"/>
    <cellStyle name="B_BotLC_HK.EEV-Apr06v2_HK.EEV-May06 4+2 kkh 10 2" xfId="5168" xr:uid="{00000000-0005-0000-0000-0000771E0000}"/>
    <cellStyle name="B_BotLC_HK.EEV-Apr06v2_HK.EEV-May06 4+2 kkh 10 3" xfId="26167" xr:uid="{00000000-0005-0000-0000-0000781E0000}"/>
    <cellStyle name="B_BotLC_HK.EEV-Apr06v2_HK.EEV-May06 4+2 kkh 11" xfId="5169" xr:uid="{00000000-0005-0000-0000-0000791E0000}"/>
    <cellStyle name="B_BotLC_HK.EEV-Apr06v2_HK.EEV-May06 4+2 kkh 11 2" xfId="5170" xr:uid="{00000000-0005-0000-0000-00007A1E0000}"/>
    <cellStyle name="B_BotLC_HK.EEV-Apr06v2_HK.EEV-May06 4+2 kkh 11 3" xfId="26168" xr:uid="{00000000-0005-0000-0000-00007B1E0000}"/>
    <cellStyle name="B_BotLC_HK.EEV-Apr06v2_HK.EEV-May06 4+2 kkh 12" xfId="5171" xr:uid="{00000000-0005-0000-0000-00007C1E0000}"/>
    <cellStyle name="B_BotLC_HK.EEV-Apr06v2_HK.EEV-May06 4+2 kkh 12 2" xfId="5172" xr:uid="{00000000-0005-0000-0000-00007D1E0000}"/>
    <cellStyle name="B_BotLC_HK.EEV-Apr06v2_HK.EEV-May06 4+2 kkh 12 3" xfId="26169" xr:uid="{00000000-0005-0000-0000-00007E1E0000}"/>
    <cellStyle name="B_BotLC_HK.EEV-Apr06v2_HK.EEV-May06 4+2 kkh 13" xfId="5173" xr:uid="{00000000-0005-0000-0000-00007F1E0000}"/>
    <cellStyle name="B_BotLC_HK.EEV-Apr06v2_HK.EEV-May06 4+2 kkh 13 2" xfId="5174" xr:uid="{00000000-0005-0000-0000-0000801E0000}"/>
    <cellStyle name="B_BotLC_HK.EEV-Apr06v2_HK.EEV-May06 4+2 kkh 13 3" xfId="26170" xr:uid="{00000000-0005-0000-0000-0000811E0000}"/>
    <cellStyle name="B_BotLC_HK.EEV-Apr06v2_HK.EEV-May06 4+2 kkh 14" xfId="5175" xr:uid="{00000000-0005-0000-0000-0000821E0000}"/>
    <cellStyle name="B_BotLC_HK.EEV-Apr06v2_HK.EEV-May06 4+2 kkh 14 2" xfId="5176" xr:uid="{00000000-0005-0000-0000-0000831E0000}"/>
    <cellStyle name="B_BotLC_HK.EEV-Apr06v2_HK.EEV-May06 4+2 kkh 14 3" xfId="26171" xr:uid="{00000000-0005-0000-0000-0000841E0000}"/>
    <cellStyle name="B_BotLC_HK.EEV-Apr06v2_HK.EEV-May06 4+2 kkh 15" xfId="5177" xr:uid="{00000000-0005-0000-0000-0000851E0000}"/>
    <cellStyle name="B_BotLC_HK.EEV-Apr06v2_HK.EEV-May06 4+2 kkh 15 2" xfId="5178" xr:uid="{00000000-0005-0000-0000-0000861E0000}"/>
    <cellStyle name="B_BotLC_HK.EEV-Apr06v2_HK.EEV-May06 4+2 kkh 15 3" xfId="26172" xr:uid="{00000000-0005-0000-0000-0000871E0000}"/>
    <cellStyle name="B_BotLC_HK.EEV-Apr06v2_HK.EEV-May06 4+2 kkh 16" xfId="5179" xr:uid="{00000000-0005-0000-0000-0000881E0000}"/>
    <cellStyle name="B_BotLC_HK.EEV-Apr06v2_HK.EEV-May06 4+2 kkh 16 2" xfId="5180" xr:uid="{00000000-0005-0000-0000-0000891E0000}"/>
    <cellStyle name="B_BotLC_HK.EEV-Apr06v2_HK.EEV-May06 4+2 kkh 16 3" xfId="26173" xr:uid="{00000000-0005-0000-0000-00008A1E0000}"/>
    <cellStyle name="B_BotLC_HK.EEV-Apr06v2_HK.EEV-May06 4+2 kkh 17" xfId="5181" xr:uid="{00000000-0005-0000-0000-00008B1E0000}"/>
    <cellStyle name="B_BotLC_HK.EEV-Apr06v2_HK.EEV-May06 4+2 kkh 17 2" xfId="5182" xr:uid="{00000000-0005-0000-0000-00008C1E0000}"/>
    <cellStyle name="B_BotLC_HK.EEV-Apr06v2_HK.EEV-May06 4+2 kkh 17 3" xfId="26174" xr:uid="{00000000-0005-0000-0000-00008D1E0000}"/>
    <cellStyle name="B_BotLC_HK.EEV-Apr06v2_HK.EEV-May06 4+2 kkh 18" xfId="5183" xr:uid="{00000000-0005-0000-0000-00008E1E0000}"/>
    <cellStyle name="B_BotLC_HK.EEV-Apr06v2_HK.EEV-May06 4+2 kkh 18 2" xfId="5184" xr:uid="{00000000-0005-0000-0000-00008F1E0000}"/>
    <cellStyle name="B_BotLC_HK.EEV-Apr06v2_HK.EEV-May06 4+2 kkh 18 3" xfId="26175" xr:uid="{00000000-0005-0000-0000-0000901E0000}"/>
    <cellStyle name="B_BotLC_HK.EEV-Apr06v2_HK.EEV-May06 4+2 kkh 19" xfId="5185" xr:uid="{00000000-0005-0000-0000-0000911E0000}"/>
    <cellStyle name="B_BotLC_HK.EEV-Apr06v2_HK.EEV-May06 4+2 kkh 19 2" xfId="5186" xr:uid="{00000000-0005-0000-0000-0000921E0000}"/>
    <cellStyle name="B_BotLC_HK.EEV-Apr06v2_HK.EEV-May06 4+2 kkh 19 3" xfId="26176" xr:uid="{00000000-0005-0000-0000-0000931E0000}"/>
    <cellStyle name="B_BotLC_HK.EEV-Apr06v2_HK.EEV-May06 4+2 kkh 2" xfId="5187" xr:uid="{00000000-0005-0000-0000-0000941E0000}"/>
    <cellStyle name="B_BotLC_HK.EEV-Apr06v2_HK.EEV-May06 4+2 kkh 2 2" xfId="5188" xr:uid="{00000000-0005-0000-0000-0000951E0000}"/>
    <cellStyle name="B_BotLC_HK.EEV-Apr06v2_HK.EEV-May06 4+2 kkh 2 3" xfId="26177" xr:uid="{00000000-0005-0000-0000-0000961E0000}"/>
    <cellStyle name="B_BotLC_HK.EEV-Apr06v2_HK.EEV-May06 4+2 kkh 20" xfId="5189" xr:uid="{00000000-0005-0000-0000-0000971E0000}"/>
    <cellStyle name="B_BotLC_HK.EEV-Apr06v2_HK.EEV-May06 4+2 kkh 20 2" xfId="5190" xr:uid="{00000000-0005-0000-0000-0000981E0000}"/>
    <cellStyle name="B_BotLC_HK.EEV-Apr06v2_HK.EEV-May06 4+2 kkh 20 3" xfId="26178" xr:uid="{00000000-0005-0000-0000-0000991E0000}"/>
    <cellStyle name="B_BotLC_HK.EEV-Apr06v2_HK.EEV-May06 4+2 kkh 21" xfId="5191" xr:uid="{00000000-0005-0000-0000-00009A1E0000}"/>
    <cellStyle name="B_BotLC_HK.EEV-Apr06v2_HK.EEV-May06 4+2 kkh 21 2" xfId="5192" xr:uid="{00000000-0005-0000-0000-00009B1E0000}"/>
    <cellStyle name="B_BotLC_HK.EEV-Apr06v2_HK.EEV-May06 4+2 kkh 21 3" xfId="26179" xr:uid="{00000000-0005-0000-0000-00009C1E0000}"/>
    <cellStyle name="B_BotLC_HK.EEV-Apr06v2_HK.EEV-May06 4+2 kkh 22" xfId="5193" xr:uid="{00000000-0005-0000-0000-00009D1E0000}"/>
    <cellStyle name="B_BotLC_HK.EEV-Apr06v2_HK.EEV-May06 4+2 kkh 22 2" xfId="5194" xr:uid="{00000000-0005-0000-0000-00009E1E0000}"/>
    <cellStyle name="B_BotLC_HK.EEV-Apr06v2_HK.EEV-May06 4+2 kkh 22 3" xfId="26180" xr:uid="{00000000-0005-0000-0000-00009F1E0000}"/>
    <cellStyle name="B_BotLC_HK.EEV-Apr06v2_HK.EEV-May06 4+2 kkh 23" xfId="5195" xr:uid="{00000000-0005-0000-0000-0000A01E0000}"/>
    <cellStyle name="B_BotLC_HK.EEV-Apr06v2_HK.EEV-May06 4+2 kkh 23 2" xfId="5196" xr:uid="{00000000-0005-0000-0000-0000A11E0000}"/>
    <cellStyle name="B_BotLC_HK.EEV-Apr06v2_HK.EEV-May06 4+2 kkh 23 3" xfId="26181" xr:uid="{00000000-0005-0000-0000-0000A21E0000}"/>
    <cellStyle name="B_BotLC_HK.EEV-Apr06v2_HK.EEV-May06 4+2 kkh 24" xfId="5197" xr:uid="{00000000-0005-0000-0000-0000A31E0000}"/>
    <cellStyle name="B_BotLC_HK.EEV-Apr06v2_HK.EEV-May06 4+2 kkh 25" xfId="26182" xr:uid="{00000000-0005-0000-0000-0000A41E0000}"/>
    <cellStyle name="B_BotLC_HK.EEV-Apr06v2_HK.EEV-May06 4+2 kkh 3" xfId="5198" xr:uid="{00000000-0005-0000-0000-0000A51E0000}"/>
    <cellStyle name="B_BotLC_HK.EEV-Apr06v2_HK.EEV-May06 4+2 kkh 3 2" xfId="5199" xr:uid="{00000000-0005-0000-0000-0000A61E0000}"/>
    <cellStyle name="B_BotLC_HK.EEV-Apr06v2_HK.EEV-May06 4+2 kkh 3 3" xfId="26183" xr:uid="{00000000-0005-0000-0000-0000A71E0000}"/>
    <cellStyle name="B_BotLC_HK.EEV-Apr06v2_HK.EEV-May06 4+2 kkh 4" xfId="5200" xr:uid="{00000000-0005-0000-0000-0000A81E0000}"/>
    <cellStyle name="B_BotLC_HK.EEV-Apr06v2_HK.EEV-May06 4+2 kkh 4 2" xfId="5201" xr:uid="{00000000-0005-0000-0000-0000A91E0000}"/>
    <cellStyle name="B_BotLC_HK.EEV-Apr06v2_HK.EEV-May06 4+2 kkh 4 3" xfId="26184" xr:uid="{00000000-0005-0000-0000-0000AA1E0000}"/>
    <cellStyle name="B_BotLC_HK.EEV-Apr06v2_HK.EEV-May06 4+2 kkh 5" xfId="5202" xr:uid="{00000000-0005-0000-0000-0000AB1E0000}"/>
    <cellStyle name="B_BotLC_HK.EEV-Apr06v2_HK.EEV-May06 4+2 kkh 5 2" xfId="5203" xr:uid="{00000000-0005-0000-0000-0000AC1E0000}"/>
    <cellStyle name="B_BotLC_HK.EEV-Apr06v2_HK.EEV-May06 4+2 kkh 5 3" xfId="26185" xr:uid="{00000000-0005-0000-0000-0000AD1E0000}"/>
    <cellStyle name="B_BotLC_HK.EEV-Apr06v2_HK.EEV-May06 4+2 kkh 6" xfId="5204" xr:uid="{00000000-0005-0000-0000-0000AE1E0000}"/>
    <cellStyle name="B_BotLC_HK.EEV-Apr06v2_HK.EEV-May06 4+2 kkh 6 2" xfId="5205" xr:uid="{00000000-0005-0000-0000-0000AF1E0000}"/>
    <cellStyle name="B_BotLC_HK.EEV-Apr06v2_HK.EEV-May06 4+2 kkh 6 3" xfId="26186" xr:uid="{00000000-0005-0000-0000-0000B01E0000}"/>
    <cellStyle name="B_BotLC_HK.EEV-Apr06v2_HK.EEV-May06 4+2 kkh 7" xfId="5206" xr:uid="{00000000-0005-0000-0000-0000B11E0000}"/>
    <cellStyle name="B_BotLC_HK.EEV-Apr06v2_HK.EEV-May06 4+2 kkh 7 2" xfId="5207" xr:uid="{00000000-0005-0000-0000-0000B21E0000}"/>
    <cellStyle name="B_BotLC_HK.EEV-Apr06v2_HK.EEV-May06 4+2 kkh 7 3" xfId="26187" xr:uid="{00000000-0005-0000-0000-0000B31E0000}"/>
    <cellStyle name="B_BotLC_HK.EEV-Apr06v2_HK.EEV-May06 4+2 kkh 8" xfId="5208" xr:uid="{00000000-0005-0000-0000-0000B41E0000}"/>
    <cellStyle name="B_BotLC_HK.EEV-Apr06v2_HK.EEV-May06 4+2 kkh 8 2" xfId="5209" xr:uid="{00000000-0005-0000-0000-0000B51E0000}"/>
    <cellStyle name="B_BotLC_HK.EEV-Apr06v2_HK.EEV-May06 4+2 kkh 8 3" xfId="26188" xr:uid="{00000000-0005-0000-0000-0000B61E0000}"/>
    <cellStyle name="B_BotLC_HK.EEV-Apr06v2_HK.EEV-May06 4+2 kkh 9" xfId="5210" xr:uid="{00000000-0005-0000-0000-0000B71E0000}"/>
    <cellStyle name="B_BotLC_HK.EEV-Apr06v2_HK.EEV-May06 4+2 kkh 9 2" xfId="5211" xr:uid="{00000000-0005-0000-0000-0000B81E0000}"/>
    <cellStyle name="B_BotLC_HK.EEV-Apr06v2_HK.EEV-May06 4+2 kkh 9 3" xfId="26189" xr:uid="{00000000-0005-0000-0000-0000B91E0000}"/>
    <cellStyle name="B_BotLC_HK.EEV-Apr06v2_HK.EEV-May06 4+2 kkh_PROD_DETAILS" xfId="5212" xr:uid="{00000000-0005-0000-0000-0000BA1E0000}"/>
    <cellStyle name="B_BotLC_HK.EEV-Apr06v2_HK.EEV-May06 4+2 kkh_PROD_DETAILS 2" xfId="5213" xr:uid="{00000000-0005-0000-0000-0000BB1E0000}"/>
    <cellStyle name="B_BotLC_HK.EEV-Apr06v2_HK.EEV-May06 4+2 kkh_PROD_DETAILS 3" xfId="26190" xr:uid="{00000000-0005-0000-0000-0000BC1E0000}"/>
    <cellStyle name="B_BotLC_HK.EEV-Apr06v2_HK.EEV-May06 4+2 kkh_SOLVENCY POSITION " xfId="5214" xr:uid="{00000000-0005-0000-0000-0000BD1E0000}"/>
    <cellStyle name="B_BotLC_HK.EEV-Apr06v2_HK.EEV-May06 4+2 kkh_SOLVENCY POSITION  2" xfId="5215" xr:uid="{00000000-0005-0000-0000-0000BE1E0000}"/>
    <cellStyle name="B_BotLC_HK.EEV-Apr06v2_HK.EEV-May06 4+2 kkh_SOLVENCY POSITION  3" xfId="26191" xr:uid="{00000000-0005-0000-0000-0000BF1E0000}"/>
    <cellStyle name="B_BotLC_HK.EEV-Apr06v2_PROD_DETAILS" xfId="5216" xr:uid="{00000000-0005-0000-0000-0000C01E0000}"/>
    <cellStyle name="B_BotLC_HK.EEV-Apr06v2_PROD_DETAILS 2" xfId="5217" xr:uid="{00000000-0005-0000-0000-0000C11E0000}"/>
    <cellStyle name="B_BotLC_HK.EEV-Apr06v2_PROD_DETAILS 3" xfId="26192" xr:uid="{00000000-0005-0000-0000-0000C21E0000}"/>
    <cellStyle name="B_BotLC_HK.EEV-Apr06v2_SOLVENCY POSITION " xfId="5218" xr:uid="{00000000-0005-0000-0000-0000C31E0000}"/>
    <cellStyle name="B_BotLC_HK.EEV-Apr06v2_SOLVENCY POSITION  2" xfId="5219" xr:uid="{00000000-0005-0000-0000-0000C41E0000}"/>
    <cellStyle name="B_BotLC_HK.EEV-Apr06v2_SOLVENCY POSITION  3" xfId="26193" xr:uid="{00000000-0005-0000-0000-0000C51E0000}"/>
    <cellStyle name="B_BotLC_HK.EEV-Jun06 07-09 2006 (QF3)" xfId="5220" xr:uid="{00000000-0005-0000-0000-0000C61E0000}"/>
    <cellStyle name="B_BotLC_HK.EEV-Jun06 07-09 2006 (QF3) 10" xfId="5221" xr:uid="{00000000-0005-0000-0000-0000C71E0000}"/>
    <cellStyle name="B_BotLC_HK.EEV-Jun06 07-09 2006 (QF3) 10 2" xfId="5222" xr:uid="{00000000-0005-0000-0000-0000C81E0000}"/>
    <cellStyle name="B_BotLC_HK.EEV-Jun06 07-09 2006 (QF3) 10 3" xfId="26194" xr:uid="{00000000-0005-0000-0000-0000C91E0000}"/>
    <cellStyle name="B_BotLC_HK.EEV-Jun06 07-09 2006 (QF3) 11" xfId="5223" xr:uid="{00000000-0005-0000-0000-0000CA1E0000}"/>
    <cellStyle name="B_BotLC_HK.EEV-Jun06 07-09 2006 (QF3) 11 2" xfId="5224" xr:uid="{00000000-0005-0000-0000-0000CB1E0000}"/>
    <cellStyle name="B_BotLC_HK.EEV-Jun06 07-09 2006 (QF3) 11 3" xfId="26195" xr:uid="{00000000-0005-0000-0000-0000CC1E0000}"/>
    <cellStyle name="B_BotLC_HK.EEV-Jun06 07-09 2006 (QF3) 12" xfId="5225" xr:uid="{00000000-0005-0000-0000-0000CD1E0000}"/>
    <cellStyle name="B_BotLC_HK.EEV-Jun06 07-09 2006 (QF3) 12 2" xfId="5226" xr:uid="{00000000-0005-0000-0000-0000CE1E0000}"/>
    <cellStyle name="B_BotLC_HK.EEV-Jun06 07-09 2006 (QF3) 12 3" xfId="26196" xr:uid="{00000000-0005-0000-0000-0000CF1E0000}"/>
    <cellStyle name="B_BotLC_HK.EEV-Jun06 07-09 2006 (QF3) 13" xfId="5227" xr:uid="{00000000-0005-0000-0000-0000D01E0000}"/>
    <cellStyle name="B_BotLC_HK.EEV-Jun06 07-09 2006 (QF3) 13 2" xfId="5228" xr:uid="{00000000-0005-0000-0000-0000D11E0000}"/>
    <cellStyle name="B_BotLC_HK.EEV-Jun06 07-09 2006 (QF3) 13 3" xfId="26197" xr:uid="{00000000-0005-0000-0000-0000D21E0000}"/>
    <cellStyle name="B_BotLC_HK.EEV-Jun06 07-09 2006 (QF3) 14" xfId="5229" xr:uid="{00000000-0005-0000-0000-0000D31E0000}"/>
    <cellStyle name="B_BotLC_HK.EEV-Jun06 07-09 2006 (QF3) 14 2" xfId="5230" xr:uid="{00000000-0005-0000-0000-0000D41E0000}"/>
    <cellStyle name="B_BotLC_HK.EEV-Jun06 07-09 2006 (QF3) 14 3" xfId="26198" xr:uid="{00000000-0005-0000-0000-0000D51E0000}"/>
    <cellStyle name="B_BotLC_HK.EEV-Jun06 07-09 2006 (QF3) 15" xfId="5231" xr:uid="{00000000-0005-0000-0000-0000D61E0000}"/>
    <cellStyle name="B_BotLC_HK.EEV-Jun06 07-09 2006 (QF3) 15 2" xfId="5232" xr:uid="{00000000-0005-0000-0000-0000D71E0000}"/>
    <cellStyle name="B_BotLC_HK.EEV-Jun06 07-09 2006 (QF3) 15 3" xfId="26199" xr:uid="{00000000-0005-0000-0000-0000D81E0000}"/>
    <cellStyle name="B_BotLC_HK.EEV-Jun06 07-09 2006 (QF3) 16" xfId="5233" xr:uid="{00000000-0005-0000-0000-0000D91E0000}"/>
    <cellStyle name="B_BotLC_HK.EEV-Jun06 07-09 2006 (QF3) 16 2" xfId="5234" xr:uid="{00000000-0005-0000-0000-0000DA1E0000}"/>
    <cellStyle name="B_BotLC_HK.EEV-Jun06 07-09 2006 (QF3) 16 3" xfId="26200" xr:uid="{00000000-0005-0000-0000-0000DB1E0000}"/>
    <cellStyle name="B_BotLC_HK.EEV-Jun06 07-09 2006 (QF3) 17" xfId="5235" xr:uid="{00000000-0005-0000-0000-0000DC1E0000}"/>
    <cellStyle name="B_BotLC_HK.EEV-Jun06 07-09 2006 (QF3) 17 2" xfId="5236" xr:uid="{00000000-0005-0000-0000-0000DD1E0000}"/>
    <cellStyle name="B_BotLC_HK.EEV-Jun06 07-09 2006 (QF3) 17 3" xfId="26201" xr:uid="{00000000-0005-0000-0000-0000DE1E0000}"/>
    <cellStyle name="B_BotLC_HK.EEV-Jun06 07-09 2006 (QF3) 18" xfId="5237" xr:uid="{00000000-0005-0000-0000-0000DF1E0000}"/>
    <cellStyle name="B_BotLC_HK.EEV-Jun06 07-09 2006 (QF3) 18 2" xfId="5238" xr:uid="{00000000-0005-0000-0000-0000E01E0000}"/>
    <cellStyle name="B_BotLC_HK.EEV-Jun06 07-09 2006 (QF3) 18 3" xfId="26202" xr:uid="{00000000-0005-0000-0000-0000E11E0000}"/>
    <cellStyle name="B_BotLC_HK.EEV-Jun06 07-09 2006 (QF3) 19" xfId="5239" xr:uid="{00000000-0005-0000-0000-0000E21E0000}"/>
    <cellStyle name="B_BotLC_HK.EEV-Jun06 07-09 2006 (QF3) 19 2" xfId="5240" xr:uid="{00000000-0005-0000-0000-0000E31E0000}"/>
    <cellStyle name="B_BotLC_HK.EEV-Jun06 07-09 2006 (QF3) 19 3" xfId="26203" xr:uid="{00000000-0005-0000-0000-0000E41E0000}"/>
    <cellStyle name="B_BotLC_HK.EEV-Jun06 07-09 2006 (QF3) 2" xfId="5241" xr:uid="{00000000-0005-0000-0000-0000E51E0000}"/>
    <cellStyle name="B_BotLC_HK.EEV-Jun06 07-09 2006 (QF3) 2 2" xfId="5242" xr:uid="{00000000-0005-0000-0000-0000E61E0000}"/>
    <cellStyle name="B_BotLC_HK.EEV-Jun06 07-09 2006 (QF3) 2 3" xfId="26204" xr:uid="{00000000-0005-0000-0000-0000E71E0000}"/>
    <cellStyle name="B_BotLC_HK.EEV-Jun06 07-09 2006 (QF3) 20" xfId="5243" xr:uid="{00000000-0005-0000-0000-0000E81E0000}"/>
    <cellStyle name="B_BotLC_HK.EEV-Jun06 07-09 2006 (QF3) 20 2" xfId="5244" xr:uid="{00000000-0005-0000-0000-0000E91E0000}"/>
    <cellStyle name="B_BotLC_HK.EEV-Jun06 07-09 2006 (QF3) 20 3" xfId="26205" xr:uid="{00000000-0005-0000-0000-0000EA1E0000}"/>
    <cellStyle name="B_BotLC_HK.EEV-Jun06 07-09 2006 (QF3) 21" xfId="5245" xr:uid="{00000000-0005-0000-0000-0000EB1E0000}"/>
    <cellStyle name="B_BotLC_HK.EEV-Jun06 07-09 2006 (QF3) 21 2" xfId="5246" xr:uid="{00000000-0005-0000-0000-0000EC1E0000}"/>
    <cellStyle name="B_BotLC_HK.EEV-Jun06 07-09 2006 (QF3) 21 3" xfId="26206" xr:uid="{00000000-0005-0000-0000-0000ED1E0000}"/>
    <cellStyle name="B_BotLC_HK.EEV-Jun06 07-09 2006 (QF3) 22" xfId="5247" xr:uid="{00000000-0005-0000-0000-0000EE1E0000}"/>
    <cellStyle name="B_BotLC_HK.EEV-Jun06 07-09 2006 (QF3) 22 2" xfId="5248" xr:uid="{00000000-0005-0000-0000-0000EF1E0000}"/>
    <cellStyle name="B_BotLC_HK.EEV-Jun06 07-09 2006 (QF3) 22 3" xfId="26207" xr:uid="{00000000-0005-0000-0000-0000F01E0000}"/>
    <cellStyle name="B_BotLC_HK.EEV-Jun06 07-09 2006 (QF3) 23" xfId="5249" xr:uid="{00000000-0005-0000-0000-0000F11E0000}"/>
    <cellStyle name="B_BotLC_HK.EEV-Jun06 07-09 2006 (QF3) 23 2" xfId="5250" xr:uid="{00000000-0005-0000-0000-0000F21E0000}"/>
    <cellStyle name="B_BotLC_HK.EEV-Jun06 07-09 2006 (QF3) 23 3" xfId="26208" xr:uid="{00000000-0005-0000-0000-0000F31E0000}"/>
    <cellStyle name="B_BotLC_HK.EEV-Jun06 07-09 2006 (QF3) 24" xfId="5251" xr:uid="{00000000-0005-0000-0000-0000F41E0000}"/>
    <cellStyle name="B_BotLC_HK.EEV-Jun06 07-09 2006 (QF3) 25" xfId="26209" xr:uid="{00000000-0005-0000-0000-0000F51E0000}"/>
    <cellStyle name="B_BotLC_HK.EEV-Jun06 07-09 2006 (QF3) 3" xfId="5252" xr:uid="{00000000-0005-0000-0000-0000F61E0000}"/>
    <cellStyle name="B_BotLC_HK.EEV-Jun06 07-09 2006 (QF3) 3 2" xfId="5253" xr:uid="{00000000-0005-0000-0000-0000F71E0000}"/>
    <cellStyle name="B_BotLC_HK.EEV-Jun06 07-09 2006 (QF3) 3 3" xfId="26210" xr:uid="{00000000-0005-0000-0000-0000F81E0000}"/>
    <cellStyle name="B_BotLC_HK.EEV-Jun06 07-09 2006 (QF3) 4" xfId="5254" xr:uid="{00000000-0005-0000-0000-0000F91E0000}"/>
    <cellStyle name="B_BotLC_HK.EEV-Jun06 07-09 2006 (QF3) 4 2" xfId="5255" xr:uid="{00000000-0005-0000-0000-0000FA1E0000}"/>
    <cellStyle name="B_BotLC_HK.EEV-Jun06 07-09 2006 (QF3) 4 3" xfId="26211" xr:uid="{00000000-0005-0000-0000-0000FB1E0000}"/>
    <cellStyle name="B_BotLC_HK.EEV-Jun06 07-09 2006 (QF3) 5" xfId="5256" xr:uid="{00000000-0005-0000-0000-0000FC1E0000}"/>
    <cellStyle name="B_BotLC_HK.EEV-Jun06 07-09 2006 (QF3) 5 2" xfId="5257" xr:uid="{00000000-0005-0000-0000-0000FD1E0000}"/>
    <cellStyle name="B_BotLC_HK.EEV-Jun06 07-09 2006 (QF3) 5 3" xfId="26212" xr:uid="{00000000-0005-0000-0000-0000FE1E0000}"/>
    <cellStyle name="B_BotLC_HK.EEV-Jun06 07-09 2006 (QF3) 6" xfId="5258" xr:uid="{00000000-0005-0000-0000-0000FF1E0000}"/>
    <cellStyle name="B_BotLC_HK.EEV-Jun06 07-09 2006 (QF3) 6 2" xfId="5259" xr:uid="{00000000-0005-0000-0000-0000001F0000}"/>
    <cellStyle name="B_BotLC_HK.EEV-Jun06 07-09 2006 (QF3) 6 3" xfId="26213" xr:uid="{00000000-0005-0000-0000-0000011F0000}"/>
    <cellStyle name="B_BotLC_HK.EEV-Jun06 07-09 2006 (QF3) 7" xfId="5260" xr:uid="{00000000-0005-0000-0000-0000021F0000}"/>
    <cellStyle name="B_BotLC_HK.EEV-Jun06 07-09 2006 (QF3) 7 2" xfId="5261" xr:uid="{00000000-0005-0000-0000-0000031F0000}"/>
    <cellStyle name="B_BotLC_HK.EEV-Jun06 07-09 2006 (QF3) 7 3" xfId="26214" xr:uid="{00000000-0005-0000-0000-0000041F0000}"/>
    <cellStyle name="B_BotLC_HK.EEV-Jun06 07-09 2006 (QF3) 8" xfId="5262" xr:uid="{00000000-0005-0000-0000-0000051F0000}"/>
    <cellStyle name="B_BotLC_HK.EEV-Jun06 07-09 2006 (QF3) 8 2" xfId="5263" xr:uid="{00000000-0005-0000-0000-0000061F0000}"/>
    <cellStyle name="B_BotLC_HK.EEV-Jun06 07-09 2006 (QF3) 8 3" xfId="26215" xr:uid="{00000000-0005-0000-0000-0000071F0000}"/>
    <cellStyle name="B_BotLC_HK.EEV-Jun06 07-09 2006 (QF3) 9" xfId="5264" xr:uid="{00000000-0005-0000-0000-0000081F0000}"/>
    <cellStyle name="B_BotLC_HK.EEV-Jun06 07-09 2006 (QF3) 9 2" xfId="5265" xr:uid="{00000000-0005-0000-0000-0000091F0000}"/>
    <cellStyle name="B_BotLC_HK.EEV-Jun06 07-09 2006 (QF3) 9 3" xfId="26216" xr:uid="{00000000-0005-0000-0000-00000A1F0000}"/>
    <cellStyle name="B_BotLC_HK.EEV-Jun06 07-09 2006 (QF3)_PROD_DETAILS" xfId="5266" xr:uid="{00000000-0005-0000-0000-00000B1F0000}"/>
    <cellStyle name="B_BotLC_HK.EEV-Jun06 07-09 2006 (QF3)_PROD_DETAILS 2" xfId="5267" xr:uid="{00000000-0005-0000-0000-00000C1F0000}"/>
    <cellStyle name="B_BotLC_HK.EEV-Jun06 07-09 2006 (QF3)_PROD_DETAILS 3" xfId="26217" xr:uid="{00000000-0005-0000-0000-00000D1F0000}"/>
    <cellStyle name="B_BotLC_HK.EEV-Jun06 07-09 2006 (QF3)_SOLVENCY POSITION " xfId="5268" xr:uid="{00000000-0005-0000-0000-00000E1F0000}"/>
    <cellStyle name="B_BotLC_HK.EEV-Jun06 07-09 2006 (QF3)_SOLVENCY POSITION  2" xfId="5269" xr:uid="{00000000-0005-0000-0000-00000F1F0000}"/>
    <cellStyle name="B_BotLC_HK.EEV-Jun06 07-09 2006 (QF3)_SOLVENCY POSITION  3" xfId="26218" xr:uid="{00000000-0005-0000-0000-0000101F0000}"/>
    <cellStyle name="B_BotLC_HK.EEV-May06 4+2" xfId="5270" xr:uid="{00000000-0005-0000-0000-0000111F0000}"/>
    <cellStyle name="B_BotLC_HK.EEV-May06 4+2 10" xfId="5271" xr:uid="{00000000-0005-0000-0000-0000121F0000}"/>
    <cellStyle name="B_BotLC_HK.EEV-May06 4+2 10 2" xfId="5272" xr:uid="{00000000-0005-0000-0000-0000131F0000}"/>
    <cellStyle name="B_BotLC_HK.EEV-May06 4+2 10 3" xfId="26219" xr:uid="{00000000-0005-0000-0000-0000141F0000}"/>
    <cellStyle name="B_BotLC_HK.EEV-May06 4+2 11" xfId="5273" xr:uid="{00000000-0005-0000-0000-0000151F0000}"/>
    <cellStyle name="B_BotLC_HK.EEV-May06 4+2 11 2" xfId="5274" xr:uid="{00000000-0005-0000-0000-0000161F0000}"/>
    <cellStyle name="B_BotLC_HK.EEV-May06 4+2 11 3" xfId="26220" xr:uid="{00000000-0005-0000-0000-0000171F0000}"/>
    <cellStyle name="B_BotLC_HK.EEV-May06 4+2 12" xfId="5275" xr:uid="{00000000-0005-0000-0000-0000181F0000}"/>
    <cellStyle name="B_BotLC_HK.EEV-May06 4+2 12 2" xfId="5276" xr:uid="{00000000-0005-0000-0000-0000191F0000}"/>
    <cellStyle name="B_BotLC_HK.EEV-May06 4+2 12 3" xfId="26221" xr:uid="{00000000-0005-0000-0000-00001A1F0000}"/>
    <cellStyle name="B_BotLC_HK.EEV-May06 4+2 13" xfId="5277" xr:uid="{00000000-0005-0000-0000-00001B1F0000}"/>
    <cellStyle name="B_BotLC_HK.EEV-May06 4+2 13 2" xfId="5278" xr:uid="{00000000-0005-0000-0000-00001C1F0000}"/>
    <cellStyle name="B_BotLC_HK.EEV-May06 4+2 13 3" xfId="26222" xr:uid="{00000000-0005-0000-0000-00001D1F0000}"/>
    <cellStyle name="B_BotLC_HK.EEV-May06 4+2 14" xfId="5279" xr:uid="{00000000-0005-0000-0000-00001E1F0000}"/>
    <cellStyle name="B_BotLC_HK.EEV-May06 4+2 14 2" xfId="5280" xr:uid="{00000000-0005-0000-0000-00001F1F0000}"/>
    <cellStyle name="B_BotLC_HK.EEV-May06 4+2 14 3" xfId="26223" xr:uid="{00000000-0005-0000-0000-0000201F0000}"/>
    <cellStyle name="B_BotLC_HK.EEV-May06 4+2 15" xfId="5281" xr:uid="{00000000-0005-0000-0000-0000211F0000}"/>
    <cellStyle name="B_BotLC_HK.EEV-May06 4+2 15 2" xfId="5282" xr:uid="{00000000-0005-0000-0000-0000221F0000}"/>
    <cellStyle name="B_BotLC_HK.EEV-May06 4+2 15 3" xfId="26224" xr:uid="{00000000-0005-0000-0000-0000231F0000}"/>
    <cellStyle name="B_BotLC_HK.EEV-May06 4+2 16" xfId="5283" xr:uid="{00000000-0005-0000-0000-0000241F0000}"/>
    <cellStyle name="B_BotLC_HK.EEV-May06 4+2 16 2" xfId="5284" xr:uid="{00000000-0005-0000-0000-0000251F0000}"/>
    <cellStyle name="B_BotLC_HK.EEV-May06 4+2 16 3" xfId="26225" xr:uid="{00000000-0005-0000-0000-0000261F0000}"/>
    <cellStyle name="B_BotLC_HK.EEV-May06 4+2 17" xfId="5285" xr:uid="{00000000-0005-0000-0000-0000271F0000}"/>
    <cellStyle name="B_BotLC_HK.EEV-May06 4+2 17 2" xfId="5286" xr:uid="{00000000-0005-0000-0000-0000281F0000}"/>
    <cellStyle name="B_BotLC_HK.EEV-May06 4+2 17 3" xfId="26226" xr:uid="{00000000-0005-0000-0000-0000291F0000}"/>
    <cellStyle name="B_BotLC_HK.EEV-May06 4+2 18" xfId="5287" xr:uid="{00000000-0005-0000-0000-00002A1F0000}"/>
    <cellStyle name="B_BotLC_HK.EEV-May06 4+2 18 2" xfId="5288" xr:uid="{00000000-0005-0000-0000-00002B1F0000}"/>
    <cellStyle name="B_BotLC_HK.EEV-May06 4+2 18 3" xfId="26227" xr:uid="{00000000-0005-0000-0000-00002C1F0000}"/>
    <cellStyle name="B_BotLC_HK.EEV-May06 4+2 19" xfId="5289" xr:uid="{00000000-0005-0000-0000-00002D1F0000}"/>
    <cellStyle name="B_BotLC_HK.EEV-May06 4+2 19 2" xfId="5290" xr:uid="{00000000-0005-0000-0000-00002E1F0000}"/>
    <cellStyle name="B_BotLC_HK.EEV-May06 4+2 19 3" xfId="26228" xr:uid="{00000000-0005-0000-0000-00002F1F0000}"/>
    <cellStyle name="B_BotLC_HK.EEV-May06 4+2 2" xfId="5291" xr:uid="{00000000-0005-0000-0000-0000301F0000}"/>
    <cellStyle name="B_BotLC_HK.EEV-May06 4+2 2 2" xfId="5292" xr:uid="{00000000-0005-0000-0000-0000311F0000}"/>
    <cellStyle name="B_BotLC_HK.EEV-May06 4+2 2 3" xfId="26229" xr:uid="{00000000-0005-0000-0000-0000321F0000}"/>
    <cellStyle name="B_BotLC_HK.EEV-May06 4+2 20" xfId="5293" xr:uid="{00000000-0005-0000-0000-0000331F0000}"/>
    <cellStyle name="B_BotLC_HK.EEV-May06 4+2 20 2" xfId="5294" xr:uid="{00000000-0005-0000-0000-0000341F0000}"/>
    <cellStyle name="B_BotLC_HK.EEV-May06 4+2 20 3" xfId="26230" xr:uid="{00000000-0005-0000-0000-0000351F0000}"/>
    <cellStyle name="B_BotLC_HK.EEV-May06 4+2 21" xfId="5295" xr:uid="{00000000-0005-0000-0000-0000361F0000}"/>
    <cellStyle name="B_BotLC_HK.EEV-May06 4+2 21 2" xfId="5296" xr:uid="{00000000-0005-0000-0000-0000371F0000}"/>
    <cellStyle name="B_BotLC_HK.EEV-May06 4+2 21 3" xfId="26231" xr:uid="{00000000-0005-0000-0000-0000381F0000}"/>
    <cellStyle name="B_BotLC_HK.EEV-May06 4+2 22" xfId="5297" xr:uid="{00000000-0005-0000-0000-0000391F0000}"/>
    <cellStyle name="B_BotLC_HK.EEV-May06 4+2 22 2" xfId="5298" xr:uid="{00000000-0005-0000-0000-00003A1F0000}"/>
    <cellStyle name="B_BotLC_HK.EEV-May06 4+2 22 3" xfId="26232" xr:uid="{00000000-0005-0000-0000-00003B1F0000}"/>
    <cellStyle name="B_BotLC_HK.EEV-May06 4+2 23" xfId="5299" xr:uid="{00000000-0005-0000-0000-00003C1F0000}"/>
    <cellStyle name="B_BotLC_HK.EEV-May06 4+2 23 2" xfId="5300" xr:uid="{00000000-0005-0000-0000-00003D1F0000}"/>
    <cellStyle name="B_BotLC_HK.EEV-May06 4+2 23 3" xfId="26233" xr:uid="{00000000-0005-0000-0000-00003E1F0000}"/>
    <cellStyle name="B_BotLC_HK.EEV-May06 4+2 24" xfId="5301" xr:uid="{00000000-0005-0000-0000-00003F1F0000}"/>
    <cellStyle name="B_BotLC_HK.EEV-May06 4+2 25" xfId="26234" xr:uid="{00000000-0005-0000-0000-0000401F0000}"/>
    <cellStyle name="B_BotLC_HK.EEV-May06 4+2 3" xfId="5302" xr:uid="{00000000-0005-0000-0000-0000411F0000}"/>
    <cellStyle name="B_BotLC_HK.EEV-May06 4+2 3 2" xfId="5303" xr:uid="{00000000-0005-0000-0000-0000421F0000}"/>
    <cellStyle name="B_BotLC_HK.EEV-May06 4+2 3 3" xfId="26235" xr:uid="{00000000-0005-0000-0000-0000431F0000}"/>
    <cellStyle name="B_BotLC_HK.EEV-May06 4+2 4" xfId="5304" xr:uid="{00000000-0005-0000-0000-0000441F0000}"/>
    <cellStyle name="B_BotLC_HK.EEV-May06 4+2 4 2" xfId="5305" xr:uid="{00000000-0005-0000-0000-0000451F0000}"/>
    <cellStyle name="B_BotLC_HK.EEV-May06 4+2 4 3" xfId="26236" xr:uid="{00000000-0005-0000-0000-0000461F0000}"/>
    <cellStyle name="B_BotLC_HK.EEV-May06 4+2 5" xfId="5306" xr:uid="{00000000-0005-0000-0000-0000471F0000}"/>
    <cellStyle name="B_BotLC_HK.EEV-May06 4+2 5 2" xfId="5307" xr:uid="{00000000-0005-0000-0000-0000481F0000}"/>
    <cellStyle name="B_BotLC_HK.EEV-May06 4+2 5 3" xfId="26237" xr:uid="{00000000-0005-0000-0000-0000491F0000}"/>
    <cellStyle name="B_BotLC_HK.EEV-May06 4+2 6" xfId="5308" xr:uid="{00000000-0005-0000-0000-00004A1F0000}"/>
    <cellStyle name="B_BotLC_HK.EEV-May06 4+2 6 2" xfId="5309" xr:uid="{00000000-0005-0000-0000-00004B1F0000}"/>
    <cellStyle name="B_BotLC_HK.EEV-May06 4+2 6 3" xfId="26238" xr:uid="{00000000-0005-0000-0000-00004C1F0000}"/>
    <cellStyle name="B_BotLC_HK.EEV-May06 4+2 7" xfId="5310" xr:uid="{00000000-0005-0000-0000-00004D1F0000}"/>
    <cellStyle name="B_BotLC_HK.EEV-May06 4+2 7 2" xfId="5311" xr:uid="{00000000-0005-0000-0000-00004E1F0000}"/>
    <cellStyle name="B_BotLC_HK.EEV-May06 4+2 7 3" xfId="26239" xr:uid="{00000000-0005-0000-0000-00004F1F0000}"/>
    <cellStyle name="B_BotLC_HK.EEV-May06 4+2 8" xfId="5312" xr:uid="{00000000-0005-0000-0000-0000501F0000}"/>
    <cellStyle name="B_BotLC_HK.EEV-May06 4+2 8 2" xfId="5313" xr:uid="{00000000-0005-0000-0000-0000511F0000}"/>
    <cellStyle name="B_BotLC_HK.EEV-May06 4+2 8 3" xfId="26240" xr:uid="{00000000-0005-0000-0000-0000521F0000}"/>
    <cellStyle name="B_BotLC_HK.EEV-May06 4+2 9" xfId="5314" xr:uid="{00000000-0005-0000-0000-0000531F0000}"/>
    <cellStyle name="B_BotLC_HK.EEV-May06 4+2 9 2" xfId="5315" xr:uid="{00000000-0005-0000-0000-0000541F0000}"/>
    <cellStyle name="B_BotLC_HK.EEV-May06 4+2 9 3" xfId="26241" xr:uid="{00000000-0005-0000-0000-0000551F0000}"/>
    <cellStyle name="B_BotLC_HK.EEV-May06 4+2_HK.EEV-May06 4+2 kkh" xfId="5316" xr:uid="{00000000-0005-0000-0000-0000561F0000}"/>
    <cellStyle name="B_BotLC_HK.EEV-May06 4+2_HK.EEV-May06 4+2 kkh 10" xfId="5317" xr:uid="{00000000-0005-0000-0000-0000571F0000}"/>
    <cellStyle name="B_BotLC_HK.EEV-May06 4+2_HK.EEV-May06 4+2 kkh 10 2" xfId="5318" xr:uid="{00000000-0005-0000-0000-0000581F0000}"/>
    <cellStyle name="B_BotLC_HK.EEV-May06 4+2_HK.EEV-May06 4+2 kkh 10 3" xfId="26242" xr:uid="{00000000-0005-0000-0000-0000591F0000}"/>
    <cellStyle name="B_BotLC_HK.EEV-May06 4+2_HK.EEV-May06 4+2 kkh 11" xfId="5319" xr:uid="{00000000-0005-0000-0000-00005A1F0000}"/>
    <cellStyle name="B_BotLC_HK.EEV-May06 4+2_HK.EEV-May06 4+2 kkh 11 2" xfId="5320" xr:uid="{00000000-0005-0000-0000-00005B1F0000}"/>
    <cellStyle name="B_BotLC_HK.EEV-May06 4+2_HK.EEV-May06 4+2 kkh 11 3" xfId="26243" xr:uid="{00000000-0005-0000-0000-00005C1F0000}"/>
    <cellStyle name="B_BotLC_HK.EEV-May06 4+2_HK.EEV-May06 4+2 kkh 12" xfId="5321" xr:uid="{00000000-0005-0000-0000-00005D1F0000}"/>
    <cellStyle name="B_BotLC_HK.EEV-May06 4+2_HK.EEV-May06 4+2 kkh 12 2" xfId="5322" xr:uid="{00000000-0005-0000-0000-00005E1F0000}"/>
    <cellStyle name="B_BotLC_HK.EEV-May06 4+2_HK.EEV-May06 4+2 kkh 12 3" xfId="26244" xr:uid="{00000000-0005-0000-0000-00005F1F0000}"/>
    <cellStyle name="B_BotLC_HK.EEV-May06 4+2_HK.EEV-May06 4+2 kkh 13" xfId="5323" xr:uid="{00000000-0005-0000-0000-0000601F0000}"/>
    <cellStyle name="B_BotLC_HK.EEV-May06 4+2_HK.EEV-May06 4+2 kkh 13 2" xfId="5324" xr:uid="{00000000-0005-0000-0000-0000611F0000}"/>
    <cellStyle name="B_BotLC_HK.EEV-May06 4+2_HK.EEV-May06 4+2 kkh 13 3" xfId="26245" xr:uid="{00000000-0005-0000-0000-0000621F0000}"/>
    <cellStyle name="B_BotLC_HK.EEV-May06 4+2_HK.EEV-May06 4+2 kkh 14" xfId="5325" xr:uid="{00000000-0005-0000-0000-0000631F0000}"/>
    <cellStyle name="B_BotLC_HK.EEV-May06 4+2_HK.EEV-May06 4+2 kkh 14 2" xfId="5326" xr:uid="{00000000-0005-0000-0000-0000641F0000}"/>
    <cellStyle name="B_BotLC_HK.EEV-May06 4+2_HK.EEV-May06 4+2 kkh 14 3" xfId="26246" xr:uid="{00000000-0005-0000-0000-0000651F0000}"/>
    <cellStyle name="B_BotLC_HK.EEV-May06 4+2_HK.EEV-May06 4+2 kkh 15" xfId="5327" xr:uid="{00000000-0005-0000-0000-0000661F0000}"/>
    <cellStyle name="B_BotLC_HK.EEV-May06 4+2_HK.EEV-May06 4+2 kkh 15 2" xfId="5328" xr:uid="{00000000-0005-0000-0000-0000671F0000}"/>
    <cellStyle name="B_BotLC_HK.EEV-May06 4+2_HK.EEV-May06 4+2 kkh 15 3" xfId="26247" xr:uid="{00000000-0005-0000-0000-0000681F0000}"/>
    <cellStyle name="B_BotLC_HK.EEV-May06 4+2_HK.EEV-May06 4+2 kkh 16" xfId="5329" xr:uid="{00000000-0005-0000-0000-0000691F0000}"/>
    <cellStyle name="B_BotLC_HK.EEV-May06 4+2_HK.EEV-May06 4+2 kkh 16 2" xfId="5330" xr:uid="{00000000-0005-0000-0000-00006A1F0000}"/>
    <cellStyle name="B_BotLC_HK.EEV-May06 4+2_HK.EEV-May06 4+2 kkh 16 3" xfId="26248" xr:uid="{00000000-0005-0000-0000-00006B1F0000}"/>
    <cellStyle name="B_BotLC_HK.EEV-May06 4+2_HK.EEV-May06 4+2 kkh 17" xfId="5331" xr:uid="{00000000-0005-0000-0000-00006C1F0000}"/>
    <cellStyle name="B_BotLC_HK.EEV-May06 4+2_HK.EEV-May06 4+2 kkh 17 2" xfId="5332" xr:uid="{00000000-0005-0000-0000-00006D1F0000}"/>
    <cellStyle name="B_BotLC_HK.EEV-May06 4+2_HK.EEV-May06 4+2 kkh 17 3" xfId="26249" xr:uid="{00000000-0005-0000-0000-00006E1F0000}"/>
    <cellStyle name="B_BotLC_HK.EEV-May06 4+2_HK.EEV-May06 4+2 kkh 18" xfId="5333" xr:uid="{00000000-0005-0000-0000-00006F1F0000}"/>
    <cellStyle name="B_BotLC_HK.EEV-May06 4+2_HK.EEV-May06 4+2 kkh 18 2" xfId="5334" xr:uid="{00000000-0005-0000-0000-0000701F0000}"/>
    <cellStyle name="B_BotLC_HK.EEV-May06 4+2_HK.EEV-May06 4+2 kkh 18 3" xfId="26250" xr:uid="{00000000-0005-0000-0000-0000711F0000}"/>
    <cellStyle name="B_BotLC_HK.EEV-May06 4+2_HK.EEV-May06 4+2 kkh 19" xfId="5335" xr:uid="{00000000-0005-0000-0000-0000721F0000}"/>
    <cellStyle name="B_BotLC_HK.EEV-May06 4+2_HK.EEV-May06 4+2 kkh 19 2" xfId="5336" xr:uid="{00000000-0005-0000-0000-0000731F0000}"/>
    <cellStyle name="B_BotLC_HK.EEV-May06 4+2_HK.EEV-May06 4+2 kkh 19 3" xfId="26251" xr:uid="{00000000-0005-0000-0000-0000741F0000}"/>
    <cellStyle name="B_BotLC_HK.EEV-May06 4+2_HK.EEV-May06 4+2 kkh 2" xfId="5337" xr:uid="{00000000-0005-0000-0000-0000751F0000}"/>
    <cellStyle name="B_BotLC_HK.EEV-May06 4+2_HK.EEV-May06 4+2 kkh 2 2" xfId="5338" xr:uid="{00000000-0005-0000-0000-0000761F0000}"/>
    <cellStyle name="B_BotLC_HK.EEV-May06 4+2_HK.EEV-May06 4+2 kkh 2 3" xfId="26252" xr:uid="{00000000-0005-0000-0000-0000771F0000}"/>
    <cellStyle name="B_BotLC_HK.EEV-May06 4+2_HK.EEV-May06 4+2 kkh 20" xfId="5339" xr:uid="{00000000-0005-0000-0000-0000781F0000}"/>
    <cellStyle name="B_BotLC_HK.EEV-May06 4+2_HK.EEV-May06 4+2 kkh 20 2" xfId="5340" xr:uid="{00000000-0005-0000-0000-0000791F0000}"/>
    <cellStyle name="B_BotLC_HK.EEV-May06 4+2_HK.EEV-May06 4+2 kkh 20 3" xfId="26253" xr:uid="{00000000-0005-0000-0000-00007A1F0000}"/>
    <cellStyle name="B_BotLC_HK.EEV-May06 4+2_HK.EEV-May06 4+2 kkh 21" xfId="5341" xr:uid="{00000000-0005-0000-0000-00007B1F0000}"/>
    <cellStyle name="B_BotLC_HK.EEV-May06 4+2_HK.EEV-May06 4+2 kkh 21 2" xfId="5342" xr:uid="{00000000-0005-0000-0000-00007C1F0000}"/>
    <cellStyle name="B_BotLC_HK.EEV-May06 4+2_HK.EEV-May06 4+2 kkh 21 3" xfId="26254" xr:uid="{00000000-0005-0000-0000-00007D1F0000}"/>
    <cellStyle name="B_BotLC_HK.EEV-May06 4+2_HK.EEV-May06 4+2 kkh 22" xfId="5343" xr:uid="{00000000-0005-0000-0000-00007E1F0000}"/>
    <cellStyle name="B_BotLC_HK.EEV-May06 4+2_HK.EEV-May06 4+2 kkh 22 2" xfId="5344" xr:uid="{00000000-0005-0000-0000-00007F1F0000}"/>
    <cellStyle name="B_BotLC_HK.EEV-May06 4+2_HK.EEV-May06 4+2 kkh 22 3" xfId="26255" xr:uid="{00000000-0005-0000-0000-0000801F0000}"/>
    <cellStyle name="B_BotLC_HK.EEV-May06 4+2_HK.EEV-May06 4+2 kkh 23" xfId="5345" xr:uid="{00000000-0005-0000-0000-0000811F0000}"/>
    <cellStyle name="B_BotLC_HK.EEV-May06 4+2_HK.EEV-May06 4+2 kkh 23 2" xfId="5346" xr:uid="{00000000-0005-0000-0000-0000821F0000}"/>
    <cellStyle name="B_BotLC_HK.EEV-May06 4+2_HK.EEV-May06 4+2 kkh 23 3" xfId="26256" xr:uid="{00000000-0005-0000-0000-0000831F0000}"/>
    <cellStyle name="B_BotLC_HK.EEV-May06 4+2_HK.EEV-May06 4+2 kkh 24" xfId="5347" xr:uid="{00000000-0005-0000-0000-0000841F0000}"/>
    <cellStyle name="B_BotLC_HK.EEV-May06 4+2_HK.EEV-May06 4+2 kkh 25" xfId="26257" xr:uid="{00000000-0005-0000-0000-0000851F0000}"/>
    <cellStyle name="B_BotLC_HK.EEV-May06 4+2_HK.EEV-May06 4+2 kkh 3" xfId="5348" xr:uid="{00000000-0005-0000-0000-0000861F0000}"/>
    <cellStyle name="B_BotLC_HK.EEV-May06 4+2_HK.EEV-May06 4+2 kkh 3 2" xfId="5349" xr:uid="{00000000-0005-0000-0000-0000871F0000}"/>
    <cellStyle name="B_BotLC_HK.EEV-May06 4+2_HK.EEV-May06 4+2 kkh 3 3" xfId="26258" xr:uid="{00000000-0005-0000-0000-0000881F0000}"/>
    <cellStyle name="B_BotLC_HK.EEV-May06 4+2_HK.EEV-May06 4+2 kkh 4" xfId="5350" xr:uid="{00000000-0005-0000-0000-0000891F0000}"/>
    <cellStyle name="B_BotLC_HK.EEV-May06 4+2_HK.EEV-May06 4+2 kkh 4 2" xfId="5351" xr:uid="{00000000-0005-0000-0000-00008A1F0000}"/>
    <cellStyle name="B_BotLC_HK.EEV-May06 4+2_HK.EEV-May06 4+2 kkh 4 3" xfId="26259" xr:uid="{00000000-0005-0000-0000-00008B1F0000}"/>
    <cellStyle name="B_BotLC_HK.EEV-May06 4+2_HK.EEV-May06 4+2 kkh 5" xfId="5352" xr:uid="{00000000-0005-0000-0000-00008C1F0000}"/>
    <cellStyle name="B_BotLC_HK.EEV-May06 4+2_HK.EEV-May06 4+2 kkh 5 2" xfId="5353" xr:uid="{00000000-0005-0000-0000-00008D1F0000}"/>
    <cellStyle name="B_BotLC_HK.EEV-May06 4+2_HK.EEV-May06 4+2 kkh 5 3" xfId="26260" xr:uid="{00000000-0005-0000-0000-00008E1F0000}"/>
    <cellStyle name="B_BotLC_HK.EEV-May06 4+2_HK.EEV-May06 4+2 kkh 6" xfId="5354" xr:uid="{00000000-0005-0000-0000-00008F1F0000}"/>
    <cellStyle name="B_BotLC_HK.EEV-May06 4+2_HK.EEV-May06 4+2 kkh 6 2" xfId="5355" xr:uid="{00000000-0005-0000-0000-0000901F0000}"/>
    <cellStyle name="B_BotLC_HK.EEV-May06 4+2_HK.EEV-May06 4+2 kkh 6 3" xfId="26261" xr:uid="{00000000-0005-0000-0000-0000911F0000}"/>
    <cellStyle name="B_BotLC_HK.EEV-May06 4+2_HK.EEV-May06 4+2 kkh 7" xfId="5356" xr:uid="{00000000-0005-0000-0000-0000921F0000}"/>
    <cellStyle name="B_BotLC_HK.EEV-May06 4+2_HK.EEV-May06 4+2 kkh 7 2" xfId="5357" xr:uid="{00000000-0005-0000-0000-0000931F0000}"/>
    <cellStyle name="B_BotLC_HK.EEV-May06 4+2_HK.EEV-May06 4+2 kkh 7 3" xfId="26262" xr:uid="{00000000-0005-0000-0000-0000941F0000}"/>
    <cellStyle name="B_BotLC_HK.EEV-May06 4+2_HK.EEV-May06 4+2 kkh 8" xfId="5358" xr:uid="{00000000-0005-0000-0000-0000951F0000}"/>
    <cellStyle name="B_BotLC_HK.EEV-May06 4+2_HK.EEV-May06 4+2 kkh 8 2" xfId="5359" xr:uid="{00000000-0005-0000-0000-0000961F0000}"/>
    <cellStyle name="B_BotLC_HK.EEV-May06 4+2_HK.EEV-May06 4+2 kkh 8 3" xfId="26263" xr:uid="{00000000-0005-0000-0000-0000971F0000}"/>
    <cellStyle name="B_BotLC_HK.EEV-May06 4+2_HK.EEV-May06 4+2 kkh 9" xfId="5360" xr:uid="{00000000-0005-0000-0000-0000981F0000}"/>
    <cellStyle name="B_BotLC_HK.EEV-May06 4+2_HK.EEV-May06 4+2 kkh 9 2" xfId="5361" xr:uid="{00000000-0005-0000-0000-0000991F0000}"/>
    <cellStyle name="B_BotLC_HK.EEV-May06 4+2_HK.EEV-May06 4+2 kkh 9 3" xfId="26264" xr:uid="{00000000-0005-0000-0000-00009A1F0000}"/>
    <cellStyle name="B_BotLC_HK.EEV-May06 4+2_HK.EEV-May06 4+2 kkh_PROD_DETAILS" xfId="5362" xr:uid="{00000000-0005-0000-0000-00009B1F0000}"/>
    <cellStyle name="B_BotLC_HK.EEV-May06 4+2_HK.EEV-May06 4+2 kkh_PROD_DETAILS 2" xfId="5363" xr:uid="{00000000-0005-0000-0000-00009C1F0000}"/>
    <cellStyle name="B_BotLC_HK.EEV-May06 4+2_HK.EEV-May06 4+2 kkh_PROD_DETAILS 3" xfId="26265" xr:uid="{00000000-0005-0000-0000-00009D1F0000}"/>
    <cellStyle name="B_BotLC_HK.EEV-May06 4+2_HK.EEV-May06 4+2 kkh_SOLVENCY POSITION " xfId="5364" xr:uid="{00000000-0005-0000-0000-00009E1F0000}"/>
    <cellStyle name="B_BotLC_HK.EEV-May06 4+2_HK.EEV-May06 4+2 kkh_SOLVENCY POSITION  2" xfId="5365" xr:uid="{00000000-0005-0000-0000-00009F1F0000}"/>
    <cellStyle name="B_BotLC_HK.EEV-May06 4+2_HK.EEV-May06 4+2 kkh_SOLVENCY POSITION  3" xfId="26266" xr:uid="{00000000-0005-0000-0000-0000A01F0000}"/>
    <cellStyle name="B_BotLC_HK.EEV-May06 4+2_PROD_DETAILS" xfId="5366" xr:uid="{00000000-0005-0000-0000-0000A11F0000}"/>
    <cellStyle name="B_BotLC_HK.EEV-May06 4+2_PROD_DETAILS 2" xfId="5367" xr:uid="{00000000-0005-0000-0000-0000A21F0000}"/>
    <cellStyle name="B_BotLC_HK.EEV-May06 4+2_PROD_DETAILS 3" xfId="26267" xr:uid="{00000000-0005-0000-0000-0000A31F0000}"/>
    <cellStyle name="B_BotLC_HK.EEV-May06 4+2_SOLVENCY POSITION " xfId="5368" xr:uid="{00000000-0005-0000-0000-0000A41F0000}"/>
    <cellStyle name="B_BotLC_HK.EEV-May06 4+2_SOLVENCY POSITION  2" xfId="5369" xr:uid="{00000000-0005-0000-0000-0000A51F0000}"/>
    <cellStyle name="B_BotLC_HK.EEV-May06 4+2_SOLVENCY POSITION  3" xfId="26268" xr:uid="{00000000-0005-0000-0000-0000A61F0000}"/>
    <cellStyle name="B_BotLC_HK.NBC@Mar2006" xfId="5370" xr:uid="{00000000-0005-0000-0000-0000A71F0000}"/>
    <cellStyle name="B_BotLC_HK.NBC@Mar2006 10" xfId="5371" xr:uid="{00000000-0005-0000-0000-0000A81F0000}"/>
    <cellStyle name="B_BotLC_HK.NBC@Mar2006 10 2" xfId="5372" xr:uid="{00000000-0005-0000-0000-0000A91F0000}"/>
    <cellStyle name="B_BotLC_HK.NBC@Mar2006 10 3" xfId="26269" xr:uid="{00000000-0005-0000-0000-0000AA1F0000}"/>
    <cellStyle name="B_BotLC_HK.NBC@Mar2006 11" xfId="5373" xr:uid="{00000000-0005-0000-0000-0000AB1F0000}"/>
    <cellStyle name="B_BotLC_HK.NBC@Mar2006 11 2" xfId="5374" xr:uid="{00000000-0005-0000-0000-0000AC1F0000}"/>
    <cellStyle name="B_BotLC_HK.NBC@Mar2006 11 3" xfId="26270" xr:uid="{00000000-0005-0000-0000-0000AD1F0000}"/>
    <cellStyle name="B_BotLC_HK.NBC@Mar2006 12" xfId="5375" xr:uid="{00000000-0005-0000-0000-0000AE1F0000}"/>
    <cellStyle name="B_BotLC_HK.NBC@Mar2006 12 2" xfId="5376" xr:uid="{00000000-0005-0000-0000-0000AF1F0000}"/>
    <cellStyle name="B_BotLC_HK.NBC@Mar2006 12 3" xfId="26271" xr:uid="{00000000-0005-0000-0000-0000B01F0000}"/>
    <cellStyle name="B_BotLC_HK.NBC@Mar2006 13" xfId="5377" xr:uid="{00000000-0005-0000-0000-0000B11F0000}"/>
    <cellStyle name="B_BotLC_HK.NBC@Mar2006 13 2" xfId="5378" xr:uid="{00000000-0005-0000-0000-0000B21F0000}"/>
    <cellStyle name="B_BotLC_HK.NBC@Mar2006 13 3" xfId="26272" xr:uid="{00000000-0005-0000-0000-0000B31F0000}"/>
    <cellStyle name="B_BotLC_HK.NBC@Mar2006 14" xfId="5379" xr:uid="{00000000-0005-0000-0000-0000B41F0000}"/>
    <cellStyle name="B_BotLC_HK.NBC@Mar2006 14 2" xfId="5380" xr:uid="{00000000-0005-0000-0000-0000B51F0000}"/>
    <cellStyle name="B_BotLC_HK.NBC@Mar2006 14 3" xfId="26273" xr:uid="{00000000-0005-0000-0000-0000B61F0000}"/>
    <cellStyle name="B_BotLC_HK.NBC@Mar2006 15" xfId="5381" xr:uid="{00000000-0005-0000-0000-0000B71F0000}"/>
    <cellStyle name="B_BotLC_HK.NBC@Mar2006 15 2" xfId="5382" xr:uid="{00000000-0005-0000-0000-0000B81F0000}"/>
    <cellStyle name="B_BotLC_HK.NBC@Mar2006 15 3" xfId="26274" xr:uid="{00000000-0005-0000-0000-0000B91F0000}"/>
    <cellStyle name="B_BotLC_HK.NBC@Mar2006 16" xfId="5383" xr:uid="{00000000-0005-0000-0000-0000BA1F0000}"/>
    <cellStyle name="B_BotLC_HK.NBC@Mar2006 16 2" xfId="5384" xr:uid="{00000000-0005-0000-0000-0000BB1F0000}"/>
    <cellStyle name="B_BotLC_HK.NBC@Mar2006 16 3" xfId="26275" xr:uid="{00000000-0005-0000-0000-0000BC1F0000}"/>
    <cellStyle name="B_BotLC_HK.NBC@Mar2006 17" xfId="5385" xr:uid="{00000000-0005-0000-0000-0000BD1F0000}"/>
    <cellStyle name="B_BotLC_HK.NBC@Mar2006 17 2" xfId="5386" xr:uid="{00000000-0005-0000-0000-0000BE1F0000}"/>
    <cellStyle name="B_BotLC_HK.NBC@Mar2006 17 3" xfId="26276" xr:uid="{00000000-0005-0000-0000-0000BF1F0000}"/>
    <cellStyle name="B_BotLC_HK.NBC@Mar2006 18" xfId="5387" xr:uid="{00000000-0005-0000-0000-0000C01F0000}"/>
    <cellStyle name="B_BotLC_HK.NBC@Mar2006 18 2" xfId="5388" xr:uid="{00000000-0005-0000-0000-0000C11F0000}"/>
    <cellStyle name="B_BotLC_HK.NBC@Mar2006 18 3" xfId="26277" xr:uid="{00000000-0005-0000-0000-0000C21F0000}"/>
    <cellStyle name="B_BotLC_HK.NBC@Mar2006 19" xfId="5389" xr:uid="{00000000-0005-0000-0000-0000C31F0000}"/>
    <cellStyle name="B_BotLC_HK.NBC@Mar2006 19 2" xfId="5390" xr:uid="{00000000-0005-0000-0000-0000C41F0000}"/>
    <cellStyle name="B_BotLC_HK.NBC@Mar2006 19 3" xfId="26278" xr:uid="{00000000-0005-0000-0000-0000C51F0000}"/>
    <cellStyle name="B_BotLC_HK.NBC@Mar2006 2" xfId="5391" xr:uid="{00000000-0005-0000-0000-0000C61F0000}"/>
    <cellStyle name="B_BotLC_HK.NBC@Mar2006 2 2" xfId="5392" xr:uid="{00000000-0005-0000-0000-0000C71F0000}"/>
    <cellStyle name="B_BotLC_HK.NBC@Mar2006 2 3" xfId="26279" xr:uid="{00000000-0005-0000-0000-0000C81F0000}"/>
    <cellStyle name="B_BotLC_HK.NBC@Mar2006 20" xfId="5393" xr:uid="{00000000-0005-0000-0000-0000C91F0000}"/>
    <cellStyle name="B_BotLC_HK.NBC@Mar2006 20 2" xfId="5394" xr:uid="{00000000-0005-0000-0000-0000CA1F0000}"/>
    <cellStyle name="B_BotLC_HK.NBC@Mar2006 20 3" xfId="26280" xr:uid="{00000000-0005-0000-0000-0000CB1F0000}"/>
    <cellStyle name="B_BotLC_HK.NBC@Mar2006 21" xfId="5395" xr:uid="{00000000-0005-0000-0000-0000CC1F0000}"/>
    <cellStyle name="B_BotLC_HK.NBC@Mar2006 21 2" xfId="5396" xr:uid="{00000000-0005-0000-0000-0000CD1F0000}"/>
    <cellStyle name="B_BotLC_HK.NBC@Mar2006 21 3" xfId="26281" xr:uid="{00000000-0005-0000-0000-0000CE1F0000}"/>
    <cellStyle name="B_BotLC_HK.NBC@Mar2006 22" xfId="5397" xr:uid="{00000000-0005-0000-0000-0000CF1F0000}"/>
    <cellStyle name="B_BotLC_HK.NBC@Mar2006 22 2" xfId="5398" xr:uid="{00000000-0005-0000-0000-0000D01F0000}"/>
    <cellStyle name="B_BotLC_HK.NBC@Mar2006 22 3" xfId="26282" xr:uid="{00000000-0005-0000-0000-0000D11F0000}"/>
    <cellStyle name="B_BotLC_HK.NBC@Mar2006 23" xfId="5399" xr:uid="{00000000-0005-0000-0000-0000D21F0000}"/>
    <cellStyle name="B_BotLC_HK.NBC@Mar2006 23 2" xfId="5400" xr:uid="{00000000-0005-0000-0000-0000D31F0000}"/>
    <cellStyle name="B_BotLC_HK.NBC@Mar2006 23 3" xfId="26283" xr:uid="{00000000-0005-0000-0000-0000D41F0000}"/>
    <cellStyle name="B_BotLC_HK.NBC@Mar2006 24" xfId="5401" xr:uid="{00000000-0005-0000-0000-0000D51F0000}"/>
    <cellStyle name="B_BotLC_HK.NBC@Mar2006 25" xfId="26284" xr:uid="{00000000-0005-0000-0000-0000D61F0000}"/>
    <cellStyle name="B_BotLC_HK.NBC@Mar2006 3" xfId="5402" xr:uid="{00000000-0005-0000-0000-0000D71F0000}"/>
    <cellStyle name="B_BotLC_HK.NBC@Mar2006 3 2" xfId="5403" xr:uid="{00000000-0005-0000-0000-0000D81F0000}"/>
    <cellStyle name="B_BotLC_HK.NBC@Mar2006 3 3" xfId="26285" xr:uid="{00000000-0005-0000-0000-0000D91F0000}"/>
    <cellStyle name="B_BotLC_HK.NBC@Mar2006 4" xfId="5404" xr:uid="{00000000-0005-0000-0000-0000DA1F0000}"/>
    <cellStyle name="B_BotLC_HK.NBC@Mar2006 4 2" xfId="5405" xr:uid="{00000000-0005-0000-0000-0000DB1F0000}"/>
    <cellStyle name="B_BotLC_HK.NBC@Mar2006 4 3" xfId="26286" xr:uid="{00000000-0005-0000-0000-0000DC1F0000}"/>
    <cellStyle name="B_BotLC_HK.NBC@Mar2006 5" xfId="5406" xr:uid="{00000000-0005-0000-0000-0000DD1F0000}"/>
    <cellStyle name="B_BotLC_HK.NBC@Mar2006 5 2" xfId="5407" xr:uid="{00000000-0005-0000-0000-0000DE1F0000}"/>
    <cellStyle name="B_BotLC_HK.NBC@Mar2006 5 3" xfId="26287" xr:uid="{00000000-0005-0000-0000-0000DF1F0000}"/>
    <cellStyle name="B_BotLC_HK.NBC@Mar2006 6" xfId="5408" xr:uid="{00000000-0005-0000-0000-0000E01F0000}"/>
    <cellStyle name="B_BotLC_HK.NBC@Mar2006 6 2" xfId="5409" xr:uid="{00000000-0005-0000-0000-0000E11F0000}"/>
    <cellStyle name="B_BotLC_HK.NBC@Mar2006 6 3" xfId="26288" xr:uid="{00000000-0005-0000-0000-0000E21F0000}"/>
    <cellStyle name="B_BotLC_HK.NBC@Mar2006 7" xfId="5410" xr:uid="{00000000-0005-0000-0000-0000E31F0000}"/>
    <cellStyle name="B_BotLC_HK.NBC@Mar2006 7 2" xfId="5411" xr:uid="{00000000-0005-0000-0000-0000E41F0000}"/>
    <cellStyle name="B_BotLC_HK.NBC@Mar2006 7 3" xfId="26289" xr:uid="{00000000-0005-0000-0000-0000E51F0000}"/>
    <cellStyle name="B_BotLC_HK.NBC@Mar2006 8" xfId="5412" xr:uid="{00000000-0005-0000-0000-0000E61F0000}"/>
    <cellStyle name="B_BotLC_HK.NBC@Mar2006 8 2" xfId="5413" xr:uid="{00000000-0005-0000-0000-0000E71F0000}"/>
    <cellStyle name="B_BotLC_HK.NBC@Mar2006 8 3" xfId="26290" xr:uid="{00000000-0005-0000-0000-0000E81F0000}"/>
    <cellStyle name="B_BotLC_HK.NBC@Mar2006 9" xfId="5414" xr:uid="{00000000-0005-0000-0000-0000E91F0000}"/>
    <cellStyle name="B_BotLC_HK.NBC@Mar2006 9 2" xfId="5415" xr:uid="{00000000-0005-0000-0000-0000EA1F0000}"/>
    <cellStyle name="B_BotLC_HK.NBC@Mar2006 9 3" xfId="26291" xr:uid="{00000000-0005-0000-0000-0000EB1F0000}"/>
    <cellStyle name="B_BotLC_HK.NBC@Mar2006_HK.EEV-May06 4+2 kkh" xfId="5416" xr:uid="{00000000-0005-0000-0000-0000EC1F0000}"/>
    <cellStyle name="B_BotLC_HK.NBC@Mar2006_HK.EEV-May06 4+2 kkh 10" xfId="5417" xr:uid="{00000000-0005-0000-0000-0000ED1F0000}"/>
    <cellStyle name="B_BotLC_HK.NBC@Mar2006_HK.EEV-May06 4+2 kkh 10 2" xfId="5418" xr:uid="{00000000-0005-0000-0000-0000EE1F0000}"/>
    <cellStyle name="B_BotLC_HK.NBC@Mar2006_HK.EEV-May06 4+2 kkh 10 3" xfId="26292" xr:uid="{00000000-0005-0000-0000-0000EF1F0000}"/>
    <cellStyle name="B_BotLC_HK.NBC@Mar2006_HK.EEV-May06 4+2 kkh 11" xfId="5419" xr:uid="{00000000-0005-0000-0000-0000F01F0000}"/>
    <cellStyle name="B_BotLC_HK.NBC@Mar2006_HK.EEV-May06 4+2 kkh 11 2" xfId="5420" xr:uid="{00000000-0005-0000-0000-0000F11F0000}"/>
    <cellStyle name="B_BotLC_HK.NBC@Mar2006_HK.EEV-May06 4+2 kkh 11 3" xfId="26293" xr:uid="{00000000-0005-0000-0000-0000F21F0000}"/>
    <cellStyle name="B_BotLC_HK.NBC@Mar2006_HK.EEV-May06 4+2 kkh 12" xfId="5421" xr:uid="{00000000-0005-0000-0000-0000F31F0000}"/>
    <cellStyle name="B_BotLC_HK.NBC@Mar2006_HK.EEV-May06 4+2 kkh 12 2" xfId="5422" xr:uid="{00000000-0005-0000-0000-0000F41F0000}"/>
    <cellStyle name="B_BotLC_HK.NBC@Mar2006_HK.EEV-May06 4+2 kkh 12 3" xfId="26294" xr:uid="{00000000-0005-0000-0000-0000F51F0000}"/>
    <cellStyle name="B_BotLC_HK.NBC@Mar2006_HK.EEV-May06 4+2 kkh 13" xfId="5423" xr:uid="{00000000-0005-0000-0000-0000F61F0000}"/>
    <cellStyle name="B_BotLC_HK.NBC@Mar2006_HK.EEV-May06 4+2 kkh 13 2" xfId="5424" xr:uid="{00000000-0005-0000-0000-0000F71F0000}"/>
    <cellStyle name="B_BotLC_HK.NBC@Mar2006_HK.EEV-May06 4+2 kkh 13 3" xfId="26295" xr:uid="{00000000-0005-0000-0000-0000F81F0000}"/>
    <cellStyle name="B_BotLC_HK.NBC@Mar2006_HK.EEV-May06 4+2 kkh 14" xfId="5425" xr:uid="{00000000-0005-0000-0000-0000F91F0000}"/>
    <cellStyle name="B_BotLC_HK.NBC@Mar2006_HK.EEV-May06 4+2 kkh 14 2" xfId="5426" xr:uid="{00000000-0005-0000-0000-0000FA1F0000}"/>
    <cellStyle name="B_BotLC_HK.NBC@Mar2006_HK.EEV-May06 4+2 kkh 14 3" xfId="26296" xr:uid="{00000000-0005-0000-0000-0000FB1F0000}"/>
    <cellStyle name="B_BotLC_HK.NBC@Mar2006_HK.EEV-May06 4+2 kkh 15" xfId="5427" xr:uid="{00000000-0005-0000-0000-0000FC1F0000}"/>
    <cellStyle name="B_BotLC_HK.NBC@Mar2006_HK.EEV-May06 4+2 kkh 15 2" xfId="5428" xr:uid="{00000000-0005-0000-0000-0000FD1F0000}"/>
    <cellStyle name="B_BotLC_HK.NBC@Mar2006_HK.EEV-May06 4+2 kkh 15 3" xfId="26297" xr:uid="{00000000-0005-0000-0000-0000FE1F0000}"/>
    <cellStyle name="B_BotLC_HK.NBC@Mar2006_HK.EEV-May06 4+2 kkh 16" xfId="5429" xr:uid="{00000000-0005-0000-0000-0000FF1F0000}"/>
    <cellStyle name="B_BotLC_HK.NBC@Mar2006_HK.EEV-May06 4+2 kkh 16 2" xfId="5430" xr:uid="{00000000-0005-0000-0000-000000200000}"/>
    <cellStyle name="B_BotLC_HK.NBC@Mar2006_HK.EEV-May06 4+2 kkh 16 3" xfId="26298" xr:uid="{00000000-0005-0000-0000-000001200000}"/>
    <cellStyle name="B_BotLC_HK.NBC@Mar2006_HK.EEV-May06 4+2 kkh 17" xfId="5431" xr:uid="{00000000-0005-0000-0000-000002200000}"/>
    <cellStyle name="B_BotLC_HK.NBC@Mar2006_HK.EEV-May06 4+2 kkh 17 2" xfId="5432" xr:uid="{00000000-0005-0000-0000-000003200000}"/>
    <cellStyle name="B_BotLC_HK.NBC@Mar2006_HK.EEV-May06 4+2 kkh 17 3" xfId="26299" xr:uid="{00000000-0005-0000-0000-000004200000}"/>
    <cellStyle name="B_BotLC_HK.NBC@Mar2006_HK.EEV-May06 4+2 kkh 18" xfId="5433" xr:uid="{00000000-0005-0000-0000-000005200000}"/>
    <cellStyle name="B_BotLC_HK.NBC@Mar2006_HK.EEV-May06 4+2 kkh 18 2" xfId="5434" xr:uid="{00000000-0005-0000-0000-000006200000}"/>
    <cellStyle name="B_BotLC_HK.NBC@Mar2006_HK.EEV-May06 4+2 kkh 18 3" xfId="26300" xr:uid="{00000000-0005-0000-0000-000007200000}"/>
    <cellStyle name="B_BotLC_HK.NBC@Mar2006_HK.EEV-May06 4+2 kkh 19" xfId="5435" xr:uid="{00000000-0005-0000-0000-000008200000}"/>
    <cellStyle name="B_BotLC_HK.NBC@Mar2006_HK.EEV-May06 4+2 kkh 19 2" xfId="5436" xr:uid="{00000000-0005-0000-0000-000009200000}"/>
    <cellStyle name="B_BotLC_HK.NBC@Mar2006_HK.EEV-May06 4+2 kkh 19 3" xfId="26301" xr:uid="{00000000-0005-0000-0000-00000A200000}"/>
    <cellStyle name="B_BotLC_HK.NBC@Mar2006_HK.EEV-May06 4+2 kkh 2" xfId="5437" xr:uid="{00000000-0005-0000-0000-00000B200000}"/>
    <cellStyle name="B_BotLC_HK.NBC@Mar2006_HK.EEV-May06 4+2 kkh 2 2" xfId="5438" xr:uid="{00000000-0005-0000-0000-00000C200000}"/>
    <cellStyle name="B_BotLC_HK.NBC@Mar2006_HK.EEV-May06 4+2 kkh 2 3" xfId="26302" xr:uid="{00000000-0005-0000-0000-00000D200000}"/>
    <cellStyle name="B_BotLC_HK.NBC@Mar2006_HK.EEV-May06 4+2 kkh 20" xfId="5439" xr:uid="{00000000-0005-0000-0000-00000E200000}"/>
    <cellStyle name="B_BotLC_HK.NBC@Mar2006_HK.EEV-May06 4+2 kkh 20 2" xfId="5440" xr:uid="{00000000-0005-0000-0000-00000F200000}"/>
    <cellStyle name="B_BotLC_HK.NBC@Mar2006_HK.EEV-May06 4+2 kkh 20 3" xfId="26303" xr:uid="{00000000-0005-0000-0000-000010200000}"/>
    <cellStyle name="B_BotLC_HK.NBC@Mar2006_HK.EEV-May06 4+2 kkh 21" xfId="5441" xr:uid="{00000000-0005-0000-0000-000011200000}"/>
    <cellStyle name="B_BotLC_HK.NBC@Mar2006_HK.EEV-May06 4+2 kkh 21 2" xfId="5442" xr:uid="{00000000-0005-0000-0000-000012200000}"/>
    <cellStyle name="B_BotLC_HK.NBC@Mar2006_HK.EEV-May06 4+2 kkh 21 3" xfId="26304" xr:uid="{00000000-0005-0000-0000-000013200000}"/>
    <cellStyle name="B_BotLC_HK.NBC@Mar2006_HK.EEV-May06 4+2 kkh 22" xfId="5443" xr:uid="{00000000-0005-0000-0000-000014200000}"/>
    <cellStyle name="B_BotLC_HK.NBC@Mar2006_HK.EEV-May06 4+2 kkh 22 2" xfId="5444" xr:uid="{00000000-0005-0000-0000-000015200000}"/>
    <cellStyle name="B_BotLC_HK.NBC@Mar2006_HK.EEV-May06 4+2 kkh 22 3" xfId="26305" xr:uid="{00000000-0005-0000-0000-000016200000}"/>
    <cellStyle name="B_BotLC_HK.NBC@Mar2006_HK.EEV-May06 4+2 kkh 23" xfId="5445" xr:uid="{00000000-0005-0000-0000-000017200000}"/>
    <cellStyle name="B_BotLC_HK.NBC@Mar2006_HK.EEV-May06 4+2 kkh 23 2" xfId="5446" xr:uid="{00000000-0005-0000-0000-000018200000}"/>
    <cellStyle name="B_BotLC_HK.NBC@Mar2006_HK.EEV-May06 4+2 kkh 23 3" xfId="26306" xr:uid="{00000000-0005-0000-0000-000019200000}"/>
    <cellStyle name="B_BotLC_HK.NBC@Mar2006_HK.EEV-May06 4+2 kkh 24" xfId="5447" xr:uid="{00000000-0005-0000-0000-00001A200000}"/>
    <cellStyle name="B_BotLC_HK.NBC@Mar2006_HK.EEV-May06 4+2 kkh 25" xfId="26307" xr:uid="{00000000-0005-0000-0000-00001B200000}"/>
    <cellStyle name="B_BotLC_HK.NBC@Mar2006_HK.EEV-May06 4+2 kkh 3" xfId="5448" xr:uid="{00000000-0005-0000-0000-00001C200000}"/>
    <cellStyle name="B_BotLC_HK.NBC@Mar2006_HK.EEV-May06 4+2 kkh 3 2" xfId="5449" xr:uid="{00000000-0005-0000-0000-00001D200000}"/>
    <cellStyle name="B_BotLC_HK.NBC@Mar2006_HK.EEV-May06 4+2 kkh 3 3" xfId="26308" xr:uid="{00000000-0005-0000-0000-00001E200000}"/>
    <cellStyle name="B_BotLC_HK.NBC@Mar2006_HK.EEV-May06 4+2 kkh 4" xfId="5450" xr:uid="{00000000-0005-0000-0000-00001F200000}"/>
    <cellStyle name="B_BotLC_HK.NBC@Mar2006_HK.EEV-May06 4+2 kkh 4 2" xfId="5451" xr:uid="{00000000-0005-0000-0000-000020200000}"/>
    <cellStyle name="B_BotLC_HK.NBC@Mar2006_HK.EEV-May06 4+2 kkh 4 3" xfId="26309" xr:uid="{00000000-0005-0000-0000-000021200000}"/>
    <cellStyle name="B_BotLC_HK.NBC@Mar2006_HK.EEV-May06 4+2 kkh 5" xfId="5452" xr:uid="{00000000-0005-0000-0000-000022200000}"/>
    <cellStyle name="B_BotLC_HK.NBC@Mar2006_HK.EEV-May06 4+2 kkh 5 2" xfId="5453" xr:uid="{00000000-0005-0000-0000-000023200000}"/>
    <cellStyle name="B_BotLC_HK.NBC@Mar2006_HK.EEV-May06 4+2 kkh 5 3" xfId="26310" xr:uid="{00000000-0005-0000-0000-000024200000}"/>
    <cellStyle name="B_BotLC_HK.NBC@Mar2006_HK.EEV-May06 4+2 kkh 6" xfId="5454" xr:uid="{00000000-0005-0000-0000-000025200000}"/>
    <cellStyle name="B_BotLC_HK.NBC@Mar2006_HK.EEV-May06 4+2 kkh 6 2" xfId="5455" xr:uid="{00000000-0005-0000-0000-000026200000}"/>
    <cellStyle name="B_BotLC_HK.NBC@Mar2006_HK.EEV-May06 4+2 kkh 6 3" xfId="26311" xr:uid="{00000000-0005-0000-0000-000027200000}"/>
    <cellStyle name="B_BotLC_HK.NBC@Mar2006_HK.EEV-May06 4+2 kkh 7" xfId="5456" xr:uid="{00000000-0005-0000-0000-000028200000}"/>
    <cellStyle name="B_BotLC_HK.NBC@Mar2006_HK.EEV-May06 4+2 kkh 7 2" xfId="5457" xr:uid="{00000000-0005-0000-0000-000029200000}"/>
    <cellStyle name="B_BotLC_HK.NBC@Mar2006_HK.EEV-May06 4+2 kkh 7 3" xfId="26312" xr:uid="{00000000-0005-0000-0000-00002A200000}"/>
    <cellStyle name="B_BotLC_HK.NBC@Mar2006_HK.EEV-May06 4+2 kkh 8" xfId="5458" xr:uid="{00000000-0005-0000-0000-00002B200000}"/>
    <cellStyle name="B_BotLC_HK.NBC@Mar2006_HK.EEV-May06 4+2 kkh 8 2" xfId="5459" xr:uid="{00000000-0005-0000-0000-00002C200000}"/>
    <cellStyle name="B_BotLC_HK.NBC@Mar2006_HK.EEV-May06 4+2 kkh 8 3" xfId="26313" xr:uid="{00000000-0005-0000-0000-00002D200000}"/>
    <cellStyle name="B_BotLC_HK.NBC@Mar2006_HK.EEV-May06 4+2 kkh 9" xfId="5460" xr:uid="{00000000-0005-0000-0000-00002E200000}"/>
    <cellStyle name="B_BotLC_HK.NBC@Mar2006_HK.EEV-May06 4+2 kkh 9 2" xfId="5461" xr:uid="{00000000-0005-0000-0000-00002F200000}"/>
    <cellStyle name="B_BotLC_HK.NBC@Mar2006_HK.EEV-May06 4+2 kkh 9 3" xfId="26314" xr:uid="{00000000-0005-0000-0000-000030200000}"/>
    <cellStyle name="B_BotLC_HK.NBC@Mar2006_HK.EEV-May06 4+2 kkh_PROD_DETAILS" xfId="5462" xr:uid="{00000000-0005-0000-0000-000031200000}"/>
    <cellStyle name="B_BotLC_HK.NBC@Mar2006_HK.EEV-May06 4+2 kkh_PROD_DETAILS 2" xfId="5463" xr:uid="{00000000-0005-0000-0000-000032200000}"/>
    <cellStyle name="B_BotLC_HK.NBC@Mar2006_HK.EEV-May06 4+2 kkh_PROD_DETAILS 3" xfId="26315" xr:uid="{00000000-0005-0000-0000-000033200000}"/>
    <cellStyle name="B_BotLC_HK.NBC@Mar2006_HK.EEV-May06 4+2 kkh_SOLVENCY POSITION " xfId="5464" xr:uid="{00000000-0005-0000-0000-000034200000}"/>
    <cellStyle name="B_BotLC_HK.NBC@Mar2006_HK.EEV-May06 4+2 kkh_SOLVENCY POSITION  2" xfId="5465" xr:uid="{00000000-0005-0000-0000-000035200000}"/>
    <cellStyle name="B_BotLC_HK.NBC@Mar2006_HK.EEV-May06 4+2 kkh_SOLVENCY POSITION  3" xfId="26316" xr:uid="{00000000-0005-0000-0000-000036200000}"/>
    <cellStyle name="B_BotLC_HK.NBC@Mar2006_PROD_DETAILS" xfId="5466" xr:uid="{00000000-0005-0000-0000-000037200000}"/>
    <cellStyle name="B_BotLC_HK.NBC@Mar2006_PROD_DETAILS 2" xfId="5467" xr:uid="{00000000-0005-0000-0000-000038200000}"/>
    <cellStyle name="B_BotLC_HK.NBC@Mar2006_PROD_DETAILS 3" xfId="26317" xr:uid="{00000000-0005-0000-0000-000039200000}"/>
    <cellStyle name="B_BotLC_HK.NBC@Mar2006_SOLVENCY POSITION " xfId="5468" xr:uid="{00000000-0005-0000-0000-00003A200000}"/>
    <cellStyle name="B_BotLC_HK.NBC@Mar2006_SOLVENCY POSITION  2" xfId="5469" xr:uid="{00000000-0005-0000-0000-00003B200000}"/>
    <cellStyle name="B_BotLC_HK.NBC@Mar2006_SOLVENCY POSITION  3" xfId="26318" xr:uid="{00000000-0005-0000-0000-00003C200000}"/>
    <cellStyle name="B_BotLC_HK_NBC@Dec2007(New Lapse)Final" xfId="5470" xr:uid="{00000000-0005-0000-0000-00003D200000}"/>
    <cellStyle name="B_BotLC_HK_NBC@Dec2007(New Lapse)Final 10" xfId="5471" xr:uid="{00000000-0005-0000-0000-00003E200000}"/>
    <cellStyle name="B_BotLC_HK_NBC@Dec2007(New Lapse)Final 10 2" xfId="5472" xr:uid="{00000000-0005-0000-0000-00003F200000}"/>
    <cellStyle name="B_BotLC_HK_NBC@Dec2007(New Lapse)Final 10 3" xfId="26319" xr:uid="{00000000-0005-0000-0000-000040200000}"/>
    <cellStyle name="B_BotLC_HK_NBC@Dec2007(New Lapse)Final 11" xfId="5473" xr:uid="{00000000-0005-0000-0000-000041200000}"/>
    <cellStyle name="B_BotLC_HK_NBC@Dec2007(New Lapse)Final 11 2" xfId="5474" xr:uid="{00000000-0005-0000-0000-000042200000}"/>
    <cellStyle name="B_BotLC_HK_NBC@Dec2007(New Lapse)Final 11 3" xfId="26320" xr:uid="{00000000-0005-0000-0000-000043200000}"/>
    <cellStyle name="B_BotLC_HK_NBC@Dec2007(New Lapse)Final 12" xfId="5475" xr:uid="{00000000-0005-0000-0000-000044200000}"/>
    <cellStyle name="B_BotLC_HK_NBC@Dec2007(New Lapse)Final 12 2" xfId="5476" xr:uid="{00000000-0005-0000-0000-000045200000}"/>
    <cellStyle name="B_BotLC_HK_NBC@Dec2007(New Lapse)Final 12 3" xfId="26321" xr:uid="{00000000-0005-0000-0000-000046200000}"/>
    <cellStyle name="B_BotLC_HK_NBC@Dec2007(New Lapse)Final 13" xfId="5477" xr:uid="{00000000-0005-0000-0000-000047200000}"/>
    <cellStyle name="B_BotLC_HK_NBC@Dec2007(New Lapse)Final 13 2" xfId="5478" xr:uid="{00000000-0005-0000-0000-000048200000}"/>
    <cellStyle name="B_BotLC_HK_NBC@Dec2007(New Lapse)Final 13 3" xfId="26322" xr:uid="{00000000-0005-0000-0000-000049200000}"/>
    <cellStyle name="B_BotLC_HK_NBC@Dec2007(New Lapse)Final 14" xfId="5479" xr:uid="{00000000-0005-0000-0000-00004A200000}"/>
    <cellStyle name="B_BotLC_HK_NBC@Dec2007(New Lapse)Final 14 2" xfId="5480" xr:uid="{00000000-0005-0000-0000-00004B200000}"/>
    <cellStyle name="B_BotLC_HK_NBC@Dec2007(New Lapse)Final 14 3" xfId="26323" xr:uid="{00000000-0005-0000-0000-00004C200000}"/>
    <cellStyle name="B_BotLC_HK_NBC@Dec2007(New Lapse)Final 15" xfId="5481" xr:uid="{00000000-0005-0000-0000-00004D200000}"/>
    <cellStyle name="B_BotLC_HK_NBC@Dec2007(New Lapse)Final 15 2" xfId="5482" xr:uid="{00000000-0005-0000-0000-00004E200000}"/>
    <cellStyle name="B_BotLC_HK_NBC@Dec2007(New Lapse)Final 15 3" xfId="26324" xr:uid="{00000000-0005-0000-0000-00004F200000}"/>
    <cellStyle name="B_BotLC_HK_NBC@Dec2007(New Lapse)Final 16" xfId="5483" xr:uid="{00000000-0005-0000-0000-000050200000}"/>
    <cellStyle name="B_BotLC_HK_NBC@Dec2007(New Lapse)Final 16 2" xfId="5484" xr:uid="{00000000-0005-0000-0000-000051200000}"/>
    <cellStyle name="B_BotLC_HK_NBC@Dec2007(New Lapse)Final 16 3" xfId="26325" xr:uid="{00000000-0005-0000-0000-000052200000}"/>
    <cellStyle name="B_BotLC_HK_NBC@Dec2007(New Lapse)Final 17" xfId="5485" xr:uid="{00000000-0005-0000-0000-000053200000}"/>
    <cellStyle name="B_BotLC_HK_NBC@Dec2007(New Lapse)Final 17 2" xfId="5486" xr:uid="{00000000-0005-0000-0000-000054200000}"/>
    <cellStyle name="B_BotLC_HK_NBC@Dec2007(New Lapse)Final 17 3" xfId="26326" xr:uid="{00000000-0005-0000-0000-000055200000}"/>
    <cellStyle name="B_BotLC_HK_NBC@Dec2007(New Lapse)Final 18" xfId="5487" xr:uid="{00000000-0005-0000-0000-000056200000}"/>
    <cellStyle name="B_BotLC_HK_NBC@Dec2007(New Lapse)Final 18 2" xfId="5488" xr:uid="{00000000-0005-0000-0000-000057200000}"/>
    <cellStyle name="B_BotLC_HK_NBC@Dec2007(New Lapse)Final 18 3" xfId="26327" xr:uid="{00000000-0005-0000-0000-000058200000}"/>
    <cellStyle name="B_BotLC_HK_NBC@Dec2007(New Lapse)Final 19" xfId="5489" xr:uid="{00000000-0005-0000-0000-000059200000}"/>
    <cellStyle name="B_BotLC_HK_NBC@Dec2007(New Lapse)Final 19 2" xfId="5490" xr:uid="{00000000-0005-0000-0000-00005A200000}"/>
    <cellStyle name="B_BotLC_HK_NBC@Dec2007(New Lapse)Final 19 3" xfId="26328" xr:uid="{00000000-0005-0000-0000-00005B200000}"/>
    <cellStyle name="B_BotLC_HK_NBC@Dec2007(New Lapse)Final 2" xfId="5491" xr:uid="{00000000-0005-0000-0000-00005C200000}"/>
    <cellStyle name="B_BotLC_HK_NBC@Dec2007(New Lapse)Final 2 2" xfId="5492" xr:uid="{00000000-0005-0000-0000-00005D200000}"/>
    <cellStyle name="B_BotLC_HK_NBC@Dec2007(New Lapse)Final 2 3" xfId="26329" xr:uid="{00000000-0005-0000-0000-00005E200000}"/>
    <cellStyle name="B_BotLC_HK_NBC@Dec2007(New Lapse)Final 20" xfId="5493" xr:uid="{00000000-0005-0000-0000-00005F200000}"/>
    <cellStyle name="B_BotLC_HK_NBC@Dec2007(New Lapse)Final 20 2" xfId="5494" xr:uid="{00000000-0005-0000-0000-000060200000}"/>
    <cellStyle name="B_BotLC_HK_NBC@Dec2007(New Lapse)Final 20 3" xfId="26330" xr:uid="{00000000-0005-0000-0000-000061200000}"/>
    <cellStyle name="B_BotLC_HK_NBC@Dec2007(New Lapse)Final 21" xfId="5495" xr:uid="{00000000-0005-0000-0000-000062200000}"/>
    <cellStyle name="B_BotLC_HK_NBC@Dec2007(New Lapse)Final 21 2" xfId="5496" xr:uid="{00000000-0005-0000-0000-000063200000}"/>
    <cellStyle name="B_BotLC_HK_NBC@Dec2007(New Lapse)Final 21 3" xfId="26331" xr:uid="{00000000-0005-0000-0000-000064200000}"/>
    <cellStyle name="B_BotLC_HK_NBC@Dec2007(New Lapse)Final 22" xfId="5497" xr:uid="{00000000-0005-0000-0000-000065200000}"/>
    <cellStyle name="B_BotLC_HK_NBC@Dec2007(New Lapse)Final 22 2" xfId="5498" xr:uid="{00000000-0005-0000-0000-000066200000}"/>
    <cellStyle name="B_BotLC_HK_NBC@Dec2007(New Lapse)Final 22 3" xfId="26332" xr:uid="{00000000-0005-0000-0000-000067200000}"/>
    <cellStyle name="B_BotLC_HK_NBC@Dec2007(New Lapse)Final 23" xfId="5499" xr:uid="{00000000-0005-0000-0000-000068200000}"/>
    <cellStyle name="B_BotLC_HK_NBC@Dec2007(New Lapse)Final 23 2" xfId="5500" xr:uid="{00000000-0005-0000-0000-000069200000}"/>
    <cellStyle name="B_BotLC_HK_NBC@Dec2007(New Lapse)Final 23 3" xfId="26333" xr:uid="{00000000-0005-0000-0000-00006A200000}"/>
    <cellStyle name="B_BotLC_HK_NBC@Dec2007(New Lapse)Final 24" xfId="5501" xr:uid="{00000000-0005-0000-0000-00006B200000}"/>
    <cellStyle name="B_BotLC_HK_NBC@Dec2007(New Lapse)Final 25" xfId="26334" xr:uid="{00000000-0005-0000-0000-00006C200000}"/>
    <cellStyle name="B_BotLC_HK_NBC@Dec2007(New Lapse)Final 3" xfId="5502" xr:uid="{00000000-0005-0000-0000-00006D200000}"/>
    <cellStyle name="B_BotLC_HK_NBC@Dec2007(New Lapse)Final 3 2" xfId="5503" xr:uid="{00000000-0005-0000-0000-00006E200000}"/>
    <cellStyle name="B_BotLC_HK_NBC@Dec2007(New Lapse)Final 3 3" xfId="26335" xr:uid="{00000000-0005-0000-0000-00006F200000}"/>
    <cellStyle name="B_BotLC_HK_NBC@Dec2007(New Lapse)Final 4" xfId="5504" xr:uid="{00000000-0005-0000-0000-000070200000}"/>
    <cellStyle name="B_BotLC_HK_NBC@Dec2007(New Lapse)Final 4 2" xfId="5505" xr:uid="{00000000-0005-0000-0000-000071200000}"/>
    <cellStyle name="B_BotLC_HK_NBC@Dec2007(New Lapse)Final 4 3" xfId="26336" xr:uid="{00000000-0005-0000-0000-000072200000}"/>
    <cellStyle name="B_BotLC_HK_NBC@Dec2007(New Lapse)Final 5" xfId="5506" xr:uid="{00000000-0005-0000-0000-000073200000}"/>
    <cellStyle name="B_BotLC_HK_NBC@Dec2007(New Lapse)Final 5 2" xfId="5507" xr:uid="{00000000-0005-0000-0000-000074200000}"/>
    <cellStyle name="B_BotLC_HK_NBC@Dec2007(New Lapse)Final 5 3" xfId="26337" xr:uid="{00000000-0005-0000-0000-000075200000}"/>
    <cellStyle name="B_BotLC_HK_NBC@Dec2007(New Lapse)Final 6" xfId="5508" xr:uid="{00000000-0005-0000-0000-000076200000}"/>
    <cellStyle name="B_BotLC_HK_NBC@Dec2007(New Lapse)Final 6 2" xfId="5509" xr:uid="{00000000-0005-0000-0000-000077200000}"/>
    <cellStyle name="B_BotLC_HK_NBC@Dec2007(New Lapse)Final 6 3" xfId="26338" xr:uid="{00000000-0005-0000-0000-000078200000}"/>
    <cellStyle name="B_BotLC_HK_NBC@Dec2007(New Lapse)Final 7" xfId="5510" xr:uid="{00000000-0005-0000-0000-000079200000}"/>
    <cellStyle name="B_BotLC_HK_NBC@Dec2007(New Lapse)Final 7 2" xfId="5511" xr:uid="{00000000-0005-0000-0000-00007A200000}"/>
    <cellStyle name="B_BotLC_HK_NBC@Dec2007(New Lapse)Final 7 3" xfId="26339" xr:uid="{00000000-0005-0000-0000-00007B200000}"/>
    <cellStyle name="B_BotLC_HK_NBC@Dec2007(New Lapse)Final 8" xfId="5512" xr:uid="{00000000-0005-0000-0000-00007C200000}"/>
    <cellStyle name="B_BotLC_HK_NBC@Dec2007(New Lapse)Final 8 2" xfId="5513" xr:uid="{00000000-0005-0000-0000-00007D200000}"/>
    <cellStyle name="B_BotLC_HK_NBC@Dec2007(New Lapse)Final 8 3" xfId="26340" xr:uid="{00000000-0005-0000-0000-00007E200000}"/>
    <cellStyle name="B_BotLC_HK_NBC@Dec2007(New Lapse)Final 9" xfId="5514" xr:uid="{00000000-0005-0000-0000-00007F200000}"/>
    <cellStyle name="B_BotLC_HK_NBC@Dec2007(New Lapse)Final 9 2" xfId="5515" xr:uid="{00000000-0005-0000-0000-000080200000}"/>
    <cellStyle name="B_BotLC_HK_NBC@Dec2007(New Lapse)Final 9 3" xfId="26341" xr:uid="{00000000-0005-0000-0000-000081200000}"/>
    <cellStyle name="B_BotLC_HK_NBC@Dec2007(New Lapse)Final_PROD_DETAILS" xfId="5516" xr:uid="{00000000-0005-0000-0000-000082200000}"/>
    <cellStyle name="B_BotLC_HK_NBC@Dec2007(New Lapse)Final_PROD_DETAILS 2" xfId="5517" xr:uid="{00000000-0005-0000-0000-000083200000}"/>
    <cellStyle name="B_BotLC_HK_NBC@Dec2007(New Lapse)Final_PROD_DETAILS 3" xfId="26342" xr:uid="{00000000-0005-0000-0000-000084200000}"/>
    <cellStyle name="B_BotLC_HK_NBC@Dec2007(New Lapse)Final_SOLVENCY POSITION " xfId="5518" xr:uid="{00000000-0005-0000-0000-000085200000}"/>
    <cellStyle name="B_BotLC_HK_NBC@Dec2007(New Lapse)Final_SOLVENCY POSITION  2" xfId="5519" xr:uid="{00000000-0005-0000-0000-000086200000}"/>
    <cellStyle name="B_BotLC_HK_NBC@Dec2007(New Lapse)Final_SOLVENCY POSITION  3" xfId="26343" xr:uid="{00000000-0005-0000-0000-000087200000}"/>
    <cellStyle name="B_BotLC_KPI's" xfId="5520" xr:uid="{00000000-0005-0000-0000-000088200000}"/>
    <cellStyle name="B_BotLC_KPI's 10" xfId="5521" xr:uid="{00000000-0005-0000-0000-000089200000}"/>
    <cellStyle name="B_BotLC_KPI's 10 2" xfId="5522" xr:uid="{00000000-0005-0000-0000-00008A200000}"/>
    <cellStyle name="B_BotLC_KPI's 10 3" xfId="26344" xr:uid="{00000000-0005-0000-0000-00008B200000}"/>
    <cellStyle name="B_BotLC_KPI's 11" xfId="5523" xr:uid="{00000000-0005-0000-0000-00008C200000}"/>
    <cellStyle name="B_BotLC_KPI's 11 2" xfId="5524" xr:uid="{00000000-0005-0000-0000-00008D200000}"/>
    <cellStyle name="B_BotLC_KPI's 11 3" xfId="26345" xr:uid="{00000000-0005-0000-0000-00008E200000}"/>
    <cellStyle name="B_BotLC_KPI's 12" xfId="5525" xr:uid="{00000000-0005-0000-0000-00008F200000}"/>
    <cellStyle name="B_BotLC_KPI's 12 2" xfId="5526" xr:uid="{00000000-0005-0000-0000-000090200000}"/>
    <cellStyle name="B_BotLC_KPI's 12 3" xfId="26346" xr:uid="{00000000-0005-0000-0000-000091200000}"/>
    <cellStyle name="B_BotLC_KPI's 13" xfId="5527" xr:uid="{00000000-0005-0000-0000-000092200000}"/>
    <cellStyle name="B_BotLC_KPI's 13 2" xfId="5528" xr:uid="{00000000-0005-0000-0000-000093200000}"/>
    <cellStyle name="B_BotLC_KPI's 13 3" xfId="26347" xr:uid="{00000000-0005-0000-0000-000094200000}"/>
    <cellStyle name="B_BotLC_KPI's 14" xfId="5529" xr:uid="{00000000-0005-0000-0000-000095200000}"/>
    <cellStyle name="B_BotLC_KPI's 14 2" xfId="5530" xr:uid="{00000000-0005-0000-0000-000096200000}"/>
    <cellStyle name="B_BotLC_KPI's 14 3" xfId="26348" xr:uid="{00000000-0005-0000-0000-000097200000}"/>
    <cellStyle name="B_BotLC_KPI's 15" xfId="5531" xr:uid="{00000000-0005-0000-0000-000098200000}"/>
    <cellStyle name="B_BotLC_KPI's 15 2" xfId="5532" xr:uid="{00000000-0005-0000-0000-000099200000}"/>
    <cellStyle name="B_BotLC_KPI's 15 3" xfId="26349" xr:uid="{00000000-0005-0000-0000-00009A200000}"/>
    <cellStyle name="B_BotLC_KPI's 16" xfId="5533" xr:uid="{00000000-0005-0000-0000-00009B200000}"/>
    <cellStyle name="B_BotLC_KPI's 16 2" xfId="5534" xr:uid="{00000000-0005-0000-0000-00009C200000}"/>
    <cellStyle name="B_BotLC_KPI's 16 3" xfId="26350" xr:uid="{00000000-0005-0000-0000-00009D200000}"/>
    <cellStyle name="B_BotLC_KPI's 17" xfId="5535" xr:uid="{00000000-0005-0000-0000-00009E200000}"/>
    <cellStyle name="B_BotLC_KPI's 17 2" xfId="5536" xr:uid="{00000000-0005-0000-0000-00009F200000}"/>
    <cellStyle name="B_BotLC_KPI's 17 3" xfId="26351" xr:uid="{00000000-0005-0000-0000-0000A0200000}"/>
    <cellStyle name="B_BotLC_KPI's 18" xfId="5537" xr:uid="{00000000-0005-0000-0000-0000A1200000}"/>
    <cellStyle name="B_BotLC_KPI's 18 2" xfId="5538" xr:uid="{00000000-0005-0000-0000-0000A2200000}"/>
    <cellStyle name="B_BotLC_KPI's 18 3" xfId="26352" xr:uid="{00000000-0005-0000-0000-0000A3200000}"/>
    <cellStyle name="B_BotLC_KPI's 19" xfId="5539" xr:uid="{00000000-0005-0000-0000-0000A4200000}"/>
    <cellStyle name="B_BotLC_KPI's 19 2" xfId="5540" xr:uid="{00000000-0005-0000-0000-0000A5200000}"/>
    <cellStyle name="B_BotLC_KPI's 19 3" xfId="26353" xr:uid="{00000000-0005-0000-0000-0000A6200000}"/>
    <cellStyle name="B_BotLC_KPI's 2" xfId="5541" xr:uid="{00000000-0005-0000-0000-0000A7200000}"/>
    <cellStyle name="B_BotLC_KPI's 2 2" xfId="5542" xr:uid="{00000000-0005-0000-0000-0000A8200000}"/>
    <cellStyle name="B_BotLC_KPI's 2 3" xfId="26354" xr:uid="{00000000-0005-0000-0000-0000A9200000}"/>
    <cellStyle name="B_BotLC_KPI's 20" xfId="5543" xr:uid="{00000000-0005-0000-0000-0000AA200000}"/>
    <cellStyle name="B_BotLC_KPI's 20 2" xfId="5544" xr:uid="{00000000-0005-0000-0000-0000AB200000}"/>
    <cellStyle name="B_BotLC_KPI's 20 3" xfId="26355" xr:uid="{00000000-0005-0000-0000-0000AC200000}"/>
    <cellStyle name="B_BotLC_KPI's 21" xfId="5545" xr:uid="{00000000-0005-0000-0000-0000AD200000}"/>
    <cellStyle name="B_BotLC_KPI's 21 2" xfId="5546" xr:uid="{00000000-0005-0000-0000-0000AE200000}"/>
    <cellStyle name="B_BotLC_KPI's 21 3" xfId="26356" xr:uid="{00000000-0005-0000-0000-0000AF200000}"/>
    <cellStyle name="B_BotLC_KPI's 22" xfId="5547" xr:uid="{00000000-0005-0000-0000-0000B0200000}"/>
    <cellStyle name="B_BotLC_KPI's 22 2" xfId="5548" xr:uid="{00000000-0005-0000-0000-0000B1200000}"/>
    <cellStyle name="B_BotLC_KPI's 22 3" xfId="26357" xr:uid="{00000000-0005-0000-0000-0000B2200000}"/>
    <cellStyle name="B_BotLC_KPI's 23" xfId="5549" xr:uid="{00000000-0005-0000-0000-0000B3200000}"/>
    <cellStyle name="B_BotLC_KPI's 23 2" xfId="5550" xr:uid="{00000000-0005-0000-0000-0000B4200000}"/>
    <cellStyle name="B_BotLC_KPI's 23 3" xfId="26358" xr:uid="{00000000-0005-0000-0000-0000B5200000}"/>
    <cellStyle name="B_BotLC_KPI's 24" xfId="5551" xr:uid="{00000000-0005-0000-0000-0000B6200000}"/>
    <cellStyle name="B_BotLC_KPI's 25" xfId="26359" xr:uid="{00000000-0005-0000-0000-0000B7200000}"/>
    <cellStyle name="B_BotLC_KPI's 3" xfId="5552" xr:uid="{00000000-0005-0000-0000-0000B8200000}"/>
    <cellStyle name="B_BotLC_KPI's 3 2" xfId="5553" xr:uid="{00000000-0005-0000-0000-0000B9200000}"/>
    <cellStyle name="B_BotLC_KPI's 3 3" xfId="26360" xr:uid="{00000000-0005-0000-0000-0000BA200000}"/>
    <cellStyle name="B_BotLC_KPI's 4" xfId="5554" xr:uid="{00000000-0005-0000-0000-0000BB200000}"/>
    <cellStyle name="B_BotLC_KPI's 4 2" xfId="5555" xr:uid="{00000000-0005-0000-0000-0000BC200000}"/>
    <cellStyle name="B_BotLC_KPI's 4 3" xfId="26361" xr:uid="{00000000-0005-0000-0000-0000BD200000}"/>
    <cellStyle name="B_BotLC_KPI's 5" xfId="5556" xr:uid="{00000000-0005-0000-0000-0000BE200000}"/>
    <cellStyle name="B_BotLC_KPI's 5 2" xfId="5557" xr:uid="{00000000-0005-0000-0000-0000BF200000}"/>
    <cellStyle name="B_BotLC_KPI's 5 3" xfId="26362" xr:uid="{00000000-0005-0000-0000-0000C0200000}"/>
    <cellStyle name="B_BotLC_KPI's 6" xfId="5558" xr:uid="{00000000-0005-0000-0000-0000C1200000}"/>
    <cellStyle name="B_BotLC_KPI's 6 2" xfId="5559" xr:uid="{00000000-0005-0000-0000-0000C2200000}"/>
    <cellStyle name="B_BotLC_KPI's 6 3" xfId="26363" xr:uid="{00000000-0005-0000-0000-0000C3200000}"/>
    <cellStyle name="B_BotLC_KPI's 7" xfId="5560" xr:uid="{00000000-0005-0000-0000-0000C4200000}"/>
    <cellStyle name="B_BotLC_KPI's 7 2" xfId="5561" xr:uid="{00000000-0005-0000-0000-0000C5200000}"/>
    <cellStyle name="B_BotLC_KPI's 7 3" xfId="26364" xr:uid="{00000000-0005-0000-0000-0000C6200000}"/>
    <cellStyle name="B_BotLC_KPI's 8" xfId="5562" xr:uid="{00000000-0005-0000-0000-0000C7200000}"/>
    <cellStyle name="B_BotLC_KPI's 8 2" xfId="5563" xr:uid="{00000000-0005-0000-0000-0000C8200000}"/>
    <cellStyle name="B_BotLC_KPI's 8 3" xfId="26365" xr:uid="{00000000-0005-0000-0000-0000C9200000}"/>
    <cellStyle name="B_BotLC_KPI's 9" xfId="5564" xr:uid="{00000000-0005-0000-0000-0000CA200000}"/>
    <cellStyle name="B_BotLC_KPI's 9 2" xfId="5565" xr:uid="{00000000-0005-0000-0000-0000CB200000}"/>
    <cellStyle name="B_BotLC_KPI's 9 3" xfId="26366" xr:uid="{00000000-0005-0000-0000-0000CC200000}"/>
    <cellStyle name="B_BotLC_KPI's_PROD_DETAILS" xfId="5566" xr:uid="{00000000-0005-0000-0000-0000CD200000}"/>
    <cellStyle name="B_BotLC_KPI's_PROD_DETAILS 2" xfId="5567" xr:uid="{00000000-0005-0000-0000-0000CE200000}"/>
    <cellStyle name="B_BotLC_KPI's_PROD_DETAILS 3" xfId="26367" xr:uid="{00000000-0005-0000-0000-0000CF200000}"/>
    <cellStyle name="B_BotLC_KPI's_SOLVENCY POSITION " xfId="5568" xr:uid="{00000000-0005-0000-0000-0000D0200000}"/>
    <cellStyle name="B_BotLC_KPI's_SOLVENCY POSITION  2" xfId="5569" xr:uid="{00000000-0005-0000-0000-0000D1200000}"/>
    <cellStyle name="B_BotLC_KPI's_SOLVENCY POSITION  3" xfId="26368" xr:uid="{00000000-0005-0000-0000-0000D2200000}"/>
    <cellStyle name="B_BotLC_p&amp;l wkgs" xfId="5570" xr:uid="{00000000-0005-0000-0000-0000D3200000}"/>
    <cellStyle name="B_BotLC_p&amp;l wkgs 10" xfId="5571" xr:uid="{00000000-0005-0000-0000-0000D4200000}"/>
    <cellStyle name="B_BotLC_p&amp;l wkgs 10 2" xfId="5572" xr:uid="{00000000-0005-0000-0000-0000D5200000}"/>
    <cellStyle name="B_BotLC_p&amp;l wkgs 10 3" xfId="26369" xr:uid="{00000000-0005-0000-0000-0000D6200000}"/>
    <cellStyle name="B_BotLC_p&amp;l wkgs 11" xfId="5573" xr:uid="{00000000-0005-0000-0000-0000D7200000}"/>
    <cellStyle name="B_BotLC_p&amp;l wkgs 11 2" xfId="5574" xr:uid="{00000000-0005-0000-0000-0000D8200000}"/>
    <cellStyle name="B_BotLC_p&amp;l wkgs 11 3" xfId="26370" xr:uid="{00000000-0005-0000-0000-0000D9200000}"/>
    <cellStyle name="B_BotLC_p&amp;l wkgs 12" xfId="5575" xr:uid="{00000000-0005-0000-0000-0000DA200000}"/>
    <cellStyle name="B_BotLC_p&amp;l wkgs 12 2" xfId="5576" xr:uid="{00000000-0005-0000-0000-0000DB200000}"/>
    <cellStyle name="B_BotLC_p&amp;l wkgs 12 3" xfId="26371" xr:uid="{00000000-0005-0000-0000-0000DC200000}"/>
    <cellStyle name="B_BotLC_p&amp;l wkgs 13" xfId="5577" xr:uid="{00000000-0005-0000-0000-0000DD200000}"/>
    <cellStyle name="B_BotLC_p&amp;l wkgs 13 2" xfId="5578" xr:uid="{00000000-0005-0000-0000-0000DE200000}"/>
    <cellStyle name="B_BotLC_p&amp;l wkgs 13 3" xfId="26372" xr:uid="{00000000-0005-0000-0000-0000DF200000}"/>
    <cellStyle name="B_BotLC_p&amp;l wkgs 14" xfId="5579" xr:uid="{00000000-0005-0000-0000-0000E0200000}"/>
    <cellStyle name="B_BotLC_p&amp;l wkgs 14 2" xfId="5580" xr:uid="{00000000-0005-0000-0000-0000E1200000}"/>
    <cellStyle name="B_BotLC_p&amp;l wkgs 14 3" xfId="26373" xr:uid="{00000000-0005-0000-0000-0000E2200000}"/>
    <cellStyle name="B_BotLC_p&amp;l wkgs 15" xfId="5581" xr:uid="{00000000-0005-0000-0000-0000E3200000}"/>
    <cellStyle name="B_BotLC_p&amp;l wkgs 15 2" xfId="5582" xr:uid="{00000000-0005-0000-0000-0000E4200000}"/>
    <cellStyle name="B_BotLC_p&amp;l wkgs 15 3" xfId="26374" xr:uid="{00000000-0005-0000-0000-0000E5200000}"/>
    <cellStyle name="B_BotLC_p&amp;l wkgs 16" xfId="5583" xr:uid="{00000000-0005-0000-0000-0000E6200000}"/>
    <cellStyle name="B_BotLC_p&amp;l wkgs 16 2" xfId="5584" xr:uid="{00000000-0005-0000-0000-0000E7200000}"/>
    <cellStyle name="B_BotLC_p&amp;l wkgs 16 3" xfId="26375" xr:uid="{00000000-0005-0000-0000-0000E8200000}"/>
    <cellStyle name="B_BotLC_p&amp;l wkgs 17" xfId="5585" xr:uid="{00000000-0005-0000-0000-0000E9200000}"/>
    <cellStyle name="B_BotLC_p&amp;l wkgs 17 2" xfId="5586" xr:uid="{00000000-0005-0000-0000-0000EA200000}"/>
    <cellStyle name="B_BotLC_p&amp;l wkgs 17 3" xfId="26376" xr:uid="{00000000-0005-0000-0000-0000EB200000}"/>
    <cellStyle name="B_BotLC_p&amp;l wkgs 18" xfId="5587" xr:uid="{00000000-0005-0000-0000-0000EC200000}"/>
    <cellStyle name="B_BotLC_p&amp;l wkgs 18 2" xfId="5588" xr:uid="{00000000-0005-0000-0000-0000ED200000}"/>
    <cellStyle name="B_BotLC_p&amp;l wkgs 18 3" xfId="26377" xr:uid="{00000000-0005-0000-0000-0000EE200000}"/>
    <cellStyle name="B_BotLC_p&amp;l wkgs 19" xfId="5589" xr:uid="{00000000-0005-0000-0000-0000EF200000}"/>
    <cellStyle name="B_BotLC_p&amp;l wkgs 19 2" xfId="5590" xr:uid="{00000000-0005-0000-0000-0000F0200000}"/>
    <cellStyle name="B_BotLC_p&amp;l wkgs 19 3" xfId="26378" xr:uid="{00000000-0005-0000-0000-0000F1200000}"/>
    <cellStyle name="B_BotLC_p&amp;l wkgs 2" xfId="5591" xr:uid="{00000000-0005-0000-0000-0000F2200000}"/>
    <cellStyle name="B_BotLC_p&amp;l wkgs 2 2" xfId="5592" xr:uid="{00000000-0005-0000-0000-0000F3200000}"/>
    <cellStyle name="B_BotLC_p&amp;l wkgs 2 3" xfId="26379" xr:uid="{00000000-0005-0000-0000-0000F4200000}"/>
    <cellStyle name="B_BotLC_p&amp;l wkgs 20" xfId="5593" xr:uid="{00000000-0005-0000-0000-0000F5200000}"/>
    <cellStyle name="B_BotLC_p&amp;l wkgs 20 2" xfId="5594" xr:uid="{00000000-0005-0000-0000-0000F6200000}"/>
    <cellStyle name="B_BotLC_p&amp;l wkgs 20 3" xfId="26380" xr:uid="{00000000-0005-0000-0000-0000F7200000}"/>
    <cellStyle name="B_BotLC_p&amp;l wkgs 21" xfId="5595" xr:uid="{00000000-0005-0000-0000-0000F8200000}"/>
    <cellStyle name="B_BotLC_p&amp;l wkgs 21 2" xfId="5596" xr:uid="{00000000-0005-0000-0000-0000F9200000}"/>
    <cellStyle name="B_BotLC_p&amp;l wkgs 21 3" xfId="26381" xr:uid="{00000000-0005-0000-0000-0000FA200000}"/>
    <cellStyle name="B_BotLC_p&amp;l wkgs 22" xfId="5597" xr:uid="{00000000-0005-0000-0000-0000FB200000}"/>
    <cellStyle name="B_BotLC_p&amp;l wkgs 22 2" xfId="5598" xr:uid="{00000000-0005-0000-0000-0000FC200000}"/>
    <cellStyle name="B_BotLC_p&amp;l wkgs 22 3" xfId="26382" xr:uid="{00000000-0005-0000-0000-0000FD200000}"/>
    <cellStyle name="B_BotLC_p&amp;l wkgs 23" xfId="5599" xr:uid="{00000000-0005-0000-0000-0000FE200000}"/>
    <cellStyle name="B_BotLC_p&amp;l wkgs 23 2" xfId="5600" xr:uid="{00000000-0005-0000-0000-0000FF200000}"/>
    <cellStyle name="B_BotLC_p&amp;l wkgs 23 3" xfId="26383" xr:uid="{00000000-0005-0000-0000-000000210000}"/>
    <cellStyle name="B_BotLC_p&amp;l wkgs 24" xfId="5601" xr:uid="{00000000-0005-0000-0000-000001210000}"/>
    <cellStyle name="B_BotLC_p&amp;l wkgs 25" xfId="26384" xr:uid="{00000000-0005-0000-0000-000002210000}"/>
    <cellStyle name="B_BotLC_p&amp;l wkgs 3" xfId="5602" xr:uid="{00000000-0005-0000-0000-000003210000}"/>
    <cellStyle name="B_BotLC_p&amp;l wkgs 3 2" xfId="5603" xr:uid="{00000000-0005-0000-0000-000004210000}"/>
    <cellStyle name="B_BotLC_p&amp;l wkgs 3 3" xfId="26385" xr:uid="{00000000-0005-0000-0000-000005210000}"/>
    <cellStyle name="B_BotLC_p&amp;l wkgs 4" xfId="5604" xr:uid="{00000000-0005-0000-0000-000006210000}"/>
    <cellStyle name="B_BotLC_p&amp;l wkgs 4 2" xfId="5605" xr:uid="{00000000-0005-0000-0000-000007210000}"/>
    <cellStyle name="B_BotLC_p&amp;l wkgs 4 3" xfId="26386" xr:uid="{00000000-0005-0000-0000-000008210000}"/>
    <cellStyle name="B_BotLC_p&amp;l wkgs 5" xfId="5606" xr:uid="{00000000-0005-0000-0000-000009210000}"/>
    <cellStyle name="B_BotLC_p&amp;l wkgs 5 2" xfId="5607" xr:uid="{00000000-0005-0000-0000-00000A210000}"/>
    <cellStyle name="B_BotLC_p&amp;l wkgs 5 3" xfId="26387" xr:uid="{00000000-0005-0000-0000-00000B210000}"/>
    <cellStyle name="B_BotLC_p&amp;l wkgs 6" xfId="5608" xr:uid="{00000000-0005-0000-0000-00000C210000}"/>
    <cellStyle name="B_BotLC_p&amp;l wkgs 6 2" xfId="5609" xr:uid="{00000000-0005-0000-0000-00000D210000}"/>
    <cellStyle name="B_BotLC_p&amp;l wkgs 6 3" xfId="26388" xr:uid="{00000000-0005-0000-0000-00000E210000}"/>
    <cellStyle name="B_BotLC_p&amp;l wkgs 7" xfId="5610" xr:uid="{00000000-0005-0000-0000-00000F210000}"/>
    <cellStyle name="B_BotLC_p&amp;l wkgs 7 2" xfId="5611" xr:uid="{00000000-0005-0000-0000-000010210000}"/>
    <cellStyle name="B_BotLC_p&amp;l wkgs 7 3" xfId="26389" xr:uid="{00000000-0005-0000-0000-000011210000}"/>
    <cellStyle name="B_BotLC_p&amp;l wkgs 8" xfId="5612" xr:uid="{00000000-0005-0000-0000-000012210000}"/>
    <cellStyle name="B_BotLC_p&amp;l wkgs 8 2" xfId="5613" xr:uid="{00000000-0005-0000-0000-000013210000}"/>
    <cellStyle name="B_BotLC_p&amp;l wkgs 8 3" xfId="26390" xr:uid="{00000000-0005-0000-0000-000014210000}"/>
    <cellStyle name="B_BotLC_p&amp;l wkgs 9" xfId="5614" xr:uid="{00000000-0005-0000-0000-000015210000}"/>
    <cellStyle name="B_BotLC_p&amp;l wkgs 9 2" xfId="5615" xr:uid="{00000000-0005-0000-0000-000016210000}"/>
    <cellStyle name="B_BotLC_p&amp;l wkgs 9 3" xfId="26391" xr:uid="{00000000-0005-0000-0000-000017210000}"/>
    <cellStyle name="B_BotLC_p&amp;l wkgs_PROD_DETAILS" xfId="5616" xr:uid="{00000000-0005-0000-0000-000018210000}"/>
    <cellStyle name="B_BotLC_p&amp;l wkgs_PROD_DETAILS 2" xfId="5617" xr:uid="{00000000-0005-0000-0000-000019210000}"/>
    <cellStyle name="B_BotLC_p&amp;l wkgs_PROD_DETAILS 3" xfId="26392" xr:uid="{00000000-0005-0000-0000-00001A210000}"/>
    <cellStyle name="B_BotLC_p&amp;l wkgs_SOLVENCY POSITION " xfId="5618" xr:uid="{00000000-0005-0000-0000-00001B210000}"/>
    <cellStyle name="B_BotLC_p&amp;l wkgs_SOLVENCY POSITION  2" xfId="5619" xr:uid="{00000000-0005-0000-0000-00001C210000}"/>
    <cellStyle name="B_BotLC_p&amp;l wkgs_SOLVENCY POSITION  3" xfId="26393" xr:uid="{00000000-0005-0000-0000-00001D210000}"/>
    <cellStyle name="B_BotLC_PROD_DETAILS" xfId="5620" xr:uid="{00000000-0005-0000-0000-00001E210000}"/>
    <cellStyle name="B_BotLC_PROD_DETAILS 2" xfId="5621" xr:uid="{00000000-0005-0000-0000-00001F210000}"/>
    <cellStyle name="B_BotLC_PROD_DETAILS 3" xfId="26394" xr:uid="{00000000-0005-0000-0000-000020210000}"/>
    <cellStyle name="B_BotLC_Prophet Roll" xfId="5622" xr:uid="{00000000-0005-0000-0000-000021210000}"/>
    <cellStyle name="B_BotLC_Prophet Roll 10" xfId="5623" xr:uid="{00000000-0005-0000-0000-000022210000}"/>
    <cellStyle name="B_BotLC_Prophet Roll 10 2" xfId="5624" xr:uid="{00000000-0005-0000-0000-000023210000}"/>
    <cellStyle name="B_BotLC_Prophet Roll 10 3" xfId="26395" xr:uid="{00000000-0005-0000-0000-000024210000}"/>
    <cellStyle name="B_BotLC_Prophet Roll 11" xfId="5625" xr:uid="{00000000-0005-0000-0000-000025210000}"/>
    <cellStyle name="B_BotLC_Prophet Roll 11 2" xfId="5626" xr:uid="{00000000-0005-0000-0000-000026210000}"/>
    <cellStyle name="B_BotLC_Prophet Roll 11 3" xfId="26396" xr:uid="{00000000-0005-0000-0000-000027210000}"/>
    <cellStyle name="B_BotLC_Prophet Roll 12" xfId="5627" xr:uid="{00000000-0005-0000-0000-000028210000}"/>
    <cellStyle name="B_BotLC_Prophet Roll 12 2" xfId="5628" xr:uid="{00000000-0005-0000-0000-000029210000}"/>
    <cellStyle name="B_BotLC_Prophet Roll 12 3" xfId="26397" xr:uid="{00000000-0005-0000-0000-00002A210000}"/>
    <cellStyle name="B_BotLC_Prophet Roll 13" xfId="5629" xr:uid="{00000000-0005-0000-0000-00002B210000}"/>
    <cellStyle name="B_BotLC_Prophet Roll 13 2" xfId="5630" xr:uid="{00000000-0005-0000-0000-00002C210000}"/>
    <cellStyle name="B_BotLC_Prophet Roll 13 3" xfId="26398" xr:uid="{00000000-0005-0000-0000-00002D210000}"/>
    <cellStyle name="B_BotLC_Prophet Roll 14" xfId="5631" xr:uid="{00000000-0005-0000-0000-00002E210000}"/>
    <cellStyle name="B_BotLC_Prophet Roll 14 2" xfId="5632" xr:uid="{00000000-0005-0000-0000-00002F210000}"/>
    <cellStyle name="B_BotLC_Prophet Roll 14 3" xfId="26399" xr:uid="{00000000-0005-0000-0000-000030210000}"/>
    <cellStyle name="B_BotLC_Prophet Roll 15" xfId="5633" xr:uid="{00000000-0005-0000-0000-000031210000}"/>
    <cellStyle name="B_BotLC_Prophet Roll 15 2" xfId="5634" xr:uid="{00000000-0005-0000-0000-000032210000}"/>
    <cellStyle name="B_BotLC_Prophet Roll 15 3" xfId="26400" xr:uid="{00000000-0005-0000-0000-000033210000}"/>
    <cellStyle name="B_BotLC_Prophet Roll 16" xfId="5635" xr:uid="{00000000-0005-0000-0000-000034210000}"/>
    <cellStyle name="B_BotLC_Prophet Roll 16 2" xfId="5636" xr:uid="{00000000-0005-0000-0000-000035210000}"/>
    <cellStyle name="B_BotLC_Prophet Roll 16 3" xfId="26401" xr:uid="{00000000-0005-0000-0000-000036210000}"/>
    <cellStyle name="B_BotLC_Prophet Roll 17" xfId="5637" xr:uid="{00000000-0005-0000-0000-000037210000}"/>
    <cellStyle name="B_BotLC_Prophet Roll 17 2" xfId="5638" xr:uid="{00000000-0005-0000-0000-000038210000}"/>
    <cellStyle name="B_BotLC_Prophet Roll 17 3" xfId="26402" xr:uid="{00000000-0005-0000-0000-000039210000}"/>
    <cellStyle name="B_BotLC_Prophet Roll 18" xfId="5639" xr:uid="{00000000-0005-0000-0000-00003A210000}"/>
    <cellStyle name="B_BotLC_Prophet Roll 18 2" xfId="5640" xr:uid="{00000000-0005-0000-0000-00003B210000}"/>
    <cellStyle name="B_BotLC_Prophet Roll 18 3" xfId="26403" xr:uid="{00000000-0005-0000-0000-00003C210000}"/>
    <cellStyle name="B_BotLC_Prophet Roll 19" xfId="5641" xr:uid="{00000000-0005-0000-0000-00003D210000}"/>
    <cellStyle name="B_BotLC_Prophet Roll 19 2" xfId="5642" xr:uid="{00000000-0005-0000-0000-00003E210000}"/>
    <cellStyle name="B_BotLC_Prophet Roll 19 3" xfId="26404" xr:uid="{00000000-0005-0000-0000-00003F210000}"/>
    <cellStyle name="B_BotLC_Prophet Roll 2" xfId="5643" xr:uid="{00000000-0005-0000-0000-000040210000}"/>
    <cellStyle name="B_BotLC_Prophet Roll 2 2" xfId="5644" xr:uid="{00000000-0005-0000-0000-000041210000}"/>
    <cellStyle name="B_BotLC_Prophet Roll 2 3" xfId="26405" xr:uid="{00000000-0005-0000-0000-000042210000}"/>
    <cellStyle name="B_BotLC_Prophet Roll 20" xfId="5645" xr:uid="{00000000-0005-0000-0000-000043210000}"/>
    <cellStyle name="B_BotLC_Prophet Roll 20 2" xfId="5646" xr:uid="{00000000-0005-0000-0000-000044210000}"/>
    <cellStyle name="B_BotLC_Prophet Roll 20 3" xfId="26406" xr:uid="{00000000-0005-0000-0000-000045210000}"/>
    <cellStyle name="B_BotLC_Prophet Roll 21" xfId="5647" xr:uid="{00000000-0005-0000-0000-000046210000}"/>
    <cellStyle name="B_BotLC_Prophet Roll 21 2" xfId="5648" xr:uid="{00000000-0005-0000-0000-000047210000}"/>
    <cellStyle name="B_BotLC_Prophet Roll 21 3" xfId="26407" xr:uid="{00000000-0005-0000-0000-000048210000}"/>
    <cellStyle name="B_BotLC_Prophet Roll 22" xfId="5649" xr:uid="{00000000-0005-0000-0000-000049210000}"/>
    <cellStyle name="B_BotLC_Prophet Roll 22 2" xfId="5650" xr:uid="{00000000-0005-0000-0000-00004A210000}"/>
    <cellStyle name="B_BotLC_Prophet Roll 22 3" xfId="26408" xr:uid="{00000000-0005-0000-0000-00004B210000}"/>
    <cellStyle name="B_BotLC_Prophet Roll 23" xfId="5651" xr:uid="{00000000-0005-0000-0000-00004C210000}"/>
    <cellStyle name="B_BotLC_Prophet Roll 23 2" xfId="5652" xr:uid="{00000000-0005-0000-0000-00004D210000}"/>
    <cellStyle name="B_BotLC_Prophet Roll 23 3" xfId="26409" xr:uid="{00000000-0005-0000-0000-00004E210000}"/>
    <cellStyle name="B_BotLC_Prophet Roll 24" xfId="5653" xr:uid="{00000000-0005-0000-0000-00004F210000}"/>
    <cellStyle name="B_BotLC_Prophet Roll 25" xfId="26410" xr:uid="{00000000-0005-0000-0000-000050210000}"/>
    <cellStyle name="B_BotLC_Prophet Roll 3" xfId="5654" xr:uid="{00000000-0005-0000-0000-000051210000}"/>
    <cellStyle name="B_BotLC_Prophet Roll 3 2" xfId="5655" xr:uid="{00000000-0005-0000-0000-000052210000}"/>
    <cellStyle name="B_BotLC_Prophet Roll 3 3" xfId="26411" xr:uid="{00000000-0005-0000-0000-000053210000}"/>
    <cellStyle name="B_BotLC_Prophet Roll 4" xfId="5656" xr:uid="{00000000-0005-0000-0000-000054210000}"/>
    <cellStyle name="B_BotLC_Prophet Roll 4 2" xfId="5657" xr:uid="{00000000-0005-0000-0000-000055210000}"/>
    <cellStyle name="B_BotLC_Prophet Roll 4 3" xfId="26412" xr:uid="{00000000-0005-0000-0000-000056210000}"/>
    <cellStyle name="B_BotLC_Prophet Roll 5" xfId="5658" xr:uid="{00000000-0005-0000-0000-000057210000}"/>
    <cellStyle name="B_BotLC_Prophet Roll 5 2" xfId="5659" xr:uid="{00000000-0005-0000-0000-000058210000}"/>
    <cellStyle name="B_BotLC_Prophet Roll 5 3" xfId="26413" xr:uid="{00000000-0005-0000-0000-000059210000}"/>
    <cellStyle name="B_BotLC_Prophet Roll 6" xfId="5660" xr:uid="{00000000-0005-0000-0000-00005A210000}"/>
    <cellStyle name="B_BotLC_Prophet Roll 6 2" xfId="5661" xr:uid="{00000000-0005-0000-0000-00005B210000}"/>
    <cellStyle name="B_BotLC_Prophet Roll 6 3" xfId="26414" xr:uid="{00000000-0005-0000-0000-00005C210000}"/>
    <cellStyle name="B_BotLC_Prophet Roll 7" xfId="5662" xr:uid="{00000000-0005-0000-0000-00005D210000}"/>
    <cellStyle name="B_BotLC_Prophet Roll 7 2" xfId="5663" xr:uid="{00000000-0005-0000-0000-00005E210000}"/>
    <cellStyle name="B_BotLC_Prophet Roll 7 3" xfId="26415" xr:uid="{00000000-0005-0000-0000-00005F210000}"/>
    <cellStyle name="B_BotLC_Prophet Roll 8" xfId="5664" xr:uid="{00000000-0005-0000-0000-000060210000}"/>
    <cellStyle name="B_BotLC_Prophet Roll 8 2" xfId="5665" xr:uid="{00000000-0005-0000-0000-000061210000}"/>
    <cellStyle name="B_BotLC_Prophet Roll 8 3" xfId="26416" xr:uid="{00000000-0005-0000-0000-000062210000}"/>
    <cellStyle name="B_BotLC_Prophet Roll 9" xfId="5666" xr:uid="{00000000-0005-0000-0000-000063210000}"/>
    <cellStyle name="B_BotLC_Prophet Roll 9 2" xfId="5667" xr:uid="{00000000-0005-0000-0000-000064210000}"/>
    <cellStyle name="B_BotLC_Prophet Roll 9 3" xfId="26417" xr:uid="{00000000-0005-0000-0000-000065210000}"/>
    <cellStyle name="B_BotLC_Prophet Roll_PROD_DETAILS" xfId="5668" xr:uid="{00000000-0005-0000-0000-000066210000}"/>
    <cellStyle name="B_BotLC_Prophet Roll_PROD_DETAILS 2" xfId="5669" xr:uid="{00000000-0005-0000-0000-000067210000}"/>
    <cellStyle name="B_BotLC_Prophet Roll_PROD_DETAILS 3" xfId="26418" xr:uid="{00000000-0005-0000-0000-000068210000}"/>
    <cellStyle name="B_BotLC_Prophet Roll_SOLVENCY POSITION " xfId="5670" xr:uid="{00000000-0005-0000-0000-000069210000}"/>
    <cellStyle name="B_BotLC_Prophet Roll_SOLVENCY POSITION  2" xfId="5671" xr:uid="{00000000-0005-0000-0000-00006A210000}"/>
    <cellStyle name="B_BotLC_Prophet Roll_SOLVENCY POSITION  3" xfId="26419" xr:uid="{00000000-0005-0000-0000-00006B210000}"/>
    <cellStyle name="B_BotLC_Prophet SalesProj Roll" xfId="5672" xr:uid="{00000000-0005-0000-0000-00006C210000}"/>
    <cellStyle name="B_BotLC_Prophet SalesProj Roll 10" xfId="5673" xr:uid="{00000000-0005-0000-0000-00006D210000}"/>
    <cellStyle name="B_BotLC_Prophet SalesProj Roll 10 2" xfId="5674" xr:uid="{00000000-0005-0000-0000-00006E210000}"/>
    <cellStyle name="B_BotLC_Prophet SalesProj Roll 10 3" xfId="26420" xr:uid="{00000000-0005-0000-0000-00006F210000}"/>
    <cellStyle name="B_BotLC_Prophet SalesProj Roll 11" xfId="5675" xr:uid="{00000000-0005-0000-0000-000070210000}"/>
    <cellStyle name="B_BotLC_Prophet SalesProj Roll 11 2" xfId="5676" xr:uid="{00000000-0005-0000-0000-000071210000}"/>
    <cellStyle name="B_BotLC_Prophet SalesProj Roll 11 3" xfId="26421" xr:uid="{00000000-0005-0000-0000-000072210000}"/>
    <cellStyle name="B_BotLC_Prophet SalesProj Roll 12" xfId="5677" xr:uid="{00000000-0005-0000-0000-000073210000}"/>
    <cellStyle name="B_BotLC_Prophet SalesProj Roll 12 2" xfId="5678" xr:uid="{00000000-0005-0000-0000-000074210000}"/>
    <cellStyle name="B_BotLC_Prophet SalesProj Roll 12 3" xfId="26422" xr:uid="{00000000-0005-0000-0000-000075210000}"/>
    <cellStyle name="B_BotLC_Prophet SalesProj Roll 13" xfId="5679" xr:uid="{00000000-0005-0000-0000-000076210000}"/>
    <cellStyle name="B_BotLC_Prophet SalesProj Roll 13 2" xfId="5680" xr:uid="{00000000-0005-0000-0000-000077210000}"/>
    <cellStyle name="B_BotLC_Prophet SalesProj Roll 13 3" xfId="26423" xr:uid="{00000000-0005-0000-0000-000078210000}"/>
    <cellStyle name="B_BotLC_Prophet SalesProj Roll 14" xfId="5681" xr:uid="{00000000-0005-0000-0000-000079210000}"/>
    <cellStyle name="B_BotLC_Prophet SalesProj Roll 14 2" xfId="5682" xr:uid="{00000000-0005-0000-0000-00007A210000}"/>
    <cellStyle name="B_BotLC_Prophet SalesProj Roll 14 3" xfId="26424" xr:uid="{00000000-0005-0000-0000-00007B210000}"/>
    <cellStyle name="B_BotLC_Prophet SalesProj Roll 15" xfId="5683" xr:uid="{00000000-0005-0000-0000-00007C210000}"/>
    <cellStyle name="B_BotLC_Prophet SalesProj Roll 15 2" xfId="5684" xr:uid="{00000000-0005-0000-0000-00007D210000}"/>
    <cellStyle name="B_BotLC_Prophet SalesProj Roll 15 3" xfId="26425" xr:uid="{00000000-0005-0000-0000-00007E210000}"/>
    <cellStyle name="B_BotLC_Prophet SalesProj Roll 16" xfId="5685" xr:uid="{00000000-0005-0000-0000-00007F210000}"/>
    <cellStyle name="B_BotLC_Prophet SalesProj Roll 16 2" xfId="5686" xr:uid="{00000000-0005-0000-0000-000080210000}"/>
    <cellStyle name="B_BotLC_Prophet SalesProj Roll 16 3" xfId="26426" xr:uid="{00000000-0005-0000-0000-000081210000}"/>
    <cellStyle name="B_BotLC_Prophet SalesProj Roll 17" xfId="5687" xr:uid="{00000000-0005-0000-0000-000082210000}"/>
    <cellStyle name="B_BotLC_Prophet SalesProj Roll 17 2" xfId="5688" xr:uid="{00000000-0005-0000-0000-000083210000}"/>
    <cellStyle name="B_BotLC_Prophet SalesProj Roll 17 3" xfId="26427" xr:uid="{00000000-0005-0000-0000-000084210000}"/>
    <cellStyle name="B_BotLC_Prophet SalesProj Roll 18" xfId="5689" xr:uid="{00000000-0005-0000-0000-000085210000}"/>
    <cellStyle name="B_BotLC_Prophet SalesProj Roll 18 2" xfId="5690" xr:uid="{00000000-0005-0000-0000-000086210000}"/>
    <cellStyle name="B_BotLC_Prophet SalesProj Roll 18 3" xfId="26428" xr:uid="{00000000-0005-0000-0000-000087210000}"/>
    <cellStyle name="B_BotLC_Prophet SalesProj Roll 19" xfId="5691" xr:uid="{00000000-0005-0000-0000-000088210000}"/>
    <cellStyle name="B_BotLC_Prophet SalesProj Roll 19 2" xfId="5692" xr:uid="{00000000-0005-0000-0000-000089210000}"/>
    <cellStyle name="B_BotLC_Prophet SalesProj Roll 19 3" xfId="26429" xr:uid="{00000000-0005-0000-0000-00008A210000}"/>
    <cellStyle name="B_BotLC_Prophet SalesProj Roll 2" xfId="5693" xr:uid="{00000000-0005-0000-0000-00008B210000}"/>
    <cellStyle name="B_BotLC_Prophet SalesProj Roll 2 2" xfId="5694" xr:uid="{00000000-0005-0000-0000-00008C210000}"/>
    <cellStyle name="B_BotLC_Prophet SalesProj Roll 2 3" xfId="26430" xr:uid="{00000000-0005-0000-0000-00008D210000}"/>
    <cellStyle name="B_BotLC_Prophet SalesProj Roll 20" xfId="5695" xr:uid="{00000000-0005-0000-0000-00008E210000}"/>
    <cellStyle name="B_BotLC_Prophet SalesProj Roll 20 2" xfId="5696" xr:uid="{00000000-0005-0000-0000-00008F210000}"/>
    <cellStyle name="B_BotLC_Prophet SalesProj Roll 20 3" xfId="26431" xr:uid="{00000000-0005-0000-0000-000090210000}"/>
    <cellStyle name="B_BotLC_Prophet SalesProj Roll 21" xfId="5697" xr:uid="{00000000-0005-0000-0000-000091210000}"/>
    <cellStyle name="B_BotLC_Prophet SalesProj Roll 21 2" xfId="5698" xr:uid="{00000000-0005-0000-0000-000092210000}"/>
    <cellStyle name="B_BotLC_Prophet SalesProj Roll 21 3" xfId="26432" xr:uid="{00000000-0005-0000-0000-000093210000}"/>
    <cellStyle name="B_BotLC_Prophet SalesProj Roll 22" xfId="5699" xr:uid="{00000000-0005-0000-0000-000094210000}"/>
    <cellStyle name="B_BotLC_Prophet SalesProj Roll 22 2" xfId="5700" xr:uid="{00000000-0005-0000-0000-000095210000}"/>
    <cellStyle name="B_BotLC_Prophet SalesProj Roll 22 3" xfId="26433" xr:uid="{00000000-0005-0000-0000-000096210000}"/>
    <cellStyle name="B_BotLC_Prophet SalesProj Roll 23" xfId="5701" xr:uid="{00000000-0005-0000-0000-000097210000}"/>
    <cellStyle name="B_BotLC_Prophet SalesProj Roll 23 2" xfId="5702" xr:uid="{00000000-0005-0000-0000-000098210000}"/>
    <cellStyle name="B_BotLC_Prophet SalesProj Roll 23 3" xfId="26434" xr:uid="{00000000-0005-0000-0000-000099210000}"/>
    <cellStyle name="B_BotLC_Prophet SalesProj Roll 24" xfId="5703" xr:uid="{00000000-0005-0000-0000-00009A210000}"/>
    <cellStyle name="B_BotLC_Prophet SalesProj Roll 25" xfId="26435" xr:uid="{00000000-0005-0000-0000-00009B210000}"/>
    <cellStyle name="B_BotLC_Prophet SalesProj Roll 3" xfId="5704" xr:uid="{00000000-0005-0000-0000-00009C210000}"/>
    <cellStyle name="B_BotLC_Prophet SalesProj Roll 3 2" xfId="5705" xr:uid="{00000000-0005-0000-0000-00009D210000}"/>
    <cellStyle name="B_BotLC_Prophet SalesProj Roll 3 3" xfId="26436" xr:uid="{00000000-0005-0000-0000-00009E210000}"/>
    <cellStyle name="B_BotLC_Prophet SalesProj Roll 4" xfId="5706" xr:uid="{00000000-0005-0000-0000-00009F210000}"/>
    <cellStyle name="B_BotLC_Prophet SalesProj Roll 4 2" xfId="5707" xr:uid="{00000000-0005-0000-0000-0000A0210000}"/>
    <cellStyle name="B_BotLC_Prophet SalesProj Roll 4 3" xfId="26437" xr:uid="{00000000-0005-0000-0000-0000A1210000}"/>
    <cellStyle name="B_BotLC_Prophet SalesProj Roll 5" xfId="5708" xr:uid="{00000000-0005-0000-0000-0000A2210000}"/>
    <cellStyle name="B_BotLC_Prophet SalesProj Roll 5 2" xfId="5709" xr:uid="{00000000-0005-0000-0000-0000A3210000}"/>
    <cellStyle name="B_BotLC_Prophet SalesProj Roll 5 3" xfId="26438" xr:uid="{00000000-0005-0000-0000-0000A4210000}"/>
    <cellStyle name="B_BotLC_Prophet SalesProj Roll 6" xfId="5710" xr:uid="{00000000-0005-0000-0000-0000A5210000}"/>
    <cellStyle name="B_BotLC_Prophet SalesProj Roll 6 2" xfId="5711" xr:uid="{00000000-0005-0000-0000-0000A6210000}"/>
    <cellStyle name="B_BotLC_Prophet SalesProj Roll 6 3" xfId="26439" xr:uid="{00000000-0005-0000-0000-0000A7210000}"/>
    <cellStyle name="B_BotLC_Prophet SalesProj Roll 7" xfId="5712" xr:uid="{00000000-0005-0000-0000-0000A8210000}"/>
    <cellStyle name="B_BotLC_Prophet SalesProj Roll 7 2" xfId="5713" xr:uid="{00000000-0005-0000-0000-0000A9210000}"/>
    <cellStyle name="B_BotLC_Prophet SalesProj Roll 7 3" xfId="26440" xr:uid="{00000000-0005-0000-0000-0000AA210000}"/>
    <cellStyle name="B_BotLC_Prophet SalesProj Roll 8" xfId="5714" xr:uid="{00000000-0005-0000-0000-0000AB210000}"/>
    <cellStyle name="B_BotLC_Prophet SalesProj Roll 8 2" xfId="5715" xr:uid="{00000000-0005-0000-0000-0000AC210000}"/>
    <cellStyle name="B_BotLC_Prophet SalesProj Roll 8 3" xfId="26441" xr:uid="{00000000-0005-0000-0000-0000AD210000}"/>
    <cellStyle name="B_BotLC_Prophet SalesProj Roll 9" xfId="5716" xr:uid="{00000000-0005-0000-0000-0000AE210000}"/>
    <cellStyle name="B_BotLC_Prophet SalesProj Roll 9 2" xfId="5717" xr:uid="{00000000-0005-0000-0000-0000AF210000}"/>
    <cellStyle name="B_BotLC_Prophet SalesProj Roll 9 3" xfId="26442" xr:uid="{00000000-0005-0000-0000-0000B0210000}"/>
    <cellStyle name="B_BotLC_Prophet SalesProj Roll_PROD_DETAILS" xfId="5718" xr:uid="{00000000-0005-0000-0000-0000B1210000}"/>
    <cellStyle name="B_BotLC_Prophet SalesProj Roll_PROD_DETAILS 2" xfId="5719" xr:uid="{00000000-0005-0000-0000-0000B2210000}"/>
    <cellStyle name="B_BotLC_Prophet SalesProj Roll_PROD_DETAILS 3" xfId="26443" xr:uid="{00000000-0005-0000-0000-0000B3210000}"/>
    <cellStyle name="B_BotLC_Prophet SalesProj Roll_SOLVENCY POSITION " xfId="5720" xr:uid="{00000000-0005-0000-0000-0000B4210000}"/>
    <cellStyle name="B_BotLC_Prophet SalesProj Roll_SOLVENCY POSITION  2" xfId="5721" xr:uid="{00000000-0005-0000-0000-0000B5210000}"/>
    <cellStyle name="B_BotLC_Prophet SalesProj Roll_SOLVENCY POSITION  3" xfId="26444" xr:uid="{00000000-0005-0000-0000-0000B6210000}"/>
    <cellStyle name="B_BotLC_Prophet-EEV ReportingFinal301205-Apr06" xfId="5722" xr:uid="{00000000-0005-0000-0000-0000B7210000}"/>
    <cellStyle name="B_BotLC_Prophet-EEV ReportingFinal301205-Apr06 10" xfId="5723" xr:uid="{00000000-0005-0000-0000-0000B8210000}"/>
    <cellStyle name="B_BotLC_Prophet-EEV ReportingFinal301205-Apr06 10 2" xfId="5724" xr:uid="{00000000-0005-0000-0000-0000B9210000}"/>
    <cellStyle name="B_BotLC_Prophet-EEV ReportingFinal301205-Apr06 10 3" xfId="26445" xr:uid="{00000000-0005-0000-0000-0000BA210000}"/>
    <cellStyle name="B_BotLC_Prophet-EEV ReportingFinal301205-Apr06 11" xfId="5725" xr:uid="{00000000-0005-0000-0000-0000BB210000}"/>
    <cellStyle name="B_BotLC_Prophet-EEV ReportingFinal301205-Apr06 11 2" xfId="5726" xr:uid="{00000000-0005-0000-0000-0000BC210000}"/>
    <cellStyle name="B_BotLC_Prophet-EEV ReportingFinal301205-Apr06 11 3" xfId="26446" xr:uid="{00000000-0005-0000-0000-0000BD210000}"/>
    <cellStyle name="B_BotLC_Prophet-EEV ReportingFinal301205-Apr06 12" xfId="5727" xr:uid="{00000000-0005-0000-0000-0000BE210000}"/>
    <cellStyle name="B_BotLC_Prophet-EEV ReportingFinal301205-Apr06 12 2" xfId="5728" xr:uid="{00000000-0005-0000-0000-0000BF210000}"/>
    <cellStyle name="B_BotLC_Prophet-EEV ReportingFinal301205-Apr06 12 3" xfId="26447" xr:uid="{00000000-0005-0000-0000-0000C0210000}"/>
    <cellStyle name="B_BotLC_Prophet-EEV ReportingFinal301205-Apr06 13" xfId="5729" xr:uid="{00000000-0005-0000-0000-0000C1210000}"/>
    <cellStyle name="B_BotLC_Prophet-EEV ReportingFinal301205-Apr06 13 2" xfId="5730" xr:uid="{00000000-0005-0000-0000-0000C2210000}"/>
    <cellStyle name="B_BotLC_Prophet-EEV ReportingFinal301205-Apr06 13 3" xfId="26448" xr:uid="{00000000-0005-0000-0000-0000C3210000}"/>
    <cellStyle name="B_BotLC_Prophet-EEV ReportingFinal301205-Apr06 14" xfId="5731" xr:uid="{00000000-0005-0000-0000-0000C4210000}"/>
    <cellStyle name="B_BotLC_Prophet-EEV ReportingFinal301205-Apr06 14 2" xfId="5732" xr:uid="{00000000-0005-0000-0000-0000C5210000}"/>
    <cellStyle name="B_BotLC_Prophet-EEV ReportingFinal301205-Apr06 14 3" xfId="26449" xr:uid="{00000000-0005-0000-0000-0000C6210000}"/>
    <cellStyle name="B_BotLC_Prophet-EEV ReportingFinal301205-Apr06 15" xfId="5733" xr:uid="{00000000-0005-0000-0000-0000C7210000}"/>
    <cellStyle name="B_BotLC_Prophet-EEV ReportingFinal301205-Apr06 15 2" xfId="5734" xr:uid="{00000000-0005-0000-0000-0000C8210000}"/>
    <cellStyle name="B_BotLC_Prophet-EEV ReportingFinal301205-Apr06 15 3" xfId="26450" xr:uid="{00000000-0005-0000-0000-0000C9210000}"/>
    <cellStyle name="B_BotLC_Prophet-EEV ReportingFinal301205-Apr06 16" xfId="5735" xr:uid="{00000000-0005-0000-0000-0000CA210000}"/>
    <cellStyle name="B_BotLC_Prophet-EEV ReportingFinal301205-Apr06 16 2" xfId="5736" xr:uid="{00000000-0005-0000-0000-0000CB210000}"/>
    <cellStyle name="B_BotLC_Prophet-EEV ReportingFinal301205-Apr06 16 3" xfId="26451" xr:uid="{00000000-0005-0000-0000-0000CC210000}"/>
    <cellStyle name="B_BotLC_Prophet-EEV ReportingFinal301205-Apr06 17" xfId="5737" xr:uid="{00000000-0005-0000-0000-0000CD210000}"/>
    <cellStyle name="B_BotLC_Prophet-EEV ReportingFinal301205-Apr06 17 2" xfId="5738" xr:uid="{00000000-0005-0000-0000-0000CE210000}"/>
    <cellStyle name="B_BotLC_Prophet-EEV ReportingFinal301205-Apr06 17 3" xfId="26452" xr:uid="{00000000-0005-0000-0000-0000CF210000}"/>
    <cellStyle name="B_BotLC_Prophet-EEV ReportingFinal301205-Apr06 18" xfId="5739" xr:uid="{00000000-0005-0000-0000-0000D0210000}"/>
    <cellStyle name="B_BotLC_Prophet-EEV ReportingFinal301205-Apr06 18 2" xfId="5740" xr:uid="{00000000-0005-0000-0000-0000D1210000}"/>
    <cellStyle name="B_BotLC_Prophet-EEV ReportingFinal301205-Apr06 18 3" xfId="26453" xr:uid="{00000000-0005-0000-0000-0000D2210000}"/>
    <cellStyle name="B_BotLC_Prophet-EEV ReportingFinal301205-Apr06 19" xfId="5741" xr:uid="{00000000-0005-0000-0000-0000D3210000}"/>
    <cellStyle name="B_BotLC_Prophet-EEV ReportingFinal301205-Apr06 19 2" xfId="5742" xr:uid="{00000000-0005-0000-0000-0000D4210000}"/>
    <cellStyle name="B_BotLC_Prophet-EEV ReportingFinal301205-Apr06 19 3" xfId="26454" xr:uid="{00000000-0005-0000-0000-0000D5210000}"/>
    <cellStyle name="B_BotLC_Prophet-EEV ReportingFinal301205-Apr06 2" xfId="5743" xr:uid="{00000000-0005-0000-0000-0000D6210000}"/>
    <cellStyle name="B_BotLC_Prophet-EEV ReportingFinal301205-Apr06 2 2" xfId="5744" xr:uid="{00000000-0005-0000-0000-0000D7210000}"/>
    <cellStyle name="B_BotLC_Prophet-EEV ReportingFinal301205-Apr06 2 3" xfId="26455" xr:uid="{00000000-0005-0000-0000-0000D8210000}"/>
    <cellStyle name="B_BotLC_Prophet-EEV ReportingFinal301205-Apr06 20" xfId="5745" xr:uid="{00000000-0005-0000-0000-0000D9210000}"/>
    <cellStyle name="B_BotLC_Prophet-EEV ReportingFinal301205-Apr06 20 2" xfId="5746" xr:uid="{00000000-0005-0000-0000-0000DA210000}"/>
    <cellStyle name="B_BotLC_Prophet-EEV ReportingFinal301205-Apr06 20 3" xfId="26456" xr:uid="{00000000-0005-0000-0000-0000DB210000}"/>
    <cellStyle name="B_BotLC_Prophet-EEV ReportingFinal301205-Apr06 21" xfId="5747" xr:uid="{00000000-0005-0000-0000-0000DC210000}"/>
    <cellStyle name="B_BotLC_Prophet-EEV ReportingFinal301205-Apr06 21 2" xfId="5748" xr:uid="{00000000-0005-0000-0000-0000DD210000}"/>
    <cellStyle name="B_BotLC_Prophet-EEV ReportingFinal301205-Apr06 21 3" xfId="26457" xr:uid="{00000000-0005-0000-0000-0000DE210000}"/>
    <cellStyle name="B_BotLC_Prophet-EEV ReportingFinal301205-Apr06 22" xfId="5749" xr:uid="{00000000-0005-0000-0000-0000DF210000}"/>
    <cellStyle name="B_BotLC_Prophet-EEV ReportingFinal301205-Apr06 22 2" xfId="5750" xr:uid="{00000000-0005-0000-0000-0000E0210000}"/>
    <cellStyle name="B_BotLC_Prophet-EEV ReportingFinal301205-Apr06 22 3" xfId="26458" xr:uid="{00000000-0005-0000-0000-0000E1210000}"/>
    <cellStyle name="B_BotLC_Prophet-EEV ReportingFinal301205-Apr06 23" xfId="5751" xr:uid="{00000000-0005-0000-0000-0000E2210000}"/>
    <cellStyle name="B_BotLC_Prophet-EEV ReportingFinal301205-Apr06 23 2" xfId="5752" xr:uid="{00000000-0005-0000-0000-0000E3210000}"/>
    <cellStyle name="B_BotLC_Prophet-EEV ReportingFinal301205-Apr06 23 3" xfId="26459" xr:uid="{00000000-0005-0000-0000-0000E4210000}"/>
    <cellStyle name="B_BotLC_Prophet-EEV ReportingFinal301205-Apr06 24" xfId="5753" xr:uid="{00000000-0005-0000-0000-0000E5210000}"/>
    <cellStyle name="B_BotLC_Prophet-EEV ReportingFinal301205-Apr06 25" xfId="26460" xr:uid="{00000000-0005-0000-0000-0000E6210000}"/>
    <cellStyle name="B_BotLC_Prophet-EEV ReportingFinal301205-Apr06 3" xfId="5754" xr:uid="{00000000-0005-0000-0000-0000E7210000}"/>
    <cellStyle name="B_BotLC_Prophet-EEV ReportingFinal301205-Apr06 3 2" xfId="5755" xr:uid="{00000000-0005-0000-0000-0000E8210000}"/>
    <cellStyle name="B_BotLC_Prophet-EEV ReportingFinal301205-Apr06 3 3" xfId="26461" xr:uid="{00000000-0005-0000-0000-0000E9210000}"/>
    <cellStyle name="B_BotLC_Prophet-EEV ReportingFinal301205-Apr06 4" xfId="5756" xr:uid="{00000000-0005-0000-0000-0000EA210000}"/>
    <cellStyle name="B_BotLC_Prophet-EEV ReportingFinal301205-Apr06 4 2" xfId="5757" xr:uid="{00000000-0005-0000-0000-0000EB210000}"/>
    <cellStyle name="B_BotLC_Prophet-EEV ReportingFinal301205-Apr06 4 3" xfId="26462" xr:uid="{00000000-0005-0000-0000-0000EC210000}"/>
    <cellStyle name="B_BotLC_Prophet-EEV ReportingFinal301205-Apr06 5" xfId="5758" xr:uid="{00000000-0005-0000-0000-0000ED210000}"/>
    <cellStyle name="B_BotLC_Prophet-EEV ReportingFinal301205-Apr06 5 2" xfId="5759" xr:uid="{00000000-0005-0000-0000-0000EE210000}"/>
    <cellStyle name="B_BotLC_Prophet-EEV ReportingFinal301205-Apr06 5 3" xfId="26463" xr:uid="{00000000-0005-0000-0000-0000EF210000}"/>
    <cellStyle name="B_BotLC_Prophet-EEV ReportingFinal301205-Apr06 6" xfId="5760" xr:uid="{00000000-0005-0000-0000-0000F0210000}"/>
    <cellStyle name="B_BotLC_Prophet-EEV ReportingFinal301205-Apr06 6 2" xfId="5761" xr:uid="{00000000-0005-0000-0000-0000F1210000}"/>
    <cellStyle name="B_BotLC_Prophet-EEV ReportingFinal301205-Apr06 6 3" xfId="26464" xr:uid="{00000000-0005-0000-0000-0000F2210000}"/>
    <cellStyle name="B_BotLC_Prophet-EEV ReportingFinal301205-Apr06 7" xfId="5762" xr:uid="{00000000-0005-0000-0000-0000F3210000}"/>
    <cellStyle name="B_BotLC_Prophet-EEV ReportingFinal301205-Apr06 7 2" xfId="5763" xr:uid="{00000000-0005-0000-0000-0000F4210000}"/>
    <cellStyle name="B_BotLC_Prophet-EEV ReportingFinal301205-Apr06 7 3" xfId="26465" xr:uid="{00000000-0005-0000-0000-0000F5210000}"/>
    <cellStyle name="B_BotLC_Prophet-EEV ReportingFinal301205-Apr06 8" xfId="5764" xr:uid="{00000000-0005-0000-0000-0000F6210000}"/>
    <cellStyle name="B_BotLC_Prophet-EEV ReportingFinal301205-Apr06 8 2" xfId="5765" xr:uid="{00000000-0005-0000-0000-0000F7210000}"/>
    <cellStyle name="B_BotLC_Prophet-EEV ReportingFinal301205-Apr06 8 3" xfId="26466" xr:uid="{00000000-0005-0000-0000-0000F8210000}"/>
    <cellStyle name="B_BotLC_Prophet-EEV ReportingFinal301205-Apr06 9" xfId="5766" xr:uid="{00000000-0005-0000-0000-0000F9210000}"/>
    <cellStyle name="B_BotLC_Prophet-EEV ReportingFinal301205-Apr06 9 2" xfId="5767" xr:uid="{00000000-0005-0000-0000-0000FA210000}"/>
    <cellStyle name="B_BotLC_Prophet-EEV ReportingFinal301205-Apr06 9 3" xfId="26467" xr:uid="{00000000-0005-0000-0000-0000FB210000}"/>
    <cellStyle name="B_BotLC_Prophet-EEV ReportingFinal301205-Apr06_HK.EEV-May06 4+2 kkh" xfId="5768" xr:uid="{00000000-0005-0000-0000-0000FC210000}"/>
    <cellStyle name="B_BotLC_Prophet-EEV ReportingFinal301205-Apr06_HK.EEV-May06 4+2 kkh 10" xfId="5769" xr:uid="{00000000-0005-0000-0000-0000FD210000}"/>
    <cellStyle name="B_BotLC_Prophet-EEV ReportingFinal301205-Apr06_HK.EEV-May06 4+2 kkh 10 2" xfId="5770" xr:uid="{00000000-0005-0000-0000-0000FE210000}"/>
    <cellStyle name="B_BotLC_Prophet-EEV ReportingFinal301205-Apr06_HK.EEV-May06 4+2 kkh 10 3" xfId="26468" xr:uid="{00000000-0005-0000-0000-0000FF210000}"/>
    <cellStyle name="B_BotLC_Prophet-EEV ReportingFinal301205-Apr06_HK.EEV-May06 4+2 kkh 11" xfId="5771" xr:uid="{00000000-0005-0000-0000-000000220000}"/>
    <cellStyle name="B_BotLC_Prophet-EEV ReportingFinal301205-Apr06_HK.EEV-May06 4+2 kkh 11 2" xfId="5772" xr:uid="{00000000-0005-0000-0000-000001220000}"/>
    <cellStyle name="B_BotLC_Prophet-EEV ReportingFinal301205-Apr06_HK.EEV-May06 4+2 kkh 11 3" xfId="26469" xr:uid="{00000000-0005-0000-0000-000002220000}"/>
    <cellStyle name="B_BotLC_Prophet-EEV ReportingFinal301205-Apr06_HK.EEV-May06 4+2 kkh 12" xfId="5773" xr:uid="{00000000-0005-0000-0000-000003220000}"/>
    <cellStyle name="B_BotLC_Prophet-EEV ReportingFinal301205-Apr06_HK.EEV-May06 4+2 kkh 12 2" xfId="5774" xr:uid="{00000000-0005-0000-0000-000004220000}"/>
    <cellStyle name="B_BotLC_Prophet-EEV ReportingFinal301205-Apr06_HK.EEV-May06 4+2 kkh 12 3" xfId="26470" xr:uid="{00000000-0005-0000-0000-000005220000}"/>
    <cellStyle name="B_BotLC_Prophet-EEV ReportingFinal301205-Apr06_HK.EEV-May06 4+2 kkh 13" xfId="5775" xr:uid="{00000000-0005-0000-0000-000006220000}"/>
    <cellStyle name="B_BotLC_Prophet-EEV ReportingFinal301205-Apr06_HK.EEV-May06 4+2 kkh 13 2" xfId="5776" xr:uid="{00000000-0005-0000-0000-000007220000}"/>
    <cellStyle name="B_BotLC_Prophet-EEV ReportingFinal301205-Apr06_HK.EEV-May06 4+2 kkh 13 3" xfId="26471" xr:uid="{00000000-0005-0000-0000-000008220000}"/>
    <cellStyle name="B_BotLC_Prophet-EEV ReportingFinal301205-Apr06_HK.EEV-May06 4+2 kkh 14" xfId="5777" xr:uid="{00000000-0005-0000-0000-000009220000}"/>
    <cellStyle name="B_BotLC_Prophet-EEV ReportingFinal301205-Apr06_HK.EEV-May06 4+2 kkh 14 2" xfId="5778" xr:uid="{00000000-0005-0000-0000-00000A220000}"/>
    <cellStyle name="B_BotLC_Prophet-EEV ReportingFinal301205-Apr06_HK.EEV-May06 4+2 kkh 14 3" xfId="26472" xr:uid="{00000000-0005-0000-0000-00000B220000}"/>
    <cellStyle name="B_BotLC_Prophet-EEV ReportingFinal301205-Apr06_HK.EEV-May06 4+2 kkh 15" xfId="5779" xr:uid="{00000000-0005-0000-0000-00000C220000}"/>
    <cellStyle name="B_BotLC_Prophet-EEV ReportingFinal301205-Apr06_HK.EEV-May06 4+2 kkh 15 2" xfId="5780" xr:uid="{00000000-0005-0000-0000-00000D220000}"/>
    <cellStyle name="B_BotLC_Prophet-EEV ReportingFinal301205-Apr06_HK.EEV-May06 4+2 kkh 15 3" xfId="26473" xr:uid="{00000000-0005-0000-0000-00000E220000}"/>
    <cellStyle name="B_BotLC_Prophet-EEV ReportingFinal301205-Apr06_HK.EEV-May06 4+2 kkh 16" xfId="5781" xr:uid="{00000000-0005-0000-0000-00000F220000}"/>
    <cellStyle name="B_BotLC_Prophet-EEV ReportingFinal301205-Apr06_HK.EEV-May06 4+2 kkh 16 2" xfId="5782" xr:uid="{00000000-0005-0000-0000-000010220000}"/>
    <cellStyle name="B_BotLC_Prophet-EEV ReportingFinal301205-Apr06_HK.EEV-May06 4+2 kkh 16 3" xfId="26474" xr:uid="{00000000-0005-0000-0000-000011220000}"/>
    <cellStyle name="B_BotLC_Prophet-EEV ReportingFinal301205-Apr06_HK.EEV-May06 4+2 kkh 17" xfId="5783" xr:uid="{00000000-0005-0000-0000-000012220000}"/>
    <cellStyle name="B_BotLC_Prophet-EEV ReportingFinal301205-Apr06_HK.EEV-May06 4+2 kkh 17 2" xfId="5784" xr:uid="{00000000-0005-0000-0000-000013220000}"/>
    <cellStyle name="B_BotLC_Prophet-EEV ReportingFinal301205-Apr06_HK.EEV-May06 4+2 kkh 17 3" xfId="26475" xr:uid="{00000000-0005-0000-0000-000014220000}"/>
    <cellStyle name="B_BotLC_Prophet-EEV ReportingFinal301205-Apr06_HK.EEV-May06 4+2 kkh 18" xfId="5785" xr:uid="{00000000-0005-0000-0000-000015220000}"/>
    <cellStyle name="B_BotLC_Prophet-EEV ReportingFinal301205-Apr06_HK.EEV-May06 4+2 kkh 18 2" xfId="5786" xr:uid="{00000000-0005-0000-0000-000016220000}"/>
    <cellStyle name="B_BotLC_Prophet-EEV ReportingFinal301205-Apr06_HK.EEV-May06 4+2 kkh 18 3" xfId="26476" xr:uid="{00000000-0005-0000-0000-000017220000}"/>
    <cellStyle name="B_BotLC_Prophet-EEV ReportingFinal301205-Apr06_HK.EEV-May06 4+2 kkh 19" xfId="5787" xr:uid="{00000000-0005-0000-0000-000018220000}"/>
    <cellStyle name="B_BotLC_Prophet-EEV ReportingFinal301205-Apr06_HK.EEV-May06 4+2 kkh 19 2" xfId="5788" xr:uid="{00000000-0005-0000-0000-000019220000}"/>
    <cellStyle name="B_BotLC_Prophet-EEV ReportingFinal301205-Apr06_HK.EEV-May06 4+2 kkh 19 3" xfId="26477" xr:uid="{00000000-0005-0000-0000-00001A220000}"/>
    <cellStyle name="B_BotLC_Prophet-EEV ReportingFinal301205-Apr06_HK.EEV-May06 4+2 kkh 2" xfId="5789" xr:uid="{00000000-0005-0000-0000-00001B220000}"/>
    <cellStyle name="B_BotLC_Prophet-EEV ReportingFinal301205-Apr06_HK.EEV-May06 4+2 kkh 2 2" xfId="5790" xr:uid="{00000000-0005-0000-0000-00001C220000}"/>
    <cellStyle name="B_BotLC_Prophet-EEV ReportingFinal301205-Apr06_HK.EEV-May06 4+2 kkh 2 3" xfId="26478" xr:uid="{00000000-0005-0000-0000-00001D220000}"/>
    <cellStyle name="B_BotLC_Prophet-EEV ReportingFinal301205-Apr06_HK.EEV-May06 4+2 kkh 20" xfId="5791" xr:uid="{00000000-0005-0000-0000-00001E220000}"/>
    <cellStyle name="B_BotLC_Prophet-EEV ReportingFinal301205-Apr06_HK.EEV-May06 4+2 kkh 20 2" xfId="5792" xr:uid="{00000000-0005-0000-0000-00001F220000}"/>
    <cellStyle name="B_BotLC_Prophet-EEV ReportingFinal301205-Apr06_HK.EEV-May06 4+2 kkh 20 3" xfId="26479" xr:uid="{00000000-0005-0000-0000-000020220000}"/>
    <cellStyle name="B_BotLC_Prophet-EEV ReportingFinal301205-Apr06_HK.EEV-May06 4+2 kkh 21" xfId="5793" xr:uid="{00000000-0005-0000-0000-000021220000}"/>
    <cellStyle name="B_BotLC_Prophet-EEV ReportingFinal301205-Apr06_HK.EEV-May06 4+2 kkh 21 2" xfId="5794" xr:uid="{00000000-0005-0000-0000-000022220000}"/>
    <cellStyle name="B_BotLC_Prophet-EEV ReportingFinal301205-Apr06_HK.EEV-May06 4+2 kkh 21 3" xfId="26480" xr:uid="{00000000-0005-0000-0000-000023220000}"/>
    <cellStyle name="B_BotLC_Prophet-EEV ReportingFinal301205-Apr06_HK.EEV-May06 4+2 kkh 22" xfId="5795" xr:uid="{00000000-0005-0000-0000-000024220000}"/>
    <cellStyle name="B_BotLC_Prophet-EEV ReportingFinal301205-Apr06_HK.EEV-May06 4+2 kkh 22 2" xfId="5796" xr:uid="{00000000-0005-0000-0000-000025220000}"/>
    <cellStyle name="B_BotLC_Prophet-EEV ReportingFinal301205-Apr06_HK.EEV-May06 4+2 kkh 22 3" xfId="26481" xr:uid="{00000000-0005-0000-0000-000026220000}"/>
    <cellStyle name="B_BotLC_Prophet-EEV ReportingFinal301205-Apr06_HK.EEV-May06 4+2 kkh 23" xfId="5797" xr:uid="{00000000-0005-0000-0000-000027220000}"/>
    <cellStyle name="B_BotLC_Prophet-EEV ReportingFinal301205-Apr06_HK.EEV-May06 4+2 kkh 23 2" xfId="5798" xr:uid="{00000000-0005-0000-0000-000028220000}"/>
    <cellStyle name="B_BotLC_Prophet-EEV ReportingFinal301205-Apr06_HK.EEV-May06 4+2 kkh 23 3" xfId="26482" xr:uid="{00000000-0005-0000-0000-000029220000}"/>
    <cellStyle name="B_BotLC_Prophet-EEV ReportingFinal301205-Apr06_HK.EEV-May06 4+2 kkh 24" xfId="5799" xr:uid="{00000000-0005-0000-0000-00002A220000}"/>
    <cellStyle name="B_BotLC_Prophet-EEV ReportingFinal301205-Apr06_HK.EEV-May06 4+2 kkh 25" xfId="26483" xr:uid="{00000000-0005-0000-0000-00002B220000}"/>
    <cellStyle name="B_BotLC_Prophet-EEV ReportingFinal301205-Apr06_HK.EEV-May06 4+2 kkh 3" xfId="5800" xr:uid="{00000000-0005-0000-0000-00002C220000}"/>
    <cellStyle name="B_BotLC_Prophet-EEV ReportingFinal301205-Apr06_HK.EEV-May06 4+2 kkh 3 2" xfId="5801" xr:uid="{00000000-0005-0000-0000-00002D220000}"/>
    <cellStyle name="B_BotLC_Prophet-EEV ReportingFinal301205-Apr06_HK.EEV-May06 4+2 kkh 3 3" xfId="26484" xr:uid="{00000000-0005-0000-0000-00002E220000}"/>
    <cellStyle name="B_BotLC_Prophet-EEV ReportingFinal301205-Apr06_HK.EEV-May06 4+2 kkh 4" xfId="5802" xr:uid="{00000000-0005-0000-0000-00002F220000}"/>
    <cellStyle name="B_BotLC_Prophet-EEV ReportingFinal301205-Apr06_HK.EEV-May06 4+2 kkh 4 2" xfId="5803" xr:uid="{00000000-0005-0000-0000-000030220000}"/>
    <cellStyle name="B_BotLC_Prophet-EEV ReportingFinal301205-Apr06_HK.EEV-May06 4+2 kkh 4 3" xfId="26485" xr:uid="{00000000-0005-0000-0000-000031220000}"/>
    <cellStyle name="B_BotLC_Prophet-EEV ReportingFinal301205-Apr06_HK.EEV-May06 4+2 kkh 5" xfId="5804" xr:uid="{00000000-0005-0000-0000-000032220000}"/>
    <cellStyle name="B_BotLC_Prophet-EEV ReportingFinal301205-Apr06_HK.EEV-May06 4+2 kkh 5 2" xfId="5805" xr:uid="{00000000-0005-0000-0000-000033220000}"/>
    <cellStyle name="B_BotLC_Prophet-EEV ReportingFinal301205-Apr06_HK.EEV-May06 4+2 kkh 5 3" xfId="26486" xr:uid="{00000000-0005-0000-0000-000034220000}"/>
    <cellStyle name="B_BotLC_Prophet-EEV ReportingFinal301205-Apr06_HK.EEV-May06 4+2 kkh 6" xfId="5806" xr:uid="{00000000-0005-0000-0000-000035220000}"/>
    <cellStyle name="B_BotLC_Prophet-EEV ReportingFinal301205-Apr06_HK.EEV-May06 4+2 kkh 6 2" xfId="5807" xr:uid="{00000000-0005-0000-0000-000036220000}"/>
    <cellStyle name="B_BotLC_Prophet-EEV ReportingFinal301205-Apr06_HK.EEV-May06 4+2 kkh 6 3" xfId="26487" xr:uid="{00000000-0005-0000-0000-000037220000}"/>
    <cellStyle name="B_BotLC_Prophet-EEV ReportingFinal301205-Apr06_HK.EEV-May06 4+2 kkh 7" xfId="5808" xr:uid="{00000000-0005-0000-0000-000038220000}"/>
    <cellStyle name="B_BotLC_Prophet-EEV ReportingFinal301205-Apr06_HK.EEV-May06 4+2 kkh 7 2" xfId="5809" xr:uid="{00000000-0005-0000-0000-000039220000}"/>
    <cellStyle name="B_BotLC_Prophet-EEV ReportingFinal301205-Apr06_HK.EEV-May06 4+2 kkh 7 3" xfId="26488" xr:uid="{00000000-0005-0000-0000-00003A220000}"/>
    <cellStyle name="B_BotLC_Prophet-EEV ReportingFinal301205-Apr06_HK.EEV-May06 4+2 kkh 8" xfId="5810" xr:uid="{00000000-0005-0000-0000-00003B220000}"/>
    <cellStyle name="B_BotLC_Prophet-EEV ReportingFinal301205-Apr06_HK.EEV-May06 4+2 kkh 8 2" xfId="5811" xr:uid="{00000000-0005-0000-0000-00003C220000}"/>
    <cellStyle name="B_BotLC_Prophet-EEV ReportingFinal301205-Apr06_HK.EEV-May06 4+2 kkh 8 3" xfId="26489" xr:uid="{00000000-0005-0000-0000-00003D220000}"/>
    <cellStyle name="B_BotLC_Prophet-EEV ReportingFinal301205-Apr06_HK.EEV-May06 4+2 kkh 9" xfId="5812" xr:uid="{00000000-0005-0000-0000-00003E220000}"/>
    <cellStyle name="B_BotLC_Prophet-EEV ReportingFinal301205-Apr06_HK.EEV-May06 4+2 kkh 9 2" xfId="5813" xr:uid="{00000000-0005-0000-0000-00003F220000}"/>
    <cellStyle name="B_BotLC_Prophet-EEV ReportingFinal301205-Apr06_HK.EEV-May06 4+2 kkh 9 3" xfId="26490" xr:uid="{00000000-0005-0000-0000-000040220000}"/>
    <cellStyle name="B_BotLC_Prophet-EEV ReportingFinal301205-Apr06_HK.EEV-May06 4+2 kkh_PROD_DETAILS" xfId="5814" xr:uid="{00000000-0005-0000-0000-000041220000}"/>
    <cellStyle name="B_BotLC_Prophet-EEV ReportingFinal301205-Apr06_HK.EEV-May06 4+2 kkh_PROD_DETAILS 2" xfId="5815" xr:uid="{00000000-0005-0000-0000-000042220000}"/>
    <cellStyle name="B_BotLC_Prophet-EEV ReportingFinal301205-Apr06_HK.EEV-May06 4+2 kkh_PROD_DETAILS 3" xfId="26491" xr:uid="{00000000-0005-0000-0000-000043220000}"/>
    <cellStyle name="B_BotLC_Prophet-EEV ReportingFinal301205-Apr06_HK.EEV-May06 4+2 kkh_SOLVENCY POSITION " xfId="5816" xr:uid="{00000000-0005-0000-0000-000044220000}"/>
    <cellStyle name="B_BotLC_Prophet-EEV ReportingFinal301205-Apr06_HK.EEV-May06 4+2 kkh_SOLVENCY POSITION  2" xfId="5817" xr:uid="{00000000-0005-0000-0000-000045220000}"/>
    <cellStyle name="B_BotLC_Prophet-EEV ReportingFinal301205-Apr06_HK.EEV-May06 4+2 kkh_SOLVENCY POSITION  3" xfId="26492" xr:uid="{00000000-0005-0000-0000-000046220000}"/>
    <cellStyle name="B_BotLC_Prophet-EEV ReportingFinal301205-Apr06_PROD_DETAILS" xfId="5818" xr:uid="{00000000-0005-0000-0000-000047220000}"/>
    <cellStyle name="B_BotLC_Prophet-EEV ReportingFinal301205-Apr06_PROD_DETAILS 2" xfId="5819" xr:uid="{00000000-0005-0000-0000-000048220000}"/>
    <cellStyle name="B_BotLC_Prophet-EEV ReportingFinal301205-Apr06_PROD_DETAILS 3" xfId="26493" xr:uid="{00000000-0005-0000-0000-000049220000}"/>
    <cellStyle name="B_BotLC_Prophet-EEV ReportingFinal301205-Apr06_SOLVENCY POSITION " xfId="5820" xr:uid="{00000000-0005-0000-0000-00004A220000}"/>
    <cellStyle name="B_BotLC_Prophet-EEV ReportingFinal301205-Apr06_SOLVENCY POSITION  2" xfId="5821" xr:uid="{00000000-0005-0000-0000-00004B220000}"/>
    <cellStyle name="B_BotLC_Prophet-EEV ReportingFinal301205-Apr06_SOLVENCY POSITION  3" xfId="26494" xr:uid="{00000000-0005-0000-0000-00004C220000}"/>
    <cellStyle name="B_BotLC_SG.EEV-Apr06" xfId="5822" xr:uid="{00000000-0005-0000-0000-00004D220000}"/>
    <cellStyle name="B_BotLC_SG.EEV-Apr06 10" xfId="5823" xr:uid="{00000000-0005-0000-0000-00004E220000}"/>
    <cellStyle name="B_BotLC_SG.EEV-Apr06 10 2" xfId="5824" xr:uid="{00000000-0005-0000-0000-00004F220000}"/>
    <cellStyle name="B_BotLC_SG.EEV-Apr06 10 3" xfId="26495" xr:uid="{00000000-0005-0000-0000-000050220000}"/>
    <cellStyle name="B_BotLC_SG.EEV-Apr06 11" xfId="5825" xr:uid="{00000000-0005-0000-0000-000051220000}"/>
    <cellStyle name="B_BotLC_SG.EEV-Apr06 11 2" xfId="5826" xr:uid="{00000000-0005-0000-0000-000052220000}"/>
    <cellStyle name="B_BotLC_SG.EEV-Apr06 11 3" xfId="26496" xr:uid="{00000000-0005-0000-0000-000053220000}"/>
    <cellStyle name="B_BotLC_SG.EEV-Apr06 12" xfId="5827" xr:uid="{00000000-0005-0000-0000-000054220000}"/>
    <cellStyle name="B_BotLC_SG.EEV-Apr06 12 2" xfId="5828" xr:uid="{00000000-0005-0000-0000-000055220000}"/>
    <cellStyle name="B_BotLC_SG.EEV-Apr06 12 3" xfId="26497" xr:uid="{00000000-0005-0000-0000-000056220000}"/>
    <cellStyle name="B_BotLC_SG.EEV-Apr06 13" xfId="5829" xr:uid="{00000000-0005-0000-0000-000057220000}"/>
    <cellStyle name="B_BotLC_SG.EEV-Apr06 13 2" xfId="5830" xr:uid="{00000000-0005-0000-0000-000058220000}"/>
    <cellStyle name="B_BotLC_SG.EEV-Apr06 13 3" xfId="26498" xr:uid="{00000000-0005-0000-0000-000059220000}"/>
    <cellStyle name="B_BotLC_SG.EEV-Apr06 14" xfId="5831" xr:uid="{00000000-0005-0000-0000-00005A220000}"/>
    <cellStyle name="B_BotLC_SG.EEV-Apr06 14 2" xfId="5832" xr:uid="{00000000-0005-0000-0000-00005B220000}"/>
    <cellStyle name="B_BotLC_SG.EEV-Apr06 14 3" xfId="26499" xr:uid="{00000000-0005-0000-0000-00005C220000}"/>
    <cellStyle name="B_BotLC_SG.EEV-Apr06 15" xfId="5833" xr:uid="{00000000-0005-0000-0000-00005D220000}"/>
    <cellStyle name="B_BotLC_SG.EEV-Apr06 15 2" xfId="5834" xr:uid="{00000000-0005-0000-0000-00005E220000}"/>
    <cellStyle name="B_BotLC_SG.EEV-Apr06 15 3" xfId="26500" xr:uid="{00000000-0005-0000-0000-00005F220000}"/>
    <cellStyle name="B_BotLC_SG.EEV-Apr06 16" xfId="5835" xr:uid="{00000000-0005-0000-0000-000060220000}"/>
    <cellStyle name="B_BotLC_SG.EEV-Apr06 16 2" xfId="5836" xr:uid="{00000000-0005-0000-0000-000061220000}"/>
    <cellStyle name="B_BotLC_SG.EEV-Apr06 16 3" xfId="26501" xr:uid="{00000000-0005-0000-0000-000062220000}"/>
    <cellStyle name="B_BotLC_SG.EEV-Apr06 17" xfId="5837" xr:uid="{00000000-0005-0000-0000-000063220000}"/>
    <cellStyle name="B_BotLC_SG.EEV-Apr06 17 2" xfId="5838" xr:uid="{00000000-0005-0000-0000-000064220000}"/>
    <cellStyle name="B_BotLC_SG.EEV-Apr06 17 3" xfId="26502" xr:uid="{00000000-0005-0000-0000-000065220000}"/>
    <cellStyle name="B_BotLC_SG.EEV-Apr06 18" xfId="5839" xr:uid="{00000000-0005-0000-0000-000066220000}"/>
    <cellStyle name="B_BotLC_SG.EEV-Apr06 18 2" xfId="5840" xr:uid="{00000000-0005-0000-0000-000067220000}"/>
    <cellStyle name="B_BotLC_SG.EEV-Apr06 18 3" xfId="26503" xr:uid="{00000000-0005-0000-0000-000068220000}"/>
    <cellStyle name="B_BotLC_SG.EEV-Apr06 19" xfId="5841" xr:uid="{00000000-0005-0000-0000-000069220000}"/>
    <cellStyle name="B_BotLC_SG.EEV-Apr06 19 2" xfId="5842" xr:uid="{00000000-0005-0000-0000-00006A220000}"/>
    <cellStyle name="B_BotLC_SG.EEV-Apr06 19 3" xfId="26504" xr:uid="{00000000-0005-0000-0000-00006B220000}"/>
    <cellStyle name="B_BotLC_SG.EEV-Apr06 2" xfId="5843" xr:uid="{00000000-0005-0000-0000-00006C220000}"/>
    <cellStyle name="B_BotLC_SG.EEV-Apr06 2 2" xfId="5844" xr:uid="{00000000-0005-0000-0000-00006D220000}"/>
    <cellStyle name="B_BotLC_SG.EEV-Apr06 2 3" xfId="26505" xr:uid="{00000000-0005-0000-0000-00006E220000}"/>
    <cellStyle name="B_BotLC_SG.EEV-Apr06 20" xfId="5845" xr:uid="{00000000-0005-0000-0000-00006F220000}"/>
    <cellStyle name="B_BotLC_SG.EEV-Apr06 20 2" xfId="5846" xr:uid="{00000000-0005-0000-0000-000070220000}"/>
    <cellStyle name="B_BotLC_SG.EEV-Apr06 20 3" xfId="26506" xr:uid="{00000000-0005-0000-0000-000071220000}"/>
    <cellStyle name="B_BotLC_SG.EEV-Apr06 21" xfId="5847" xr:uid="{00000000-0005-0000-0000-000072220000}"/>
    <cellStyle name="B_BotLC_SG.EEV-Apr06 21 2" xfId="5848" xr:uid="{00000000-0005-0000-0000-000073220000}"/>
    <cellStyle name="B_BotLC_SG.EEV-Apr06 21 3" xfId="26507" xr:uid="{00000000-0005-0000-0000-000074220000}"/>
    <cellStyle name="B_BotLC_SG.EEV-Apr06 22" xfId="5849" xr:uid="{00000000-0005-0000-0000-000075220000}"/>
    <cellStyle name="B_BotLC_SG.EEV-Apr06 22 2" xfId="5850" xr:uid="{00000000-0005-0000-0000-000076220000}"/>
    <cellStyle name="B_BotLC_SG.EEV-Apr06 22 3" xfId="26508" xr:uid="{00000000-0005-0000-0000-000077220000}"/>
    <cellStyle name="B_BotLC_SG.EEV-Apr06 23" xfId="5851" xr:uid="{00000000-0005-0000-0000-000078220000}"/>
    <cellStyle name="B_BotLC_SG.EEV-Apr06 23 2" xfId="5852" xr:uid="{00000000-0005-0000-0000-000079220000}"/>
    <cellStyle name="B_BotLC_SG.EEV-Apr06 23 3" xfId="26509" xr:uid="{00000000-0005-0000-0000-00007A220000}"/>
    <cellStyle name="B_BotLC_SG.EEV-Apr06 24" xfId="5853" xr:uid="{00000000-0005-0000-0000-00007B220000}"/>
    <cellStyle name="B_BotLC_SG.EEV-Apr06 25" xfId="26510" xr:uid="{00000000-0005-0000-0000-00007C220000}"/>
    <cellStyle name="B_BotLC_SG.EEV-Apr06 3" xfId="5854" xr:uid="{00000000-0005-0000-0000-00007D220000}"/>
    <cellStyle name="B_BotLC_SG.EEV-Apr06 3 2" xfId="5855" xr:uid="{00000000-0005-0000-0000-00007E220000}"/>
    <cellStyle name="B_BotLC_SG.EEV-Apr06 3 3" xfId="26511" xr:uid="{00000000-0005-0000-0000-00007F220000}"/>
    <cellStyle name="B_BotLC_SG.EEV-Apr06 4" xfId="5856" xr:uid="{00000000-0005-0000-0000-000080220000}"/>
    <cellStyle name="B_BotLC_SG.EEV-Apr06 4 2" xfId="5857" xr:uid="{00000000-0005-0000-0000-000081220000}"/>
    <cellStyle name="B_BotLC_SG.EEV-Apr06 4 3" xfId="26512" xr:uid="{00000000-0005-0000-0000-000082220000}"/>
    <cellStyle name="B_BotLC_SG.EEV-Apr06 5" xfId="5858" xr:uid="{00000000-0005-0000-0000-000083220000}"/>
    <cellStyle name="B_BotLC_SG.EEV-Apr06 5 2" xfId="5859" xr:uid="{00000000-0005-0000-0000-000084220000}"/>
    <cellStyle name="B_BotLC_SG.EEV-Apr06 5 3" xfId="26513" xr:uid="{00000000-0005-0000-0000-000085220000}"/>
    <cellStyle name="B_BotLC_SG.EEV-Apr06 6" xfId="5860" xr:uid="{00000000-0005-0000-0000-000086220000}"/>
    <cellStyle name="B_BotLC_SG.EEV-Apr06 6 2" xfId="5861" xr:uid="{00000000-0005-0000-0000-000087220000}"/>
    <cellStyle name="B_BotLC_SG.EEV-Apr06 6 3" xfId="26514" xr:uid="{00000000-0005-0000-0000-000088220000}"/>
    <cellStyle name="B_BotLC_SG.EEV-Apr06 7" xfId="5862" xr:uid="{00000000-0005-0000-0000-000089220000}"/>
    <cellStyle name="B_BotLC_SG.EEV-Apr06 7 2" xfId="5863" xr:uid="{00000000-0005-0000-0000-00008A220000}"/>
    <cellStyle name="B_BotLC_SG.EEV-Apr06 7 3" xfId="26515" xr:uid="{00000000-0005-0000-0000-00008B220000}"/>
    <cellStyle name="B_BotLC_SG.EEV-Apr06 8" xfId="5864" xr:uid="{00000000-0005-0000-0000-00008C220000}"/>
    <cellStyle name="B_BotLC_SG.EEV-Apr06 8 2" xfId="5865" xr:uid="{00000000-0005-0000-0000-00008D220000}"/>
    <cellStyle name="B_BotLC_SG.EEV-Apr06 8 3" xfId="26516" xr:uid="{00000000-0005-0000-0000-00008E220000}"/>
    <cellStyle name="B_BotLC_SG.EEV-Apr06 9" xfId="5866" xr:uid="{00000000-0005-0000-0000-00008F220000}"/>
    <cellStyle name="B_BotLC_SG.EEV-Apr06 9 2" xfId="5867" xr:uid="{00000000-0005-0000-0000-000090220000}"/>
    <cellStyle name="B_BotLC_SG.EEV-Apr06 9 3" xfId="26517" xr:uid="{00000000-0005-0000-0000-000091220000}"/>
    <cellStyle name="B_BotLC_SG.EEV-Apr06_HK.EEV-May06 4+2 kkh" xfId="5868" xr:uid="{00000000-0005-0000-0000-000092220000}"/>
    <cellStyle name="B_BotLC_SG.EEV-Apr06_HK.EEV-May06 4+2 kkh 10" xfId="5869" xr:uid="{00000000-0005-0000-0000-000093220000}"/>
    <cellStyle name="B_BotLC_SG.EEV-Apr06_HK.EEV-May06 4+2 kkh 10 2" xfId="5870" xr:uid="{00000000-0005-0000-0000-000094220000}"/>
    <cellStyle name="B_BotLC_SG.EEV-Apr06_HK.EEV-May06 4+2 kkh 10 3" xfId="26518" xr:uid="{00000000-0005-0000-0000-000095220000}"/>
    <cellStyle name="B_BotLC_SG.EEV-Apr06_HK.EEV-May06 4+2 kkh 11" xfId="5871" xr:uid="{00000000-0005-0000-0000-000096220000}"/>
    <cellStyle name="B_BotLC_SG.EEV-Apr06_HK.EEV-May06 4+2 kkh 11 2" xfId="5872" xr:uid="{00000000-0005-0000-0000-000097220000}"/>
    <cellStyle name="B_BotLC_SG.EEV-Apr06_HK.EEV-May06 4+2 kkh 11 3" xfId="26519" xr:uid="{00000000-0005-0000-0000-000098220000}"/>
    <cellStyle name="B_BotLC_SG.EEV-Apr06_HK.EEV-May06 4+2 kkh 12" xfId="5873" xr:uid="{00000000-0005-0000-0000-000099220000}"/>
    <cellStyle name="B_BotLC_SG.EEV-Apr06_HK.EEV-May06 4+2 kkh 12 2" xfId="5874" xr:uid="{00000000-0005-0000-0000-00009A220000}"/>
    <cellStyle name="B_BotLC_SG.EEV-Apr06_HK.EEV-May06 4+2 kkh 12 3" xfId="26520" xr:uid="{00000000-0005-0000-0000-00009B220000}"/>
    <cellStyle name="B_BotLC_SG.EEV-Apr06_HK.EEV-May06 4+2 kkh 13" xfId="5875" xr:uid="{00000000-0005-0000-0000-00009C220000}"/>
    <cellStyle name="B_BotLC_SG.EEV-Apr06_HK.EEV-May06 4+2 kkh 13 2" xfId="5876" xr:uid="{00000000-0005-0000-0000-00009D220000}"/>
    <cellStyle name="B_BotLC_SG.EEV-Apr06_HK.EEV-May06 4+2 kkh 13 3" xfId="26521" xr:uid="{00000000-0005-0000-0000-00009E220000}"/>
    <cellStyle name="B_BotLC_SG.EEV-Apr06_HK.EEV-May06 4+2 kkh 14" xfId="5877" xr:uid="{00000000-0005-0000-0000-00009F220000}"/>
    <cellStyle name="B_BotLC_SG.EEV-Apr06_HK.EEV-May06 4+2 kkh 14 2" xfId="5878" xr:uid="{00000000-0005-0000-0000-0000A0220000}"/>
    <cellStyle name="B_BotLC_SG.EEV-Apr06_HK.EEV-May06 4+2 kkh 14 3" xfId="26522" xr:uid="{00000000-0005-0000-0000-0000A1220000}"/>
    <cellStyle name="B_BotLC_SG.EEV-Apr06_HK.EEV-May06 4+2 kkh 15" xfId="5879" xr:uid="{00000000-0005-0000-0000-0000A2220000}"/>
    <cellStyle name="B_BotLC_SG.EEV-Apr06_HK.EEV-May06 4+2 kkh 15 2" xfId="5880" xr:uid="{00000000-0005-0000-0000-0000A3220000}"/>
    <cellStyle name="B_BotLC_SG.EEV-Apr06_HK.EEV-May06 4+2 kkh 15 3" xfId="26523" xr:uid="{00000000-0005-0000-0000-0000A4220000}"/>
    <cellStyle name="B_BotLC_SG.EEV-Apr06_HK.EEV-May06 4+2 kkh 16" xfId="5881" xr:uid="{00000000-0005-0000-0000-0000A5220000}"/>
    <cellStyle name="B_BotLC_SG.EEV-Apr06_HK.EEV-May06 4+2 kkh 16 2" xfId="5882" xr:uid="{00000000-0005-0000-0000-0000A6220000}"/>
    <cellStyle name="B_BotLC_SG.EEV-Apr06_HK.EEV-May06 4+2 kkh 16 3" xfId="26524" xr:uid="{00000000-0005-0000-0000-0000A7220000}"/>
    <cellStyle name="B_BotLC_SG.EEV-Apr06_HK.EEV-May06 4+2 kkh 17" xfId="5883" xr:uid="{00000000-0005-0000-0000-0000A8220000}"/>
    <cellStyle name="B_BotLC_SG.EEV-Apr06_HK.EEV-May06 4+2 kkh 17 2" xfId="5884" xr:uid="{00000000-0005-0000-0000-0000A9220000}"/>
    <cellStyle name="B_BotLC_SG.EEV-Apr06_HK.EEV-May06 4+2 kkh 17 3" xfId="26525" xr:uid="{00000000-0005-0000-0000-0000AA220000}"/>
    <cellStyle name="B_BotLC_SG.EEV-Apr06_HK.EEV-May06 4+2 kkh 18" xfId="5885" xr:uid="{00000000-0005-0000-0000-0000AB220000}"/>
    <cellStyle name="B_BotLC_SG.EEV-Apr06_HK.EEV-May06 4+2 kkh 18 2" xfId="5886" xr:uid="{00000000-0005-0000-0000-0000AC220000}"/>
    <cellStyle name="B_BotLC_SG.EEV-Apr06_HK.EEV-May06 4+2 kkh 18 3" xfId="26526" xr:uid="{00000000-0005-0000-0000-0000AD220000}"/>
    <cellStyle name="B_BotLC_SG.EEV-Apr06_HK.EEV-May06 4+2 kkh 19" xfId="5887" xr:uid="{00000000-0005-0000-0000-0000AE220000}"/>
    <cellStyle name="B_BotLC_SG.EEV-Apr06_HK.EEV-May06 4+2 kkh 19 2" xfId="5888" xr:uid="{00000000-0005-0000-0000-0000AF220000}"/>
    <cellStyle name="B_BotLC_SG.EEV-Apr06_HK.EEV-May06 4+2 kkh 19 3" xfId="26527" xr:uid="{00000000-0005-0000-0000-0000B0220000}"/>
    <cellStyle name="B_BotLC_SG.EEV-Apr06_HK.EEV-May06 4+2 kkh 2" xfId="5889" xr:uid="{00000000-0005-0000-0000-0000B1220000}"/>
    <cellStyle name="B_BotLC_SG.EEV-Apr06_HK.EEV-May06 4+2 kkh 2 2" xfId="5890" xr:uid="{00000000-0005-0000-0000-0000B2220000}"/>
    <cellStyle name="B_BotLC_SG.EEV-Apr06_HK.EEV-May06 4+2 kkh 2 3" xfId="26528" xr:uid="{00000000-0005-0000-0000-0000B3220000}"/>
    <cellStyle name="B_BotLC_SG.EEV-Apr06_HK.EEV-May06 4+2 kkh 20" xfId="5891" xr:uid="{00000000-0005-0000-0000-0000B4220000}"/>
    <cellStyle name="B_BotLC_SG.EEV-Apr06_HK.EEV-May06 4+2 kkh 20 2" xfId="5892" xr:uid="{00000000-0005-0000-0000-0000B5220000}"/>
    <cellStyle name="B_BotLC_SG.EEV-Apr06_HK.EEV-May06 4+2 kkh 20 3" xfId="26529" xr:uid="{00000000-0005-0000-0000-0000B6220000}"/>
    <cellStyle name="B_BotLC_SG.EEV-Apr06_HK.EEV-May06 4+2 kkh 21" xfId="5893" xr:uid="{00000000-0005-0000-0000-0000B7220000}"/>
    <cellStyle name="B_BotLC_SG.EEV-Apr06_HK.EEV-May06 4+2 kkh 21 2" xfId="5894" xr:uid="{00000000-0005-0000-0000-0000B8220000}"/>
    <cellStyle name="B_BotLC_SG.EEV-Apr06_HK.EEV-May06 4+2 kkh 21 3" xfId="26530" xr:uid="{00000000-0005-0000-0000-0000B9220000}"/>
    <cellStyle name="B_BotLC_SG.EEV-Apr06_HK.EEV-May06 4+2 kkh 22" xfId="5895" xr:uid="{00000000-0005-0000-0000-0000BA220000}"/>
    <cellStyle name="B_BotLC_SG.EEV-Apr06_HK.EEV-May06 4+2 kkh 22 2" xfId="5896" xr:uid="{00000000-0005-0000-0000-0000BB220000}"/>
    <cellStyle name="B_BotLC_SG.EEV-Apr06_HK.EEV-May06 4+2 kkh 22 3" xfId="26531" xr:uid="{00000000-0005-0000-0000-0000BC220000}"/>
    <cellStyle name="B_BotLC_SG.EEV-Apr06_HK.EEV-May06 4+2 kkh 23" xfId="5897" xr:uid="{00000000-0005-0000-0000-0000BD220000}"/>
    <cellStyle name="B_BotLC_SG.EEV-Apr06_HK.EEV-May06 4+2 kkh 23 2" xfId="5898" xr:uid="{00000000-0005-0000-0000-0000BE220000}"/>
    <cellStyle name="B_BotLC_SG.EEV-Apr06_HK.EEV-May06 4+2 kkh 23 3" xfId="26532" xr:uid="{00000000-0005-0000-0000-0000BF220000}"/>
    <cellStyle name="B_BotLC_SG.EEV-Apr06_HK.EEV-May06 4+2 kkh 24" xfId="5899" xr:uid="{00000000-0005-0000-0000-0000C0220000}"/>
    <cellStyle name="B_BotLC_SG.EEV-Apr06_HK.EEV-May06 4+2 kkh 25" xfId="26533" xr:uid="{00000000-0005-0000-0000-0000C1220000}"/>
    <cellStyle name="B_BotLC_SG.EEV-Apr06_HK.EEV-May06 4+2 kkh 3" xfId="5900" xr:uid="{00000000-0005-0000-0000-0000C2220000}"/>
    <cellStyle name="B_BotLC_SG.EEV-Apr06_HK.EEV-May06 4+2 kkh 3 2" xfId="5901" xr:uid="{00000000-0005-0000-0000-0000C3220000}"/>
    <cellStyle name="B_BotLC_SG.EEV-Apr06_HK.EEV-May06 4+2 kkh 3 3" xfId="26534" xr:uid="{00000000-0005-0000-0000-0000C4220000}"/>
    <cellStyle name="B_BotLC_SG.EEV-Apr06_HK.EEV-May06 4+2 kkh 4" xfId="5902" xr:uid="{00000000-0005-0000-0000-0000C5220000}"/>
    <cellStyle name="B_BotLC_SG.EEV-Apr06_HK.EEV-May06 4+2 kkh 4 2" xfId="5903" xr:uid="{00000000-0005-0000-0000-0000C6220000}"/>
    <cellStyle name="B_BotLC_SG.EEV-Apr06_HK.EEV-May06 4+2 kkh 4 3" xfId="26535" xr:uid="{00000000-0005-0000-0000-0000C7220000}"/>
    <cellStyle name="B_BotLC_SG.EEV-Apr06_HK.EEV-May06 4+2 kkh 5" xfId="5904" xr:uid="{00000000-0005-0000-0000-0000C8220000}"/>
    <cellStyle name="B_BotLC_SG.EEV-Apr06_HK.EEV-May06 4+2 kkh 5 2" xfId="5905" xr:uid="{00000000-0005-0000-0000-0000C9220000}"/>
    <cellStyle name="B_BotLC_SG.EEV-Apr06_HK.EEV-May06 4+2 kkh 5 3" xfId="26536" xr:uid="{00000000-0005-0000-0000-0000CA220000}"/>
    <cellStyle name="B_BotLC_SG.EEV-Apr06_HK.EEV-May06 4+2 kkh 6" xfId="5906" xr:uid="{00000000-0005-0000-0000-0000CB220000}"/>
    <cellStyle name="B_BotLC_SG.EEV-Apr06_HK.EEV-May06 4+2 kkh 6 2" xfId="5907" xr:uid="{00000000-0005-0000-0000-0000CC220000}"/>
    <cellStyle name="B_BotLC_SG.EEV-Apr06_HK.EEV-May06 4+2 kkh 6 3" xfId="26537" xr:uid="{00000000-0005-0000-0000-0000CD220000}"/>
    <cellStyle name="B_BotLC_SG.EEV-Apr06_HK.EEV-May06 4+2 kkh 7" xfId="5908" xr:uid="{00000000-0005-0000-0000-0000CE220000}"/>
    <cellStyle name="B_BotLC_SG.EEV-Apr06_HK.EEV-May06 4+2 kkh 7 2" xfId="5909" xr:uid="{00000000-0005-0000-0000-0000CF220000}"/>
    <cellStyle name="B_BotLC_SG.EEV-Apr06_HK.EEV-May06 4+2 kkh 7 3" xfId="26538" xr:uid="{00000000-0005-0000-0000-0000D0220000}"/>
    <cellStyle name="B_BotLC_SG.EEV-Apr06_HK.EEV-May06 4+2 kkh 8" xfId="5910" xr:uid="{00000000-0005-0000-0000-0000D1220000}"/>
    <cellStyle name="B_BotLC_SG.EEV-Apr06_HK.EEV-May06 4+2 kkh 8 2" xfId="5911" xr:uid="{00000000-0005-0000-0000-0000D2220000}"/>
    <cellStyle name="B_BotLC_SG.EEV-Apr06_HK.EEV-May06 4+2 kkh 8 3" xfId="26539" xr:uid="{00000000-0005-0000-0000-0000D3220000}"/>
    <cellStyle name="B_BotLC_SG.EEV-Apr06_HK.EEV-May06 4+2 kkh 9" xfId="5912" xr:uid="{00000000-0005-0000-0000-0000D4220000}"/>
    <cellStyle name="B_BotLC_SG.EEV-Apr06_HK.EEV-May06 4+2 kkh 9 2" xfId="5913" xr:uid="{00000000-0005-0000-0000-0000D5220000}"/>
    <cellStyle name="B_BotLC_SG.EEV-Apr06_HK.EEV-May06 4+2 kkh 9 3" xfId="26540" xr:uid="{00000000-0005-0000-0000-0000D6220000}"/>
    <cellStyle name="B_BotLC_SG.EEV-Apr06_HK.EEV-May06 4+2 kkh_PROD_DETAILS" xfId="5914" xr:uid="{00000000-0005-0000-0000-0000D7220000}"/>
    <cellStyle name="B_BotLC_SG.EEV-Apr06_HK.EEV-May06 4+2 kkh_PROD_DETAILS 2" xfId="5915" xr:uid="{00000000-0005-0000-0000-0000D8220000}"/>
    <cellStyle name="B_BotLC_SG.EEV-Apr06_HK.EEV-May06 4+2 kkh_PROD_DETAILS 3" xfId="26541" xr:uid="{00000000-0005-0000-0000-0000D9220000}"/>
    <cellStyle name="B_BotLC_SG.EEV-Apr06_HK.EEV-May06 4+2 kkh_SOLVENCY POSITION " xfId="5916" xr:uid="{00000000-0005-0000-0000-0000DA220000}"/>
    <cellStyle name="B_BotLC_SG.EEV-Apr06_HK.EEV-May06 4+2 kkh_SOLVENCY POSITION  2" xfId="5917" xr:uid="{00000000-0005-0000-0000-0000DB220000}"/>
    <cellStyle name="B_BotLC_SG.EEV-Apr06_HK.EEV-May06 4+2 kkh_SOLVENCY POSITION  3" xfId="26542" xr:uid="{00000000-0005-0000-0000-0000DC220000}"/>
    <cellStyle name="B_BotLC_SG.EEV-Apr06_PROD_DETAILS" xfId="5918" xr:uid="{00000000-0005-0000-0000-0000DD220000}"/>
    <cellStyle name="B_BotLC_SG.EEV-Apr06_PROD_DETAILS 2" xfId="5919" xr:uid="{00000000-0005-0000-0000-0000DE220000}"/>
    <cellStyle name="B_BotLC_SG.EEV-Apr06_PROD_DETAILS 3" xfId="26543" xr:uid="{00000000-0005-0000-0000-0000DF220000}"/>
    <cellStyle name="B_BotLC_SG.EEV-Apr06_SOLVENCY POSITION " xfId="5920" xr:uid="{00000000-0005-0000-0000-0000E0220000}"/>
    <cellStyle name="B_BotLC_SG.EEV-Apr06_SOLVENCY POSITION  2" xfId="5921" xr:uid="{00000000-0005-0000-0000-0000E1220000}"/>
    <cellStyle name="B_BotLC_SG.EEV-Apr06_SOLVENCY POSITION  3" xfId="26544" xr:uid="{00000000-0005-0000-0000-0000E2220000}"/>
    <cellStyle name="B_BotLC_SG.EEV-June06 6+6" xfId="5922" xr:uid="{00000000-0005-0000-0000-0000E3220000}"/>
    <cellStyle name="B_BotLC_SG.EEV-June06 6+6 10" xfId="5923" xr:uid="{00000000-0005-0000-0000-0000E4220000}"/>
    <cellStyle name="B_BotLC_SG.EEV-June06 6+6 10 2" xfId="5924" xr:uid="{00000000-0005-0000-0000-0000E5220000}"/>
    <cellStyle name="B_BotLC_SG.EEV-June06 6+6 10 3" xfId="26545" xr:uid="{00000000-0005-0000-0000-0000E6220000}"/>
    <cellStyle name="B_BotLC_SG.EEV-June06 6+6 11" xfId="5925" xr:uid="{00000000-0005-0000-0000-0000E7220000}"/>
    <cellStyle name="B_BotLC_SG.EEV-June06 6+6 11 2" xfId="5926" xr:uid="{00000000-0005-0000-0000-0000E8220000}"/>
    <cellStyle name="B_BotLC_SG.EEV-June06 6+6 11 3" xfId="26546" xr:uid="{00000000-0005-0000-0000-0000E9220000}"/>
    <cellStyle name="B_BotLC_SG.EEV-June06 6+6 12" xfId="5927" xr:uid="{00000000-0005-0000-0000-0000EA220000}"/>
    <cellStyle name="B_BotLC_SG.EEV-June06 6+6 12 2" xfId="5928" xr:uid="{00000000-0005-0000-0000-0000EB220000}"/>
    <cellStyle name="B_BotLC_SG.EEV-June06 6+6 12 3" xfId="26547" xr:uid="{00000000-0005-0000-0000-0000EC220000}"/>
    <cellStyle name="B_BotLC_SG.EEV-June06 6+6 13" xfId="5929" xr:uid="{00000000-0005-0000-0000-0000ED220000}"/>
    <cellStyle name="B_BotLC_SG.EEV-June06 6+6 13 2" xfId="5930" xr:uid="{00000000-0005-0000-0000-0000EE220000}"/>
    <cellStyle name="B_BotLC_SG.EEV-June06 6+6 13 3" xfId="26548" xr:uid="{00000000-0005-0000-0000-0000EF220000}"/>
    <cellStyle name="B_BotLC_SG.EEV-June06 6+6 14" xfId="5931" xr:uid="{00000000-0005-0000-0000-0000F0220000}"/>
    <cellStyle name="B_BotLC_SG.EEV-June06 6+6 14 2" xfId="5932" xr:uid="{00000000-0005-0000-0000-0000F1220000}"/>
    <cellStyle name="B_BotLC_SG.EEV-June06 6+6 14 3" xfId="26549" xr:uid="{00000000-0005-0000-0000-0000F2220000}"/>
    <cellStyle name="B_BotLC_SG.EEV-June06 6+6 15" xfId="5933" xr:uid="{00000000-0005-0000-0000-0000F3220000}"/>
    <cellStyle name="B_BotLC_SG.EEV-June06 6+6 15 2" xfId="5934" xr:uid="{00000000-0005-0000-0000-0000F4220000}"/>
    <cellStyle name="B_BotLC_SG.EEV-June06 6+6 15 3" xfId="26550" xr:uid="{00000000-0005-0000-0000-0000F5220000}"/>
    <cellStyle name="B_BotLC_SG.EEV-June06 6+6 16" xfId="5935" xr:uid="{00000000-0005-0000-0000-0000F6220000}"/>
    <cellStyle name="B_BotLC_SG.EEV-June06 6+6 16 2" xfId="5936" xr:uid="{00000000-0005-0000-0000-0000F7220000}"/>
    <cellStyle name="B_BotLC_SG.EEV-June06 6+6 16 3" xfId="26551" xr:uid="{00000000-0005-0000-0000-0000F8220000}"/>
    <cellStyle name="B_BotLC_SG.EEV-June06 6+6 17" xfId="5937" xr:uid="{00000000-0005-0000-0000-0000F9220000}"/>
    <cellStyle name="B_BotLC_SG.EEV-June06 6+6 17 2" xfId="5938" xr:uid="{00000000-0005-0000-0000-0000FA220000}"/>
    <cellStyle name="B_BotLC_SG.EEV-June06 6+6 17 3" xfId="26552" xr:uid="{00000000-0005-0000-0000-0000FB220000}"/>
    <cellStyle name="B_BotLC_SG.EEV-June06 6+6 18" xfId="5939" xr:uid="{00000000-0005-0000-0000-0000FC220000}"/>
    <cellStyle name="B_BotLC_SG.EEV-June06 6+6 18 2" xfId="5940" xr:uid="{00000000-0005-0000-0000-0000FD220000}"/>
    <cellStyle name="B_BotLC_SG.EEV-June06 6+6 18 3" xfId="26553" xr:uid="{00000000-0005-0000-0000-0000FE220000}"/>
    <cellStyle name="B_BotLC_SG.EEV-June06 6+6 19" xfId="5941" xr:uid="{00000000-0005-0000-0000-0000FF220000}"/>
    <cellStyle name="B_BotLC_SG.EEV-June06 6+6 19 2" xfId="5942" xr:uid="{00000000-0005-0000-0000-000000230000}"/>
    <cellStyle name="B_BotLC_SG.EEV-June06 6+6 19 3" xfId="26554" xr:uid="{00000000-0005-0000-0000-000001230000}"/>
    <cellStyle name="B_BotLC_SG.EEV-June06 6+6 2" xfId="5943" xr:uid="{00000000-0005-0000-0000-000002230000}"/>
    <cellStyle name="B_BotLC_SG.EEV-June06 6+6 2 2" xfId="5944" xr:uid="{00000000-0005-0000-0000-000003230000}"/>
    <cellStyle name="B_BotLC_SG.EEV-June06 6+6 2 3" xfId="26555" xr:uid="{00000000-0005-0000-0000-000004230000}"/>
    <cellStyle name="B_BotLC_SG.EEV-June06 6+6 20" xfId="5945" xr:uid="{00000000-0005-0000-0000-000005230000}"/>
    <cellStyle name="B_BotLC_SG.EEV-June06 6+6 20 2" xfId="5946" xr:uid="{00000000-0005-0000-0000-000006230000}"/>
    <cellStyle name="B_BotLC_SG.EEV-June06 6+6 20 3" xfId="26556" xr:uid="{00000000-0005-0000-0000-000007230000}"/>
    <cellStyle name="B_BotLC_SG.EEV-June06 6+6 21" xfId="5947" xr:uid="{00000000-0005-0000-0000-000008230000}"/>
    <cellStyle name="B_BotLC_SG.EEV-June06 6+6 21 2" xfId="5948" xr:uid="{00000000-0005-0000-0000-000009230000}"/>
    <cellStyle name="B_BotLC_SG.EEV-June06 6+6 21 3" xfId="26557" xr:uid="{00000000-0005-0000-0000-00000A230000}"/>
    <cellStyle name="B_BotLC_SG.EEV-June06 6+6 22" xfId="5949" xr:uid="{00000000-0005-0000-0000-00000B230000}"/>
    <cellStyle name="B_BotLC_SG.EEV-June06 6+6 22 2" xfId="5950" xr:uid="{00000000-0005-0000-0000-00000C230000}"/>
    <cellStyle name="B_BotLC_SG.EEV-June06 6+6 22 3" xfId="26558" xr:uid="{00000000-0005-0000-0000-00000D230000}"/>
    <cellStyle name="B_BotLC_SG.EEV-June06 6+6 23" xfId="5951" xr:uid="{00000000-0005-0000-0000-00000E230000}"/>
    <cellStyle name="B_BotLC_SG.EEV-June06 6+6 23 2" xfId="5952" xr:uid="{00000000-0005-0000-0000-00000F230000}"/>
    <cellStyle name="B_BotLC_SG.EEV-June06 6+6 23 3" xfId="26559" xr:uid="{00000000-0005-0000-0000-000010230000}"/>
    <cellStyle name="B_BotLC_SG.EEV-June06 6+6 24" xfId="5953" xr:uid="{00000000-0005-0000-0000-000011230000}"/>
    <cellStyle name="B_BotLC_SG.EEV-June06 6+6 25" xfId="26560" xr:uid="{00000000-0005-0000-0000-000012230000}"/>
    <cellStyle name="B_BotLC_SG.EEV-June06 6+6 3" xfId="5954" xr:uid="{00000000-0005-0000-0000-000013230000}"/>
    <cellStyle name="B_BotLC_SG.EEV-June06 6+6 3 2" xfId="5955" xr:uid="{00000000-0005-0000-0000-000014230000}"/>
    <cellStyle name="B_BotLC_SG.EEV-June06 6+6 3 3" xfId="26561" xr:uid="{00000000-0005-0000-0000-000015230000}"/>
    <cellStyle name="B_BotLC_SG.EEV-June06 6+6 4" xfId="5956" xr:uid="{00000000-0005-0000-0000-000016230000}"/>
    <cellStyle name="B_BotLC_SG.EEV-June06 6+6 4 2" xfId="5957" xr:uid="{00000000-0005-0000-0000-000017230000}"/>
    <cellStyle name="B_BotLC_SG.EEV-June06 6+6 4 3" xfId="26562" xr:uid="{00000000-0005-0000-0000-000018230000}"/>
    <cellStyle name="B_BotLC_SG.EEV-June06 6+6 5" xfId="5958" xr:uid="{00000000-0005-0000-0000-000019230000}"/>
    <cellStyle name="B_BotLC_SG.EEV-June06 6+6 5 2" xfId="5959" xr:uid="{00000000-0005-0000-0000-00001A230000}"/>
    <cellStyle name="B_BotLC_SG.EEV-June06 6+6 5 3" xfId="26563" xr:uid="{00000000-0005-0000-0000-00001B230000}"/>
    <cellStyle name="B_BotLC_SG.EEV-June06 6+6 6" xfId="5960" xr:uid="{00000000-0005-0000-0000-00001C230000}"/>
    <cellStyle name="B_BotLC_SG.EEV-June06 6+6 6 2" xfId="5961" xr:uid="{00000000-0005-0000-0000-00001D230000}"/>
    <cellStyle name="B_BotLC_SG.EEV-June06 6+6 6 3" xfId="26564" xr:uid="{00000000-0005-0000-0000-00001E230000}"/>
    <cellStyle name="B_BotLC_SG.EEV-June06 6+6 7" xfId="5962" xr:uid="{00000000-0005-0000-0000-00001F230000}"/>
    <cellStyle name="B_BotLC_SG.EEV-June06 6+6 7 2" xfId="5963" xr:uid="{00000000-0005-0000-0000-000020230000}"/>
    <cellStyle name="B_BotLC_SG.EEV-June06 6+6 7 3" xfId="26565" xr:uid="{00000000-0005-0000-0000-000021230000}"/>
    <cellStyle name="B_BotLC_SG.EEV-June06 6+6 8" xfId="5964" xr:uid="{00000000-0005-0000-0000-000022230000}"/>
    <cellStyle name="B_BotLC_SG.EEV-June06 6+6 8 2" xfId="5965" xr:uid="{00000000-0005-0000-0000-000023230000}"/>
    <cellStyle name="B_BotLC_SG.EEV-June06 6+6 8 3" xfId="26566" xr:uid="{00000000-0005-0000-0000-000024230000}"/>
    <cellStyle name="B_BotLC_SG.EEV-June06 6+6 9" xfId="5966" xr:uid="{00000000-0005-0000-0000-000025230000}"/>
    <cellStyle name="B_BotLC_SG.EEV-June06 6+6 9 2" xfId="5967" xr:uid="{00000000-0005-0000-0000-000026230000}"/>
    <cellStyle name="B_BotLC_SG.EEV-June06 6+6 9 3" xfId="26567" xr:uid="{00000000-0005-0000-0000-000027230000}"/>
    <cellStyle name="B_BotLC_SG.EEV-June06 6+6_PROD_DETAILS" xfId="5968" xr:uid="{00000000-0005-0000-0000-000028230000}"/>
    <cellStyle name="B_BotLC_SG.EEV-June06 6+6_PROD_DETAILS 2" xfId="5969" xr:uid="{00000000-0005-0000-0000-000029230000}"/>
    <cellStyle name="B_BotLC_SG.EEV-June06 6+6_PROD_DETAILS 3" xfId="26568" xr:uid="{00000000-0005-0000-0000-00002A230000}"/>
    <cellStyle name="B_BotLC_SG.EEV-June06 6+6_SOLVENCY POSITION " xfId="5970" xr:uid="{00000000-0005-0000-0000-00002B230000}"/>
    <cellStyle name="B_BotLC_SG.EEV-June06 6+6_SOLVENCY POSITION  2" xfId="5971" xr:uid="{00000000-0005-0000-0000-00002C230000}"/>
    <cellStyle name="B_BotLC_SG.EEV-June06 6+6_SOLVENCY POSITION  3" xfId="26569" xr:uid="{00000000-0005-0000-0000-00002D230000}"/>
    <cellStyle name="B_BotLC_SG.EEV-May06 4+2" xfId="5972" xr:uid="{00000000-0005-0000-0000-00002E230000}"/>
    <cellStyle name="B_BotLC_SG.EEV-May06 4+2 10" xfId="5973" xr:uid="{00000000-0005-0000-0000-00002F230000}"/>
    <cellStyle name="B_BotLC_SG.EEV-May06 4+2 10 2" xfId="5974" xr:uid="{00000000-0005-0000-0000-000030230000}"/>
    <cellStyle name="B_BotLC_SG.EEV-May06 4+2 10 3" xfId="26570" xr:uid="{00000000-0005-0000-0000-000031230000}"/>
    <cellStyle name="B_BotLC_SG.EEV-May06 4+2 11" xfId="5975" xr:uid="{00000000-0005-0000-0000-000032230000}"/>
    <cellStyle name="B_BotLC_SG.EEV-May06 4+2 11 2" xfId="5976" xr:uid="{00000000-0005-0000-0000-000033230000}"/>
    <cellStyle name="B_BotLC_SG.EEV-May06 4+2 11 3" xfId="26571" xr:uid="{00000000-0005-0000-0000-000034230000}"/>
    <cellStyle name="B_BotLC_SG.EEV-May06 4+2 12" xfId="5977" xr:uid="{00000000-0005-0000-0000-000035230000}"/>
    <cellStyle name="B_BotLC_SG.EEV-May06 4+2 12 2" xfId="5978" xr:uid="{00000000-0005-0000-0000-000036230000}"/>
    <cellStyle name="B_BotLC_SG.EEV-May06 4+2 12 3" xfId="26572" xr:uid="{00000000-0005-0000-0000-000037230000}"/>
    <cellStyle name="B_BotLC_SG.EEV-May06 4+2 13" xfId="5979" xr:uid="{00000000-0005-0000-0000-000038230000}"/>
    <cellStyle name="B_BotLC_SG.EEV-May06 4+2 13 2" xfId="5980" xr:uid="{00000000-0005-0000-0000-000039230000}"/>
    <cellStyle name="B_BotLC_SG.EEV-May06 4+2 13 3" xfId="26573" xr:uid="{00000000-0005-0000-0000-00003A230000}"/>
    <cellStyle name="B_BotLC_SG.EEV-May06 4+2 14" xfId="5981" xr:uid="{00000000-0005-0000-0000-00003B230000}"/>
    <cellStyle name="B_BotLC_SG.EEV-May06 4+2 14 2" xfId="5982" xr:uid="{00000000-0005-0000-0000-00003C230000}"/>
    <cellStyle name="B_BotLC_SG.EEV-May06 4+2 14 3" xfId="26574" xr:uid="{00000000-0005-0000-0000-00003D230000}"/>
    <cellStyle name="B_BotLC_SG.EEV-May06 4+2 15" xfId="5983" xr:uid="{00000000-0005-0000-0000-00003E230000}"/>
    <cellStyle name="B_BotLC_SG.EEV-May06 4+2 15 2" xfId="5984" xr:uid="{00000000-0005-0000-0000-00003F230000}"/>
    <cellStyle name="B_BotLC_SG.EEV-May06 4+2 15 3" xfId="26575" xr:uid="{00000000-0005-0000-0000-000040230000}"/>
    <cellStyle name="B_BotLC_SG.EEV-May06 4+2 16" xfId="5985" xr:uid="{00000000-0005-0000-0000-000041230000}"/>
    <cellStyle name="B_BotLC_SG.EEV-May06 4+2 16 2" xfId="5986" xr:uid="{00000000-0005-0000-0000-000042230000}"/>
    <cellStyle name="B_BotLC_SG.EEV-May06 4+2 16 3" xfId="26576" xr:uid="{00000000-0005-0000-0000-000043230000}"/>
    <cellStyle name="B_BotLC_SG.EEV-May06 4+2 17" xfId="5987" xr:uid="{00000000-0005-0000-0000-000044230000}"/>
    <cellStyle name="B_BotLC_SG.EEV-May06 4+2 17 2" xfId="5988" xr:uid="{00000000-0005-0000-0000-000045230000}"/>
    <cellStyle name="B_BotLC_SG.EEV-May06 4+2 17 3" xfId="26577" xr:uid="{00000000-0005-0000-0000-000046230000}"/>
    <cellStyle name="B_BotLC_SG.EEV-May06 4+2 18" xfId="5989" xr:uid="{00000000-0005-0000-0000-000047230000}"/>
    <cellStyle name="B_BotLC_SG.EEV-May06 4+2 18 2" xfId="5990" xr:uid="{00000000-0005-0000-0000-000048230000}"/>
    <cellStyle name="B_BotLC_SG.EEV-May06 4+2 18 3" xfId="26578" xr:uid="{00000000-0005-0000-0000-000049230000}"/>
    <cellStyle name="B_BotLC_SG.EEV-May06 4+2 19" xfId="5991" xr:uid="{00000000-0005-0000-0000-00004A230000}"/>
    <cellStyle name="B_BotLC_SG.EEV-May06 4+2 19 2" xfId="5992" xr:uid="{00000000-0005-0000-0000-00004B230000}"/>
    <cellStyle name="B_BotLC_SG.EEV-May06 4+2 19 3" xfId="26579" xr:uid="{00000000-0005-0000-0000-00004C230000}"/>
    <cellStyle name="B_BotLC_SG.EEV-May06 4+2 2" xfId="5993" xr:uid="{00000000-0005-0000-0000-00004D230000}"/>
    <cellStyle name="B_BotLC_SG.EEV-May06 4+2 2 2" xfId="5994" xr:uid="{00000000-0005-0000-0000-00004E230000}"/>
    <cellStyle name="B_BotLC_SG.EEV-May06 4+2 2 3" xfId="26580" xr:uid="{00000000-0005-0000-0000-00004F230000}"/>
    <cellStyle name="B_BotLC_SG.EEV-May06 4+2 20" xfId="5995" xr:uid="{00000000-0005-0000-0000-000050230000}"/>
    <cellStyle name="B_BotLC_SG.EEV-May06 4+2 20 2" xfId="5996" xr:uid="{00000000-0005-0000-0000-000051230000}"/>
    <cellStyle name="B_BotLC_SG.EEV-May06 4+2 20 3" xfId="26581" xr:uid="{00000000-0005-0000-0000-000052230000}"/>
    <cellStyle name="B_BotLC_SG.EEV-May06 4+2 21" xfId="5997" xr:uid="{00000000-0005-0000-0000-000053230000}"/>
    <cellStyle name="B_BotLC_SG.EEV-May06 4+2 21 2" xfId="5998" xr:uid="{00000000-0005-0000-0000-000054230000}"/>
    <cellStyle name="B_BotLC_SG.EEV-May06 4+2 21 3" xfId="26582" xr:uid="{00000000-0005-0000-0000-000055230000}"/>
    <cellStyle name="B_BotLC_SG.EEV-May06 4+2 22" xfId="5999" xr:uid="{00000000-0005-0000-0000-000056230000}"/>
    <cellStyle name="B_BotLC_SG.EEV-May06 4+2 22 2" xfId="6000" xr:uid="{00000000-0005-0000-0000-000057230000}"/>
    <cellStyle name="B_BotLC_SG.EEV-May06 4+2 22 3" xfId="26583" xr:uid="{00000000-0005-0000-0000-000058230000}"/>
    <cellStyle name="B_BotLC_SG.EEV-May06 4+2 23" xfId="6001" xr:uid="{00000000-0005-0000-0000-000059230000}"/>
    <cellStyle name="B_BotLC_SG.EEV-May06 4+2 23 2" xfId="6002" xr:uid="{00000000-0005-0000-0000-00005A230000}"/>
    <cellStyle name="B_BotLC_SG.EEV-May06 4+2 23 3" xfId="26584" xr:uid="{00000000-0005-0000-0000-00005B230000}"/>
    <cellStyle name="B_BotLC_SG.EEV-May06 4+2 24" xfId="6003" xr:uid="{00000000-0005-0000-0000-00005C230000}"/>
    <cellStyle name="B_BotLC_SG.EEV-May06 4+2 25" xfId="26585" xr:uid="{00000000-0005-0000-0000-00005D230000}"/>
    <cellStyle name="B_BotLC_SG.EEV-May06 4+2 3" xfId="6004" xr:uid="{00000000-0005-0000-0000-00005E230000}"/>
    <cellStyle name="B_BotLC_SG.EEV-May06 4+2 3 2" xfId="6005" xr:uid="{00000000-0005-0000-0000-00005F230000}"/>
    <cellStyle name="B_BotLC_SG.EEV-May06 4+2 3 3" xfId="26586" xr:uid="{00000000-0005-0000-0000-000060230000}"/>
    <cellStyle name="B_BotLC_SG.EEV-May06 4+2 4" xfId="6006" xr:uid="{00000000-0005-0000-0000-000061230000}"/>
    <cellStyle name="B_BotLC_SG.EEV-May06 4+2 4 2" xfId="6007" xr:uid="{00000000-0005-0000-0000-000062230000}"/>
    <cellStyle name="B_BotLC_SG.EEV-May06 4+2 4 3" xfId="26587" xr:uid="{00000000-0005-0000-0000-000063230000}"/>
    <cellStyle name="B_BotLC_SG.EEV-May06 4+2 5" xfId="6008" xr:uid="{00000000-0005-0000-0000-000064230000}"/>
    <cellStyle name="B_BotLC_SG.EEV-May06 4+2 5 2" xfId="6009" xr:uid="{00000000-0005-0000-0000-000065230000}"/>
    <cellStyle name="B_BotLC_SG.EEV-May06 4+2 5 3" xfId="26588" xr:uid="{00000000-0005-0000-0000-000066230000}"/>
    <cellStyle name="B_BotLC_SG.EEV-May06 4+2 6" xfId="6010" xr:uid="{00000000-0005-0000-0000-000067230000}"/>
    <cellStyle name="B_BotLC_SG.EEV-May06 4+2 6 2" xfId="6011" xr:uid="{00000000-0005-0000-0000-000068230000}"/>
    <cellStyle name="B_BotLC_SG.EEV-May06 4+2 6 3" xfId="26589" xr:uid="{00000000-0005-0000-0000-000069230000}"/>
    <cellStyle name="B_BotLC_SG.EEV-May06 4+2 7" xfId="6012" xr:uid="{00000000-0005-0000-0000-00006A230000}"/>
    <cellStyle name="B_BotLC_SG.EEV-May06 4+2 7 2" xfId="6013" xr:uid="{00000000-0005-0000-0000-00006B230000}"/>
    <cellStyle name="B_BotLC_SG.EEV-May06 4+2 7 3" xfId="26590" xr:uid="{00000000-0005-0000-0000-00006C230000}"/>
    <cellStyle name="B_BotLC_SG.EEV-May06 4+2 8" xfId="6014" xr:uid="{00000000-0005-0000-0000-00006D230000}"/>
    <cellStyle name="B_BotLC_SG.EEV-May06 4+2 8 2" xfId="6015" xr:uid="{00000000-0005-0000-0000-00006E230000}"/>
    <cellStyle name="B_BotLC_SG.EEV-May06 4+2 8 3" xfId="26591" xr:uid="{00000000-0005-0000-0000-00006F230000}"/>
    <cellStyle name="B_BotLC_SG.EEV-May06 4+2 9" xfId="6016" xr:uid="{00000000-0005-0000-0000-000070230000}"/>
    <cellStyle name="B_BotLC_SG.EEV-May06 4+2 9 2" xfId="6017" xr:uid="{00000000-0005-0000-0000-000071230000}"/>
    <cellStyle name="B_BotLC_SG.EEV-May06 4+2 9 3" xfId="26592" xr:uid="{00000000-0005-0000-0000-000072230000}"/>
    <cellStyle name="B_BotLC_SG.EEV-May06 4+2_PROD_DETAILS" xfId="6018" xr:uid="{00000000-0005-0000-0000-000073230000}"/>
    <cellStyle name="B_BotLC_SG.EEV-May06 4+2_PROD_DETAILS 2" xfId="6019" xr:uid="{00000000-0005-0000-0000-000074230000}"/>
    <cellStyle name="B_BotLC_SG.EEV-May06 4+2_PROD_DETAILS 3" xfId="26593" xr:uid="{00000000-0005-0000-0000-000075230000}"/>
    <cellStyle name="B_BotLC_SG.EEV-May06 4+2_SOLVENCY POSITION " xfId="6020" xr:uid="{00000000-0005-0000-0000-000076230000}"/>
    <cellStyle name="B_BotLC_SG.EEV-May06 4+2_SOLVENCY POSITION  2" xfId="6021" xr:uid="{00000000-0005-0000-0000-000077230000}"/>
    <cellStyle name="B_BotLC_SG.EEV-May06 4+2_SOLVENCY POSITION  3" xfId="26594" xr:uid="{00000000-0005-0000-0000-000078230000}"/>
    <cellStyle name="B_BotLC_SOLVENCY POSITION " xfId="6022" xr:uid="{00000000-0005-0000-0000-000079230000}"/>
    <cellStyle name="B_BotLC_SOLVENCY POSITION  2" xfId="6023" xr:uid="{00000000-0005-0000-0000-00007A230000}"/>
    <cellStyle name="B_BotLC_SOLVENCY POSITION  3" xfId="26595" xr:uid="{00000000-0005-0000-0000-00007B230000}"/>
    <cellStyle name="B_BotLC_SUMM" xfId="6024" xr:uid="{00000000-0005-0000-0000-00007C230000}"/>
    <cellStyle name="B_BotLC_SUMM 10" xfId="6025" xr:uid="{00000000-0005-0000-0000-00007D230000}"/>
    <cellStyle name="B_BotLC_SUMM 10 2" xfId="6026" xr:uid="{00000000-0005-0000-0000-00007E230000}"/>
    <cellStyle name="B_BotLC_SUMM 10 3" xfId="26596" xr:uid="{00000000-0005-0000-0000-00007F230000}"/>
    <cellStyle name="B_BotLC_SUMM 11" xfId="6027" xr:uid="{00000000-0005-0000-0000-000080230000}"/>
    <cellStyle name="B_BotLC_SUMM 11 2" xfId="6028" xr:uid="{00000000-0005-0000-0000-000081230000}"/>
    <cellStyle name="B_BotLC_SUMM 11 3" xfId="26597" xr:uid="{00000000-0005-0000-0000-000082230000}"/>
    <cellStyle name="B_BotLC_SUMM 12" xfId="6029" xr:uid="{00000000-0005-0000-0000-000083230000}"/>
    <cellStyle name="B_BotLC_SUMM 12 2" xfId="6030" xr:uid="{00000000-0005-0000-0000-000084230000}"/>
    <cellStyle name="B_BotLC_SUMM 12 3" xfId="26598" xr:uid="{00000000-0005-0000-0000-000085230000}"/>
    <cellStyle name="B_BotLC_SUMM 13" xfId="6031" xr:uid="{00000000-0005-0000-0000-000086230000}"/>
    <cellStyle name="B_BotLC_SUMM 13 2" xfId="6032" xr:uid="{00000000-0005-0000-0000-000087230000}"/>
    <cellStyle name="B_BotLC_SUMM 13 3" xfId="26599" xr:uid="{00000000-0005-0000-0000-000088230000}"/>
    <cellStyle name="B_BotLC_SUMM 14" xfId="6033" xr:uid="{00000000-0005-0000-0000-000089230000}"/>
    <cellStyle name="B_BotLC_SUMM 14 2" xfId="6034" xr:uid="{00000000-0005-0000-0000-00008A230000}"/>
    <cellStyle name="B_BotLC_SUMM 14 3" xfId="26600" xr:uid="{00000000-0005-0000-0000-00008B230000}"/>
    <cellStyle name="B_BotLC_SUMM 15" xfId="6035" xr:uid="{00000000-0005-0000-0000-00008C230000}"/>
    <cellStyle name="B_BotLC_SUMM 15 2" xfId="6036" xr:uid="{00000000-0005-0000-0000-00008D230000}"/>
    <cellStyle name="B_BotLC_SUMM 15 3" xfId="26601" xr:uid="{00000000-0005-0000-0000-00008E230000}"/>
    <cellStyle name="B_BotLC_SUMM 16" xfId="6037" xr:uid="{00000000-0005-0000-0000-00008F230000}"/>
    <cellStyle name="B_BotLC_SUMM 16 2" xfId="6038" xr:uid="{00000000-0005-0000-0000-000090230000}"/>
    <cellStyle name="B_BotLC_SUMM 16 3" xfId="26602" xr:uid="{00000000-0005-0000-0000-000091230000}"/>
    <cellStyle name="B_BotLC_SUMM 17" xfId="6039" xr:uid="{00000000-0005-0000-0000-000092230000}"/>
    <cellStyle name="B_BotLC_SUMM 17 2" xfId="6040" xr:uid="{00000000-0005-0000-0000-000093230000}"/>
    <cellStyle name="B_BotLC_SUMM 17 3" xfId="26603" xr:uid="{00000000-0005-0000-0000-000094230000}"/>
    <cellStyle name="B_BotLC_SUMM 18" xfId="6041" xr:uid="{00000000-0005-0000-0000-000095230000}"/>
    <cellStyle name="B_BotLC_SUMM 18 2" xfId="6042" xr:uid="{00000000-0005-0000-0000-000096230000}"/>
    <cellStyle name="B_BotLC_SUMM 18 3" xfId="26604" xr:uid="{00000000-0005-0000-0000-000097230000}"/>
    <cellStyle name="B_BotLC_SUMM 19" xfId="6043" xr:uid="{00000000-0005-0000-0000-000098230000}"/>
    <cellStyle name="B_BotLC_SUMM 19 2" xfId="6044" xr:uid="{00000000-0005-0000-0000-000099230000}"/>
    <cellStyle name="B_BotLC_SUMM 19 3" xfId="26605" xr:uid="{00000000-0005-0000-0000-00009A230000}"/>
    <cellStyle name="B_BotLC_SUMM 2" xfId="6045" xr:uid="{00000000-0005-0000-0000-00009B230000}"/>
    <cellStyle name="B_BotLC_SUMM 2 2" xfId="6046" xr:uid="{00000000-0005-0000-0000-00009C230000}"/>
    <cellStyle name="B_BotLC_SUMM 2 3" xfId="26606" xr:uid="{00000000-0005-0000-0000-00009D230000}"/>
    <cellStyle name="B_BotLC_SUMM 20" xfId="6047" xr:uid="{00000000-0005-0000-0000-00009E230000}"/>
    <cellStyle name="B_BotLC_SUMM 20 2" xfId="6048" xr:uid="{00000000-0005-0000-0000-00009F230000}"/>
    <cellStyle name="B_BotLC_SUMM 20 3" xfId="26607" xr:uid="{00000000-0005-0000-0000-0000A0230000}"/>
    <cellStyle name="B_BotLC_SUMM 21" xfId="6049" xr:uid="{00000000-0005-0000-0000-0000A1230000}"/>
    <cellStyle name="B_BotLC_SUMM 21 2" xfId="6050" xr:uid="{00000000-0005-0000-0000-0000A2230000}"/>
    <cellStyle name="B_BotLC_SUMM 21 3" xfId="26608" xr:uid="{00000000-0005-0000-0000-0000A3230000}"/>
    <cellStyle name="B_BotLC_SUMM 22" xfId="6051" xr:uid="{00000000-0005-0000-0000-0000A4230000}"/>
    <cellStyle name="B_BotLC_SUMM 22 2" xfId="6052" xr:uid="{00000000-0005-0000-0000-0000A5230000}"/>
    <cellStyle name="B_BotLC_SUMM 22 3" xfId="26609" xr:uid="{00000000-0005-0000-0000-0000A6230000}"/>
    <cellStyle name="B_BotLC_SUMM 23" xfId="6053" xr:uid="{00000000-0005-0000-0000-0000A7230000}"/>
    <cellStyle name="B_BotLC_SUMM 23 2" xfId="6054" xr:uid="{00000000-0005-0000-0000-0000A8230000}"/>
    <cellStyle name="B_BotLC_SUMM 23 3" xfId="26610" xr:uid="{00000000-0005-0000-0000-0000A9230000}"/>
    <cellStyle name="B_BotLC_SUMM 24" xfId="6055" xr:uid="{00000000-0005-0000-0000-0000AA230000}"/>
    <cellStyle name="B_BotLC_SUMM 25" xfId="26611" xr:uid="{00000000-0005-0000-0000-0000AB230000}"/>
    <cellStyle name="B_BotLC_SUMM 3" xfId="6056" xr:uid="{00000000-0005-0000-0000-0000AC230000}"/>
    <cellStyle name="B_BotLC_SUMM 3 2" xfId="6057" xr:uid="{00000000-0005-0000-0000-0000AD230000}"/>
    <cellStyle name="B_BotLC_SUMM 3 3" xfId="26612" xr:uid="{00000000-0005-0000-0000-0000AE230000}"/>
    <cellStyle name="B_BotLC_SUMM 4" xfId="6058" xr:uid="{00000000-0005-0000-0000-0000AF230000}"/>
    <cellStyle name="B_BotLC_SUMM 4 2" xfId="6059" xr:uid="{00000000-0005-0000-0000-0000B0230000}"/>
    <cellStyle name="B_BotLC_SUMM 4 3" xfId="26613" xr:uid="{00000000-0005-0000-0000-0000B1230000}"/>
    <cellStyle name="B_BotLC_SUMM 5" xfId="6060" xr:uid="{00000000-0005-0000-0000-0000B2230000}"/>
    <cellStyle name="B_BotLC_SUMM 5 2" xfId="6061" xr:uid="{00000000-0005-0000-0000-0000B3230000}"/>
    <cellStyle name="B_BotLC_SUMM 5 3" xfId="26614" xr:uid="{00000000-0005-0000-0000-0000B4230000}"/>
    <cellStyle name="B_BotLC_SUMM 6" xfId="6062" xr:uid="{00000000-0005-0000-0000-0000B5230000}"/>
    <cellStyle name="B_BotLC_SUMM 6 2" xfId="6063" xr:uid="{00000000-0005-0000-0000-0000B6230000}"/>
    <cellStyle name="B_BotLC_SUMM 6 3" xfId="26615" xr:uid="{00000000-0005-0000-0000-0000B7230000}"/>
    <cellStyle name="B_BotLC_SUMM 7" xfId="6064" xr:uid="{00000000-0005-0000-0000-0000B8230000}"/>
    <cellStyle name="B_BotLC_SUMM 7 2" xfId="6065" xr:uid="{00000000-0005-0000-0000-0000B9230000}"/>
    <cellStyle name="B_BotLC_SUMM 7 3" xfId="26616" xr:uid="{00000000-0005-0000-0000-0000BA230000}"/>
    <cellStyle name="B_BotLC_SUMM 8" xfId="6066" xr:uid="{00000000-0005-0000-0000-0000BB230000}"/>
    <cellStyle name="B_BotLC_SUMM 8 2" xfId="6067" xr:uid="{00000000-0005-0000-0000-0000BC230000}"/>
    <cellStyle name="B_BotLC_SUMM 8 3" xfId="26617" xr:uid="{00000000-0005-0000-0000-0000BD230000}"/>
    <cellStyle name="B_BotLC_SUMM 9" xfId="6068" xr:uid="{00000000-0005-0000-0000-0000BE230000}"/>
    <cellStyle name="B_BotLC_SUMM 9 2" xfId="6069" xr:uid="{00000000-0005-0000-0000-0000BF230000}"/>
    <cellStyle name="B_BotLC_SUMM 9 3" xfId="26618" xr:uid="{00000000-0005-0000-0000-0000C0230000}"/>
    <cellStyle name="B_BotLC_SUMM_PROD_DETAILS" xfId="6070" xr:uid="{00000000-0005-0000-0000-0000C1230000}"/>
    <cellStyle name="B_BotLC_SUMM_PROD_DETAILS 2" xfId="6071" xr:uid="{00000000-0005-0000-0000-0000C2230000}"/>
    <cellStyle name="B_BotLC_SUMM_PROD_DETAILS 3" xfId="26619" xr:uid="{00000000-0005-0000-0000-0000C3230000}"/>
    <cellStyle name="B_BotLC_SUMM_SOLVENCY POSITION " xfId="6072" xr:uid="{00000000-0005-0000-0000-0000C4230000}"/>
    <cellStyle name="B_BotLC_SUMM_SOLVENCY POSITION  2" xfId="6073" xr:uid="{00000000-0005-0000-0000-0000C5230000}"/>
    <cellStyle name="B_BotLC_SUMM_SOLVENCY POSITION  3" xfId="26620" xr:uid="{00000000-0005-0000-0000-0000C6230000}"/>
    <cellStyle name="B_BotLC_Template" xfId="6074" xr:uid="{00000000-0005-0000-0000-0000C7230000}"/>
    <cellStyle name="B_BotLC_Template 10" xfId="6075" xr:uid="{00000000-0005-0000-0000-0000C8230000}"/>
    <cellStyle name="B_BotLC_Template 10 2" xfId="6076" xr:uid="{00000000-0005-0000-0000-0000C9230000}"/>
    <cellStyle name="B_BotLC_Template 10 3" xfId="26621" xr:uid="{00000000-0005-0000-0000-0000CA230000}"/>
    <cellStyle name="B_BotLC_Template 11" xfId="6077" xr:uid="{00000000-0005-0000-0000-0000CB230000}"/>
    <cellStyle name="B_BotLC_Template 11 2" xfId="6078" xr:uid="{00000000-0005-0000-0000-0000CC230000}"/>
    <cellStyle name="B_BotLC_Template 11 3" xfId="26622" xr:uid="{00000000-0005-0000-0000-0000CD230000}"/>
    <cellStyle name="B_BotLC_Template 12" xfId="6079" xr:uid="{00000000-0005-0000-0000-0000CE230000}"/>
    <cellStyle name="B_BotLC_Template 12 2" xfId="6080" xr:uid="{00000000-0005-0000-0000-0000CF230000}"/>
    <cellStyle name="B_BotLC_Template 12 3" xfId="26623" xr:uid="{00000000-0005-0000-0000-0000D0230000}"/>
    <cellStyle name="B_BotLC_Template 13" xfId="6081" xr:uid="{00000000-0005-0000-0000-0000D1230000}"/>
    <cellStyle name="B_BotLC_Template 13 2" xfId="6082" xr:uid="{00000000-0005-0000-0000-0000D2230000}"/>
    <cellStyle name="B_BotLC_Template 13 3" xfId="26624" xr:uid="{00000000-0005-0000-0000-0000D3230000}"/>
    <cellStyle name="B_BotLC_Template 14" xfId="6083" xr:uid="{00000000-0005-0000-0000-0000D4230000}"/>
    <cellStyle name="B_BotLC_Template 14 2" xfId="6084" xr:uid="{00000000-0005-0000-0000-0000D5230000}"/>
    <cellStyle name="B_BotLC_Template 14 3" xfId="26625" xr:uid="{00000000-0005-0000-0000-0000D6230000}"/>
    <cellStyle name="B_BotLC_Template 15" xfId="6085" xr:uid="{00000000-0005-0000-0000-0000D7230000}"/>
    <cellStyle name="B_BotLC_Template 15 2" xfId="6086" xr:uid="{00000000-0005-0000-0000-0000D8230000}"/>
    <cellStyle name="B_BotLC_Template 15 3" xfId="26626" xr:uid="{00000000-0005-0000-0000-0000D9230000}"/>
    <cellStyle name="B_BotLC_Template 16" xfId="6087" xr:uid="{00000000-0005-0000-0000-0000DA230000}"/>
    <cellStyle name="B_BotLC_Template 16 2" xfId="6088" xr:uid="{00000000-0005-0000-0000-0000DB230000}"/>
    <cellStyle name="B_BotLC_Template 16 3" xfId="26627" xr:uid="{00000000-0005-0000-0000-0000DC230000}"/>
    <cellStyle name="B_BotLC_Template 17" xfId="6089" xr:uid="{00000000-0005-0000-0000-0000DD230000}"/>
    <cellStyle name="B_BotLC_Template 17 2" xfId="6090" xr:uid="{00000000-0005-0000-0000-0000DE230000}"/>
    <cellStyle name="B_BotLC_Template 17 3" xfId="26628" xr:uid="{00000000-0005-0000-0000-0000DF230000}"/>
    <cellStyle name="B_BotLC_Template 18" xfId="6091" xr:uid="{00000000-0005-0000-0000-0000E0230000}"/>
    <cellStyle name="B_BotLC_Template 18 2" xfId="6092" xr:uid="{00000000-0005-0000-0000-0000E1230000}"/>
    <cellStyle name="B_BotLC_Template 18 3" xfId="26629" xr:uid="{00000000-0005-0000-0000-0000E2230000}"/>
    <cellStyle name="B_BotLC_Template 19" xfId="6093" xr:uid="{00000000-0005-0000-0000-0000E3230000}"/>
    <cellStyle name="B_BotLC_Template 19 2" xfId="6094" xr:uid="{00000000-0005-0000-0000-0000E4230000}"/>
    <cellStyle name="B_BotLC_Template 19 3" xfId="26630" xr:uid="{00000000-0005-0000-0000-0000E5230000}"/>
    <cellStyle name="B_BotLC_Template 2" xfId="6095" xr:uid="{00000000-0005-0000-0000-0000E6230000}"/>
    <cellStyle name="B_BotLC_Template 2 2" xfId="6096" xr:uid="{00000000-0005-0000-0000-0000E7230000}"/>
    <cellStyle name="B_BotLC_Template 2 3" xfId="26631" xr:uid="{00000000-0005-0000-0000-0000E8230000}"/>
    <cellStyle name="B_BotLC_Template 20" xfId="6097" xr:uid="{00000000-0005-0000-0000-0000E9230000}"/>
    <cellStyle name="B_BotLC_Template 20 2" xfId="6098" xr:uid="{00000000-0005-0000-0000-0000EA230000}"/>
    <cellStyle name="B_BotLC_Template 20 3" xfId="26632" xr:uid="{00000000-0005-0000-0000-0000EB230000}"/>
    <cellStyle name="B_BotLC_Template 21" xfId="6099" xr:uid="{00000000-0005-0000-0000-0000EC230000}"/>
    <cellStyle name="B_BotLC_Template 21 2" xfId="6100" xr:uid="{00000000-0005-0000-0000-0000ED230000}"/>
    <cellStyle name="B_BotLC_Template 21 3" xfId="26633" xr:uid="{00000000-0005-0000-0000-0000EE230000}"/>
    <cellStyle name="B_BotLC_Template 22" xfId="6101" xr:uid="{00000000-0005-0000-0000-0000EF230000}"/>
    <cellStyle name="B_BotLC_Template 22 2" xfId="6102" xr:uid="{00000000-0005-0000-0000-0000F0230000}"/>
    <cellStyle name="B_BotLC_Template 22 3" xfId="26634" xr:uid="{00000000-0005-0000-0000-0000F1230000}"/>
    <cellStyle name="B_BotLC_Template 23" xfId="6103" xr:uid="{00000000-0005-0000-0000-0000F2230000}"/>
    <cellStyle name="B_BotLC_Template 23 2" xfId="6104" xr:uid="{00000000-0005-0000-0000-0000F3230000}"/>
    <cellStyle name="B_BotLC_Template 23 3" xfId="26635" xr:uid="{00000000-0005-0000-0000-0000F4230000}"/>
    <cellStyle name="B_BotLC_Template 24" xfId="6105" xr:uid="{00000000-0005-0000-0000-0000F5230000}"/>
    <cellStyle name="B_BotLC_Template 25" xfId="26636" xr:uid="{00000000-0005-0000-0000-0000F6230000}"/>
    <cellStyle name="B_BotLC_Template 3" xfId="6106" xr:uid="{00000000-0005-0000-0000-0000F7230000}"/>
    <cellStyle name="B_BotLC_Template 3 2" xfId="6107" xr:uid="{00000000-0005-0000-0000-0000F8230000}"/>
    <cellStyle name="B_BotLC_Template 3 3" xfId="26637" xr:uid="{00000000-0005-0000-0000-0000F9230000}"/>
    <cellStyle name="B_BotLC_Template 4" xfId="6108" xr:uid="{00000000-0005-0000-0000-0000FA230000}"/>
    <cellStyle name="B_BotLC_Template 4 2" xfId="6109" xr:uid="{00000000-0005-0000-0000-0000FB230000}"/>
    <cellStyle name="B_BotLC_Template 4 3" xfId="26638" xr:uid="{00000000-0005-0000-0000-0000FC230000}"/>
    <cellStyle name="B_BotLC_Template 5" xfId="6110" xr:uid="{00000000-0005-0000-0000-0000FD230000}"/>
    <cellStyle name="B_BotLC_Template 5 2" xfId="6111" xr:uid="{00000000-0005-0000-0000-0000FE230000}"/>
    <cellStyle name="B_BotLC_Template 5 3" xfId="26639" xr:uid="{00000000-0005-0000-0000-0000FF230000}"/>
    <cellStyle name="B_BotLC_Template 6" xfId="6112" xr:uid="{00000000-0005-0000-0000-000000240000}"/>
    <cellStyle name="B_BotLC_Template 6 2" xfId="6113" xr:uid="{00000000-0005-0000-0000-000001240000}"/>
    <cellStyle name="B_BotLC_Template 6 3" xfId="26640" xr:uid="{00000000-0005-0000-0000-000002240000}"/>
    <cellStyle name="B_BotLC_Template 7" xfId="6114" xr:uid="{00000000-0005-0000-0000-000003240000}"/>
    <cellStyle name="B_BotLC_Template 7 2" xfId="6115" xr:uid="{00000000-0005-0000-0000-000004240000}"/>
    <cellStyle name="B_BotLC_Template 7 3" xfId="26641" xr:uid="{00000000-0005-0000-0000-000005240000}"/>
    <cellStyle name="B_BotLC_Template 8" xfId="6116" xr:uid="{00000000-0005-0000-0000-000006240000}"/>
    <cellStyle name="B_BotLC_Template 8 2" xfId="6117" xr:uid="{00000000-0005-0000-0000-000007240000}"/>
    <cellStyle name="B_BotLC_Template 8 3" xfId="26642" xr:uid="{00000000-0005-0000-0000-000008240000}"/>
    <cellStyle name="B_BotLC_Template 9" xfId="6118" xr:uid="{00000000-0005-0000-0000-000009240000}"/>
    <cellStyle name="B_BotLC_Template 9 2" xfId="6119" xr:uid="{00000000-0005-0000-0000-00000A240000}"/>
    <cellStyle name="B_BotLC_Template 9 3" xfId="26643" xr:uid="{00000000-0005-0000-0000-00000B240000}"/>
    <cellStyle name="B_BotLC_Template_PROD_DETAILS" xfId="6120" xr:uid="{00000000-0005-0000-0000-00000C240000}"/>
    <cellStyle name="B_BotLC_Template_PROD_DETAILS 2" xfId="6121" xr:uid="{00000000-0005-0000-0000-00000D240000}"/>
    <cellStyle name="B_BotLC_Template_PROD_DETAILS 3" xfId="26644" xr:uid="{00000000-0005-0000-0000-00000E240000}"/>
    <cellStyle name="B_BotLC_Template_SOLVENCY POSITION " xfId="6122" xr:uid="{00000000-0005-0000-0000-00000F240000}"/>
    <cellStyle name="B_BotLC_Template_SOLVENCY POSITION  2" xfId="6123" xr:uid="{00000000-0005-0000-0000-000010240000}"/>
    <cellStyle name="B_BotLC_Template_SOLVENCY POSITION  3" xfId="26645" xr:uid="{00000000-0005-0000-0000-000011240000}"/>
    <cellStyle name="B_BotRC" xfId="6124" xr:uid="{00000000-0005-0000-0000-000012240000}"/>
    <cellStyle name="B_BotRC 10" xfId="6125" xr:uid="{00000000-0005-0000-0000-000013240000}"/>
    <cellStyle name="B_BotRC 10 2" xfId="6126" xr:uid="{00000000-0005-0000-0000-000014240000}"/>
    <cellStyle name="B_BotRC 10 3" xfId="26646" xr:uid="{00000000-0005-0000-0000-000015240000}"/>
    <cellStyle name="B_BotRC 11" xfId="6127" xr:uid="{00000000-0005-0000-0000-000016240000}"/>
    <cellStyle name="B_BotRC 11 2" xfId="6128" xr:uid="{00000000-0005-0000-0000-000017240000}"/>
    <cellStyle name="B_BotRC 11 3" xfId="26647" xr:uid="{00000000-0005-0000-0000-000018240000}"/>
    <cellStyle name="B_BotRC 12" xfId="6129" xr:uid="{00000000-0005-0000-0000-000019240000}"/>
    <cellStyle name="B_BotRC 12 2" xfId="6130" xr:uid="{00000000-0005-0000-0000-00001A240000}"/>
    <cellStyle name="B_BotRC 12 3" xfId="26648" xr:uid="{00000000-0005-0000-0000-00001B240000}"/>
    <cellStyle name="B_BotRC 13" xfId="6131" xr:uid="{00000000-0005-0000-0000-00001C240000}"/>
    <cellStyle name="B_BotRC 13 2" xfId="6132" xr:uid="{00000000-0005-0000-0000-00001D240000}"/>
    <cellStyle name="B_BotRC 13 3" xfId="26649" xr:uid="{00000000-0005-0000-0000-00001E240000}"/>
    <cellStyle name="B_BotRC 14" xfId="6133" xr:uid="{00000000-0005-0000-0000-00001F240000}"/>
    <cellStyle name="B_BotRC 14 2" xfId="6134" xr:uid="{00000000-0005-0000-0000-000020240000}"/>
    <cellStyle name="B_BotRC 14 3" xfId="26650" xr:uid="{00000000-0005-0000-0000-000021240000}"/>
    <cellStyle name="B_BotRC 15" xfId="6135" xr:uid="{00000000-0005-0000-0000-000022240000}"/>
    <cellStyle name="B_BotRC 15 2" xfId="6136" xr:uid="{00000000-0005-0000-0000-000023240000}"/>
    <cellStyle name="B_BotRC 15 3" xfId="26651" xr:uid="{00000000-0005-0000-0000-000024240000}"/>
    <cellStyle name="B_BotRC 16" xfId="6137" xr:uid="{00000000-0005-0000-0000-000025240000}"/>
    <cellStyle name="B_BotRC 16 2" xfId="6138" xr:uid="{00000000-0005-0000-0000-000026240000}"/>
    <cellStyle name="B_BotRC 16 3" xfId="26652" xr:uid="{00000000-0005-0000-0000-000027240000}"/>
    <cellStyle name="B_BotRC 17" xfId="6139" xr:uid="{00000000-0005-0000-0000-000028240000}"/>
    <cellStyle name="B_BotRC 17 2" xfId="6140" xr:uid="{00000000-0005-0000-0000-000029240000}"/>
    <cellStyle name="B_BotRC 17 3" xfId="26653" xr:uid="{00000000-0005-0000-0000-00002A240000}"/>
    <cellStyle name="B_BotRC 18" xfId="6141" xr:uid="{00000000-0005-0000-0000-00002B240000}"/>
    <cellStyle name="B_BotRC 18 2" xfId="6142" xr:uid="{00000000-0005-0000-0000-00002C240000}"/>
    <cellStyle name="B_BotRC 18 3" xfId="26654" xr:uid="{00000000-0005-0000-0000-00002D240000}"/>
    <cellStyle name="B_BotRC 19" xfId="6143" xr:uid="{00000000-0005-0000-0000-00002E240000}"/>
    <cellStyle name="B_BotRC 19 2" xfId="6144" xr:uid="{00000000-0005-0000-0000-00002F240000}"/>
    <cellStyle name="B_BotRC 19 3" xfId="26655" xr:uid="{00000000-0005-0000-0000-000030240000}"/>
    <cellStyle name="B_BotRC 2" xfId="6145" xr:uid="{00000000-0005-0000-0000-000031240000}"/>
    <cellStyle name="B_BotRC 2 2" xfId="6146" xr:uid="{00000000-0005-0000-0000-000032240000}"/>
    <cellStyle name="B_BotRC 2 3" xfId="26656" xr:uid="{00000000-0005-0000-0000-000033240000}"/>
    <cellStyle name="B_BotRC 20" xfId="6147" xr:uid="{00000000-0005-0000-0000-000034240000}"/>
    <cellStyle name="B_BotRC 20 2" xfId="6148" xr:uid="{00000000-0005-0000-0000-000035240000}"/>
    <cellStyle name="B_BotRC 20 3" xfId="26657" xr:uid="{00000000-0005-0000-0000-000036240000}"/>
    <cellStyle name="B_BotRC 21" xfId="6149" xr:uid="{00000000-0005-0000-0000-000037240000}"/>
    <cellStyle name="B_BotRC 21 2" xfId="6150" xr:uid="{00000000-0005-0000-0000-000038240000}"/>
    <cellStyle name="B_BotRC 21 3" xfId="26658" xr:uid="{00000000-0005-0000-0000-000039240000}"/>
    <cellStyle name="B_BotRC 22" xfId="6151" xr:uid="{00000000-0005-0000-0000-00003A240000}"/>
    <cellStyle name="B_BotRC 22 2" xfId="6152" xr:uid="{00000000-0005-0000-0000-00003B240000}"/>
    <cellStyle name="B_BotRC 22 3" xfId="26659" xr:uid="{00000000-0005-0000-0000-00003C240000}"/>
    <cellStyle name="B_BotRC 23" xfId="6153" xr:uid="{00000000-0005-0000-0000-00003D240000}"/>
    <cellStyle name="B_BotRC 23 2" xfId="6154" xr:uid="{00000000-0005-0000-0000-00003E240000}"/>
    <cellStyle name="B_BotRC 23 3" xfId="26660" xr:uid="{00000000-0005-0000-0000-00003F240000}"/>
    <cellStyle name="B_BotRC 24" xfId="6155" xr:uid="{00000000-0005-0000-0000-000040240000}"/>
    <cellStyle name="B_BotRC 25" xfId="26661" xr:uid="{00000000-0005-0000-0000-000041240000}"/>
    <cellStyle name="B_BotRC 3" xfId="6156" xr:uid="{00000000-0005-0000-0000-000042240000}"/>
    <cellStyle name="B_BotRC 3 2" xfId="6157" xr:uid="{00000000-0005-0000-0000-000043240000}"/>
    <cellStyle name="B_BotRC 3 3" xfId="26662" xr:uid="{00000000-0005-0000-0000-000044240000}"/>
    <cellStyle name="B_BotRC 4" xfId="6158" xr:uid="{00000000-0005-0000-0000-000045240000}"/>
    <cellStyle name="B_BotRC 4 2" xfId="6159" xr:uid="{00000000-0005-0000-0000-000046240000}"/>
    <cellStyle name="B_BotRC 4 3" xfId="26663" xr:uid="{00000000-0005-0000-0000-000047240000}"/>
    <cellStyle name="B_BotRC 5" xfId="6160" xr:uid="{00000000-0005-0000-0000-000048240000}"/>
    <cellStyle name="B_BotRC 5 2" xfId="6161" xr:uid="{00000000-0005-0000-0000-000049240000}"/>
    <cellStyle name="B_BotRC 5 3" xfId="26664" xr:uid="{00000000-0005-0000-0000-00004A240000}"/>
    <cellStyle name="B_BotRC 6" xfId="6162" xr:uid="{00000000-0005-0000-0000-00004B240000}"/>
    <cellStyle name="B_BotRC 6 2" xfId="6163" xr:uid="{00000000-0005-0000-0000-00004C240000}"/>
    <cellStyle name="B_BotRC 6 3" xfId="26665" xr:uid="{00000000-0005-0000-0000-00004D240000}"/>
    <cellStyle name="B_BotRC 7" xfId="6164" xr:uid="{00000000-0005-0000-0000-00004E240000}"/>
    <cellStyle name="B_BotRC 7 2" xfId="6165" xr:uid="{00000000-0005-0000-0000-00004F240000}"/>
    <cellStyle name="B_BotRC 7 3" xfId="26666" xr:uid="{00000000-0005-0000-0000-000050240000}"/>
    <cellStyle name="B_BotRC 8" xfId="6166" xr:uid="{00000000-0005-0000-0000-000051240000}"/>
    <cellStyle name="B_BotRC 8 2" xfId="6167" xr:uid="{00000000-0005-0000-0000-000052240000}"/>
    <cellStyle name="B_BotRC 8 3" xfId="26667" xr:uid="{00000000-0005-0000-0000-000053240000}"/>
    <cellStyle name="B_BotRC 9" xfId="6168" xr:uid="{00000000-0005-0000-0000-000054240000}"/>
    <cellStyle name="B_BotRC 9 2" xfId="6169" xr:uid="{00000000-0005-0000-0000-000055240000}"/>
    <cellStyle name="B_BotRC 9 3" xfId="26668" xr:uid="{00000000-0005-0000-0000-000056240000}"/>
    <cellStyle name="B_BotRC_ASSUMP" xfId="6170" xr:uid="{00000000-0005-0000-0000-000057240000}"/>
    <cellStyle name="B_BotRC_ASSUMP 10" xfId="6171" xr:uid="{00000000-0005-0000-0000-000058240000}"/>
    <cellStyle name="B_BotRC_ASSUMP 10 2" xfId="6172" xr:uid="{00000000-0005-0000-0000-000059240000}"/>
    <cellStyle name="B_BotRC_ASSUMP 10 3" xfId="26669" xr:uid="{00000000-0005-0000-0000-00005A240000}"/>
    <cellStyle name="B_BotRC_ASSUMP 11" xfId="6173" xr:uid="{00000000-0005-0000-0000-00005B240000}"/>
    <cellStyle name="B_BotRC_ASSUMP 11 2" xfId="6174" xr:uid="{00000000-0005-0000-0000-00005C240000}"/>
    <cellStyle name="B_BotRC_ASSUMP 11 3" xfId="26670" xr:uid="{00000000-0005-0000-0000-00005D240000}"/>
    <cellStyle name="B_BotRC_ASSUMP 12" xfId="6175" xr:uid="{00000000-0005-0000-0000-00005E240000}"/>
    <cellStyle name="B_BotRC_ASSUMP 12 2" xfId="6176" xr:uid="{00000000-0005-0000-0000-00005F240000}"/>
    <cellStyle name="B_BotRC_ASSUMP 12 3" xfId="26671" xr:uid="{00000000-0005-0000-0000-000060240000}"/>
    <cellStyle name="B_BotRC_ASSUMP 13" xfId="6177" xr:uid="{00000000-0005-0000-0000-000061240000}"/>
    <cellStyle name="B_BotRC_ASSUMP 13 2" xfId="6178" xr:uid="{00000000-0005-0000-0000-000062240000}"/>
    <cellStyle name="B_BotRC_ASSUMP 13 3" xfId="26672" xr:uid="{00000000-0005-0000-0000-000063240000}"/>
    <cellStyle name="B_BotRC_ASSUMP 14" xfId="6179" xr:uid="{00000000-0005-0000-0000-000064240000}"/>
    <cellStyle name="B_BotRC_ASSUMP 14 2" xfId="6180" xr:uid="{00000000-0005-0000-0000-000065240000}"/>
    <cellStyle name="B_BotRC_ASSUMP 14 3" xfId="26673" xr:uid="{00000000-0005-0000-0000-000066240000}"/>
    <cellStyle name="B_BotRC_ASSUMP 15" xfId="6181" xr:uid="{00000000-0005-0000-0000-000067240000}"/>
    <cellStyle name="B_BotRC_ASSUMP 15 2" xfId="6182" xr:uid="{00000000-0005-0000-0000-000068240000}"/>
    <cellStyle name="B_BotRC_ASSUMP 15 3" xfId="26674" xr:uid="{00000000-0005-0000-0000-000069240000}"/>
    <cellStyle name="B_BotRC_ASSUMP 16" xfId="6183" xr:uid="{00000000-0005-0000-0000-00006A240000}"/>
    <cellStyle name="B_BotRC_ASSUMP 16 2" xfId="6184" xr:uid="{00000000-0005-0000-0000-00006B240000}"/>
    <cellStyle name="B_BotRC_ASSUMP 16 3" xfId="26675" xr:uid="{00000000-0005-0000-0000-00006C240000}"/>
    <cellStyle name="B_BotRC_ASSUMP 17" xfId="6185" xr:uid="{00000000-0005-0000-0000-00006D240000}"/>
    <cellStyle name="B_BotRC_ASSUMP 17 2" xfId="6186" xr:uid="{00000000-0005-0000-0000-00006E240000}"/>
    <cellStyle name="B_BotRC_ASSUMP 17 3" xfId="26676" xr:uid="{00000000-0005-0000-0000-00006F240000}"/>
    <cellStyle name="B_BotRC_ASSUMP 18" xfId="6187" xr:uid="{00000000-0005-0000-0000-000070240000}"/>
    <cellStyle name="B_BotRC_ASSUMP 18 2" xfId="6188" xr:uid="{00000000-0005-0000-0000-000071240000}"/>
    <cellStyle name="B_BotRC_ASSUMP 18 3" xfId="26677" xr:uid="{00000000-0005-0000-0000-000072240000}"/>
    <cellStyle name="B_BotRC_ASSUMP 19" xfId="6189" xr:uid="{00000000-0005-0000-0000-000073240000}"/>
    <cellStyle name="B_BotRC_ASSUMP 19 2" xfId="6190" xr:uid="{00000000-0005-0000-0000-000074240000}"/>
    <cellStyle name="B_BotRC_ASSUMP 19 3" xfId="26678" xr:uid="{00000000-0005-0000-0000-000075240000}"/>
    <cellStyle name="B_BotRC_ASSUMP 2" xfId="6191" xr:uid="{00000000-0005-0000-0000-000076240000}"/>
    <cellStyle name="B_BotRC_ASSUMP 2 2" xfId="6192" xr:uid="{00000000-0005-0000-0000-000077240000}"/>
    <cellStyle name="B_BotRC_ASSUMP 2 3" xfId="26679" xr:uid="{00000000-0005-0000-0000-000078240000}"/>
    <cellStyle name="B_BotRC_ASSUMP 20" xfId="6193" xr:uid="{00000000-0005-0000-0000-000079240000}"/>
    <cellStyle name="B_BotRC_ASSUMP 20 2" xfId="6194" xr:uid="{00000000-0005-0000-0000-00007A240000}"/>
    <cellStyle name="B_BotRC_ASSUMP 20 3" xfId="26680" xr:uid="{00000000-0005-0000-0000-00007B240000}"/>
    <cellStyle name="B_BotRC_ASSUMP 21" xfId="6195" xr:uid="{00000000-0005-0000-0000-00007C240000}"/>
    <cellStyle name="B_BotRC_ASSUMP 21 2" xfId="6196" xr:uid="{00000000-0005-0000-0000-00007D240000}"/>
    <cellStyle name="B_BotRC_ASSUMP 21 3" xfId="26681" xr:uid="{00000000-0005-0000-0000-00007E240000}"/>
    <cellStyle name="B_BotRC_ASSUMP 22" xfId="6197" xr:uid="{00000000-0005-0000-0000-00007F240000}"/>
    <cellStyle name="B_BotRC_ASSUMP 22 2" xfId="6198" xr:uid="{00000000-0005-0000-0000-000080240000}"/>
    <cellStyle name="B_BotRC_ASSUMP 22 3" xfId="26682" xr:uid="{00000000-0005-0000-0000-000081240000}"/>
    <cellStyle name="B_BotRC_ASSUMP 23" xfId="6199" xr:uid="{00000000-0005-0000-0000-000082240000}"/>
    <cellStyle name="B_BotRC_ASSUMP 23 2" xfId="6200" xr:uid="{00000000-0005-0000-0000-000083240000}"/>
    <cellStyle name="B_BotRC_ASSUMP 23 3" xfId="26683" xr:uid="{00000000-0005-0000-0000-000084240000}"/>
    <cellStyle name="B_BotRC_ASSUMP 24" xfId="6201" xr:uid="{00000000-0005-0000-0000-000085240000}"/>
    <cellStyle name="B_BotRC_ASSUMP 25" xfId="26684" xr:uid="{00000000-0005-0000-0000-000086240000}"/>
    <cellStyle name="B_BotRC_ASSUMP 3" xfId="6202" xr:uid="{00000000-0005-0000-0000-000087240000}"/>
    <cellStyle name="B_BotRC_ASSUMP 3 2" xfId="6203" xr:uid="{00000000-0005-0000-0000-000088240000}"/>
    <cellStyle name="B_BotRC_ASSUMP 3 3" xfId="26685" xr:uid="{00000000-0005-0000-0000-000089240000}"/>
    <cellStyle name="B_BotRC_ASSUMP 4" xfId="6204" xr:uid="{00000000-0005-0000-0000-00008A240000}"/>
    <cellStyle name="B_BotRC_ASSUMP 4 2" xfId="6205" xr:uid="{00000000-0005-0000-0000-00008B240000}"/>
    <cellStyle name="B_BotRC_ASSUMP 4 3" xfId="26686" xr:uid="{00000000-0005-0000-0000-00008C240000}"/>
    <cellStyle name="B_BotRC_ASSUMP 5" xfId="6206" xr:uid="{00000000-0005-0000-0000-00008D240000}"/>
    <cellStyle name="B_BotRC_ASSUMP 5 2" xfId="6207" xr:uid="{00000000-0005-0000-0000-00008E240000}"/>
    <cellStyle name="B_BotRC_ASSUMP 5 3" xfId="26687" xr:uid="{00000000-0005-0000-0000-00008F240000}"/>
    <cellStyle name="B_BotRC_ASSUMP 6" xfId="6208" xr:uid="{00000000-0005-0000-0000-000090240000}"/>
    <cellStyle name="B_BotRC_ASSUMP 6 2" xfId="6209" xr:uid="{00000000-0005-0000-0000-000091240000}"/>
    <cellStyle name="B_BotRC_ASSUMP 6 3" xfId="26688" xr:uid="{00000000-0005-0000-0000-000092240000}"/>
    <cellStyle name="B_BotRC_ASSUMP 7" xfId="6210" xr:uid="{00000000-0005-0000-0000-000093240000}"/>
    <cellStyle name="B_BotRC_ASSUMP 7 2" xfId="6211" xr:uid="{00000000-0005-0000-0000-000094240000}"/>
    <cellStyle name="B_BotRC_ASSUMP 7 3" xfId="26689" xr:uid="{00000000-0005-0000-0000-000095240000}"/>
    <cellStyle name="B_BotRC_ASSUMP 8" xfId="6212" xr:uid="{00000000-0005-0000-0000-000096240000}"/>
    <cellStyle name="B_BotRC_ASSUMP 8 2" xfId="6213" xr:uid="{00000000-0005-0000-0000-000097240000}"/>
    <cellStyle name="B_BotRC_ASSUMP 8 3" xfId="26690" xr:uid="{00000000-0005-0000-0000-000098240000}"/>
    <cellStyle name="B_BotRC_ASSUMP 9" xfId="6214" xr:uid="{00000000-0005-0000-0000-000099240000}"/>
    <cellStyle name="B_BotRC_ASSUMP 9 2" xfId="6215" xr:uid="{00000000-0005-0000-0000-00009A240000}"/>
    <cellStyle name="B_BotRC_ASSUMP 9 3" xfId="26691" xr:uid="{00000000-0005-0000-0000-00009B240000}"/>
    <cellStyle name="B_BotRC_ASSUMP_PROD_DETAILS" xfId="6216" xr:uid="{00000000-0005-0000-0000-00009C240000}"/>
    <cellStyle name="B_BotRC_ASSUMP_PROD_DETAILS 2" xfId="6217" xr:uid="{00000000-0005-0000-0000-00009D240000}"/>
    <cellStyle name="B_BotRC_ASSUMP_PROD_DETAILS 3" xfId="26692" xr:uid="{00000000-0005-0000-0000-00009E240000}"/>
    <cellStyle name="B_BotRC_ASSUMP_SOLVENCY POSITION " xfId="6218" xr:uid="{00000000-0005-0000-0000-00009F240000}"/>
    <cellStyle name="B_BotRC_ASSUMP_SOLVENCY POSITION  2" xfId="6219" xr:uid="{00000000-0005-0000-0000-0000A0240000}"/>
    <cellStyle name="B_BotRC_ASSUMP_SOLVENCY POSITION  3" xfId="26693" xr:uid="{00000000-0005-0000-0000-0000A1240000}"/>
    <cellStyle name="B_BotRC_Checks" xfId="6220" xr:uid="{00000000-0005-0000-0000-0000A2240000}"/>
    <cellStyle name="B_BotRC_Checks 10" xfId="6221" xr:uid="{00000000-0005-0000-0000-0000A3240000}"/>
    <cellStyle name="B_BotRC_Checks 10 2" xfId="6222" xr:uid="{00000000-0005-0000-0000-0000A4240000}"/>
    <cellStyle name="B_BotRC_Checks 10 3" xfId="26694" xr:uid="{00000000-0005-0000-0000-0000A5240000}"/>
    <cellStyle name="B_BotRC_Checks 11" xfId="6223" xr:uid="{00000000-0005-0000-0000-0000A6240000}"/>
    <cellStyle name="B_BotRC_Checks 11 2" xfId="6224" xr:uid="{00000000-0005-0000-0000-0000A7240000}"/>
    <cellStyle name="B_BotRC_Checks 11 3" xfId="26695" xr:uid="{00000000-0005-0000-0000-0000A8240000}"/>
    <cellStyle name="B_BotRC_Checks 12" xfId="6225" xr:uid="{00000000-0005-0000-0000-0000A9240000}"/>
    <cellStyle name="B_BotRC_Checks 12 2" xfId="6226" xr:uid="{00000000-0005-0000-0000-0000AA240000}"/>
    <cellStyle name="B_BotRC_Checks 12 3" xfId="26696" xr:uid="{00000000-0005-0000-0000-0000AB240000}"/>
    <cellStyle name="B_BotRC_Checks 13" xfId="6227" xr:uid="{00000000-0005-0000-0000-0000AC240000}"/>
    <cellStyle name="B_BotRC_Checks 13 2" xfId="6228" xr:uid="{00000000-0005-0000-0000-0000AD240000}"/>
    <cellStyle name="B_BotRC_Checks 13 3" xfId="26697" xr:uid="{00000000-0005-0000-0000-0000AE240000}"/>
    <cellStyle name="B_BotRC_Checks 14" xfId="6229" xr:uid="{00000000-0005-0000-0000-0000AF240000}"/>
    <cellStyle name="B_BotRC_Checks 14 2" xfId="6230" xr:uid="{00000000-0005-0000-0000-0000B0240000}"/>
    <cellStyle name="B_BotRC_Checks 14 3" xfId="26698" xr:uid="{00000000-0005-0000-0000-0000B1240000}"/>
    <cellStyle name="B_BotRC_Checks 15" xfId="6231" xr:uid="{00000000-0005-0000-0000-0000B2240000}"/>
    <cellStyle name="B_BotRC_Checks 15 2" xfId="6232" xr:uid="{00000000-0005-0000-0000-0000B3240000}"/>
    <cellStyle name="B_BotRC_Checks 15 3" xfId="26699" xr:uid="{00000000-0005-0000-0000-0000B4240000}"/>
    <cellStyle name="B_BotRC_Checks 16" xfId="6233" xr:uid="{00000000-0005-0000-0000-0000B5240000}"/>
    <cellStyle name="B_BotRC_Checks 16 2" xfId="6234" xr:uid="{00000000-0005-0000-0000-0000B6240000}"/>
    <cellStyle name="B_BotRC_Checks 16 3" xfId="26700" xr:uid="{00000000-0005-0000-0000-0000B7240000}"/>
    <cellStyle name="B_BotRC_Checks 17" xfId="6235" xr:uid="{00000000-0005-0000-0000-0000B8240000}"/>
    <cellStyle name="B_BotRC_Checks 17 2" xfId="6236" xr:uid="{00000000-0005-0000-0000-0000B9240000}"/>
    <cellStyle name="B_BotRC_Checks 17 3" xfId="26701" xr:uid="{00000000-0005-0000-0000-0000BA240000}"/>
    <cellStyle name="B_BotRC_Checks 18" xfId="6237" xr:uid="{00000000-0005-0000-0000-0000BB240000}"/>
    <cellStyle name="B_BotRC_Checks 18 2" xfId="6238" xr:uid="{00000000-0005-0000-0000-0000BC240000}"/>
    <cellStyle name="B_BotRC_Checks 18 3" xfId="26702" xr:uid="{00000000-0005-0000-0000-0000BD240000}"/>
    <cellStyle name="B_BotRC_Checks 19" xfId="6239" xr:uid="{00000000-0005-0000-0000-0000BE240000}"/>
    <cellStyle name="B_BotRC_Checks 19 2" xfId="6240" xr:uid="{00000000-0005-0000-0000-0000BF240000}"/>
    <cellStyle name="B_BotRC_Checks 19 3" xfId="26703" xr:uid="{00000000-0005-0000-0000-0000C0240000}"/>
    <cellStyle name="B_BotRC_Checks 2" xfId="6241" xr:uid="{00000000-0005-0000-0000-0000C1240000}"/>
    <cellStyle name="B_BotRC_Checks 2 2" xfId="6242" xr:uid="{00000000-0005-0000-0000-0000C2240000}"/>
    <cellStyle name="B_BotRC_Checks 2 3" xfId="26704" xr:uid="{00000000-0005-0000-0000-0000C3240000}"/>
    <cellStyle name="B_BotRC_Checks 20" xfId="6243" xr:uid="{00000000-0005-0000-0000-0000C4240000}"/>
    <cellStyle name="B_BotRC_Checks 20 2" xfId="6244" xr:uid="{00000000-0005-0000-0000-0000C5240000}"/>
    <cellStyle name="B_BotRC_Checks 20 3" xfId="26705" xr:uid="{00000000-0005-0000-0000-0000C6240000}"/>
    <cellStyle name="B_BotRC_Checks 21" xfId="6245" xr:uid="{00000000-0005-0000-0000-0000C7240000}"/>
    <cellStyle name="B_BotRC_Checks 21 2" xfId="6246" xr:uid="{00000000-0005-0000-0000-0000C8240000}"/>
    <cellStyle name="B_BotRC_Checks 21 3" xfId="26706" xr:uid="{00000000-0005-0000-0000-0000C9240000}"/>
    <cellStyle name="B_BotRC_Checks 22" xfId="6247" xr:uid="{00000000-0005-0000-0000-0000CA240000}"/>
    <cellStyle name="B_BotRC_Checks 22 2" xfId="6248" xr:uid="{00000000-0005-0000-0000-0000CB240000}"/>
    <cellStyle name="B_BotRC_Checks 22 3" xfId="26707" xr:uid="{00000000-0005-0000-0000-0000CC240000}"/>
    <cellStyle name="B_BotRC_Checks 23" xfId="6249" xr:uid="{00000000-0005-0000-0000-0000CD240000}"/>
    <cellStyle name="B_BotRC_Checks 23 2" xfId="6250" xr:uid="{00000000-0005-0000-0000-0000CE240000}"/>
    <cellStyle name="B_BotRC_Checks 23 3" xfId="26708" xr:uid="{00000000-0005-0000-0000-0000CF240000}"/>
    <cellStyle name="B_BotRC_Checks 24" xfId="6251" xr:uid="{00000000-0005-0000-0000-0000D0240000}"/>
    <cellStyle name="B_BotRC_Checks 25" xfId="26709" xr:uid="{00000000-0005-0000-0000-0000D1240000}"/>
    <cellStyle name="B_BotRC_Checks 3" xfId="6252" xr:uid="{00000000-0005-0000-0000-0000D2240000}"/>
    <cellStyle name="B_BotRC_Checks 3 2" xfId="6253" xr:uid="{00000000-0005-0000-0000-0000D3240000}"/>
    <cellStyle name="B_BotRC_Checks 3 3" xfId="26710" xr:uid="{00000000-0005-0000-0000-0000D4240000}"/>
    <cellStyle name="B_BotRC_Checks 4" xfId="6254" xr:uid="{00000000-0005-0000-0000-0000D5240000}"/>
    <cellStyle name="B_BotRC_Checks 4 2" xfId="6255" xr:uid="{00000000-0005-0000-0000-0000D6240000}"/>
    <cellStyle name="B_BotRC_Checks 4 3" xfId="26711" xr:uid="{00000000-0005-0000-0000-0000D7240000}"/>
    <cellStyle name="B_BotRC_Checks 5" xfId="6256" xr:uid="{00000000-0005-0000-0000-0000D8240000}"/>
    <cellStyle name="B_BotRC_Checks 5 2" xfId="6257" xr:uid="{00000000-0005-0000-0000-0000D9240000}"/>
    <cellStyle name="B_BotRC_Checks 5 3" xfId="26712" xr:uid="{00000000-0005-0000-0000-0000DA240000}"/>
    <cellStyle name="B_BotRC_Checks 6" xfId="6258" xr:uid="{00000000-0005-0000-0000-0000DB240000}"/>
    <cellStyle name="B_BotRC_Checks 6 2" xfId="6259" xr:uid="{00000000-0005-0000-0000-0000DC240000}"/>
    <cellStyle name="B_BotRC_Checks 6 3" xfId="26713" xr:uid="{00000000-0005-0000-0000-0000DD240000}"/>
    <cellStyle name="B_BotRC_Checks 7" xfId="6260" xr:uid="{00000000-0005-0000-0000-0000DE240000}"/>
    <cellStyle name="B_BotRC_Checks 7 2" xfId="6261" xr:uid="{00000000-0005-0000-0000-0000DF240000}"/>
    <cellStyle name="B_BotRC_Checks 7 3" xfId="26714" xr:uid="{00000000-0005-0000-0000-0000E0240000}"/>
    <cellStyle name="B_BotRC_Checks 8" xfId="6262" xr:uid="{00000000-0005-0000-0000-0000E1240000}"/>
    <cellStyle name="B_BotRC_Checks 8 2" xfId="6263" xr:uid="{00000000-0005-0000-0000-0000E2240000}"/>
    <cellStyle name="B_BotRC_Checks 8 3" xfId="26715" xr:uid="{00000000-0005-0000-0000-0000E3240000}"/>
    <cellStyle name="B_BotRC_Checks 9" xfId="6264" xr:uid="{00000000-0005-0000-0000-0000E4240000}"/>
    <cellStyle name="B_BotRC_Checks 9 2" xfId="6265" xr:uid="{00000000-0005-0000-0000-0000E5240000}"/>
    <cellStyle name="B_BotRC_Checks 9 3" xfId="26716" xr:uid="{00000000-0005-0000-0000-0000E6240000}"/>
    <cellStyle name="B_BotRC_Checks_PROD_DETAILS" xfId="6266" xr:uid="{00000000-0005-0000-0000-0000E7240000}"/>
    <cellStyle name="B_BotRC_Checks_PROD_DETAILS 2" xfId="6267" xr:uid="{00000000-0005-0000-0000-0000E8240000}"/>
    <cellStyle name="B_BotRC_Checks_PROD_DETAILS 3" xfId="26717" xr:uid="{00000000-0005-0000-0000-0000E9240000}"/>
    <cellStyle name="B_BotRC_Checks_SOLVENCY POSITION " xfId="6268" xr:uid="{00000000-0005-0000-0000-0000EA240000}"/>
    <cellStyle name="B_BotRC_Checks_SOLVENCY POSITION  2" xfId="6269" xr:uid="{00000000-0005-0000-0000-0000EB240000}"/>
    <cellStyle name="B_BotRC_Checks_SOLVENCY POSITION  3" xfId="26718" xr:uid="{00000000-0005-0000-0000-0000EC240000}"/>
    <cellStyle name="B_BotRC_Group Life" xfId="6270" xr:uid="{00000000-0005-0000-0000-0000ED240000}"/>
    <cellStyle name="B_BotRC_Group Life 10" xfId="6271" xr:uid="{00000000-0005-0000-0000-0000EE240000}"/>
    <cellStyle name="B_BotRC_Group Life 10 2" xfId="6272" xr:uid="{00000000-0005-0000-0000-0000EF240000}"/>
    <cellStyle name="B_BotRC_Group Life 10 3" xfId="26719" xr:uid="{00000000-0005-0000-0000-0000F0240000}"/>
    <cellStyle name="B_BotRC_Group Life 11" xfId="6273" xr:uid="{00000000-0005-0000-0000-0000F1240000}"/>
    <cellStyle name="B_BotRC_Group Life 11 2" xfId="6274" xr:uid="{00000000-0005-0000-0000-0000F2240000}"/>
    <cellStyle name="B_BotRC_Group Life 11 3" xfId="26720" xr:uid="{00000000-0005-0000-0000-0000F3240000}"/>
    <cellStyle name="B_BotRC_Group Life 12" xfId="6275" xr:uid="{00000000-0005-0000-0000-0000F4240000}"/>
    <cellStyle name="B_BotRC_Group Life 12 2" xfId="6276" xr:uid="{00000000-0005-0000-0000-0000F5240000}"/>
    <cellStyle name="B_BotRC_Group Life 12 3" xfId="26721" xr:uid="{00000000-0005-0000-0000-0000F6240000}"/>
    <cellStyle name="B_BotRC_Group Life 13" xfId="6277" xr:uid="{00000000-0005-0000-0000-0000F7240000}"/>
    <cellStyle name="B_BotRC_Group Life 13 2" xfId="6278" xr:uid="{00000000-0005-0000-0000-0000F8240000}"/>
    <cellStyle name="B_BotRC_Group Life 13 3" xfId="26722" xr:uid="{00000000-0005-0000-0000-0000F9240000}"/>
    <cellStyle name="B_BotRC_Group Life 14" xfId="6279" xr:uid="{00000000-0005-0000-0000-0000FA240000}"/>
    <cellStyle name="B_BotRC_Group Life 14 2" xfId="6280" xr:uid="{00000000-0005-0000-0000-0000FB240000}"/>
    <cellStyle name="B_BotRC_Group Life 14 3" xfId="26723" xr:uid="{00000000-0005-0000-0000-0000FC240000}"/>
    <cellStyle name="B_BotRC_Group Life 15" xfId="6281" xr:uid="{00000000-0005-0000-0000-0000FD240000}"/>
    <cellStyle name="B_BotRC_Group Life 15 2" xfId="6282" xr:uid="{00000000-0005-0000-0000-0000FE240000}"/>
    <cellStyle name="B_BotRC_Group Life 15 3" xfId="26724" xr:uid="{00000000-0005-0000-0000-0000FF240000}"/>
    <cellStyle name="B_BotRC_Group Life 16" xfId="6283" xr:uid="{00000000-0005-0000-0000-000000250000}"/>
    <cellStyle name="B_BotRC_Group Life 16 2" xfId="6284" xr:uid="{00000000-0005-0000-0000-000001250000}"/>
    <cellStyle name="B_BotRC_Group Life 16 3" xfId="26725" xr:uid="{00000000-0005-0000-0000-000002250000}"/>
    <cellStyle name="B_BotRC_Group Life 17" xfId="6285" xr:uid="{00000000-0005-0000-0000-000003250000}"/>
    <cellStyle name="B_BotRC_Group Life 17 2" xfId="6286" xr:uid="{00000000-0005-0000-0000-000004250000}"/>
    <cellStyle name="B_BotRC_Group Life 17 3" xfId="26726" xr:uid="{00000000-0005-0000-0000-000005250000}"/>
    <cellStyle name="B_BotRC_Group Life 18" xfId="6287" xr:uid="{00000000-0005-0000-0000-000006250000}"/>
    <cellStyle name="B_BotRC_Group Life 18 2" xfId="6288" xr:uid="{00000000-0005-0000-0000-000007250000}"/>
    <cellStyle name="B_BotRC_Group Life 18 3" xfId="26727" xr:uid="{00000000-0005-0000-0000-000008250000}"/>
    <cellStyle name="B_BotRC_Group Life 19" xfId="6289" xr:uid="{00000000-0005-0000-0000-000009250000}"/>
    <cellStyle name="B_BotRC_Group Life 19 2" xfId="6290" xr:uid="{00000000-0005-0000-0000-00000A250000}"/>
    <cellStyle name="B_BotRC_Group Life 19 3" xfId="26728" xr:uid="{00000000-0005-0000-0000-00000B250000}"/>
    <cellStyle name="B_BotRC_Group Life 2" xfId="6291" xr:uid="{00000000-0005-0000-0000-00000C250000}"/>
    <cellStyle name="B_BotRC_Group Life 2 2" xfId="6292" xr:uid="{00000000-0005-0000-0000-00000D250000}"/>
    <cellStyle name="B_BotRC_Group Life 2 3" xfId="26729" xr:uid="{00000000-0005-0000-0000-00000E250000}"/>
    <cellStyle name="B_BotRC_Group Life 20" xfId="6293" xr:uid="{00000000-0005-0000-0000-00000F250000}"/>
    <cellStyle name="B_BotRC_Group Life 20 2" xfId="6294" xr:uid="{00000000-0005-0000-0000-000010250000}"/>
    <cellStyle name="B_BotRC_Group Life 20 3" xfId="26730" xr:uid="{00000000-0005-0000-0000-000011250000}"/>
    <cellStyle name="B_BotRC_Group Life 21" xfId="6295" xr:uid="{00000000-0005-0000-0000-000012250000}"/>
    <cellStyle name="B_BotRC_Group Life 21 2" xfId="6296" xr:uid="{00000000-0005-0000-0000-000013250000}"/>
    <cellStyle name="B_BotRC_Group Life 21 3" xfId="26731" xr:uid="{00000000-0005-0000-0000-000014250000}"/>
    <cellStyle name="B_BotRC_Group Life 22" xfId="6297" xr:uid="{00000000-0005-0000-0000-000015250000}"/>
    <cellStyle name="B_BotRC_Group Life 22 2" xfId="6298" xr:uid="{00000000-0005-0000-0000-000016250000}"/>
    <cellStyle name="B_BotRC_Group Life 22 3" xfId="26732" xr:uid="{00000000-0005-0000-0000-000017250000}"/>
    <cellStyle name="B_BotRC_Group Life 23" xfId="6299" xr:uid="{00000000-0005-0000-0000-000018250000}"/>
    <cellStyle name="B_BotRC_Group Life 23 2" xfId="6300" xr:uid="{00000000-0005-0000-0000-000019250000}"/>
    <cellStyle name="B_BotRC_Group Life 23 3" xfId="26733" xr:uid="{00000000-0005-0000-0000-00001A250000}"/>
    <cellStyle name="B_BotRC_Group Life 24" xfId="6301" xr:uid="{00000000-0005-0000-0000-00001B250000}"/>
    <cellStyle name="B_BotRC_Group Life 25" xfId="26734" xr:uid="{00000000-0005-0000-0000-00001C250000}"/>
    <cellStyle name="B_BotRC_Group Life 3" xfId="6302" xr:uid="{00000000-0005-0000-0000-00001D250000}"/>
    <cellStyle name="B_BotRC_Group Life 3 2" xfId="6303" xr:uid="{00000000-0005-0000-0000-00001E250000}"/>
    <cellStyle name="B_BotRC_Group Life 3 3" xfId="26735" xr:uid="{00000000-0005-0000-0000-00001F250000}"/>
    <cellStyle name="B_BotRC_Group Life 4" xfId="6304" xr:uid="{00000000-0005-0000-0000-000020250000}"/>
    <cellStyle name="B_BotRC_Group Life 4 2" xfId="6305" xr:uid="{00000000-0005-0000-0000-000021250000}"/>
    <cellStyle name="B_BotRC_Group Life 4 3" xfId="26736" xr:uid="{00000000-0005-0000-0000-000022250000}"/>
    <cellStyle name="B_BotRC_Group Life 5" xfId="6306" xr:uid="{00000000-0005-0000-0000-000023250000}"/>
    <cellStyle name="B_BotRC_Group Life 5 2" xfId="6307" xr:uid="{00000000-0005-0000-0000-000024250000}"/>
    <cellStyle name="B_BotRC_Group Life 5 3" xfId="26737" xr:uid="{00000000-0005-0000-0000-000025250000}"/>
    <cellStyle name="B_BotRC_Group Life 6" xfId="6308" xr:uid="{00000000-0005-0000-0000-000026250000}"/>
    <cellStyle name="B_BotRC_Group Life 6 2" xfId="6309" xr:uid="{00000000-0005-0000-0000-000027250000}"/>
    <cellStyle name="B_BotRC_Group Life 6 3" xfId="26738" xr:uid="{00000000-0005-0000-0000-000028250000}"/>
    <cellStyle name="B_BotRC_Group Life 7" xfId="6310" xr:uid="{00000000-0005-0000-0000-000029250000}"/>
    <cellStyle name="B_BotRC_Group Life 7 2" xfId="6311" xr:uid="{00000000-0005-0000-0000-00002A250000}"/>
    <cellStyle name="B_BotRC_Group Life 7 3" xfId="26739" xr:uid="{00000000-0005-0000-0000-00002B250000}"/>
    <cellStyle name="B_BotRC_Group Life 8" xfId="6312" xr:uid="{00000000-0005-0000-0000-00002C250000}"/>
    <cellStyle name="B_BotRC_Group Life 8 2" xfId="6313" xr:uid="{00000000-0005-0000-0000-00002D250000}"/>
    <cellStyle name="B_BotRC_Group Life 8 3" xfId="26740" xr:uid="{00000000-0005-0000-0000-00002E250000}"/>
    <cellStyle name="B_BotRC_Group Life 9" xfId="6314" xr:uid="{00000000-0005-0000-0000-00002F250000}"/>
    <cellStyle name="B_BotRC_Group Life 9 2" xfId="6315" xr:uid="{00000000-0005-0000-0000-000030250000}"/>
    <cellStyle name="B_BotRC_Group Life 9 3" xfId="26741" xr:uid="{00000000-0005-0000-0000-000031250000}"/>
    <cellStyle name="B_BotRC_Group Life_PROD_DETAILS" xfId="6316" xr:uid="{00000000-0005-0000-0000-000032250000}"/>
    <cellStyle name="B_BotRC_Group Life_PROD_DETAILS 2" xfId="6317" xr:uid="{00000000-0005-0000-0000-000033250000}"/>
    <cellStyle name="B_BotRC_Group Life_PROD_DETAILS 3" xfId="26742" xr:uid="{00000000-0005-0000-0000-000034250000}"/>
    <cellStyle name="B_BotRC_Group Life_SOLVENCY POSITION " xfId="6318" xr:uid="{00000000-0005-0000-0000-000035250000}"/>
    <cellStyle name="B_BotRC_Group Life_SOLVENCY POSITION  2" xfId="6319" xr:uid="{00000000-0005-0000-0000-000036250000}"/>
    <cellStyle name="B_BotRC_Group Life_SOLVENCY POSITION  3" xfId="26743" xr:uid="{00000000-0005-0000-0000-000037250000}"/>
    <cellStyle name="B_BotRC_HK P &amp; L (To Finance to compute tax)" xfId="6320" xr:uid="{00000000-0005-0000-0000-000038250000}"/>
    <cellStyle name="B_BotRC_HK P &amp; L (To Finance to compute tax) 10" xfId="6321" xr:uid="{00000000-0005-0000-0000-000039250000}"/>
    <cellStyle name="B_BotRC_HK P &amp; L (To Finance to compute tax) 10 2" xfId="6322" xr:uid="{00000000-0005-0000-0000-00003A250000}"/>
    <cellStyle name="B_BotRC_HK P &amp; L (To Finance to compute tax) 10 3" xfId="26744" xr:uid="{00000000-0005-0000-0000-00003B250000}"/>
    <cellStyle name="B_BotRC_HK P &amp; L (To Finance to compute tax) 11" xfId="6323" xr:uid="{00000000-0005-0000-0000-00003C250000}"/>
    <cellStyle name="B_BotRC_HK P &amp; L (To Finance to compute tax) 11 2" xfId="6324" xr:uid="{00000000-0005-0000-0000-00003D250000}"/>
    <cellStyle name="B_BotRC_HK P &amp; L (To Finance to compute tax) 11 3" xfId="26745" xr:uid="{00000000-0005-0000-0000-00003E250000}"/>
    <cellStyle name="B_BotRC_HK P &amp; L (To Finance to compute tax) 12" xfId="6325" xr:uid="{00000000-0005-0000-0000-00003F250000}"/>
    <cellStyle name="B_BotRC_HK P &amp; L (To Finance to compute tax) 12 2" xfId="6326" xr:uid="{00000000-0005-0000-0000-000040250000}"/>
    <cellStyle name="B_BotRC_HK P &amp; L (To Finance to compute tax) 12 3" xfId="26746" xr:uid="{00000000-0005-0000-0000-000041250000}"/>
    <cellStyle name="B_BotRC_HK P &amp; L (To Finance to compute tax) 13" xfId="6327" xr:uid="{00000000-0005-0000-0000-000042250000}"/>
    <cellStyle name="B_BotRC_HK P &amp; L (To Finance to compute tax) 13 2" xfId="6328" xr:uid="{00000000-0005-0000-0000-000043250000}"/>
    <cellStyle name="B_BotRC_HK P &amp; L (To Finance to compute tax) 13 3" xfId="26747" xr:uid="{00000000-0005-0000-0000-000044250000}"/>
    <cellStyle name="B_BotRC_HK P &amp; L (To Finance to compute tax) 14" xfId="6329" xr:uid="{00000000-0005-0000-0000-000045250000}"/>
    <cellStyle name="B_BotRC_HK P &amp; L (To Finance to compute tax) 14 2" xfId="6330" xr:uid="{00000000-0005-0000-0000-000046250000}"/>
    <cellStyle name="B_BotRC_HK P &amp; L (To Finance to compute tax) 14 3" xfId="26748" xr:uid="{00000000-0005-0000-0000-000047250000}"/>
    <cellStyle name="B_BotRC_HK P &amp; L (To Finance to compute tax) 15" xfId="6331" xr:uid="{00000000-0005-0000-0000-000048250000}"/>
    <cellStyle name="B_BotRC_HK P &amp; L (To Finance to compute tax) 15 2" xfId="6332" xr:uid="{00000000-0005-0000-0000-000049250000}"/>
    <cellStyle name="B_BotRC_HK P &amp; L (To Finance to compute tax) 15 3" xfId="26749" xr:uid="{00000000-0005-0000-0000-00004A250000}"/>
    <cellStyle name="B_BotRC_HK P &amp; L (To Finance to compute tax) 16" xfId="6333" xr:uid="{00000000-0005-0000-0000-00004B250000}"/>
    <cellStyle name="B_BotRC_HK P &amp; L (To Finance to compute tax) 16 2" xfId="6334" xr:uid="{00000000-0005-0000-0000-00004C250000}"/>
    <cellStyle name="B_BotRC_HK P &amp; L (To Finance to compute tax) 16 3" xfId="26750" xr:uid="{00000000-0005-0000-0000-00004D250000}"/>
    <cellStyle name="B_BotRC_HK P &amp; L (To Finance to compute tax) 17" xfId="6335" xr:uid="{00000000-0005-0000-0000-00004E250000}"/>
    <cellStyle name="B_BotRC_HK P &amp; L (To Finance to compute tax) 17 2" xfId="6336" xr:uid="{00000000-0005-0000-0000-00004F250000}"/>
    <cellStyle name="B_BotRC_HK P &amp; L (To Finance to compute tax) 17 3" xfId="26751" xr:uid="{00000000-0005-0000-0000-000050250000}"/>
    <cellStyle name="B_BotRC_HK P &amp; L (To Finance to compute tax) 18" xfId="6337" xr:uid="{00000000-0005-0000-0000-000051250000}"/>
    <cellStyle name="B_BotRC_HK P &amp; L (To Finance to compute tax) 18 2" xfId="6338" xr:uid="{00000000-0005-0000-0000-000052250000}"/>
    <cellStyle name="B_BotRC_HK P &amp; L (To Finance to compute tax) 18 3" xfId="26752" xr:uid="{00000000-0005-0000-0000-000053250000}"/>
    <cellStyle name="B_BotRC_HK P &amp; L (To Finance to compute tax) 19" xfId="6339" xr:uid="{00000000-0005-0000-0000-000054250000}"/>
    <cellStyle name="B_BotRC_HK P &amp; L (To Finance to compute tax) 19 2" xfId="6340" xr:uid="{00000000-0005-0000-0000-000055250000}"/>
    <cellStyle name="B_BotRC_HK P &amp; L (To Finance to compute tax) 19 3" xfId="26753" xr:uid="{00000000-0005-0000-0000-000056250000}"/>
    <cellStyle name="B_BotRC_HK P &amp; L (To Finance to compute tax) 2" xfId="6341" xr:uid="{00000000-0005-0000-0000-000057250000}"/>
    <cellStyle name="B_BotRC_HK P &amp; L (To Finance to compute tax) 2 2" xfId="6342" xr:uid="{00000000-0005-0000-0000-000058250000}"/>
    <cellStyle name="B_BotRC_HK P &amp; L (To Finance to compute tax) 2 3" xfId="26754" xr:uid="{00000000-0005-0000-0000-000059250000}"/>
    <cellStyle name="B_BotRC_HK P &amp; L (To Finance to compute tax) 20" xfId="6343" xr:uid="{00000000-0005-0000-0000-00005A250000}"/>
    <cellStyle name="B_BotRC_HK P &amp; L (To Finance to compute tax) 20 2" xfId="6344" xr:uid="{00000000-0005-0000-0000-00005B250000}"/>
    <cellStyle name="B_BotRC_HK P &amp; L (To Finance to compute tax) 20 3" xfId="26755" xr:uid="{00000000-0005-0000-0000-00005C250000}"/>
    <cellStyle name="B_BotRC_HK P &amp; L (To Finance to compute tax) 21" xfId="6345" xr:uid="{00000000-0005-0000-0000-00005D250000}"/>
    <cellStyle name="B_BotRC_HK P &amp; L (To Finance to compute tax) 21 2" xfId="6346" xr:uid="{00000000-0005-0000-0000-00005E250000}"/>
    <cellStyle name="B_BotRC_HK P &amp; L (To Finance to compute tax) 21 3" xfId="26756" xr:uid="{00000000-0005-0000-0000-00005F250000}"/>
    <cellStyle name="B_BotRC_HK P &amp; L (To Finance to compute tax) 22" xfId="6347" xr:uid="{00000000-0005-0000-0000-000060250000}"/>
    <cellStyle name="B_BotRC_HK P &amp; L (To Finance to compute tax) 22 2" xfId="6348" xr:uid="{00000000-0005-0000-0000-000061250000}"/>
    <cellStyle name="B_BotRC_HK P &amp; L (To Finance to compute tax) 22 3" xfId="26757" xr:uid="{00000000-0005-0000-0000-000062250000}"/>
    <cellStyle name="B_BotRC_HK P &amp; L (To Finance to compute tax) 23" xfId="6349" xr:uid="{00000000-0005-0000-0000-000063250000}"/>
    <cellStyle name="B_BotRC_HK P &amp; L (To Finance to compute tax) 23 2" xfId="6350" xr:uid="{00000000-0005-0000-0000-000064250000}"/>
    <cellStyle name="B_BotRC_HK P &amp; L (To Finance to compute tax) 23 3" xfId="26758" xr:uid="{00000000-0005-0000-0000-000065250000}"/>
    <cellStyle name="B_BotRC_HK P &amp; L (To Finance to compute tax) 24" xfId="6351" xr:uid="{00000000-0005-0000-0000-000066250000}"/>
    <cellStyle name="B_BotRC_HK P &amp; L (To Finance to compute tax) 25" xfId="26759" xr:uid="{00000000-0005-0000-0000-000067250000}"/>
    <cellStyle name="B_BotRC_HK P &amp; L (To Finance to compute tax) 3" xfId="6352" xr:uid="{00000000-0005-0000-0000-000068250000}"/>
    <cellStyle name="B_BotRC_HK P &amp; L (To Finance to compute tax) 3 2" xfId="6353" xr:uid="{00000000-0005-0000-0000-000069250000}"/>
    <cellStyle name="B_BotRC_HK P &amp; L (To Finance to compute tax) 3 3" xfId="26760" xr:uid="{00000000-0005-0000-0000-00006A250000}"/>
    <cellStyle name="B_BotRC_HK P &amp; L (To Finance to compute tax) 4" xfId="6354" xr:uid="{00000000-0005-0000-0000-00006B250000}"/>
    <cellStyle name="B_BotRC_HK P &amp; L (To Finance to compute tax) 4 2" xfId="6355" xr:uid="{00000000-0005-0000-0000-00006C250000}"/>
    <cellStyle name="B_BotRC_HK P &amp; L (To Finance to compute tax) 4 3" xfId="26761" xr:uid="{00000000-0005-0000-0000-00006D250000}"/>
    <cellStyle name="B_BotRC_HK P &amp; L (To Finance to compute tax) 5" xfId="6356" xr:uid="{00000000-0005-0000-0000-00006E250000}"/>
    <cellStyle name="B_BotRC_HK P &amp; L (To Finance to compute tax) 5 2" xfId="6357" xr:uid="{00000000-0005-0000-0000-00006F250000}"/>
    <cellStyle name="B_BotRC_HK P &amp; L (To Finance to compute tax) 5 3" xfId="26762" xr:uid="{00000000-0005-0000-0000-000070250000}"/>
    <cellStyle name="B_BotRC_HK P &amp; L (To Finance to compute tax) 6" xfId="6358" xr:uid="{00000000-0005-0000-0000-000071250000}"/>
    <cellStyle name="B_BotRC_HK P &amp; L (To Finance to compute tax) 6 2" xfId="6359" xr:uid="{00000000-0005-0000-0000-000072250000}"/>
    <cellStyle name="B_BotRC_HK P &amp; L (To Finance to compute tax) 6 3" xfId="26763" xr:uid="{00000000-0005-0000-0000-000073250000}"/>
    <cellStyle name="B_BotRC_HK P &amp; L (To Finance to compute tax) 7" xfId="6360" xr:uid="{00000000-0005-0000-0000-000074250000}"/>
    <cellStyle name="B_BotRC_HK P &amp; L (To Finance to compute tax) 7 2" xfId="6361" xr:uid="{00000000-0005-0000-0000-000075250000}"/>
    <cellStyle name="B_BotRC_HK P &amp; L (To Finance to compute tax) 7 3" xfId="26764" xr:uid="{00000000-0005-0000-0000-000076250000}"/>
    <cellStyle name="B_BotRC_HK P &amp; L (To Finance to compute tax) 8" xfId="6362" xr:uid="{00000000-0005-0000-0000-000077250000}"/>
    <cellStyle name="B_BotRC_HK P &amp; L (To Finance to compute tax) 8 2" xfId="6363" xr:uid="{00000000-0005-0000-0000-000078250000}"/>
    <cellStyle name="B_BotRC_HK P &amp; L (To Finance to compute tax) 8 3" xfId="26765" xr:uid="{00000000-0005-0000-0000-000079250000}"/>
    <cellStyle name="B_BotRC_HK P &amp; L (To Finance to compute tax) 9" xfId="6364" xr:uid="{00000000-0005-0000-0000-00007A250000}"/>
    <cellStyle name="B_BotRC_HK P &amp; L (To Finance to compute tax) 9 2" xfId="6365" xr:uid="{00000000-0005-0000-0000-00007B250000}"/>
    <cellStyle name="B_BotRC_HK P &amp; L (To Finance to compute tax) 9 3" xfId="26766" xr:uid="{00000000-0005-0000-0000-00007C250000}"/>
    <cellStyle name="B_BotRC_HK P &amp; L (To Finance to compute tax)_PROD_DETAILS" xfId="6366" xr:uid="{00000000-0005-0000-0000-00007D250000}"/>
    <cellStyle name="B_BotRC_HK P &amp; L (To Finance to compute tax)_PROD_DETAILS 2" xfId="6367" xr:uid="{00000000-0005-0000-0000-00007E250000}"/>
    <cellStyle name="B_BotRC_HK P &amp; L (To Finance to compute tax)_PROD_DETAILS 3" xfId="26767" xr:uid="{00000000-0005-0000-0000-00007F250000}"/>
    <cellStyle name="B_BotRC_HK P &amp; L (To Finance to compute tax)_SOLVENCY POSITION " xfId="6368" xr:uid="{00000000-0005-0000-0000-000080250000}"/>
    <cellStyle name="B_BotRC_HK P &amp; L (To Finance to compute tax)_SOLVENCY POSITION  2" xfId="6369" xr:uid="{00000000-0005-0000-0000-000081250000}"/>
    <cellStyle name="B_BotRC_HK P &amp; L (To Finance to compute tax)_SOLVENCY POSITION  3" xfId="26768" xr:uid="{00000000-0005-0000-0000-000082250000}"/>
    <cellStyle name="B_BotRC_HK.EEV-Apr06v2" xfId="6370" xr:uid="{00000000-0005-0000-0000-000083250000}"/>
    <cellStyle name="B_BotRC_HK.EEV-Apr06v2 10" xfId="6371" xr:uid="{00000000-0005-0000-0000-000084250000}"/>
    <cellStyle name="B_BotRC_HK.EEV-Apr06v2 10 2" xfId="6372" xr:uid="{00000000-0005-0000-0000-000085250000}"/>
    <cellStyle name="B_BotRC_HK.EEV-Apr06v2 10 3" xfId="26769" xr:uid="{00000000-0005-0000-0000-000086250000}"/>
    <cellStyle name="B_BotRC_HK.EEV-Apr06v2 11" xfId="6373" xr:uid="{00000000-0005-0000-0000-000087250000}"/>
    <cellStyle name="B_BotRC_HK.EEV-Apr06v2 11 2" xfId="6374" xr:uid="{00000000-0005-0000-0000-000088250000}"/>
    <cellStyle name="B_BotRC_HK.EEV-Apr06v2 11 3" xfId="26770" xr:uid="{00000000-0005-0000-0000-000089250000}"/>
    <cellStyle name="B_BotRC_HK.EEV-Apr06v2 12" xfId="6375" xr:uid="{00000000-0005-0000-0000-00008A250000}"/>
    <cellStyle name="B_BotRC_HK.EEV-Apr06v2 12 2" xfId="6376" xr:uid="{00000000-0005-0000-0000-00008B250000}"/>
    <cellStyle name="B_BotRC_HK.EEV-Apr06v2 12 3" xfId="26771" xr:uid="{00000000-0005-0000-0000-00008C250000}"/>
    <cellStyle name="B_BotRC_HK.EEV-Apr06v2 13" xfId="6377" xr:uid="{00000000-0005-0000-0000-00008D250000}"/>
    <cellStyle name="B_BotRC_HK.EEV-Apr06v2 13 2" xfId="6378" xr:uid="{00000000-0005-0000-0000-00008E250000}"/>
    <cellStyle name="B_BotRC_HK.EEV-Apr06v2 13 3" xfId="26772" xr:uid="{00000000-0005-0000-0000-00008F250000}"/>
    <cellStyle name="B_BotRC_HK.EEV-Apr06v2 14" xfId="6379" xr:uid="{00000000-0005-0000-0000-000090250000}"/>
    <cellStyle name="B_BotRC_HK.EEV-Apr06v2 14 2" xfId="6380" xr:uid="{00000000-0005-0000-0000-000091250000}"/>
    <cellStyle name="B_BotRC_HK.EEV-Apr06v2 14 3" xfId="26773" xr:uid="{00000000-0005-0000-0000-000092250000}"/>
    <cellStyle name="B_BotRC_HK.EEV-Apr06v2 15" xfId="6381" xr:uid="{00000000-0005-0000-0000-000093250000}"/>
    <cellStyle name="B_BotRC_HK.EEV-Apr06v2 15 2" xfId="6382" xr:uid="{00000000-0005-0000-0000-000094250000}"/>
    <cellStyle name="B_BotRC_HK.EEV-Apr06v2 15 3" xfId="26774" xr:uid="{00000000-0005-0000-0000-000095250000}"/>
    <cellStyle name="B_BotRC_HK.EEV-Apr06v2 16" xfId="6383" xr:uid="{00000000-0005-0000-0000-000096250000}"/>
    <cellStyle name="B_BotRC_HK.EEV-Apr06v2 16 2" xfId="6384" xr:uid="{00000000-0005-0000-0000-000097250000}"/>
    <cellStyle name="B_BotRC_HK.EEV-Apr06v2 16 3" xfId="26775" xr:uid="{00000000-0005-0000-0000-000098250000}"/>
    <cellStyle name="B_BotRC_HK.EEV-Apr06v2 17" xfId="6385" xr:uid="{00000000-0005-0000-0000-000099250000}"/>
    <cellStyle name="B_BotRC_HK.EEV-Apr06v2 17 2" xfId="6386" xr:uid="{00000000-0005-0000-0000-00009A250000}"/>
    <cellStyle name="B_BotRC_HK.EEV-Apr06v2 17 3" xfId="26776" xr:uid="{00000000-0005-0000-0000-00009B250000}"/>
    <cellStyle name="B_BotRC_HK.EEV-Apr06v2 18" xfId="6387" xr:uid="{00000000-0005-0000-0000-00009C250000}"/>
    <cellStyle name="B_BotRC_HK.EEV-Apr06v2 18 2" xfId="6388" xr:uid="{00000000-0005-0000-0000-00009D250000}"/>
    <cellStyle name="B_BotRC_HK.EEV-Apr06v2 18 3" xfId="26777" xr:uid="{00000000-0005-0000-0000-00009E250000}"/>
    <cellStyle name="B_BotRC_HK.EEV-Apr06v2 19" xfId="6389" xr:uid="{00000000-0005-0000-0000-00009F250000}"/>
    <cellStyle name="B_BotRC_HK.EEV-Apr06v2 19 2" xfId="6390" xr:uid="{00000000-0005-0000-0000-0000A0250000}"/>
    <cellStyle name="B_BotRC_HK.EEV-Apr06v2 19 3" xfId="26778" xr:uid="{00000000-0005-0000-0000-0000A1250000}"/>
    <cellStyle name="B_BotRC_HK.EEV-Apr06v2 2" xfId="6391" xr:uid="{00000000-0005-0000-0000-0000A2250000}"/>
    <cellStyle name="B_BotRC_HK.EEV-Apr06v2 2 2" xfId="6392" xr:uid="{00000000-0005-0000-0000-0000A3250000}"/>
    <cellStyle name="B_BotRC_HK.EEV-Apr06v2 2 3" xfId="26779" xr:uid="{00000000-0005-0000-0000-0000A4250000}"/>
    <cellStyle name="B_BotRC_HK.EEV-Apr06v2 20" xfId="6393" xr:uid="{00000000-0005-0000-0000-0000A5250000}"/>
    <cellStyle name="B_BotRC_HK.EEV-Apr06v2 20 2" xfId="6394" xr:uid="{00000000-0005-0000-0000-0000A6250000}"/>
    <cellStyle name="B_BotRC_HK.EEV-Apr06v2 20 3" xfId="26780" xr:uid="{00000000-0005-0000-0000-0000A7250000}"/>
    <cellStyle name="B_BotRC_HK.EEV-Apr06v2 21" xfId="6395" xr:uid="{00000000-0005-0000-0000-0000A8250000}"/>
    <cellStyle name="B_BotRC_HK.EEV-Apr06v2 21 2" xfId="6396" xr:uid="{00000000-0005-0000-0000-0000A9250000}"/>
    <cellStyle name="B_BotRC_HK.EEV-Apr06v2 21 3" xfId="26781" xr:uid="{00000000-0005-0000-0000-0000AA250000}"/>
    <cellStyle name="B_BotRC_HK.EEV-Apr06v2 22" xfId="6397" xr:uid="{00000000-0005-0000-0000-0000AB250000}"/>
    <cellStyle name="B_BotRC_HK.EEV-Apr06v2 22 2" xfId="6398" xr:uid="{00000000-0005-0000-0000-0000AC250000}"/>
    <cellStyle name="B_BotRC_HK.EEV-Apr06v2 22 3" xfId="26782" xr:uid="{00000000-0005-0000-0000-0000AD250000}"/>
    <cellStyle name="B_BotRC_HK.EEV-Apr06v2 23" xfId="6399" xr:uid="{00000000-0005-0000-0000-0000AE250000}"/>
    <cellStyle name="B_BotRC_HK.EEV-Apr06v2 23 2" xfId="6400" xr:uid="{00000000-0005-0000-0000-0000AF250000}"/>
    <cellStyle name="B_BotRC_HK.EEV-Apr06v2 23 3" xfId="26783" xr:uid="{00000000-0005-0000-0000-0000B0250000}"/>
    <cellStyle name="B_BotRC_HK.EEV-Apr06v2 24" xfId="6401" xr:uid="{00000000-0005-0000-0000-0000B1250000}"/>
    <cellStyle name="B_BotRC_HK.EEV-Apr06v2 25" xfId="26784" xr:uid="{00000000-0005-0000-0000-0000B2250000}"/>
    <cellStyle name="B_BotRC_HK.EEV-Apr06v2 3" xfId="6402" xr:uid="{00000000-0005-0000-0000-0000B3250000}"/>
    <cellStyle name="B_BotRC_HK.EEV-Apr06v2 3 2" xfId="6403" xr:uid="{00000000-0005-0000-0000-0000B4250000}"/>
    <cellStyle name="B_BotRC_HK.EEV-Apr06v2 3 3" xfId="26785" xr:uid="{00000000-0005-0000-0000-0000B5250000}"/>
    <cellStyle name="B_BotRC_HK.EEV-Apr06v2 4" xfId="6404" xr:uid="{00000000-0005-0000-0000-0000B6250000}"/>
    <cellStyle name="B_BotRC_HK.EEV-Apr06v2 4 2" xfId="6405" xr:uid="{00000000-0005-0000-0000-0000B7250000}"/>
    <cellStyle name="B_BotRC_HK.EEV-Apr06v2 4 3" xfId="26786" xr:uid="{00000000-0005-0000-0000-0000B8250000}"/>
    <cellStyle name="B_BotRC_HK.EEV-Apr06v2 5" xfId="6406" xr:uid="{00000000-0005-0000-0000-0000B9250000}"/>
    <cellStyle name="B_BotRC_HK.EEV-Apr06v2 5 2" xfId="6407" xr:uid="{00000000-0005-0000-0000-0000BA250000}"/>
    <cellStyle name="B_BotRC_HK.EEV-Apr06v2 5 3" xfId="26787" xr:uid="{00000000-0005-0000-0000-0000BB250000}"/>
    <cellStyle name="B_BotRC_HK.EEV-Apr06v2 6" xfId="6408" xr:uid="{00000000-0005-0000-0000-0000BC250000}"/>
    <cellStyle name="B_BotRC_HK.EEV-Apr06v2 6 2" xfId="6409" xr:uid="{00000000-0005-0000-0000-0000BD250000}"/>
    <cellStyle name="B_BotRC_HK.EEV-Apr06v2 6 3" xfId="26788" xr:uid="{00000000-0005-0000-0000-0000BE250000}"/>
    <cellStyle name="B_BotRC_HK.EEV-Apr06v2 7" xfId="6410" xr:uid="{00000000-0005-0000-0000-0000BF250000}"/>
    <cellStyle name="B_BotRC_HK.EEV-Apr06v2 7 2" xfId="6411" xr:uid="{00000000-0005-0000-0000-0000C0250000}"/>
    <cellStyle name="B_BotRC_HK.EEV-Apr06v2 7 3" xfId="26789" xr:uid="{00000000-0005-0000-0000-0000C1250000}"/>
    <cellStyle name="B_BotRC_HK.EEV-Apr06v2 8" xfId="6412" xr:uid="{00000000-0005-0000-0000-0000C2250000}"/>
    <cellStyle name="B_BotRC_HK.EEV-Apr06v2 8 2" xfId="6413" xr:uid="{00000000-0005-0000-0000-0000C3250000}"/>
    <cellStyle name="B_BotRC_HK.EEV-Apr06v2 8 3" xfId="26790" xr:uid="{00000000-0005-0000-0000-0000C4250000}"/>
    <cellStyle name="B_BotRC_HK.EEV-Apr06v2 9" xfId="6414" xr:uid="{00000000-0005-0000-0000-0000C5250000}"/>
    <cellStyle name="B_BotRC_HK.EEV-Apr06v2 9 2" xfId="6415" xr:uid="{00000000-0005-0000-0000-0000C6250000}"/>
    <cellStyle name="B_BotRC_HK.EEV-Apr06v2 9 3" xfId="26791" xr:uid="{00000000-0005-0000-0000-0000C7250000}"/>
    <cellStyle name="B_BotRC_HK.EEV-Apr06v2_HK.EEV-May06 4+2 kkh" xfId="6416" xr:uid="{00000000-0005-0000-0000-0000C8250000}"/>
    <cellStyle name="B_BotRC_HK.EEV-Apr06v2_HK.EEV-May06 4+2 kkh 10" xfId="6417" xr:uid="{00000000-0005-0000-0000-0000C9250000}"/>
    <cellStyle name="B_BotRC_HK.EEV-Apr06v2_HK.EEV-May06 4+2 kkh 10 2" xfId="6418" xr:uid="{00000000-0005-0000-0000-0000CA250000}"/>
    <cellStyle name="B_BotRC_HK.EEV-Apr06v2_HK.EEV-May06 4+2 kkh 10 3" xfId="26792" xr:uid="{00000000-0005-0000-0000-0000CB250000}"/>
    <cellStyle name="B_BotRC_HK.EEV-Apr06v2_HK.EEV-May06 4+2 kkh 11" xfId="6419" xr:uid="{00000000-0005-0000-0000-0000CC250000}"/>
    <cellStyle name="B_BotRC_HK.EEV-Apr06v2_HK.EEV-May06 4+2 kkh 11 2" xfId="6420" xr:uid="{00000000-0005-0000-0000-0000CD250000}"/>
    <cellStyle name="B_BotRC_HK.EEV-Apr06v2_HK.EEV-May06 4+2 kkh 11 3" xfId="26793" xr:uid="{00000000-0005-0000-0000-0000CE250000}"/>
    <cellStyle name="B_BotRC_HK.EEV-Apr06v2_HK.EEV-May06 4+2 kkh 12" xfId="6421" xr:uid="{00000000-0005-0000-0000-0000CF250000}"/>
    <cellStyle name="B_BotRC_HK.EEV-Apr06v2_HK.EEV-May06 4+2 kkh 12 2" xfId="6422" xr:uid="{00000000-0005-0000-0000-0000D0250000}"/>
    <cellStyle name="B_BotRC_HK.EEV-Apr06v2_HK.EEV-May06 4+2 kkh 12 3" xfId="26794" xr:uid="{00000000-0005-0000-0000-0000D1250000}"/>
    <cellStyle name="B_BotRC_HK.EEV-Apr06v2_HK.EEV-May06 4+2 kkh 13" xfId="6423" xr:uid="{00000000-0005-0000-0000-0000D2250000}"/>
    <cellStyle name="B_BotRC_HK.EEV-Apr06v2_HK.EEV-May06 4+2 kkh 13 2" xfId="6424" xr:uid="{00000000-0005-0000-0000-0000D3250000}"/>
    <cellStyle name="B_BotRC_HK.EEV-Apr06v2_HK.EEV-May06 4+2 kkh 13 3" xfId="26795" xr:uid="{00000000-0005-0000-0000-0000D4250000}"/>
    <cellStyle name="B_BotRC_HK.EEV-Apr06v2_HK.EEV-May06 4+2 kkh 14" xfId="6425" xr:uid="{00000000-0005-0000-0000-0000D5250000}"/>
    <cellStyle name="B_BotRC_HK.EEV-Apr06v2_HK.EEV-May06 4+2 kkh 14 2" xfId="6426" xr:uid="{00000000-0005-0000-0000-0000D6250000}"/>
    <cellStyle name="B_BotRC_HK.EEV-Apr06v2_HK.EEV-May06 4+2 kkh 14 3" xfId="26796" xr:uid="{00000000-0005-0000-0000-0000D7250000}"/>
    <cellStyle name="B_BotRC_HK.EEV-Apr06v2_HK.EEV-May06 4+2 kkh 15" xfId="6427" xr:uid="{00000000-0005-0000-0000-0000D8250000}"/>
    <cellStyle name="B_BotRC_HK.EEV-Apr06v2_HK.EEV-May06 4+2 kkh 15 2" xfId="6428" xr:uid="{00000000-0005-0000-0000-0000D9250000}"/>
    <cellStyle name="B_BotRC_HK.EEV-Apr06v2_HK.EEV-May06 4+2 kkh 15 3" xfId="26797" xr:uid="{00000000-0005-0000-0000-0000DA250000}"/>
    <cellStyle name="B_BotRC_HK.EEV-Apr06v2_HK.EEV-May06 4+2 kkh 16" xfId="6429" xr:uid="{00000000-0005-0000-0000-0000DB250000}"/>
    <cellStyle name="B_BotRC_HK.EEV-Apr06v2_HK.EEV-May06 4+2 kkh 16 2" xfId="6430" xr:uid="{00000000-0005-0000-0000-0000DC250000}"/>
    <cellStyle name="B_BotRC_HK.EEV-Apr06v2_HK.EEV-May06 4+2 kkh 16 3" xfId="26798" xr:uid="{00000000-0005-0000-0000-0000DD250000}"/>
    <cellStyle name="B_BotRC_HK.EEV-Apr06v2_HK.EEV-May06 4+2 kkh 17" xfId="6431" xr:uid="{00000000-0005-0000-0000-0000DE250000}"/>
    <cellStyle name="B_BotRC_HK.EEV-Apr06v2_HK.EEV-May06 4+2 kkh 17 2" xfId="6432" xr:uid="{00000000-0005-0000-0000-0000DF250000}"/>
    <cellStyle name="B_BotRC_HK.EEV-Apr06v2_HK.EEV-May06 4+2 kkh 17 3" xfId="26799" xr:uid="{00000000-0005-0000-0000-0000E0250000}"/>
    <cellStyle name="B_BotRC_HK.EEV-Apr06v2_HK.EEV-May06 4+2 kkh 18" xfId="6433" xr:uid="{00000000-0005-0000-0000-0000E1250000}"/>
    <cellStyle name="B_BotRC_HK.EEV-Apr06v2_HK.EEV-May06 4+2 kkh 18 2" xfId="6434" xr:uid="{00000000-0005-0000-0000-0000E2250000}"/>
    <cellStyle name="B_BotRC_HK.EEV-Apr06v2_HK.EEV-May06 4+2 kkh 18 3" xfId="26800" xr:uid="{00000000-0005-0000-0000-0000E3250000}"/>
    <cellStyle name="B_BotRC_HK.EEV-Apr06v2_HK.EEV-May06 4+2 kkh 19" xfId="6435" xr:uid="{00000000-0005-0000-0000-0000E4250000}"/>
    <cellStyle name="B_BotRC_HK.EEV-Apr06v2_HK.EEV-May06 4+2 kkh 19 2" xfId="6436" xr:uid="{00000000-0005-0000-0000-0000E5250000}"/>
    <cellStyle name="B_BotRC_HK.EEV-Apr06v2_HK.EEV-May06 4+2 kkh 19 3" xfId="26801" xr:uid="{00000000-0005-0000-0000-0000E6250000}"/>
    <cellStyle name="B_BotRC_HK.EEV-Apr06v2_HK.EEV-May06 4+2 kkh 2" xfId="6437" xr:uid="{00000000-0005-0000-0000-0000E7250000}"/>
    <cellStyle name="B_BotRC_HK.EEV-Apr06v2_HK.EEV-May06 4+2 kkh 2 2" xfId="6438" xr:uid="{00000000-0005-0000-0000-0000E8250000}"/>
    <cellStyle name="B_BotRC_HK.EEV-Apr06v2_HK.EEV-May06 4+2 kkh 2 3" xfId="26802" xr:uid="{00000000-0005-0000-0000-0000E9250000}"/>
    <cellStyle name="B_BotRC_HK.EEV-Apr06v2_HK.EEV-May06 4+2 kkh 20" xfId="6439" xr:uid="{00000000-0005-0000-0000-0000EA250000}"/>
    <cellStyle name="B_BotRC_HK.EEV-Apr06v2_HK.EEV-May06 4+2 kkh 20 2" xfId="6440" xr:uid="{00000000-0005-0000-0000-0000EB250000}"/>
    <cellStyle name="B_BotRC_HK.EEV-Apr06v2_HK.EEV-May06 4+2 kkh 20 3" xfId="26803" xr:uid="{00000000-0005-0000-0000-0000EC250000}"/>
    <cellStyle name="B_BotRC_HK.EEV-Apr06v2_HK.EEV-May06 4+2 kkh 21" xfId="6441" xr:uid="{00000000-0005-0000-0000-0000ED250000}"/>
    <cellStyle name="B_BotRC_HK.EEV-Apr06v2_HK.EEV-May06 4+2 kkh 21 2" xfId="6442" xr:uid="{00000000-0005-0000-0000-0000EE250000}"/>
    <cellStyle name="B_BotRC_HK.EEV-Apr06v2_HK.EEV-May06 4+2 kkh 21 3" xfId="26804" xr:uid="{00000000-0005-0000-0000-0000EF250000}"/>
    <cellStyle name="B_BotRC_HK.EEV-Apr06v2_HK.EEV-May06 4+2 kkh 22" xfId="6443" xr:uid="{00000000-0005-0000-0000-0000F0250000}"/>
    <cellStyle name="B_BotRC_HK.EEV-Apr06v2_HK.EEV-May06 4+2 kkh 22 2" xfId="6444" xr:uid="{00000000-0005-0000-0000-0000F1250000}"/>
    <cellStyle name="B_BotRC_HK.EEV-Apr06v2_HK.EEV-May06 4+2 kkh 22 3" xfId="26805" xr:uid="{00000000-0005-0000-0000-0000F2250000}"/>
    <cellStyle name="B_BotRC_HK.EEV-Apr06v2_HK.EEV-May06 4+2 kkh 23" xfId="6445" xr:uid="{00000000-0005-0000-0000-0000F3250000}"/>
    <cellStyle name="B_BotRC_HK.EEV-Apr06v2_HK.EEV-May06 4+2 kkh 23 2" xfId="6446" xr:uid="{00000000-0005-0000-0000-0000F4250000}"/>
    <cellStyle name="B_BotRC_HK.EEV-Apr06v2_HK.EEV-May06 4+2 kkh 23 3" xfId="26806" xr:uid="{00000000-0005-0000-0000-0000F5250000}"/>
    <cellStyle name="B_BotRC_HK.EEV-Apr06v2_HK.EEV-May06 4+2 kkh 24" xfId="6447" xr:uid="{00000000-0005-0000-0000-0000F6250000}"/>
    <cellStyle name="B_BotRC_HK.EEV-Apr06v2_HK.EEV-May06 4+2 kkh 25" xfId="26807" xr:uid="{00000000-0005-0000-0000-0000F7250000}"/>
    <cellStyle name="B_BotRC_HK.EEV-Apr06v2_HK.EEV-May06 4+2 kkh 3" xfId="6448" xr:uid="{00000000-0005-0000-0000-0000F8250000}"/>
    <cellStyle name="B_BotRC_HK.EEV-Apr06v2_HK.EEV-May06 4+2 kkh 3 2" xfId="6449" xr:uid="{00000000-0005-0000-0000-0000F9250000}"/>
    <cellStyle name="B_BotRC_HK.EEV-Apr06v2_HK.EEV-May06 4+2 kkh 3 3" xfId="26808" xr:uid="{00000000-0005-0000-0000-0000FA250000}"/>
    <cellStyle name="B_BotRC_HK.EEV-Apr06v2_HK.EEV-May06 4+2 kkh 4" xfId="6450" xr:uid="{00000000-0005-0000-0000-0000FB250000}"/>
    <cellStyle name="B_BotRC_HK.EEV-Apr06v2_HK.EEV-May06 4+2 kkh 4 2" xfId="6451" xr:uid="{00000000-0005-0000-0000-0000FC250000}"/>
    <cellStyle name="B_BotRC_HK.EEV-Apr06v2_HK.EEV-May06 4+2 kkh 4 3" xfId="26809" xr:uid="{00000000-0005-0000-0000-0000FD250000}"/>
    <cellStyle name="B_BotRC_HK.EEV-Apr06v2_HK.EEV-May06 4+2 kkh 5" xfId="6452" xr:uid="{00000000-0005-0000-0000-0000FE250000}"/>
    <cellStyle name="B_BotRC_HK.EEV-Apr06v2_HK.EEV-May06 4+2 kkh 5 2" xfId="6453" xr:uid="{00000000-0005-0000-0000-0000FF250000}"/>
    <cellStyle name="B_BotRC_HK.EEV-Apr06v2_HK.EEV-May06 4+2 kkh 5 3" xfId="26810" xr:uid="{00000000-0005-0000-0000-000000260000}"/>
    <cellStyle name="B_BotRC_HK.EEV-Apr06v2_HK.EEV-May06 4+2 kkh 6" xfId="6454" xr:uid="{00000000-0005-0000-0000-000001260000}"/>
    <cellStyle name="B_BotRC_HK.EEV-Apr06v2_HK.EEV-May06 4+2 kkh 6 2" xfId="6455" xr:uid="{00000000-0005-0000-0000-000002260000}"/>
    <cellStyle name="B_BotRC_HK.EEV-Apr06v2_HK.EEV-May06 4+2 kkh 6 3" xfId="26811" xr:uid="{00000000-0005-0000-0000-000003260000}"/>
    <cellStyle name="B_BotRC_HK.EEV-Apr06v2_HK.EEV-May06 4+2 kkh 7" xfId="6456" xr:uid="{00000000-0005-0000-0000-000004260000}"/>
    <cellStyle name="B_BotRC_HK.EEV-Apr06v2_HK.EEV-May06 4+2 kkh 7 2" xfId="6457" xr:uid="{00000000-0005-0000-0000-000005260000}"/>
    <cellStyle name="B_BotRC_HK.EEV-Apr06v2_HK.EEV-May06 4+2 kkh 7 3" xfId="26812" xr:uid="{00000000-0005-0000-0000-000006260000}"/>
    <cellStyle name="B_BotRC_HK.EEV-Apr06v2_HK.EEV-May06 4+2 kkh 8" xfId="6458" xr:uid="{00000000-0005-0000-0000-000007260000}"/>
    <cellStyle name="B_BotRC_HK.EEV-Apr06v2_HK.EEV-May06 4+2 kkh 8 2" xfId="6459" xr:uid="{00000000-0005-0000-0000-000008260000}"/>
    <cellStyle name="B_BotRC_HK.EEV-Apr06v2_HK.EEV-May06 4+2 kkh 8 3" xfId="26813" xr:uid="{00000000-0005-0000-0000-000009260000}"/>
    <cellStyle name="B_BotRC_HK.EEV-Apr06v2_HK.EEV-May06 4+2 kkh 9" xfId="6460" xr:uid="{00000000-0005-0000-0000-00000A260000}"/>
    <cellStyle name="B_BotRC_HK.EEV-Apr06v2_HK.EEV-May06 4+2 kkh 9 2" xfId="6461" xr:uid="{00000000-0005-0000-0000-00000B260000}"/>
    <cellStyle name="B_BotRC_HK.EEV-Apr06v2_HK.EEV-May06 4+2 kkh 9 3" xfId="26814" xr:uid="{00000000-0005-0000-0000-00000C260000}"/>
    <cellStyle name="B_BotRC_HK.EEV-Apr06v2_HK.EEV-May06 4+2 kkh_PROD_DETAILS" xfId="6462" xr:uid="{00000000-0005-0000-0000-00000D260000}"/>
    <cellStyle name="B_BotRC_HK.EEV-Apr06v2_HK.EEV-May06 4+2 kkh_PROD_DETAILS 2" xfId="6463" xr:uid="{00000000-0005-0000-0000-00000E260000}"/>
    <cellStyle name="B_BotRC_HK.EEV-Apr06v2_HK.EEV-May06 4+2 kkh_PROD_DETAILS 3" xfId="26815" xr:uid="{00000000-0005-0000-0000-00000F260000}"/>
    <cellStyle name="B_BotRC_HK.EEV-Apr06v2_HK.EEV-May06 4+2 kkh_SOLVENCY POSITION " xfId="6464" xr:uid="{00000000-0005-0000-0000-000010260000}"/>
    <cellStyle name="B_BotRC_HK.EEV-Apr06v2_HK.EEV-May06 4+2 kkh_SOLVENCY POSITION  2" xfId="6465" xr:uid="{00000000-0005-0000-0000-000011260000}"/>
    <cellStyle name="B_BotRC_HK.EEV-Apr06v2_HK.EEV-May06 4+2 kkh_SOLVENCY POSITION  3" xfId="26816" xr:uid="{00000000-0005-0000-0000-000012260000}"/>
    <cellStyle name="B_BotRC_HK.EEV-Apr06v2_PROD_DETAILS" xfId="6466" xr:uid="{00000000-0005-0000-0000-000013260000}"/>
    <cellStyle name="B_BotRC_HK.EEV-Apr06v2_PROD_DETAILS 2" xfId="6467" xr:uid="{00000000-0005-0000-0000-000014260000}"/>
    <cellStyle name="B_BotRC_HK.EEV-Apr06v2_PROD_DETAILS 3" xfId="26817" xr:uid="{00000000-0005-0000-0000-000015260000}"/>
    <cellStyle name="B_BotRC_HK.EEV-Apr06v2_SOLVENCY POSITION " xfId="6468" xr:uid="{00000000-0005-0000-0000-000016260000}"/>
    <cellStyle name="B_BotRC_HK.EEV-Apr06v2_SOLVENCY POSITION  2" xfId="6469" xr:uid="{00000000-0005-0000-0000-000017260000}"/>
    <cellStyle name="B_BotRC_HK.EEV-Apr06v2_SOLVENCY POSITION  3" xfId="26818" xr:uid="{00000000-0005-0000-0000-000018260000}"/>
    <cellStyle name="B_BotRC_HK.EEV-Jun06 07-09 2006 (QF3)" xfId="6470" xr:uid="{00000000-0005-0000-0000-000019260000}"/>
    <cellStyle name="B_BotRC_HK.EEV-Jun06 07-09 2006 (QF3) 10" xfId="6471" xr:uid="{00000000-0005-0000-0000-00001A260000}"/>
    <cellStyle name="B_BotRC_HK.EEV-Jun06 07-09 2006 (QF3) 10 2" xfId="6472" xr:uid="{00000000-0005-0000-0000-00001B260000}"/>
    <cellStyle name="B_BotRC_HK.EEV-Jun06 07-09 2006 (QF3) 10 3" xfId="26819" xr:uid="{00000000-0005-0000-0000-00001C260000}"/>
    <cellStyle name="B_BotRC_HK.EEV-Jun06 07-09 2006 (QF3) 11" xfId="6473" xr:uid="{00000000-0005-0000-0000-00001D260000}"/>
    <cellStyle name="B_BotRC_HK.EEV-Jun06 07-09 2006 (QF3) 11 2" xfId="6474" xr:uid="{00000000-0005-0000-0000-00001E260000}"/>
    <cellStyle name="B_BotRC_HK.EEV-Jun06 07-09 2006 (QF3) 11 3" xfId="26820" xr:uid="{00000000-0005-0000-0000-00001F260000}"/>
    <cellStyle name="B_BotRC_HK.EEV-Jun06 07-09 2006 (QF3) 12" xfId="6475" xr:uid="{00000000-0005-0000-0000-000020260000}"/>
    <cellStyle name="B_BotRC_HK.EEV-Jun06 07-09 2006 (QF3) 12 2" xfId="6476" xr:uid="{00000000-0005-0000-0000-000021260000}"/>
    <cellStyle name="B_BotRC_HK.EEV-Jun06 07-09 2006 (QF3) 12 3" xfId="26821" xr:uid="{00000000-0005-0000-0000-000022260000}"/>
    <cellStyle name="B_BotRC_HK.EEV-Jun06 07-09 2006 (QF3) 13" xfId="6477" xr:uid="{00000000-0005-0000-0000-000023260000}"/>
    <cellStyle name="B_BotRC_HK.EEV-Jun06 07-09 2006 (QF3) 13 2" xfId="6478" xr:uid="{00000000-0005-0000-0000-000024260000}"/>
    <cellStyle name="B_BotRC_HK.EEV-Jun06 07-09 2006 (QF3) 13 3" xfId="26822" xr:uid="{00000000-0005-0000-0000-000025260000}"/>
    <cellStyle name="B_BotRC_HK.EEV-Jun06 07-09 2006 (QF3) 14" xfId="6479" xr:uid="{00000000-0005-0000-0000-000026260000}"/>
    <cellStyle name="B_BotRC_HK.EEV-Jun06 07-09 2006 (QF3) 14 2" xfId="6480" xr:uid="{00000000-0005-0000-0000-000027260000}"/>
    <cellStyle name="B_BotRC_HK.EEV-Jun06 07-09 2006 (QF3) 14 3" xfId="26823" xr:uid="{00000000-0005-0000-0000-000028260000}"/>
    <cellStyle name="B_BotRC_HK.EEV-Jun06 07-09 2006 (QF3) 15" xfId="6481" xr:uid="{00000000-0005-0000-0000-000029260000}"/>
    <cellStyle name="B_BotRC_HK.EEV-Jun06 07-09 2006 (QF3) 15 2" xfId="6482" xr:uid="{00000000-0005-0000-0000-00002A260000}"/>
    <cellStyle name="B_BotRC_HK.EEV-Jun06 07-09 2006 (QF3) 15 3" xfId="26824" xr:uid="{00000000-0005-0000-0000-00002B260000}"/>
    <cellStyle name="B_BotRC_HK.EEV-Jun06 07-09 2006 (QF3) 16" xfId="6483" xr:uid="{00000000-0005-0000-0000-00002C260000}"/>
    <cellStyle name="B_BotRC_HK.EEV-Jun06 07-09 2006 (QF3) 16 2" xfId="6484" xr:uid="{00000000-0005-0000-0000-00002D260000}"/>
    <cellStyle name="B_BotRC_HK.EEV-Jun06 07-09 2006 (QF3) 16 3" xfId="26825" xr:uid="{00000000-0005-0000-0000-00002E260000}"/>
    <cellStyle name="B_BotRC_HK.EEV-Jun06 07-09 2006 (QF3) 17" xfId="6485" xr:uid="{00000000-0005-0000-0000-00002F260000}"/>
    <cellStyle name="B_BotRC_HK.EEV-Jun06 07-09 2006 (QF3) 17 2" xfId="6486" xr:uid="{00000000-0005-0000-0000-000030260000}"/>
    <cellStyle name="B_BotRC_HK.EEV-Jun06 07-09 2006 (QF3) 17 3" xfId="26826" xr:uid="{00000000-0005-0000-0000-000031260000}"/>
    <cellStyle name="B_BotRC_HK.EEV-Jun06 07-09 2006 (QF3) 18" xfId="6487" xr:uid="{00000000-0005-0000-0000-000032260000}"/>
    <cellStyle name="B_BotRC_HK.EEV-Jun06 07-09 2006 (QF3) 18 2" xfId="6488" xr:uid="{00000000-0005-0000-0000-000033260000}"/>
    <cellStyle name="B_BotRC_HK.EEV-Jun06 07-09 2006 (QF3) 18 3" xfId="26827" xr:uid="{00000000-0005-0000-0000-000034260000}"/>
    <cellStyle name="B_BotRC_HK.EEV-Jun06 07-09 2006 (QF3) 19" xfId="6489" xr:uid="{00000000-0005-0000-0000-000035260000}"/>
    <cellStyle name="B_BotRC_HK.EEV-Jun06 07-09 2006 (QF3) 19 2" xfId="6490" xr:uid="{00000000-0005-0000-0000-000036260000}"/>
    <cellStyle name="B_BotRC_HK.EEV-Jun06 07-09 2006 (QF3) 19 3" xfId="26828" xr:uid="{00000000-0005-0000-0000-000037260000}"/>
    <cellStyle name="B_BotRC_HK.EEV-Jun06 07-09 2006 (QF3) 2" xfId="6491" xr:uid="{00000000-0005-0000-0000-000038260000}"/>
    <cellStyle name="B_BotRC_HK.EEV-Jun06 07-09 2006 (QF3) 2 2" xfId="6492" xr:uid="{00000000-0005-0000-0000-000039260000}"/>
    <cellStyle name="B_BotRC_HK.EEV-Jun06 07-09 2006 (QF3) 2 3" xfId="26829" xr:uid="{00000000-0005-0000-0000-00003A260000}"/>
    <cellStyle name="B_BotRC_HK.EEV-Jun06 07-09 2006 (QF3) 20" xfId="6493" xr:uid="{00000000-0005-0000-0000-00003B260000}"/>
    <cellStyle name="B_BotRC_HK.EEV-Jun06 07-09 2006 (QF3) 20 2" xfId="6494" xr:uid="{00000000-0005-0000-0000-00003C260000}"/>
    <cellStyle name="B_BotRC_HK.EEV-Jun06 07-09 2006 (QF3) 20 3" xfId="26830" xr:uid="{00000000-0005-0000-0000-00003D260000}"/>
    <cellStyle name="B_BotRC_HK.EEV-Jun06 07-09 2006 (QF3) 21" xfId="6495" xr:uid="{00000000-0005-0000-0000-00003E260000}"/>
    <cellStyle name="B_BotRC_HK.EEV-Jun06 07-09 2006 (QF3) 21 2" xfId="6496" xr:uid="{00000000-0005-0000-0000-00003F260000}"/>
    <cellStyle name="B_BotRC_HK.EEV-Jun06 07-09 2006 (QF3) 21 3" xfId="26831" xr:uid="{00000000-0005-0000-0000-000040260000}"/>
    <cellStyle name="B_BotRC_HK.EEV-Jun06 07-09 2006 (QF3) 22" xfId="6497" xr:uid="{00000000-0005-0000-0000-000041260000}"/>
    <cellStyle name="B_BotRC_HK.EEV-Jun06 07-09 2006 (QF3) 22 2" xfId="6498" xr:uid="{00000000-0005-0000-0000-000042260000}"/>
    <cellStyle name="B_BotRC_HK.EEV-Jun06 07-09 2006 (QF3) 22 3" xfId="26832" xr:uid="{00000000-0005-0000-0000-000043260000}"/>
    <cellStyle name="B_BotRC_HK.EEV-Jun06 07-09 2006 (QF3) 23" xfId="6499" xr:uid="{00000000-0005-0000-0000-000044260000}"/>
    <cellStyle name="B_BotRC_HK.EEV-Jun06 07-09 2006 (QF3) 23 2" xfId="6500" xr:uid="{00000000-0005-0000-0000-000045260000}"/>
    <cellStyle name="B_BotRC_HK.EEV-Jun06 07-09 2006 (QF3) 23 3" xfId="26833" xr:uid="{00000000-0005-0000-0000-000046260000}"/>
    <cellStyle name="B_BotRC_HK.EEV-Jun06 07-09 2006 (QF3) 24" xfId="6501" xr:uid="{00000000-0005-0000-0000-000047260000}"/>
    <cellStyle name="B_BotRC_HK.EEV-Jun06 07-09 2006 (QF3) 25" xfId="26834" xr:uid="{00000000-0005-0000-0000-000048260000}"/>
    <cellStyle name="B_BotRC_HK.EEV-Jun06 07-09 2006 (QF3) 3" xfId="6502" xr:uid="{00000000-0005-0000-0000-000049260000}"/>
    <cellStyle name="B_BotRC_HK.EEV-Jun06 07-09 2006 (QF3) 3 2" xfId="6503" xr:uid="{00000000-0005-0000-0000-00004A260000}"/>
    <cellStyle name="B_BotRC_HK.EEV-Jun06 07-09 2006 (QF3) 3 3" xfId="26835" xr:uid="{00000000-0005-0000-0000-00004B260000}"/>
    <cellStyle name="B_BotRC_HK.EEV-Jun06 07-09 2006 (QF3) 4" xfId="6504" xr:uid="{00000000-0005-0000-0000-00004C260000}"/>
    <cellStyle name="B_BotRC_HK.EEV-Jun06 07-09 2006 (QF3) 4 2" xfId="6505" xr:uid="{00000000-0005-0000-0000-00004D260000}"/>
    <cellStyle name="B_BotRC_HK.EEV-Jun06 07-09 2006 (QF3) 4 3" xfId="26836" xr:uid="{00000000-0005-0000-0000-00004E260000}"/>
    <cellStyle name="B_BotRC_HK.EEV-Jun06 07-09 2006 (QF3) 5" xfId="6506" xr:uid="{00000000-0005-0000-0000-00004F260000}"/>
    <cellStyle name="B_BotRC_HK.EEV-Jun06 07-09 2006 (QF3) 5 2" xfId="6507" xr:uid="{00000000-0005-0000-0000-000050260000}"/>
    <cellStyle name="B_BotRC_HK.EEV-Jun06 07-09 2006 (QF3) 5 3" xfId="26837" xr:uid="{00000000-0005-0000-0000-000051260000}"/>
    <cellStyle name="B_BotRC_HK.EEV-Jun06 07-09 2006 (QF3) 6" xfId="6508" xr:uid="{00000000-0005-0000-0000-000052260000}"/>
    <cellStyle name="B_BotRC_HK.EEV-Jun06 07-09 2006 (QF3) 6 2" xfId="6509" xr:uid="{00000000-0005-0000-0000-000053260000}"/>
    <cellStyle name="B_BotRC_HK.EEV-Jun06 07-09 2006 (QF3) 6 3" xfId="26838" xr:uid="{00000000-0005-0000-0000-000054260000}"/>
    <cellStyle name="B_BotRC_HK.EEV-Jun06 07-09 2006 (QF3) 7" xfId="6510" xr:uid="{00000000-0005-0000-0000-000055260000}"/>
    <cellStyle name="B_BotRC_HK.EEV-Jun06 07-09 2006 (QF3) 7 2" xfId="6511" xr:uid="{00000000-0005-0000-0000-000056260000}"/>
    <cellStyle name="B_BotRC_HK.EEV-Jun06 07-09 2006 (QF3) 7 3" xfId="26839" xr:uid="{00000000-0005-0000-0000-000057260000}"/>
    <cellStyle name="B_BotRC_HK.EEV-Jun06 07-09 2006 (QF3) 8" xfId="6512" xr:uid="{00000000-0005-0000-0000-000058260000}"/>
    <cellStyle name="B_BotRC_HK.EEV-Jun06 07-09 2006 (QF3) 8 2" xfId="6513" xr:uid="{00000000-0005-0000-0000-000059260000}"/>
    <cellStyle name="B_BotRC_HK.EEV-Jun06 07-09 2006 (QF3) 8 3" xfId="26840" xr:uid="{00000000-0005-0000-0000-00005A260000}"/>
    <cellStyle name="B_BotRC_HK.EEV-Jun06 07-09 2006 (QF3) 9" xfId="6514" xr:uid="{00000000-0005-0000-0000-00005B260000}"/>
    <cellStyle name="B_BotRC_HK.EEV-Jun06 07-09 2006 (QF3) 9 2" xfId="6515" xr:uid="{00000000-0005-0000-0000-00005C260000}"/>
    <cellStyle name="B_BotRC_HK.EEV-Jun06 07-09 2006 (QF3) 9 3" xfId="26841" xr:uid="{00000000-0005-0000-0000-00005D260000}"/>
    <cellStyle name="B_BotRC_HK.EEV-Jun06 07-09 2006 (QF3)_PROD_DETAILS" xfId="6516" xr:uid="{00000000-0005-0000-0000-00005E260000}"/>
    <cellStyle name="B_BotRC_HK.EEV-Jun06 07-09 2006 (QF3)_PROD_DETAILS 2" xfId="6517" xr:uid="{00000000-0005-0000-0000-00005F260000}"/>
    <cellStyle name="B_BotRC_HK.EEV-Jun06 07-09 2006 (QF3)_PROD_DETAILS 3" xfId="26842" xr:uid="{00000000-0005-0000-0000-000060260000}"/>
    <cellStyle name="B_BotRC_HK.EEV-Jun06 07-09 2006 (QF3)_SOLVENCY POSITION " xfId="6518" xr:uid="{00000000-0005-0000-0000-000061260000}"/>
    <cellStyle name="B_BotRC_HK.EEV-Jun06 07-09 2006 (QF3)_SOLVENCY POSITION  2" xfId="6519" xr:uid="{00000000-0005-0000-0000-000062260000}"/>
    <cellStyle name="B_BotRC_HK.EEV-Jun06 07-09 2006 (QF3)_SOLVENCY POSITION  3" xfId="26843" xr:uid="{00000000-0005-0000-0000-000063260000}"/>
    <cellStyle name="B_BotRC_HK.EEV-May06 4+2" xfId="6520" xr:uid="{00000000-0005-0000-0000-000064260000}"/>
    <cellStyle name="B_BotRC_HK.EEV-May06 4+2 10" xfId="6521" xr:uid="{00000000-0005-0000-0000-000065260000}"/>
    <cellStyle name="B_BotRC_HK.EEV-May06 4+2 10 2" xfId="6522" xr:uid="{00000000-0005-0000-0000-000066260000}"/>
    <cellStyle name="B_BotRC_HK.EEV-May06 4+2 10 3" xfId="26844" xr:uid="{00000000-0005-0000-0000-000067260000}"/>
    <cellStyle name="B_BotRC_HK.EEV-May06 4+2 11" xfId="6523" xr:uid="{00000000-0005-0000-0000-000068260000}"/>
    <cellStyle name="B_BotRC_HK.EEV-May06 4+2 11 2" xfId="6524" xr:uid="{00000000-0005-0000-0000-000069260000}"/>
    <cellStyle name="B_BotRC_HK.EEV-May06 4+2 11 3" xfId="26845" xr:uid="{00000000-0005-0000-0000-00006A260000}"/>
    <cellStyle name="B_BotRC_HK.EEV-May06 4+2 12" xfId="6525" xr:uid="{00000000-0005-0000-0000-00006B260000}"/>
    <cellStyle name="B_BotRC_HK.EEV-May06 4+2 12 2" xfId="6526" xr:uid="{00000000-0005-0000-0000-00006C260000}"/>
    <cellStyle name="B_BotRC_HK.EEV-May06 4+2 12 3" xfId="26846" xr:uid="{00000000-0005-0000-0000-00006D260000}"/>
    <cellStyle name="B_BotRC_HK.EEV-May06 4+2 13" xfId="6527" xr:uid="{00000000-0005-0000-0000-00006E260000}"/>
    <cellStyle name="B_BotRC_HK.EEV-May06 4+2 13 2" xfId="6528" xr:uid="{00000000-0005-0000-0000-00006F260000}"/>
    <cellStyle name="B_BotRC_HK.EEV-May06 4+2 13 3" xfId="26847" xr:uid="{00000000-0005-0000-0000-000070260000}"/>
    <cellStyle name="B_BotRC_HK.EEV-May06 4+2 14" xfId="6529" xr:uid="{00000000-0005-0000-0000-000071260000}"/>
    <cellStyle name="B_BotRC_HK.EEV-May06 4+2 14 2" xfId="6530" xr:uid="{00000000-0005-0000-0000-000072260000}"/>
    <cellStyle name="B_BotRC_HK.EEV-May06 4+2 14 3" xfId="26848" xr:uid="{00000000-0005-0000-0000-000073260000}"/>
    <cellStyle name="B_BotRC_HK.EEV-May06 4+2 15" xfId="6531" xr:uid="{00000000-0005-0000-0000-000074260000}"/>
    <cellStyle name="B_BotRC_HK.EEV-May06 4+2 15 2" xfId="6532" xr:uid="{00000000-0005-0000-0000-000075260000}"/>
    <cellStyle name="B_BotRC_HK.EEV-May06 4+2 15 3" xfId="26849" xr:uid="{00000000-0005-0000-0000-000076260000}"/>
    <cellStyle name="B_BotRC_HK.EEV-May06 4+2 16" xfId="6533" xr:uid="{00000000-0005-0000-0000-000077260000}"/>
    <cellStyle name="B_BotRC_HK.EEV-May06 4+2 16 2" xfId="6534" xr:uid="{00000000-0005-0000-0000-000078260000}"/>
    <cellStyle name="B_BotRC_HK.EEV-May06 4+2 16 3" xfId="26850" xr:uid="{00000000-0005-0000-0000-000079260000}"/>
    <cellStyle name="B_BotRC_HK.EEV-May06 4+2 17" xfId="6535" xr:uid="{00000000-0005-0000-0000-00007A260000}"/>
    <cellStyle name="B_BotRC_HK.EEV-May06 4+2 17 2" xfId="6536" xr:uid="{00000000-0005-0000-0000-00007B260000}"/>
    <cellStyle name="B_BotRC_HK.EEV-May06 4+2 17 3" xfId="26851" xr:uid="{00000000-0005-0000-0000-00007C260000}"/>
    <cellStyle name="B_BotRC_HK.EEV-May06 4+2 18" xfId="6537" xr:uid="{00000000-0005-0000-0000-00007D260000}"/>
    <cellStyle name="B_BotRC_HK.EEV-May06 4+2 18 2" xfId="6538" xr:uid="{00000000-0005-0000-0000-00007E260000}"/>
    <cellStyle name="B_BotRC_HK.EEV-May06 4+2 18 3" xfId="26852" xr:uid="{00000000-0005-0000-0000-00007F260000}"/>
    <cellStyle name="B_BotRC_HK.EEV-May06 4+2 19" xfId="6539" xr:uid="{00000000-0005-0000-0000-000080260000}"/>
    <cellStyle name="B_BotRC_HK.EEV-May06 4+2 19 2" xfId="6540" xr:uid="{00000000-0005-0000-0000-000081260000}"/>
    <cellStyle name="B_BotRC_HK.EEV-May06 4+2 19 3" xfId="26853" xr:uid="{00000000-0005-0000-0000-000082260000}"/>
    <cellStyle name="B_BotRC_HK.EEV-May06 4+2 2" xfId="6541" xr:uid="{00000000-0005-0000-0000-000083260000}"/>
    <cellStyle name="B_BotRC_HK.EEV-May06 4+2 2 2" xfId="6542" xr:uid="{00000000-0005-0000-0000-000084260000}"/>
    <cellStyle name="B_BotRC_HK.EEV-May06 4+2 2 3" xfId="26854" xr:uid="{00000000-0005-0000-0000-000085260000}"/>
    <cellStyle name="B_BotRC_HK.EEV-May06 4+2 20" xfId="6543" xr:uid="{00000000-0005-0000-0000-000086260000}"/>
    <cellStyle name="B_BotRC_HK.EEV-May06 4+2 20 2" xfId="6544" xr:uid="{00000000-0005-0000-0000-000087260000}"/>
    <cellStyle name="B_BotRC_HK.EEV-May06 4+2 20 3" xfId="26855" xr:uid="{00000000-0005-0000-0000-000088260000}"/>
    <cellStyle name="B_BotRC_HK.EEV-May06 4+2 21" xfId="6545" xr:uid="{00000000-0005-0000-0000-000089260000}"/>
    <cellStyle name="B_BotRC_HK.EEV-May06 4+2 21 2" xfId="6546" xr:uid="{00000000-0005-0000-0000-00008A260000}"/>
    <cellStyle name="B_BotRC_HK.EEV-May06 4+2 21 3" xfId="26856" xr:uid="{00000000-0005-0000-0000-00008B260000}"/>
    <cellStyle name="B_BotRC_HK.EEV-May06 4+2 22" xfId="6547" xr:uid="{00000000-0005-0000-0000-00008C260000}"/>
    <cellStyle name="B_BotRC_HK.EEV-May06 4+2 22 2" xfId="6548" xr:uid="{00000000-0005-0000-0000-00008D260000}"/>
    <cellStyle name="B_BotRC_HK.EEV-May06 4+2 22 3" xfId="26857" xr:uid="{00000000-0005-0000-0000-00008E260000}"/>
    <cellStyle name="B_BotRC_HK.EEV-May06 4+2 23" xfId="6549" xr:uid="{00000000-0005-0000-0000-00008F260000}"/>
    <cellStyle name="B_BotRC_HK.EEV-May06 4+2 23 2" xfId="6550" xr:uid="{00000000-0005-0000-0000-000090260000}"/>
    <cellStyle name="B_BotRC_HK.EEV-May06 4+2 23 3" xfId="26858" xr:uid="{00000000-0005-0000-0000-000091260000}"/>
    <cellStyle name="B_BotRC_HK.EEV-May06 4+2 24" xfId="6551" xr:uid="{00000000-0005-0000-0000-000092260000}"/>
    <cellStyle name="B_BotRC_HK.EEV-May06 4+2 25" xfId="26859" xr:uid="{00000000-0005-0000-0000-000093260000}"/>
    <cellStyle name="B_BotRC_HK.EEV-May06 4+2 3" xfId="6552" xr:uid="{00000000-0005-0000-0000-000094260000}"/>
    <cellStyle name="B_BotRC_HK.EEV-May06 4+2 3 2" xfId="6553" xr:uid="{00000000-0005-0000-0000-000095260000}"/>
    <cellStyle name="B_BotRC_HK.EEV-May06 4+2 3 3" xfId="26860" xr:uid="{00000000-0005-0000-0000-000096260000}"/>
    <cellStyle name="B_BotRC_HK.EEV-May06 4+2 4" xfId="6554" xr:uid="{00000000-0005-0000-0000-000097260000}"/>
    <cellStyle name="B_BotRC_HK.EEV-May06 4+2 4 2" xfId="6555" xr:uid="{00000000-0005-0000-0000-000098260000}"/>
    <cellStyle name="B_BotRC_HK.EEV-May06 4+2 4 3" xfId="26861" xr:uid="{00000000-0005-0000-0000-000099260000}"/>
    <cellStyle name="B_BotRC_HK.EEV-May06 4+2 5" xfId="6556" xr:uid="{00000000-0005-0000-0000-00009A260000}"/>
    <cellStyle name="B_BotRC_HK.EEV-May06 4+2 5 2" xfId="6557" xr:uid="{00000000-0005-0000-0000-00009B260000}"/>
    <cellStyle name="B_BotRC_HK.EEV-May06 4+2 5 3" xfId="26862" xr:uid="{00000000-0005-0000-0000-00009C260000}"/>
    <cellStyle name="B_BotRC_HK.EEV-May06 4+2 6" xfId="6558" xr:uid="{00000000-0005-0000-0000-00009D260000}"/>
    <cellStyle name="B_BotRC_HK.EEV-May06 4+2 6 2" xfId="6559" xr:uid="{00000000-0005-0000-0000-00009E260000}"/>
    <cellStyle name="B_BotRC_HK.EEV-May06 4+2 6 3" xfId="26863" xr:uid="{00000000-0005-0000-0000-00009F260000}"/>
    <cellStyle name="B_BotRC_HK.EEV-May06 4+2 7" xfId="6560" xr:uid="{00000000-0005-0000-0000-0000A0260000}"/>
    <cellStyle name="B_BotRC_HK.EEV-May06 4+2 7 2" xfId="6561" xr:uid="{00000000-0005-0000-0000-0000A1260000}"/>
    <cellStyle name="B_BotRC_HK.EEV-May06 4+2 7 3" xfId="26864" xr:uid="{00000000-0005-0000-0000-0000A2260000}"/>
    <cellStyle name="B_BotRC_HK.EEV-May06 4+2 8" xfId="6562" xr:uid="{00000000-0005-0000-0000-0000A3260000}"/>
    <cellStyle name="B_BotRC_HK.EEV-May06 4+2 8 2" xfId="6563" xr:uid="{00000000-0005-0000-0000-0000A4260000}"/>
    <cellStyle name="B_BotRC_HK.EEV-May06 4+2 8 3" xfId="26865" xr:uid="{00000000-0005-0000-0000-0000A5260000}"/>
    <cellStyle name="B_BotRC_HK.EEV-May06 4+2 9" xfId="6564" xr:uid="{00000000-0005-0000-0000-0000A6260000}"/>
    <cellStyle name="B_BotRC_HK.EEV-May06 4+2 9 2" xfId="6565" xr:uid="{00000000-0005-0000-0000-0000A7260000}"/>
    <cellStyle name="B_BotRC_HK.EEV-May06 4+2 9 3" xfId="26866" xr:uid="{00000000-0005-0000-0000-0000A8260000}"/>
    <cellStyle name="B_BotRC_HK.EEV-May06 4+2_HK.EEV-May06 4+2 kkh" xfId="6566" xr:uid="{00000000-0005-0000-0000-0000A9260000}"/>
    <cellStyle name="B_BotRC_HK.EEV-May06 4+2_HK.EEV-May06 4+2 kkh 10" xfId="6567" xr:uid="{00000000-0005-0000-0000-0000AA260000}"/>
    <cellStyle name="B_BotRC_HK.EEV-May06 4+2_HK.EEV-May06 4+2 kkh 10 2" xfId="6568" xr:uid="{00000000-0005-0000-0000-0000AB260000}"/>
    <cellStyle name="B_BotRC_HK.EEV-May06 4+2_HK.EEV-May06 4+2 kkh 10 3" xfId="26867" xr:uid="{00000000-0005-0000-0000-0000AC260000}"/>
    <cellStyle name="B_BotRC_HK.EEV-May06 4+2_HK.EEV-May06 4+2 kkh 11" xfId="6569" xr:uid="{00000000-0005-0000-0000-0000AD260000}"/>
    <cellStyle name="B_BotRC_HK.EEV-May06 4+2_HK.EEV-May06 4+2 kkh 11 2" xfId="6570" xr:uid="{00000000-0005-0000-0000-0000AE260000}"/>
    <cellStyle name="B_BotRC_HK.EEV-May06 4+2_HK.EEV-May06 4+2 kkh 11 3" xfId="26868" xr:uid="{00000000-0005-0000-0000-0000AF260000}"/>
    <cellStyle name="B_BotRC_HK.EEV-May06 4+2_HK.EEV-May06 4+2 kkh 12" xfId="6571" xr:uid="{00000000-0005-0000-0000-0000B0260000}"/>
    <cellStyle name="B_BotRC_HK.EEV-May06 4+2_HK.EEV-May06 4+2 kkh 12 2" xfId="6572" xr:uid="{00000000-0005-0000-0000-0000B1260000}"/>
    <cellStyle name="B_BotRC_HK.EEV-May06 4+2_HK.EEV-May06 4+2 kkh 12 3" xfId="26869" xr:uid="{00000000-0005-0000-0000-0000B2260000}"/>
    <cellStyle name="B_BotRC_HK.EEV-May06 4+2_HK.EEV-May06 4+2 kkh 13" xfId="6573" xr:uid="{00000000-0005-0000-0000-0000B3260000}"/>
    <cellStyle name="B_BotRC_HK.EEV-May06 4+2_HK.EEV-May06 4+2 kkh 13 2" xfId="6574" xr:uid="{00000000-0005-0000-0000-0000B4260000}"/>
    <cellStyle name="B_BotRC_HK.EEV-May06 4+2_HK.EEV-May06 4+2 kkh 13 3" xfId="26870" xr:uid="{00000000-0005-0000-0000-0000B5260000}"/>
    <cellStyle name="B_BotRC_HK.EEV-May06 4+2_HK.EEV-May06 4+2 kkh 14" xfId="6575" xr:uid="{00000000-0005-0000-0000-0000B6260000}"/>
    <cellStyle name="B_BotRC_HK.EEV-May06 4+2_HK.EEV-May06 4+2 kkh 14 2" xfId="6576" xr:uid="{00000000-0005-0000-0000-0000B7260000}"/>
    <cellStyle name="B_BotRC_HK.EEV-May06 4+2_HK.EEV-May06 4+2 kkh 14 3" xfId="26871" xr:uid="{00000000-0005-0000-0000-0000B8260000}"/>
    <cellStyle name="B_BotRC_HK.EEV-May06 4+2_HK.EEV-May06 4+2 kkh 15" xfId="6577" xr:uid="{00000000-0005-0000-0000-0000B9260000}"/>
    <cellStyle name="B_BotRC_HK.EEV-May06 4+2_HK.EEV-May06 4+2 kkh 15 2" xfId="6578" xr:uid="{00000000-0005-0000-0000-0000BA260000}"/>
    <cellStyle name="B_BotRC_HK.EEV-May06 4+2_HK.EEV-May06 4+2 kkh 15 3" xfId="26872" xr:uid="{00000000-0005-0000-0000-0000BB260000}"/>
    <cellStyle name="B_BotRC_HK.EEV-May06 4+2_HK.EEV-May06 4+2 kkh 16" xfId="6579" xr:uid="{00000000-0005-0000-0000-0000BC260000}"/>
    <cellStyle name="B_BotRC_HK.EEV-May06 4+2_HK.EEV-May06 4+2 kkh 16 2" xfId="6580" xr:uid="{00000000-0005-0000-0000-0000BD260000}"/>
    <cellStyle name="B_BotRC_HK.EEV-May06 4+2_HK.EEV-May06 4+2 kkh 16 3" xfId="26873" xr:uid="{00000000-0005-0000-0000-0000BE260000}"/>
    <cellStyle name="B_BotRC_HK.EEV-May06 4+2_HK.EEV-May06 4+2 kkh 17" xfId="6581" xr:uid="{00000000-0005-0000-0000-0000BF260000}"/>
    <cellStyle name="B_BotRC_HK.EEV-May06 4+2_HK.EEV-May06 4+2 kkh 17 2" xfId="6582" xr:uid="{00000000-0005-0000-0000-0000C0260000}"/>
    <cellStyle name="B_BotRC_HK.EEV-May06 4+2_HK.EEV-May06 4+2 kkh 17 3" xfId="26874" xr:uid="{00000000-0005-0000-0000-0000C1260000}"/>
    <cellStyle name="B_BotRC_HK.EEV-May06 4+2_HK.EEV-May06 4+2 kkh 18" xfId="6583" xr:uid="{00000000-0005-0000-0000-0000C2260000}"/>
    <cellStyle name="B_BotRC_HK.EEV-May06 4+2_HK.EEV-May06 4+2 kkh 18 2" xfId="6584" xr:uid="{00000000-0005-0000-0000-0000C3260000}"/>
    <cellStyle name="B_BotRC_HK.EEV-May06 4+2_HK.EEV-May06 4+2 kkh 18 3" xfId="26875" xr:uid="{00000000-0005-0000-0000-0000C4260000}"/>
    <cellStyle name="B_BotRC_HK.EEV-May06 4+2_HK.EEV-May06 4+2 kkh 19" xfId="6585" xr:uid="{00000000-0005-0000-0000-0000C5260000}"/>
    <cellStyle name="B_BotRC_HK.EEV-May06 4+2_HK.EEV-May06 4+2 kkh 19 2" xfId="6586" xr:uid="{00000000-0005-0000-0000-0000C6260000}"/>
    <cellStyle name="B_BotRC_HK.EEV-May06 4+2_HK.EEV-May06 4+2 kkh 19 3" xfId="26876" xr:uid="{00000000-0005-0000-0000-0000C7260000}"/>
    <cellStyle name="B_BotRC_HK.EEV-May06 4+2_HK.EEV-May06 4+2 kkh 2" xfId="6587" xr:uid="{00000000-0005-0000-0000-0000C8260000}"/>
    <cellStyle name="B_BotRC_HK.EEV-May06 4+2_HK.EEV-May06 4+2 kkh 2 2" xfId="6588" xr:uid="{00000000-0005-0000-0000-0000C9260000}"/>
    <cellStyle name="B_BotRC_HK.EEV-May06 4+2_HK.EEV-May06 4+2 kkh 2 3" xfId="26877" xr:uid="{00000000-0005-0000-0000-0000CA260000}"/>
    <cellStyle name="B_BotRC_HK.EEV-May06 4+2_HK.EEV-May06 4+2 kkh 20" xfId="6589" xr:uid="{00000000-0005-0000-0000-0000CB260000}"/>
    <cellStyle name="B_BotRC_HK.EEV-May06 4+2_HK.EEV-May06 4+2 kkh 20 2" xfId="6590" xr:uid="{00000000-0005-0000-0000-0000CC260000}"/>
    <cellStyle name="B_BotRC_HK.EEV-May06 4+2_HK.EEV-May06 4+2 kkh 20 3" xfId="26878" xr:uid="{00000000-0005-0000-0000-0000CD260000}"/>
    <cellStyle name="B_BotRC_HK.EEV-May06 4+2_HK.EEV-May06 4+2 kkh 21" xfId="6591" xr:uid="{00000000-0005-0000-0000-0000CE260000}"/>
    <cellStyle name="B_BotRC_HK.EEV-May06 4+2_HK.EEV-May06 4+2 kkh 21 2" xfId="6592" xr:uid="{00000000-0005-0000-0000-0000CF260000}"/>
    <cellStyle name="B_BotRC_HK.EEV-May06 4+2_HK.EEV-May06 4+2 kkh 21 3" xfId="26879" xr:uid="{00000000-0005-0000-0000-0000D0260000}"/>
    <cellStyle name="B_BotRC_HK.EEV-May06 4+2_HK.EEV-May06 4+2 kkh 22" xfId="6593" xr:uid="{00000000-0005-0000-0000-0000D1260000}"/>
    <cellStyle name="B_BotRC_HK.EEV-May06 4+2_HK.EEV-May06 4+2 kkh 22 2" xfId="6594" xr:uid="{00000000-0005-0000-0000-0000D2260000}"/>
    <cellStyle name="B_BotRC_HK.EEV-May06 4+2_HK.EEV-May06 4+2 kkh 22 3" xfId="26880" xr:uid="{00000000-0005-0000-0000-0000D3260000}"/>
    <cellStyle name="B_BotRC_HK.EEV-May06 4+2_HK.EEV-May06 4+2 kkh 23" xfId="6595" xr:uid="{00000000-0005-0000-0000-0000D4260000}"/>
    <cellStyle name="B_BotRC_HK.EEV-May06 4+2_HK.EEV-May06 4+2 kkh 23 2" xfId="6596" xr:uid="{00000000-0005-0000-0000-0000D5260000}"/>
    <cellStyle name="B_BotRC_HK.EEV-May06 4+2_HK.EEV-May06 4+2 kkh 23 3" xfId="26881" xr:uid="{00000000-0005-0000-0000-0000D6260000}"/>
    <cellStyle name="B_BotRC_HK.EEV-May06 4+2_HK.EEV-May06 4+2 kkh 24" xfId="6597" xr:uid="{00000000-0005-0000-0000-0000D7260000}"/>
    <cellStyle name="B_BotRC_HK.EEV-May06 4+2_HK.EEV-May06 4+2 kkh 25" xfId="26882" xr:uid="{00000000-0005-0000-0000-0000D8260000}"/>
    <cellStyle name="B_BotRC_HK.EEV-May06 4+2_HK.EEV-May06 4+2 kkh 3" xfId="6598" xr:uid="{00000000-0005-0000-0000-0000D9260000}"/>
    <cellStyle name="B_BotRC_HK.EEV-May06 4+2_HK.EEV-May06 4+2 kkh 3 2" xfId="6599" xr:uid="{00000000-0005-0000-0000-0000DA260000}"/>
    <cellStyle name="B_BotRC_HK.EEV-May06 4+2_HK.EEV-May06 4+2 kkh 3 3" xfId="26883" xr:uid="{00000000-0005-0000-0000-0000DB260000}"/>
    <cellStyle name="B_BotRC_HK.EEV-May06 4+2_HK.EEV-May06 4+2 kkh 4" xfId="6600" xr:uid="{00000000-0005-0000-0000-0000DC260000}"/>
    <cellStyle name="B_BotRC_HK.EEV-May06 4+2_HK.EEV-May06 4+2 kkh 4 2" xfId="6601" xr:uid="{00000000-0005-0000-0000-0000DD260000}"/>
    <cellStyle name="B_BotRC_HK.EEV-May06 4+2_HK.EEV-May06 4+2 kkh 4 3" xfId="26884" xr:uid="{00000000-0005-0000-0000-0000DE260000}"/>
    <cellStyle name="B_BotRC_HK.EEV-May06 4+2_HK.EEV-May06 4+2 kkh 5" xfId="6602" xr:uid="{00000000-0005-0000-0000-0000DF260000}"/>
    <cellStyle name="B_BotRC_HK.EEV-May06 4+2_HK.EEV-May06 4+2 kkh 5 2" xfId="6603" xr:uid="{00000000-0005-0000-0000-0000E0260000}"/>
    <cellStyle name="B_BotRC_HK.EEV-May06 4+2_HK.EEV-May06 4+2 kkh 5 3" xfId="26885" xr:uid="{00000000-0005-0000-0000-0000E1260000}"/>
    <cellStyle name="B_BotRC_HK.EEV-May06 4+2_HK.EEV-May06 4+2 kkh 6" xfId="6604" xr:uid="{00000000-0005-0000-0000-0000E2260000}"/>
    <cellStyle name="B_BotRC_HK.EEV-May06 4+2_HK.EEV-May06 4+2 kkh 6 2" xfId="6605" xr:uid="{00000000-0005-0000-0000-0000E3260000}"/>
    <cellStyle name="B_BotRC_HK.EEV-May06 4+2_HK.EEV-May06 4+2 kkh 6 3" xfId="26886" xr:uid="{00000000-0005-0000-0000-0000E4260000}"/>
    <cellStyle name="B_BotRC_HK.EEV-May06 4+2_HK.EEV-May06 4+2 kkh 7" xfId="6606" xr:uid="{00000000-0005-0000-0000-0000E5260000}"/>
    <cellStyle name="B_BotRC_HK.EEV-May06 4+2_HK.EEV-May06 4+2 kkh 7 2" xfId="6607" xr:uid="{00000000-0005-0000-0000-0000E6260000}"/>
    <cellStyle name="B_BotRC_HK.EEV-May06 4+2_HK.EEV-May06 4+2 kkh 7 3" xfId="26887" xr:uid="{00000000-0005-0000-0000-0000E7260000}"/>
    <cellStyle name="B_BotRC_HK.EEV-May06 4+2_HK.EEV-May06 4+2 kkh 8" xfId="6608" xr:uid="{00000000-0005-0000-0000-0000E8260000}"/>
    <cellStyle name="B_BotRC_HK.EEV-May06 4+2_HK.EEV-May06 4+2 kkh 8 2" xfId="6609" xr:uid="{00000000-0005-0000-0000-0000E9260000}"/>
    <cellStyle name="B_BotRC_HK.EEV-May06 4+2_HK.EEV-May06 4+2 kkh 8 3" xfId="26888" xr:uid="{00000000-0005-0000-0000-0000EA260000}"/>
    <cellStyle name="B_BotRC_HK.EEV-May06 4+2_HK.EEV-May06 4+2 kkh 9" xfId="6610" xr:uid="{00000000-0005-0000-0000-0000EB260000}"/>
    <cellStyle name="B_BotRC_HK.EEV-May06 4+2_HK.EEV-May06 4+2 kkh 9 2" xfId="6611" xr:uid="{00000000-0005-0000-0000-0000EC260000}"/>
    <cellStyle name="B_BotRC_HK.EEV-May06 4+2_HK.EEV-May06 4+2 kkh 9 3" xfId="26889" xr:uid="{00000000-0005-0000-0000-0000ED260000}"/>
    <cellStyle name="B_BotRC_HK.EEV-May06 4+2_HK.EEV-May06 4+2 kkh_PROD_DETAILS" xfId="6612" xr:uid="{00000000-0005-0000-0000-0000EE260000}"/>
    <cellStyle name="B_BotRC_HK.EEV-May06 4+2_HK.EEV-May06 4+2 kkh_PROD_DETAILS 2" xfId="6613" xr:uid="{00000000-0005-0000-0000-0000EF260000}"/>
    <cellStyle name="B_BotRC_HK.EEV-May06 4+2_HK.EEV-May06 4+2 kkh_PROD_DETAILS 3" xfId="26890" xr:uid="{00000000-0005-0000-0000-0000F0260000}"/>
    <cellStyle name="B_BotRC_HK.EEV-May06 4+2_HK.EEV-May06 4+2 kkh_SOLVENCY POSITION " xfId="6614" xr:uid="{00000000-0005-0000-0000-0000F1260000}"/>
    <cellStyle name="B_BotRC_HK.EEV-May06 4+2_HK.EEV-May06 4+2 kkh_SOLVENCY POSITION  2" xfId="6615" xr:uid="{00000000-0005-0000-0000-0000F2260000}"/>
    <cellStyle name="B_BotRC_HK.EEV-May06 4+2_HK.EEV-May06 4+2 kkh_SOLVENCY POSITION  3" xfId="26891" xr:uid="{00000000-0005-0000-0000-0000F3260000}"/>
    <cellStyle name="B_BotRC_HK.EEV-May06 4+2_PROD_DETAILS" xfId="6616" xr:uid="{00000000-0005-0000-0000-0000F4260000}"/>
    <cellStyle name="B_BotRC_HK.EEV-May06 4+2_PROD_DETAILS 2" xfId="6617" xr:uid="{00000000-0005-0000-0000-0000F5260000}"/>
    <cellStyle name="B_BotRC_HK.EEV-May06 4+2_PROD_DETAILS 3" xfId="26892" xr:uid="{00000000-0005-0000-0000-0000F6260000}"/>
    <cellStyle name="B_BotRC_HK.EEV-May06 4+2_SOLVENCY POSITION " xfId="6618" xr:uid="{00000000-0005-0000-0000-0000F7260000}"/>
    <cellStyle name="B_BotRC_HK.EEV-May06 4+2_SOLVENCY POSITION  2" xfId="6619" xr:uid="{00000000-0005-0000-0000-0000F8260000}"/>
    <cellStyle name="B_BotRC_HK.EEV-May06 4+2_SOLVENCY POSITION  3" xfId="26893" xr:uid="{00000000-0005-0000-0000-0000F9260000}"/>
    <cellStyle name="B_BotRC_HK.NBC@Mar2006" xfId="6620" xr:uid="{00000000-0005-0000-0000-0000FA260000}"/>
    <cellStyle name="B_BotRC_HK.NBC@Mar2006 10" xfId="6621" xr:uid="{00000000-0005-0000-0000-0000FB260000}"/>
    <cellStyle name="B_BotRC_HK.NBC@Mar2006 10 2" xfId="6622" xr:uid="{00000000-0005-0000-0000-0000FC260000}"/>
    <cellStyle name="B_BotRC_HK.NBC@Mar2006 10 3" xfId="26894" xr:uid="{00000000-0005-0000-0000-0000FD260000}"/>
    <cellStyle name="B_BotRC_HK.NBC@Mar2006 11" xfId="6623" xr:uid="{00000000-0005-0000-0000-0000FE260000}"/>
    <cellStyle name="B_BotRC_HK.NBC@Mar2006 11 2" xfId="6624" xr:uid="{00000000-0005-0000-0000-0000FF260000}"/>
    <cellStyle name="B_BotRC_HK.NBC@Mar2006 11 3" xfId="26895" xr:uid="{00000000-0005-0000-0000-000000270000}"/>
    <cellStyle name="B_BotRC_HK.NBC@Mar2006 12" xfId="6625" xr:uid="{00000000-0005-0000-0000-000001270000}"/>
    <cellStyle name="B_BotRC_HK.NBC@Mar2006 12 2" xfId="6626" xr:uid="{00000000-0005-0000-0000-000002270000}"/>
    <cellStyle name="B_BotRC_HK.NBC@Mar2006 12 3" xfId="26896" xr:uid="{00000000-0005-0000-0000-000003270000}"/>
    <cellStyle name="B_BotRC_HK.NBC@Mar2006 13" xfId="6627" xr:uid="{00000000-0005-0000-0000-000004270000}"/>
    <cellStyle name="B_BotRC_HK.NBC@Mar2006 13 2" xfId="6628" xr:uid="{00000000-0005-0000-0000-000005270000}"/>
    <cellStyle name="B_BotRC_HK.NBC@Mar2006 13 3" xfId="26897" xr:uid="{00000000-0005-0000-0000-000006270000}"/>
    <cellStyle name="B_BotRC_HK.NBC@Mar2006 14" xfId="6629" xr:uid="{00000000-0005-0000-0000-000007270000}"/>
    <cellStyle name="B_BotRC_HK.NBC@Mar2006 14 2" xfId="6630" xr:uid="{00000000-0005-0000-0000-000008270000}"/>
    <cellStyle name="B_BotRC_HK.NBC@Mar2006 14 3" xfId="26898" xr:uid="{00000000-0005-0000-0000-000009270000}"/>
    <cellStyle name="B_BotRC_HK.NBC@Mar2006 15" xfId="6631" xr:uid="{00000000-0005-0000-0000-00000A270000}"/>
    <cellStyle name="B_BotRC_HK.NBC@Mar2006 15 2" xfId="6632" xr:uid="{00000000-0005-0000-0000-00000B270000}"/>
    <cellStyle name="B_BotRC_HK.NBC@Mar2006 15 3" xfId="26899" xr:uid="{00000000-0005-0000-0000-00000C270000}"/>
    <cellStyle name="B_BotRC_HK.NBC@Mar2006 16" xfId="6633" xr:uid="{00000000-0005-0000-0000-00000D270000}"/>
    <cellStyle name="B_BotRC_HK.NBC@Mar2006 16 2" xfId="6634" xr:uid="{00000000-0005-0000-0000-00000E270000}"/>
    <cellStyle name="B_BotRC_HK.NBC@Mar2006 16 3" xfId="26900" xr:uid="{00000000-0005-0000-0000-00000F270000}"/>
    <cellStyle name="B_BotRC_HK.NBC@Mar2006 17" xfId="6635" xr:uid="{00000000-0005-0000-0000-000010270000}"/>
    <cellStyle name="B_BotRC_HK.NBC@Mar2006 17 2" xfId="6636" xr:uid="{00000000-0005-0000-0000-000011270000}"/>
    <cellStyle name="B_BotRC_HK.NBC@Mar2006 17 3" xfId="26901" xr:uid="{00000000-0005-0000-0000-000012270000}"/>
    <cellStyle name="B_BotRC_HK.NBC@Mar2006 18" xfId="6637" xr:uid="{00000000-0005-0000-0000-000013270000}"/>
    <cellStyle name="B_BotRC_HK.NBC@Mar2006 18 2" xfId="6638" xr:uid="{00000000-0005-0000-0000-000014270000}"/>
    <cellStyle name="B_BotRC_HK.NBC@Mar2006 18 3" xfId="26902" xr:uid="{00000000-0005-0000-0000-000015270000}"/>
    <cellStyle name="B_BotRC_HK.NBC@Mar2006 19" xfId="6639" xr:uid="{00000000-0005-0000-0000-000016270000}"/>
    <cellStyle name="B_BotRC_HK.NBC@Mar2006 19 2" xfId="6640" xr:uid="{00000000-0005-0000-0000-000017270000}"/>
    <cellStyle name="B_BotRC_HK.NBC@Mar2006 19 3" xfId="26903" xr:uid="{00000000-0005-0000-0000-000018270000}"/>
    <cellStyle name="B_BotRC_HK.NBC@Mar2006 2" xfId="6641" xr:uid="{00000000-0005-0000-0000-000019270000}"/>
    <cellStyle name="B_BotRC_HK.NBC@Mar2006 2 2" xfId="6642" xr:uid="{00000000-0005-0000-0000-00001A270000}"/>
    <cellStyle name="B_BotRC_HK.NBC@Mar2006 2 3" xfId="26904" xr:uid="{00000000-0005-0000-0000-00001B270000}"/>
    <cellStyle name="B_BotRC_HK.NBC@Mar2006 20" xfId="6643" xr:uid="{00000000-0005-0000-0000-00001C270000}"/>
    <cellStyle name="B_BotRC_HK.NBC@Mar2006 20 2" xfId="6644" xr:uid="{00000000-0005-0000-0000-00001D270000}"/>
    <cellStyle name="B_BotRC_HK.NBC@Mar2006 20 3" xfId="26905" xr:uid="{00000000-0005-0000-0000-00001E270000}"/>
    <cellStyle name="B_BotRC_HK.NBC@Mar2006 21" xfId="6645" xr:uid="{00000000-0005-0000-0000-00001F270000}"/>
    <cellStyle name="B_BotRC_HK.NBC@Mar2006 21 2" xfId="6646" xr:uid="{00000000-0005-0000-0000-000020270000}"/>
    <cellStyle name="B_BotRC_HK.NBC@Mar2006 21 3" xfId="26906" xr:uid="{00000000-0005-0000-0000-000021270000}"/>
    <cellStyle name="B_BotRC_HK.NBC@Mar2006 22" xfId="6647" xr:uid="{00000000-0005-0000-0000-000022270000}"/>
    <cellStyle name="B_BotRC_HK.NBC@Mar2006 22 2" xfId="6648" xr:uid="{00000000-0005-0000-0000-000023270000}"/>
    <cellStyle name="B_BotRC_HK.NBC@Mar2006 22 3" xfId="26907" xr:uid="{00000000-0005-0000-0000-000024270000}"/>
    <cellStyle name="B_BotRC_HK.NBC@Mar2006 23" xfId="6649" xr:uid="{00000000-0005-0000-0000-000025270000}"/>
    <cellStyle name="B_BotRC_HK.NBC@Mar2006 23 2" xfId="6650" xr:uid="{00000000-0005-0000-0000-000026270000}"/>
    <cellStyle name="B_BotRC_HK.NBC@Mar2006 23 3" xfId="26908" xr:uid="{00000000-0005-0000-0000-000027270000}"/>
    <cellStyle name="B_BotRC_HK.NBC@Mar2006 24" xfId="6651" xr:uid="{00000000-0005-0000-0000-000028270000}"/>
    <cellStyle name="B_BotRC_HK.NBC@Mar2006 25" xfId="26909" xr:uid="{00000000-0005-0000-0000-000029270000}"/>
    <cellStyle name="B_BotRC_HK.NBC@Mar2006 3" xfId="6652" xr:uid="{00000000-0005-0000-0000-00002A270000}"/>
    <cellStyle name="B_BotRC_HK.NBC@Mar2006 3 2" xfId="6653" xr:uid="{00000000-0005-0000-0000-00002B270000}"/>
    <cellStyle name="B_BotRC_HK.NBC@Mar2006 3 3" xfId="26910" xr:uid="{00000000-0005-0000-0000-00002C270000}"/>
    <cellStyle name="B_BotRC_HK.NBC@Mar2006 4" xfId="6654" xr:uid="{00000000-0005-0000-0000-00002D270000}"/>
    <cellStyle name="B_BotRC_HK.NBC@Mar2006 4 2" xfId="6655" xr:uid="{00000000-0005-0000-0000-00002E270000}"/>
    <cellStyle name="B_BotRC_HK.NBC@Mar2006 4 3" xfId="26911" xr:uid="{00000000-0005-0000-0000-00002F270000}"/>
    <cellStyle name="B_BotRC_HK.NBC@Mar2006 5" xfId="6656" xr:uid="{00000000-0005-0000-0000-000030270000}"/>
    <cellStyle name="B_BotRC_HK.NBC@Mar2006 5 2" xfId="6657" xr:uid="{00000000-0005-0000-0000-000031270000}"/>
    <cellStyle name="B_BotRC_HK.NBC@Mar2006 5 3" xfId="26912" xr:uid="{00000000-0005-0000-0000-000032270000}"/>
    <cellStyle name="B_BotRC_HK.NBC@Mar2006 6" xfId="6658" xr:uid="{00000000-0005-0000-0000-000033270000}"/>
    <cellStyle name="B_BotRC_HK.NBC@Mar2006 6 2" xfId="6659" xr:uid="{00000000-0005-0000-0000-000034270000}"/>
    <cellStyle name="B_BotRC_HK.NBC@Mar2006 6 3" xfId="26913" xr:uid="{00000000-0005-0000-0000-000035270000}"/>
    <cellStyle name="B_BotRC_HK.NBC@Mar2006 7" xfId="6660" xr:uid="{00000000-0005-0000-0000-000036270000}"/>
    <cellStyle name="B_BotRC_HK.NBC@Mar2006 7 2" xfId="6661" xr:uid="{00000000-0005-0000-0000-000037270000}"/>
    <cellStyle name="B_BotRC_HK.NBC@Mar2006 7 3" xfId="26914" xr:uid="{00000000-0005-0000-0000-000038270000}"/>
    <cellStyle name="B_BotRC_HK.NBC@Mar2006 8" xfId="6662" xr:uid="{00000000-0005-0000-0000-000039270000}"/>
    <cellStyle name="B_BotRC_HK.NBC@Mar2006 8 2" xfId="6663" xr:uid="{00000000-0005-0000-0000-00003A270000}"/>
    <cellStyle name="B_BotRC_HK.NBC@Mar2006 8 3" xfId="26915" xr:uid="{00000000-0005-0000-0000-00003B270000}"/>
    <cellStyle name="B_BotRC_HK.NBC@Mar2006 9" xfId="6664" xr:uid="{00000000-0005-0000-0000-00003C270000}"/>
    <cellStyle name="B_BotRC_HK.NBC@Mar2006 9 2" xfId="6665" xr:uid="{00000000-0005-0000-0000-00003D270000}"/>
    <cellStyle name="B_BotRC_HK.NBC@Mar2006 9 3" xfId="26916" xr:uid="{00000000-0005-0000-0000-00003E270000}"/>
    <cellStyle name="B_BotRC_HK.NBC@Mar2006_HK.EEV-May06 4+2 kkh" xfId="6666" xr:uid="{00000000-0005-0000-0000-00003F270000}"/>
    <cellStyle name="B_BotRC_HK.NBC@Mar2006_HK.EEV-May06 4+2 kkh 10" xfId="6667" xr:uid="{00000000-0005-0000-0000-000040270000}"/>
    <cellStyle name="B_BotRC_HK.NBC@Mar2006_HK.EEV-May06 4+2 kkh 10 2" xfId="6668" xr:uid="{00000000-0005-0000-0000-000041270000}"/>
    <cellStyle name="B_BotRC_HK.NBC@Mar2006_HK.EEV-May06 4+2 kkh 10 3" xfId="26917" xr:uid="{00000000-0005-0000-0000-000042270000}"/>
    <cellStyle name="B_BotRC_HK.NBC@Mar2006_HK.EEV-May06 4+2 kkh 11" xfId="6669" xr:uid="{00000000-0005-0000-0000-000043270000}"/>
    <cellStyle name="B_BotRC_HK.NBC@Mar2006_HK.EEV-May06 4+2 kkh 11 2" xfId="6670" xr:uid="{00000000-0005-0000-0000-000044270000}"/>
    <cellStyle name="B_BotRC_HK.NBC@Mar2006_HK.EEV-May06 4+2 kkh 11 3" xfId="26918" xr:uid="{00000000-0005-0000-0000-000045270000}"/>
    <cellStyle name="B_BotRC_HK.NBC@Mar2006_HK.EEV-May06 4+2 kkh 12" xfId="6671" xr:uid="{00000000-0005-0000-0000-000046270000}"/>
    <cellStyle name="B_BotRC_HK.NBC@Mar2006_HK.EEV-May06 4+2 kkh 12 2" xfId="6672" xr:uid="{00000000-0005-0000-0000-000047270000}"/>
    <cellStyle name="B_BotRC_HK.NBC@Mar2006_HK.EEV-May06 4+2 kkh 12 3" xfId="26919" xr:uid="{00000000-0005-0000-0000-000048270000}"/>
    <cellStyle name="B_BotRC_HK.NBC@Mar2006_HK.EEV-May06 4+2 kkh 13" xfId="6673" xr:uid="{00000000-0005-0000-0000-000049270000}"/>
    <cellStyle name="B_BotRC_HK.NBC@Mar2006_HK.EEV-May06 4+2 kkh 13 2" xfId="6674" xr:uid="{00000000-0005-0000-0000-00004A270000}"/>
    <cellStyle name="B_BotRC_HK.NBC@Mar2006_HK.EEV-May06 4+2 kkh 13 3" xfId="26920" xr:uid="{00000000-0005-0000-0000-00004B270000}"/>
    <cellStyle name="B_BotRC_HK.NBC@Mar2006_HK.EEV-May06 4+2 kkh 14" xfId="6675" xr:uid="{00000000-0005-0000-0000-00004C270000}"/>
    <cellStyle name="B_BotRC_HK.NBC@Mar2006_HK.EEV-May06 4+2 kkh 14 2" xfId="6676" xr:uid="{00000000-0005-0000-0000-00004D270000}"/>
    <cellStyle name="B_BotRC_HK.NBC@Mar2006_HK.EEV-May06 4+2 kkh 14 3" xfId="26921" xr:uid="{00000000-0005-0000-0000-00004E270000}"/>
    <cellStyle name="B_BotRC_HK.NBC@Mar2006_HK.EEV-May06 4+2 kkh 15" xfId="6677" xr:uid="{00000000-0005-0000-0000-00004F270000}"/>
    <cellStyle name="B_BotRC_HK.NBC@Mar2006_HK.EEV-May06 4+2 kkh 15 2" xfId="6678" xr:uid="{00000000-0005-0000-0000-000050270000}"/>
    <cellStyle name="B_BotRC_HK.NBC@Mar2006_HK.EEV-May06 4+2 kkh 15 3" xfId="26922" xr:uid="{00000000-0005-0000-0000-000051270000}"/>
    <cellStyle name="B_BotRC_HK.NBC@Mar2006_HK.EEV-May06 4+2 kkh 16" xfId="6679" xr:uid="{00000000-0005-0000-0000-000052270000}"/>
    <cellStyle name="B_BotRC_HK.NBC@Mar2006_HK.EEV-May06 4+2 kkh 16 2" xfId="6680" xr:uid="{00000000-0005-0000-0000-000053270000}"/>
    <cellStyle name="B_BotRC_HK.NBC@Mar2006_HK.EEV-May06 4+2 kkh 16 3" xfId="26923" xr:uid="{00000000-0005-0000-0000-000054270000}"/>
    <cellStyle name="B_BotRC_HK.NBC@Mar2006_HK.EEV-May06 4+2 kkh 17" xfId="6681" xr:uid="{00000000-0005-0000-0000-000055270000}"/>
    <cellStyle name="B_BotRC_HK.NBC@Mar2006_HK.EEV-May06 4+2 kkh 17 2" xfId="6682" xr:uid="{00000000-0005-0000-0000-000056270000}"/>
    <cellStyle name="B_BotRC_HK.NBC@Mar2006_HK.EEV-May06 4+2 kkh 17 3" xfId="26924" xr:uid="{00000000-0005-0000-0000-000057270000}"/>
    <cellStyle name="B_BotRC_HK.NBC@Mar2006_HK.EEV-May06 4+2 kkh 18" xfId="6683" xr:uid="{00000000-0005-0000-0000-000058270000}"/>
    <cellStyle name="B_BotRC_HK.NBC@Mar2006_HK.EEV-May06 4+2 kkh 18 2" xfId="6684" xr:uid="{00000000-0005-0000-0000-000059270000}"/>
    <cellStyle name="B_BotRC_HK.NBC@Mar2006_HK.EEV-May06 4+2 kkh 18 3" xfId="26925" xr:uid="{00000000-0005-0000-0000-00005A270000}"/>
    <cellStyle name="B_BotRC_HK.NBC@Mar2006_HK.EEV-May06 4+2 kkh 19" xfId="6685" xr:uid="{00000000-0005-0000-0000-00005B270000}"/>
    <cellStyle name="B_BotRC_HK.NBC@Mar2006_HK.EEV-May06 4+2 kkh 19 2" xfId="6686" xr:uid="{00000000-0005-0000-0000-00005C270000}"/>
    <cellStyle name="B_BotRC_HK.NBC@Mar2006_HK.EEV-May06 4+2 kkh 19 3" xfId="26926" xr:uid="{00000000-0005-0000-0000-00005D270000}"/>
    <cellStyle name="B_BotRC_HK.NBC@Mar2006_HK.EEV-May06 4+2 kkh 2" xfId="6687" xr:uid="{00000000-0005-0000-0000-00005E270000}"/>
    <cellStyle name="B_BotRC_HK.NBC@Mar2006_HK.EEV-May06 4+2 kkh 2 2" xfId="6688" xr:uid="{00000000-0005-0000-0000-00005F270000}"/>
    <cellStyle name="B_BotRC_HK.NBC@Mar2006_HK.EEV-May06 4+2 kkh 2 3" xfId="26927" xr:uid="{00000000-0005-0000-0000-000060270000}"/>
    <cellStyle name="B_BotRC_HK.NBC@Mar2006_HK.EEV-May06 4+2 kkh 20" xfId="6689" xr:uid="{00000000-0005-0000-0000-000061270000}"/>
    <cellStyle name="B_BotRC_HK.NBC@Mar2006_HK.EEV-May06 4+2 kkh 20 2" xfId="6690" xr:uid="{00000000-0005-0000-0000-000062270000}"/>
    <cellStyle name="B_BotRC_HK.NBC@Mar2006_HK.EEV-May06 4+2 kkh 20 3" xfId="26928" xr:uid="{00000000-0005-0000-0000-000063270000}"/>
    <cellStyle name="B_BotRC_HK.NBC@Mar2006_HK.EEV-May06 4+2 kkh 21" xfId="6691" xr:uid="{00000000-0005-0000-0000-000064270000}"/>
    <cellStyle name="B_BotRC_HK.NBC@Mar2006_HK.EEV-May06 4+2 kkh 21 2" xfId="6692" xr:uid="{00000000-0005-0000-0000-000065270000}"/>
    <cellStyle name="B_BotRC_HK.NBC@Mar2006_HK.EEV-May06 4+2 kkh 21 3" xfId="26929" xr:uid="{00000000-0005-0000-0000-000066270000}"/>
    <cellStyle name="B_BotRC_HK.NBC@Mar2006_HK.EEV-May06 4+2 kkh 22" xfId="6693" xr:uid="{00000000-0005-0000-0000-000067270000}"/>
    <cellStyle name="B_BotRC_HK.NBC@Mar2006_HK.EEV-May06 4+2 kkh 22 2" xfId="6694" xr:uid="{00000000-0005-0000-0000-000068270000}"/>
    <cellStyle name="B_BotRC_HK.NBC@Mar2006_HK.EEV-May06 4+2 kkh 22 3" xfId="26930" xr:uid="{00000000-0005-0000-0000-000069270000}"/>
    <cellStyle name="B_BotRC_HK.NBC@Mar2006_HK.EEV-May06 4+2 kkh 23" xfId="6695" xr:uid="{00000000-0005-0000-0000-00006A270000}"/>
    <cellStyle name="B_BotRC_HK.NBC@Mar2006_HK.EEV-May06 4+2 kkh 23 2" xfId="6696" xr:uid="{00000000-0005-0000-0000-00006B270000}"/>
    <cellStyle name="B_BotRC_HK.NBC@Mar2006_HK.EEV-May06 4+2 kkh 23 3" xfId="26931" xr:uid="{00000000-0005-0000-0000-00006C270000}"/>
    <cellStyle name="B_BotRC_HK.NBC@Mar2006_HK.EEV-May06 4+2 kkh 24" xfId="6697" xr:uid="{00000000-0005-0000-0000-00006D270000}"/>
    <cellStyle name="B_BotRC_HK.NBC@Mar2006_HK.EEV-May06 4+2 kkh 25" xfId="26932" xr:uid="{00000000-0005-0000-0000-00006E270000}"/>
    <cellStyle name="B_BotRC_HK.NBC@Mar2006_HK.EEV-May06 4+2 kkh 3" xfId="6698" xr:uid="{00000000-0005-0000-0000-00006F270000}"/>
    <cellStyle name="B_BotRC_HK.NBC@Mar2006_HK.EEV-May06 4+2 kkh 3 2" xfId="6699" xr:uid="{00000000-0005-0000-0000-000070270000}"/>
    <cellStyle name="B_BotRC_HK.NBC@Mar2006_HK.EEV-May06 4+2 kkh 3 3" xfId="26933" xr:uid="{00000000-0005-0000-0000-000071270000}"/>
    <cellStyle name="B_BotRC_HK.NBC@Mar2006_HK.EEV-May06 4+2 kkh 4" xfId="6700" xr:uid="{00000000-0005-0000-0000-000072270000}"/>
    <cellStyle name="B_BotRC_HK.NBC@Mar2006_HK.EEV-May06 4+2 kkh 4 2" xfId="6701" xr:uid="{00000000-0005-0000-0000-000073270000}"/>
    <cellStyle name="B_BotRC_HK.NBC@Mar2006_HK.EEV-May06 4+2 kkh 4 3" xfId="26934" xr:uid="{00000000-0005-0000-0000-000074270000}"/>
    <cellStyle name="B_BotRC_HK.NBC@Mar2006_HK.EEV-May06 4+2 kkh 5" xfId="6702" xr:uid="{00000000-0005-0000-0000-000075270000}"/>
    <cellStyle name="B_BotRC_HK.NBC@Mar2006_HK.EEV-May06 4+2 kkh 5 2" xfId="6703" xr:uid="{00000000-0005-0000-0000-000076270000}"/>
    <cellStyle name="B_BotRC_HK.NBC@Mar2006_HK.EEV-May06 4+2 kkh 5 3" xfId="26935" xr:uid="{00000000-0005-0000-0000-000077270000}"/>
    <cellStyle name="B_BotRC_HK.NBC@Mar2006_HK.EEV-May06 4+2 kkh 6" xfId="6704" xr:uid="{00000000-0005-0000-0000-000078270000}"/>
    <cellStyle name="B_BotRC_HK.NBC@Mar2006_HK.EEV-May06 4+2 kkh 6 2" xfId="6705" xr:uid="{00000000-0005-0000-0000-000079270000}"/>
    <cellStyle name="B_BotRC_HK.NBC@Mar2006_HK.EEV-May06 4+2 kkh 6 3" xfId="26936" xr:uid="{00000000-0005-0000-0000-00007A270000}"/>
    <cellStyle name="B_BotRC_HK.NBC@Mar2006_HK.EEV-May06 4+2 kkh 7" xfId="6706" xr:uid="{00000000-0005-0000-0000-00007B270000}"/>
    <cellStyle name="B_BotRC_HK.NBC@Mar2006_HK.EEV-May06 4+2 kkh 7 2" xfId="6707" xr:uid="{00000000-0005-0000-0000-00007C270000}"/>
    <cellStyle name="B_BotRC_HK.NBC@Mar2006_HK.EEV-May06 4+2 kkh 7 3" xfId="26937" xr:uid="{00000000-0005-0000-0000-00007D270000}"/>
    <cellStyle name="B_BotRC_HK.NBC@Mar2006_HK.EEV-May06 4+2 kkh 8" xfId="6708" xr:uid="{00000000-0005-0000-0000-00007E270000}"/>
    <cellStyle name="B_BotRC_HK.NBC@Mar2006_HK.EEV-May06 4+2 kkh 8 2" xfId="6709" xr:uid="{00000000-0005-0000-0000-00007F270000}"/>
    <cellStyle name="B_BotRC_HK.NBC@Mar2006_HK.EEV-May06 4+2 kkh 8 3" xfId="26938" xr:uid="{00000000-0005-0000-0000-000080270000}"/>
    <cellStyle name="B_BotRC_HK.NBC@Mar2006_HK.EEV-May06 4+2 kkh 9" xfId="6710" xr:uid="{00000000-0005-0000-0000-000081270000}"/>
    <cellStyle name="B_BotRC_HK.NBC@Mar2006_HK.EEV-May06 4+2 kkh 9 2" xfId="6711" xr:uid="{00000000-0005-0000-0000-000082270000}"/>
    <cellStyle name="B_BotRC_HK.NBC@Mar2006_HK.EEV-May06 4+2 kkh 9 3" xfId="26939" xr:uid="{00000000-0005-0000-0000-000083270000}"/>
    <cellStyle name="B_BotRC_HK.NBC@Mar2006_HK.EEV-May06 4+2 kkh_PROD_DETAILS" xfId="6712" xr:uid="{00000000-0005-0000-0000-000084270000}"/>
    <cellStyle name="B_BotRC_HK.NBC@Mar2006_HK.EEV-May06 4+2 kkh_PROD_DETAILS 2" xfId="6713" xr:uid="{00000000-0005-0000-0000-000085270000}"/>
    <cellStyle name="B_BotRC_HK.NBC@Mar2006_HK.EEV-May06 4+2 kkh_PROD_DETAILS 3" xfId="26940" xr:uid="{00000000-0005-0000-0000-000086270000}"/>
    <cellStyle name="B_BotRC_HK.NBC@Mar2006_HK.EEV-May06 4+2 kkh_SOLVENCY POSITION " xfId="6714" xr:uid="{00000000-0005-0000-0000-000087270000}"/>
    <cellStyle name="B_BotRC_HK.NBC@Mar2006_HK.EEV-May06 4+2 kkh_SOLVENCY POSITION  2" xfId="6715" xr:uid="{00000000-0005-0000-0000-000088270000}"/>
    <cellStyle name="B_BotRC_HK.NBC@Mar2006_HK.EEV-May06 4+2 kkh_SOLVENCY POSITION  3" xfId="26941" xr:uid="{00000000-0005-0000-0000-000089270000}"/>
    <cellStyle name="B_BotRC_HK.NBC@Mar2006_PROD_DETAILS" xfId="6716" xr:uid="{00000000-0005-0000-0000-00008A270000}"/>
    <cellStyle name="B_BotRC_HK.NBC@Mar2006_PROD_DETAILS 2" xfId="6717" xr:uid="{00000000-0005-0000-0000-00008B270000}"/>
    <cellStyle name="B_BotRC_HK.NBC@Mar2006_PROD_DETAILS 3" xfId="26942" xr:uid="{00000000-0005-0000-0000-00008C270000}"/>
    <cellStyle name="B_BotRC_HK.NBC@Mar2006_SOLVENCY POSITION " xfId="6718" xr:uid="{00000000-0005-0000-0000-00008D270000}"/>
    <cellStyle name="B_BotRC_HK.NBC@Mar2006_SOLVENCY POSITION  2" xfId="6719" xr:uid="{00000000-0005-0000-0000-00008E270000}"/>
    <cellStyle name="B_BotRC_HK.NBC@Mar2006_SOLVENCY POSITION  3" xfId="26943" xr:uid="{00000000-0005-0000-0000-00008F270000}"/>
    <cellStyle name="B_BotRC_HK_NBC@Dec2007(New Lapse)Final" xfId="6720" xr:uid="{00000000-0005-0000-0000-000090270000}"/>
    <cellStyle name="B_BotRC_HK_NBC@Dec2007(New Lapse)Final 10" xfId="6721" xr:uid="{00000000-0005-0000-0000-000091270000}"/>
    <cellStyle name="B_BotRC_HK_NBC@Dec2007(New Lapse)Final 10 2" xfId="6722" xr:uid="{00000000-0005-0000-0000-000092270000}"/>
    <cellStyle name="B_BotRC_HK_NBC@Dec2007(New Lapse)Final 10 3" xfId="26944" xr:uid="{00000000-0005-0000-0000-000093270000}"/>
    <cellStyle name="B_BotRC_HK_NBC@Dec2007(New Lapse)Final 11" xfId="6723" xr:uid="{00000000-0005-0000-0000-000094270000}"/>
    <cellStyle name="B_BotRC_HK_NBC@Dec2007(New Lapse)Final 11 2" xfId="6724" xr:uid="{00000000-0005-0000-0000-000095270000}"/>
    <cellStyle name="B_BotRC_HK_NBC@Dec2007(New Lapse)Final 11 3" xfId="26945" xr:uid="{00000000-0005-0000-0000-000096270000}"/>
    <cellStyle name="B_BotRC_HK_NBC@Dec2007(New Lapse)Final 12" xfId="6725" xr:uid="{00000000-0005-0000-0000-000097270000}"/>
    <cellStyle name="B_BotRC_HK_NBC@Dec2007(New Lapse)Final 12 2" xfId="6726" xr:uid="{00000000-0005-0000-0000-000098270000}"/>
    <cellStyle name="B_BotRC_HK_NBC@Dec2007(New Lapse)Final 12 3" xfId="26946" xr:uid="{00000000-0005-0000-0000-000099270000}"/>
    <cellStyle name="B_BotRC_HK_NBC@Dec2007(New Lapse)Final 13" xfId="6727" xr:uid="{00000000-0005-0000-0000-00009A270000}"/>
    <cellStyle name="B_BotRC_HK_NBC@Dec2007(New Lapse)Final 13 2" xfId="6728" xr:uid="{00000000-0005-0000-0000-00009B270000}"/>
    <cellStyle name="B_BotRC_HK_NBC@Dec2007(New Lapse)Final 13 3" xfId="26947" xr:uid="{00000000-0005-0000-0000-00009C270000}"/>
    <cellStyle name="B_BotRC_HK_NBC@Dec2007(New Lapse)Final 14" xfId="6729" xr:uid="{00000000-0005-0000-0000-00009D270000}"/>
    <cellStyle name="B_BotRC_HK_NBC@Dec2007(New Lapse)Final 14 2" xfId="6730" xr:uid="{00000000-0005-0000-0000-00009E270000}"/>
    <cellStyle name="B_BotRC_HK_NBC@Dec2007(New Lapse)Final 14 3" xfId="26948" xr:uid="{00000000-0005-0000-0000-00009F270000}"/>
    <cellStyle name="B_BotRC_HK_NBC@Dec2007(New Lapse)Final 15" xfId="6731" xr:uid="{00000000-0005-0000-0000-0000A0270000}"/>
    <cellStyle name="B_BotRC_HK_NBC@Dec2007(New Lapse)Final 15 2" xfId="6732" xr:uid="{00000000-0005-0000-0000-0000A1270000}"/>
    <cellStyle name="B_BotRC_HK_NBC@Dec2007(New Lapse)Final 15 3" xfId="26949" xr:uid="{00000000-0005-0000-0000-0000A2270000}"/>
    <cellStyle name="B_BotRC_HK_NBC@Dec2007(New Lapse)Final 16" xfId="6733" xr:uid="{00000000-0005-0000-0000-0000A3270000}"/>
    <cellStyle name="B_BotRC_HK_NBC@Dec2007(New Lapse)Final 16 2" xfId="6734" xr:uid="{00000000-0005-0000-0000-0000A4270000}"/>
    <cellStyle name="B_BotRC_HK_NBC@Dec2007(New Lapse)Final 16 3" xfId="26950" xr:uid="{00000000-0005-0000-0000-0000A5270000}"/>
    <cellStyle name="B_BotRC_HK_NBC@Dec2007(New Lapse)Final 17" xfId="6735" xr:uid="{00000000-0005-0000-0000-0000A6270000}"/>
    <cellStyle name="B_BotRC_HK_NBC@Dec2007(New Lapse)Final 17 2" xfId="6736" xr:uid="{00000000-0005-0000-0000-0000A7270000}"/>
    <cellStyle name="B_BotRC_HK_NBC@Dec2007(New Lapse)Final 17 3" xfId="26951" xr:uid="{00000000-0005-0000-0000-0000A8270000}"/>
    <cellStyle name="B_BotRC_HK_NBC@Dec2007(New Lapse)Final 18" xfId="6737" xr:uid="{00000000-0005-0000-0000-0000A9270000}"/>
    <cellStyle name="B_BotRC_HK_NBC@Dec2007(New Lapse)Final 18 2" xfId="6738" xr:uid="{00000000-0005-0000-0000-0000AA270000}"/>
    <cellStyle name="B_BotRC_HK_NBC@Dec2007(New Lapse)Final 18 3" xfId="26952" xr:uid="{00000000-0005-0000-0000-0000AB270000}"/>
    <cellStyle name="B_BotRC_HK_NBC@Dec2007(New Lapse)Final 19" xfId="6739" xr:uid="{00000000-0005-0000-0000-0000AC270000}"/>
    <cellStyle name="B_BotRC_HK_NBC@Dec2007(New Lapse)Final 19 2" xfId="6740" xr:uid="{00000000-0005-0000-0000-0000AD270000}"/>
    <cellStyle name="B_BotRC_HK_NBC@Dec2007(New Lapse)Final 19 3" xfId="26953" xr:uid="{00000000-0005-0000-0000-0000AE270000}"/>
    <cellStyle name="B_BotRC_HK_NBC@Dec2007(New Lapse)Final 2" xfId="6741" xr:uid="{00000000-0005-0000-0000-0000AF270000}"/>
    <cellStyle name="B_BotRC_HK_NBC@Dec2007(New Lapse)Final 2 2" xfId="6742" xr:uid="{00000000-0005-0000-0000-0000B0270000}"/>
    <cellStyle name="B_BotRC_HK_NBC@Dec2007(New Lapse)Final 2 3" xfId="26954" xr:uid="{00000000-0005-0000-0000-0000B1270000}"/>
    <cellStyle name="B_BotRC_HK_NBC@Dec2007(New Lapse)Final 20" xfId="6743" xr:uid="{00000000-0005-0000-0000-0000B2270000}"/>
    <cellStyle name="B_BotRC_HK_NBC@Dec2007(New Lapse)Final 20 2" xfId="6744" xr:uid="{00000000-0005-0000-0000-0000B3270000}"/>
    <cellStyle name="B_BotRC_HK_NBC@Dec2007(New Lapse)Final 20 3" xfId="26955" xr:uid="{00000000-0005-0000-0000-0000B4270000}"/>
    <cellStyle name="B_BotRC_HK_NBC@Dec2007(New Lapse)Final 21" xfId="6745" xr:uid="{00000000-0005-0000-0000-0000B5270000}"/>
    <cellStyle name="B_BotRC_HK_NBC@Dec2007(New Lapse)Final 21 2" xfId="6746" xr:uid="{00000000-0005-0000-0000-0000B6270000}"/>
    <cellStyle name="B_BotRC_HK_NBC@Dec2007(New Lapse)Final 21 3" xfId="26956" xr:uid="{00000000-0005-0000-0000-0000B7270000}"/>
    <cellStyle name="B_BotRC_HK_NBC@Dec2007(New Lapse)Final 22" xfId="6747" xr:uid="{00000000-0005-0000-0000-0000B8270000}"/>
    <cellStyle name="B_BotRC_HK_NBC@Dec2007(New Lapse)Final 22 2" xfId="6748" xr:uid="{00000000-0005-0000-0000-0000B9270000}"/>
    <cellStyle name="B_BotRC_HK_NBC@Dec2007(New Lapse)Final 22 3" xfId="26957" xr:uid="{00000000-0005-0000-0000-0000BA270000}"/>
    <cellStyle name="B_BotRC_HK_NBC@Dec2007(New Lapse)Final 23" xfId="6749" xr:uid="{00000000-0005-0000-0000-0000BB270000}"/>
    <cellStyle name="B_BotRC_HK_NBC@Dec2007(New Lapse)Final 23 2" xfId="6750" xr:uid="{00000000-0005-0000-0000-0000BC270000}"/>
    <cellStyle name="B_BotRC_HK_NBC@Dec2007(New Lapse)Final 23 3" xfId="26958" xr:uid="{00000000-0005-0000-0000-0000BD270000}"/>
    <cellStyle name="B_BotRC_HK_NBC@Dec2007(New Lapse)Final 24" xfId="6751" xr:uid="{00000000-0005-0000-0000-0000BE270000}"/>
    <cellStyle name="B_BotRC_HK_NBC@Dec2007(New Lapse)Final 25" xfId="26959" xr:uid="{00000000-0005-0000-0000-0000BF270000}"/>
    <cellStyle name="B_BotRC_HK_NBC@Dec2007(New Lapse)Final 3" xfId="6752" xr:uid="{00000000-0005-0000-0000-0000C0270000}"/>
    <cellStyle name="B_BotRC_HK_NBC@Dec2007(New Lapse)Final 3 2" xfId="6753" xr:uid="{00000000-0005-0000-0000-0000C1270000}"/>
    <cellStyle name="B_BotRC_HK_NBC@Dec2007(New Lapse)Final 3 3" xfId="26960" xr:uid="{00000000-0005-0000-0000-0000C2270000}"/>
    <cellStyle name="B_BotRC_HK_NBC@Dec2007(New Lapse)Final 4" xfId="6754" xr:uid="{00000000-0005-0000-0000-0000C3270000}"/>
    <cellStyle name="B_BotRC_HK_NBC@Dec2007(New Lapse)Final 4 2" xfId="6755" xr:uid="{00000000-0005-0000-0000-0000C4270000}"/>
    <cellStyle name="B_BotRC_HK_NBC@Dec2007(New Lapse)Final 4 3" xfId="26961" xr:uid="{00000000-0005-0000-0000-0000C5270000}"/>
    <cellStyle name="B_BotRC_HK_NBC@Dec2007(New Lapse)Final 5" xfId="6756" xr:uid="{00000000-0005-0000-0000-0000C6270000}"/>
    <cellStyle name="B_BotRC_HK_NBC@Dec2007(New Lapse)Final 5 2" xfId="6757" xr:uid="{00000000-0005-0000-0000-0000C7270000}"/>
    <cellStyle name="B_BotRC_HK_NBC@Dec2007(New Lapse)Final 5 3" xfId="26962" xr:uid="{00000000-0005-0000-0000-0000C8270000}"/>
    <cellStyle name="B_BotRC_HK_NBC@Dec2007(New Lapse)Final 6" xfId="6758" xr:uid="{00000000-0005-0000-0000-0000C9270000}"/>
    <cellStyle name="B_BotRC_HK_NBC@Dec2007(New Lapse)Final 6 2" xfId="6759" xr:uid="{00000000-0005-0000-0000-0000CA270000}"/>
    <cellStyle name="B_BotRC_HK_NBC@Dec2007(New Lapse)Final 6 3" xfId="26963" xr:uid="{00000000-0005-0000-0000-0000CB270000}"/>
    <cellStyle name="B_BotRC_HK_NBC@Dec2007(New Lapse)Final 7" xfId="6760" xr:uid="{00000000-0005-0000-0000-0000CC270000}"/>
    <cellStyle name="B_BotRC_HK_NBC@Dec2007(New Lapse)Final 7 2" xfId="6761" xr:uid="{00000000-0005-0000-0000-0000CD270000}"/>
    <cellStyle name="B_BotRC_HK_NBC@Dec2007(New Lapse)Final 7 3" xfId="26964" xr:uid="{00000000-0005-0000-0000-0000CE270000}"/>
    <cellStyle name="B_BotRC_HK_NBC@Dec2007(New Lapse)Final 8" xfId="6762" xr:uid="{00000000-0005-0000-0000-0000CF270000}"/>
    <cellStyle name="B_BotRC_HK_NBC@Dec2007(New Lapse)Final 8 2" xfId="6763" xr:uid="{00000000-0005-0000-0000-0000D0270000}"/>
    <cellStyle name="B_BotRC_HK_NBC@Dec2007(New Lapse)Final 8 3" xfId="26965" xr:uid="{00000000-0005-0000-0000-0000D1270000}"/>
    <cellStyle name="B_BotRC_HK_NBC@Dec2007(New Lapse)Final 9" xfId="6764" xr:uid="{00000000-0005-0000-0000-0000D2270000}"/>
    <cellStyle name="B_BotRC_HK_NBC@Dec2007(New Lapse)Final 9 2" xfId="6765" xr:uid="{00000000-0005-0000-0000-0000D3270000}"/>
    <cellStyle name="B_BotRC_HK_NBC@Dec2007(New Lapse)Final 9 3" xfId="26966" xr:uid="{00000000-0005-0000-0000-0000D4270000}"/>
    <cellStyle name="B_BotRC_HK_NBC@Dec2007(New Lapse)Final_PROD_DETAILS" xfId="6766" xr:uid="{00000000-0005-0000-0000-0000D5270000}"/>
    <cellStyle name="B_BotRC_HK_NBC@Dec2007(New Lapse)Final_PROD_DETAILS 2" xfId="6767" xr:uid="{00000000-0005-0000-0000-0000D6270000}"/>
    <cellStyle name="B_BotRC_HK_NBC@Dec2007(New Lapse)Final_PROD_DETAILS 3" xfId="26967" xr:uid="{00000000-0005-0000-0000-0000D7270000}"/>
    <cellStyle name="B_BotRC_HK_NBC@Dec2007(New Lapse)Final_SOLVENCY POSITION " xfId="6768" xr:uid="{00000000-0005-0000-0000-0000D8270000}"/>
    <cellStyle name="B_BotRC_HK_NBC@Dec2007(New Lapse)Final_SOLVENCY POSITION  2" xfId="6769" xr:uid="{00000000-0005-0000-0000-0000D9270000}"/>
    <cellStyle name="B_BotRC_HK_NBC@Dec2007(New Lapse)Final_SOLVENCY POSITION  3" xfId="26968" xr:uid="{00000000-0005-0000-0000-0000DA270000}"/>
    <cellStyle name="B_BotRC_KPI's" xfId="6770" xr:uid="{00000000-0005-0000-0000-0000DB270000}"/>
    <cellStyle name="B_BotRC_KPI's 10" xfId="6771" xr:uid="{00000000-0005-0000-0000-0000DC270000}"/>
    <cellStyle name="B_BotRC_KPI's 10 2" xfId="6772" xr:uid="{00000000-0005-0000-0000-0000DD270000}"/>
    <cellStyle name="B_BotRC_KPI's 10 3" xfId="26969" xr:uid="{00000000-0005-0000-0000-0000DE270000}"/>
    <cellStyle name="B_BotRC_KPI's 11" xfId="6773" xr:uid="{00000000-0005-0000-0000-0000DF270000}"/>
    <cellStyle name="B_BotRC_KPI's 11 2" xfId="6774" xr:uid="{00000000-0005-0000-0000-0000E0270000}"/>
    <cellStyle name="B_BotRC_KPI's 11 3" xfId="26970" xr:uid="{00000000-0005-0000-0000-0000E1270000}"/>
    <cellStyle name="B_BotRC_KPI's 12" xfId="6775" xr:uid="{00000000-0005-0000-0000-0000E2270000}"/>
    <cellStyle name="B_BotRC_KPI's 12 2" xfId="6776" xr:uid="{00000000-0005-0000-0000-0000E3270000}"/>
    <cellStyle name="B_BotRC_KPI's 12 3" xfId="26971" xr:uid="{00000000-0005-0000-0000-0000E4270000}"/>
    <cellStyle name="B_BotRC_KPI's 13" xfId="6777" xr:uid="{00000000-0005-0000-0000-0000E5270000}"/>
    <cellStyle name="B_BotRC_KPI's 13 2" xfId="6778" xr:uid="{00000000-0005-0000-0000-0000E6270000}"/>
    <cellStyle name="B_BotRC_KPI's 13 3" xfId="26972" xr:uid="{00000000-0005-0000-0000-0000E7270000}"/>
    <cellStyle name="B_BotRC_KPI's 14" xfId="6779" xr:uid="{00000000-0005-0000-0000-0000E8270000}"/>
    <cellStyle name="B_BotRC_KPI's 14 2" xfId="6780" xr:uid="{00000000-0005-0000-0000-0000E9270000}"/>
    <cellStyle name="B_BotRC_KPI's 14 3" xfId="26973" xr:uid="{00000000-0005-0000-0000-0000EA270000}"/>
    <cellStyle name="B_BotRC_KPI's 15" xfId="6781" xr:uid="{00000000-0005-0000-0000-0000EB270000}"/>
    <cellStyle name="B_BotRC_KPI's 15 2" xfId="6782" xr:uid="{00000000-0005-0000-0000-0000EC270000}"/>
    <cellStyle name="B_BotRC_KPI's 15 3" xfId="26974" xr:uid="{00000000-0005-0000-0000-0000ED270000}"/>
    <cellStyle name="B_BotRC_KPI's 16" xfId="6783" xr:uid="{00000000-0005-0000-0000-0000EE270000}"/>
    <cellStyle name="B_BotRC_KPI's 16 2" xfId="6784" xr:uid="{00000000-0005-0000-0000-0000EF270000}"/>
    <cellStyle name="B_BotRC_KPI's 16 3" xfId="26975" xr:uid="{00000000-0005-0000-0000-0000F0270000}"/>
    <cellStyle name="B_BotRC_KPI's 17" xfId="6785" xr:uid="{00000000-0005-0000-0000-0000F1270000}"/>
    <cellStyle name="B_BotRC_KPI's 17 2" xfId="6786" xr:uid="{00000000-0005-0000-0000-0000F2270000}"/>
    <cellStyle name="B_BotRC_KPI's 17 3" xfId="26976" xr:uid="{00000000-0005-0000-0000-0000F3270000}"/>
    <cellStyle name="B_BotRC_KPI's 18" xfId="6787" xr:uid="{00000000-0005-0000-0000-0000F4270000}"/>
    <cellStyle name="B_BotRC_KPI's 18 2" xfId="6788" xr:uid="{00000000-0005-0000-0000-0000F5270000}"/>
    <cellStyle name="B_BotRC_KPI's 18 3" xfId="26977" xr:uid="{00000000-0005-0000-0000-0000F6270000}"/>
    <cellStyle name="B_BotRC_KPI's 19" xfId="6789" xr:uid="{00000000-0005-0000-0000-0000F7270000}"/>
    <cellStyle name="B_BotRC_KPI's 19 2" xfId="6790" xr:uid="{00000000-0005-0000-0000-0000F8270000}"/>
    <cellStyle name="B_BotRC_KPI's 19 3" xfId="26978" xr:uid="{00000000-0005-0000-0000-0000F9270000}"/>
    <cellStyle name="B_BotRC_KPI's 2" xfId="6791" xr:uid="{00000000-0005-0000-0000-0000FA270000}"/>
    <cellStyle name="B_BotRC_KPI's 2 2" xfId="6792" xr:uid="{00000000-0005-0000-0000-0000FB270000}"/>
    <cellStyle name="B_BotRC_KPI's 2 3" xfId="26979" xr:uid="{00000000-0005-0000-0000-0000FC270000}"/>
    <cellStyle name="B_BotRC_KPI's 20" xfId="6793" xr:uid="{00000000-0005-0000-0000-0000FD270000}"/>
    <cellStyle name="B_BotRC_KPI's 20 2" xfId="6794" xr:uid="{00000000-0005-0000-0000-0000FE270000}"/>
    <cellStyle name="B_BotRC_KPI's 20 3" xfId="26980" xr:uid="{00000000-0005-0000-0000-0000FF270000}"/>
    <cellStyle name="B_BotRC_KPI's 21" xfId="6795" xr:uid="{00000000-0005-0000-0000-000000280000}"/>
    <cellStyle name="B_BotRC_KPI's 21 2" xfId="6796" xr:uid="{00000000-0005-0000-0000-000001280000}"/>
    <cellStyle name="B_BotRC_KPI's 21 3" xfId="26981" xr:uid="{00000000-0005-0000-0000-000002280000}"/>
    <cellStyle name="B_BotRC_KPI's 22" xfId="6797" xr:uid="{00000000-0005-0000-0000-000003280000}"/>
    <cellStyle name="B_BotRC_KPI's 22 2" xfId="6798" xr:uid="{00000000-0005-0000-0000-000004280000}"/>
    <cellStyle name="B_BotRC_KPI's 22 3" xfId="26982" xr:uid="{00000000-0005-0000-0000-000005280000}"/>
    <cellStyle name="B_BotRC_KPI's 23" xfId="6799" xr:uid="{00000000-0005-0000-0000-000006280000}"/>
    <cellStyle name="B_BotRC_KPI's 23 2" xfId="6800" xr:uid="{00000000-0005-0000-0000-000007280000}"/>
    <cellStyle name="B_BotRC_KPI's 23 3" xfId="26983" xr:uid="{00000000-0005-0000-0000-000008280000}"/>
    <cellStyle name="B_BotRC_KPI's 24" xfId="6801" xr:uid="{00000000-0005-0000-0000-000009280000}"/>
    <cellStyle name="B_BotRC_KPI's 25" xfId="26984" xr:uid="{00000000-0005-0000-0000-00000A280000}"/>
    <cellStyle name="B_BotRC_KPI's 3" xfId="6802" xr:uid="{00000000-0005-0000-0000-00000B280000}"/>
    <cellStyle name="B_BotRC_KPI's 3 2" xfId="6803" xr:uid="{00000000-0005-0000-0000-00000C280000}"/>
    <cellStyle name="B_BotRC_KPI's 3 3" xfId="26985" xr:uid="{00000000-0005-0000-0000-00000D280000}"/>
    <cellStyle name="B_BotRC_KPI's 4" xfId="6804" xr:uid="{00000000-0005-0000-0000-00000E280000}"/>
    <cellStyle name="B_BotRC_KPI's 4 2" xfId="6805" xr:uid="{00000000-0005-0000-0000-00000F280000}"/>
    <cellStyle name="B_BotRC_KPI's 4 3" xfId="26986" xr:uid="{00000000-0005-0000-0000-000010280000}"/>
    <cellStyle name="B_BotRC_KPI's 5" xfId="6806" xr:uid="{00000000-0005-0000-0000-000011280000}"/>
    <cellStyle name="B_BotRC_KPI's 5 2" xfId="6807" xr:uid="{00000000-0005-0000-0000-000012280000}"/>
    <cellStyle name="B_BotRC_KPI's 5 3" xfId="26987" xr:uid="{00000000-0005-0000-0000-000013280000}"/>
    <cellStyle name="B_BotRC_KPI's 6" xfId="6808" xr:uid="{00000000-0005-0000-0000-000014280000}"/>
    <cellStyle name="B_BotRC_KPI's 6 2" xfId="6809" xr:uid="{00000000-0005-0000-0000-000015280000}"/>
    <cellStyle name="B_BotRC_KPI's 6 3" xfId="26988" xr:uid="{00000000-0005-0000-0000-000016280000}"/>
    <cellStyle name="B_BotRC_KPI's 7" xfId="6810" xr:uid="{00000000-0005-0000-0000-000017280000}"/>
    <cellStyle name="B_BotRC_KPI's 7 2" xfId="6811" xr:uid="{00000000-0005-0000-0000-000018280000}"/>
    <cellStyle name="B_BotRC_KPI's 7 3" xfId="26989" xr:uid="{00000000-0005-0000-0000-000019280000}"/>
    <cellStyle name="B_BotRC_KPI's 8" xfId="6812" xr:uid="{00000000-0005-0000-0000-00001A280000}"/>
    <cellStyle name="B_BotRC_KPI's 8 2" xfId="6813" xr:uid="{00000000-0005-0000-0000-00001B280000}"/>
    <cellStyle name="B_BotRC_KPI's 8 3" xfId="26990" xr:uid="{00000000-0005-0000-0000-00001C280000}"/>
    <cellStyle name="B_BotRC_KPI's 9" xfId="6814" xr:uid="{00000000-0005-0000-0000-00001D280000}"/>
    <cellStyle name="B_BotRC_KPI's 9 2" xfId="6815" xr:uid="{00000000-0005-0000-0000-00001E280000}"/>
    <cellStyle name="B_BotRC_KPI's 9 3" xfId="26991" xr:uid="{00000000-0005-0000-0000-00001F280000}"/>
    <cellStyle name="B_BotRC_KPI's_PROD_DETAILS" xfId="6816" xr:uid="{00000000-0005-0000-0000-000020280000}"/>
    <cellStyle name="B_BotRC_KPI's_PROD_DETAILS 2" xfId="6817" xr:uid="{00000000-0005-0000-0000-000021280000}"/>
    <cellStyle name="B_BotRC_KPI's_PROD_DETAILS 3" xfId="26992" xr:uid="{00000000-0005-0000-0000-000022280000}"/>
    <cellStyle name="B_BotRC_KPI's_SOLVENCY POSITION " xfId="6818" xr:uid="{00000000-0005-0000-0000-000023280000}"/>
    <cellStyle name="B_BotRC_KPI's_SOLVENCY POSITION  2" xfId="6819" xr:uid="{00000000-0005-0000-0000-000024280000}"/>
    <cellStyle name="B_BotRC_KPI's_SOLVENCY POSITION  3" xfId="26993" xr:uid="{00000000-0005-0000-0000-000025280000}"/>
    <cellStyle name="B_BotRC_p&amp;l wkgs" xfId="6820" xr:uid="{00000000-0005-0000-0000-000026280000}"/>
    <cellStyle name="B_BotRC_p&amp;l wkgs 10" xfId="6821" xr:uid="{00000000-0005-0000-0000-000027280000}"/>
    <cellStyle name="B_BotRC_p&amp;l wkgs 10 2" xfId="6822" xr:uid="{00000000-0005-0000-0000-000028280000}"/>
    <cellStyle name="B_BotRC_p&amp;l wkgs 10 3" xfId="26994" xr:uid="{00000000-0005-0000-0000-000029280000}"/>
    <cellStyle name="B_BotRC_p&amp;l wkgs 11" xfId="6823" xr:uid="{00000000-0005-0000-0000-00002A280000}"/>
    <cellStyle name="B_BotRC_p&amp;l wkgs 11 2" xfId="6824" xr:uid="{00000000-0005-0000-0000-00002B280000}"/>
    <cellStyle name="B_BotRC_p&amp;l wkgs 11 3" xfId="26995" xr:uid="{00000000-0005-0000-0000-00002C280000}"/>
    <cellStyle name="B_BotRC_p&amp;l wkgs 12" xfId="6825" xr:uid="{00000000-0005-0000-0000-00002D280000}"/>
    <cellStyle name="B_BotRC_p&amp;l wkgs 12 2" xfId="6826" xr:uid="{00000000-0005-0000-0000-00002E280000}"/>
    <cellStyle name="B_BotRC_p&amp;l wkgs 12 3" xfId="26996" xr:uid="{00000000-0005-0000-0000-00002F280000}"/>
    <cellStyle name="B_BotRC_p&amp;l wkgs 13" xfId="6827" xr:uid="{00000000-0005-0000-0000-000030280000}"/>
    <cellStyle name="B_BotRC_p&amp;l wkgs 13 2" xfId="6828" xr:uid="{00000000-0005-0000-0000-000031280000}"/>
    <cellStyle name="B_BotRC_p&amp;l wkgs 13 3" xfId="26997" xr:uid="{00000000-0005-0000-0000-000032280000}"/>
    <cellStyle name="B_BotRC_p&amp;l wkgs 14" xfId="6829" xr:uid="{00000000-0005-0000-0000-000033280000}"/>
    <cellStyle name="B_BotRC_p&amp;l wkgs 14 2" xfId="6830" xr:uid="{00000000-0005-0000-0000-000034280000}"/>
    <cellStyle name="B_BotRC_p&amp;l wkgs 14 3" xfId="26998" xr:uid="{00000000-0005-0000-0000-000035280000}"/>
    <cellStyle name="B_BotRC_p&amp;l wkgs 15" xfId="6831" xr:uid="{00000000-0005-0000-0000-000036280000}"/>
    <cellStyle name="B_BotRC_p&amp;l wkgs 15 2" xfId="6832" xr:uid="{00000000-0005-0000-0000-000037280000}"/>
    <cellStyle name="B_BotRC_p&amp;l wkgs 15 3" xfId="26999" xr:uid="{00000000-0005-0000-0000-000038280000}"/>
    <cellStyle name="B_BotRC_p&amp;l wkgs 16" xfId="6833" xr:uid="{00000000-0005-0000-0000-000039280000}"/>
    <cellStyle name="B_BotRC_p&amp;l wkgs 16 2" xfId="6834" xr:uid="{00000000-0005-0000-0000-00003A280000}"/>
    <cellStyle name="B_BotRC_p&amp;l wkgs 16 3" xfId="27000" xr:uid="{00000000-0005-0000-0000-00003B280000}"/>
    <cellStyle name="B_BotRC_p&amp;l wkgs 17" xfId="6835" xr:uid="{00000000-0005-0000-0000-00003C280000}"/>
    <cellStyle name="B_BotRC_p&amp;l wkgs 17 2" xfId="6836" xr:uid="{00000000-0005-0000-0000-00003D280000}"/>
    <cellStyle name="B_BotRC_p&amp;l wkgs 17 3" xfId="27001" xr:uid="{00000000-0005-0000-0000-00003E280000}"/>
    <cellStyle name="B_BotRC_p&amp;l wkgs 18" xfId="6837" xr:uid="{00000000-0005-0000-0000-00003F280000}"/>
    <cellStyle name="B_BotRC_p&amp;l wkgs 18 2" xfId="6838" xr:uid="{00000000-0005-0000-0000-000040280000}"/>
    <cellStyle name="B_BotRC_p&amp;l wkgs 18 3" xfId="27002" xr:uid="{00000000-0005-0000-0000-000041280000}"/>
    <cellStyle name="B_BotRC_p&amp;l wkgs 19" xfId="6839" xr:uid="{00000000-0005-0000-0000-000042280000}"/>
    <cellStyle name="B_BotRC_p&amp;l wkgs 19 2" xfId="6840" xr:uid="{00000000-0005-0000-0000-000043280000}"/>
    <cellStyle name="B_BotRC_p&amp;l wkgs 19 3" xfId="27003" xr:uid="{00000000-0005-0000-0000-000044280000}"/>
    <cellStyle name="B_BotRC_p&amp;l wkgs 2" xfId="6841" xr:uid="{00000000-0005-0000-0000-000045280000}"/>
    <cellStyle name="B_BotRC_p&amp;l wkgs 2 2" xfId="6842" xr:uid="{00000000-0005-0000-0000-000046280000}"/>
    <cellStyle name="B_BotRC_p&amp;l wkgs 2 3" xfId="27004" xr:uid="{00000000-0005-0000-0000-000047280000}"/>
    <cellStyle name="B_BotRC_p&amp;l wkgs 20" xfId="6843" xr:uid="{00000000-0005-0000-0000-000048280000}"/>
    <cellStyle name="B_BotRC_p&amp;l wkgs 20 2" xfId="6844" xr:uid="{00000000-0005-0000-0000-000049280000}"/>
    <cellStyle name="B_BotRC_p&amp;l wkgs 20 3" xfId="27005" xr:uid="{00000000-0005-0000-0000-00004A280000}"/>
    <cellStyle name="B_BotRC_p&amp;l wkgs 21" xfId="6845" xr:uid="{00000000-0005-0000-0000-00004B280000}"/>
    <cellStyle name="B_BotRC_p&amp;l wkgs 21 2" xfId="6846" xr:uid="{00000000-0005-0000-0000-00004C280000}"/>
    <cellStyle name="B_BotRC_p&amp;l wkgs 21 3" xfId="27006" xr:uid="{00000000-0005-0000-0000-00004D280000}"/>
    <cellStyle name="B_BotRC_p&amp;l wkgs 22" xfId="6847" xr:uid="{00000000-0005-0000-0000-00004E280000}"/>
    <cellStyle name="B_BotRC_p&amp;l wkgs 22 2" xfId="6848" xr:uid="{00000000-0005-0000-0000-00004F280000}"/>
    <cellStyle name="B_BotRC_p&amp;l wkgs 22 3" xfId="27007" xr:uid="{00000000-0005-0000-0000-000050280000}"/>
    <cellStyle name="B_BotRC_p&amp;l wkgs 23" xfId="6849" xr:uid="{00000000-0005-0000-0000-000051280000}"/>
    <cellStyle name="B_BotRC_p&amp;l wkgs 23 2" xfId="6850" xr:uid="{00000000-0005-0000-0000-000052280000}"/>
    <cellStyle name="B_BotRC_p&amp;l wkgs 23 3" xfId="27008" xr:uid="{00000000-0005-0000-0000-000053280000}"/>
    <cellStyle name="B_BotRC_p&amp;l wkgs 24" xfId="6851" xr:uid="{00000000-0005-0000-0000-000054280000}"/>
    <cellStyle name="B_BotRC_p&amp;l wkgs 25" xfId="27009" xr:uid="{00000000-0005-0000-0000-000055280000}"/>
    <cellStyle name="B_BotRC_p&amp;l wkgs 3" xfId="6852" xr:uid="{00000000-0005-0000-0000-000056280000}"/>
    <cellStyle name="B_BotRC_p&amp;l wkgs 3 2" xfId="6853" xr:uid="{00000000-0005-0000-0000-000057280000}"/>
    <cellStyle name="B_BotRC_p&amp;l wkgs 3 3" xfId="27010" xr:uid="{00000000-0005-0000-0000-000058280000}"/>
    <cellStyle name="B_BotRC_p&amp;l wkgs 4" xfId="6854" xr:uid="{00000000-0005-0000-0000-000059280000}"/>
    <cellStyle name="B_BotRC_p&amp;l wkgs 4 2" xfId="6855" xr:uid="{00000000-0005-0000-0000-00005A280000}"/>
    <cellStyle name="B_BotRC_p&amp;l wkgs 4 3" xfId="27011" xr:uid="{00000000-0005-0000-0000-00005B280000}"/>
    <cellStyle name="B_BotRC_p&amp;l wkgs 5" xfId="6856" xr:uid="{00000000-0005-0000-0000-00005C280000}"/>
    <cellStyle name="B_BotRC_p&amp;l wkgs 5 2" xfId="6857" xr:uid="{00000000-0005-0000-0000-00005D280000}"/>
    <cellStyle name="B_BotRC_p&amp;l wkgs 5 3" xfId="27012" xr:uid="{00000000-0005-0000-0000-00005E280000}"/>
    <cellStyle name="B_BotRC_p&amp;l wkgs 6" xfId="6858" xr:uid="{00000000-0005-0000-0000-00005F280000}"/>
    <cellStyle name="B_BotRC_p&amp;l wkgs 6 2" xfId="6859" xr:uid="{00000000-0005-0000-0000-000060280000}"/>
    <cellStyle name="B_BotRC_p&amp;l wkgs 6 3" xfId="27013" xr:uid="{00000000-0005-0000-0000-000061280000}"/>
    <cellStyle name="B_BotRC_p&amp;l wkgs 7" xfId="6860" xr:uid="{00000000-0005-0000-0000-000062280000}"/>
    <cellStyle name="B_BotRC_p&amp;l wkgs 7 2" xfId="6861" xr:uid="{00000000-0005-0000-0000-000063280000}"/>
    <cellStyle name="B_BotRC_p&amp;l wkgs 7 3" xfId="27014" xr:uid="{00000000-0005-0000-0000-000064280000}"/>
    <cellStyle name="B_BotRC_p&amp;l wkgs 8" xfId="6862" xr:uid="{00000000-0005-0000-0000-000065280000}"/>
    <cellStyle name="B_BotRC_p&amp;l wkgs 8 2" xfId="6863" xr:uid="{00000000-0005-0000-0000-000066280000}"/>
    <cellStyle name="B_BotRC_p&amp;l wkgs 8 3" xfId="27015" xr:uid="{00000000-0005-0000-0000-000067280000}"/>
    <cellStyle name="B_BotRC_p&amp;l wkgs 9" xfId="6864" xr:uid="{00000000-0005-0000-0000-000068280000}"/>
    <cellStyle name="B_BotRC_p&amp;l wkgs 9 2" xfId="6865" xr:uid="{00000000-0005-0000-0000-000069280000}"/>
    <cellStyle name="B_BotRC_p&amp;l wkgs 9 3" xfId="27016" xr:uid="{00000000-0005-0000-0000-00006A280000}"/>
    <cellStyle name="B_BotRC_p&amp;l wkgs_PROD_DETAILS" xfId="6866" xr:uid="{00000000-0005-0000-0000-00006B280000}"/>
    <cellStyle name="B_BotRC_p&amp;l wkgs_PROD_DETAILS 2" xfId="6867" xr:uid="{00000000-0005-0000-0000-00006C280000}"/>
    <cellStyle name="B_BotRC_p&amp;l wkgs_PROD_DETAILS 3" xfId="27017" xr:uid="{00000000-0005-0000-0000-00006D280000}"/>
    <cellStyle name="B_BotRC_p&amp;l wkgs_SOLVENCY POSITION " xfId="6868" xr:uid="{00000000-0005-0000-0000-00006E280000}"/>
    <cellStyle name="B_BotRC_p&amp;l wkgs_SOLVENCY POSITION  2" xfId="6869" xr:uid="{00000000-0005-0000-0000-00006F280000}"/>
    <cellStyle name="B_BotRC_p&amp;l wkgs_SOLVENCY POSITION  3" xfId="27018" xr:uid="{00000000-0005-0000-0000-000070280000}"/>
    <cellStyle name="B_BotRC_PROD_DETAILS" xfId="6870" xr:uid="{00000000-0005-0000-0000-000071280000}"/>
    <cellStyle name="B_BotRC_PROD_DETAILS 2" xfId="6871" xr:uid="{00000000-0005-0000-0000-000072280000}"/>
    <cellStyle name="B_BotRC_PROD_DETAILS 3" xfId="27019" xr:uid="{00000000-0005-0000-0000-000073280000}"/>
    <cellStyle name="B_BotRC_Prophet Roll" xfId="6872" xr:uid="{00000000-0005-0000-0000-000074280000}"/>
    <cellStyle name="B_BotRC_Prophet Roll 10" xfId="6873" xr:uid="{00000000-0005-0000-0000-000075280000}"/>
    <cellStyle name="B_BotRC_Prophet Roll 10 2" xfId="6874" xr:uid="{00000000-0005-0000-0000-000076280000}"/>
    <cellStyle name="B_BotRC_Prophet Roll 10 3" xfId="27020" xr:uid="{00000000-0005-0000-0000-000077280000}"/>
    <cellStyle name="B_BotRC_Prophet Roll 11" xfId="6875" xr:uid="{00000000-0005-0000-0000-000078280000}"/>
    <cellStyle name="B_BotRC_Prophet Roll 11 2" xfId="6876" xr:uid="{00000000-0005-0000-0000-000079280000}"/>
    <cellStyle name="B_BotRC_Prophet Roll 11 3" xfId="27021" xr:uid="{00000000-0005-0000-0000-00007A280000}"/>
    <cellStyle name="B_BotRC_Prophet Roll 12" xfId="6877" xr:uid="{00000000-0005-0000-0000-00007B280000}"/>
    <cellStyle name="B_BotRC_Prophet Roll 12 2" xfId="6878" xr:uid="{00000000-0005-0000-0000-00007C280000}"/>
    <cellStyle name="B_BotRC_Prophet Roll 12 3" xfId="27022" xr:uid="{00000000-0005-0000-0000-00007D280000}"/>
    <cellStyle name="B_BotRC_Prophet Roll 13" xfId="6879" xr:uid="{00000000-0005-0000-0000-00007E280000}"/>
    <cellStyle name="B_BotRC_Prophet Roll 13 2" xfId="6880" xr:uid="{00000000-0005-0000-0000-00007F280000}"/>
    <cellStyle name="B_BotRC_Prophet Roll 13 3" xfId="27023" xr:uid="{00000000-0005-0000-0000-000080280000}"/>
    <cellStyle name="B_BotRC_Prophet Roll 14" xfId="6881" xr:uid="{00000000-0005-0000-0000-000081280000}"/>
    <cellStyle name="B_BotRC_Prophet Roll 14 2" xfId="6882" xr:uid="{00000000-0005-0000-0000-000082280000}"/>
    <cellStyle name="B_BotRC_Prophet Roll 14 3" xfId="27024" xr:uid="{00000000-0005-0000-0000-000083280000}"/>
    <cellStyle name="B_BotRC_Prophet Roll 15" xfId="6883" xr:uid="{00000000-0005-0000-0000-000084280000}"/>
    <cellStyle name="B_BotRC_Prophet Roll 15 2" xfId="6884" xr:uid="{00000000-0005-0000-0000-000085280000}"/>
    <cellStyle name="B_BotRC_Prophet Roll 15 3" xfId="27025" xr:uid="{00000000-0005-0000-0000-000086280000}"/>
    <cellStyle name="B_BotRC_Prophet Roll 16" xfId="6885" xr:uid="{00000000-0005-0000-0000-000087280000}"/>
    <cellStyle name="B_BotRC_Prophet Roll 16 2" xfId="6886" xr:uid="{00000000-0005-0000-0000-000088280000}"/>
    <cellStyle name="B_BotRC_Prophet Roll 16 3" xfId="27026" xr:uid="{00000000-0005-0000-0000-000089280000}"/>
    <cellStyle name="B_BotRC_Prophet Roll 17" xfId="6887" xr:uid="{00000000-0005-0000-0000-00008A280000}"/>
    <cellStyle name="B_BotRC_Prophet Roll 17 2" xfId="6888" xr:uid="{00000000-0005-0000-0000-00008B280000}"/>
    <cellStyle name="B_BotRC_Prophet Roll 17 3" xfId="27027" xr:uid="{00000000-0005-0000-0000-00008C280000}"/>
    <cellStyle name="B_BotRC_Prophet Roll 18" xfId="6889" xr:uid="{00000000-0005-0000-0000-00008D280000}"/>
    <cellStyle name="B_BotRC_Prophet Roll 18 2" xfId="6890" xr:uid="{00000000-0005-0000-0000-00008E280000}"/>
    <cellStyle name="B_BotRC_Prophet Roll 18 3" xfId="27028" xr:uid="{00000000-0005-0000-0000-00008F280000}"/>
    <cellStyle name="B_BotRC_Prophet Roll 19" xfId="6891" xr:uid="{00000000-0005-0000-0000-000090280000}"/>
    <cellStyle name="B_BotRC_Prophet Roll 19 2" xfId="6892" xr:uid="{00000000-0005-0000-0000-000091280000}"/>
    <cellStyle name="B_BotRC_Prophet Roll 19 3" xfId="27029" xr:uid="{00000000-0005-0000-0000-000092280000}"/>
    <cellStyle name="B_BotRC_Prophet Roll 2" xfId="6893" xr:uid="{00000000-0005-0000-0000-000093280000}"/>
    <cellStyle name="B_BotRC_Prophet Roll 2 2" xfId="6894" xr:uid="{00000000-0005-0000-0000-000094280000}"/>
    <cellStyle name="B_BotRC_Prophet Roll 2 3" xfId="27030" xr:uid="{00000000-0005-0000-0000-000095280000}"/>
    <cellStyle name="B_BotRC_Prophet Roll 20" xfId="6895" xr:uid="{00000000-0005-0000-0000-000096280000}"/>
    <cellStyle name="B_BotRC_Prophet Roll 20 2" xfId="6896" xr:uid="{00000000-0005-0000-0000-000097280000}"/>
    <cellStyle name="B_BotRC_Prophet Roll 20 3" xfId="27031" xr:uid="{00000000-0005-0000-0000-000098280000}"/>
    <cellStyle name="B_BotRC_Prophet Roll 21" xfId="6897" xr:uid="{00000000-0005-0000-0000-000099280000}"/>
    <cellStyle name="B_BotRC_Prophet Roll 21 2" xfId="6898" xr:uid="{00000000-0005-0000-0000-00009A280000}"/>
    <cellStyle name="B_BotRC_Prophet Roll 21 3" xfId="27032" xr:uid="{00000000-0005-0000-0000-00009B280000}"/>
    <cellStyle name="B_BotRC_Prophet Roll 22" xfId="6899" xr:uid="{00000000-0005-0000-0000-00009C280000}"/>
    <cellStyle name="B_BotRC_Prophet Roll 22 2" xfId="6900" xr:uid="{00000000-0005-0000-0000-00009D280000}"/>
    <cellStyle name="B_BotRC_Prophet Roll 22 3" xfId="27033" xr:uid="{00000000-0005-0000-0000-00009E280000}"/>
    <cellStyle name="B_BotRC_Prophet Roll 23" xfId="6901" xr:uid="{00000000-0005-0000-0000-00009F280000}"/>
    <cellStyle name="B_BotRC_Prophet Roll 23 2" xfId="6902" xr:uid="{00000000-0005-0000-0000-0000A0280000}"/>
    <cellStyle name="B_BotRC_Prophet Roll 23 3" xfId="27034" xr:uid="{00000000-0005-0000-0000-0000A1280000}"/>
    <cellStyle name="B_BotRC_Prophet Roll 24" xfId="6903" xr:uid="{00000000-0005-0000-0000-0000A2280000}"/>
    <cellStyle name="B_BotRC_Prophet Roll 25" xfId="27035" xr:uid="{00000000-0005-0000-0000-0000A3280000}"/>
    <cellStyle name="B_BotRC_Prophet Roll 3" xfId="6904" xr:uid="{00000000-0005-0000-0000-0000A4280000}"/>
    <cellStyle name="B_BotRC_Prophet Roll 3 2" xfId="6905" xr:uid="{00000000-0005-0000-0000-0000A5280000}"/>
    <cellStyle name="B_BotRC_Prophet Roll 3 3" xfId="27036" xr:uid="{00000000-0005-0000-0000-0000A6280000}"/>
    <cellStyle name="B_BotRC_Prophet Roll 4" xfId="6906" xr:uid="{00000000-0005-0000-0000-0000A7280000}"/>
    <cellStyle name="B_BotRC_Prophet Roll 4 2" xfId="6907" xr:uid="{00000000-0005-0000-0000-0000A8280000}"/>
    <cellStyle name="B_BotRC_Prophet Roll 4 3" xfId="27037" xr:uid="{00000000-0005-0000-0000-0000A9280000}"/>
    <cellStyle name="B_BotRC_Prophet Roll 5" xfId="6908" xr:uid="{00000000-0005-0000-0000-0000AA280000}"/>
    <cellStyle name="B_BotRC_Prophet Roll 5 2" xfId="6909" xr:uid="{00000000-0005-0000-0000-0000AB280000}"/>
    <cellStyle name="B_BotRC_Prophet Roll 5 3" xfId="27038" xr:uid="{00000000-0005-0000-0000-0000AC280000}"/>
    <cellStyle name="B_BotRC_Prophet Roll 6" xfId="6910" xr:uid="{00000000-0005-0000-0000-0000AD280000}"/>
    <cellStyle name="B_BotRC_Prophet Roll 6 2" xfId="6911" xr:uid="{00000000-0005-0000-0000-0000AE280000}"/>
    <cellStyle name="B_BotRC_Prophet Roll 6 3" xfId="27039" xr:uid="{00000000-0005-0000-0000-0000AF280000}"/>
    <cellStyle name="B_BotRC_Prophet Roll 7" xfId="6912" xr:uid="{00000000-0005-0000-0000-0000B0280000}"/>
    <cellStyle name="B_BotRC_Prophet Roll 7 2" xfId="6913" xr:uid="{00000000-0005-0000-0000-0000B1280000}"/>
    <cellStyle name="B_BotRC_Prophet Roll 7 3" xfId="27040" xr:uid="{00000000-0005-0000-0000-0000B2280000}"/>
    <cellStyle name="B_BotRC_Prophet Roll 8" xfId="6914" xr:uid="{00000000-0005-0000-0000-0000B3280000}"/>
    <cellStyle name="B_BotRC_Prophet Roll 8 2" xfId="6915" xr:uid="{00000000-0005-0000-0000-0000B4280000}"/>
    <cellStyle name="B_BotRC_Prophet Roll 8 3" xfId="27041" xr:uid="{00000000-0005-0000-0000-0000B5280000}"/>
    <cellStyle name="B_BotRC_Prophet Roll 9" xfId="6916" xr:uid="{00000000-0005-0000-0000-0000B6280000}"/>
    <cellStyle name="B_BotRC_Prophet Roll 9 2" xfId="6917" xr:uid="{00000000-0005-0000-0000-0000B7280000}"/>
    <cellStyle name="B_BotRC_Prophet Roll 9 3" xfId="27042" xr:uid="{00000000-0005-0000-0000-0000B8280000}"/>
    <cellStyle name="B_BotRC_Prophet Roll_PROD_DETAILS" xfId="6918" xr:uid="{00000000-0005-0000-0000-0000B9280000}"/>
    <cellStyle name="B_BotRC_Prophet Roll_PROD_DETAILS 2" xfId="6919" xr:uid="{00000000-0005-0000-0000-0000BA280000}"/>
    <cellStyle name="B_BotRC_Prophet Roll_PROD_DETAILS 3" xfId="27043" xr:uid="{00000000-0005-0000-0000-0000BB280000}"/>
    <cellStyle name="B_BotRC_Prophet Roll_SOLVENCY POSITION " xfId="6920" xr:uid="{00000000-0005-0000-0000-0000BC280000}"/>
    <cellStyle name="B_BotRC_Prophet Roll_SOLVENCY POSITION  2" xfId="6921" xr:uid="{00000000-0005-0000-0000-0000BD280000}"/>
    <cellStyle name="B_BotRC_Prophet Roll_SOLVENCY POSITION  3" xfId="27044" xr:uid="{00000000-0005-0000-0000-0000BE280000}"/>
    <cellStyle name="B_BotRC_Prophet SalesProj Roll" xfId="6922" xr:uid="{00000000-0005-0000-0000-0000BF280000}"/>
    <cellStyle name="B_BotRC_Prophet SalesProj Roll 10" xfId="6923" xr:uid="{00000000-0005-0000-0000-0000C0280000}"/>
    <cellStyle name="B_BotRC_Prophet SalesProj Roll 10 2" xfId="6924" xr:uid="{00000000-0005-0000-0000-0000C1280000}"/>
    <cellStyle name="B_BotRC_Prophet SalesProj Roll 10 3" xfId="27045" xr:uid="{00000000-0005-0000-0000-0000C2280000}"/>
    <cellStyle name="B_BotRC_Prophet SalesProj Roll 11" xfId="6925" xr:uid="{00000000-0005-0000-0000-0000C3280000}"/>
    <cellStyle name="B_BotRC_Prophet SalesProj Roll 11 2" xfId="6926" xr:uid="{00000000-0005-0000-0000-0000C4280000}"/>
    <cellStyle name="B_BotRC_Prophet SalesProj Roll 11 3" xfId="27046" xr:uid="{00000000-0005-0000-0000-0000C5280000}"/>
    <cellStyle name="B_BotRC_Prophet SalesProj Roll 12" xfId="6927" xr:uid="{00000000-0005-0000-0000-0000C6280000}"/>
    <cellStyle name="B_BotRC_Prophet SalesProj Roll 12 2" xfId="6928" xr:uid="{00000000-0005-0000-0000-0000C7280000}"/>
    <cellStyle name="B_BotRC_Prophet SalesProj Roll 12 3" xfId="27047" xr:uid="{00000000-0005-0000-0000-0000C8280000}"/>
    <cellStyle name="B_BotRC_Prophet SalesProj Roll 13" xfId="6929" xr:uid="{00000000-0005-0000-0000-0000C9280000}"/>
    <cellStyle name="B_BotRC_Prophet SalesProj Roll 13 2" xfId="6930" xr:uid="{00000000-0005-0000-0000-0000CA280000}"/>
    <cellStyle name="B_BotRC_Prophet SalesProj Roll 13 3" xfId="27048" xr:uid="{00000000-0005-0000-0000-0000CB280000}"/>
    <cellStyle name="B_BotRC_Prophet SalesProj Roll 14" xfId="6931" xr:uid="{00000000-0005-0000-0000-0000CC280000}"/>
    <cellStyle name="B_BotRC_Prophet SalesProj Roll 14 2" xfId="6932" xr:uid="{00000000-0005-0000-0000-0000CD280000}"/>
    <cellStyle name="B_BotRC_Prophet SalesProj Roll 14 3" xfId="27049" xr:uid="{00000000-0005-0000-0000-0000CE280000}"/>
    <cellStyle name="B_BotRC_Prophet SalesProj Roll 15" xfId="6933" xr:uid="{00000000-0005-0000-0000-0000CF280000}"/>
    <cellStyle name="B_BotRC_Prophet SalesProj Roll 15 2" xfId="6934" xr:uid="{00000000-0005-0000-0000-0000D0280000}"/>
    <cellStyle name="B_BotRC_Prophet SalesProj Roll 15 3" xfId="27050" xr:uid="{00000000-0005-0000-0000-0000D1280000}"/>
    <cellStyle name="B_BotRC_Prophet SalesProj Roll 16" xfId="6935" xr:uid="{00000000-0005-0000-0000-0000D2280000}"/>
    <cellStyle name="B_BotRC_Prophet SalesProj Roll 16 2" xfId="6936" xr:uid="{00000000-0005-0000-0000-0000D3280000}"/>
    <cellStyle name="B_BotRC_Prophet SalesProj Roll 16 3" xfId="27051" xr:uid="{00000000-0005-0000-0000-0000D4280000}"/>
    <cellStyle name="B_BotRC_Prophet SalesProj Roll 17" xfId="6937" xr:uid="{00000000-0005-0000-0000-0000D5280000}"/>
    <cellStyle name="B_BotRC_Prophet SalesProj Roll 17 2" xfId="6938" xr:uid="{00000000-0005-0000-0000-0000D6280000}"/>
    <cellStyle name="B_BotRC_Prophet SalesProj Roll 17 3" xfId="27052" xr:uid="{00000000-0005-0000-0000-0000D7280000}"/>
    <cellStyle name="B_BotRC_Prophet SalesProj Roll 18" xfId="6939" xr:uid="{00000000-0005-0000-0000-0000D8280000}"/>
    <cellStyle name="B_BotRC_Prophet SalesProj Roll 18 2" xfId="6940" xr:uid="{00000000-0005-0000-0000-0000D9280000}"/>
    <cellStyle name="B_BotRC_Prophet SalesProj Roll 18 3" xfId="27053" xr:uid="{00000000-0005-0000-0000-0000DA280000}"/>
    <cellStyle name="B_BotRC_Prophet SalesProj Roll 19" xfId="6941" xr:uid="{00000000-0005-0000-0000-0000DB280000}"/>
    <cellStyle name="B_BotRC_Prophet SalesProj Roll 19 2" xfId="6942" xr:uid="{00000000-0005-0000-0000-0000DC280000}"/>
    <cellStyle name="B_BotRC_Prophet SalesProj Roll 19 3" xfId="27054" xr:uid="{00000000-0005-0000-0000-0000DD280000}"/>
    <cellStyle name="B_BotRC_Prophet SalesProj Roll 2" xfId="6943" xr:uid="{00000000-0005-0000-0000-0000DE280000}"/>
    <cellStyle name="B_BotRC_Prophet SalesProj Roll 2 2" xfId="6944" xr:uid="{00000000-0005-0000-0000-0000DF280000}"/>
    <cellStyle name="B_BotRC_Prophet SalesProj Roll 2 3" xfId="27055" xr:uid="{00000000-0005-0000-0000-0000E0280000}"/>
    <cellStyle name="B_BotRC_Prophet SalesProj Roll 20" xfId="6945" xr:uid="{00000000-0005-0000-0000-0000E1280000}"/>
    <cellStyle name="B_BotRC_Prophet SalesProj Roll 20 2" xfId="6946" xr:uid="{00000000-0005-0000-0000-0000E2280000}"/>
    <cellStyle name="B_BotRC_Prophet SalesProj Roll 20 3" xfId="27056" xr:uid="{00000000-0005-0000-0000-0000E3280000}"/>
    <cellStyle name="B_BotRC_Prophet SalesProj Roll 21" xfId="6947" xr:uid="{00000000-0005-0000-0000-0000E4280000}"/>
    <cellStyle name="B_BotRC_Prophet SalesProj Roll 21 2" xfId="6948" xr:uid="{00000000-0005-0000-0000-0000E5280000}"/>
    <cellStyle name="B_BotRC_Prophet SalesProj Roll 21 3" xfId="27057" xr:uid="{00000000-0005-0000-0000-0000E6280000}"/>
    <cellStyle name="B_BotRC_Prophet SalesProj Roll 22" xfId="6949" xr:uid="{00000000-0005-0000-0000-0000E7280000}"/>
    <cellStyle name="B_BotRC_Prophet SalesProj Roll 22 2" xfId="6950" xr:uid="{00000000-0005-0000-0000-0000E8280000}"/>
    <cellStyle name="B_BotRC_Prophet SalesProj Roll 22 3" xfId="27058" xr:uid="{00000000-0005-0000-0000-0000E9280000}"/>
    <cellStyle name="B_BotRC_Prophet SalesProj Roll 23" xfId="6951" xr:uid="{00000000-0005-0000-0000-0000EA280000}"/>
    <cellStyle name="B_BotRC_Prophet SalesProj Roll 23 2" xfId="6952" xr:uid="{00000000-0005-0000-0000-0000EB280000}"/>
    <cellStyle name="B_BotRC_Prophet SalesProj Roll 23 3" xfId="27059" xr:uid="{00000000-0005-0000-0000-0000EC280000}"/>
    <cellStyle name="B_BotRC_Prophet SalesProj Roll 24" xfId="6953" xr:uid="{00000000-0005-0000-0000-0000ED280000}"/>
    <cellStyle name="B_BotRC_Prophet SalesProj Roll 25" xfId="27060" xr:uid="{00000000-0005-0000-0000-0000EE280000}"/>
    <cellStyle name="B_BotRC_Prophet SalesProj Roll 3" xfId="6954" xr:uid="{00000000-0005-0000-0000-0000EF280000}"/>
    <cellStyle name="B_BotRC_Prophet SalesProj Roll 3 2" xfId="6955" xr:uid="{00000000-0005-0000-0000-0000F0280000}"/>
    <cellStyle name="B_BotRC_Prophet SalesProj Roll 3 3" xfId="27061" xr:uid="{00000000-0005-0000-0000-0000F1280000}"/>
    <cellStyle name="B_BotRC_Prophet SalesProj Roll 4" xfId="6956" xr:uid="{00000000-0005-0000-0000-0000F2280000}"/>
    <cellStyle name="B_BotRC_Prophet SalesProj Roll 4 2" xfId="6957" xr:uid="{00000000-0005-0000-0000-0000F3280000}"/>
    <cellStyle name="B_BotRC_Prophet SalesProj Roll 4 3" xfId="27062" xr:uid="{00000000-0005-0000-0000-0000F4280000}"/>
    <cellStyle name="B_BotRC_Prophet SalesProj Roll 5" xfId="6958" xr:uid="{00000000-0005-0000-0000-0000F5280000}"/>
    <cellStyle name="B_BotRC_Prophet SalesProj Roll 5 2" xfId="6959" xr:uid="{00000000-0005-0000-0000-0000F6280000}"/>
    <cellStyle name="B_BotRC_Prophet SalesProj Roll 5 3" xfId="27063" xr:uid="{00000000-0005-0000-0000-0000F7280000}"/>
    <cellStyle name="B_BotRC_Prophet SalesProj Roll 6" xfId="6960" xr:uid="{00000000-0005-0000-0000-0000F8280000}"/>
    <cellStyle name="B_BotRC_Prophet SalesProj Roll 6 2" xfId="6961" xr:uid="{00000000-0005-0000-0000-0000F9280000}"/>
    <cellStyle name="B_BotRC_Prophet SalesProj Roll 6 3" xfId="27064" xr:uid="{00000000-0005-0000-0000-0000FA280000}"/>
    <cellStyle name="B_BotRC_Prophet SalesProj Roll 7" xfId="6962" xr:uid="{00000000-0005-0000-0000-0000FB280000}"/>
    <cellStyle name="B_BotRC_Prophet SalesProj Roll 7 2" xfId="6963" xr:uid="{00000000-0005-0000-0000-0000FC280000}"/>
    <cellStyle name="B_BotRC_Prophet SalesProj Roll 7 3" xfId="27065" xr:uid="{00000000-0005-0000-0000-0000FD280000}"/>
    <cellStyle name="B_BotRC_Prophet SalesProj Roll 8" xfId="6964" xr:uid="{00000000-0005-0000-0000-0000FE280000}"/>
    <cellStyle name="B_BotRC_Prophet SalesProj Roll 8 2" xfId="6965" xr:uid="{00000000-0005-0000-0000-0000FF280000}"/>
    <cellStyle name="B_BotRC_Prophet SalesProj Roll 8 3" xfId="27066" xr:uid="{00000000-0005-0000-0000-000000290000}"/>
    <cellStyle name="B_BotRC_Prophet SalesProj Roll 9" xfId="6966" xr:uid="{00000000-0005-0000-0000-000001290000}"/>
    <cellStyle name="B_BotRC_Prophet SalesProj Roll 9 2" xfId="6967" xr:uid="{00000000-0005-0000-0000-000002290000}"/>
    <cellStyle name="B_BotRC_Prophet SalesProj Roll 9 3" xfId="27067" xr:uid="{00000000-0005-0000-0000-000003290000}"/>
    <cellStyle name="B_BotRC_Prophet SalesProj Roll_PROD_DETAILS" xfId="6968" xr:uid="{00000000-0005-0000-0000-000004290000}"/>
    <cellStyle name="B_BotRC_Prophet SalesProj Roll_PROD_DETAILS 2" xfId="6969" xr:uid="{00000000-0005-0000-0000-000005290000}"/>
    <cellStyle name="B_BotRC_Prophet SalesProj Roll_PROD_DETAILS 3" xfId="27068" xr:uid="{00000000-0005-0000-0000-000006290000}"/>
    <cellStyle name="B_BotRC_Prophet SalesProj Roll_SOLVENCY POSITION " xfId="6970" xr:uid="{00000000-0005-0000-0000-000007290000}"/>
    <cellStyle name="B_BotRC_Prophet SalesProj Roll_SOLVENCY POSITION  2" xfId="6971" xr:uid="{00000000-0005-0000-0000-000008290000}"/>
    <cellStyle name="B_BotRC_Prophet SalesProj Roll_SOLVENCY POSITION  3" xfId="27069" xr:uid="{00000000-0005-0000-0000-000009290000}"/>
    <cellStyle name="B_BotRC_Prophet-EEV ReportingFinal301205-Apr06" xfId="6972" xr:uid="{00000000-0005-0000-0000-00000A290000}"/>
    <cellStyle name="B_BotRC_Prophet-EEV ReportingFinal301205-Apr06 10" xfId="6973" xr:uid="{00000000-0005-0000-0000-00000B290000}"/>
    <cellStyle name="B_BotRC_Prophet-EEV ReportingFinal301205-Apr06 10 2" xfId="6974" xr:uid="{00000000-0005-0000-0000-00000C290000}"/>
    <cellStyle name="B_BotRC_Prophet-EEV ReportingFinal301205-Apr06 10 3" xfId="27070" xr:uid="{00000000-0005-0000-0000-00000D290000}"/>
    <cellStyle name="B_BotRC_Prophet-EEV ReportingFinal301205-Apr06 11" xfId="6975" xr:uid="{00000000-0005-0000-0000-00000E290000}"/>
    <cellStyle name="B_BotRC_Prophet-EEV ReportingFinal301205-Apr06 11 2" xfId="6976" xr:uid="{00000000-0005-0000-0000-00000F290000}"/>
    <cellStyle name="B_BotRC_Prophet-EEV ReportingFinal301205-Apr06 11 3" xfId="27071" xr:uid="{00000000-0005-0000-0000-000010290000}"/>
    <cellStyle name="B_BotRC_Prophet-EEV ReportingFinal301205-Apr06 12" xfId="6977" xr:uid="{00000000-0005-0000-0000-000011290000}"/>
    <cellStyle name="B_BotRC_Prophet-EEV ReportingFinal301205-Apr06 12 2" xfId="6978" xr:uid="{00000000-0005-0000-0000-000012290000}"/>
    <cellStyle name="B_BotRC_Prophet-EEV ReportingFinal301205-Apr06 12 3" xfId="27072" xr:uid="{00000000-0005-0000-0000-000013290000}"/>
    <cellStyle name="B_BotRC_Prophet-EEV ReportingFinal301205-Apr06 13" xfId="6979" xr:uid="{00000000-0005-0000-0000-000014290000}"/>
    <cellStyle name="B_BotRC_Prophet-EEV ReportingFinal301205-Apr06 13 2" xfId="6980" xr:uid="{00000000-0005-0000-0000-000015290000}"/>
    <cellStyle name="B_BotRC_Prophet-EEV ReportingFinal301205-Apr06 13 3" xfId="27073" xr:uid="{00000000-0005-0000-0000-000016290000}"/>
    <cellStyle name="B_BotRC_Prophet-EEV ReportingFinal301205-Apr06 14" xfId="6981" xr:uid="{00000000-0005-0000-0000-000017290000}"/>
    <cellStyle name="B_BotRC_Prophet-EEV ReportingFinal301205-Apr06 14 2" xfId="6982" xr:uid="{00000000-0005-0000-0000-000018290000}"/>
    <cellStyle name="B_BotRC_Prophet-EEV ReportingFinal301205-Apr06 14 3" xfId="27074" xr:uid="{00000000-0005-0000-0000-000019290000}"/>
    <cellStyle name="B_BotRC_Prophet-EEV ReportingFinal301205-Apr06 15" xfId="6983" xr:uid="{00000000-0005-0000-0000-00001A290000}"/>
    <cellStyle name="B_BotRC_Prophet-EEV ReportingFinal301205-Apr06 15 2" xfId="6984" xr:uid="{00000000-0005-0000-0000-00001B290000}"/>
    <cellStyle name="B_BotRC_Prophet-EEV ReportingFinal301205-Apr06 15 3" xfId="27075" xr:uid="{00000000-0005-0000-0000-00001C290000}"/>
    <cellStyle name="B_BotRC_Prophet-EEV ReportingFinal301205-Apr06 16" xfId="6985" xr:uid="{00000000-0005-0000-0000-00001D290000}"/>
    <cellStyle name="B_BotRC_Prophet-EEV ReportingFinal301205-Apr06 16 2" xfId="6986" xr:uid="{00000000-0005-0000-0000-00001E290000}"/>
    <cellStyle name="B_BotRC_Prophet-EEV ReportingFinal301205-Apr06 16 3" xfId="27076" xr:uid="{00000000-0005-0000-0000-00001F290000}"/>
    <cellStyle name="B_BotRC_Prophet-EEV ReportingFinal301205-Apr06 17" xfId="6987" xr:uid="{00000000-0005-0000-0000-000020290000}"/>
    <cellStyle name="B_BotRC_Prophet-EEV ReportingFinal301205-Apr06 17 2" xfId="6988" xr:uid="{00000000-0005-0000-0000-000021290000}"/>
    <cellStyle name="B_BotRC_Prophet-EEV ReportingFinal301205-Apr06 17 3" xfId="27077" xr:uid="{00000000-0005-0000-0000-000022290000}"/>
    <cellStyle name="B_BotRC_Prophet-EEV ReportingFinal301205-Apr06 18" xfId="6989" xr:uid="{00000000-0005-0000-0000-000023290000}"/>
    <cellStyle name="B_BotRC_Prophet-EEV ReportingFinal301205-Apr06 18 2" xfId="6990" xr:uid="{00000000-0005-0000-0000-000024290000}"/>
    <cellStyle name="B_BotRC_Prophet-EEV ReportingFinal301205-Apr06 18 3" xfId="27078" xr:uid="{00000000-0005-0000-0000-000025290000}"/>
    <cellStyle name="B_BotRC_Prophet-EEV ReportingFinal301205-Apr06 19" xfId="6991" xr:uid="{00000000-0005-0000-0000-000026290000}"/>
    <cellStyle name="B_BotRC_Prophet-EEV ReportingFinal301205-Apr06 19 2" xfId="6992" xr:uid="{00000000-0005-0000-0000-000027290000}"/>
    <cellStyle name="B_BotRC_Prophet-EEV ReportingFinal301205-Apr06 19 3" xfId="27079" xr:uid="{00000000-0005-0000-0000-000028290000}"/>
    <cellStyle name="B_BotRC_Prophet-EEV ReportingFinal301205-Apr06 2" xfId="6993" xr:uid="{00000000-0005-0000-0000-000029290000}"/>
    <cellStyle name="B_BotRC_Prophet-EEV ReportingFinal301205-Apr06 2 2" xfId="6994" xr:uid="{00000000-0005-0000-0000-00002A290000}"/>
    <cellStyle name="B_BotRC_Prophet-EEV ReportingFinal301205-Apr06 2 3" xfId="27080" xr:uid="{00000000-0005-0000-0000-00002B290000}"/>
    <cellStyle name="B_BotRC_Prophet-EEV ReportingFinal301205-Apr06 20" xfId="6995" xr:uid="{00000000-0005-0000-0000-00002C290000}"/>
    <cellStyle name="B_BotRC_Prophet-EEV ReportingFinal301205-Apr06 20 2" xfId="6996" xr:uid="{00000000-0005-0000-0000-00002D290000}"/>
    <cellStyle name="B_BotRC_Prophet-EEV ReportingFinal301205-Apr06 20 3" xfId="27081" xr:uid="{00000000-0005-0000-0000-00002E290000}"/>
    <cellStyle name="B_BotRC_Prophet-EEV ReportingFinal301205-Apr06 21" xfId="6997" xr:uid="{00000000-0005-0000-0000-00002F290000}"/>
    <cellStyle name="B_BotRC_Prophet-EEV ReportingFinal301205-Apr06 21 2" xfId="6998" xr:uid="{00000000-0005-0000-0000-000030290000}"/>
    <cellStyle name="B_BotRC_Prophet-EEV ReportingFinal301205-Apr06 21 3" xfId="27082" xr:uid="{00000000-0005-0000-0000-000031290000}"/>
    <cellStyle name="B_BotRC_Prophet-EEV ReportingFinal301205-Apr06 22" xfId="6999" xr:uid="{00000000-0005-0000-0000-000032290000}"/>
    <cellStyle name="B_BotRC_Prophet-EEV ReportingFinal301205-Apr06 22 2" xfId="7000" xr:uid="{00000000-0005-0000-0000-000033290000}"/>
    <cellStyle name="B_BotRC_Prophet-EEV ReportingFinal301205-Apr06 22 3" xfId="27083" xr:uid="{00000000-0005-0000-0000-000034290000}"/>
    <cellStyle name="B_BotRC_Prophet-EEV ReportingFinal301205-Apr06 23" xfId="7001" xr:uid="{00000000-0005-0000-0000-000035290000}"/>
    <cellStyle name="B_BotRC_Prophet-EEV ReportingFinal301205-Apr06 23 2" xfId="7002" xr:uid="{00000000-0005-0000-0000-000036290000}"/>
    <cellStyle name="B_BotRC_Prophet-EEV ReportingFinal301205-Apr06 23 3" xfId="27084" xr:uid="{00000000-0005-0000-0000-000037290000}"/>
    <cellStyle name="B_BotRC_Prophet-EEV ReportingFinal301205-Apr06 24" xfId="7003" xr:uid="{00000000-0005-0000-0000-000038290000}"/>
    <cellStyle name="B_BotRC_Prophet-EEV ReportingFinal301205-Apr06 25" xfId="27085" xr:uid="{00000000-0005-0000-0000-000039290000}"/>
    <cellStyle name="B_BotRC_Prophet-EEV ReportingFinal301205-Apr06 3" xfId="7004" xr:uid="{00000000-0005-0000-0000-00003A290000}"/>
    <cellStyle name="B_BotRC_Prophet-EEV ReportingFinal301205-Apr06 3 2" xfId="7005" xr:uid="{00000000-0005-0000-0000-00003B290000}"/>
    <cellStyle name="B_BotRC_Prophet-EEV ReportingFinal301205-Apr06 3 3" xfId="27086" xr:uid="{00000000-0005-0000-0000-00003C290000}"/>
    <cellStyle name="B_BotRC_Prophet-EEV ReportingFinal301205-Apr06 4" xfId="7006" xr:uid="{00000000-0005-0000-0000-00003D290000}"/>
    <cellStyle name="B_BotRC_Prophet-EEV ReportingFinal301205-Apr06 4 2" xfId="7007" xr:uid="{00000000-0005-0000-0000-00003E290000}"/>
    <cellStyle name="B_BotRC_Prophet-EEV ReportingFinal301205-Apr06 4 3" xfId="27087" xr:uid="{00000000-0005-0000-0000-00003F290000}"/>
    <cellStyle name="B_BotRC_Prophet-EEV ReportingFinal301205-Apr06 5" xfId="7008" xr:uid="{00000000-0005-0000-0000-000040290000}"/>
    <cellStyle name="B_BotRC_Prophet-EEV ReportingFinal301205-Apr06 5 2" xfId="7009" xr:uid="{00000000-0005-0000-0000-000041290000}"/>
    <cellStyle name="B_BotRC_Prophet-EEV ReportingFinal301205-Apr06 5 3" xfId="27088" xr:uid="{00000000-0005-0000-0000-000042290000}"/>
    <cellStyle name="B_BotRC_Prophet-EEV ReportingFinal301205-Apr06 6" xfId="7010" xr:uid="{00000000-0005-0000-0000-000043290000}"/>
    <cellStyle name="B_BotRC_Prophet-EEV ReportingFinal301205-Apr06 6 2" xfId="7011" xr:uid="{00000000-0005-0000-0000-000044290000}"/>
    <cellStyle name="B_BotRC_Prophet-EEV ReportingFinal301205-Apr06 6 3" xfId="27089" xr:uid="{00000000-0005-0000-0000-000045290000}"/>
    <cellStyle name="B_BotRC_Prophet-EEV ReportingFinal301205-Apr06 7" xfId="7012" xr:uid="{00000000-0005-0000-0000-000046290000}"/>
    <cellStyle name="B_BotRC_Prophet-EEV ReportingFinal301205-Apr06 7 2" xfId="7013" xr:uid="{00000000-0005-0000-0000-000047290000}"/>
    <cellStyle name="B_BotRC_Prophet-EEV ReportingFinal301205-Apr06 7 3" xfId="27090" xr:uid="{00000000-0005-0000-0000-000048290000}"/>
    <cellStyle name="B_BotRC_Prophet-EEV ReportingFinal301205-Apr06 8" xfId="7014" xr:uid="{00000000-0005-0000-0000-000049290000}"/>
    <cellStyle name="B_BotRC_Prophet-EEV ReportingFinal301205-Apr06 8 2" xfId="7015" xr:uid="{00000000-0005-0000-0000-00004A290000}"/>
    <cellStyle name="B_BotRC_Prophet-EEV ReportingFinal301205-Apr06 8 3" xfId="27091" xr:uid="{00000000-0005-0000-0000-00004B290000}"/>
    <cellStyle name="B_BotRC_Prophet-EEV ReportingFinal301205-Apr06 9" xfId="7016" xr:uid="{00000000-0005-0000-0000-00004C290000}"/>
    <cellStyle name="B_BotRC_Prophet-EEV ReportingFinal301205-Apr06 9 2" xfId="7017" xr:uid="{00000000-0005-0000-0000-00004D290000}"/>
    <cellStyle name="B_BotRC_Prophet-EEV ReportingFinal301205-Apr06 9 3" xfId="27092" xr:uid="{00000000-0005-0000-0000-00004E290000}"/>
    <cellStyle name="B_BotRC_Prophet-EEV ReportingFinal301205-Apr06_HK.EEV-May06 4+2 kkh" xfId="7018" xr:uid="{00000000-0005-0000-0000-00004F290000}"/>
    <cellStyle name="B_BotRC_Prophet-EEV ReportingFinal301205-Apr06_HK.EEV-May06 4+2 kkh 10" xfId="7019" xr:uid="{00000000-0005-0000-0000-000050290000}"/>
    <cellStyle name="B_BotRC_Prophet-EEV ReportingFinal301205-Apr06_HK.EEV-May06 4+2 kkh 10 2" xfId="7020" xr:uid="{00000000-0005-0000-0000-000051290000}"/>
    <cellStyle name="B_BotRC_Prophet-EEV ReportingFinal301205-Apr06_HK.EEV-May06 4+2 kkh 10 3" xfId="27093" xr:uid="{00000000-0005-0000-0000-000052290000}"/>
    <cellStyle name="B_BotRC_Prophet-EEV ReportingFinal301205-Apr06_HK.EEV-May06 4+2 kkh 11" xfId="7021" xr:uid="{00000000-0005-0000-0000-000053290000}"/>
    <cellStyle name="B_BotRC_Prophet-EEV ReportingFinal301205-Apr06_HK.EEV-May06 4+2 kkh 11 2" xfId="7022" xr:uid="{00000000-0005-0000-0000-000054290000}"/>
    <cellStyle name="B_BotRC_Prophet-EEV ReportingFinal301205-Apr06_HK.EEV-May06 4+2 kkh 11 3" xfId="27094" xr:uid="{00000000-0005-0000-0000-000055290000}"/>
    <cellStyle name="B_BotRC_Prophet-EEV ReportingFinal301205-Apr06_HK.EEV-May06 4+2 kkh 12" xfId="7023" xr:uid="{00000000-0005-0000-0000-000056290000}"/>
    <cellStyle name="B_BotRC_Prophet-EEV ReportingFinal301205-Apr06_HK.EEV-May06 4+2 kkh 12 2" xfId="7024" xr:uid="{00000000-0005-0000-0000-000057290000}"/>
    <cellStyle name="B_BotRC_Prophet-EEV ReportingFinal301205-Apr06_HK.EEV-May06 4+2 kkh 12 3" xfId="27095" xr:uid="{00000000-0005-0000-0000-000058290000}"/>
    <cellStyle name="B_BotRC_Prophet-EEV ReportingFinal301205-Apr06_HK.EEV-May06 4+2 kkh 13" xfId="7025" xr:uid="{00000000-0005-0000-0000-000059290000}"/>
    <cellStyle name="B_BotRC_Prophet-EEV ReportingFinal301205-Apr06_HK.EEV-May06 4+2 kkh 13 2" xfId="7026" xr:uid="{00000000-0005-0000-0000-00005A290000}"/>
    <cellStyle name="B_BotRC_Prophet-EEV ReportingFinal301205-Apr06_HK.EEV-May06 4+2 kkh 13 3" xfId="27096" xr:uid="{00000000-0005-0000-0000-00005B290000}"/>
    <cellStyle name="B_BotRC_Prophet-EEV ReportingFinal301205-Apr06_HK.EEV-May06 4+2 kkh 14" xfId="7027" xr:uid="{00000000-0005-0000-0000-00005C290000}"/>
    <cellStyle name="B_BotRC_Prophet-EEV ReportingFinal301205-Apr06_HK.EEV-May06 4+2 kkh 14 2" xfId="7028" xr:uid="{00000000-0005-0000-0000-00005D290000}"/>
    <cellStyle name="B_BotRC_Prophet-EEV ReportingFinal301205-Apr06_HK.EEV-May06 4+2 kkh 14 3" xfId="27097" xr:uid="{00000000-0005-0000-0000-00005E290000}"/>
    <cellStyle name="B_BotRC_Prophet-EEV ReportingFinal301205-Apr06_HK.EEV-May06 4+2 kkh 15" xfId="7029" xr:uid="{00000000-0005-0000-0000-00005F290000}"/>
    <cellStyle name="B_BotRC_Prophet-EEV ReportingFinal301205-Apr06_HK.EEV-May06 4+2 kkh 15 2" xfId="7030" xr:uid="{00000000-0005-0000-0000-000060290000}"/>
    <cellStyle name="B_BotRC_Prophet-EEV ReportingFinal301205-Apr06_HK.EEV-May06 4+2 kkh 15 3" xfId="27098" xr:uid="{00000000-0005-0000-0000-000061290000}"/>
    <cellStyle name="B_BotRC_Prophet-EEV ReportingFinal301205-Apr06_HK.EEV-May06 4+2 kkh 16" xfId="7031" xr:uid="{00000000-0005-0000-0000-000062290000}"/>
    <cellStyle name="B_BotRC_Prophet-EEV ReportingFinal301205-Apr06_HK.EEV-May06 4+2 kkh 16 2" xfId="7032" xr:uid="{00000000-0005-0000-0000-000063290000}"/>
    <cellStyle name="B_BotRC_Prophet-EEV ReportingFinal301205-Apr06_HK.EEV-May06 4+2 kkh 16 3" xfId="27099" xr:uid="{00000000-0005-0000-0000-000064290000}"/>
    <cellStyle name="B_BotRC_Prophet-EEV ReportingFinal301205-Apr06_HK.EEV-May06 4+2 kkh 17" xfId="7033" xr:uid="{00000000-0005-0000-0000-000065290000}"/>
    <cellStyle name="B_BotRC_Prophet-EEV ReportingFinal301205-Apr06_HK.EEV-May06 4+2 kkh 17 2" xfId="7034" xr:uid="{00000000-0005-0000-0000-000066290000}"/>
    <cellStyle name="B_BotRC_Prophet-EEV ReportingFinal301205-Apr06_HK.EEV-May06 4+2 kkh 17 3" xfId="27100" xr:uid="{00000000-0005-0000-0000-000067290000}"/>
    <cellStyle name="B_BotRC_Prophet-EEV ReportingFinal301205-Apr06_HK.EEV-May06 4+2 kkh 18" xfId="7035" xr:uid="{00000000-0005-0000-0000-000068290000}"/>
    <cellStyle name="B_BotRC_Prophet-EEV ReportingFinal301205-Apr06_HK.EEV-May06 4+2 kkh 18 2" xfId="7036" xr:uid="{00000000-0005-0000-0000-000069290000}"/>
    <cellStyle name="B_BotRC_Prophet-EEV ReportingFinal301205-Apr06_HK.EEV-May06 4+2 kkh 18 3" xfId="27101" xr:uid="{00000000-0005-0000-0000-00006A290000}"/>
    <cellStyle name="B_BotRC_Prophet-EEV ReportingFinal301205-Apr06_HK.EEV-May06 4+2 kkh 19" xfId="7037" xr:uid="{00000000-0005-0000-0000-00006B290000}"/>
    <cellStyle name="B_BotRC_Prophet-EEV ReportingFinal301205-Apr06_HK.EEV-May06 4+2 kkh 19 2" xfId="7038" xr:uid="{00000000-0005-0000-0000-00006C290000}"/>
    <cellStyle name="B_BotRC_Prophet-EEV ReportingFinal301205-Apr06_HK.EEV-May06 4+2 kkh 19 3" xfId="27102" xr:uid="{00000000-0005-0000-0000-00006D290000}"/>
    <cellStyle name="B_BotRC_Prophet-EEV ReportingFinal301205-Apr06_HK.EEV-May06 4+2 kkh 2" xfId="7039" xr:uid="{00000000-0005-0000-0000-00006E290000}"/>
    <cellStyle name="B_BotRC_Prophet-EEV ReportingFinal301205-Apr06_HK.EEV-May06 4+2 kkh 2 2" xfId="7040" xr:uid="{00000000-0005-0000-0000-00006F290000}"/>
    <cellStyle name="B_BotRC_Prophet-EEV ReportingFinal301205-Apr06_HK.EEV-May06 4+2 kkh 2 3" xfId="27103" xr:uid="{00000000-0005-0000-0000-000070290000}"/>
    <cellStyle name="B_BotRC_Prophet-EEV ReportingFinal301205-Apr06_HK.EEV-May06 4+2 kkh 20" xfId="7041" xr:uid="{00000000-0005-0000-0000-000071290000}"/>
    <cellStyle name="B_BotRC_Prophet-EEV ReportingFinal301205-Apr06_HK.EEV-May06 4+2 kkh 20 2" xfId="7042" xr:uid="{00000000-0005-0000-0000-000072290000}"/>
    <cellStyle name="B_BotRC_Prophet-EEV ReportingFinal301205-Apr06_HK.EEV-May06 4+2 kkh 20 3" xfId="27104" xr:uid="{00000000-0005-0000-0000-000073290000}"/>
    <cellStyle name="B_BotRC_Prophet-EEV ReportingFinal301205-Apr06_HK.EEV-May06 4+2 kkh 21" xfId="7043" xr:uid="{00000000-0005-0000-0000-000074290000}"/>
    <cellStyle name="B_BotRC_Prophet-EEV ReportingFinal301205-Apr06_HK.EEV-May06 4+2 kkh 21 2" xfId="7044" xr:uid="{00000000-0005-0000-0000-000075290000}"/>
    <cellStyle name="B_BotRC_Prophet-EEV ReportingFinal301205-Apr06_HK.EEV-May06 4+2 kkh 21 3" xfId="27105" xr:uid="{00000000-0005-0000-0000-000076290000}"/>
    <cellStyle name="B_BotRC_Prophet-EEV ReportingFinal301205-Apr06_HK.EEV-May06 4+2 kkh 22" xfId="7045" xr:uid="{00000000-0005-0000-0000-000077290000}"/>
    <cellStyle name="B_BotRC_Prophet-EEV ReportingFinal301205-Apr06_HK.EEV-May06 4+2 kkh 22 2" xfId="7046" xr:uid="{00000000-0005-0000-0000-000078290000}"/>
    <cellStyle name="B_BotRC_Prophet-EEV ReportingFinal301205-Apr06_HK.EEV-May06 4+2 kkh 22 3" xfId="27106" xr:uid="{00000000-0005-0000-0000-000079290000}"/>
    <cellStyle name="B_BotRC_Prophet-EEV ReportingFinal301205-Apr06_HK.EEV-May06 4+2 kkh 23" xfId="7047" xr:uid="{00000000-0005-0000-0000-00007A290000}"/>
    <cellStyle name="B_BotRC_Prophet-EEV ReportingFinal301205-Apr06_HK.EEV-May06 4+2 kkh 23 2" xfId="7048" xr:uid="{00000000-0005-0000-0000-00007B290000}"/>
    <cellStyle name="B_BotRC_Prophet-EEV ReportingFinal301205-Apr06_HK.EEV-May06 4+2 kkh 23 3" xfId="27107" xr:uid="{00000000-0005-0000-0000-00007C290000}"/>
    <cellStyle name="B_BotRC_Prophet-EEV ReportingFinal301205-Apr06_HK.EEV-May06 4+2 kkh 24" xfId="7049" xr:uid="{00000000-0005-0000-0000-00007D290000}"/>
    <cellStyle name="B_BotRC_Prophet-EEV ReportingFinal301205-Apr06_HK.EEV-May06 4+2 kkh 25" xfId="27108" xr:uid="{00000000-0005-0000-0000-00007E290000}"/>
    <cellStyle name="B_BotRC_Prophet-EEV ReportingFinal301205-Apr06_HK.EEV-May06 4+2 kkh 3" xfId="7050" xr:uid="{00000000-0005-0000-0000-00007F290000}"/>
    <cellStyle name="B_BotRC_Prophet-EEV ReportingFinal301205-Apr06_HK.EEV-May06 4+2 kkh 3 2" xfId="7051" xr:uid="{00000000-0005-0000-0000-000080290000}"/>
    <cellStyle name="B_BotRC_Prophet-EEV ReportingFinal301205-Apr06_HK.EEV-May06 4+2 kkh 3 3" xfId="27109" xr:uid="{00000000-0005-0000-0000-000081290000}"/>
    <cellStyle name="B_BotRC_Prophet-EEV ReportingFinal301205-Apr06_HK.EEV-May06 4+2 kkh 4" xfId="7052" xr:uid="{00000000-0005-0000-0000-000082290000}"/>
    <cellStyle name="B_BotRC_Prophet-EEV ReportingFinal301205-Apr06_HK.EEV-May06 4+2 kkh 4 2" xfId="7053" xr:uid="{00000000-0005-0000-0000-000083290000}"/>
    <cellStyle name="B_BotRC_Prophet-EEV ReportingFinal301205-Apr06_HK.EEV-May06 4+2 kkh 4 3" xfId="27110" xr:uid="{00000000-0005-0000-0000-000084290000}"/>
    <cellStyle name="B_BotRC_Prophet-EEV ReportingFinal301205-Apr06_HK.EEV-May06 4+2 kkh 5" xfId="7054" xr:uid="{00000000-0005-0000-0000-000085290000}"/>
    <cellStyle name="B_BotRC_Prophet-EEV ReportingFinal301205-Apr06_HK.EEV-May06 4+2 kkh 5 2" xfId="7055" xr:uid="{00000000-0005-0000-0000-000086290000}"/>
    <cellStyle name="B_BotRC_Prophet-EEV ReportingFinal301205-Apr06_HK.EEV-May06 4+2 kkh 5 3" xfId="27111" xr:uid="{00000000-0005-0000-0000-000087290000}"/>
    <cellStyle name="B_BotRC_Prophet-EEV ReportingFinal301205-Apr06_HK.EEV-May06 4+2 kkh 6" xfId="7056" xr:uid="{00000000-0005-0000-0000-000088290000}"/>
    <cellStyle name="B_BotRC_Prophet-EEV ReportingFinal301205-Apr06_HK.EEV-May06 4+2 kkh 6 2" xfId="7057" xr:uid="{00000000-0005-0000-0000-000089290000}"/>
    <cellStyle name="B_BotRC_Prophet-EEV ReportingFinal301205-Apr06_HK.EEV-May06 4+2 kkh 6 3" xfId="27112" xr:uid="{00000000-0005-0000-0000-00008A290000}"/>
    <cellStyle name="B_BotRC_Prophet-EEV ReportingFinal301205-Apr06_HK.EEV-May06 4+2 kkh 7" xfId="7058" xr:uid="{00000000-0005-0000-0000-00008B290000}"/>
    <cellStyle name="B_BotRC_Prophet-EEV ReportingFinal301205-Apr06_HK.EEV-May06 4+2 kkh 7 2" xfId="7059" xr:uid="{00000000-0005-0000-0000-00008C290000}"/>
    <cellStyle name="B_BotRC_Prophet-EEV ReportingFinal301205-Apr06_HK.EEV-May06 4+2 kkh 7 3" xfId="27113" xr:uid="{00000000-0005-0000-0000-00008D290000}"/>
    <cellStyle name="B_BotRC_Prophet-EEV ReportingFinal301205-Apr06_HK.EEV-May06 4+2 kkh 8" xfId="7060" xr:uid="{00000000-0005-0000-0000-00008E290000}"/>
    <cellStyle name="B_BotRC_Prophet-EEV ReportingFinal301205-Apr06_HK.EEV-May06 4+2 kkh 8 2" xfId="7061" xr:uid="{00000000-0005-0000-0000-00008F290000}"/>
    <cellStyle name="B_BotRC_Prophet-EEV ReportingFinal301205-Apr06_HK.EEV-May06 4+2 kkh 8 3" xfId="27114" xr:uid="{00000000-0005-0000-0000-000090290000}"/>
    <cellStyle name="B_BotRC_Prophet-EEV ReportingFinal301205-Apr06_HK.EEV-May06 4+2 kkh 9" xfId="7062" xr:uid="{00000000-0005-0000-0000-000091290000}"/>
    <cellStyle name="B_BotRC_Prophet-EEV ReportingFinal301205-Apr06_HK.EEV-May06 4+2 kkh 9 2" xfId="7063" xr:uid="{00000000-0005-0000-0000-000092290000}"/>
    <cellStyle name="B_BotRC_Prophet-EEV ReportingFinal301205-Apr06_HK.EEV-May06 4+2 kkh 9 3" xfId="27115" xr:uid="{00000000-0005-0000-0000-000093290000}"/>
    <cellStyle name="B_BotRC_Prophet-EEV ReportingFinal301205-Apr06_HK.EEV-May06 4+2 kkh_PROD_DETAILS" xfId="7064" xr:uid="{00000000-0005-0000-0000-000094290000}"/>
    <cellStyle name="B_BotRC_Prophet-EEV ReportingFinal301205-Apr06_HK.EEV-May06 4+2 kkh_PROD_DETAILS 2" xfId="7065" xr:uid="{00000000-0005-0000-0000-000095290000}"/>
    <cellStyle name="B_BotRC_Prophet-EEV ReportingFinal301205-Apr06_HK.EEV-May06 4+2 kkh_PROD_DETAILS 3" xfId="27116" xr:uid="{00000000-0005-0000-0000-000096290000}"/>
    <cellStyle name="B_BotRC_Prophet-EEV ReportingFinal301205-Apr06_HK.EEV-May06 4+2 kkh_SOLVENCY POSITION " xfId="7066" xr:uid="{00000000-0005-0000-0000-000097290000}"/>
    <cellStyle name="B_BotRC_Prophet-EEV ReportingFinal301205-Apr06_HK.EEV-May06 4+2 kkh_SOLVENCY POSITION  2" xfId="7067" xr:uid="{00000000-0005-0000-0000-000098290000}"/>
    <cellStyle name="B_BotRC_Prophet-EEV ReportingFinal301205-Apr06_HK.EEV-May06 4+2 kkh_SOLVENCY POSITION  3" xfId="27117" xr:uid="{00000000-0005-0000-0000-000099290000}"/>
    <cellStyle name="B_BotRC_Prophet-EEV ReportingFinal301205-Apr06_PROD_DETAILS" xfId="7068" xr:uid="{00000000-0005-0000-0000-00009A290000}"/>
    <cellStyle name="B_BotRC_Prophet-EEV ReportingFinal301205-Apr06_PROD_DETAILS 2" xfId="7069" xr:uid="{00000000-0005-0000-0000-00009B290000}"/>
    <cellStyle name="B_BotRC_Prophet-EEV ReportingFinal301205-Apr06_PROD_DETAILS 3" xfId="27118" xr:uid="{00000000-0005-0000-0000-00009C290000}"/>
    <cellStyle name="B_BotRC_Prophet-EEV ReportingFinal301205-Apr06_SOLVENCY POSITION " xfId="7070" xr:uid="{00000000-0005-0000-0000-00009D290000}"/>
    <cellStyle name="B_BotRC_Prophet-EEV ReportingFinal301205-Apr06_SOLVENCY POSITION  2" xfId="7071" xr:uid="{00000000-0005-0000-0000-00009E290000}"/>
    <cellStyle name="B_BotRC_Prophet-EEV ReportingFinal301205-Apr06_SOLVENCY POSITION  3" xfId="27119" xr:uid="{00000000-0005-0000-0000-00009F290000}"/>
    <cellStyle name="B_BotRC_SG.EEV-Apr06" xfId="7072" xr:uid="{00000000-0005-0000-0000-0000A0290000}"/>
    <cellStyle name="B_BotRC_SG.EEV-Apr06 10" xfId="7073" xr:uid="{00000000-0005-0000-0000-0000A1290000}"/>
    <cellStyle name="B_BotRC_SG.EEV-Apr06 10 2" xfId="7074" xr:uid="{00000000-0005-0000-0000-0000A2290000}"/>
    <cellStyle name="B_BotRC_SG.EEV-Apr06 10 3" xfId="27120" xr:uid="{00000000-0005-0000-0000-0000A3290000}"/>
    <cellStyle name="B_BotRC_SG.EEV-Apr06 11" xfId="7075" xr:uid="{00000000-0005-0000-0000-0000A4290000}"/>
    <cellStyle name="B_BotRC_SG.EEV-Apr06 11 2" xfId="7076" xr:uid="{00000000-0005-0000-0000-0000A5290000}"/>
    <cellStyle name="B_BotRC_SG.EEV-Apr06 11 3" xfId="27121" xr:uid="{00000000-0005-0000-0000-0000A6290000}"/>
    <cellStyle name="B_BotRC_SG.EEV-Apr06 12" xfId="7077" xr:uid="{00000000-0005-0000-0000-0000A7290000}"/>
    <cellStyle name="B_BotRC_SG.EEV-Apr06 12 2" xfId="7078" xr:uid="{00000000-0005-0000-0000-0000A8290000}"/>
    <cellStyle name="B_BotRC_SG.EEV-Apr06 12 3" xfId="27122" xr:uid="{00000000-0005-0000-0000-0000A9290000}"/>
    <cellStyle name="B_BotRC_SG.EEV-Apr06 13" xfId="7079" xr:uid="{00000000-0005-0000-0000-0000AA290000}"/>
    <cellStyle name="B_BotRC_SG.EEV-Apr06 13 2" xfId="7080" xr:uid="{00000000-0005-0000-0000-0000AB290000}"/>
    <cellStyle name="B_BotRC_SG.EEV-Apr06 13 3" xfId="27123" xr:uid="{00000000-0005-0000-0000-0000AC290000}"/>
    <cellStyle name="B_BotRC_SG.EEV-Apr06 14" xfId="7081" xr:uid="{00000000-0005-0000-0000-0000AD290000}"/>
    <cellStyle name="B_BotRC_SG.EEV-Apr06 14 2" xfId="7082" xr:uid="{00000000-0005-0000-0000-0000AE290000}"/>
    <cellStyle name="B_BotRC_SG.EEV-Apr06 14 3" xfId="27124" xr:uid="{00000000-0005-0000-0000-0000AF290000}"/>
    <cellStyle name="B_BotRC_SG.EEV-Apr06 15" xfId="7083" xr:uid="{00000000-0005-0000-0000-0000B0290000}"/>
    <cellStyle name="B_BotRC_SG.EEV-Apr06 15 2" xfId="7084" xr:uid="{00000000-0005-0000-0000-0000B1290000}"/>
    <cellStyle name="B_BotRC_SG.EEV-Apr06 15 3" xfId="27125" xr:uid="{00000000-0005-0000-0000-0000B2290000}"/>
    <cellStyle name="B_BotRC_SG.EEV-Apr06 16" xfId="7085" xr:uid="{00000000-0005-0000-0000-0000B3290000}"/>
    <cellStyle name="B_BotRC_SG.EEV-Apr06 16 2" xfId="7086" xr:uid="{00000000-0005-0000-0000-0000B4290000}"/>
    <cellStyle name="B_BotRC_SG.EEV-Apr06 16 3" xfId="27126" xr:uid="{00000000-0005-0000-0000-0000B5290000}"/>
    <cellStyle name="B_BotRC_SG.EEV-Apr06 17" xfId="7087" xr:uid="{00000000-0005-0000-0000-0000B6290000}"/>
    <cellStyle name="B_BotRC_SG.EEV-Apr06 17 2" xfId="7088" xr:uid="{00000000-0005-0000-0000-0000B7290000}"/>
    <cellStyle name="B_BotRC_SG.EEV-Apr06 17 3" xfId="27127" xr:uid="{00000000-0005-0000-0000-0000B8290000}"/>
    <cellStyle name="B_BotRC_SG.EEV-Apr06 18" xfId="7089" xr:uid="{00000000-0005-0000-0000-0000B9290000}"/>
    <cellStyle name="B_BotRC_SG.EEV-Apr06 18 2" xfId="7090" xr:uid="{00000000-0005-0000-0000-0000BA290000}"/>
    <cellStyle name="B_BotRC_SG.EEV-Apr06 18 3" xfId="27128" xr:uid="{00000000-0005-0000-0000-0000BB290000}"/>
    <cellStyle name="B_BotRC_SG.EEV-Apr06 19" xfId="7091" xr:uid="{00000000-0005-0000-0000-0000BC290000}"/>
    <cellStyle name="B_BotRC_SG.EEV-Apr06 19 2" xfId="7092" xr:uid="{00000000-0005-0000-0000-0000BD290000}"/>
    <cellStyle name="B_BotRC_SG.EEV-Apr06 19 3" xfId="27129" xr:uid="{00000000-0005-0000-0000-0000BE290000}"/>
    <cellStyle name="B_BotRC_SG.EEV-Apr06 2" xfId="7093" xr:uid="{00000000-0005-0000-0000-0000BF290000}"/>
    <cellStyle name="B_BotRC_SG.EEV-Apr06 2 2" xfId="7094" xr:uid="{00000000-0005-0000-0000-0000C0290000}"/>
    <cellStyle name="B_BotRC_SG.EEV-Apr06 2 3" xfId="27130" xr:uid="{00000000-0005-0000-0000-0000C1290000}"/>
    <cellStyle name="B_BotRC_SG.EEV-Apr06 20" xfId="7095" xr:uid="{00000000-0005-0000-0000-0000C2290000}"/>
    <cellStyle name="B_BotRC_SG.EEV-Apr06 20 2" xfId="7096" xr:uid="{00000000-0005-0000-0000-0000C3290000}"/>
    <cellStyle name="B_BotRC_SG.EEV-Apr06 20 3" xfId="27131" xr:uid="{00000000-0005-0000-0000-0000C4290000}"/>
    <cellStyle name="B_BotRC_SG.EEV-Apr06 21" xfId="7097" xr:uid="{00000000-0005-0000-0000-0000C5290000}"/>
    <cellStyle name="B_BotRC_SG.EEV-Apr06 21 2" xfId="7098" xr:uid="{00000000-0005-0000-0000-0000C6290000}"/>
    <cellStyle name="B_BotRC_SG.EEV-Apr06 21 3" xfId="27132" xr:uid="{00000000-0005-0000-0000-0000C7290000}"/>
    <cellStyle name="B_BotRC_SG.EEV-Apr06 22" xfId="7099" xr:uid="{00000000-0005-0000-0000-0000C8290000}"/>
    <cellStyle name="B_BotRC_SG.EEV-Apr06 22 2" xfId="7100" xr:uid="{00000000-0005-0000-0000-0000C9290000}"/>
    <cellStyle name="B_BotRC_SG.EEV-Apr06 22 3" xfId="27133" xr:uid="{00000000-0005-0000-0000-0000CA290000}"/>
    <cellStyle name="B_BotRC_SG.EEV-Apr06 23" xfId="7101" xr:uid="{00000000-0005-0000-0000-0000CB290000}"/>
    <cellStyle name="B_BotRC_SG.EEV-Apr06 23 2" xfId="7102" xr:uid="{00000000-0005-0000-0000-0000CC290000}"/>
    <cellStyle name="B_BotRC_SG.EEV-Apr06 23 3" xfId="27134" xr:uid="{00000000-0005-0000-0000-0000CD290000}"/>
    <cellStyle name="B_BotRC_SG.EEV-Apr06 24" xfId="7103" xr:uid="{00000000-0005-0000-0000-0000CE290000}"/>
    <cellStyle name="B_BotRC_SG.EEV-Apr06 25" xfId="27135" xr:uid="{00000000-0005-0000-0000-0000CF290000}"/>
    <cellStyle name="B_BotRC_SG.EEV-Apr06 3" xfId="7104" xr:uid="{00000000-0005-0000-0000-0000D0290000}"/>
    <cellStyle name="B_BotRC_SG.EEV-Apr06 3 2" xfId="7105" xr:uid="{00000000-0005-0000-0000-0000D1290000}"/>
    <cellStyle name="B_BotRC_SG.EEV-Apr06 3 3" xfId="27136" xr:uid="{00000000-0005-0000-0000-0000D2290000}"/>
    <cellStyle name="B_BotRC_SG.EEV-Apr06 4" xfId="7106" xr:uid="{00000000-0005-0000-0000-0000D3290000}"/>
    <cellStyle name="B_BotRC_SG.EEV-Apr06 4 2" xfId="7107" xr:uid="{00000000-0005-0000-0000-0000D4290000}"/>
    <cellStyle name="B_BotRC_SG.EEV-Apr06 4 3" xfId="27137" xr:uid="{00000000-0005-0000-0000-0000D5290000}"/>
    <cellStyle name="B_BotRC_SG.EEV-Apr06 5" xfId="7108" xr:uid="{00000000-0005-0000-0000-0000D6290000}"/>
    <cellStyle name="B_BotRC_SG.EEV-Apr06 5 2" xfId="7109" xr:uid="{00000000-0005-0000-0000-0000D7290000}"/>
    <cellStyle name="B_BotRC_SG.EEV-Apr06 5 3" xfId="27138" xr:uid="{00000000-0005-0000-0000-0000D8290000}"/>
    <cellStyle name="B_BotRC_SG.EEV-Apr06 6" xfId="7110" xr:uid="{00000000-0005-0000-0000-0000D9290000}"/>
    <cellStyle name="B_BotRC_SG.EEV-Apr06 6 2" xfId="7111" xr:uid="{00000000-0005-0000-0000-0000DA290000}"/>
    <cellStyle name="B_BotRC_SG.EEV-Apr06 6 3" xfId="27139" xr:uid="{00000000-0005-0000-0000-0000DB290000}"/>
    <cellStyle name="B_BotRC_SG.EEV-Apr06 7" xfId="7112" xr:uid="{00000000-0005-0000-0000-0000DC290000}"/>
    <cellStyle name="B_BotRC_SG.EEV-Apr06 7 2" xfId="7113" xr:uid="{00000000-0005-0000-0000-0000DD290000}"/>
    <cellStyle name="B_BotRC_SG.EEV-Apr06 7 3" xfId="27140" xr:uid="{00000000-0005-0000-0000-0000DE290000}"/>
    <cellStyle name="B_BotRC_SG.EEV-Apr06 8" xfId="7114" xr:uid="{00000000-0005-0000-0000-0000DF290000}"/>
    <cellStyle name="B_BotRC_SG.EEV-Apr06 8 2" xfId="7115" xr:uid="{00000000-0005-0000-0000-0000E0290000}"/>
    <cellStyle name="B_BotRC_SG.EEV-Apr06 8 3" xfId="27141" xr:uid="{00000000-0005-0000-0000-0000E1290000}"/>
    <cellStyle name="B_BotRC_SG.EEV-Apr06 9" xfId="7116" xr:uid="{00000000-0005-0000-0000-0000E2290000}"/>
    <cellStyle name="B_BotRC_SG.EEV-Apr06 9 2" xfId="7117" xr:uid="{00000000-0005-0000-0000-0000E3290000}"/>
    <cellStyle name="B_BotRC_SG.EEV-Apr06 9 3" xfId="27142" xr:uid="{00000000-0005-0000-0000-0000E4290000}"/>
    <cellStyle name="B_BotRC_SG.EEV-Apr06_HK.EEV-May06 4+2 kkh" xfId="7118" xr:uid="{00000000-0005-0000-0000-0000E5290000}"/>
    <cellStyle name="B_BotRC_SG.EEV-Apr06_HK.EEV-May06 4+2 kkh 10" xfId="7119" xr:uid="{00000000-0005-0000-0000-0000E6290000}"/>
    <cellStyle name="B_BotRC_SG.EEV-Apr06_HK.EEV-May06 4+2 kkh 10 2" xfId="7120" xr:uid="{00000000-0005-0000-0000-0000E7290000}"/>
    <cellStyle name="B_BotRC_SG.EEV-Apr06_HK.EEV-May06 4+2 kkh 10 3" xfId="27143" xr:uid="{00000000-0005-0000-0000-0000E8290000}"/>
    <cellStyle name="B_BotRC_SG.EEV-Apr06_HK.EEV-May06 4+2 kkh 11" xfId="7121" xr:uid="{00000000-0005-0000-0000-0000E9290000}"/>
    <cellStyle name="B_BotRC_SG.EEV-Apr06_HK.EEV-May06 4+2 kkh 11 2" xfId="7122" xr:uid="{00000000-0005-0000-0000-0000EA290000}"/>
    <cellStyle name="B_BotRC_SG.EEV-Apr06_HK.EEV-May06 4+2 kkh 11 3" xfId="27144" xr:uid="{00000000-0005-0000-0000-0000EB290000}"/>
    <cellStyle name="B_BotRC_SG.EEV-Apr06_HK.EEV-May06 4+2 kkh 12" xfId="7123" xr:uid="{00000000-0005-0000-0000-0000EC290000}"/>
    <cellStyle name="B_BotRC_SG.EEV-Apr06_HK.EEV-May06 4+2 kkh 12 2" xfId="7124" xr:uid="{00000000-0005-0000-0000-0000ED290000}"/>
    <cellStyle name="B_BotRC_SG.EEV-Apr06_HK.EEV-May06 4+2 kkh 12 3" xfId="27145" xr:uid="{00000000-0005-0000-0000-0000EE290000}"/>
    <cellStyle name="B_BotRC_SG.EEV-Apr06_HK.EEV-May06 4+2 kkh 13" xfId="7125" xr:uid="{00000000-0005-0000-0000-0000EF290000}"/>
    <cellStyle name="B_BotRC_SG.EEV-Apr06_HK.EEV-May06 4+2 kkh 13 2" xfId="7126" xr:uid="{00000000-0005-0000-0000-0000F0290000}"/>
    <cellStyle name="B_BotRC_SG.EEV-Apr06_HK.EEV-May06 4+2 kkh 13 3" xfId="27146" xr:uid="{00000000-0005-0000-0000-0000F1290000}"/>
    <cellStyle name="B_BotRC_SG.EEV-Apr06_HK.EEV-May06 4+2 kkh 14" xfId="7127" xr:uid="{00000000-0005-0000-0000-0000F2290000}"/>
    <cellStyle name="B_BotRC_SG.EEV-Apr06_HK.EEV-May06 4+2 kkh 14 2" xfId="7128" xr:uid="{00000000-0005-0000-0000-0000F3290000}"/>
    <cellStyle name="B_BotRC_SG.EEV-Apr06_HK.EEV-May06 4+2 kkh 14 3" xfId="27147" xr:uid="{00000000-0005-0000-0000-0000F4290000}"/>
    <cellStyle name="B_BotRC_SG.EEV-Apr06_HK.EEV-May06 4+2 kkh 15" xfId="7129" xr:uid="{00000000-0005-0000-0000-0000F5290000}"/>
    <cellStyle name="B_BotRC_SG.EEV-Apr06_HK.EEV-May06 4+2 kkh 15 2" xfId="7130" xr:uid="{00000000-0005-0000-0000-0000F6290000}"/>
    <cellStyle name="B_BotRC_SG.EEV-Apr06_HK.EEV-May06 4+2 kkh 15 3" xfId="27148" xr:uid="{00000000-0005-0000-0000-0000F7290000}"/>
    <cellStyle name="B_BotRC_SG.EEV-Apr06_HK.EEV-May06 4+2 kkh 16" xfId="7131" xr:uid="{00000000-0005-0000-0000-0000F8290000}"/>
    <cellStyle name="B_BotRC_SG.EEV-Apr06_HK.EEV-May06 4+2 kkh 16 2" xfId="7132" xr:uid="{00000000-0005-0000-0000-0000F9290000}"/>
    <cellStyle name="B_BotRC_SG.EEV-Apr06_HK.EEV-May06 4+2 kkh 16 3" xfId="27149" xr:uid="{00000000-0005-0000-0000-0000FA290000}"/>
    <cellStyle name="B_BotRC_SG.EEV-Apr06_HK.EEV-May06 4+2 kkh 17" xfId="7133" xr:uid="{00000000-0005-0000-0000-0000FB290000}"/>
    <cellStyle name="B_BotRC_SG.EEV-Apr06_HK.EEV-May06 4+2 kkh 17 2" xfId="7134" xr:uid="{00000000-0005-0000-0000-0000FC290000}"/>
    <cellStyle name="B_BotRC_SG.EEV-Apr06_HK.EEV-May06 4+2 kkh 17 3" xfId="27150" xr:uid="{00000000-0005-0000-0000-0000FD290000}"/>
    <cellStyle name="B_BotRC_SG.EEV-Apr06_HK.EEV-May06 4+2 kkh 18" xfId="7135" xr:uid="{00000000-0005-0000-0000-0000FE290000}"/>
    <cellStyle name="B_BotRC_SG.EEV-Apr06_HK.EEV-May06 4+2 kkh 18 2" xfId="7136" xr:uid="{00000000-0005-0000-0000-0000FF290000}"/>
    <cellStyle name="B_BotRC_SG.EEV-Apr06_HK.EEV-May06 4+2 kkh 18 3" xfId="27151" xr:uid="{00000000-0005-0000-0000-0000002A0000}"/>
    <cellStyle name="B_BotRC_SG.EEV-Apr06_HK.EEV-May06 4+2 kkh 19" xfId="7137" xr:uid="{00000000-0005-0000-0000-0000012A0000}"/>
    <cellStyle name="B_BotRC_SG.EEV-Apr06_HK.EEV-May06 4+2 kkh 19 2" xfId="7138" xr:uid="{00000000-0005-0000-0000-0000022A0000}"/>
    <cellStyle name="B_BotRC_SG.EEV-Apr06_HK.EEV-May06 4+2 kkh 19 3" xfId="27152" xr:uid="{00000000-0005-0000-0000-0000032A0000}"/>
    <cellStyle name="B_BotRC_SG.EEV-Apr06_HK.EEV-May06 4+2 kkh 2" xfId="7139" xr:uid="{00000000-0005-0000-0000-0000042A0000}"/>
    <cellStyle name="B_BotRC_SG.EEV-Apr06_HK.EEV-May06 4+2 kkh 2 2" xfId="7140" xr:uid="{00000000-0005-0000-0000-0000052A0000}"/>
    <cellStyle name="B_BotRC_SG.EEV-Apr06_HK.EEV-May06 4+2 kkh 2 3" xfId="27153" xr:uid="{00000000-0005-0000-0000-0000062A0000}"/>
    <cellStyle name="B_BotRC_SG.EEV-Apr06_HK.EEV-May06 4+2 kkh 20" xfId="7141" xr:uid="{00000000-0005-0000-0000-0000072A0000}"/>
    <cellStyle name="B_BotRC_SG.EEV-Apr06_HK.EEV-May06 4+2 kkh 20 2" xfId="7142" xr:uid="{00000000-0005-0000-0000-0000082A0000}"/>
    <cellStyle name="B_BotRC_SG.EEV-Apr06_HK.EEV-May06 4+2 kkh 20 3" xfId="27154" xr:uid="{00000000-0005-0000-0000-0000092A0000}"/>
    <cellStyle name="B_BotRC_SG.EEV-Apr06_HK.EEV-May06 4+2 kkh 21" xfId="7143" xr:uid="{00000000-0005-0000-0000-00000A2A0000}"/>
    <cellStyle name="B_BotRC_SG.EEV-Apr06_HK.EEV-May06 4+2 kkh 21 2" xfId="7144" xr:uid="{00000000-0005-0000-0000-00000B2A0000}"/>
    <cellStyle name="B_BotRC_SG.EEV-Apr06_HK.EEV-May06 4+2 kkh 21 3" xfId="27155" xr:uid="{00000000-0005-0000-0000-00000C2A0000}"/>
    <cellStyle name="B_BotRC_SG.EEV-Apr06_HK.EEV-May06 4+2 kkh 22" xfId="7145" xr:uid="{00000000-0005-0000-0000-00000D2A0000}"/>
    <cellStyle name="B_BotRC_SG.EEV-Apr06_HK.EEV-May06 4+2 kkh 22 2" xfId="7146" xr:uid="{00000000-0005-0000-0000-00000E2A0000}"/>
    <cellStyle name="B_BotRC_SG.EEV-Apr06_HK.EEV-May06 4+2 kkh 22 3" xfId="27156" xr:uid="{00000000-0005-0000-0000-00000F2A0000}"/>
    <cellStyle name="B_BotRC_SG.EEV-Apr06_HK.EEV-May06 4+2 kkh 23" xfId="7147" xr:uid="{00000000-0005-0000-0000-0000102A0000}"/>
    <cellStyle name="B_BotRC_SG.EEV-Apr06_HK.EEV-May06 4+2 kkh 23 2" xfId="7148" xr:uid="{00000000-0005-0000-0000-0000112A0000}"/>
    <cellStyle name="B_BotRC_SG.EEV-Apr06_HK.EEV-May06 4+2 kkh 23 3" xfId="27157" xr:uid="{00000000-0005-0000-0000-0000122A0000}"/>
    <cellStyle name="B_BotRC_SG.EEV-Apr06_HK.EEV-May06 4+2 kkh 24" xfId="7149" xr:uid="{00000000-0005-0000-0000-0000132A0000}"/>
    <cellStyle name="B_BotRC_SG.EEV-Apr06_HK.EEV-May06 4+2 kkh 25" xfId="27158" xr:uid="{00000000-0005-0000-0000-0000142A0000}"/>
    <cellStyle name="B_BotRC_SG.EEV-Apr06_HK.EEV-May06 4+2 kkh 3" xfId="7150" xr:uid="{00000000-0005-0000-0000-0000152A0000}"/>
    <cellStyle name="B_BotRC_SG.EEV-Apr06_HK.EEV-May06 4+2 kkh 3 2" xfId="7151" xr:uid="{00000000-0005-0000-0000-0000162A0000}"/>
    <cellStyle name="B_BotRC_SG.EEV-Apr06_HK.EEV-May06 4+2 kkh 3 3" xfId="27159" xr:uid="{00000000-0005-0000-0000-0000172A0000}"/>
    <cellStyle name="B_BotRC_SG.EEV-Apr06_HK.EEV-May06 4+2 kkh 4" xfId="7152" xr:uid="{00000000-0005-0000-0000-0000182A0000}"/>
    <cellStyle name="B_BotRC_SG.EEV-Apr06_HK.EEV-May06 4+2 kkh 4 2" xfId="7153" xr:uid="{00000000-0005-0000-0000-0000192A0000}"/>
    <cellStyle name="B_BotRC_SG.EEV-Apr06_HK.EEV-May06 4+2 kkh 4 3" xfId="27160" xr:uid="{00000000-0005-0000-0000-00001A2A0000}"/>
    <cellStyle name="B_BotRC_SG.EEV-Apr06_HK.EEV-May06 4+2 kkh 5" xfId="7154" xr:uid="{00000000-0005-0000-0000-00001B2A0000}"/>
    <cellStyle name="B_BotRC_SG.EEV-Apr06_HK.EEV-May06 4+2 kkh 5 2" xfId="7155" xr:uid="{00000000-0005-0000-0000-00001C2A0000}"/>
    <cellStyle name="B_BotRC_SG.EEV-Apr06_HK.EEV-May06 4+2 kkh 5 3" xfId="27161" xr:uid="{00000000-0005-0000-0000-00001D2A0000}"/>
    <cellStyle name="B_BotRC_SG.EEV-Apr06_HK.EEV-May06 4+2 kkh 6" xfId="7156" xr:uid="{00000000-0005-0000-0000-00001E2A0000}"/>
    <cellStyle name="B_BotRC_SG.EEV-Apr06_HK.EEV-May06 4+2 kkh 6 2" xfId="7157" xr:uid="{00000000-0005-0000-0000-00001F2A0000}"/>
    <cellStyle name="B_BotRC_SG.EEV-Apr06_HK.EEV-May06 4+2 kkh 6 3" xfId="27162" xr:uid="{00000000-0005-0000-0000-0000202A0000}"/>
    <cellStyle name="B_BotRC_SG.EEV-Apr06_HK.EEV-May06 4+2 kkh 7" xfId="7158" xr:uid="{00000000-0005-0000-0000-0000212A0000}"/>
    <cellStyle name="B_BotRC_SG.EEV-Apr06_HK.EEV-May06 4+2 kkh 7 2" xfId="7159" xr:uid="{00000000-0005-0000-0000-0000222A0000}"/>
    <cellStyle name="B_BotRC_SG.EEV-Apr06_HK.EEV-May06 4+2 kkh 7 3" xfId="27163" xr:uid="{00000000-0005-0000-0000-0000232A0000}"/>
    <cellStyle name="B_BotRC_SG.EEV-Apr06_HK.EEV-May06 4+2 kkh 8" xfId="7160" xr:uid="{00000000-0005-0000-0000-0000242A0000}"/>
    <cellStyle name="B_BotRC_SG.EEV-Apr06_HK.EEV-May06 4+2 kkh 8 2" xfId="7161" xr:uid="{00000000-0005-0000-0000-0000252A0000}"/>
    <cellStyle name="B_BotRC_SG.EEV-Apr06_HK.EEV-May06 4+2 kkh 8 3" xfId="27164" xr:uid="{00000000-0005-0000-0000-0000262A0000}"/>
    <cellStyle name="B_BotRC_SG.EEV-Apr06_HK.EEV-May06 4+2 kkh 9" xfId="7162" xr:uid="{00000000-0005-0000-0000-0000272A0000}"/>
    <cellStyle name="B_BotRC_SG.EEV-Apr06_HK.EEV-May06 4+2 kkh 9 2" xfId="7163" xr:uid="{00000000-0005-0000-0000-0000282A0000}"/>
    <cellStyle name="B_BotRC_SG.EEV-Apr06_HK.EEV-May06 4+2 kkh 9 3" xfId="27165" xr:uid="{00000000-0005-0000-0000-0000292A0000}"/>
    <cellStyle name="B_BotRC_SG.EEV-Apr06_HK.EEV-May06 4+2 kkh_PROD_DETAILS" xfId="7164" xr:uid="{00000000-0005-0000-0000-00002A2A0000}"/>
    <cellStyle name="B_BotRC_SG.EEV-Apr06_HK.EEV-May06 4+2 kkh_PROD_DETAILS 2" xfId="7165" xr:uid="{00000000-0005-0000-0000-00002B2A0000}"/>
    <cellStyle name="B_BotRC_SG.EEV-Apr06_HK.EEV-May06 4+2 kkh_PROD_DETAILS 3" xfId="27166" xr:uid="{00000000-0005-0000-0000-00002C2A0000}"/>
    <cellStyle name="B_BotRC_SG.EEV-Apr06_HK.EEV-May06 4+2 kkh_SOLVENCY POSITION " xfId="7166" xr:uid="{00000000-0005-0000-0000-00002D2A0000}"/>
    <cellStyle name="B_BotRC_SG.EEV-Apr06_HK.EEV-May06 4+2 kkh_SOLVENCY POSITION  2" xfId="7167" xr:uid="{00000000-0005-0000-0000-00002E2A0000}"/>
    <cellStyle name="B_BotRC_SG.EEV-Apr06_HK.EEV-May06 4+2 kkh_SOLVENCY POSITION  3" xfId="27167" xr:uid="{00000000-0005-0000-0000-00002F2A0000}"/>
    <cellStyle name="B_BotRC_SG.EEV-Apr06_PROD_DETAILS" xfId="7168" xr:uid="{00000000-0005-0000-0000-0000302A0000}"/>
    <cellStyle name="B_BotRC_SG.EEV-Apr06_PROD_DETAILS 2" xfId="7169" xr:uid="{00000000-0005-0000-0000-0000312A0000}"/>
    <cellStyle name="B_BotRC_SG.EEV-Apr06_PROD_DETAILS 3" xfId="27168" xr:uid="{00000000-0005-0000-0000-0000322A0000}"/>
    <cellStyle name="B_BotRC_SG.EEV-Apr06_SOLVENCY POSITION " xfId="7170" xr:uid="{00000000-0005-0000-0000-0000332A0000}"/>
    <cellStyle name="B_BotRC_SG.EEV-Apr06_SOLVENCY POSITION  2" xfId="7171" xr:uid="{00000000-0005-0000-0000-0000342A0000}"/>
    <cellStyle name="B_BotRC_SG.EEV-Apr06_SOLVENCY POSITION  3" xfId="27169" xr:uid="{00000000-0005-0000-0000-0000352A0000}"/>
    <cellStyle name="B_BotRC_SG.EEV-June06 6+6" xfId="7172" xr:uid="{00000000-0005-0000-0000-0000362A0000}"/>
    <cellStyle name="B_BotRC_SG.EEV-June06 6+6 10" xfId="7173" xr:uid="{00000000-0005-0000-0000-0000372A0000}"/>
    <cellStyle name="B_BotRC_SG.EEV-June06 6+6 10 2" xfId="7174" xr:uid="{00000000-0005-0000-0000-0000382A0000}"/>
    <cellStyle name="B_BotRC_SG.EEV-June06 6+6 10 3" xfId="27170" xr:uid="{00000000-0005-0000-0000-0000392A0000}"/>
    <cellStyle name="B_BotRC_SG.EEV-June06 6+6 11" xfId="7175" xr:uid="{00000000-0005-0000-0000-00003A2A0000}"/>
    <cellStyle name="B_BotRC_SG.EEV-June06 6+6 11 2" xfId="7176" xr:uid="{00000000-0005-0000-0000-00003B2A0000}"/>
    <cellStyle name="B_BotRC_SG.EEV-June06 6+6 11 3" xfId="27171" xr:uid="{00000000-0005-0000-0000-00003C2A0000}"/>
    <cellStyle name="B_BotRC_SG.EEV-June06 6+6 12" xfId="7177" xr:uid="{00000000-0005-0000-0000-00003D2A0000}"/>
    <cellStyle name="B_BotRC_SG.EEV-June06 6+6 12 2" xfId="7178" xr:uid="{00000000-0005-0000-0000-00003E2A0000}"/>
    <cellStyle name="B_BotRC_SG.EEV-June06 6+6 12 3" xfId="27172" xr:uid="{00000000-0005-0000-0000-00003F2A0000}"/>
    <cellStyle name="B_BotRC_SG.EEV-June06 6+6 13" xfId="7179" xr:uid="{00000000-0005-0000-0000-0000402A0000}"/>
    <cellStyle name="B_BotRC_SG.EEV-June06 6+6 13 2" xfId="7180" xr:uid="{00000000-0005-0000-0000-0000412A0000}"/>
    <cellStyle name="B_BotRC_SG.EEV-June06 6+6 13 3" xfId="27173" xr:uid="{00000000-0005-0000-0000-0000422A0000}"/>
    <cellStyle name="B_BotRC_SG.EEV-June06 6+6 14" xfId="7181" xr:uid="{00000000-0005-0000-0000-0000432A0000}"/>
    <cellStyle name="B_BotRC_SG.EEV-June06 6+6 14 2" xfId="7182" xr:uid="{00000000-0005-0000-0000-0000442A0000}"/>
    <cellStyle name="B_BotRC_SG.EEV-June06 6+6 14 3" xfId="27174" xr:uid="{00000000-0005-0000-0000-0000452A0000}"/>
    <cellStyle name="B_BotRC_SG.EEV-June06 6+6 15" xfId="7183" xr:uid="{00000000-0005-0000-0000-0000462A0000}"/>
    <cellStyle name="B_BotRC_SG.EEV-June06 6+6 15 2" xfId="7184" xr:uid="{00000000-0005-0000-0000-0000472A0000}"/>
    <cellStyle name="B_BotRC_SG.EEV-June06 6+6 15 3" xfId="27175" xr:uid="{00000000-0005-0000-0000-0000482A0000}"/>
    <cellStyle name="B_BotRC_SG.EEV-June06 6+6 16" xfId="7185" xr:uid="{00000000-0005-0000-0000-0000492A0000}"/>
    <cellStyle name="B_BotRC_SG.EEV-June06 6+6 16 2" xfId="7186" xr:uid="{00000000-0005-0000-0000-00004A2A0000}"/>
    <cellStyle name="B_BotRC_SG.EEV-June06 6+6 16 3" xfId="27176" xr:uid="{00000000-0005-0000-0000-00004B2A0000}"/>
    <cellStyle name="B_BotRC_SG.EEV-June06 6+6 17" xfId="7187" xr:uid="{00000000-0005-0000-0000-00004C2A0000}"/>
    <cellStyle name="B_BotRC_SG.EEV-June06 6+6 17 2" xfId="7188" xr:uid="{00000000-0005-0000-0000-00004D2A0000}"/>
    <cellStyle name="B_BotRC_SG.EEV-June06 6+6 17 3" xfId="27177" xr:uid="{00000000-0005-0000-0000-00004E2A0000}"/>
    <cellStyle name="B_BotRC_SG.EEV-June06 6+6 18" xfId="7189" xr:uid="{00000000-0005-0000-0000-00004F2A0000}"/>
    <cellStyle name="B_BotRC_SG.EEV-June06 6+6 18 2" xfId="7190" xr:uid="{00000000-0005-0000-0000-0000502A0000}"/>
    <cellStyle name="B_BotRC_SG.EEV-June06 6+6 18 3" xfId="27178" xr:uid="{00000000-0005-0000-0000-0000512A0000}"/>
    <cellStyle name="B_BotRC_SG.EEV-June06 6+6 19" xfId="7191" xr:uid="{00000000-0005-0000-0000-0000522A0000}"/>
    <cellStyle name="B_BotRC_SG.EEV-June06 6+6 19 2" xfId="7192" xr:uid="{00000000-0005-0000-0000-0000532A0000}"/>
    <cellStyle name="B_BotRC_SG.EEV-June06 6+6 19 3" xfId="27179" xr:uid="{00000000-0005-0000-0000-0000542A0000}"/>
    <cellStyle name="B_BotRC_SG.EEV-June06 6+6 2" xfId="7193" xr:uid="{00000000-0005-0000-0000-0000552A0000}"/>
    <cellStyle name="B_BotRC_SG.EEV-June06 6+6 2 2" xfId="7194" xr:uid="{00000000-0005-0000-0000-0000562A0000}"/>
    <cellStyle name="B_BotRC_SG.EEV-June06 6+6 2 3" xfId="27180" xr:uid="{00000000-0005-0000-0000-0000572A0000}"/>
    <cellStyle name="B_BotRC_SG.EEV-June06 6+6 20" xfId="7195" xr:uid="{00000000-0005-0000-0000-0000582A0000}"/>
    <cellStyle name="B_BotRC_SG.EEV-June06 6+6 20 2" xfId="7196" xr:uid="{00000000-0005-0000-0000-0000592A0000}"/>
    <cellStyle name="B_BotRC_SG.EEV-June06 6+6 20 3" xfId="27181" xr:uid="{00000000-0005-0000-0000-00005A2A0000}"/>
    <cellStyle name="B_BotRC_SG.EEV-June06 6+6 21" xfId="7197" xr:uid="{00000000-0005-0000-0000-00005B2A0000}"/>
    <cellStyle name="B_BotRC_SG.EEV-June06 6+6 21 2" xfId="7198" xr:uid="{00000000-0005-0000-0000-00005C2A0000}"/>
    <cellStyle name="B_BotRC_SG.EEV-June06 6+6 21 3" xfId="27182" xr:uid="{00000000-0005-0000-0000-00005D2A0000}"/>
    <cellStyle name="B_BotRC_SG.EEV-June06 6+6 22" xfId="7199" xr:uid="{00000000-0005-0000-0000-00005E2A0000}"/>
    <cellStyle name="B_BotRC_SG.EEV-June06 6+6 22 2" xfId="7200" xr:uid="{00000000-0005-0000-0000-00005F2A0000}"/>
    <cellStyle name="B_BotRC_SG.EEV-June06 6+6 22 3" xfId="27183" xr:uid="{00000000-0005-0000-0000-0000602A0000}"/>
    <cellStyle name="B_BotRC_SG.EEV-June06 6+6 23" xfId="7201" xr:uid="{00000000-0005-0000-0000-0000612A0000}"/>
    <cellStyle name="B_BotRC_SG.EEV-June06 6+6 23 2" xfId="7202" xr:uid="{00000000-0005-0000-0000-0000622A0000}"/>
    <cellStyle name="B_BotRC_SG.EEV-June06 6+6 23 3" xfId="27184" xr:uid="{00000000-0005-0000-0000-0000632A0000}"/>
    <cellStyle name="B_BotRC_SG.EEV-June06 6+6 24" xfId="7203" xr:uid="{00000000-0005-0000-0000-0000642A0000}"/>
    <cellStyle name="B_BotRC_SG.EEV-June06 6+6 25" xfId="27185" xr:uid="{00000000-0005-0000-0000-0000652A0000}"/>
    <cellStyle name="B_BotRC_SG.EEV-June06 6+6 3" xfId="7204" xr:uid="{00000000-0005-0000-0000-0000662A0000}"/>
    <cellStyle name="B_BotRC_SG.EEV-June06 6+6 3 2" xfId="7205" xr:uid="{00000000-0005-0000-0000-0000672A0000}"/>
    <cellStyle name="B_BotRC_SG.EEV-June06 6+6 3 3" xfId="27186" xr:uid="{00000000-0005-0000-0000-0000682A0000}"/>
    <cellStyle name="B_BotRC_SG.EEV-June06 6+6 4" xfId="7206" xr:uid="{00000000-0005-0000-0000-0000692A0000}"/>
    <cellStyle name="B_BotRC_SG.EEV-June06 6+6 4 2" xfId="7207" xr:uid="{00000000-0005-0000-0000-00006A2A0000}"/>
    <cellStyle name="B_BotRC_SG.EEV-June06 6+6 4 3" xfId="27187" xr:uid="{00000000-0005-0000-0000-00006B2A0000}"/>
    <cellStyle name="B_BotRC_SG.EEV-June06 6+6 5" xfId="7208" xr:uid="{00000000-0005-0000-0000-00006C2A0000}"/>
    <cellStyle name="B_BotRC_SG.EEV-June06 6+6 5 2" xfId="7209" xr:uid="{00000000-0005-0000-0000-00006D2A0000}"/>
    <cellStyle name="B_BotRC_SG.EEV-June06 6+6 5 3" xfId="27188" xr:uid="{00000000-0005-0000-0000-00006E2A0000}"/>
    <cellStyle name="B_BotRC_SG.EEV-June06 6+6 6" xfId="7210" xr:uid="{00000000-0005-0000-0000-00006F2A0000}"/>
    <cellStyle name="B_BotRC_SG.EEV-June06 6+6 6 2" xfId="7211" xr:uid="{00000000-0005-0000-0000-0000702A0000}"/>
    <cellStyle name="B_BotRC_SG.EEV-June06 6+6 6 3" xfId="27189" xr:uid="{00000000-0005-0000-0000-0000712A0000}"/>
    <cellStyle name="B_BotRC_SG.EEV-June06 6+6 7" xfId="7212" xr:uid="{00000000-0005-0000-0000-0000722A0000}"/>
    <cellStyle name="B_BotRC_SG.EEV-June06 6+6 7 2" xfId="7213" xr:uid="{00000000-0005-0000-0000-0000732A0000}"/>
    <cellStyle name="B_BotRC_SG.EEV-June06 6+6 7 3" xfId="27190" xr:uid="{00000000-0005-0000-0000-0000742A0000}"/>
    <cellStyle name="B_BotRC_SG.EEV-June06 6+6 8" xfId="7214" xr:uid="{00000000-0005-0000-0000-0000752A0000}"/>
    <cellStyle name="B_BotRC_SG.EEV-June06 6+6 8 2" xfId="7215" xr:uid="{00000000-0005-0000-0000-0000762A0000}"/>
    <cellStyle name="B_BotRC_SG.EEV-June06 6+6 8 3" xfId="27191" xr:uid="{00000000-0005-0000-0000-0000772A0000}"/>
    <cellStyle name="B_BotRC_SG.EEV-June06 6+6 9" xfId="7216" xr:uid="{00000000-0005-0000-0000-0000782A0000}"/>
    <cellStyle name="B_BotRC_SG.EEV-June06 6+6 9 2" xfId="7217" xr:uid="{00000000-0005-0000-0000-0000792A0000}"/>
    <cellStyle name="B_BotRC_SG.EEV-June06 6+6 9 3" xfId="27192" xr:uid="{00000000-0005-0000-0000-00007A2A0000}"/>
    <cellStyle name="B_BotRC_SG.EEV-June06 6+6_PROD_DETAILS" xfId="7218" xr:uid="{00000000-0005-0000-0000-00007B2A0000}"/>
    <cellStyle name="B_BotRC_SG.EEV-June06 6+6_PROD_DETAILS 2" xfId="7219" xr:uid="{00000000-0005-0000-0000-00007C2A0000}"/>
    <cellStyle name="B_BotRC_SG.EEV-June06 6+6_PROD_DETAILS 3" xfId="27193" xr:uid="{00000000-0005-0000-0000-00007D2A0000}"/>
    <cellStyle name="B_BotRC_SG.EEV-June06 6+6_SOLVENCY POSITION " xfId="7220" xr:uid="{00000000-0005-0000-0000-00007E2A0000}"/>
    <cellStyle name="B_BotRC_SG.EEV-June06 6+6_SOLVENCY POSITION  2" xfId="7221" xr:uid="{00000000-0005-0000-0000-00007F2A0000}"/>
    <cellStyle name="B_BotRC_SG.EEV-June06 6+6_SOLVENCY POSITION  3" xfId="27194" xr:uid="{00000000-0005-0000-0000-0000802A0000}"/>
    <cellStyle name="B_BotRC_SG.EEV-May06 4+2" xfId="7222" xr:uid="{00000000-0005-0000-0000-0000812A0000}"/>
    <cellStyle name="B_BotRC_SG.EEV-May06 4+2 10" xfId="7223" xr:uid="{00000000-0005-0000-0000-0000822A0000}"/>
    <cellStyle name="B_BotRC_SG.EEV-May06 4+2 10 2" xfId="7224" xr:uid="{00000000-0005-0000-0000-0000832A0000}"/>
    <cellStyle name="B_BotRC_SG.EEV-May06 4+2 10 3" xfId="27195" xr:uid="{00000000-0005-0000-0000-0000842A0000}"/>
    <cellStyle name="B_BotRC_SG.EEV-May06 4+2 11" xfId="7225" xr:uid="{00000000-0005-0000-0000-0000852A0000}"/>
    <cellStyle name="B_BotRC_SG.EEV-May06 4+2 11 2" xfId="7226" xr:uid="{00000000-0005-0000-0000-0000862A0000}"/>
    <cellStyle name="B_BotRC_SG.EEV-May06 4+2 11 3" xfId="27196" xr:uid="{00000000-0005-0000-0000-0000872A0000}"/>
    <cellStyle name="B_BotRC_SG.EEV-May06 4+2 12" xfId="7227" xr:uid="{00000000-0005-0000-0000-0000882A0000}"/>
    <cellStyle name="B_BotRC_SG.EEV-May06 4+2 12 2" xfId="7228" xr:uid="{00000000-0005-0000-0000-0000892A0000}"/>
    <cellStyle name="B_BotRC_SG.EEV-May06 4+2 12 3" xfId="27197" xr:uid="{00000000-0005-0000-0000-00008A2A0000}"/>
    <cellStyle name="B_BotRC_SG.EEV-May06 4+2 13" xfId="7229" xr:uid="{00000000-0005-0000-0000-00008B2A0000}"/>
    <cellStyle name="B_BotRC_SG.EEV-May06 4+2 13 2" xfId="7230" xr:uid="{00000000-0005-0000-0000-00008C2A0000}"/>
    <cellStyle name="B_BotRC_SG.EEV-May06 4+2 13 3" xfId="27198" xr:uid="{00000000-0005-0000-0000-00008D2A0000}"/>
    <cellStyle name="B_BotRC_SG.EEV-May06 4+2 14" xfId="7231" xr:uid="{00000000-0005-0000-0000-00008E2A0000}"/>
    <cellStyle name="B_BotRC_SG.EEV-May06 4+2 14 2" xfId="7232" xr:uid="{00000000-0005-0000-0000-00008F2A0000}"/>
    <cellStyle name="B_BotRC_SG.EEV-May06 4+2 14 3" xfId="27199" xr:uid="{00000000-0005-0000-0000-0000902A0000}"/>
    <cellStyle name="B_BotRC_SG.EEV-May06 4+2 15" xfId="7233" xr:uid="{00000000-0005-0000-0000-0000912A0000}"/>
    <cellStyle name="B_BotRC_SG.EEV-May06 4+2 15 2" xfId="7234" xr:uid="{00000000-0005-0000-0000-0000922A0000}"/>
    <cellStyle name="B_BotRC_SG.EEV-May06 4+2 15 3" xfId="27200" xr:uid="{00000000-0005-0000-0000-0000932A0000}"/>
    <cellStyle name="B_BotRC_SG.EEV-May06 4+2 16" xfId="7235" xr:uid="{00000000-0005-0000-0000-0000942A0000}"/>
    <cellStyle name="B_BotRC_SG.EEV-May06 4+2 16 2" xfId="7236" xr:uid="{00000000-0005-0000-0000-0000952A0000}"/>
    <cellStyle name="B_BotRC_SG.EEV-May06 4+2 16 3" xfId="27201" xr:uid="{00000000-0005-0000-0000-0000962A0000}"/>
    <cellStyle name="B_BotRC_SG.EEV-May06 4+2 17" xfId="7237" xr:uid="{00000000-0005-0000-0000-0000972A0000}"/>
    <cellStyle name="B_BotRC_SG.EEV-May06 4+2 17 2" xfId="7238" xr:uid="{00000000-0005-0000-0000-0000982A0000}"/>
    <cellStyle name="B_BotRC_SG.EEV-May06 4+2 17 3" xfId="27202" xr:uid="{00000000-0005-0000-0000-0000992A0000}"/>
    <cellStyle name="B_BotRC_SG.EEV-May06 4+2 18" xfId="7239" xr:uid="{00000000-0005-0000-0000-00009A2A0000}"/>
    <cellStyle name="B_BotRC_SG.EEV-May06 4+2 18 2" xfId="7240" xr:uid="{00000000-0005-0000-0000-00009B2A0000}"/>
    <cellStyle name="B_BotRC_SG.EEV-May06 4+2 18 3" xfId="27203" xr:uid="{00000000-0005-0000-0000-00009C2A0000}"/>
    <cellStyle name="B_BotRC_SG.EEV-May06 4+2 19" xfId="7241" xr:uid="{00000000-0005-0000-0000-00009D2A0000}"/>
    <cellStyle name="B_BotRC_SG.EEV-May06 4+2 19 2" xfId="7242" xr:uid="{00000000-0005-0000-0000-00009E2A0000}"/>
    <cellStyle name="B_BotRC_SG.EEV-May06 4+2 19 3" xfId="27204" xr:uid="{00000000-0005-0000-0000-00009F2A0000}"/>
    <cellStyle name="B_BotRC_SG.EEV-May06 4+2 2" xfId="7243" xr:uid="{00000000-0005-0000-0000-0000A02A0000}"/>
    <cellStyle name="B_BotRC_SG.EEV-May06 4+2 2 2" xfId="7244" xr:uid="{00000000-0005-0000-0000-0000A12A0000}"/>
    <cellStyle name="B_BotRC_SG.EEV-May06 4+2 2 3" xfId="27205" xr:uid="{00000000-0005-0000-0000-0000A22A0000}"/>
    <cellStyle name="B_BotRC_SG.EEV-May06 4+2 20" xfId="7245" xr:uid="{00000000-0005-0000-0000-0000A32A0000}"/>
    <cellStyle name="B_BotRC_SG.EEV-May06 4+2 20 2" xfId="7246" xr:uid="{00000000-0005-0000-0000-0000A42A0000}"/>
    <cellStyle name="B_BotRC_SG.EEV-May06 4+2 20 3" xfId="27206" xr:uid="{00000000-0005-0000-0000-0000A52A0000}"/>
    <cellStyle name="B_BotRC_SG.EEV-May06 4+2 21" xfId="7247" xr:uid="{00000000-0005-0000-0000-0000A62A0000}"/>
    <cellStyle name="B_BotRC_SG.EEV-May06 4+2 21 2" xfId="7248" xr:uid="{00000000-0005-0000-0000-0000A72A0000}"/>
    <cellStyle name="B_BotRC_SG.EEV-May06 4+2 21 3" xfId="27207" xr:uid="{00000000-0005-0000-0000-0000A82A0000}"/>
    <cellStyle name="B_BotRC_SG.EEV-May06 4+2 22" xfId="7249" xr:uid="{00000000-0005-0000-0000-0000A92A0000}"/>
    <cellStyle name="B_BotRC_SG.EEV-May06 4+2 22 2" xfId="7250" xr:uid="{00000000-0005-0000-0000-0000AA2A0000}"/>
    <cellStyle name="B_BotRC_SG.EEV-May06 4+2 22 3" xfId="27208" xr:uid="{00000000-0005-0000-0000-0000AB2A0000}"/>
    <cellStyle name="B_BotRC_SG.EEV-May06 4+2 23" xfId="7251" xr:uid="{00000000-0005-0000-0000-0000AC2A0000}"/>
    <cellStyle name="B_BotRC_SG.EEV-May06 4+2 23 2" xfId="7252" xr:uid="{00000000-0005-0000-0000-0000AD2A0000}"/>
    <cellStyle name="B_BotRC_SG.EEV-May06 4+2 23 3" xfId="27209" xr:uid="{00000000-0005-0000-0000-0000AE2A0000}"/>
    <cellStyle name="B_BotRC_SG.EEV-May06 4+2 24" xfId="7253" xr:uid="{00000000-0005-0000-0000-0000AF2A0000}"/>
    <cellStyle name="B_BotRC_SG.EEV-May06 4+2 25" xfId="27210" xr:uid="{00000000-0005-0000-0000-0000B02A0000}"/>
    <cellStyle name="B_BotRC_SG.EEV-May06 4+2 3" xfId="7254" xr:uid="{00000000-0005-0000-0000-0000B12A0000}"/>
    <cellStyle name="B_BotRC_SG.EEV-May06 4+2 3 2" xfId="7255" xr:uid="{00000000-0005-0000-0000-0000B22A0000}"/>
    <cellStyle name="B_BotRC_SG.EEV-May06 4+2 3 3" xfId="27211" xr:uid="{00000000-0005-0000-0000-0000B32A0000}"/>
    <cellStyle name="B_BotRC_SG.EEV-May06 4+2 4" xfId="7256" xr:uid="{00000000-0005-0000-0000-0000B42A0000}"/>
    <cellStyle name="B_BotRC_SG.EEV-May06 4+2 4 2" xfId="7257" xr:uid="{00000000-0005-0000-0000-0000B52A0000}"/>
    <cellStyle name="B_BotRC_SG.EEV-May06 4+2 4 3" xfId="27212" xr:uid="{00000000-0005-0000-0000-0000B62A0000}"/>
    <cellStyle name="B_BotRC_SG.EEV-May06 4+2 5" xfId="7258" xr:uid="{00000000-0005-0000-0000-0000B72A0000}"/>
    <cellStyle name="B_BotRC_SG.EEV-May06 4+2 5 2" xfId="7259" xr:uid="{00000000-0005-0000-0000-0000B82A0000}"/>
    <cellStyle name="B_BotRC_SG.EEV-May06 4+2 5 3" xfId="27213" xr:uid="{00000000-0005-0000-0000-0000B92A0000}"/>
    <cellStyle name="B_BotRC_SG.EEV-May06 4+2 6" xfId="7260" xr:uid="{00000000-0005-0000-0000-0000BA2A0000}"/>
    <cellStyle name="B_BotRC_SG.EEV-May06 4+2 6 2" xfId="7261" xr:uid="{00000000-0005-0000-0000-0000BB2A0000}"/>
    <cellStyle name="B_BotRC_SG.EEV-May06 4+2 6 3" xfId="27214" xr:uid="{00000000-0005-0000-0000-0000BC2A0000}"/>
    <cellStyle name="B_BotRC_SG.EEV-May06 4+2 7" xfId="7262" xr:uid="{00000000-0005-0000-0000-0000BD2A0000}"/>
    <cellStyle name="B_BotRC_SG.EEV-May06 4+2 7 2" xfId="7263" xr:uid="{00000000-0005-0000-0000-0000BE2A0000}"/>
    <cellStyle name="B_BotRC_SG.EEV-May06 4+2 7 3" xfId="27215" xr:uid="{00000000-0005-0000-0000-0000BF2A0000}"/>
    <cellStyle name="B_BotRC_SG.EEV-May06 4+2 8" xfId="7264" xr:uid="{00000000-0005-0000-0000-0000C02A0000}"/>
    <cellStyle name="B_BotRC_SG.EEV-May06 4+2 8 2" xfId="7265" xr:uid="{00000000-0005-0000-0000-0000C12A0000}"/>
    <cellStyle name="B_BotRC_SG.EEV-May06 4+2 8 3" xfId="27216" xr:uid="{00000000-0005-0000-0000-0000C22A0000}"/>
    <cellStyle name="B_BotRC_SG.EEV-May06 4+2 9" xfId="7266" xr:uid="{00000000-0005-0000-0000-0000C32A0000}"/>
    <cellStyle name="B_BotRC_SG.EEV-May06 4+2 9 2" xfId="7267" xr:uid="{00000000-0005-0000-0000-0000C42A0000}"/>
    <cellStyle name="B_BotRC_SG.EEV-May06 4+2 9 3" xfId="27217" xr:uid="{00000000-0005-0000-0000-0000C52A0000}"/>
    <cellStyle name="B_BotRC_SG.EEV-May06 4+2_PROD_DETAILS" xfId="7268" xr:uid="{00000000-0005-0000-0000-0000C62A0000}"/>
    <cellStyle name="B_BotRC_SG.EEV-May06 4+2_PROD_DETAILS 2" xfId="7269" xr:uid="{00000000-0005-0000-0000-0000C72A0000}"/>
    <cellStyle name="B_BotRC_SG.EEV-May06 4+2_PROD_DETAILS 3" xfId="27218" xr:uid="{00000000-0005-0000-0000-0000C82A0000}"/>
    <cellStyle name="B_BotRC_SG.EEV-May06 4+2_SOLVENCY POSITION " xfId="7270" xr:uid="{00000000-0005-0000-0000-0000C92A0000}"/>
    <cellStyle name="B_BotRC_SG.EEV-May06 4+2_SOLVENCY POSITION  2" xfId="7271" xr:uid="{00000000-0005-0000-0000-0000CA2A0000}"/>
    <cellStyle name="B_BotRC_SG.EEV-May06 4+2_SOLVENCY POSITION  3" xfId="27219" xr:uid="{00000000-0005-0000-0000-0000CB2A0000}"/>
    <cellStyle name="B_BotRC_SOLVENCY POSITION " xfId="7272" xr:uid="{00000000-0005-0000-0000-0000CC2A0000}"/>
    <cellStyle name="B_BotRC_SOLVENCY POSITION  2" xfId="7273" xr:uid="{00000000-0005-0000-0000-0000CD2A0000}"/>
    <cellStyle name="B_BotRC_SOLVENCY POSITION  3" xfId="27220" xr:uid="{00000000-0005-0000-0000-0000CE2A0000}"/>
    <cellStyle name="B_BotRC_SUMM" xfId="7274" xr:uid="{00000000-0005-0000-0000-0000CF2A0000}"/>
    <cellStyle name="B_BotRC_SUMM 10" xfId="7275" xr:uid="{00000000-0005-0000-0000-0000D02A0000}"/>
    <cellStyle name="B_BotRC_SUMM 10 2" xfId="7276" xr:uid="{00000000-0005-0000-0000-0000D12A0000}"/>
    <cellStyle name="B_BotRC_SUMM 10 3" xfId="27221" xr:uid="{00000000-0005-0000-0000-0000D22A0000}"/>
    <cellStyle name="B_BotRC_SUMM 11" xfId="7277" xr:uid="{00000000-0005-0000-0000-0000D32A0000}"/>
    <cellStyle name="B_BotRC_SUMM 11 2" xfId="7278" xr:uid="{00000000-0005-0000-0000-0000D42A0000}"/>
    <cellStyle name="B_BotRC_SUMM 11 3" xfId="27222" xr:uid="{00000000-0005-0000-0000-0000D52A0000}"/>
    <cellStyle name="B_BotRC_SUMM 12" xfId="7279" xr:uid="{00000000-0005-0000-0000-0000D62A0000}"/>
    <cellStyle name="B_BotRC_SUMM 12 2" xfId="7280" xr:uid="{00000000-0005-0000-0000-0000D72A0000}"/>
    <cellStyle name="B_BotRC_SUMM 12 3" xfId="27223" xr:uid="{00000000-0005-0000-0000-0000D82A0000}"/>
    <cellStyle name="B_BotRC_SUMM 13" xfId="7281" xr:uid="{00000000-0005-0000-0000-0000D92A0000}"/>
    <cellStyle name="B_BotRC_SUMM 13 2" xfId="7282" xr:uid="{00000000-0005-0000-0000-0000DA2A0000}"/>
    <cellStyle name="B_BotRC_SUMM 13 3" xfId="27224" xr:uid="{00000000-0005-0000-0000-0000DB2A0000}"/>
    <cellStyle name="B_BotRC_SUMM 14" xfId="7283" xr:uid="{00000000-0005-0000-0000-0000DC2A0000}"/>
    <cellStyle name="B_BotRC_SUMM 14 2" xfId="7284" xr:uid="{00000000-0005-0000-0000-0000DD2A0000}"/>
    <cellStyle name="B_BotRC_SUMM 14 3" xfId="27225" xr:uid="{00000000-0005-0000-0000-0000DE2A0000}"/>
    <cellStyle name="B_BotRC_SUMM 15" xfId="7285" xr:uid="{00000000-0005-0000-0000-0000DF2A0000}"/>
    <cellStyle name="B_BotRC_SUMM 15 2" xfId="7286" xr:uid="{00000000-0005-0000-0000-0000E02A0000}"/>
    <cellStyle name="B_BotRC_SUMM 15 3" xfId="27226" xr:uid="{00000000-0005-0000-0000-0000E12A0000}"/>
    <cellStyle name="B_BotRC_SUMM 16" xfId="7287" xr:uid="{00000000-0005-0000-0000-0000E22A0000}"/>
    <cellStyle name="B_BotRC_SUMM 16 2" xfId="7288" xr:uid="{00000000-0005-0000-0000-0000E32A0000}"/>
    <cellStyle name="B_BotRC_SUMM 16 3" xfId="27227" xr:uid="{00000000-0005-0000-0000-0000E42A0000}"/>
    <cellStyle name="B_BotRC_SUMM 17" xfId="7289" xr:uid="{00000000-0005-0000-0000-0000E52A0000}"/>
    <cellStyle name="B_BotRC_SUMM 17 2" xfId="7290" xr:uid="{00000000-0005-0000-0000-0000E62A0000}"/>
    <cellStyle name="B_BotRC_SUMM 17 3" xfId="27228" xr:uid="{00000000-0005-0000-0000-0000E72A0000}"/>
    <cellStyle name="B_BotRC_SUMM 18" xfId="7291" xr:uid="{00000000-0005-0000-0000-0000E82A0000}"/>
    <cellStyle name="B_BotRC_SUMM 18 2" xfId="7292" xr:uid="{00000000-0005-0000-0000-0000E92A0000}"/>
    <cellStyle name="B_BotRC_SUMM 18 3" xfId="27229" xr:uid="{00000000-0005-0000-0000-0000EA2A0000}"/>
    <cellStyle name="B_BotRC_SUMM 19" xfId="7293" xr:uid="{00000000-0005-0000-0000-0000EB2A0000}"/>
    <cellStyle name="B_BotRC_SUMM 19 2" xfId="7294" xr:uid="{00000000-0005-0000-0000-0000EC2A0000}"/>
    <cellStyle name="B_BotRC_SUMM 19 3" xfId="27230" xr:uid="{00000000-0005-0000-0000-0000ED2A0000}"/>
    <cellStyle name="B_BotRC_SUMM 2" xfId="7295" xr:uid="{00000000-0005-0000-0000-0000EE2A0000}"/>
    <cellStyle name="B_BotRC_SUMM 2 2" xfId="7296" xr:uid="{00000000-0005-0000-0000-0000EF2A0000}"/>
    <cellStyle name="B_BotRC_SUMM 2 3" xfId="27231" xr:uid="{00000000-0005-0000-0000-0000F02A0000}"/>
    <cellStyle name="B_BotRC_SUMM 20" xfId="7297" xr:uid="{00000000-0005-0000-0000-0000F12A0000}"/>
    <cellStyle name="B_BotRC_SUMM 20 2" xfId="7298" xr:uid="{00000000-0005-0000-0000-0000F22A0000}"/>
    <cellStyle name="B_BotRC_SUMM 20 3" xfId="27232" xr:uid="{00000000-0005-0000-0000-0000F32A0000}"/>
    <cellStyle name="B_BotRC_SUMM 21" xfId="7299" xr:uid="{00000000-0005-0000-0000-0000F42A0000}"/>
    <cellStyle name="B_BotRC_SUMM 21 2" xfId="7300" xr:uid="{00000000-0005-0000-0000-0000F52A0000}"/>
    <cellStyle name="B_BotRC_SUMM 21 3" xfId="27233" xr:uid="{00000000-0005-0000-0000-0000F62A0000}"/>
    <cellStyle name="B_BotRC_SUMM 22" xfId="7301" xr:uid="{00000000-0005-0000-0000-0000F72A0000}"/>
    <cellStyle name="B_BotRC_SUMM 22 2" xfId="7302" xr:uid="{00000000-0005-0000-0000-0000F82A0000}"/>
    <cellStyle name="B_BotRC_SUMM 22 3" xfId="27234" xr:uid="{00000000-0005-0000-0000-0000F92A0000}"/>
    <cellStyle name="B_BotRC_SUMM 23" xfId="7303" xr:uid="{00000000-0005-0000-0000-0000FA2A0000}"/>
    <cellStyle name="B_BotRC_SUMM 23 2" xfId="7304" xr:uid="{00000000-0005-0000-0000-0000FB2A0000}"/>
    <cellStyle name="B_BotRC_SUMM 23 3" xfId="27235" xr:uid="{00000000-0005-0000-0000-0000FC2A0000}"/>
    <cellStyle name="B_BotRC_SUMM 24" xfId="7305" xr:uid="{00000000-0005-0000-0000-0000FD2A0000}"/>
    <cellStyle name="B_BotRC_SUMM 25" xfId="27236" xr:uid="{00000000-0005-0000-0000-0000FE2A0000}"/>
    <cellStyle name="B_BotRC_SUMM 3" xfId="7306" xr:uid="{00000000-0005-0000-0000-0000FF2A0000}"/>
    <cellStyle name="B_BotRC_SUMM 3 2" xfId="7307" xr:uid="{00000000-0005-0000-0000-0000002B0000}"/>
    <cellStyle name="B_BotRC_SUMM 3 3" xfId="27237" xr:uid="{00000000-0005-0000-0000-0000012B0000}"/>
    <cellStyle name="B_BotRC_SUMM 4" xfId="7308" xr:uid="{00000000-0005-0000-0000-0000022B0000}"/>
    <cellStyle name="B_BotRC_SUMM 4 2" xfId="7309" xr:uid="{00000000-0005-0000-0000-0000032B0000}"/>
    <cellStyle name="B_BotRC_SUMM 4 3" xfId="27238" xr:uid="{00000000-0005-0000-0000-0000042B0000}"/>
    <cellStyle name="B_BotRC_SUMM 5" xfId="7310" xr:uid="{00000000-0005-0000-0000-0000052B0000}"/>
    <cellStyle name="B_BotRC_SUMM 5 2" xfId="7311" xr:uid="{00000000-0005-0000-0000-0000062B0000}"/>
    <cellStyle name="B_BotRC_SUMM 5 3" xfId="27239" xr:uid="{00000000-0005-0000-0000-0000072B0000}"/>
    <cellStyle name="B_BotRC_SUMM 6" xfId="7312" xr:uid="{00000000-0005-0000-0000-0000082B0000}"/>
    <cellStyle name="B_BotRC_SUMM 6 2" xfId="7313" xr:uid="{00000000-0005-0000-0000-0000092B0000}"/>
    <cellStyle name="B_BotRC_SUMM 6 3" xfId="27240" xr:uid="{00000000-0005-0000-0000-00000A2B0000}"/>
    <cellStyle name="B_BotRC_SUMM 7" xfId="7314" xr:uid="{00000000-0005-0000-0000-00000B2B0000}"/>
    <cellStyle name="B_BotRC_SUMM 7 2" xfId="7315" xr:uid="{00000000-0005-0000-0000-00000C2B0000}"/>
    <cellStyle name="B_BotRC_SUMM 7 3" xfId="27241" xr:uid="{00000000-0005-0000-0000-00000D2B0000}"/>
    <cellStyle name="B_BotRC_SUMM 8" xfId="7316" xr:uid="{00000000-0005-0000-0000-00000E2B0000}"/>
    <cellStyle name="B_BotRC_SUMM 8 2" xfId="7317" xr:uid="{00000000-0005-0000-0000-00000F2B0000}"/>
    <cellStyle name="B_BotRC_SUMM 8 3" xfId="27242" xr:uid="{00000000-0005-0000-0000-0000102B0000}"/>
    <cellStyle name="B_BotRC_SUMM 9" xfId="7318" xr:uid="{00000000-0005-0000-0000-0000112B0000}"/>
    <cellStyle name="B_BotRC_SUMM 9 2" xfId="7319" xr:uid="{00000000-0005-0000-0000-0000122B0000}"/>
    <cellStyle name="B_BotRC_SUMM 9 3" xfId="27243" xr:uid="{00000000-0005-0000-0000-0000132B0000}"/>
    <cellStyle name="B_BotRC_SUMM_PROD_DETAILS" xfId="7320" xr:uid="{00000000-0005-0000-0000-0000142B0000}"/>
    <cellStyle name="B_BotRC_SUMM_PROD_DETAILS 2" xfId="7321" xr:uid="{00000000-0005-0000-0000-0000152B0000}"/>
    <cellStyle name="B_BotRC_SUMM_PROD_DETAILS 3" xfId="27244" xr:uid="{00000000-0005-0000-0000-0000162B0000}"/>
    <cellStyle name="B_BotRC_SUMM_SOLVENCY POSITION " xfId="7322" xr:uid="{00000000-0005-0000-0000-0000172B0000}"/>
    <cellStyle name="B_BotRC_SUMM_SOLVENCY POSITION  2" xfId="7323" xr:uid="{00000000-0005-0000-0000-0000182B0000}"/>
    <cellStyle name="B_BotRC_SUMM_SOLVENCY POSITION  3" xfId="27245" xr:uid="{00000000-0005-0000-0000-0000192B0000}"/>
    <cellStyle name="B_BotRC_Template" xfId="7324" xr:uid="{00000000-0005-0000-0000-00001A2B0000}"/>
    <cellStyle name="B_BotRC_Template 10" xfId="7325" xr:uid="{00000000-0005-0000-0000-00001B2B0000}"/>
    <cellStyle name="B_BotRC_Template 10 2" xfId="7326" xr:uid="{00000000-0005-0000-0000-00001C2B0000}"/>
    <cellStyle name="B_BotRC_Template 10 3" xfId="27246" xr:uid="{00000000-0005-0000-0000-00001D2B0000}"/>
    <cellStyle name="B_BotRC_Template 11" xfId="7327" xr:uid="{00000000-0005-0000-0000-00001E2B0000}"/>
    <cellStyle name="B_BotRC_Template 11 2" xfId="7328" xr:uid="{00000000-0005-0000-0000-00001F2B0000}"/>
    <cellStyle name="B_BotRC_Template 11 3" xfId="27247" xr:uid="{00000000-0005-0000-0000-0000202B0000}"/>
    <cellStyle name="B_BotRC_Template 12" xfId="7329" xr:uid="{00000000-0005-0000-0000-0000212B0000}"/>
    <cellStyle name="B_BotRC_Template 12 2" xfId="7330" xr:uid="{00000000-0005-0000-0000-0000222B0000}"/>
    <cellStyle name="B_BotRC_Template 12 3" xfId="27248" xr:uid="{00000000-0005-0000-0000-0000232B0000}"/>
    <cellStyle name="B_BotRC_Template 13" xfId="7331" xr:uid="{00000000-0005-0000-0000-0000242B0000}"/>
    <cellStyle name="B_BotRC_Template 13 2" xfId="7332" xr:uid="{00000000-0005-0000-0000-0000252B0000}"/>
    <cellStyle name="B_BotRC_Template 13 3" xfId="27249" xr:uid="{00000000-0005-0000-0000-0000262B0000}"/>
    <cellStyle name="B_BotRC_Template 14" xfId="7333" xr:uid="{00000000-0005-0000-0000-0000272B0000}"/>
    <cellStyle name="B_BotRC_Template 14 2" xfId="7334" xr:uid="{00000000-0005-0000-0000-0000282B0000}"/>
    <cellStyle name="B_BotRC_Template 14 3" xfId="27250" xr:uid="{00000000-0005-0000-0000-0000292B0000}"/>
    <cellStyle name="B_BotRC_Template 15" xfId="7335" xr:uid="{00000000-0005-0000-0000-00002A2B0000}"/>
    <cellStyle name="B_BotRC_Template 15 2" xfId="7336" xr:uid="{00000000-0005-0000-0000-00002B2B0000}"/>
    <cellStyle name="B_BotRC_Template 15 3" xfId="27251" xr:uid="{00000000-0005-0000-0000-00002C2B0000}"/>
    <cellStyle name="B_BotRC_Template 16" xfId="7337" xr:uid="{00000000-0005-0000-0000-00002D2B0000}"/>
    <cellStyle name="B_BotRC_Template 16 2" xfId="7338" xr:uid="{00000000-0005-0000-0000-00002E2B0000}"/>
    <cellStyle name="B_BotRC_Template 16 3" xfId="27252" xr:uid="{00000000-0005-0000-0000-00002F2B0000}"/>
    <cellStyle name="B_BotRC_Template 17" xfId="7339" xr:uid="{00000000-0005-0000-0000-0000302B0000}"/>
    <cellStyle name="B_BotRC_Template 17 2" xfId="7340" xr:uid="{00000000-0005-0000-0000-0000312B0000}"/>
    <cellStyle name="B_BotRC_Template 17 3" xfId="27253" xr:uid="{00000000-0005-0000-0000-0000322B0000}"/>
    <cellStyle name="B_BotRC_Template 18" xfId="7341" xr:uid="{00000000-0005-0000-0000-0000332B0000}"/>
    <cellStyle name="B_BotRC_Template 18 2" xfId="7342" xr:uid="{00000000-0005-0000-0000-0000342B0000}"/>
    <cellStyle name="B_BotRC_Template 18 3" xfId="27254" xr:uid="{00000000-0005-0000-0000-0000352B0000}"/>
    <cellStyle name="B_BotRC_Template 19" xfId="7343" xr:uid="{00000000-0005-0000-0000-0000362B0000}"/>
    <cellStyle name="B_BotRC_Template 19 2" xfId="7344" xr:uid="{00000000-0005-0000-0000-0000372B0000}"/>
    <cellStyle name="B_BotRC_Template 19 3" xfId="27255" xr:uid="{00000000-0005-0000-0000-0000382B0000}"/>
    <cellStyle name="B_BotRC_Template 2" xfId="7345" xr:uid="{00000000-0005-0000-0000-0000392B0000}"/>
    <cellStyle name="B_BotRC_Template 2 2" xfId="7346" xr:uid="{00000000-0005-0000-0000-00003A2B0000}"/>
    <cellStyle name="B_BotRC_Template 2 3" xfId="27256" xr:uid="{00000000-0005-0000-0000-00003B2B0000}"/>
    <cellStyle name="B_BotRC_Template 20" xfId="7347" xr:uid="{00000000-0005-0000-0000-00003C2B0000}"/>
    <cellStyle name="B_BotRC_Template 20 2" xfId="7348" xr:uid="{00000000-0005-0000-0000-00003D2B0000}"/>
    <cellStyle name="B_BotRC_Template 20 3" xfId="27257" xr:uid="{00000000-0005-0000-0000-00003E2B0000}"/>
    <cellStyle name="B_BotRC_Template 21" xfId="7349" xr:uid="{00000000-0005-0000-0000-00003F2B0000}"/>
    <cellStyle name="B_BotRC_Template 21 2" xfId="7350" xr:uid="{00000000-0005-0000-0000-0000402B0000}"/>
    <cellStyle name="B_BotRC_Template 21 3" xfId="27258" xr:uid="{00000000-0005-0000-0000-0000412B0000}"/>
    <cellStyle name="B_BotRC_Template 22" xfId="7351" xr:uid="{00000000-0005-0000-0000-0000422B0000}"/>
    <cellStyle name="B_BotRC_Template 22 2" xfId="7352" xr:uid="{00000000-0005-0000-0000-0000432B0000}"/>
    <cellStyle name="B_BotRC_Template 22 3" xfId="27259" xr:uid="{00000000-0005-0000-0000-0000442B0000}"/>
    <cellStyle name="B_BotRC_Template 23" xfId="7353" xr:uid="{00000000-0005-0000-0000-0000452B0000}"/>
    <cellStyle name="B_BotRC_Template 23 2" xfId="7354" xr:uid="{00000000-0005-0000-0000-0000462B0000}"/>
    <cellStyle name="B_BotRC_Template 23 3" xfId="27260" xr:uid="{00000000-0005-0000-0000-0000472B0000}"/>
    <cellStyle name="B_BotRC_Template 24" xfId="7355" xr:uid="{00000000-0005-0000-0000-0000482B0000}"/>
    <cellStyle name="B_BotRC_Template 25" xfId="27261" xr:uid="{00000000-0005-0000-0000-0000492B0000}"/>
    <cellStyle name="B_BotRC_Template 3" xfId="7356" xr:uid="{00000000-0005-0000-0000-00004A2B0000}"/>
    <cellStyle name="B_BotRC_Template 3 2" xfId="7357" xr:uid="{00000000-0005-0000-0000-00004B2B0000}"/>
    <cellStyle name="B_BotRC_Template 3 3" xfId="27262" xr:uid="{00000000-0005-0000-0000-00004C2B0000}"/>
    <cellStyle name="B_BotRC_Template 4" xfId="7358" xr:uid="{00000000-0005-0000-0000-00004D2B0000}"/>
    <cellStyle name="B_BotRC_Template 4 2" xfId="7359" xr:uid="{00000000-0005-0000-0000-00004E2B0000}"/>
    <cellStyle name="B_BotRC_Template 4 3" xfId="27263" xr:uid="{00000000-0005-0000-0000-00004F2B0000}"/>
    <cellStyle name="B_BotRC_Template 5" xfId="7360" xr:uid="{00000000-0005-0000-0000-0000502B0000}"/>
    <cellStyle name="B_BotRC_Template 5 2" xfId="7361" xr:uid="{00000000-0005-0000-0000-0000512B0000}"/>
    <cellStyle name="B_BotRC_Template 5 3" xfId="27264" xr:uid="{00000000-0005-0000-0000-0000522B0000}"/>
    <cellStyle name="B_BotRC_Template 6" xfId="7362" xr:uid="{00000000-0005-0000-0000-0000532B0000}"/>
    <cellStyle name="B_BotRC_Template 6 2" xfId="7363" xr:uid="{00000000-0005-0000-0000-0000542B0000}"/>
    <cellStyle name="B_BotRC_Template 6 3" xfId="27265" xr:uid="{00000000-0005-0000-0000-0000552B0000}"/>
    <cellStyle name="B_BotRC_Template 7" xfId="7364" xr:uid="{00000000-0005-0000-0000-0000562B0000}"/>
    <cellStyle name="B_BotRC_Template 7 2" xfId="7365" xr:uid="{00000000-0005-0000-0000-0000572B0000}"/>
    <cellStyle name="B_BotRC_Template 7 3" xfId="27266" xr:uid="{00000000-0005-0000-0000-0000582B0000}"/>
    <cellStyle name="B_BotRC_Template 8" xfId="7366" xr:uid="{00000000-0005-0000-0000-0000592B0000}"/>
    <cellStyle name="B_BotRC_Template 8 2" xfId="7367" xr:uid="{00000000-0005-0000-0000-00005A2B0000}"/>
    <cellStyle name="B_BotRC_Template 8 3" xfId="27267" xr:uid="{00000000-0005-0000-0000-00005B2B0000}"/>
    <cellStyle name="B_BotRC_Template 9" xfId="7368" xr:uid="{00000000-0005-0000-0000-00005C2B0000}"/>
    <cellStyle name="B_BotRC_Template 9 2" xfId="7369" xr:uid="{00000000-0005-0000-0000-00005D2B0000}"/>
    <cellStyle name="B_BotRC_Template 9 3" xfId="27268" xr:uid="{00000000-0005-0000-0000-00005E2B0000}"/>
    <cellStyle name="B_BotRC_Template_PROD_DETAILS" xfId="7370" xr:uid="{00000000-0005-0000-0000-00005F2B0000}"/>
    <cellStyle name="B_BotRC_Template_PROD_DETAILS 2" xfId="7371" xr:uid="{00000000-0005-0000-0000-0000602B0000}"/>
    <cellStyle name="B_BotRC_Template_PROD_DETAILS 3" xfId="27269" xr:uid="{00000000-0005-0000-0000-0000612B0000}"/>
    <cellStyle name="B_BotRC_Template_SOLVENCY POSITION " xfId="7372" xr:uid="{00000000-0005-0000-0000-0000622B0000}"/>
    <cellStyle name="B_BotRC_Template_SOLVENCY POSITION  2" xfId="7373" xr:uid="{00000000-0005-0000-0000-0000632B0000}"/>
    <cellStyle name="B_BotRC_Template_SOLVENCY POSITION  3" xfId="27270" xr:uid="{00000000-0005-0000-0000-0000642B0000}"/>
    <cellStyle name="B_Left" xfId="7374" xr:uid="{00000000-0005-0000-0000-0000652B0000}"/>
    <cellStyle name="B_Left 10" xfId="7375" xr:uid="{00000000-0005-0000-0000-0000662B0000}"/>
    <cellStyle name="B_Left 10 2" xfId="7376" xr:uid="{00000000-0005-0000-0000-0000672B0000}"/>
    <cellStyle name="B_Left 11" xfId="7377" xr:uid="{00000000-0005-0000-0000-0000682B0000}"/>
    <cellStyle name="B_Left 11 2" xfId="7378" xr:uid="{00000000-0005-0000-0000-0000692B0000}"/>
    <cellStyle name="B_Left 12" xfId="7379" xr:uid="{00000000-0005-0000-0000-00006A2B0000}"/>
    <cellStyle name="B_Left 12 2" xfId="7380" xr:uid="{00000000-0005-0000-0000-00006B2B0000}"/>
    <cellStyle name="B_Left 13" xfId="7381" xr:uid="{00000000-0005-0000-0000-00006C2B0000}"/>
    <cellStyle name="B_Left 13 2" xfId="7382" xr:uid="{00000000-0005-0000-0000-00006D2B0000}"/>
    <cellStyle name="B_Left 14" xfId="7383" xr:uid="{00000000-0005-0000-0000-00006E2B0000}"/>
    <cellStyle name="B_Left 14 2" xfId="7384" xr:uid="{00000000-0005-0000-0000-00006F2B0000}"/>
    <cellStyle name="B_Left 15" xfId="7385" xr:uid="{00000000-0005-0000-0000-0000702B0000}"/>
    <cellStyle name="B_Left 15 2" xfId="7386" xr:uid="{00000000-0005-0000-0000-0000712B0000}"/>
    <cellStyle name="B_Left 16" xfId="7387" xr:uid="{00000000-0005-0000-0000-0000722B0000}"/>
    <cellStyle name="B_Left 16 2" xfId="7388" xr:uid="{00000000-0005-0000-0000-0000732B0000}"/>
    <cellStyle name="B_Left 17" xfId="7389" xr:uid="{00000000-0005-0000-0000-0000742B0000}"/>
    <cellStyle name="B_Left 17 2" xfId="7390" xr:uid="{00000000-0005-0000-0000-0000752B0000}"/>
    <cellStyle name="B_Left 18" xfId="7391" xr:uid="{00000000-0005-0000-0000-0000762B0000}"/>
    <cellStyle name="B_Left 18 2" xfId="7392" xr:uid="{00000000-0005-0000-0000-0000772B0000}"/>
    <cellStyle name="B_Left 19" xfId="7393" xr:uid="{00000000-0005-0000-0000-0000782B0000}"/>
    <cellStyle name="B_Left 19 2" xfId="7394" xr:uid="{00000000-0005-0000-0000-0000792B0000}"/>
    <cellStyle name="B_Left 2" xfId="7395" xr:uid="{00000000-0005-0000-0000-00007A2B0000}"/>
    <cellStyle name="B_Left 2 2" xfId="7396" xr:uid="{00000000-0005-0000-0000-00007B2B0000}"/>
    <cellStyle name="B_Left 20" xfId="7397" xr:uid="{00000000-0005-0000-0000-00007C2B0000}"/>
    <cellStyle name="B_Left 20 2" xfId="7398" xr:uid="{00000000-0005-0000-0000-00007D2B0000}"/>
    <cellStyle name="B_Left 21" xfId="7399" xr:uid="{00000000-0005-0000-0000-00007E2B0000}"/>
    <cellStyle name="B_Left 21 2" xfId="7400" xr:uid="{00000000-0005-0000-0000-00007F2B0000}"/>
    <cellStyle name="B_Left 22" xfId="7401" xr:uid="{00000000-0005-0000-0000-0000802B0000}"/>
    <cellStyle name="B_Left 22 2" xfId="7402" xr:uid="{00000000-0005-0000-0000-0000812B0000}"/>
    <cellStyle name="B_Left 23" xfId="7403" xr:uid="{00000000-0005-0000-0000-0000822B0000}"/>
    <cellStyle name="B_Left 23 2" xfId="7404" xr:uid="{00000000-0005-0000-0000-0000832B0000}"/>
    <cellStyle name="B_Left 24" xfId="7405" xr:uid="{00000000-0005-0000-0000-0000842B0000}"/>
    <cellStyle name="B_Left 3" xfId="7406" xr:uid="{00000000-0005-0000-0000-0000852B0000}"/>
    <cellStyle name="B_Left 3 2" xfId="7407" xr:uid="{00000000-0005-0000-0000-0000862B0000}"/>
    <cellStyle name="B_Left 4" xfId="7408" xr:uid="{00000000-0005-0000-0000-0000872B0000}"/>
    <cellStyle name="B_Left 4 2" xfId="7409" xr:uid="{00000000-0005-0000-0000-0000882B0000}"/>
    <cellStyle name="B_Left 5" xfId="7410" xr:uid="{00000000-0005-0000-0000-0000892B0000}"/>
    <cellStyle name="B_Left 5 2" xfId="7411" xr:uid="{00000000-0005-0000-0000-00008A2B0000}"/>
    <cellStyle name="B_Left 6" xfId="7412" xr:uid="{00000000-0005-0000-0000-00008B2B0000}"/>
    <cellStyle name="B_Left 6 2" xfId="7413" xr:uid="{00000000-0005-0000-0000-00008C2B0000}"/>
    <cellStyle name="B_Left 7" xfId="7414" xr:uid="{00000000-0005-0000-0000-00008D2B0000}"/>
    <cellStyle name="B_Left 7 2" xfId="7415" xr:uid="{00000000-0005-0000-0000-00008E2B0000}"/>
    <cellStyle name="B_Left 8" xfId="7416" xr:uid="{00000000-0005-0000-0000-00008F2B0000}"/>
    <cellStyle name="B_Left 8 2" xfId="7417" xr:uid="{00000000-0005-0000-0000-0000902B0000}"/>
    <cellStyle name="B_Left 9" xfId="7418" xr:uid="{00000000-0005-0000-0000-0000912B0000}"/>
    <cellStyle name="B_Left 9 2" xfId="7419" xr:uid="{00000000-0005-0000-0000-0000922B0000}"/>
    <cellStyle name="B_Left_ASSUMP" xfId="7420" xr:uid="{00000000-0005-0000-0000-0000932B0000}"/>
    <cellStyle name="B_Left_ASSUMP 10" xfId="7421" xr:uid="{00000000-0005-0000-0000-0000942B0000}"/>
    <cellStyle name="B_Left_ASSUMP 10 2" xfId="7422" xr:uid="{00000000-0005-0000-0000-0000952B0000}"/>
    <cellStyle name="B_Left_ASSUMP 11" xfId="7423" xr:uid="{00000000-0005-0000-0000-0000962B0000}"/>
    <cellStyle name="B_Left_ASSUMP 11 2" xfId="7424" xr:uid="{00000000-0005-0000-0000-0000972B0000}"/>
    <cellStyle name="B_Left_ASSUMP 12" xfId="7425" xr:uid="{00000000-0005-0000-0000-0000982B0000}"/>
    <cellStyle name="B_Left_ASSUMP 12 2" xfId="7426" xr:uid="{00000000-0005-0000-0000-0000992B0000}"/>
    <cellStyle name="B_Left_ASSUMP 13" xfId="7427" xr:uid="{00000000-0005-0000-0000-00009A2B0000}"/>
    <cellStyle name="B_Left_ASSUMP 13 2" xfId="7428" xr:uid="{00000000-0005-0000-0000-00009B2B0000}"/>
    <cellStyle name="B_Left_ASSUMP 14" xfId="7429" xr:uid="{00000000-0005-0000-0000-00009C2B0000}"/>
    <cellStyle name="B_Left_ASSUMP 14 2" xfId="7430" xr:uid="{00000000-0005-0000-0000-00009D2B0000}"/>
    <cellStyle name="B_Left_ASSUMP 15" xfId="7431" xr:uid="{00000000-0005-0000-0000-00009E2B0000}"/>
    <cellStyle name="B_Left_ASSUMP 15 2" xfId="7432" xr:uid="{00000000-0005-0000-0000-00009F2B0000}"/>
    <cellStyle name="B_Left_ASSUMP 16" xfId="7433" xr:uid="{00000000-0005-0000-0000-0000A02B0000}"/>
    <cellStyle name="B_Left_ASSUMP 16 2" xfId="7434" xr:uid="{00000000-0005-0000-0000-0000A12B0000}"/>
    <cellStyle name="B_Left_ASSUMP 17" xfId="7435" xr:uid="{00000000-0005-0000-0000-0000A22B0000}"/>
    <cellStyle name="B_Left_ASSUMP 17 2" xfId="7436" xr:uid="{00000000-0005-0000-0000-0000A32B0000}"/>
    <cellStyle name="B_Left_ASSUMP 18" xfId="7437" xr:uid="{00000000-0005-0000-0000-0000A42B0000}"/>
    <cellStyle name="B_Left_ASSUMP 18 2" xfId="7438" xr:uid="{00000000-0005-0000-0000-0000A52B0000}"/>
    <cellStyle name="B_Left_ASSUMP 19" xfId="7439" xr:uid="{00000000-0005-0000-0000-0000A62B0000}"/>
    <cellStyle name="B_Left_ASSUMP 19 2" xfId="7440" xr:uid="{00000000-0005-0000-0000-0000A72B0000}"/>
    <cellStyle name="B_Left_ASSUMP 2" xfId="7441" xr:uid="{00000000-0005-0000-0000-0000A82B0000}"/>
    <cellStyle name="B_Left_ASSUMP 2 2" xfId="7442" xr:uid="{00000000-0005-0000-0000-0000A92B0000}"/>
    <cellStyle name="B_Left_ASSUMP 20" xfId="7443" xr:uid="{00000000-0005-0000-0000-0000AA2B0000}"/>
    <cellStyle name="B_Left_ASSUMP 20 2" xfId="7444" xr:uid="{00000000-0005-0000-0000-0000AB2B0000}"/>
    <cellStyle name="B_Left_ASSUMP 21" xfId="7445" xr:uid="{00000000-0005-0000-0000-0000AC2B0000}"/>
    <cellStyle name="B_Left_ASSUMP 21 2" xfId="7446" xr:uid="{00000000-0005-0000-0000-0000AD2B0000}"/>
    <cellStyle name="B_Left_ASSUMP 22" xfId="7447" xr:uid="{00000000-0005-0000-0000-0000AE2B0000}"/>
    <cellStyle name="B_Left_ASSUMP 22 2" xfId="7448" xr:uid="{00000000-0005-0000-0000-0000AF2B0000}"/>
    <cellStyle name="B_Left_ASSUMP 23" xfId="7449" xr:uid="{00000000-0005-0000-0000-0000B02B0000}"/>
    <cellStyle name="B_Left_ASSUMP 23 2" xfId="7450" xr:uid="{00000000-0005-0000-0000-0000B12B0000}"/>
    <cellStyle name="B_Left_ASSUMP 24" xfId="7451" xr:uid="{00000000-0005-0000-0000-0000B22B0000}"/>
    <cellStyle name="B_Left_ASSUMP 3" xfId="7452" xr:uid="{00000000-0005-0000-0000-0000B32B0000}"/>
    <cellStyle name="B_Left_ASSUMP 3 2" xfId="7453" xr:uid="{00000000-0005-0000-0000-0000B42B0000}"/>
    <cellStyle name="B_Left_ASSUMP 4" xfId="7454" xr:uid="{00000000-0005-0000-0000-0000B52B0000}"/>
    <cellStyle name="B_Left_ASSUMP 4 2" xfId="7455" xr:uid="{00000000-0005-0000-0000-0000B62B0000}"/>
    <cellStyle name="B_Left_ASSUMP 5" xfId="7456" xr:uid="{00000000-0005-0000-0000-0000B72B0000}"/>
    <cellStyle name="B_Left_ASSUMP 5 2" xfId="7457" xr:uid="{00000000-0005-0000-0000-0000B82B0000}"/>
    <cellStyle name="B_Left_ASSUMP 6" xfId="7458" xr:uid="{00000000-0005-0000-0000-0000B92B0000}"/>
    <cellStyle name="B_Left_ASSUMP 6 2" xfId="7459" xr:uid="{00000000-0005-0000-0000-0000BA2B0000}"/>
    <cellStyle name="B_Left_ASSUMP 7" xfId="7460" xr:uid="{00000000-0005-0000-0000-0000BB2B0000}"/>
    <cellStyle name="B_Left_ASSUMP 7 2" xfId="7461" xr:uid="{00000000-0005-0000-0000-0000BC2B0000}"/>
    <cellStyle name="B_Left_ASSUMP 8" xfId="7462" xr:uid="{00000000-0005-0000-0000-0000BD2B0000}"/>
    <cellStyle name="B_Left_ASSUMP 8 2" xfId="7463" xr:uid="{00000000-0005-0000-0000-0000BE2B0000}"/>
    <cellStyle name="B_Left_ASSUMP 9" xfId="7464" xr:uid="{00000000-0005-0000-0000-0000BF2B0000}"/>
    <cellStyle name="B_Left_ASSUMP 9 2" xfId="7465" xr:uid="{00000000-0005-0000-0000-0000C02B0000}"/>
    <cellStyle name="B_Left_ASSUMP_PROD_DETAILS" xfId="7466" xr:uid="{00000000-0005-0000-0000-0000C12B0000}"/>
    <cellStyle name="B_Left_ASSUMP_PROD_DETAILS 2" xfId="7467" xr:uid="{00000000-0005-0000-0000-0000C22B0000}"/>
    <cellStyle name="B_Left_ASSUMP_SOLVENCY POSITION " xfId="7468" xr:uid="{00000000-0005-0000-0000-0000C32B0000}"/>
    <cellStyle name="B_Left_ASSUMP_SOLVENCY POSITION  2" xfId="7469" xr:uid="{00000000-0005-0000-0000-0000C42B0000}"/>
    <cellStyle name="B_Left_Checks" xfId="7470" xr:uid="{00000000-0005-0000-0000-0000C52B0000}"/>
    <cellStyle name="B_Left_Checks 10" xfId="7471" xr:uid="{00000000-0005-0000-0000-0000C62B0000}"/>
    <cellStyle name="B_Left_Checks 10 2" xfId="7472" xr:uid="{00000000-0005-0000-0000-0000C72B0000}"/>
    <cellStyle name="B_Left_Checks 11" xfId="7473" xr:uid="{00000000-0005-0000-0000-0000C82B0000}"/>
    <cellStyle name="B_Left_Checks 11 2" xfId="7474" xr:uid="{00000000-0005-0000-0000-0000C92B0000}"/>
    <cellStyle name="B_Left_Checks 12" xfId="7475" xr:uid="{00000000-0005-0000-0000-0000CA2B0000}"/>
    <cellStyle name="B_Left_Checks 12 2" xfId="7476" xr:uid="{00000000-0005-0000-0000-0000CB2B0000}"/>
    <cellStyle name="B_Left_Checks 13" xfId="7477" xr:uid="{00000000-0005-0000-0000-0000CC2B0000}"/>
    <cellStyle name="B_Left_Checks 13 2" xfId="7478" xr:uid="{00000000-0005-0000-0000-0000CD2B0000}"/>
    <cellStyle name="B_Left_Checks 14" xfId="7479" xr:uid="{00000000-0005-0000-0000-0000CE2B0000}"/>
    <cellStyle name="B_Left_Checks 14 2" xfId="7480" xr:uid="{00000000-0005-0000-0000-0000CF2B0000}"/>
    <cellStyle name="B_Left_Checks 15" xfId="7481" xr:uid="{00000000-0005-0000-0000-0000D02B0000}"/>
    <cellStyle name="B_Left_Checks 15 2" xfId="7482" xr:uid="{00000000-0005-0000-0000-0000D12B0000}"/>
    <cellStyle name="B_Left_Checks 16" xfId="7483" xr:uid="{00000000-0005-0000-0000-0000D22B0000}"/>
    <cellStyle name="B_Left_Checks 16 2" xfId="7484" xr:uid="{00000000-0005-0000-0000-0000D32B0000}"/>
    <cellStyle name="B_Left_Checks 17" xfId="7485" xr:uid="{00000000-0005-0000-0000-0000D42B0000}"/>
    <cellStyle name="B_Left_Checks 17 2" xfId="7486" xr:uid="{00000000-0005-0000-0000-0000D52B0000}"/>
    <cellStyle name="B_Left_Checks 18" xfId="7487" xr:uid="{00000000-0005-0000-0000-0000D62B0000}"/>
    <cellStyle name="B_Left_Checks 18 2" xfId="7488" xr:uid="{00000000-0005-0000-0000-0000D72B0000}"/>
    <cellStyle name="B_Left_Checks 19" xfId="7489" xr:uid="{00000000-0005-0000-0000-0000D82B0000}"/>
    <cellStyle name="B_Left_Checks 19 2" xfId="7490" xr:uid="{00000000-0005-0000-0000-0000D92B0000}"/>
    <cellStyle name="B_Left_Checks 2" xfId="7491" xr:uid="{00000000-0005-0000-0000-0000DA2B0000}"/>
    <cellStyle name="B_Left_Checks 2 2" xfId="7492" xr:uid="{00000000-0005-0000-0000-0000DB2B0000}"/>
    <cellStyle name="B_Left_Checks 20" xfId="7493" xr:uid="{00000000-0005-0000-0000-0000DC2B0000}"/>
    <cellStyle name="B_Left_Checks 20 2" xfId="7494" xr:uid="{00000000-0005-0000-0000-0000DD2B0000}"/>
    <cellStyle name="B_Left_Checks 21" xfId="7495" xr:uid="{00000000-0005-0000-0000-0000DE2B0000}"/>
    <cellStyle name="B_Left_Checks 21 2" xfId="7496" xr:uid="{00000000-0005-0000-0000-0000DF2B0000}"/>
    <cellStyle name="B_Left_Checks 22" xfId="7497" xr:uid="{00000000-0005-0000-0000-0000E02B0000}"/>
    <cellStyle name="B_Left_Checks 22 2" xfId="7498" xr:uid="{00000000-0005-0000-0000-0000E12B0000}"/>
    <cellStyle name="B_Left_Checks 23" xfId="7499" xr:uid="{00000000-0005-0000-0000-0000E22B0000}"/>
    <cellStyle name="B_Left_Checks 23 2" xfId="7500" xr:uid="{00000000-0005-0000-0000-0000E32B0000}"/>
    <cellStyle name="B_Left_Checks 24" xfId="7501" xr:uid="{00000000-0005-0000-0000-0000E42B0000}"/>
    <cellStyle name="B_Left_Checks 3" xfId="7502" xr:uid="{00000000-0005-0000-0000-0000E52B0000}"/>
    <cellStyle name="B_Left_Checks 3 2" xfId="7503" xr:uid="{00000000-0005-0000-0000-0000E62B0000}"/>
    <cellStyle name="B_Left_Checks 4" xfId="7504" xr:uid="{00000000-0005-0000-0000-0000E72B0000}"/>
    <cellStyle name="B_Left_Checks 4 2" xfId="7505" xr:uid="{00000000-0005-0000-0000-0000E82B0000}"/>
    <cellStyle name="B_Left_Checks 5" xfId="7506" xr:uid="{00000000-0005-0000-0000-0000E92B0000}"/>
    <cellStyle name="B_Left_Checks 5 2" xfId="7507" xr:uid="{00000000-0005-0000-0000-0000EA2B0000}"/>
    <cellStyle name="B_Left_Checks 6" xfId="7508" xr:uid="{00000000-0005-0000-0000-0000EB2B0000}"/>
    <cellStyle name="B_Left_Checks 6 2" xfId="7509" xr:uid="{00000000-0005-0000-0000-0000EC2B0000}"/>
    <cellStyle name="B_Left_Checks 7" xfId="7510" xr:uid="{00000000-0005-0000-0000-0000ED2B0000}"/>
    <cellStyle name="B_Left_Checks 7 2" xfId="7511" xr:uid="{00000000-0005-0000-0000-0000EE2B0000}"/>
    <cellStyle name="B_Left_Checks 8" xfId="7512" xr:uid="{00000000-0005-0000-0000-0000EF2B0000}"/>
    <cellStyle name="B_Left_Checks 8 2" xfId="7513" xr:uid="{00000000-0005-0000-0000-0000F02B0000}"/>
    <cellStyle name="B_Left_Checks 9" xfId="7514" xr:uid="{00000000-0005-0000-0000-0000F12B0000}"/>
    <cellStyle name="B_Left_Checks 9 2" xfId="7515" xr:uid="{00000000-0005-0000-0000-0000F22B0000}"/>
    <cellStyle name="B_Left_Checks_PROD_DETAILS" xfId="7516" xr:uid="{00000000-0005-0000-0000-0000F32B0000}"/>
    <cellStyle name="B_Left_Checks_PROD_DETAILS 2" xfId="7517" xr:uid="{00000000-0005-0000-0000-0000F42B0000}"/>
    <cellStyle name="B_Left_Checks_SOLVENCY POSITION " xfId="7518" xr:uid="{00000000-0005-0000-0000-0000F52B0000}"/>
    <cellStyle name="B_Left_Checks_SOLVENCY POSITION  2" xfId="7519" xr:uid="{00000000-0005-0000-0000-0000F62B0000}"/>
    <cellStyle name="B_Left_Group Life" xfId="7520" xr:uid="{00000000-0005-0000-0000-0000F72B0000}"/>
    <cellStyle name="B_Left_Group Life 10" xfId="7521" xr:uid="{00000000-0005-0000-0000-0000F82B0000}"/>
    <cellStyle name="B_Left_Group Life 10 2" xfId="7522" xr:uid="{00000000-0005-0000-0000-0000F92B0000}"/>
    <cellStyle name="B_Left_Group Life 11" xfId="7523" xr:uid="{00000000-0005-0000-0000-0000FA2B0000}"/>
    <cellStyle name="B_Left_Group Life 11 2" xfId="7524" xr:uid="{00000000-0005-0000-0000-0000FB2B0000}"/>
    <cellStyle name="B_Left_Group Life 12" xfId="7525" xr:uid="{00000000-0005-0000-0000-0000FC2B0000}"/>
    <cellStyle name="B_Left_Group Life 12 2" xfId="7526" xr:uid="{00000000-0005-0000-0000-0000FD2B0000}"/>
    <cellStyle name="B_Left_Group Life 13" xfId="7527" xr:uid="{00000000-0005-0000-0000-0000FE2B0000}"/>
    <cellStyle name="B_Left_Group Life 13 2" xfId="7528" xr:uid="{00000000-0005-0000-0000-0000FF2B0000}"/>
    <cellStyle name="B_Left_Group Life 14" xfId="7529" xr:uid="{00000000-0005-0000-0000-0000002C0000}"/>
    <cellStyle name="B_Left_Group Life 14 2" xfId="7530" xr:uid="{00000000-0005-0000-0000-0000012C0000}"/>
    <cellStyle name="B_Left_Group Life 15" xfId="7531" xr:uid="{00000000-0005-0000-0000-0000022C0000}"/>
    <cellStyle name="B_Left_Group Life 15 2" xfId="7532" xr:uid="{00000000-0005-0000-0000-0000032C0000}"/>
    <cellStyle name="B_Left_Group Life 16" xfId="7533" xr:uid="{00000000-0005-0000-0000-0000042C0000}"/>
    <cellStyle name="B_Left_Group Life 16 2" xfId="7534" xr:uid="{00000000-0005-0000-0000-0000052C0000}"/>
    <cellStyle name="B_Left_Group Life 17" xfId="7535" xr:uid="{00000000-0005-0000-0000-0000062C0000}"/>
    <cellStyle name="B_Left_Group Life 17 2" xfId="7536" xr:uid="{00000000-0005-0000-0000-0000072C0000}"/>
    <cellStyle name="B_Left_Group Life 18" xfId="7537" xr:uid="{00000000-0005-0000-0000-0000082C0000}"/>
    <cellStyle name="B_Left_Group Life 18 2" xfId="7538" xr:uid="{00000000-0005-0000-0000-0000092C0000}"/>
    <cellStyle name="B_Left_Group Life 19" xfId="7539" xr:uid="{00000000-0005-0000-0000-00000A2C0000}"/>
    <cellStyle name="B_Left_Group Life 19 2" xfId="7540" xr:uid="{00000000-0005-0000-0000-00000B2C0000}"/>
    <cellStyle name="B_Left_Group Life 2" xfId="7541" xr:uid="{00000000-0005-0000-0000-00000C2C0000}"/>
    <cellStyle name="B_Left_Group Life 2 2" xfId="7542" xr:uid="{00000000-0005-0000-0000-00000D2C0000}"/>
    <cellStyle name="B_Left_Group Life 20" xfId="7543" xr:uid="{00000000-0005-0000-0000-00000E2C0000}"/>
    <cellStyle name="B_Left_Group Life 20 2" xfId="7544" xr:uid="{00000000-0005-0000-0000-00000F2C0000}"/>
    <cellStyle name="B_Left_Group Life 21" xfId="7545" xr:uid="{00000000-0005-0000-0000-0000102C0000}"/>
    <cellStyle name="B_Left_Group Life 21 2" xfId="7546" xr:uid="{00000000-0005-0000-0000-0000112C0000}"/>
    <cellStyle name="B_Left_Group Life 22" xfId="7547" xr:uid="{00000000-0005-0000-0000-0000122C0000}"/>
    <cellStyle name="B_Left_Group Life 22 2" xfId="7548" xr:uid="{00000000-0005-0000-0000-0000132C0000}"/>
    <cellStyle name="B_Left_Group Life 23" xfId="7549" xr:uid="{00000000-0005-0000-0000-0000142C0000}"/>
    <cellStyle name="B_Left_Group Life 23 2" xfId="7550" xr:uid="{00000000-0005-0000-0000-0000152C0000}"/>
    <cellStyle name="B_Left_Group Life 24" xfId="7551" xr:uid="{00000000-0005-0000-0000-0000162C0000}"/>
    <cellStyle name="B_Left_Group Life 3" xfId="7552" xr:uid="{00000000-0005-0000-0000-0000172C0000}"/>
    <cellStyle name="B_Left_Group Life 3 2" xfId="7553" xr:uid="{00000000-0005-0000-0000-0000182C0000}"/>
    <cellStyle name="B_Left_Group Life 4" xfId="7554" xr:uid="{00000000-0005-0000-0000-0000192C0000}"/>
    <cellStyle name="B_Left_Group Life 4 2" xfId="7555" xr:uid="{00000000-0005-0000-0000-00001A2C0000}"/>
    <cellStyle name="B_Left_Group Life 5" xfId="7556" xr:uid="{00000000-0005-0000-0000-00001B2C0000}"/>
    <cellStyle name="B_Left_Group Life 5 2" xfId="7557" xr:uid="{00000000-0005-0000-0000-00001C2C0000}"/>
    <cellStyle name="B_Left_Group Life 6" xfId="7558" xr:uid="{00000000-0005-0000-0000-00001D2C0000}"/>
    <cellStyle name="B_Left_Group Life 6 2" xfId="7559" xr:uid="{00000000-0005-0000-0000-00001E2C0000}"/>
    <cellStyle name="B_Left_Group Life 7" xfId="7560" xr:uid="{00000000-0005-0000-0000-00001F2C0000}"/>
    <cellStyle name="B_Left_Group Life 7 2" xfId="7561" xr:uid="{00000000-0005-0000-0000-0000202C0000}"/>
    <cellStyle name="B_Left_Group Life 8" xfId="7562" xr:uid="{00000000-0005-0000-0000-0000212C0000}"/>
    <cellStyle name="B_Left_Group Life 8 2" xfId="7563" xr:uid="{00000000-0005-0000-0000-0000222C0000}"/>
    <cellStyle name="B_Left_Group Life 9" xfId="7564" xr:uid="{00000000-0005-0000-0000-0000232C0000}"/>
    <cellStyle name="B_Left_Group Life 9 2" xfId="7565" xr:uid="{00000000-0005-0000-0000-0000242C0000}"/>
    <cellStyle name="B_Left_Group Life_PROD_DETAILS" xfId="7566" xr:uid="{00000000-0005-0000-0000-0000252C0000}"/>
    <cellStyle name="B_Left_Group Life_PROD_DETAILS 2" xfId="7567" xr:uid="{00000000-0005-0000-0000-0000262C0000}"/>
    <cellStyle name="B_Left_Group Life_SOLVENCY POSITION " xfId="7568" xr:uid="{00000000-0005-0000-0000-0000272C0000}"/>
    <cellStyle name="B_Left_Group Life_SOLVENCY POSITION  2" xfId="7569" xr:uid="{00000000-0005-0000-0000-0000282C0000}"/>
    <cellStyle name="B_Left_HK P &amp; L (To Finance to compute tax)" xfId="7570" xr:uid="{00000000-0005-0000-0000-0000292C0000}"/>
    <cellStyle name="B_Left_HK P &amp; L (To Finance to compute tax) 10" xfId="7571" xr:uid="{00000000-0005-0000-0000-00002A2C0000}"/>
    <cellStyle name="B_Left_HK P &amp; L (To Finance to compute tax) 10 2" xfId="7572" xr:uid="{00000000-0005-0000-0000-00002B2C0000}"/>
    <cellStyle name="B_Left_HK P &amp; L (To Finance to compute tax) 11" xfId="7573" xr:uid="{00000000-0005-0000-0000-00002C2C0000}"/>
    <cellStyle name="B_Left_HK P &amp; L (To Finance to compute tax) 11 2" xfId="7574" xr:uid="{00000000-0005-0000-0000-00002D2C0000}"/>
    <cellStyle name="B_Left_HK P &amp; L (To Finance to compute tax) 12" xfId="7575" xr:uid="{00000000-0005-0000-0000-00002E2C0000}"/>
    <cellStyle name="B_Left_HK P &amp; L (To Finance to compute tax) 12 2" xfId="7576" xr:uid="{00000000-0005-0000-0000-00002F2C0000}"/>
    <cellStyle name="B_Left_HK P &amp; L (To Finance to compute tax) 13" xfId="7577" xr:uid="{00000000-0005-0000-0000-0000302C0000}"/>
    <cellStyle name="B_Left_HK P &amp; L (To Finance to compute tax) 13 2" xfId="7578" xr:uid="{00000000-0005-0000-0000-0000312C0000}"/>
    <cellStyle name="B_Left_HK P &amp; L (To Finance to compute tax) 14" xfId="7579" xr:uid="{00000000-0005-0000-0000-0000322C0000}"/>
    <cellStyle name="B_Left_HK P &amp; L (To Finance to compute tax) 14 2" xfId="7580" xr:uid="{00000000-0005-0000-0000-0000332C0000}"/>
    <cellStyle name="B_Left_HK P &amp; L (To Finance to compute tax) 15" xfId="7581" xr:uid="{00000000-0005-0000-0000-0000342C0000}"/>
    <cellStyle name="B_Left_HK P &amp; L (To Finance to compute tax) 15 2" xfId="7582" xr:uid="{00000000-0005-0000-0000-0000352C0000}"/>
    <cellStyle name="B_Left_HK P &amp; L (To Finance to compute tax) 16" xfId="7583" xr:uid="{00000000-0005-0000-0000-0000362C0000}"/>
    <cellStyle name="B_Left_HK P &amp; L (To Finance to compute tax) 16 2" xfId="7584" xr:uid="{00000000-0005-0000-0000-0000372C0000}"/>
    <cellStyle name="B_Left_HK P &amp; L (To Finance to compute tax) 17" xfId="7585" xr:uid="{00000000-0005-0000-0000-0000382C0000}"/>
    <cellStyle name="B_Left_HK P &amp; L (To Finance to compute tax) 17 2" xfId="7586" xr:uid="{00000000-0005-0000-0000-0000392C0000}"/>
    <cellStyle name="B_Left_HK P &amp; L (To Finance to compute tax) 18" xfId="7587" xr:uid="{00000000-0005-0000-0000-00003A2C0000}"/>
    <cellStyle name="B_Left_HK P &amp; L (To Finance to compute tax) 18 2" xfId="7588" xr:uid="{00000000-0005-0000-0000-00003B2C0000}"/>
    <cellStyle name="B_Left_HK P &amp; L (To Finance to compute tax) 19" xfId="7589" xr:uid="{00000000-0005-0000-0000-00003C2C0000}"/>
    <cellStyle name="B_Left_HK P &amp; L (To Finance to compute tax) 19 2" xfId="7590" xr:uid="{00000000-0005-0000-0000-00003D2C0000}"/>
    <cellStyle name="B_Left_HK P &amp; L (To Finance to compute tax) 2" xfId="7591" xr:uid="{00000000-0005-0000-0000-00003E2C0000}"/>
    <cellStyle name="B_Left_HK P &amp; L (To Finance to compute tax) 2 2" xfId="7592" xr:uid="{00000000-0005-0000-0000-00003F2C0000}"/>
    <cellStyle name="B_Left_HK P &amp; L (To Finance to compute tax) 20" xfId="7593" xr:uid="{00000000-0005-0000-0000-0000402C0000}"/>
    <cellStyle name="B_Left_HK P &amp; L (To Finance to compute tax) 20 2" xfId="7594" xr:uid="{00000000-0005-0000-0000-0000412C0000}"/>
    <cellStyle name="B_Left_HK P &amp; L (To Finance to compute tax) 21" xfId="7595" xr:uid="{00000000-0005-0000-0000-0000422C0000}"/>
    <cellStyle name="B_Left_HK P &amp; L (To Finance to compute tax) 21 2" xfId="7596" xr:uid="{00000000-0005-0000-0000-0000432C0000}"/>
    <cellStyle name="B_Left_HK P &amp; L (To Finance to compute tax) 22" xfId="7597" xr:uid="{00000000-0005-0000-0000-0000442C0000}"/>
    <cellStyle name="B_Left_HK P &amp; L (To Finance to compute tax) 22 2" xfId="7598" xr:uid="{00000000-0005-0000-0000-0000452C0000}"/>
    <cellStyle name="B_Left_HK P &amp; L (To Finance to compute tax) 23" xfId="7599" xr:uid="{00000000-0005-0000-0000-0000462C0000}"/>
    <cellStyle name="B_Left_HK P &amp; L (To Finance to compute tax) 23 2" xfId="7600" xr:uid="{00000000-0005-0000-0000-0000472C0000}"/>
    <cellStyle name="B_Left_HK P &amp; L (To Finance to compute tax) 24" xfId="7601" xr:uid="{00000000-0005-0000-0000-0000482C0000}"/>
    <cellStyle name="B_Left_HK P &amp; L (To Finance to compute tax) 3" xfId="7602" xr:uid="{00000000-0005-0000-0000-0000492C0000}"/>
    <cellStyle name="B_Left_HK P &amp; L (To Finance to compute tax) 3 2" xfId="7603" xr:uid="{00000000-0005-0000-0000-00004A2C0000}"/>
    <cellStyle name="B_Left_HK P &amp; L (To Finance to compute tax) 4" xfId="7604" xr:uid="{00000000-0005-0000-0000-00004B2C0000}"/>
    <cellStyle name="B_Left_HK P &amp; L (To Finance to compute tax) 4 2" xfId="7605" xr:uid="{00000000-0005-0000-0000-00004C2C0000}"/>
    <cellStyle name="B_Left_HK P &amp; L (To Finance to compute tax) 5" xfId="7606" xr:uid="{00000000-0005-0000-0000-00004D2C0000}"/>
    <cellStyle name="B_Left_HK P &amp; L (To Finance to compute tax) 5 2" xfId="7607" xr:uid="{00000000-0005-0000-0000-00004E2C0000}"/>
    <cellStyle name="B_Left_HK P &amp; L (To Finance to compute tax) 6" xfId="7608" xr:uid="{00000000-0005-0000-0000-00004F2C0000}"/>
    <cellStyle name="B_Left_HK P &amp; L (To Finance to compute tax) 6 2" xfId="7609" xr:uid="{00000000-0005-0000-0000-0000502C0000}"/>
    <cellStyle name="B_Left_HK P &amp; L (To Finance to compute tax) 7" xfId="7610" xr:uid="{00000000-0005-0000-0000-0000512C0000}"/>
    <cellStyle name="B_Left_HK P &amp; L (To Finance to compute tax) 7 2" xfId="7611" xr:uid="{00000000-0005-0000-0000-0000522C0000}"/>
    <cellStyle name="B_Left_HK P &amp; L (To Finance to compute tax) 8" xfId="7612" xr:uid="{00000000-0005-0000-0000-0000532C0000}"/>
    <cellStyle name="B_Left_HK P &amp; L (To Finance to compute tax) 8 2" xfId="7613" xr:uid="{00000000-0005-0000-0000-0000542C0000}"/>
    <cellStyle name="B_Left_HK P &amp; L (To Finance to compute tax) 9" xfId="7614" xr:uid="{00000000-0005-0000-0000-0000552C0000}"/>
    <cellStyle name="B_Left_HK P &amp; L (To Finance to compute tax) 9 2" xfId="7615" xr:uid="{00000000-0005-0000-0000-0000562C0000}"/>
    <cellStyle name="B_Left_HK P &amp; L (To Finance to compute tax)_PROD_DETAILS" xfId="7616" xr:uid="{00000000-0005-0000-0000-0000572C0000}"/>
    <cellStyle name="B_Left_HK P &amp; L (To Finance to compute tax)_PROD_DETAILS 2" xfId="7617" xr:uid="{00000000-0005-0000-0000-0000582C0000}"/>
    <cellStyle name="B_Left_HK P &amp; L (To Finance to compute tax)_SOLVENCY POSITION " xfId="7618" xr:uid="{00000000-0005-0000-0000-0000592C0000}"/>
    <cellStyle name="B_Left_HK P &amp; L (To Finance to compute tax)_SOLVENCY POSITION  2" xfId="7619" xr:uid="{00000000-0005-0000-0000-00005A2C0000}"/>
    <cellStyle name="B_Left_HK.EEV-Apr06v2" xfId="7620" xr:uid="{00000000-0005-0000-0000-00005B2C0000}"/>
    <cellStyle name="B_Left_HK.EEV-Apr06v2 10" xfId="7621" xr:uid="{00000000-0005-0000-0000-00005C2C0000}"/>
    <cellStyle name="B_Left_HK.EEV-Apr06v2 10 2" xfId="7622" xr:uid="{00000000-0005-0000-0000-00005D2C0000}"/>
    <cellStyle name="B_Left_HK.EEV-Apr06v2 11" xfId="7623" xr:uid="{00000000-0005-0000-0000-00005E2C0000}"/>
    <cellStyle name="B_Left_HK.EEV-Apr06v2 11 2" xfId="7624" xr:uid="{00000000-0005-0000-0000-00005F2C0000}"/>
    <cellStyle name="B_Left_HK.EEV-Apr06v2 12" xfId="7625" xr:uid="{00000000-0005-0000-0000-0000602C0000}"/>
    <cellStyle name="B_Left_HK.EEV-Apr06v2 12 2" xfId="7626" xr:uid="{00000000-0005-0000-0000-0000612C0000}"/>
    <cellStyle name="B_Left_HK.EEV-Apr06v2 13" xfId="7627" xr:uid="{00000000-0005-0000-0000-0000622C0000}"/>
    <cellStyle name="B_Left_HK.EEV-Apr06v2 13 2" xfId="7628" xr:uid="{00000000-0005-0000-0000-0000632C0000}"/>
    <cellStyle name="B_Left_HK.EEV-Apr06v2 14" xfId="7629" xr:uid="{00000000-0005-0000-0000-0000642C0000}"/>
    <cellStyle name="B_Left_HK.EEV-Apr06v2 14 2" xfId="7630" xr:uid="{00000000-0005-0000-0000-0000652C0000}"/>
    <cellStyle name="B_Left_HK.EEV-Apr06v2 15" xfId="7631" xr:uid="{00000000-0005-0000-0000-0000662C0000}"/>
    <cellStyle name="B_Left_HK.EEV-Apr06v2 15 2" xfId="7632" xr:uid="{00000000-0005-0000-0000-0000672C0000}"/>
    <cellStyle name="B_Left_HK.EEV-Apr06v2 16" xfId="7633" xr:uid="{00000000-0005-0000-0000-0000682C0000}"/>
    <cellStyle name="B_Left_HK.EEV-Apr06v2 16 2" xfId="7634" xr:uid="{00000000-0005-0000-0000-0000692C0000}"/>
    <cellStyle name="B_Left_HK.EEV-Apr06v2 17" xfId="7635" xr:uid="{00000000-0005-0000-0000-00006A2C0000}"/>
    <cellStyle name="B_Left_HK.EEV-Apr06v2 17 2" xfId="7636" xr:uid="{00000000-0005-0000-0000-00006B2C0000}"/>
    <cellStyle name="B_Left_HK.EEV-Apr06v2 18" xfId="7637" xr:uid="{00000000-0005-0000-0000-00006C2C0000}"/>
    <cellStyle name="B_Left_HK.EEV-Apr06v2 18 2" xfId="7638" xr:uid="{00000000-0005-0000-0000-00006D2C0000}"/>
    <cellStyle name="B_Left_HK.EEV-Apr06v2 19" xfId="7639" xr:uid="{00000000-0005-0000-0000-00006E2C0000}"/>
    <cellStyle name="B_Left_HK.EEV-Apr06v2 19 2" xfId="7640" xr:uid="{00000000-0005-0000-0000-00006F2C0000}"/>
    <cellStyle name="B_Left_HK.EEV-Apr06v2 2" xfId="7641" xr:uid="{00000000-0005-0000-0000-0000702C0000}"/>
    <cellStyle name="B_Left_HK.EEV-Apr06v2 2 2" xfId="7642" xr:uid="{00000000-0005-0000-0000-0000712C0000}"/>
    <cellStyle name="B_Left_HK.EEV-Apr06v2 20" xfId="7643" xr:uid="{00000000-0005-0000-0000-0000722C0000}"/>
    <cellStyle name="B_Left_HK.EEV-Apr06v2 20 2" xfId="7644" xr:uid="{00000000-0005-0000-0000-0000732C0000}"/>
    <cellStyle name="B_Left_HK.EEV-Apr06v2 21" xfId="7645" xr:uid="{00000000-0005-0000-0000-0000742C0000}"/>
    <cellStyle name="B_Left_HK.EEV-Apr06v2 21 2" xfId="7646" xr:uid="{00000000-0005-0000-0000-0000752C0000}"/>
    <cellStyle name="B_Left_HK.EEV-Apr06v2 22" xfId="7647" xr:uid="{00000000-0005-0000-0000-0000762C0000}"/>
    <cellStyle name="B_Left_HK.EEV-Apr06v2 22 2" xfId="7648" xr:uid="{00000000-0005-0000-0000-0000772C0000}"/>
    <cellStyle name="B_Left_HK.EEV-Apr06v2 23" xfId="7649" xr:uid="{00000000-0005-0000-0000-0000782C0000}"/>
    <cellStyle name="B_Left_HK.EEV-Apr06v2 23 2" xfId="7650" xr:uid="{00000000-0005-0000-0000-0000792C0000}"/>
    <cellStyle name="B_Left_HK.EEV-Apr06v2 24" xfId="7651" xr:uid="{00000000-0005-0000-0000-00007A2C0000}"/>
    <cellStyle name="B_Left_HK.EEV-Apr06v2 3" xfId="7652" xr:uid="{00000000-0005-0000-0000-00007B2C0000}"/>
    <cellStyle name="B_Left_HK.EEV-Apr06v2 3 2" xfId="7653" xr:uid="{00000000-0005-0000-0000-00007C2C0000}"/>
    <cellStyle name="B_Left_HK.EEV-Apr06v2 4" xfId="7654" xr:uid="{00000000-0005-0000-0000-00007D2C0000}"/>
    <cellStyle name="B_Left_HK.EEV-Apr06v2 4 2" xfId="7655" xr:uid="{00000000-0005-0000-0000-00007E2C0000}"/>
    <cellStyle name="B_Left_HK.EEV-Apr06v2 5" xfId="7656" xr:uid="{00000000-0005-0000-0000-00007F2C0000}"/>
    <cellStyle name="B_Left_HK.EEV-Apr06v2 5 2" xfId="7657" xr:uid="{00000000-0005-0000-0000-0000802C0000}"/>
    <cellStyle name="B_Left_HK.EEV-Apr06v2 6" xfId="7658" xr:uid="{00000000-0005-0000-0000-0000812C0000}"/>
    <cellStyle name="B_Left_HK.EEV-Apr06v2 6 2" xfId="7659" xr:uid="{00000000-0005-0000-0000-0000822C0000}"/>
    <cellStyle name="B_Left_HK.EEV-Apr06v2 7" xfId="7660" xr:uid="{00000000-0005-0000-0000-0000832C0000}"/>
    <cellStyle name="B_Left_HK.EEV-Apr06v2 7 2" xfId="7661" xr:uid="{00000000-0005-0000-0000-0000842C0000}"/>
    <cellStyle name="B_Left_HK.EEV-Apr06v2 8" xfId="7662" xr:uid="{00000000-0005-0000-0000-0000852C0000}"/>
    <cellStyle name="B_Left_HK.EEV-Apr06v2 8 2" xfId="7663" xr:uid="{00000000-0005-0000-0000-0000862C0000}"/>
    <cellStyle name="B_Left_HK.EEV-Apr06v2 9" xfId="7664" xr:uid="{00000000-0005-0000-0000-0000872C0000}"/>
    <cellStyle name="B_Left_HK.EEV-Apr06v2 9 2" xfId="7665" xr:uid="{00000000-0005-0000-0000-0000882C0000}"/>
    <cellStyle name="B_Left_HK.EEV-Apr06v2_HK.EEV-May06 4+2 kkh" xfId="7666" xr:uid="{00000000-0005-0000-0000-0000892C0000}"/>
    <cellStyle name="B_Left_HK.EEV-Apr06v2_HK.EEV-May06 4+2 kkh 10" xfId="7667" xr:uid="{00000000-0005-0000-0000-00008A2C0000}"/>
    <cellStyle name="B_Left_HK.EEV-Apr06v2_HK.EEV-May06 4+2 kkh 10 2" xfId="7668" xr:uid="{00000000-0005-0000-0000-00008B2C0000}"/>
    <cellStyle name="B_Left_HK.EEV-Apr06v2_HK.EEV-May06 4+2 kkh 11" xfId="7669" xr:uid="{00000000-0005-0000-0000-00008C2C0000}"/>
    <cellStyle name="B_Left_HK.EEV-Apr06v2_HK.EEV-May06 4+2 kkh 11 2" xfId="7670" xr:uid="{00000000-0005-0000-0000-00008D2C0000}"/>
    <cellStyle name="B_Left_HK.EEV-Apr06v2_HK.EEV-May06 4+2 kkh 12" xfId="7671" xr:uid="{00000000-0005-0000-0000-00008E2C0000}"/>
    <cellStyle name="B_Left_HK.EEV-Apr06v2_HK.EEV-May06 4+2 kkh 12 2" xfId="7672" xr:uid="{00000000-0005-0000-0000-00008F2C0000}"/>
    <cellStyle name="B_Left_HK.EEV-Apr06v2_HK.EEV-May06 4+2 kkh 13" xfId="7673" xr:uid="{00000000-0005-0000-0000-0000902C0000}"/>
    <cellStyle name="B_Left_HK.EEV-Apr06v2_HK.EEV-May06 4+2 kkh 13 2" xfId="7674" xr:uid="{00000000-0005-0000-0000-0000912C0000}"/>
    <cellStyle name="B_Left_HK.EEV-Apr06v2_HK.EEV-May06 4+2 kkh 14" xfId="7675" xr:uid="{00000000-0005-0000-0000-0000922C0000}"/>
    <cellStyle name="B_Left_HK.EEV-Apr06v2_HK.EEV-May06 4+2 kkh 14 2" xfId="7676" xr:uid="{00000000-0005-0000-0000-0000932C0000}"/>
    <cellStyle name="B_Left_HK.EEV-Apr06v2_HK.EEV-May06 4+2 kkh 15" xfId="7677" xr:uid="{00000000-0005-0000-0000-0000942C0000}"/>
    <cellStyle name="B_Left_HK.EEV-Apr06v2_HK.EEV-May06 4+2 kkh 15 2" xfId="7678" xr:uid="{00000000-0005-0000-0000-0000952C0000}"/>
    <cellStyle name="B_Left_HK.EEV-Apr06v2_HK.EEV-May06 4+2 kkh 16" xfId="7679" xr:uid="{00000000-0005-0000-0000-0000962C0000}"/>
    <cellStyle name="B_Left_HK.EEV-Apr06v2_HK.EEV-May06 4+2 kkh 16 2" xfId="7680" xr:uid="{00000000-0005-0000-0000-0000972C0000}"/>
    <cellStyle name="B_Left_HK.EEV-Apr06v2_HK.EEV-May06 4+2 kkh 17" xfId="7681" xr:uid="{00000000-0005-0000-0000-0000982C0000}"/>
    <cellStyle name="B_Left_HK.EEV-Apr06v2_HK.EEV-May06 4+2 kkh 17 2" xfId="7682" xr:uid="{00000000-0005-0000-0000-0000992C0000}"/>
    <cellStyle name="B_Left_HK.EEV-Apr06v2_HK.EEV-May06 4+2 kkh 18" xfId="7683" xr:uid="{00000000-0005-0000-0000-00009A2C0000}"/>
    <cellStyle name="B_Left_HK.EEV-Apr06v2_HK.EEV-May06 4+2 kkh 18 2" xfId="7684" xr:uid="{00000000-0005-0000-0000-00009B2C0000}"/>
    <cellStyle name="B_Left_HK.EEV-Apr06v2_HK.EEV-May06 4+2 kkh 19" xfId="7685" xr:uid="{00000000-0005-0000-0000-00009C2C0000}"/>
    <cellStyle name="B_Left_HK.EEV-Apr06v2_HK.EEV-May06 4+2 kkh 19 2" xfId="7686" xr:uid="{00000000-0005-0000-0000-00009D2C0000}"/>
    <cellStyle name="B_Left_HK.EEV-Apr06v2_HK.EEV-May06 4+2 kkh 2" xfId="7687" xr:uid="{00000000-0005-0000-0000-00009E2C0000}"/>
    <cellStyle name="B_Left_HK.EEV-Apr06v2_HK.EEV-May06 4+2 kkh 2 2" xfId="7688" xr:uid="{00000000-0005-0000-0000-00009F2C0000}"/>
    <cellStyle name="B_Left_HK.EEV-Apr06v2_HK.EEV-May06 4+2 kkh 20" xfId="7689" xr:uid="{00000000-0005-0000-0000-0000A02C0000}"/>
    <cellStyle name="B_Left_HK.EEV-Apr06v2_HK.EEV-May06 4+2 kkh 20 2" xfId="7690" xr:uid="{00000000-0005-0000-0000-0000A12C0000}"/>
    <cellStyle name="B_Left_HK.EEV-Apr06v2_HK.EEV-May06 4+2 kkh 21" xfId="7691" xr:uid="{00000000-0005-0000-0000-0000A22C0000}"/>
    <cellStyle name="B_Left_HK.EEV-Apr06v2_HK.EEV-May06 4+2 kkh 21 2" xfId="7692" xr:uid="{00000000-0005-0000-0000-0000A32C0000}"/>
    <cellStyle name="B_Left_HK.EEV-Apr06v2_HK.EEV-May06 4+2 kkh 22" xfId="7693" xr:uid="{00000000-0005-0000-0000-0000A42C0000}"/>
    <cellStyle name="B_Left_HK.EEV-Apr06v2_HK.EEV-May06 4+2 kkh 22 2" xfId="7694" xr:uid="{00000000-0005-0000-0000-0000A52C0000}"/>
    <cellStyle name="B_Left_HK.EEV-Apr06v2_HK.EEV-May06 4+2 kkh 23" xfId="7695" xr:uid="{00000000-0005-0000-0000-0000A62C0000}"/>
    <cellStyle name="B_Left_HK.EEV-Apr06v2_HK.EEV-May06 4+2 kkh 23 2" xfId="7696" xr:uid="{00000000-0005-0000-0000-0000A72C0000}"/>
    <cellStyle name="B_Left_HK.EEV-Apr06v2_HK.EEV-May06 4+2 kkh 24" xfId="7697" xr:uid="{00000000-0005-0000-0000-0000A82C0000}"/>
    <cellStyle name="B_Left_HK.EEV-Apr06v2_HK.EEV-May06 4+2 kkh 3" xfId="7698" xr:uid="{00000000-0005-0000-0000-0000A92C0000}"/>
    <cellStyle name="B_Left_HK.EEV-Apr06v2_HK.EEV-May06 4+2 kkh 3 2" xfId="7699" xr:uid="{00000000-0005-0000-0000-0000AA2C0000}"/>
    <cellStyle name="B_Left_HK.EEV-Apr06v2_HK.EEV-May06 4+2 kkh 4" xfId="7700" xr:uid="{00000000-0005-0000-0000-0000AB2C0000}"/>
    <cellStyle name="B_Left_HK.EEV-Apr06v2_HK.EEV-May06 4+2 kkh 4 2" xfId="7701" xr:uid="{00000000-0005-0000-0000-0000AC2C0000}"/>
    <cellStyle name="B_Left_HK.EEV-Apr06v2_HK.EEV-May06 4+2 kkh 5" xfId="7702" xr:uid="{00000000-0005-0000-0000-0000AD2C0000}"/>
    <cellStyle name="B_Left_HK.EEV-Apr06v2_HK.EEV-May06 4+2 kkh 5 2" xfId="7703" xr:uid="{00000000-0005-0000-0000-0000AE2C0000}"/>
    <cellStyle name="B_Left_HK.EEV-Apr06v2_HK.EEV-May06 4+2 kkh 6" xfId="7704" xr:uid="{00000000-0005-0000-0000-0000AF2C0000}"/>
    <cellStyle name="B_Left_HK.EEV-Apr06v2_HK.EEV-May06 4+2 kkh 6 2" xfId="7705" xr:uid="{00000000-0005-0000-0000-0000B02C0000}"/>
    <cellStyle name="B_Left_HK.EEV-Apr06v2_HK.EEV-May06 4+2 kkh 7" xfId="7706" xr:uid="{00000000-0005-0000-0000-0000B12C0000}"/>
    <cellStyle name="B_Left_HK.EEV-Apr06v2_HK.EEV-May06 4+2 kkh 7 2" xfId="7707" xr:uid="{00000000-0005-0000-0000-0000B22C0000}"/>
    <cellStyle name="B_Left_HK.EEV-Apr06v2_HK.EEV-May06 4+2 kkh 8" xfId="7708" xr:uid="{00000000-0005-0000-0000-0000B32C0000}"/>
    <cellStyle name="B_Left_HK.EEV-Apr06v2_HK.EEV-May06 4+2 kkh 8 2" xfId="7709" xr:uid="{00000000-0005-0000-0000-0000B42C0000}"/>
    <cellStyle name="B_Left_HK.EEV-Apr06v2_HK.EEV-May06 4+2 kkh 9" xfId="7710" xr:uid="{00000000-0005-0000-0000-0000B52C0000}"/>
    <cellStyle name="B_Left_HK.EEV-Apr06v2_HK.EEV-May06 4+2 kkh 9 2" xfId="7711" xr:uid="{00000000-0005-0000-0000-0000B62C0000}"/>
    <cellStyle name="B_Left_HK.EEV-Apr06v2_HK.EEV-May06 4+2 kkh_PROD_DETAILS" xfId="7712" xr:uid="{00000000-0005-0000-0000-0000B72C0000}"/>
    <cellStyle name="B_Left_HK.EEV-Apr06v2_HK.EEV-May06 4+2 kkh_PROD_DETAILS 2" xfId="7713" xr:uid="{00000000-0005-0000-0000-0000B82C0000}"/>
    <cellStyle name="B_Left_HK.EEV-Apr06v2_HK.EEV-May06 4+2 kkh_SOLVENCY POSITION " xfId="7714" xr:uid="{00000000-0005-0000-0000-0000B92C0000}"/>
    <cellStyle name="B_Left_HK.EEV-Apr06v2_HK.EEV-May06 4+2 kkh_SOLVENCY POSITION  2" xfId="7715" xr:uid="{00000000-0005-0000-0000-0000BA2C0000}"/>
    <cellStyle name="B_Left_HK.EEV-Apr06v2_PROD_DETAILS" xfId="7716" xr:uid="{00000000-0005-0000-0000-0000BB2C0000}"/>
    <cellStyle name="B_Left_HK.EEV-Apr06v2_PROD_DETAILS 2" xfId="7717" xr:uid="{00000000-0005-0000-0000-0000BC2C0000}"/>
    <cellStyle name="B_Left_HK.EEV-Apr06v2_SOLVENCY POSITION " xfId="7718" xr:uid="{00000000-0005-0000-0000-0000BD2C0000}"/>
    <cellStyle name="B_Left_HK.EEV-Apr06v2_SOLVENCY POSITION  2" xfId="7719" xr:uid="{00000000-0005-0000-0000-0000BE2C0000}"/>
    <cellStyle name="B_Left_HK.EEV-Jun06 07-09 2006 (QF3)" xfId="7720" xr:uid="{00000000-0005-0000-0000-0000BF2C0000}"/>
    <cellStyle name="B_Left_HK.EEV-Jun06 07-09 2006 (QF3) 10" xfId="7721" xr:uid="{00000000-0005-0000-0000-0000C02C0000}"/>
    <cellStyle name="B_Left_HK.EEV-Jun06 07-09 2006 (QF3) 10 2" xfId="7722" xr:uid="{00000000-0005-0000-0000-0000C12C0000}"/>
    <cellStyle name="B_Left_HK.EEV-Jun06 07-09 2006 (QF3) 11" xfId="7723" xr:uid="{00000000-0005-0000-0000-0000C22C0000}"/>
    <cellStyle name="B_Left_HK.EEV-Jun06 07-09 2006 (QF3) 11 2" xfId="7724" xr:uid="{00000000-0005-0000-0000-0000C32C0000}"/>
    <cellStyle name="B_Left_HK.EEV-Jun06 07-09 2006 (QF3) 12" xfId="7725" xr:uid="{00000000-0005-0000-0000-0000C42C0000}"/>
    <cellStyle name="B_Left_HK.EEV-Jun06 07-09 2006 (QF3) 12 2" xfId="7726" xr:uid="{00000000-0005-0000-0000-0000C52C0000}"/>
    <cellStyle name="B_Left_HK.EEV-Jun06 07-09 2006 (QF3) 13" xfId="7727" xr:uid="{00000000-0005-0000-0000-0000C62C0000}"/>
    <cellStyle name="B_Left_HK.EEV-Jun06 07-09 2006 (QF3) 13 2" xfId="7728" xr:uid="{00000000-0005-0000-0000-0000C72C0000}"/>
    <cellStyle name="B_Left_HK.EEV-Jun06 07-09 2006 (QF3) 14" xfId="7729" xr:uid="{00000000-0005-0000-0000-0000C82C0000}"/>
    <cellStyle name="B_Left_HK.EEV-Jun06 07-09 2006 (QF3) 14 2" xfId="7730" xr:uid="{00000000-0005-0000-0000-0000C92C0000}"/>
    <cellStyle name="B_Left_HK.EEV-Jun06 07-09 2006 (QF3) 15" xfId="7731" xr:uid="{00000000-0005-0000-0000-0000CA2C0000}"/>
    <cellStyle name="B_Left_HK.EEV-Jun06 07-09 2006 (QF3) 15 2" xfId="7732" xr:uid="{00000000-0005-0000-0000-0000CB2C0000}"/>
    <cellStyle name="B_Left_HK.EEV-Jun06 07-09 2006 (QF3) 16" xfId="7733" xr:uid="{00000000-0005-0000-0000-0000CC2C0000}"/>
    <cellStyle name="B_Left_HK.EEV-Jun06 07-09 2006 (QF3) 16 2" xfId="7734" xr:uid="{00000000-0005-0000-0000-0000CD2C0000}"/>
    <cellStyle name="B_Left_HK.EEV-Jun06 07-09 2006 (QF3) 17" xfId="7735" xr:uid="{00000000-0005-0000-0000-0000CE2C0000}"/>
    <cellStyle name="B_Left_HK.EEV-Jun06 07-09 2006 (QF3) 17 2" xfId="7736" xr:uid="{00000000-0005-0000-0000-0000CF2C0000}"/>
    <cellStyle name="B_Left_HK.EEV-Jun06 07-09 2006 (QF3) 18" xfId="7737" xr:uid="{00000000-0005-0000-0000-0000D02C0000}"/>
    <cellStyle name="B_Left_HK.EEV-Jun06 07-09 2006 (QF3) 18 2" xfId="7738" xr:uid="{00000000-0005-0000-0000-0000D12C0000}"/>
    <cellStyle name="B_Left_HK.EEV-Jun06 07-09 2006 (QF3) 19" xfId="7739" xr:uid="{00000000-0005-0000-0000-0000D22C0000}"/>
    <cellStyle name="B_Left_HK.EEV-Jun06 07-09 2006 (QF3) 19 2" xfId="7740" xr:uid="{00000000-0005-0000-0000-0000D32C0000}"/>
    <cellStyle name="B_Left_HK.EEV-Jun06 07-09 2006 (QF3) 2" xfId="7741" xr:uid="{00000000-0005-0000-0000-0000D42C0000}"/>
    <cellStyle name="B_Left_HK.EEV-Jun06 07-09 2006 (QF3) 2 2" xfId="7742" xr:uid="{00000000-0005-0000-0000-0000D52C0000}"/>
    <cellStyle name="B_Left_HK.EEV-Jun06 07-09 2006 (QF3) 20" xfId="7743" xr:uid="{00000000-0005-0000-0000-0000D62C0000}"/>
    <cellStyle name="B_Left_HK.EEV-Jun06 07-09 2006 (QF3) 20 2" xfId="7744" xr:uid="{00000000-0005-0000-0000-0000D72C0000}"/>
    <cellStyle name="B_Left_HK.EEV-Jun06 07-09 2006 (QF3) 21" xfId="7745" xr:uid="{00000000-0005-0000-0000-0000D82C0000}"/>
    <cellStyle name="B_Left_HK.EEV-Jun06 07-09 2006 (QF3) 21 2" xfId="7746" xr:uid="{00000000-0005-0000-0000-0000D92C0000}"/>
    <cellStyle name="B_Left_HK.EEV-Jun06 07-09 2006 (QF3) 22" xfId="7747" xr:uid="{00000000-0005-0000-0000-0000DA2C0000}"/>
    <cellStyle name="B_Left_HK.EEV-Jun06 07-09 2006 (QF3) 22 2" xfId="7748" xr:uid="{00000000-0005-0000-0000-0000DB2C0000}"/>
    <cellStyle name="B_Left_HK.EEV-Jun06 07-09 2006 (QF3) 23" xfId="7749" xr:uid="{00000000-0005-0000-0000-0000DC2C0000}"/>
    <cellStyle name="B_Left_HK.EEV-Jun06 07-09 2006 (QF3) 23 2" xfId="7750" xr:uid="{00000000-0005-0000-0000-0000DD2C0000}"/>
    <cellStyle name="B_Left_HK.EEV-Jun06 07-09 2006 (QF3) 24" xfId="7751" xr:uid="{00000000-0005-0000-0000-0000DE2C0000}"/>
    <cellStyle name="B_Left_HK.EEV-Jun06 07-09 2006 (QF3) 3" xfId="7752" xr:uid="{00000000-0005-0000-0000-0000DF2C0000}"/>
    <cellStyle name="B_Left_HK.EEV-Jun06 07-09 2006 (QF3) 3 2" xfId="7753" xr:uid="{00000000-0005-0000-0000-0000E02C0000}"/>
    <cellStyle name="B_Left_HK.EEV-Jun06 07-09 2006 (QF3) 4" xfId="7754" xr:uid="{00000000-0005-0000-0000-0000E12C0000}"/>
    <cellStyle name="B_Left_HK.EEV-Jun06 07-09 2006 (QF3) 4 2" xfId="7755" xr:uid="{00000000-0005-0000-0000-0000E22C0000}"/>
    <cellStyle name="B_Left_HK.EEV-Jun06 07-09 2006 (QF3) 5" xfId="7756" xr:uid="{00000000-0005-0000-0000-0000E32C0000}"/>
    <cellStyle name="B_Left_HK.EEV-Jun06 07-09 2006 (QF3) 5 2" xfId="7757" xr:uid="{00000000-0005-0000-0000-0000E42C0000}"/>
    <cellStyle name="B_Left_HK.EEV-Jun06 07-09 2006 (QF3) 6" xfId="7758" xr:uid="{00000000-0005-0000-0000-0000E52C0000}"/>
    <cellStyle name="B_Left_HK.EEV-Jun06 07-09 2006 (QF3) 6 2" xfId="7759" xr:uid="{00000000-0005-0000-0000-0000E62C0000}"/>
    <cellStyle name="B_Left_HK.EEV-Jun06 07-09 2006 (QF3) 7" xfId="7760" xr:uid="{00000000-0005-0000-0000-0000E72C0000}"/>
    <cellStyle name="B_Left_HK.EEV-Jun06 07-09 2006 (QF3) 7 2" xfId="7761" xr:uid="{00000000-0005-0000-0000-0000E82C0000}"/>
    <cellStyle name="B_Left_HK.EEV-Jun06 07-09 2006 (QF3) 8" xfId="7762" xr:uid="{00000000-0005-0000-0000-0000E92C0000}"/>
    <cellStyle name="B_Left_HK.EEV-Jun06 07-09 2006 (QF3) 8 2" xfId="7763" xr:uid="{00000000-0005-0000-0000-0000EA2C0000}"/>
    <cellStyle name="B_Left_HK.EEV-Jun06 07-09 2006 (QF3) 9" xfId="7764" xr:uid="{00000000-0005-0000-0000-0000EB2C0000}"/>
    <cellStyle name="B_Left_HK.EEV-Jun06 07-09 2006 (QF3) 9 2" xfId="7765" xr:uid="{00000000-0005-0000-0000-0000EC2C0000}"/>
    <cellStyle name="B_Left_HK.EEV-Jun06 07-09 2006 (QF3)_PROD_DETAILS" xfId="7766" xr:uid="{00000000-0005-0000-0000-0000ED2C0000}"/>
    <cellStyle name="B_Left_HK.EEV-Jun06 07-09 2006 (QF3)_PROD_DETAILS 2" xfId="7767" xr:uid="{00000000-0005-0000-0000-0000EE2C0000}"/>
    <cellStyle name="B_Left_HK.EEV-Jun06 07-09 2006 (QF3)_SOLVENCY POSITION " xfId="7768" xr:uid="{00000000-0005-0000-0000-0000EF2C0000}"/>
    <cellStyle name="B_Left_HK.EEV-Jun06 07-09 2006 (QF3)_SOLVENCY POSITION  2" xfId="7769" xr:uid="{00000000-0005-0000-0000-0000F02C0000}"/>
    <cellStyle name="B_Left_HK.EEV-May06 4+2" xfId="7770" xr:uid="{00000000-0005-0000-0000-0000F12C0000}"/>
    <cellStyle name="B_Left_HK.EEV-May06 4+2 10" xfId="7771" xr:uid="{00000000-0005-0000-0000-0000F22C0000}"/>
    <cellStyle name="B_Left_HK.EEV-May06 4+2 10 2" xfId="7772" xr:uid="{00000000-0005-0000-0000-0000F32C0000}"/>
    <cellStyle name="B_Left_HK.EEV-May06 4+2 11" xfId="7773" xr:uid="{00000000-0005-0000-0000-0000F42C0000}"/>
    <cellStyle name="B_Left_HK.EEV-May06 4+2 11 2" xfId="7774" xr:uid="{00000000-0005-0000-0000-0000F52C0000}"/>
    <cellStyle name="B_Left_HK.EEV-May06 4+2 12" xfId="7775" xr:uid="{00000000-0005-0000-0000-0000F62C0000}"/>
    <cellStyle name="B_Left_HK.EEV-May06 4+2 12 2" xfId="7776" xr:uid="{00000000-0005-0000-0000-0000F72C0000}"/>
    <cellStyle name="B_Left_HK.EEV-May06 4+2 13" xfId="7777" xr:uid="{00000000-0005-0000-0000-0000F82C0000}"/>
    <cellStyle name="B_Left_HK.EEV-May06 4+2 13 2" xfId="7778" xr:uid="{00000000-0005-0000-0000-0000F92C0000}"/>
    <cellStyle name="B_Left_HK.EEV-May06 4+2 14" xfId="7779" xr:uid="{00000000-0005-0000-0000-0000FA2C0000}"/>
    <cellStyle name="B_Left_HK.EEV-May06 4+2 14 2" xfId="7780" xr:uid="{00000000-0005-0000-0000-0000FB2C0000}"/>
    <cellStyle name="B_Left_HK.EEV-May06 4+2 15" xfId="7781" xr:uid="{00000000-0005-0000-0000-0000FC2C0000}"/>
    <cellStyle name="B_Left_HK.EEV-May06 4+2 15 2" xfId="7782" xr:uid="{00000000-0005-0000-0000-0000FD2C0000}"/>
    <cellStyle name="B_Left_HK.EEV-May06 4+2 16" xfId="7783" xr:uid="{00000000-0005-0000-0000-0000FE2C0000}"/>
    <cellStyle name="B_Left_HK.EEV-May06 4+2 16 2" xfId="7784" xr:uid="{00000000-0005-0000-0000-0000FF2C0000}"/>
    <cellStyle name="B_Left_HK.EEV-May06 4+2 17" xfId="7785" xr:uid="{00000000-0005-0000-0000-0000002D0000}"/>
    <cellStyle name="B_Left_HK.EEV-May06 4+2 17 2" xfId="7786" xr:uid="{00000000-0005-0000-0000-0000012D0000}"/>
    <cellStyle name="B_Left_HK.EEV-May06 4+2 18" xfId="7787" xr:uid="{00000000-0005-0000-0000-0000022D0000}"/>
    <cellStyle name="B_Left_HK.EEV-May06 4+2 18 2" xfId="7788" xr:uid="{00000000-0005-0000-0000-0000032D0000}"/>
    <cellStyle name="B_Left_HK.EEV-May06 4+2 19" xfId="7789" xr:uid="{00000000-0005-0000-0000-0000042D0000}"/>
    <cellStyle name="B_Left_HK.EEV-May06 4+2 19 2" xfId="7790" xr:uid="{00000000-0005-0000-0000-0000052D0000}"/>
    <cellStyle name="B_Left_HK.EEV-May06 4+2 2" xfId="7791" xr:uid="{00000000-0005-0000-0000-0000062D0000}"/>
    <cellStyle name="B_Left_HK.EEV-May06 4+2 2 2" xfId="7792" xr:uid="{00000000-0005-0000-0000-0000072D0000}"/>
    <cellStyle name="B_Left_HK.EEV-May06 4+2 20" xfId="7793" xr:uid="{00000000-0005-0000-0000-0000082D0000}"/>
    <cellStyle name="B_Left_HK.EEV-May06 4+2 20 2" xfId="7794" xr:uid="{00000000-0005-0000-0000-0000092D0000}"/>
    <cellStyle name="B_Left_HK.EEV-May06 4+2 21" xfId="7795" xr:uid="{00000000-0005-0000-0000-00000A2D0000}"/>
    <cellStyle name="B_Left_HK.EEV-May06 4+2 21 2" xfId="7796" xr:uid="{00000000-0005-0000-0000-00000B2D0000}"/>
    <cellStyle name="B_Left_HK.EEV-May06 4+2 22" xfId="7797" xr:uid="{00000000-0005-0000-0000-00000C2D0000}"/>
    <cellStyle name="B_Left_HK.EEV-May06 4+2 22 2" xfId="7798" xr:uid="{00000000-0005-0000-0000-00000D2D0000}"/>
    <cellStyle name="B_Left_HK.EEV-May06 4+2 23" xfId="7799" xr:uid="{00000000-0005-0000-0000-00000E2D0000}"/>
    <cellStyle name="B_Left_HK.EEV-May06 4+2 23 2" xfId="7800" xr:uid="{00000000-0005-0000-0000-00000F2D0000}"/>
    <cellStyle name="B_Left_HK.EEV-May06 4+2 24" xfId="7801" xr:uid="{00000000-0005-0000-0000-0000102D0000}"/>
    <cellStyle name="B_Left_HK.EEV-May06 4+2 3" xfId="7802" xr:uid="{00000000-0005-0000-0000-0000112D0000}"/>
    <cellStyle name="B_Left_HK.EEV-May06 4+2 3 2" xfId="7803" xr:uid="{00000000-0005-0000-0000-0000122D0000}"/>
    <cellStyle name="B_Left_HK.EEV-May06 4+2 4" xfId="7804" xr:uid="{00000000-0005-0000-0000-0000132D0000}"/>
    <cellStyle name="B_Left_HK.EEV-May06 4+2 4 2" xfId="7805" xr:uid="{00000000-0005-0000-0000-0000142D0000}"/>
    <cellStyle name="B_Left_HK.EEV-May06 4+2 5" xfId="7806" xr:uid="{00000000-0005-0000-0000-0000152D0000}"/>
    <cellStyle name="B_Left_HK.EEV-May06 4+2 5 2" xfId="7807" xr:uid="{00000000-0005-0000-0000-0000162D0000}"/>
    <cellStyle name="B_Left_HK.EEV-May06 4+2 6" xfId="7808" xr:uid="{00000000-0005-0000-0000-0000172D0000}"/>
    <cellStyle name="B_Left_HK.EEV-May06 4+2 6 2" xfId="7809" xr:uid="{00000000-0005-0000-0000-0000182D0000}"/>
    <cellStyle name="B_Left_HK.EEV-May06 4+2 7" xfId="7810" xr:uid="{00000000-0005-0000-0000-0000192D0000}"/>
    <cellStyle name="B_Left_HK.EEV-May06 4+2 7 2" xfId="7811" xr:uid="{00000000-0005-0000-0000-00001A2D0000}"/>
    <cellStyle name="B_Left_HK.EEV-May06 4+2 8" xfId="7812" xr:uid="{00000000-0005-0000-0000-00001B2D0000}"/>
    <cellStyle name="B_Left_HK.EEV-May06 4+2 8 2" xfId="7813" xr:uid="{00000000-0005-0000-0000-00001C2D0000}"/>
    <cellStyle name="B_Left_HK.EEV-May06 4+2 9" xfId="7814" xr:uid="{00000000-0005-0000-0000-00001D2D0000}"/>
    <cellStyle name="B_Left_HK.EEV-May06 4+2 9 2" xfId="7815" xr:uid="{00000000-0005-0000-0000-00001E2D0000}"/>
    <cellStyle name="B_Left_HK.EEV-May06 4+2_HK.EEV-May06 4+2 kkh" xfId="7816" xr:uid="{00000000-0005-0000-0000-00001F2D0000}"/>
    <cellStyle name="B_Left_HK.EEV-May06 4+2_HK.EEV-May06 4+2 kkh 10" xfId="7817" xr:uid="{00000000-0005-0000-0000-0000202D0000}"/>
    <cellStyle name="B_Left_HK.EEV-May06 4+2_HK.EEV-May06 4+2 kkh 10 2" xfId="7818" xr:uid="{00000000-0005-0000-0000-0000212D0000}"/>
    <cellStyle name="B_Left_HK.EEV-May06 4+2_HK.EEV-May06 4+2 kkh 11" xfId="7819" xr:uid="{00000000-0005-0000-0000-0000222D0000}"/>
    <cellStyle name="B_Left_HK.EEV-May06 4+2_HK.EEV-May06 4+2 kkh 11 2" xfId="7820" xr:uid="{00000000-0005-0000-0000-0000232D0000}"/>
    <cellStyle name="B_Left_HK.EEV-May06 4+2_HK.EEV-May06 4+2 kkh 12" xfId="7821" xr:uid="{00000000-0005-0000-0000-0000242D0000}"/>
    <cellStyle name="B_Left_HK.EEV-May06 4+2_HK.EEV-May06 4+2 kkh 12 2" xfId="7822" xr:uid="{00000000-0005-0000-0000-0000252D0000}"/>
    <cellStyle name="B_Left_HK.EEV-May06 4+2_HK.EEV-May06 4+2 kkh 13" xfId="7823" xr:uid="{00000000-0005-0000-0000-0000262D0000}"/>
    <cellStyle name="B_Left_HK.EEV-May06 4+2_HK.EEV-May06 4+2 kkh 13 2" xfId="7824" xr:uid="{00000000-0005-0000-0000-0000272D0000}"/>
    <cellStyle name="B_Left_HK.EEV-May06 4+2_HK.EEV-May06 4+2 kkh 14" xfId="7825" xr:uid="{00000000-0005-0000-0000-0000282D0000}"/>
    <cellStyle name="B_Left_HK.EEV-May06 4+2_HK.EEV-May06 4+2 kkh 14 2" xfId="7826" xr:uid="{00000000-0005-0000-0000-0000292D0000}"/>
    <cellStyle name="B_Left_HK.EEV-May06 4+2_HK.EEV-May06 4+2 kkh 15" xfId="7827" xr:uid="{00000000-0005-0000-0000-00002A2D0000}"/>
    <cellStyle name="B_Left_HK.EEV-May06 4+2_HK.EEV-May06 4+2 kkh 15 2" xfId="7828" xr:uid="{00000000-0005-0000-0000-00002B2D0000}"/>
    <cellStyle name="B_Left_HK.EEV-May06 4+2_HK.EEV-May06 4+2 kkh 16" xfId="7829" xr:uid="{00000000-0005-0000-0000-00002C2D0000}"/>
    <cellStyle name="B_Left_HK.EEV-May06 4+2_HK.EEV-May06 4+2 kkh 16 2" xfId="7830" xr:uid="{00000000-0005-0000-0000-00002D2D0000}"/>
    <cellStyle name="B_Left_HK.EEV-May06 4+2_HK.EEV-May06 4+2 kkh 17" xfId="7831" xr:uid="{00000000-0005-0000-0000-00002E2D0000}"/>
    <cellStyle name="B_Left_HK.EEV-May06 4+2_HK.EEV-May06 4+2 kkh 17 2" xfId="7832" xr:uid="{00000000-0005-0000-0000-00002F2D0000}"/>
    <cellStyle name="B_Left_HK.EEV-May06 4+2_HK.EEV-May06 4+2 kkh 18" xfId="7833" xr:uid="{00000000-0005-0000-0000-0000302D0000}"/>
    <cellStyle name="B_Left_HK.EEV-May06 4+2_HK.EEV-May06 4+2 kkh 18 2" xfId="7834" xr:uid="{00000000-0005-0000-0000-0000312D0000}"/>
    <cellStyle name="B_Left_HK.EEV-May06 4+2_HK.EEV-May06 4+2 kkh 19" xfId="7835" xr:uid="{00000000-0005-0000-0000-0000322D0000}"/>
    <cellStyle name="B_Left_HK.EEV-May06 4+2_HK.EEV-May06 4+2 kkh 19 2" xfId="7836" xr:uid="{00000000-0005-0000-0000-0000332D0000}"/>
    <cellStyle name="B_Left_HK.EEV-May06 4+2_HK.EEV-May06 4+2 kkh 2" xfId="7837" xr:uid="{00000000-0005-0000-0000-0000342D0000}"/>
    <cellStyle name="B_Left_HK.EEV-May06 4+2_HK.EEV-May06 4+2 kkh 2 2" xfId="7838" xr:uid="{00000000-0005-0000-0000-0000352D0000}"/>
    <cellStyle name="B_Left_HK.EEV-May06 4+2_HK.EEV-May06 4+2 kkh 20" xfId="7839" xr:uid="{00000000-0005-0000-0000-0000362D0000}"/>
    <cellStyle name="B_Left_HK.EEV-May06 4+2_HK.EEV-May06 4+2 kkh 20 2" xfId="7840" xr:uid="{00000000-0005-0000-0000-0000372D0000}"/>
    <cellStyle name="B_Left_HK.EEV-May06 4+2_HK.EEV-May06 4+2 kkh 21" xfId="7841" xr:uid="{00000000-0005-0000-0000-0000382D0000}"/>
    <cellStyle name="B_Left_HK.EEV-May06 4+2_HK.EEV-May06 4+2 kkh 21 2" xfId="7842" xr:uid="{00000000-0005-0000-0000-0000392D0000}"/>
    <cellStyle name="B_Left_HK.EEV-May06 4+2_HK.EEV-May06 4+2 kkh 22" xfId="7843" xr:uid="{00000000-0005-0000-0000-00003A2D0000}"/>
    <cellStyle name="B_Left_HK.EEV-May06 4+2_HK.EEV-May06 4+2 kkh 22 2" xfId="7844" xr:uid="{00000000-0005-0000-0000-00003B2D0000}"/>
    <cellStyle name="B_Left_HK.EEV-May06 4+2_HK.EEV-May06 4+2 kkh 23" xfId="7845" xr:uid="{00000000-0005-0000-0000-00003C2D0000}"/>
    <cellStyle name="B_Left_HK.EEV-May06 4+2_HK.EEV-May06 4+2 kkh 23 2" xfId="7846" xr:uid="{00000000-0005-0000-0000-00003D2D0000}"/>
    <cellStyle name="B_Left_HK.EEV-May06 4+2_HK.EEV-May06 4+2 kkh 24" xfId="7847" xr:uid="{00000000-0005-0000-0000-00003E2D0000}"/>
    <cellStyle name="B_Left_HK.EEV-May06 4+2_HK.EEV-May06 4+2 kkh 3" xfId="7848" xr:uid="{00000000-0005-0000-0000-00003F2D0000}"/>
    <cellStyle name="B_Left_HK.EEV-May06 4+2_HK.EEV-May06 4+2 kkh 3 2" xfId="7849" xr:uid="{00000000-0005-0000-0000-0000402D0000}"/>
    <cellStyle name="B_Left_HK.EEV-May06 4+2_HK.EEV-May06 4+2 kkh 4" xfId="7850" xr:uid="{00000000-0005-0000-0000-0000412D0000}"/>
    <cellStyle name="B_Left_HK.EEV-May06 4+2_HK.EEV-May06 4+2 kkh 4 2" xfId="7851" xr:uid="{00000000-0005-0000-0000-0000422D0000}"/>
    <cellStyle name="B_Left_HK.EEV-May06 4+2_HK.EEV-May06 4+2 kkh 5" xfId="7852" xr:uid="{00000000-0005-0000-0000-0000432D0000}"/>
    <cellStyle name="B_Left_HK.EEV-May06 4+2_HK.EEV-May06 4+2 kkh 5 2" xfId="7853" xr:uid="{00000000-0005-0000-0000-0000442D0000}"/>
    <cellStyle name="B_Left_HK.EEV-May06 4+2_HK.EEV-May06 4+2 kkh 6" xfId="7854" xr:uid="{00000000-0005-0000-0000-0000452D0000}"/>
    <cellStyle name="B_Left_HK.EEV-May06 4+2_HK.EEV-May06 4+2 kkh 6 2" xfId="7855" xr:uid="{00000000-0005-0000-0000-0000462D0000}"/>
    <cellStyle name="B_Left_HK.EEV-May06 4+2_HK.EEV-May06 4+2 kkh 7" xfId="7856" xr:uid="{00000000-0005-0000-0000-0000472D0000}"/>
    <cellStyle name="B_Left_HK.EEV-May06 4+2_HK.EEV-May06 4+2 kkh 7 2" xfId="7857" xr:uid="{00000000-0005-0000-0000-0000482D0000}"/>
    <cellStyle name="B_Left_HK.EEV-May06 4+2_HK.EEV-May06 4+2 kkh 8" xfId="7858" xr:uid="{00000000-0005-0000-0000-0000492D0000}"/>
    <cellStyle name="B_Left_HK.EEV-May06 4+2_HK.EEV-May06 4+2 kkh 8 2" xfId="7859" xr:uid="{00000000-0005-0000-0000-00004A2D0000}"/>
    <cellStyle name="B_Left_HK.EEV-May06 4+2_HK.EEV-May06 4+2 kkh 9" xfId="7860" xr:uid="{00000000-0005-0000-0000-00004B2D0000}"/>
    <cellStyle name="B_Left_HK.EEV-May06 4+2_HK.EEV-May06 4+2 kkh 9 2" xfId="7861" xr:uid="{00000000-0005-0000-0000-00004C2D0000}"/>
    <cellStyle name="B_Left_HK.EEV-May06 4+2_HK.EEV-May06 4+2 kkh_PROD_DETAILS" xfId="7862" xr:uid="{00000000-0005-0000-0000-00004D2D0000}"/>
    <cellStyle name="B_Left_HK.EEV-May06 4+2_HK.EEV-May06 4+2 kkh_PROD_DETAILS 2" xfId="7863" xr:uid="{00000000-0005-0000-0000-00004E2D0000}"/>
    <cellStyle name="B_Left_HK.EEV-May06 4+2_HK.EEV-May06 4+2 kkh_SOLVENCY POSITION " xfId="7864" xr:uid="{00000000-0005-0000-0000-00004F2D0000}"/>
    <cellStyle name="B_Left_HK.EEV-May06 4+2_HK.EEV-May06 4+2 kkh_SOLVENCY POSITION  2" xfId="7865" xr:uid="{00000000-0005-0000-0000-0000502D0000}"/>
    <cellStyle name="B_Left_HK.EEV-May06 4+2_PROD_DETAILS" xfId="7866" xr:uid="{00000000-0005-0000-0000-0000512D0000}"/>
    <cellStyle name="B_Left_HK.EEV-May06 4+2_PROD_DETAILS 2" xfId="7867" xr:uid="{00000000-0005-0000-0000-0000522D0000}"/>
    <cellStyle name="B_Left_HK.EEV-May06 4+2_SOLVENCY POSITION " xfId="7868" xr:uid="{00000000-0005-0000-0000-0000532D0000}"/>
    <cellStyle name="B_Left_HK.EEV-May06 4+2_SOLVENCY POSITION  2" xfId="7869" xr:uid="{00000000-0005-0000-0000-0000542D0000}"/>
    <cellStyle name="B_Left_HK.NBC@Mar2006" xfId="7870" xr:uid="{00000000-0005-0000-0000-0000552D0000}"/>
    <cellStyle name="B_Left_HK.NBC@Mar2006 10" xfId="7871" xr:uid="{00000000-0005-0000-0000-0000562D0000}"/>
    <cellStyle name="B_Left_HK.NBC@Mar2006 10 2" xfId="7872" xr:uid="{00000000-0005-0000-0000-0000572D0000}"/>
    <cellStyle name="B_Left_HK.NBC@Mar2006 11" xfId="7873" xr:uid="{00000000-0005-0000-0000-0000582D0000}"/>
    <cellStyle name="B_Left_HK.NBC@Mar2006 11 2" xfId="7874" xr:uid="{00000000-0005-0000-0000-0000592D0000}"/>
    <cellStyle name="B_Left_HK.NBC@Mar2006 12" xfId="7875" xr:uid="{00000000-0005-0000-0000-00005A2D0000}"/>
    <cellStyle name="B_Left_HK.NBC@Mar2006 12 2" xfId="7876" xr:uid="{00000000-0005-0000-0000-00005B2D0000}"/>
    <cellStyle name="B_Left_HK.NBC@Mar2006 13" xfId="7877" xr:uid="{00000000-0005-0000-0000-00005C2D0000}"/>
    <cellStyle name="B_Left_HK.NBC@Mar2006 13 2" xfId="7878" xr:uid="{00000000-0005-0000-0000-00005D2D0000}"/>
    <cellStyle name="B_Left_HK.NBC@Mar2006 14" xfId="7879" xr:uid="{00000000-0005-0000-0000-00005E2D0000}"/>
    <cellStyle name="B_Left_HK.NBC@Mar2006 14 2" xfId="7880" xr:uid="{00000000-0005-0000-0000-00005F2D0000}"/>
    <cellStyle name="B_Left_HK.NBC@Mar2006 15" xfId="7881" xr:uid="{00000000-0005-0000-0000-0000602D0000}"/>
    <cellStyle name="B_Left_HK.NBC@Mar2006 15 2" xfId="7882" xr:uid="{00000000-0005-0000-0000-0000612D0000}"/>
    <cellStyle name="B_Left_HK.NBC@Mar2006 16" xfId="7883" xr:uid="{00000000-0005-0000-0000-0000622D0000}"/>
    <cellStyle name="B_Left_HK.NBC@Mar2006 16 2" xfId="7884" xr:uid="{00000000-0005-0000-0000-0000632D0000}"/>
    <cellStyle name="B_Left_HK.NBC@Mar2006 17" xfId="7885" xr:uid="{00000000-0005-0000-0000-0000642D0000}"/>
    <cellStyle name="B_Left_HK.NBC@Mar2006 17 2" xfId="7886" xr:uid="{00000000-0005-0000-0000-0000652D0000}"/>
    <cellStyle name="B_Left_HK.NBC@Mar2006 18" xfId="7887" xr:uid="{00000000-0005-0000-0000-0000662D0000}"/>
    <cellStyle name="B_Left_HK.NBC@Mar2006 18 2" xfId="7888" xr:uid="{00000000-0005-0000-0000-0000672D0000}"/>
    <cellStyle name="B_Left_HK.NBC@Mar2006 19" xfId="7889" xr:uid="{00000000-0005-0000-0000-0000682D0000}"/>
    <cellStyle name="B_Left_HK.NBC@Mar2006 19 2" xfId="7890" xr:uid="{00000000-0005-0000-0000-0000692D0000}"/>
    <cellStyle name="B_Left_HK.NBC@Mar2006 2" xfId="7891" xr:uid="{00000000-0005-0000-0000-00006A2D0000}"/>
    <cellStyle name="B_Left_HK.NBC@Mar2006 2 2" xfId="7892" xr:uid="{00000000-0005-0000-0000-00006B2D0000}"/>
    <cellStyle name="B_Left_HK.NBC@Mar2006 20" xfId="7893" xr:uid="{00000000-0005-0000-0000-00006C2D0000}"/>
    <cellStyle name="B_Left_HK.NBC@Mar2006 20 2" xfId="7894" xr:uid="{00000000-0005-0000-0000-00006D2D0000}"/>
    <cellStyle name="B_Left_HK.NBC@Mar2006 21" xfId="7895" xr:uid="{00000000-0005-0000-0000-00006E2D0000}"/>
    <cellStyle name="B_Left_HK.NBC@Mar2006 21 2" xfId="7896" xr:uid="{00000000-0005-0000-0000-00006F2D0000}"/>
    <cellStyle name="B_Left_HK.NBC@Mar2006 22" xfId="7897" xr:uid="{00000000-0005-0000-0000-0000702D0000}"/>
    <cellStyle name="B_Left_HK.NBC@Mar2006 22 2" xfId="7898" xr:uid="{00000000-0005-0000-0000-0000712D0000}"/>
    <cellStyle name="B_Left_HK.NBC@Mar2006 23" xfId="7899" xr:uid="{00000000-0005-0000-0000-0000722D0000}"/>
    <cellStyle name="B_Left_HK.NBC@Mar2006 23 2" xfId="7900" xr:uid="{00000000-0005-0000-0000-0000732D0000}"/>
    <cellStyle name="B_Left_HK.NBC@Mar2006 24" xfId="7901" xr:uid="{00000000-0005-0000-0000-0000742D0000}"/>
    <cellStyle name="B_Left_HK.NBC@Mar2006 3" xfId="7902" xr:uid="{00000000-0005-0000-0000-0000752D0000}"/>
    <cellStyle name="B_Left_HK.NBC@Mar2006 3 2" xfId="7903" xr:uid="{00000000-0005-0000-0000-0000762D0000}"/>
    <cellStyle name="B_Left_HK.NBC@Mar2006 4" xfId="7904" xr:uid="{00000000-0005-0000-0000-0000772D0000}"/>
    <cellStyle name="B_Left_HK.NBC@Mar2006 4 2" xfId="7905" xr:uid="{00000000-0005-0000-0000-0000782D0000}"/>
    <cellStyle name="B_Left_HK.NBC@Mar2006 5" xfId="7906" xr:uid="{00000000-0005-0000-0000-0000792D0000}"/>
    <cellStyle name="B_Left_HK.NBC@Mar2006 5 2" xfId="7907" xr:uid="{00000000-0005-0000-0000-00007A2D0000}"/>
    <cellStyle name="B_Left_HK.NBC@Mar2006 6" xfId="7908" xr:uid="{00000000-0005-0000-0000-00007B2D0000}"/>
    <cellStyle name="B_Left_HK.NBC@Mar2006 6 2" xfId="7909" xr:uid="{00000000-0005-0000-0000-00007C2D0000}"/>
    <cellStyle name="B_Left_HK.NBC@Mar2006 7" xfId="7910" xr:uid="{00000000-0005-0000-0000-00007D2D0000}"/>
    <cellStyle name="B_Left_HK.NBC@Mar2006 7 2" xfId="7911" xr:uid="{00000000-0005-0000-0000-00007E2D0000}"/>
    <cellStyle name="B_Left_HK.NBC@Mar2006 8" xfId="7912" xr:uid="{00000000-0005-0000-0000-00007F2D0000}"/>
    <cellStyle name="B_Left_HK.NBC@Mar2006 8 2" xfId="7913" xr:uid="{00000000-0005-0000-0000-0000802D0000}"/>
    <cellStyle name="B_Left_HK.NBC@Mar2006 9" xfId="7914" xr:uid="{00000000-0005-0000-0000-0000812D0000}"/>
    <cellStyle name="B_Left_HK.NBC@Mar2006 9 2" xfId="7915" xr:uid="{00000000-0005-0000-0000-0000822D0000}"/>
    <cellStyle name="B_Left_HK.NBC@Mar2006_HK.EEV-May06 4+2 kkh" xfId="7916" xr:uid="{00000000-0005-0000-0000-0000832D0000}"/>
    <cellStyle name="B_Left_HK.NBC@Mar2006_HK.EEV-May06 4+2 kkh 10" xfId="7917" xr:uid="{00000000-0005-0000-0000-0000842D0000}"/>
    <cellStyle name="B_Left_HK.NBC@Mar2006_HK.EEV-May06 4+2 kkh 10 2" xfId="7918" xr:uid="{00000000-0005-0000-0000-0000852D0000}"/>
    <cellStyle name="B_Left_HK.NBC@Mar2006_HK.EEV-May06 4+2 kkh 11" xfId="7919" xr:uid="{00000000-0005-0000-0000-0000862D0000}"/>
    <cellStyle name="B_Left_HK.NBC@Mar2006_HK.EEV-May06 4+2 kkh 11 2" xfId="7920" xr:uid="{00000000-0005-0000-0000-0000872D0000}"/>
    <cellStyle name="B_Left_HK.NBC@Mar2006_HK.EEV-May06 4+2 kkh 12" xfId="7921" xr:uid="{00000000-0005-0000-0000-0000882D0000}"/>
    <cellStyle name="B_Left_HK.NBC@Mar2006_HK.EEV-May06 4+2 kkh 12 2" xfId="7922" xr:uid="{00000000-0005-0000-0000-0000892D0000}"/>
    <cellStyle name="B_Left_HK.NBC@Mar2006_HK.EEV-May06 4+2 kkh 13" xfId="7923" xr:uid="{00000000-0005-0000-0000-00008A2D0000}"/>
    <cellStyle name="B_Left_HK.NBC@Mar2006_HK.EEV-May06 4+2 kkh 13 2" xfId="7924" xr:uid="{00000000-0005-0000-0000-00008B2D0000}"/>
    <cellStyle name="B_Left_HK.NBC@Mar2006_HK.EEV-May06 4+2 kkh 14" xfId="7925" xr:uid="{00000000-0005-0000-0000-00008C2D0000}"/>
    <cellStyle name="B_Left_HK.NBC@Mar2006_HK.EEV-May06 4+2 kkh 14 2" xfId="7926" xr:uid="{00000000-0005-0000-0000-00008D2D0000}"/>
    <cellStyle name="B_Left_HK.NBC@Mar2006_HK.EEV-May06 4+2 kkh 15" xfId="7927" xr:uid="{00000000-0005-0000-0000-00008E2D0000}"/>
    <cellStyle name="B_Left_HK.NBC@Mar2006_HK.EEV-May06 4+2 kkh 15 2" xfId="7928" xr:uid="{00000000-0005-0000-0000-00008F2D0000}"/>
    <cellStyle name="B_Left_HK.NBC@Mar2006_HK.EEV-May06 4+2 kkh 16" xfId="7929" xr:uid="{00000000-0005-0000-0000-0000902D0000}"/>
    <cellStyle name="B_Left_HK.NBC@Mar2006_HK.EEV-May06 4+2 kkh 16 2" xfId="7930" xr:uid="{00000000-0005-0000-0000-0000912D0000}"/>
    <cellStyle name="B_Left_HK.NBC@Mar2006_HK.EEV-May06 4+2 kkh 17" xfId="7931" xr:uid="{00000000-0005-0000-0000-0000922D0000}"/>
    <cellStyle name="B_Left_HK.NBC@Mar2006_HK.EEV-May06 4+2 kkh 17 2" xfId="7932" xr:uid="{00000000-0005-0000-0000-0000932D0000}"/>
    <cellStyle name="B_Left_HK.NBC@Mar2006_HK.EEV-May06 4+2 kkh 18" xfId="7933" xr:uid="{00000000-0005-0000-0000-0000942D0000}"/>
    <cellStyle name="B_Left_HK.NBC@Mar2006_HK.EEV-May06 4+2 kkh 18 2" xfId="7934" xr:uid="{00000000-0005-0000-0000-0000952D0000}"/>
    <cellStyle name="B_Left_HK.NBC@Mar2006_HK.EEV-May06 4+2 kkh 19" xfId="7935" xr:uid="{00000000-0005-0000-0000-0000962D0000}"/>
    <cellStyle name="B_Left_HK.NBC@Mar2006_HK.EEV-May06 4+2 kkh 19 2" xfId="7936" xr:uid="{00000000-0005-0000-0000-0000972D0000}"/>
    <cellStyle name="B_Left_HK.NBC@Mar2006_HK.EEV-May06 4+2 kkh 2" xfId="7937" xr:uid="{00000000-0005-0000-0000-0000982D0000}"/>
    <cellStyle name="B_Left_HK.NBC@Mar2006_HK.EEV-May06 4+2 kkh 2 2" xfId="7938" xr:uid="{00000000-0005-0000-0000-0000992D0000}"/>
    <cellStyle name="B_Left_HK.NBC@Mar2006_HK.EEV-May06 4+2 kkh 20" xfId="7939" xr:uid="{00000000-0005-0000-0000-00009A2D0000}"/>
    <cellStyle name="B_Left_HK.NBC@Mar2006_HK.EEV-May06 4+2 kkh 20 2" xfId="7940" xr:uid="{00000000-0005-0000-0000-00009B2D0000}"/>
    <cellStyle name="B_Left_HK.NBC@Mar2006_HK.EEV-May06 4+2 kkh 21" xfId="7941" xr:uid="{00000000-0005-0000-0000-00009C2D0000}"/>
    <cellStyle name="B_Left_HK.NBC@Mar2006_HK.EEV-May06 4+2 kkh 21 2" xfId="7942" xr:uid="{00000000-0005-0000-0000-00009D2D0000}"/>
    <cellStyle name="B_Left_HK.NBC@Mar2006_HK.EEV-May06 4+2 kkh 22" xfId="7943" xr:uid="{00000000-0005-0000-0000-00009E2D0000}"/>
    <cellStyle name="B_Left_HK.NBC@Mar2006_HK.EEV-May06 4+2 kkh 22 2" xfId="7944" xr:uid="{00000000-0005-0000-0000-00009F2D0000}"/>
    <cellStyle name="B_Left_HK.NBC@Mar2006_HK.EEV-May06 4+2 kkh 23" xfId="7945" xr:uid="{00000000-0005-0000-0000-0000A02D0000}"/>
    <cellStyle name="B_Left_HK.NBC@Mar2006_HK.EEV-May06 4+2 kkh 23 2" xfId="7946" xr:uid="{00000000-0005-0000-0000-0000A12D0000}"/>
    <cellStyle name="B_Left_HK.NBC@Mar2006_HK.EEV-May06 4+2 kkh 24" xfId="7947" xr:uid="{00000000-0005-0000-0000-0000A22D0000}"/>
    <cellStyle name="B_Left_HK.NBC@Mar2006_HK.EEV-May06 4+2 kkh 3" xfId="7948" xr:uid="{00000000-0005-0000-0000-0000A32D0000}"/>
    <cellStyle name="B_Left_HK.NBC@Mar2006_HK.EEV-May06 4+2 kkh 3 2" xfId="7949" xr:uid="{00000000-0005-0000-0000-0000A42D0000}"/>
    <cellStyle name="B_Left_HK.NBC@Mar2006_HK.EEV-May06 4+2 kkh 4" xfId="7950" xr:uid="{00000000-0005-0000-0000-0000A52D0000}"/>
    <cellStyle name="B_Left_HK.NBC@Mar2006_HK.EEV-May06 4+2 kkh 4 2" xfId="7951" xr:uid="{00000000-0005-0000-0000-0000A62D0000}"/>
    <cellStyle name="B_Left_HK.NBC@Mar2006_HK.EEV-May06 4+2 kkh 5" xfId="7952" xr:uid="{00000000-0005-0000-0000-0000A72D0000}"/>
    <cellStyle name="B_Left_HK.NBC@Mar2006_HK.EEV-May06 4+2 kkh 5 2" xfId="7953" xr:uid="{00000000-0005-0000-0000-0000A82D0000}"/>
    <cellStyle name="B_Left_HK.NBC@Mar2006_HK.EEV-May06 4+2 kkh 6" xfId="7954" xr:uid="{00000000-0005-0000-0000-0000A92D0000}"/>
    <cellStyle name="B_Left_HK.NBC@Mar2006_HK.EEV-May06 4+2 kkh 6 2" xfId="7955" xr:uid="{00000000-0005-0000-0000-0000AA2D0000}"/>
    <cellStyle name="B_Left_HK.NBC@Mar2006_HK.EEV-May06 4+2 kkh 7" xfId="7956" xr:uid="{00000000-0005-0000-0000-0000AB2D0000}"/>
    <cellStyle name="B_Left_HK.NBC@Mar2006_HK.EEV-May06 4+2 kkh 7 2" xfId="7957" xr:uid="{00000000-0005-0000-0000-0000AC2D0000}"/>
    <cellStyle name="B_Left_HK.NBC@Mar2006_HK.EEV-May06 4+2 kkh 8" xfId="7958" xr:uid="{00000000-0005-0000-0000-0000AD2D0000}"/>
    <cellStyle name="B_Left_HK.NBC@Mar2006_HK.EEV-May06 4+2 kkh 8 2" xfId="7959" xr:uid="{00000000-0005-0000-0000-0000AE2D0000}"/>
    <cellStyle name="B_Left_HK.NBC@Mar2006_HK.EEV-May06 4+2 kkh 9" xfId="7960" xr:uid="{00000000-0005-0000-0000-0000AF2D0000}"/>
    <cellStyle name="B_Left_HK.NBC@Mar2006_HK.EEV-May06 4+2 kkh 9 2" xfId="7961" xr:uid="{00000000-0005-0000-0000-0000B02D0000}"/>
    <cellStyle name="B_Left_HK.NBC@Mar2006_HK.EEV-May06 4+2 kkh_PROD_DETAILS" xfId="7962" xr:uid="{00000000-0005-0000-0000-0000B12D0000}"/>
    <cellStyle name="B_Left_HK.NBC@Mar2006_HK.EEV-May06 4+2 kkh_PROD_DETAILS 2" xfId="7963" xr:uid="{00000000-0005-0000-0000-0000B22D0000}"/>
    <cellStyle name="B_Left_HK.NBC@Mar2006_HK.EEV-May06 4+2 kkh_SOLVENCY POSITION " xfId="7964" xr:uid="{00000000-0005-0000-0000-0000B32D0000}"/>
    <cellStyle name="B_Left_HK.NBC@Mar2006_HK.EEV-May06 4+2 kkh_SOLVENCY POSITION  2" xfId="7965" xr:uid="{00000000-0005-0000-0000-0000B42D0000}"/>
    <cellStyle name="B_Left_HK.NBC@Mar2006_PROD_DETAILS" xfId="7966" xr:uid="{00000000-0005-0000-0000-0000B52D0000}"/>
    <cellStyle name="B_Left_HK.NBC@Mar2006_PROD_DETAILS 2" xfId="7967" xr:uid="{00000000-0005-0000-0000-0000B62D0000}"/>
    <cellStyle name="B_Left_HK.NBC@Mar2006_SOLVENCY POSITION " xfId="7968" xr:uid="{00000000-0005-0000-0000-0000B72D0000}"/>
    <cellStyle name="B_Left_HK.NBC@Mar2006_SOLVENCY POSITION  2" xfId="7969" xr:uid="{00000000-0005-0000-0000-0000B82D0000}"/>
    <cellStyle name="B_Left_HK_NBC@Dec2007(New Lapse)Final" xfId="7970" xr:uid="{00000000-0005-0000-0000-0000B92D0000}"/>
    <cellStyle name="B_Left_HK_NBC@Dec2007(New Lapse)Final 10" xfId="7971" xr:uid="{00000000-0005-0000-0000-0000BA2D0000}"/>
    <cellStyle name="B_Left_HK_NBC@Dec2007(New Lapse)Final 10 2" xfId="7972" xr:uid="{00000000-0005-0000-0000-0000BB2D0000}"/>
    <cellStyle name="B_Left_HK_NBC@Dec2007(New Lapse)Final 11" xfId="7973" xr:uid="{00000000-0005-0000-0000-0000BC2D0000}"/>
    <cellStyle name="B_Left_HK_NBC@Dec2007(New Lapse)Final 11 2" xfId="7974" xr:uid="{00000000-0005-0000-0000-0000BD2D0000}"/>
    <cellStyle name="B_Left_HK_NBC@Dec2007(New Lapse)Final 12" xfId="7975" xr:uid="{00000000-0005-0000-0000-0000BE2D0000}"/>
    <cellStyle name="B_Left_HK_NBC@Dec2007(New Lapse)Final 12 2" xfId="7976" xr:uid="{00000000-0005-0000-0000-0000BF2D0000}"/>
    <cellStyle name="B_Left_HK_NBC@Dec2007(New Lapse)Final 13" xfId="7977" xr:uid="{00000000-0005-0000-0000-0000C02D0000}"/>
    <cellStyle name="B_Left_HK_NBC@Dec2007(New Lapse)Final 13 2" xfId="7978" xr:uid="{00000000-0005-0000-0000-0000C12D0000}"/>
    <cellStyle name="B_Left_HK_NBC@Dec2007(New Lapse)Final 14" xfId="7979" xr:uid="{00000000-0005-0000-0000-0000C22D0000}"/>
    <cellStyle name="B_Left_HK_NBC@Dec2007(New Lapse)Final 14 2" xfId="7980" xr:uid="{00000000-0005-0000-0000-0000C32D0000}"/>
    <cellStyle name="B_Left_HK_NBC@Dec2007(New Lapse)Final 15" xfId="7981" xr:uid="{00000000-0005-0000-0000-0000C42D0000}"/>
    <cellStyle name="B_Left_HK_NBC@Dec2007(New Lapse)Final 15 2" xfId="7982" xr:uid="{00000000-0005-0000-0000-0000C52D0000}"/>
    <cellStyle name="B_Left_HK_NBC@Dec2007(New Lapse)Final 16" xfId="7983" xr:uid="{00000000-0005-0000-0000-0000C62D0000}"/>
    <cellStyle name="B_Left_HK_NBC@Dec2007(New Lapse)Final 16 2" xfId="7984" xr:uid="{00000000-0005-0000-0000-0000C72D0000}"/>
    <cellStyle name="B_Left_HK_NBC@Dec2007(New Lapse)Final 17" xfId="7985" xr:uid="{00000000-0005-0000-0000-0000C82D0000}"/>
    <cellStyle name="B_Left_HK_NBC@Dec2007(New Lapse)Final 17 2" xfId="7986" xr:uid="{00000000-0005-0000-0000-0000C92D0000}"/>
    <cellStyle name="B_Left_HK_NBC@Dec2007(New Lapse)Final 18" xfId="7987" xr:uid="{00000000-0005-0000-0000-0000CA2D0000}"/>
    <cellStyle name="B_Left_HK_NBC@Dec2007(New Lapse)Final 18 2" xfId="7988" xr:uid="{00000000-0005-0000-0000-0000CB2D0000}"/>
    <cellStyle name="B_Left_HK_NBC@Dec2007(New Lapse)Final 19" xfId="7989" xr:uid="{00000000-0005-0000-0000-0000CC2D0000}"/>
    <cellStyle name="B_Left_HK_NBC@Dec2007(New Lapse)Final 19 2" xfId="7990" xr:uid="{00000000-0005-0000-0000-0000CD2D0000}"/>
    <cellStyle name="B_Left_HK_NBC@Dec2007(New Lapse)Final 2" xfId="7991" xr:uid="{00000000-0005-0000-0000-0000CE2D0000}"/>
    <cellStyle name="B_Left_HK_NBC@Dec2007(New Lapse)Final 2 2" xfId="7992" xr:uid="{00000000-0005-0000-0000-0000CF2D0000}"/>
    <cellStyle name="B_Left_HK_NBC@Dec2007(New Lapse)Final 20" xfId="7993" xr:uid="{00000000-0005-0000-0000-0000D02D0000}"/>
    <cellStyle name="B_Left_HK_NBC@Dec2007(New Lapse)Final 20 2" xfId="7994" xr:uid="{00000000-0005-0000-0000-0000D12D0000}"/>
    <cellStyle name="B_Left_HK_NBC@Dec2007(New Lapse)Final 21" xfId="7995" xr:uid="{00000000-0005-0000-0000-0000D22D0000}"/>
    <cellStyle name="B_Left_HK_NBC@Dec2007(New Lapse)Final 21 2" xfId="7996" xr:uid="{00000000-0005-0000-0000-0000D32D0000}"/>
    <cellStyle name="B_Left_HK_NBC@Dec2007(New Lapse)Final 22" xfId="7997" xr:uid="{00000000-0005-0000-0000-0000D42D0000}"/>
    <cellStyle name="B_Left_HK_NBC@Dec2007(New Lapse)Final 22 2" xfId="7998" xr:uid="{00000000-0005-0000-0000-0000D52D0000}"/>
    <cellStyle name="B_Left_HK_NBC@Dec2007(New Lapse)Final 23" xfId="7999" xr:uid="{00000000-0005-0000-0000-0000D62D0000}"/>
    <cellStyle name="B_Left_HK_NBC@Dec2007(New Lapse)Final 23 2" xfId="8000" xr:uid="{00000000-0005-0000-0000-0000D72D0000}"/>
    <cellStyle name="B_Left_HK_NBC@Dec2007(New Lapse)Final 24" xfId="8001" xr:uid="{00000000-0005-0000-0000-0000D82D0000}"/>
    <cellStyle name="B_Left_HK_NBC@Dec2007(New Lapse)Final 3" xfId="8002" xr:uid="{00000000-0005-0000-0000-0000D92D0000}"/>
    <cellStyle name="B_Left_HK_NBC@Dec2007(New Lapse)Final 3 2" xfId="8003" xr:uid="{00000000-0005-0000-0000-0000DA2D0000}"/>
    <cellStyle name="B_Left_HK_NBC@Dec2007(New Lapse)Final 4" xfId="8004" xr:uid="{00000000-0005-0000-0000-0000DB2D0000}"/>
    <cellStyle name="B_Left_HK_NBC@Dec2007(New Lapse)Final 4 2" xfId="8005" xr:uid="{00000000-0005-0000-0000-0000DC2D0000}"/>
    <cellStyle name="B_Left_HK_NBC@Dec2007(New Lapse)Final 5" xfId="8006" xr:uid="{00000000-0005-0000-0000-0000DD2D0000}"/>
    <cellStyle name="B_Left_HK_NBC@Dec2007(New Lapse)Final 5 2" xfId="8007" xr:uid="{00000000-0005-0000-0000-0000DE2D0000}"/>
    <cellStyle name="B_Left_HK_NBC@Dec2007(New Lapse)Final 6" xfId="8008" xr:uid="{00000000-0005-0000-0000-0000DF2D0000}"/>
    <cellStyle name="B_Left_HK_NBC@Dec2007(New Lapse)Final 6 2" xfId="8009" xr:uid="{00000000-0005-0000-0000-0000E02D0000}"/>
    <cellStyle name="B_Left_HK_NBC@Dec2007(New Lapse)Final 7" xfId="8010" xr:uid="{00000000-0005-0000-0000-0000E12D0000}"/>
    <cellStyle name="B_Left_HK_NBC@Dec2007(New Lapse)Final 7 2" xfId="8011" xr:uid="{00000000-0005-0000-0000-0000E22D0000}"/>
    <cellStyle name="B_Left_HK_NBC@Dec2007(New Lapse)Final 8" xfId="8012" xr:uid="{00000000-0005-0000-0000-0000E32D0000}"/>
    <cellStyle name="B_Left_HK_NBC@Dec2007(New Lapse)Final 8 2" xfId="8013" xr:uid="{00000000-0005-0000-0000-0000E42D0000}"/>
    <cellStyle name="B_Left_HK_NBC@Dec2007(New Lapse)Final 9" xfId="8014" xr:uid="{00000000-0005-0000-0000-0000E52D0000}"/>
    <cellStyle name="B_Left_HK_NBC@Dec2007(New Lapse)Final 9 2" xfId="8015" xr:uid="{00000000-0005-0000-0000-0000E62D0000}"/>
    <cellStyle name="B_Left_HK_NBC@Dec2007(New Lapse)Final_PROD_DETAILS" xfId="8016" xr:uid="{00000000-0005-0000-0000-0000E72D0000}"/>
    <cellStyle name="B_Left_HK_NBC@Dec2007(New Lapse)Final_PROD_DETAILS 2" xfId="8017" xr:uid="{00000000-0005-0000-0000-0000E82D0000}"/>
    <cellStyle name="B_Left_HK_NBC@Dec2007(New Lapse)Final_SOLVENCY POSITION " xfId="8018" xr:uid="{00000000-0005-0000-0000-0000E92D0000}"/>
    <cellStyle name="B_Left_HK_NBC@Dec2007(New Lapse)Final_SOLVENCY POSITION  2" xfId="8019" xr:uid="{00000000-0005-0000-0000-0000EA2D0000}"/>
    <cellStyle name="B_Left_KPI's" xfId="8020" xr:uid="{00000000-0005-0000-0000-0000EB2D0000}"/>
    <cellStyle name="B_Left_KPI's 10" xfId="8021" xr:uid="{00000000-0005-0000-0000-0000EC2D0000}"/>
    <cellStyle name="B_Left_KPI's 10 2" xfId="8022" xr:uid="{00000000-0005-0000-0000-0000ED2D0000}"/>
    <cellStyle name="B_Left_KPI's 11" xfId="8023" xr:uid="{00000000-0005-0000-0000-0000EE2D0000}"/>
    <cellStyle name="B_Left_KPI's 11 2" xfId="8024" xr:uid="{00000000-0005-0000-0000-0000EF2D0000}"/>
    <cellStyle name="B_Left_KPI's 12" xfId="8025" xr:uid="{00000000-0005-0000-0000-0000F02D0000}"/>
    <cellStyle name="B_Left_KPI's 12 2" xfId="8026" xr:uid="{00000000-0005-0000-0000-0000F12D0000}"/>
    <cellStyle name="B_Left_KPI's 13" xfId="8027" xr:uid="{00000000-0005-0000-0000-0000F22D0000}"/>
    <cellStyle name="B_Left_KPI's 13 2" xfId="8028" xr:uid="{00000000-0005-0000-0000-0000F32D0000}"/>
    <cellStyle name="B_Left_KPI's 14" xfId="8029" xr:uid="{00000000-0005-0000-0000-0000F42D0000}"/>
    <cellStyle name="B_Left_KPI's 14 2" xfId="8030" xr:uid="{00000000-0005-0000-0000-0000F52D0000}"/>
    <cellStyle name="B_Left_KPI's 15" xfId="8031" xr:uid="{00000000-0005-0000-0000-0000F62D0000}"/>
    <cellStyle name="B_Left_KPI's 15 2" xfId="8032" xr:uid="{00000000-0005-0000-0000-0000F72D0000}"/>
    <cellStyle name="B_Left_KPI's 16" xfId="8033" xr:uid="{00000000-0005-0000-0000-0000F82D0000}"/>
    <cellStyle name="B_Left_KPI's 16 2" xfId="8034" xr:uid="{00000000-0005-0000-0000-0000F92D0000}"/>
    <cellStyle name="B_Left_KPI's 17" xfId="8035" xr:uid="{00000000-0005-0000-0000-0000FA2D0000}"/>
    <cellStyle name="B_Left_KPI's 17 2" xfId="8036" xr:uid="{00000000-0005-0000-0000-0000FB2D0000}"/>
    <cellStyle name="B_Left_KPI's 18" xfId="8037" xr:uid="{00000000-0005-0000-0000-0000FC2D0000}"/>
    <cellStyle name="B_Left_KPI's 18 2" xfId="8038" xr:uid="{00000000-0005-0000-0000-0000FD2D0000}"/>
    <cellStyle name="B_Left_KPI's 19" xfId="8039" xr:uid="{00000000-0005-0000-0000-0000FE2D0000}"/>
    <cellStyle name="B_Left_KPI's 19 2" xfId="8040" xr:uid="{00000000-0005-0000-0000-0000FF2D0000}"/>
    <cellStyle name="B_Left_KPI's 2" xfId="8041" xr:uid="{00000000-0005-0000-0000-0000002E0000}"/>
    <cellStyle name="B_Left_KPI's 2 2" xfId="8042" xr:uid="{00000000-0005-0000-0000-0000012E0000}"/>
    <cellStyle name="B_Left_KPI's 20" xfId="8043" xr:uid="{00000000-0005-0000-0000-0000022E0000}"/>
    <cellStyle name="B_Left_KPI's 20 2" xfId="8044" xr:uid="{00000000-0005-0000-0000-0000032E0000}"/>
    <cellStyle name="B_Left_KPI's 21" xfId="8045" xr:uid="{00000000-0005-0000-0000-0000042E0000}"/>
    <cellStyle name="B_Left_KPI's 21 2" xfId="8046" xr:uid="{00000000-0005-0000-0000-0000052E0000}"/>
    <cellStyle name="B_Left_KPI's 22" xfId="8047" xr:uid="{00000000-0005-0000-0000-0000062E0000}"/>
    <cellStyle name="B_Left_KPI's 22 2" xfId="8048" xr:uid="{00000000-0005-0000-0000-0000072E0000}"/>
    <cellStyle name="B_Left_KPI's 23" xfId="8049" xr:uid="{00000000-0005-0000-0000-0000082E0000}"/>
    <cellStyle name="B_Left_KPI's 23 2" xfId="8050" xr:uid="{00000000-0005-0000-0000-0000092E0000}"/>
    <cellStyle name="B_Left_KPI's 24" xfId="8051" xr:uid="{00000000-0005-0000-0000-00000A2E0000}"/>
    <cellStyle name="B_Left_KPI's 3" xfId="8052" xr:uid="{00000000-0005-0000-0000-00000B2E0000}"/>
    <cellStyle name="B_Left_KPI's 3 2" xfId="8053" xr:uid="{00000000-0005-0000-0000-00000C2E0000}"/>
    <cellStyle name="B_Left_KPI's 4" xfId="8054" xr:uid="{00000000-0005-0000-0000-00000D2E0000}"/>
    <cellStyle name="B_Left_KPI's 4 2" xfId="8055" xr:uid="{00000000-0005-0000-0000-00000E2E0000}"/>
    <cellStyle name="B_Left_KPI's 5" xfId="8056" xr:uid="{00000000-0005-0000-0000-00000F2E0000}"/>
    <cellStyle name="B_Left_KPI's 5 2" xfId="8057" xr:uid="{00000000-0005-0000-0000-0000102E0000}"/>
    <cellStyle name="B_Left_KPI's 6" xfId="8058" xr:uid="{00000000-0005-0000-0000-0000112E0000}"/>
    <cellStyle name="B_Left_KPI's 6 2" xfId="8059" xr:uid="{00000000-0005-0000-0000-0000122E0000}"/>
    <cellStyle name="B_Left_KPI's 7" xfId="8060" xr:uid="{00000000-0005-0000-0000-0000132E0000}"/>
    <cellStyle name="B_Left_KPI's 7 2" xfId="8061" xr:uid="{00000000-0005-0000-0000-0000142E0000}"/>
    <cellStyle name="B_Left_KPI's 8" xfId="8062" xr:uid="{00000000-0005-0000-0000-0000152E0000}"/>
    <cellStyle name="B_Left_KPI's 8 2" xfId="8063" xr:uid="{00000000-0005-0000-0000-0000162E0000}"/>
    <cellStyle name="B_Left_KPI's 9" xfId="8064" xr:uid="{00000000-0005-0000-0000-0000172E0000}"/>
    <cellStyle name="B_Left_KPI's 9 2" xfId="8065" xr:uid="{00000000-0005-0000-0000-0000182E0000}"/>
    <cellStyle name="B_Left_KPI's_PROD_DETAILS" xfId="8066" xr:uid="{00000000-0005-0000-0000-0000192E0000}"/>
    <cellStyle name="B_Left_KPI's_PROD_DETAILS 2" xfId="8067" xr:uid="{00000000-0005-0000-0000-00001A2E0000}"/>
    <cellStyle name="B_Left_KPI's_SOLVENCY POSITION " xfId="8068" xr:uid="{00000000-0005-0000-0000-00001B2E0000}"/>
    <cellStyle name="B_Left_KPI's_SOLVENCY POSITION  2" xfId="8069" xr:uid="{00000000-0005-0000-0000-00001C2E0000}"/>
    <cellStyle name="B_Left_p&amp;l wkgs" xfId="8070" xr:uid="{00000000-0005-0000-0000-00001D2E0000}"/>
    <cellStyle name="B_Left_p&amp;l wkgs 10" xfId="8071" xr:uid="{00000000-0005-0000-0000-00001E2E0000}"/>
    <cellStyle name="B_Left_p&amp;l wkgs 10 2" xfId="8072" xr:uid="{00000000-0005-0000-0000-00001F2E0000}"/>
    <cellStyle name="B_Left_p&amp;l wkgs 11" xfId="8073" xr:uid="{00000000-0005-0000-0000-0000202E0000}"/>
    <cellStyle name="B_Left_p&amp;l wkgs 11 2" xfId="8074" xr:uid="{00000000-0005-0000-0000-0000212E0000}"/>
    <cellStyle name="B_Left_p&amp;l wkgs 12" xfId="8075" xr:uid="{00000000-0005-0000-0000-0000222E0000}"/>
    <cellStyle name="B_Left_p&amp;l wkgs 12 2" xfId="8076" xr:uid="{00000000-0005-0000-0000-0000232E0000}"/>
    <cellStyle name="B_Left_p&amp;l wkgs 13" xfId="8077" xr:uid="{00000000-0005-0000-0000-0000242E0000}"/>
    <cellStyle name="B_Left_p&amp;l wkgs 13 2" xfId="8078" xr:uid="{00000000-0005-0000-0000-0000252E0000}"/>
    <cellStyle name="B_Left_p&amp;l wkgs 14" xfId="8079" xr:uid="{00000000-0005-0000-0000-0000262E0000}"/>
    <cellStyle name="B_Left_p&amp;l wkgs 14 2" xfId="8080" xr:uid="{00000000-0005-0000-0000-0000272E0000}"/>
    <cellStyle name="B_Left_p&amp;l wkgs 15" xfId="8081" xr:uid="{00000000-0005-0000-0000-0000282E0000}"/>
    <cellStyle name="B_Left_p&amp;l wkgs 15 2" xfId="8082" xr:uid="{00000000-0005-0000-0000-0000292E0000}"/>
    <cellStyle name="B_Left_p&amp;l wkgs 16" xfId="8083" xr:uid="{00000000-0005-0000-0000-00002A2E0000}"/>
    <cellStyle name="B_Left_p&amp;l wkgs 16 2" xfId="8084" xr:uid="{00000000-0005-0000-0000-00002B2E0000}"/>
    <cellStyle name="B_Left_p&amp;l wkgs 17" xfId="8085" xr:uid="{00000000-0005-0000-0000-00002C2E0000}"/>
    <cellStyle name="B_Left_p&amp;l wkgs 17 2" xfId="8086" xr:uid="{00000000-0005-0000-0000-00002D2E0000}"/>
    <cellStyle name="B_Left_p&amp;l wkgs 18" xfId="8087" xr:uid="{00000000-0005-0000-0000-00002E2E0000}"/>
    <cellStyle name="B_Left_p&amp;l wkgs 18 2" xfId="8088" xr:uid="{00000000-0005-0000-0000-00002F2E0000}"/>
    <cellStyle name="B_Left_p&amp;l wkgs 19" xfId="8089" xr:uid="{00000000-0005-0000-0000-0000302E0000}"/>
    <cellStyle name="B_Left_p&amp;l wkgs 19 2" xfId="8090" xr:uid="{00000000-0005-0000-0000-0000312E0000}"/>
    <cellStyle name="B_Left_p&amp;l wkgs 2" xfId="8091" xr:uid="{00000000-0005-0000-0000-0000322E0000}"/>
    <cellStyle name="B_Left_p&amp;l wkgs 2 2" xfId="8092" xr:uid="{00000000-0005-0000-0000-0000332E0000}"/>
    <cellStyle name="B_Left_p&amp;l wkgs 20" xfId="8093" xr:uid="{00000000-0005-0000-0000-0000342E0000}"/>
    <cellStyle name="B_Left_p&amp;l wkgs 20 2" xfId="8094" xr:uid="{00000000-0005-0000-0000-0000352E0000}"/>
    <cellStyle name="B_Left_p&amp;l wkgs 21" xfId="8095" xr:uid="{00000000-0005-0000-0000-0000362E0000}"/>
    <cellStyle name="B_Left_p&amp;l wkgs 21 2" xfId="8096" xr:uid="{00000000-0005-0000-0000-0000372E0000}"/>
    <cellStyle name="B_Left_p&amp;l wkgs 22" xfId="8097" xr:uid="{00000000-0005-0000-0000-0000382E0000}"/>
    <cellStyle name="B_Left_p&amp;l wkgs 22 2" xfId="8098" xr:uid="{00000000-0005-0000-0000-0000392E0000}"/>
    <cellStyle name="B_Left_p&amp;l wkgs 23" xfId="8099" xr:uid="{00000000-0005-0000-0000-00003A2E0000}"/>
    <cellStyle name="B_Left_p&amp;l wkgs 23 2" xfId="8100" xr:uid="{00000000-0005-0000-0000-00003B2E0000}"/>
    <cellStyle name="B_Left_p&amp;l wkgs 24" xfId="8101" xr:uid="{00000000-0005-0000-0000-00003C2E0000}"/>
    <cellStyle name="B_Left_p&amp;l wkgs 3" xfId="8102" xr:uid="{00000000-0005-0000-0000-00003D2E0000}"/>
    <cellStyle name="B_Left_p&amp;l wkgs 3 2" xfId="8103" xr:uid="{00000000-0005-0000-0000-00003E2E0000}"/>
    <cellStyle name="B_Left_p&amp;l wkgs 4" xfId="8104" xr:uid="{00000000-0005-0000-0000-00003F2E0000}"/>
    <cellStyle name="B_Left_p&amp;l wkgs 4 2" xfId="8105" xr:uid="{00000000-0005-0000-0000-0000402E0000}"/>
    <cellStyle name="B_Left_p&amp;l wkgs 5" xfId="8106" xr:uid="{00000000-0005-0000-0000-0000412E0000}"/>
    <cellStyle name="B_Left_p&amp;l wkgs 5 2" xfId="8107" xr:uid="{00000000-0005-0000-0000-0000422E0000}"/>
    <cellStyle name="B_Left_p&amp;l wkgs 6" xfId="8108" xr:uid="{00000000-0005-0000-0000-0000432E0000}"/>
    <cellStyle name="B_Left_p&amp;l wkgs 6 2" xfId="8109" xr:uid="{00000000-0005-0000-0000-0000442E0000}"/>
    <cellStyle name="B_Left_p&amp;l wkgs 7" xfId="8110" xr:uid="{00000000-0005-0000-0000-0000452E0000}"/>
    <cellStyle name="B_Left_p&amp;l wkgs 7 2" xfId="8111" xr:uid="{00000000-0005-0000-0000-0000462E0000}"/>
    <cellStyle name="B_Left_p&amp;l wkgs 8" xfId="8112" xr:uid="{00000000-0005-0000-0000-0000472E0000}"/>
    <cellStyle name="B_Left_p&amp;l wkgs 8 2" xfId="8113" xr:uid="{00000000-0005-0000-0000-0000482E0000}"/>
    <cellStyle name="B_Left_p&amp;l wkgs 9" xfId="8114" xr:uid="{00000000-0005-0000-0000-0000492E0000}"/>
    <cellStyle name="B_Left_p&amp;l wkgs 9 2" xfId="8115" xr:uid="{00000000-0005-0000-0000-00004A2E0000}"/>
    <cellStyle name="B_Left_p&amp;l wkgs_PROD_DETAILS" xfId="8116" xr:uid="{00000000-0005-0000-0000-00004B2E0000}"/>
    <cellStyle name="B_Left_p&amp;l wkgs_PROD_DETAILS 2" xfId="8117" xr:uid="{00000000-0005-0000-0000-00004C2E0000}"/>
    <cellStyle name="B_Left_p&amp;l wkgs_SOLVENCY POSITION " xfId="8118" xr:uid="{00000000-0005-0000-0000-00004D2E0000}"/>
    <cellStyle name="B_Left_p&amp;l wkgs_SOLVENCY POSITION  2" xfId="8119" xr:uid="{00000000-0005-0000-0000-00004E2E0000}"/>
    <cellStyle name="B_Left_PROD_DETAILS" xfId="8120" xr:uid="{00000000-0005-0000-0000-00004F2E0000}"/>
    <cellStyle name="B_Left_PROD_DETAILS 2" xfId="8121" xr:uid="{00000000-0005-0000-0000-0000502E0000}"/>
    <cellStyle name="B_Left_Prophet Roll" xfId="8122" xr:uid="{00000000-0005-0000-0000-0000512E0000}"/>
    <cellStyle name="B_Left_Prophet Roll 10" xfId="8123" xr:uid="{00000000-0005-0000-0000-0000522E0000}"/>
    <cellStyle name="B_Left_Prophet Roll 10 2" xfId="8124" xr:uid="{00000000-0005-0000-0000-0000532E0000}"/>
    <cellStyle name="B_Left_Prophet Roll 11" xfId="8125" xr:uid="{00000000-0005-0000-0000-0000542E0000}"/>
    <cellStyle name="B_Left_Prophet Roll 11 2" xfId="8126" xr:uid="{00000000-0005-0000-0000-0000552E0000}"/>
    <cellStyle name="B_Left_Prophet Roll 12" xfId="8127" xr:uid="{00000000-0005-0000-0000-0000562E0000}"/>
    <cellStyle name="B_Left_Prophet Roll 12 2" xfId="8128" xr:uid="{00000000-0005-0000-0000-0000572E0000}"/>
    <cellStyle name="B_Left_Prophet Roll 13" xfId="8129" xr:uid="{00000000-0005-0000-0000-0000582E0000}"/>
    <cellStyle name="B_Left_Prophet Roll 13 2" xfId="8130" xr:uid="{00000000-0005-0000-0000-0000592E0000}"/>
    <cellStyle name="B_Left_Prophet Roll 14" xfId="8131" xr:uid="{00000000-0005-0000-0000-00005A2E0000}"/>
    <cellStyle name="B_Left_Prophet Roll 14 2" xfId="8132" xr:uid="{00000000-0005-0000-0000-00005B2E0000}"/>
    <cellStyle name="B_Left_Prophet Roll 15" xfId="8133" xr:uid="{00000000-0005-0000-0000-00005C2E0000}"/>
    <cellStyle name="B_Left_Prophet Roll 15 2" xfId="8134" xr:uid="{00000000-0005-0000-0000-00005D2E0000}"/>
    <cellStyle name="B_Left_Prophet Roll 16" xfId="8135" xr:uid="{00000000-0005-0000-0000-00005E2E0000}"/>
    <cellStyle name="B_Left_Prophet Roll 16 2" xfId="8136" xr:uid="{00000000-0005-0000-0000-00005F2E0000}"/>
    <cellStyle name="B_Left_Prophet Roll 17" xfId="8137" xr:uid="{00000000-0005-0000-0000-0000602E0000}"/>
    <cellStyle name="B_Left_Prophet Roll 17 2" xfId="8138" xr:uid="{00000000-0005-0000-0000-0000612E0000}"/>
    <cellStyle name="B_Left_Prophet Roll 18" xfId="8139" xr:uid="{00000000-0005-0000-0000-0000622E0000}"/>
    <cellStyle name="B_Left_Prophet Roll 18 2" xfId="8140" xr:uid="{00000000-0005-0000-0000-0000632E0000}"/>
    <cellStyle name="B_Left_Prophet Roll 19" xfId="8141" xr:uid="{00000000-0005-0000-0000-0000642E0000}"/>
    <cellStyle name="B_Left_Prophet Roll 19 2" xfId="8142" xr:uid="{00000000-0005-0000-0000-0000652E0000}"/>
    <cellStyle name="B_Left_Prophet Roll 2" xfId="8143" xr:uid="{00000000-0005-0000-0000-0000662E0000}"/>
    <cellStyle name="B_Left_Prophet Roll 2 2" xfId="8144" xr:uid="{00000000-0005-0000-0000-0000672E0000}"/>
    <cellStyle name="B_Left_Prophet Roll 20" xfId="8145" xr:uid="{00000000-0005-0000-0000-0000682E0000}"/>
    <cellStyle name="B_Left_Prophet Roll 20 2" xfId="8146" xr:uid="{00000000-0005-0000-0000-0000692E0000}"/>
    <cellStyle name="B_Left_Prophet Roll 21" xfId="8147" xr:uid="{00000000-0005-0000-0000-00006A2E0000}"/>
    <cellStyle name="B_Left_Prophet Roll 21 2" xfId="8148" xr:uid="{00000000-0005-0000-0000-00006B2E0000}"/>
    <cellStyle name="B_Left_Prophet Roll 22" xfId="8149" xr:uid="{00000000-0005-0000-0000-00006C2E0000}"/>
    <cellStyle name="B_Left_Prophet Roll 22 2" xfId="8150" xr:uid="{00000000-0005-0000-0000-00006D2E0000}"/>
    <cellStyle name="B_Left_Prophet Roll 23" xfId="8151" xr:uid="{00000000-0005-0000-0000-00006E2E0000}"/>
    <cellStyle name="B_Left_Prophet Roll 23 2" xfId="8152" xr:uid="{00000000-0005-0000-0000-00006F2E0000}"/>
    <cellStyle name="B_Left_Prophet Roll 24" xfId="8153" xr:uid="{00000000-0005-0000-0000-0000702E0000}"/>
    <cellStyle name="B_Left_Prophet Roll 3" xfId="8154" xr:uid="{00000000-0005-0000-0000-0000712E0000}"/>
    <cellStyle name="B_Left_Prophet Roll 3 2" xfId="8155" xr:uid="{00000000-0005-0000-0000-0000722E0000}"/>
    <cellStyle name="B_Left_Prophet Roll 4" xfId="8156" xr:uid="{00000000-0005-0000-0000-0000732E0000}"/>
    <cellStyle name="B_Left_Prophet Roll 4 2" xfId="8157" xr:uid="{00000000-0005-0000-0000-0000742E0000}"/>
    <cellStyle name="B_Left_Prophet Roll 5" xfId="8158" xr:uid="{00000000-0005-0000-0000-0000752E0000}"/>
    <cellStyle name="B_Left_Prophet Roll 5 2" xfId="8159" xr:uid="{00000000-0005-0000-0000-0000762E0000}"/>
    <cellStyle name="B_Left_Prophet Roll 6" xfId="8160" xr:uid="{00000000-0005-0000-0000-0000772E0000}"/>
    <cellStyle name="B_Left_Prophet Roll 6 2" xfId="8161" xr:uid="{00000000-0005-0000-0000-0000782E0000}"/>
    <cellStyle name="B_Left_Prophet Roll 7" xfId="8162" xr:uid="{00000000-0005-0000-0000-0000792E0000}"/>
    <cellStyle name="B_Left_Prophet Roll 7 2" xfId="8163" xr:uid="{00000000-0005-0000-0000-00007A2E0000}"/>
    <cellStyle name="B_Left_Prophet Roll 8" xfId="8164" xr:uid="{00000000-0005-0000-0000-00007B2E0000}"/>
    <cellStyle name="B_Left_Prophet Roll 8 2" xfId="8165" xr:uid="{00000000-0005-0000-0000-00007C2E0000}"/>
    <cellStyle name="B_Left_Prophet Roll 9" xfId="8166" xr:uid="{00000000-0005-0000-0000-00007D2E0000}"/>
    <cellStyle name="B_Left_Prophet Roll 9 2" xfId="8167" xr:uid="{00000000-0005-0000-0000-00007E2E0000}"/>
    <cellStyle name="B_Left_Prophet Roll_PROD_DETAILS" xfId="8168" xr:uid="{00000000-0005-0000-0000-00007F2E0000}"/>
    <cellStyle name="B_Left_Prophet Roll_PROD_DETAILS 2" xfId="8169" xr:uid="{00000000-0005-0000-0000-0000802E0000}"/>
    <cellStyle name="B_Left_Prophet Roll_SOLVENCY POSITION " xfId="8170" xr:uid="{00000000-0005-0000-0000-0000812E0000}"/>
    <cellStyle name="B_Left_Prophet Roll_SOLVENCY POSITION  2" xfId="8171" xr:uid="{00000000-0005-0000-0000-0000822E0000}"/>
    <cellStyle name="B_Left_Prophet SalesProj Roll" xfId="8172" xr:uid="{00000000-0005-0000-0000-0000832E0000}"/>
    <cellStyle name="B_Left_Prophet SalesProj Roll 10" xfId="8173" xr:uid="{00000000-0005-0000-0000-0000842E0000}"/>
    <cellStyle name="B_Left_Prophet SalesProj Roll 10 2" xfId="8174" xr:uid="{00000000-0005-0000-0000-0000852E0000}"/>
    <cellStyle name="B_Left_Prophet SalesProj Roll 11" xfId="8175" xr:uid="{00000000-0005-0000-0000-0000862E0000}"/>
    <cellStyle name="B_Left_Prophet SalesProj Roll 11 2" xfId="8176" xr:uid="{00000000-0005-0000-0000-0000872E0000}"/>
    <cellStyle name="B_Left_Prophet SalesProj Roll 12" xfId="8177" xr:uid="{00000000-0005-0000-0000-0000882E0000}"/>
    <cellStyle name="B_Left_Prophet SalesProj Roll 12 2" xfId="8178" xr:uid="{00000000-0005-0000-0000-0000892E0000}"/>
    <cellStyle name="B_Left_Prophet SalesProj Roll 13" xfId="8179" xr:uid="{00000000-0005-0000-0000-00008A2E0000}"/>
    <cellStyle name="B_Left_Prophet SalesProj Roll 13 2" xfId="8180" xr:uid="{00000000-0005-0000-0000-00008B2E0000}"/>
    <cellStyle name="B_Left_Prophet SalesProj Roll 14" xfId="8181" xr:uid="{00000000-0005-0000-0000-00008C2E0000}"/>
    <cellStyle name="B_Left_Prophet SalesProj Roll 14 2" xfId="8182" xr:uid="{00000000-0005-0000-0000-00008D2E0000}"/>
    <cellStyle name="B_Left_Prophet SalesProj Roll 15" xfId="8183" xr:uid="{00000000-0005-0000-0000-00008E2E0000}"/>
    <cellStyle name="B_Left_Prophet SalesProj Roll 15 2" xfId="8184" xr:uid="{00000000-0005-0000-0000-00008F2E0000}"/>
    <cellStyle name="B_Left_Prophet SalesProj Roll 16" xfId="8185" xr:uid="{00000000-0005-0000-0000-0000902E0000}"/>
    <cellStyle name="B_Left_Prophet SalesProj Roll 16 2" xfId="8186" xr:uid="{00000000-0005-0000-0000-0000912E0000}"/>
    <cellStyle name="B_Left_Prophet SalesProj Roll 17" xfId="8187" xr:uid="{00000000-0005-0000-0000-0000922E0000}"/>
    <cellStyle name="B_Left_Prophet SalesProj Roll 17 2" xfId="8188" xr:uid="{00000000-0005-0000-0000-0000932E0000}"/>
    <cellStyle name="B_Left_Prophet SalesProj Roll 18" xfId="8189" xr:uid="{00000000-0005-0000-0000-0000942E0000}"/>
    <cellStyle name="B_Left_Prophet SalesProj Roll 18 2" xfId="8190" xr:uid="{00000000-0005-0000-0000-0000952E0000}"/>
    <cellStyle name="B_Left_Prophet SalesProj Roll 19" xfId="8191" xr:uid="{00000000-0005-0000-0000-0000962E0000}"/>
    <cellStyle name="B_Left_Prophet SalesProj Roll 19 2" xfId="8192" xr:uid="{00000000-0005-0000-0000-0000972E0000}"/>
    <cellStyle name="B_Left_Prophet SalesProj Roll 2" xfId="8193" xr:uid="{00000000-0005-0000-0000-0000982E0000}"/>
    <cellStyle name="B_Left_Prophet SalesProj Roll 2 2" xfId="8194" xr:uid="{00000000-0005-0000-0000-0000992E0000}"/>
    <cellStyle name="B_Left_Prophet SalesProj Roll 20" xfId="8195" xr:uid="{00000000-0005-0000-0000-00009A2E0000}"/>
    <cellStyle name="B_Left_Prophet SalesProj Roll 20 2" xfId="8196" xr:uid="{00000000-0005-0000-0000-00009B2E0000}"/>
    <cellStyle name="B_Left_Prophet SalesProj Roll 21" xfId="8197" xr:uid="{00000000-0005-0000-0000-00009C2E0000}"/>
    <cellStyle name="B_Left_Prophet SalesProj Roll 21 2" xfId="8198" xr:uid="{00000000-0005-0000-0000-00009D2E0000}"/>
    <cellStyle name="B_Left_Prophet SalesProj Roll 22" xfId="8199" xr:uid="{00000000-0005-0000-0000-00009E2E0000}"/>
    <cellStyle name="B_Left_Prophet SalesProj Roll 22 2" xfId="8200" xr:uid="{00000000-0005-0000-0000-00009F2E0000}"/>
    <cellStyle name="B_Left_Prophet SalesProj Roll 23" xfId="8201" xr:uid="{00000000-0005-0000-0000-0000A02E0000}"/>
    <cellStyle name="B_Left_Prophet SalesProj Roll 23 2" xfId="8202" xr:uid="{00000000-0005-0000-0000-0000A12E0000}"/>
    <cellStyle name="B_Left_Prophet SalesProj Roll 24" xfId="8203" xr:uid="{00000000-0005-0000-0000-0000A22E0000}"/>
    <cellStyle name="B_Left_Prophet SalesProj Roll 3" xfId="8204" xr:uid="{00000000-0005-0000-0000-0000A32E0000}"/>
    <cellStyle name="B_Left_Prophet SalesProj Roll 3 2" xfId="8205" xr:uid="{00000000-0005-0000-0000-0000A42E0000}"/>
    <cellStyle name="B_Left_Prophet SalesProj Roll 4" xfId="8206" xr:uid="{00000000-0005-0000-0000-0000A52E0000}"/>
    <cellStyle name="B_Left_Prophet SalesProj Roll 4 2" xfId="8207" xr:uid="{00000000-0005-0000-0000-0000A62E0000}"/>
    <cellStyle name="B_Left_Prophet SalesProj Roll 5" xfId="8208" xr:uid="{00000000-0005-0000-0000-0000A72E0000}"/>
    <cellStyle name="B_Left_Prophet SalesProj Roll 5 2" xfId="8209" xr:uid="{00000000-0005-0000-0000-0000A82E0000}"/>
    <cellStyle name="B_Left_Prophet SalesProj Roll 6" xfId="8210" xr:uid="{00000000-0005-0000-0000-0000A92E0000}"/>
    <cellStyle name="B_Left_Prophet SalesProj Roll 6 2" xfId="8211" xr:uid="{00000000-0005-0000-0000-0000AA2E0000}"/>
    <cellStyle name="B_Left_Prophet SalesProj Roll 7" xfId="8212" xr:uid="{00000000-0005-0000-0000-0000AB2E0000}"/>
    <cellStyle name="B_Left_Prophet SalesProj Roll 7 2" xfId="8213" xr:uid="{00000000-0005-0000-0000-0000AC2E0000}"/>
    <cellStyle name="B_Left_Prophet SalesProj Roll 8" xfId="8214" xr:uid="{00000000-0005-0000-0000-0000AD2E0000}"/>
    <cellStyle name="B_Left_Prophet SalesProj Roll 8 2" xfId="8215" xr:uid="{00000000-0005-0000-0000-0000AE2E0000}"/>
    <cellStyle name="B_Left_Prophet SalesProj Roll 9" xfId="8216" xr:uid="{00000000-0005-0000-0000-0000AF2E0000}"/>
    <cellStyle name="B_Left_Prophet SalesProj Roll 9 2" xfId="8217" xr:uid="{00000000-0005-0000-0000-0000B02E0000}"/>
    <cellStyle name="B_Left_Prophet SalesProj Roll_PROD_DETAILS" xfId="8218" xr:uid="{00000000-0005-0000-0000-0000B12E0000}"/>
    <cellStyle name="B_Left_Prophet SalesProj Roll_PROD_DETAILS 2" xfId="8219" xr:uid="{00000000-0005-0000-0000-0000B22E0000}"/>
    <cellStyle name="B_Left_Prophet SalesProj Roll_SOLVENCY POSITION " xfId="8220" xr:uid="{00000000-0005-0000-0000-0000B32E0000}"/>
    <cellStyle name="B_Left_Prophet SalesProj Roll_SOLVENCY POSITION  2" xfId="8221" xr:uid="{00000000-0005-0000-0000-0000B42E0000}"/>
    <cellStyle name="B_Left_Prophet-EEV ReportingFinal301205-Apr06" xfId="8222" xr:uid="{00000000-0005-0000-0000-0000B52E0000}"/>
    <cellStyle name="B_Left_Prophet-EEV ReportingFinal301205-Apr06 10" xfId="8223" xr:uid="{00000000-0005-0000-0000-0000B62E0000}"/>
    <cellStyle name="B_Left_Prophet-EEV ReportingFinal301205-Apr06 10 2" xfId="8224" xr:uid="{00000000-0005-0000-0000-0000B72E0000}"/>
    <cellStyle name="B_Left_Prophet-EEV ReportingFinal301205-Apr06 11" xfId="8225" xr:uid="{00000000-0005-0000-0000-0000B82E0000}"/>
    <cellStyle name="B_Left_Prophet-EEV ReportingFinal301205-Apr06 11 2" xfId="8226" xr:uid="{00000000-0005-0000-0000-0000B92E0000}"/>
    <cellStyle name="B_Left_Prophet-EEV ReportingFinal301205-Apr06 12" xfId="8227" xr:uid="{00000000-0005-0000-0000-0000BA2E0000}"/>
    <cellStyle name="B_Left_Prophet-EEV ReportingFinal301205-Apr06 12 2" xfId="8228" xr:uid="{00000000-0005-0000-0000-0000BB2E0000}"/>
    <cellStyle name="B_Left_Prophet-EEV ReportingFinal301205-Apr06 13" xfId="8229" xr:uid="{00000000-0005-0000-0000-0000BC2E0000}"/>
    <cellStyle name="B_Left_Prophet-EEV ReportingFinal301205-Apr06 13 2" xfId="8230" xr:uid="{00000000-0005-0000-0000-0000BD2E0000}"/>
    <cellStyle name="B_Left_Prophet-EEV ReportingFinal301205-Apr06 14" xfId="8231" xr:uid="{00000000-0005-0000-0000-0000BE2E0000}"/>
    <cellStyle name="B_Left_Prophet-EEV ReportingFinal301205-Apr06 14 2" xfId="8232" xr:uid="{00000000-0005-0000-0000-0000BF2E0000}"/>
    <cellStyle name="B_Left_Prophet-EEV ReportingFinal301205-Apr06 15" xfId="8233" xr:uid="{00000000-0005-0000-0000-0000C02E0000}"/>
    <cellStyle name="B_Left_Prophet-EEV ReportingFinal301205-Apr06 15 2" xfId="8234" xr:uid="{00000000-0005-0000-0000-0000C12E0000}"/>
    <cellStyle name="B_Left_Prophet-EEV ReportingFinal301205-Apr06 16" xfId="8235" xr:uid="{00000000-0005-0000-0000-0000C22E0000}"/>
    <cellStyle name="B_Left_Prophet-EEV ReportingFinal301205-Apr06 16 2" xfId="8236" xr:uid="{00000000-0005-0000-0000-0000C32E0000}"/>
    <cellStyle name="B_Left_Prophet-EEV ReportingFinal301205-Apr06 17" xfId="8237" xr:uid="{00000000-0005-0000-0000-0000C42E0000}"/>
    <cellStyle name="B_Left_Prophet-EEV ReportingFinal301205-Apr06 17 2" xfId="8238" xr:uid="{00000000-0005-0000-0000-0000C52E0000}"/>
    <cellStyle name="B_Left_Prophet-EEV ReportingFinal301205-Apr06 18" xfId="8239" xr:uid="{00000000-0005-0000-0000-0000C62E0000}"/>
    <cellStyle name="B_Left_Prophet-EEV ReportingFinal301205-Apr06 18 2" xfId="8240" xr:uid="{00000000-0005-0000-0000-0000C72E0000}"/>
    <cellStyle name="B_Left_Prophet-EEV ReportingFinal301205-Apr06 19" xfId="8241" xr:uid="{00000000-0005-0000-0000-0000C82E0000}"/>
    <cellStyle name="B_Left_Prophet-EEV ReportingFinal301205-Apr06 19 2" xfId="8242" xr:uid="{00000000-0005-0000-0000-0000C92E0000}"/>
    <cellStyle name="B_Left_Prophet-EEV ReportingFinal301205-Apr06 2" xfId="8243" xr:uid="{00000000-0005-0000-0000-0000CA2E0000}"/>
    <cellStyle name="B_Left_Prophet-EEV ReportingFinal301205-Apr06 2 2" xfId="8244" xr:uid="{00000000-0005-0000-0000-0000CB2E0000}"/>
    <cellStyle name="B_Left_Prophet-EEV ReportingFinal301205-Apr06 20" xfId="8245" xr:uid="{00000000-0005-0000-0000-0000CC2E0000}"/>
    <cellStyle name="B_Left_Prophet-EEV ReportingFinal301205-Apr06 20 2" xfId="8246" xr:uid="{00000000-0005-0000-0000-0000CD2E0000}"/>
    <cellStyle name="B_Left_Prophet-EEV ReportingFinal301205-Apr06 21" xfId="8247" xr:uid="{00000000-0005-0000-0000-0000CE2E0000}"/>
    <cellStyle name="B_Left_Prophet-EEV ReportingFinal301205-Apr06 21 2" xfId="8248" xr:uid="{00000000-0005-0000-0000-0000CF2E0000}"/>
    <cellStyle name="B_Left_Prophet-EEV ReportingFinal301205-Apr06 22" xfId="8249" xr:uid="{00000000-0005-0000-0000-0000D02E0000}"/>
    <cellStyle name="B_Left_Prophet-EEV ReportingFinal301205-Apr06 22 2" xfId="8250" xr:uid="{00000000-0005-0000-0000-0000D12E0000}"/>
    <cellStyle name="B_Left_Prophet-EEV ReportingFinal301205-Apr06 23" xfId="8251" xr:uid="{00000000-0005-0000-0000-0000D22E0000}"/>
    <cellStyle name="B_Left_Prophet-EEV ReportingFinal301205-Apr06 23 2" xfId="8252" xr:uid="{00000000-0005-0000-0000-0000D32E0000}"/>
    <cellStyle name="B_Left_Prophet-EEV ReportingFinal301205-Apr06 24" xfId="8253" xr:uid="{00000000-0005-0000-0000-0000D42E0000}"/>
    <cellStyle name="B_Left_Prophet-EEV ReportingFinal301205-Apr06 3" xfId="8254" xr:uid="{00000000-0005-0000-0000-0000D52E0000}"/>
    <cellStyle name="B_Left_Prophet-EEV ReportingFinal301205-Apr06 3 2" xfId="8255" xr:uid="{00000000-0005-0000-0000-0000D62E0000}"/>
    <cellStyle name="B_Left_Prophet-EEV ReportingFinal301205-Apr06 4" xfId="8256" xr:uid="{00000000-0005-0000-0000-0000D72E0000}"/>
    <cellStyle name="B_Left_Prophet-EEV ReportingFinal301205-Apr06 4 2" xfId="8257" xr:uid="{00000000-0005-0000-0000-0000D82E0000}"/>
    <cellStyle name="B_Left_Prophet-EEV ReportingFinal301205-Apr06 5" xfId="8258" xr:uid="{00000000-0005-0000-0000-0000D92E0000}"/>
    <cellStyle name="B_Left_Prophet-EEV ReportingFinal301205-Apr06 5 2" xfId="8259" xr:uid="{00000000-0005-0000-0000-0000DA2E0000}"/>
    <cellStyle name="B_Left_Prophet-EEV ReportingFinal301205-Apr06 6" xfId="8260" xr:uid="{00000000-0005-0000-0000-0000DB2E0000}"/>
    <cellStyle name="B_Left_Prophet-EEV ReportingFinal301205-Apr06 6 2" xfId="8261" xr:uid="{00000000-0005-0000-0000-0000DC2E0000}"/>
    <cellStyle name="B_Left_Prophet-EEV ReportingFinal301205-Apr06 7" xfId="8262" xr:uid="{00000000-0005-0000-0000-0000DD2E0000}"/>
    <cellStyle name="B_Left_Prophet-EEV ReportingFinal301205-Apr06 7 2" xfId="8263" xr:uid="{00000000-0005-0000-0000-0000DE2E0000}"/>
    <cellStyle name="B_Left_Prophet-EEV ReportingFinal301205-Apr06 8" xfId="8264" xr:uid="{00000000-0005-0000-0000-0000DF2E0000}"/>
    <cellStyle name="B_Left_Prophet-EEV ReportingFinal301205-Apr06 8 2" xfId="8265" xr:uid="{00000000-0005-0000-0000-0000E02E0000}"/>
    <cellStyle name="B_Left_Prophet-EEV ReportingFinal301205-Apr06 9" xfId="8266" xr:uid="{00000000-0005-0000-0000-0000E12E0000}"/>
    <cellStyle name="B_Left_Prophet-EEV ReportingFinal301205-Apr06 9 2" xfId="8267" xr:uid="{00000000-0005-0000-0000-0000E22E0000}"/>
    <cellStyle name="B_Left_Prophet-EEV ReportingFinal301205-Apr06_HK.EEV-May06 4+2 kkh" xfId="8268" xr:uid="{00000000-0005-0000-0000-0000E32E0000}"/>
    <cellStyle name="B_Left_Prophet-EEV ReportingFinal301205-Apr06_HK.EEV-May06 4+2 kkh 10" xfId="8269" xr:uid="{00000000-0005-0000-0000-0000E42E0000}"/>
    <cellStyle name="B_Left_Prophet-EEV ReportingFinal301205-Apr06_HK.EEV-May06 4+2 kkh 10 2" xfId="8270" xr:uid="{00000000-0005-0000-0000-0000E52E0000}"/>
    <cellStyle name="B_Left_Prophet-EEV ReportingFinal301205-Apr06_HK.EEV-May06 4+2 kkh 11" xfId="8271" xr:uid="{00000000-0005-0000-0000-0000E62E0000}"/>
    <cellStyle name="B_Left_Prophet-EEV ReportingFinal301205-Apr06_HK.EEV-May06 4+2 kkh 11 2" xfId="8272" xr:uid="{00000000-0005-0000-0000-0000E72E0000}"/>
    <cellStyle name="B_Left_Prophet-EEV ReportingFinal301205-Apr06_HK.EEV-May06 4+2 kkh 12" xfId="8273" xr:uid="{00000000-0005-0000-0000-0000E82E0000}"/>
    <cellStyle name="B_Left_Prophet-EEV ReportingFinal301205-Apr06_HK.EEV-May06 4+2 kkh 12 2" xfId="8274" xr:uid="{00000000-0005-0000-0000-0000E92E0000}"/>
    <cellStyle name="B_Left_Prophet-EEV ReportingFinal301205-Apr06_HK.EEV-May06 4+2 kkh 13" xfId="8275" xr:uid="{00000000-0005-0000-0000-0000EA2E0000}"/>
    <cellStyle name="B_Left_Prophet-EEV ReportingFinal301205-Apr06_HK.EEV-May06 4+2 kkh 13 2" xfId="8276" xr:uid="{00000000-0005-0000-0000-0000EB2E0000}"/>
    <cellStyle name="B_Left_Prophet-EEV ReportingFinal301205-Apr06_HK.EEV-May06 4+2 kkh 14" xfId="8277" xr:uid="{00000000-0005-0000-0000-0000EC2E0000}"/>
    <cellStyle name="B_Left_Prophet-EEV ReportingFinal301205-Apr06_HK.EEV-May06 4+2 kkh 14 2" xfId="8278" xr:uid="{00000000-0005-0000-0000-0000ED2E0000}"/>
    <cellStyle name="B_Left_Prophet-EEV ReportingFinal301205-Apr06_HK.EEV-May06 4+2 kkh 15" xfId="8279" xr:uid="{00000000-0005-0000-0000-0000EE2E0000}"/>
    <cellStyle name="B_Left_Prophet-EEV ReportingFinal301205-Apr06_HK.EEV-May06 4+2 kkh 15 2" xfId="8280" xr:uid="{00000000-0005-0000-0000-0000EF2E0000}"/>
    <cellStyle name="B_Left_Prophet-EEV ReportingFinal301205-Apr06_HK.EEV-May06 4+2 kkh 16" xfId="8281" xr:uid="{00000000-0005-0000-0000-0000F02E0000}"/>
    <cellStyle name="B_Left_Prophet-EEV ReportingFinal301205-Apr06_HK.EEV-May06 4+2 kkh 16 2" xfId="8282" xr:uid="{00000000-0005-0000-0000-0000F12E0000}"/>
    <cellStyle name="B_Left_Prophet-EEV ReportingFinal301205-Apr06_HK.EEV-May06 4+2 kkh 17" xfId="8283" xr:uid="{00000000-0005-0000-0000-0000F22E0000}"/>
    <cellStyle name="B_Left_Prophet-EEV ReportingFinal301205-Apr06_HK.EEV-May06 4+2 kkh 17 2" xfId="8284" xr:uid="{00000000-0005-0000-0000-0000F32E0000}"/>
    <cellStyle name="B_Left_Prophet-EEV ReportingFinal301205-Apr06_HK.EEV-May06 4+2 kkh 18" xfId="8285" xr:uid="{00000000-0005-0000-0000-0000F42E0000}"/>
    <cellStyle name="B_Left_Prophet-EEV ReportingFinal301205-Apr06_HK.EEV-May06 4+2 kkh 18 2" xfId="8286" xr:uid="{00000000-0005-0000-0000-0000F52E0000}"/>
    <cellStyle name="B_Left_Prophet-EEV ReportingFinal301205-Apr06_HK.EEV-May06 4+2 kkh 19" xfId="8287" xr:uid="{00000000-0005-0000-0000-0000F62E0000}"/>
    <cellStyle name="B_Left_Prophet-EEV ReportingFinal301205-Apr06_HK.EEV-May06 4+2 kkh 19 2" xfId="8288" xr:uid="{00000000-0005-0000-0000-0000F72E0000}"/>
    <cellStyle name="B_Left_Prophet-EEV ReportingFinal301205-Apr06_HK.EEV-May06 4+2 kkh 2" xfId="8289" xr:uid="{00000000-0005-0000-0000-0000F82E0000}"/>
    <cellStyle name="B_Left_Prophet-EEV ReportingFinal301205-Apr06_HK.EEV-May06 4+2 kkh 2 2" xfId="8290" xr:uid="{00000000-0005-0000-0000-0000F92E0000}"/>
    <cellStyle name="B_Left_Prophet-EEV ReportingFinal301205-Apr06_HK.EEV-May06 4+2 kkh 20" xfId="8291" xr:uid="{00000000-0005-0000-0000-0000FA2E0000}"/>
    <cellStyle name="B_Left_Prophet-EEV ReportingFinal301205-Apr06_HK.EEV-May06 4+2 kkh 20 2" xfId="8292" xr:uid="{00000000-0005-0000-0000-0000FB2E0000}"/>
    <cellStyle name="B_Left_Prophet-EEV ReportingFinal301205-Apr06_HK.EEV-May06 4+2 kkh 21" xfId="8293" xr:uid="{00000000-0005-0000-0000-0000FC2E0000}"/>
    <cellStyle name="B_Left_Prophet-EEV ReportingFinal301205-Apr06_HK.EEV-May06 4+2 kkh 21 2" xfId="8294" xr:uid="{00000000-0005-0000-0000-0000FD2E0000}"/>
    <cellStyle name="B_Left_Prophet-EEV ReportingFinal301205-Apr06_HK.EEV-May06 4+2 kkh 22" xfId="8295" xr:uid="{00000000-0005-0000-0000-0000FE2E0000}"/>
    <cellStyle name="B_Left_Prophet-EEV ReportingFinal301205-Apr06_HK.EEV-May06 4+2 kkh 22 2" xfId="8296" xr:uid="{00000000-0005-0000-0000-0000FF2E0000}"/>
    <cellStyle name="B_Left_Prophet-EEV ReportingFinal301205-Apr06_HK.EEV-May06 4+2 kkh 23" xfId="8297" xr:uid="{00000000-0005-0000-0000-0000002F0000}"/>
    <cellStyle name="B_Left_Prophet-EEV ReportingFinal301205-Apr06_HK.EEV-May06 4+2 kkh 23 2" xfId="8298" xr:uid="{00000000-0005-0000-0000-0000012F0000}"/>
    <cellStyle name="B_Left_Prophet-EEV ReportingFinal301205-Apr06_HK.EEV-May06 4+2 kkh 24" xfId="8299" xr:uid="{00000000-0005-0000-0000-0000022F0000}"/>
    <cellStyle name="B_Left_Prophet-EEV ReportingFinal301205-Apr06_HK.EEV-May06 4+2 kkh 3" xfId="8300" xr:uid="{00000000-0005-0000-0000-0000032F0000}"/>
    <cellStyle name="B_Left_Prophet-EEV ReportingFinal301205-Apr06_HK.EEV-May06 4+2 kkh 3 2" xfId="8301" xr:uid="{00000000-0005-0000-0000-0000042F0000}"/>
    <cellStyle name="B_Left_Prophet-EEV ReportingFinal301205-Apr06_HK.EEV-May06 4+2 kkh 4" xfId="8302" xr:uid="{00000000-0005-0000-0000-0000052F0000}"/>
    <cellStyle name="B_Left_Prophet-EEV ReportingFinal301205-Apr06_HK.EEV-May06 4+2 kkh 4 2" xfId="8303" xr:uid="{00000000-0005-0000-0000-0000062F0000}"/>
    <cellStyle name="B_Left_Prophet-EEV ReportingFinal301205-Apr06_HK.EEV-May06 4+2 kkh 5" xfId="8304" xr:uid="{00000000-0005-0000-0000-0000072F0000}"/>
    <cellStyle name="B_Left_Prophet-EEV ReportingFinal301205-Apr06_HK.EEV-May06 4+2 kkh 5 2" xfId="8305" xr:uid="{00000000-0005-0000-0000-0000082F0000}"/>
    <cellStyle name="B_Left_Prophet-EEV ReportingFinal301205-Apr06_HK.EEV-May06 4+2 kkh 6" xfId="8306" xr:uid="{00000000-0005-0000-0000-0000092F0000}"/>
    <cellStyle name="B_Left_Prophet-EEV ReportingFinal301205-Apr06_HK.EEV-May06 4+2 kkh 6 2" xfId="8307" xr:uid="{00000000-0005-0000-0000-00000A2F0000}"/>
    <cellStyle name="B_Left_Prophet-EEV ReportingFinal301205-Apr06_HK.EEV-May06 4+2 kkh 7" xfId="8308" xr:uid="{00000000-0005-0000-0000-00000B2F0000}"/>
    <cellStyle name="B_Left_Prophet-EEV ReportingFinal301205-Apr06_HK.EEV-May06 4+2 kkh 7 2" xfId="8309" xr:uid="{00000000-0005-0000-0000-00000C2F0000}"/>
    <cellStyle name="B_Left_Prophet-EEV ReportingFinal301205-Apr06_HK.EEV-May06 4+2 kkh 8" xfId="8310" xr:uid="{00000000-0005-0000-0000-00000D2F0000}"/>
    <cellStyle name="B_Left_Prophet-EEV ReportingFinal301205-Apr06_HK.EEV-May06 4+2 kkh 8 2" xfId="8311" xr:uid="{00000000-0005-0000-0000-00000E2F0000}"/>
    <cellStyle name="B_Left_Prophet-EEV ReportingFinal301205-Apr06_HK.EEV-May06 4+2 kkh 9" xfId="8312" xr:uid="{00000000-0005-0000-0000-00000F2F0000}"/>
    <cellStyle name="B_Left_Prophet-EEV ReportingFinal301205-Apr06_HK.EEV-May06 4+2 kkh 9 2" xfId="8313" xr:uid="{00000000-0005-0000-0000-0000102F0000}"/>
    <cellStyle name="B_Left_Prophet-EEV ReportingFinal301205-Apr06_HK.EEV-May06 4+2 kkh_PROD_DETAILS" xfId="8314" xr:uid="{00000000-0005-0000-0000-0000112F0000}"/>
    <cellStyle name="B_Left_Prophet-EEV ReportingFinal301205-Apr06_HK.EEV-May06 4+2 kkh_PROD_DETAILS 2" xfId="8315" xr:uid="{00000000-0005-0000-0000-0000122F0000}"/>
    <cellStyle name="B_Left_Prophet-EEV ReportingFinal301205-Apr06_HK.EEV-May06 4+2 kkh_SOLVENCY POSITION " xfId="8316" xr:uid="{00000000-0005-0000-0000-0000132F0000}"/>
    <cellStyle name="B_Left_Prophet-EEV ReportingFinal301205-Apr06_HK.EEV-May06 4+2 kkh_SOLVENCY POSITION  2" xfId="8317" xr:uid="{00000000-0005-0000-0000-0000142F0000}"/>
    <cellStyle name="B_Left_Prophet-EEV ReportingFinal301205-Apr06_PROD_DETAILS" xfId="8318" xr:uid="{00000000-0005-0000-0000-0000152F0000}"/>
    <cellStyle name="B_Left_Prophet-EEV ReportingFinal301205-Apr06_PROD_DETAILS 2" xfId="8319" xr:uid="{00000000-0005-0000-0000-0000162F0000}"/>
    <cellStyle name="B_Left_Prophet-EEV ReportingFinal301205-Apr06_SOLVENCY POSITION " xfId="8320" xr:uid="{00000000-0005-0000-0000-0000172F0000}"/>
    <cellStyle name="B_Left_Prophet-EEV ReportingFinal301205-Apr06_SOLVENCY POSITION  2" xfId="8321" xr:uid="{00000000-0005-0000-0000-0000182F0000}"/>
    <cellStyle name="B_Left_SG.EEV-Apr06" xfId="8322" xr:uid="{00000000-0005-0000-0000-0000192F0000}"/>
    <cellStyle name="B_Left_SG.EEV-Apr06 10" xfId="8323" xr:uid="{00000000-0005-0000-0000-00001A2F0000}"/>
    <cellStyle name="B_Left_SG.EEV-Apr06 10 2" xfId="8324" xr:uid="{00000000-0005-0000-0000-00001B2F0000}"/>
    <cellStyle name="B_Left_SG.EEV-Apr06 11" xfId="8325" xr:uid="{00000000-0005-0000-0000-00001C2F0000}"/>
    <cellStyle name="B_Left_SG.EEV-Apr06 11 2" xfId="8326" xr:uid="{00000000-0005-0000-0000-00001D2F0000}"/>
    <cellStyle name="B_Left_SG.EEV-Apr06 12" xfId="8327" xr:uid="{00000000-0005-0000-0000-00001E2F0000}"/>
    <cellStyle name="B_Left_SG.EEV-Apr06 12 2" xfId="8328" xr:uid="{00000000-0005-0000-0000-00001F2F0000}"/>
    <cellStyle name="B_Left_SG.EEV-Apr06 13" xfId="8329" xr:uid="{00000000-0005-0000-0000-0000202F0000}"/>
    <cellStyle name="B_Left_SG.EEV-Apr06 13 2" xfId="8330" xr:uid="{00000000-0005-0000-0000-0000212F0000}"/>
    <cellStyle name="B_Left_SG.EEV-Apr06 14" xfId="8331" xr:uid="{00000000-0005-0000-0000-0000222F0000}"/>
    <cellStyle name="B_Left_SG.EEV-Apr06 14 2" xfId="8332" xr:uid="{00000000-0005-0000-0000-0000232F0000}"/>
    <cellStyle name="B_Left_SG.EEV-Apr06 15" xfId="8333" xr:uid="{00000000-0005-0000-0000-0000242F0000}"/>
    <cellStyle name="B_Left_SG.EEV-Apr06 15 2" xfId="8334" xr:uid="{00000000-0005-0000-0000-0000252F0000}"/>
    <cellStyle name="B_Left_SG.EEV-Apr06 16" xfId="8335" xr:uid="{00000000-0005-0000-0000-0000262F0000}"/>
    <cellStyle name="B_Left_SG.EEV-Apr06 16 2" xfId="8336" xr:uid="{00000000-0005-0000-0000-0000272F0000}"/>
    <cellStyle name="B_Left_SG.EEV-Apr06 17" xfId="8337" xr:uid="{00000000-0005-0000-0000-0000282F0000}"/>
    <cellStyle name="B_Left_SG.EEV-Apr06 17 2" xfId="8338" xr:uid="{00000000-0005-0000-0000-0000292F0000}"/>
    <cellStyle name="B_Left_SG.EEV-Apr06 18" xfId="8339" xr:uid="{00000000-0005-0000-0000-00002A2F0000}"/>
    <cellStyle name="B_Left_SG.EEV-Apr06 18 2" xfId="8340" xr:uid="{00000000-0005-0000-0000-00002B2F0000}"/>
    <cellStyle name="B_Left_SG.EEV-Apr06 19" xfId="8341" xr:uid="{00000000-0005-0000-0000-00002C2F0000}"/>
    <cellStyle name="B_Left_SG.EEV-Apr06 19 2" xfId="8342" xr:uid="{00000000-0005-0000-0000-00002D2F0000}"/>
    <cellStyle name="B_Left_SG.EEV-Apr06 2" xfId="8343" xr:uid="{00000000-0005-0000-0000-00002E2F0000}"/>
    <cellStyle name="B_Left_SG.EEV-Apr06 2 2" xfId="8344" xr:uid="{00000000-0005-0000-0000-00002F2F0000}"/>
    <cellStyle name="B_Left_SG.EEV-Apr06 20" xfId="8345" xr:uid="{00000000-0005-0000-0000-0000302F0000}"/>
    <cellStyle name="B_Left_SG.EEV-Apr06 20 2" xfId="8346" xr:uid="{00000000-0005-0000-0000-0000312F0000}"/>
    <cellStyle name="B_Left_SG.EEV-Apr06 21" xfId="8347" xr:uid="{00000000-0005-0000-0000-0000322F0000}"/>
    <cellStyle name="B_Left_SG.EEV-Apr06 21 2" xfId="8348" xr:uid="{00000000-0005-0000-0000-0000332F0000}"/>
    <cellStyle name="B_Left_SG.EEV-Apr06 22" xfId="8349" xr:uid="{00000000-0005-0000-0000-0000342F0000}"/>
    <cellStyle name="B_Left_SG.EEV-Apr06 22 2" xfId="8350" xr:uid="{00000000-0005-0000-0000-0000352F0000}"/>
    <cellStyle name="B_Left_SG.EEV-Apr06 23" xfId="8351" xr:uid="{00000000-0005-0000-0000-0000362F0000}"/>
    <cellStyle name="B_Left_SG.EEV-Apr06 23 2" xfId="8352" xr:uid="{00000000-0005-0000-0000-0000372F0000}"/>
    <cellStyle name="B_Left_SG.EEV-Apr06 24" xfId="8353" xr:uid="{00000000-0005-0000-0000-0000382F0000}"/>
    <cellStyle name="B_Left_SG.EEV-Apr06 3" xfId="8354" xr:uid="{00000000-0005-0000-0000-0000392F0000}"/>
    <cellStyle name="B_Left_SG.EEV-Apr06 3 2" xfId="8355" xr:uid="{00000000-0005-0000-0000-00003A2F0000}"/>
    <cellStyle name="B_Left_SG.EEV-Apr06 4" xfId="8356" xr:uid="{00000000-0005-0000-0000-00003B2F0000}"/>
    <cellStyle name="B_Left_SG.EEV-Apr06 4 2" xfId="8357" xr:uid="{00000000-0005-0000-0000-00003C2F0000}"/>
    <cellStyle name="B_Left_SG.EEV-Apr06 5" xfId="8358" xr:uid="{00000000-0005-0000-0000-00003D2F0000}"/>
    <cellStyle name="B_Left_SG.EEV-Apr06 5 2" xfId="8359" xr:uid="{00000000-0005-0000-0000-00003E2F0000}"/>
    <cellStyle name="B_Left_SG.EEV-Apr06 6" xfId="8360" xr:uid="{00000000-0005-0000-0000-00003F2F0000}"/>
    <cellStyle name="B_Left_SG.EEV-Apr06 6 2" xfId="8361" xr:uid="{00000000-0005-0000-0000-0000402F0000}"/>
    <cellStyle name="B_Left_SG.EEV-Apr06 7" xfId="8362" xr:uid="{00000000-0005-0000-0000-0000412F0000}"/>
    <cellStyle name="B_Left_SG.EEV-Apr06 7 2" xfId="8363" xr:uid="{00000000-0005-0000-0000-0000422F0000}"/>
    <cellStyle name="B_Left_SG.EEV-Apr06 8" xfId="8364" xr:uid="{00000000-0005-0000-0000-0000432F0000}"/>
    <cellStyle name="B_Left_SG.EEV-Apr06 8 2" xfId="8365" xr:uid="{00000000-0005-0000-0000-0000442F0000}"/>
    <cellStyle name="B_Left_SG.EEV-Apr06 9" xfId="8366" xr:uid="{00000000-0005-0000-0000-0000452F0000}"/>
    <cellStyle name="B_Left_SG.EEV-Apr06 9 2" xfId="8367" xr:uid="{00000000-0005-0000-0000-0000462F0000}"/>
    <cellStyle name="B_Left_SG.EEV-Apr06_HK.EEV-May06 4+2 kkh" xfId="8368" xr:uid="{00000000-0005-0000-0000-0000472F0000}"/>
    <cellStyle name="B_Left_SG.EEV-Apr06_HK.EEV-May06 4+2 kkh 10" xfId="8369" xr:uid="{00000000-0005-0000-0000-0000482F0000}"/>
    <cellStyle name="B_Left_SG.EEV-Apr06_HK.EEV-May06 4+2 kkh 10 2" xfId="8370" xr:uid="{00000000-0005-0000-0000-0000492F0000}"/>
    <cellStyle name="B_Left_SG.EEV-Apr06_HK.EEV-May06 4+2 kkh 11" xfId="8371" xr:uid="{00000000-0005-0000-0000-00004A2F0000}"/>
    <cellStyle name="B_Left_SG.EEV-Apr06_HK.EEV-May06 4+2 kkh 11 2" xfId="8372" xr:uid="{00000000-0005-0000-0000-00004B2F0000}"/>
    <cellStyle name="B_Left_SG.EEV-Apr06_HK.EEV-May06 4+2 kkh 12" xfId="8373" xr:uid="{00000000-0005-0000-0000-00004C2F0000}"/>
    <cellStyle name="B_Left_SG.EEV-Apr06_HK.EEV-May06 4+2 kkh 12 2" xfId="8374" xr:uid="{00000000-0005-0000-0000-00004D2F0000}"/>
    <cellStyle name="B_Left_SG.EEV-Apr06_HK.EEV-May06 4+2 kkh 13" xfId="8375" xr:uid="{00000000-0005-0000-0000-00004E2F0000}"/>
    <cellStyle name="B_Left_SG.EEV-Apr06_HK.EEV-May06 4+2 kkh 13 2" xfId="8376" xr:uid="{00000000-0005-0000-0000-00004F2F0000}"/>
    <cellStyle name="B_Left_SG.EEV-Apr06_HK.EEV-May06 4+2 kkh 14" xfId="8377" xr:uid="{00000000-0005-0000-0000-0000502F0000}"/>
    <cellStyle name="B_Left_SG.EEV-Apr06_HK.EEV-May06 4+2 kkh 14 2" xfId="8378" xr:uid="{00000000-0005-0000-0000-0000512F0000}"/>
    <cellStyle name="B_Left_SG.EEV-Apr06_HK.EEV-May06 4+2 kkh 15" xfId="8379" xr:uid="{00000000-0005-0000-0000-0000522F0000}"/>
    <cellStyle name="B_Left_SG.EEV-Apr06_HK.EEV-May06 4+2 kkh 15 2" xfId="8380" xr:uid="{00000000-0005-0000-0000-0000532F0000}"/>
    <cellStyle name="B_Left_SG.EEV-Apr06_HK.EEV-May06 4+2 kkh 16" xfId="8381" xr:uid="{00000000-0005-0000-0000-0000542F0000}"/>
    <cellStyle name="B_Left_SG.EEV-Apr06_HK.EEV-May06 4+2 kkh 16 2" xfId="8382" xr:uid="{00000000-0005-0000-0000-0000552F0000}"/>
    <cellStyle name="B_Left_SG.EEV-Apr06_HK.EEV-May06 4+2 kkh 17" xfId="8383" xr:uid="{00000000-0005-0000-0000-0000562F0000}"/>
    <cellStyle name="B_Left_SG.EEV-Apr06_HK.EEV-May06 4+2 kkh 17 2" xfId="8384" xr:uid="{00000000-0005-0000-0000-0000572F0000}"/>
    <cellStyle name="B_Left_SG.EEV-Apr06_HK.EEV-May06 4+2 kkh 18" xfId="8385" xr:uid="{00000000-0005-0000-0000-0000582F0000}"/>
    <cellStyle name="B_Left_SG.EEV-Apr06_HK.EEV-May06 4+2 kkh 18 2" xfId="8386" xr:uid="{00000000-0005-0000-0000-0000592F0000}"/>
    <cellStyle name="B_Left_SG.EEV-Apr06_HK.EEV-May06 4+2 kkh 19" xfId="8387" xr:uid="{00000000-0005-0000-0000-00005A2F0000}"/>
    <cellStyle name="B_Left_SG.EEV-Apr06_HK.EEV-May06 4+2 kkh 19 2" xfId="8388" xr:uid="{00000000-0005-0000-0000-00005B2F0000}"/>
    <cellStyle name="B_Left_SG.EEV-Apr06_HK.EEV-May06 4+2 kkh 2" xfId="8389" xr:uid="{00000000-0005-0000-0000-00005C2F0000}"/>
    <cellStyle name="B_Left_SG.EEV-Apr06_HK.EEV-May06 4+2 kkh 2 2" xfId="8390" xr:uid="{00000000-0005-0000-0000-00005D2F0000}"/>
    <cellStyle name="B_Left_SG.EEV-Apr06_HK.EEV-May06 4+2 kkh 20" xfId="8391" xr:uid="{00000000-0005-0000-0000-00005E2F0000}"/>
    <cellStyle name="B_Left_SG.EEV-Apr06_HK.EEV-May06 4+2 kkh 20 2" xfId="8392" xr:uid="{00000000-0005-0000-0000-00005F2F0000}"/>
    <cellStyle name="B_Left_SG.EEV-Apr06_HK.EEV-May06 4+2 kkh 21" xfId="8393" xr:uid="{00000000-0005-0000-0000-0000602F0000}"/>
    <cellStyle name="B_Left_SG.EEV-Apr06_HK.EEV-May06 4+2 kkh 21 2" xfId="8394" xr:uid="{00000000-0005-0000-0000-0000612F0000}"/>
    <cellStyle name="B_Left_SG.EEV-Apr06_HK.EEV-May06 4+2 kkh 22" xfId="8395" xr:uid="{00000000-0005-0000-0000-0000622F0000}"/>
    <cellStyle name="B_Left_SG.EEV-Apr06_HK.EEV-May06 4+2 kkh 22 2" xfId="8396" xr:uid="{00000000-0005-0000-0000-0000632F0000}"/>
    <cellStyle name="B_Left_SG.EEV-Apr06_HK.EEV-May06 4+2 kkh 23" xfId="8397" xr:uid="{00000000-0005-0000-0000-0000642F0000}"/>
    <cellStyle name="B_Left_SG.EEV-Apr06_HK.EEV-May06 4+2 kkh 23 2" xfId="8398" xr:uid="{00000000-0005-0000-0000-0000652F0000}"/>
    <cellStyle name="B_Left_SG.EEV-Apr06_HK.EEV-May06 4+2 kkh 24" xfId="8399" xr:uid="{00000000-0005-0000-0000-0000662F0000}"/>
    <cellStyle name="B_Left_SG.EEV-Apr06_HK.EEV-May06 4+2 kkh 3" xfId="8400" xr:uid="{00000000-0005-0000-0000-0000672F0000}"/>
    <cellStyle name="B_Left_SG.EEV-Apr06_HK.EEV-May06 4+2 kkh 3 2" xfId="8401" xr:uid="{00000000-0005-0000-0000-0000682F0000}"/>
    <cellStyle name="B_Left_SG.EEV-Apr06_HK.EEV-May06 4+2 kkh 4" xfId="8402" xr:uid="{00000000-0005-0000-0000-0000692F0000}"/>
    <cellStyle name="B_Left_SG.EEV-Apr06_HK.EEV-May06 4+2 kkh 4 2" xfId="8403" xr:uid="{00000000-0005-0000-0000-00006A2F0000}"/>
    <cellStyle name="B_Left_SG.EEV-Apr06_HK.EEV-May06 4+2 kkh 5" xfId="8404" xr:uid="{00000000-0005-0000-0000-00006B2F0000}"/>
    <cellStyle name="B_Left_SG.EEV-Apr06_HK.EEV-May06 4+2 kkh 5 2" xfId="8405" xr:uid="{00000000-0005-0000-0000-00006C2F0000}"/>
    <cellStyle name="B_Left_SG.EEV-Apr06_HK.EEV-May06 4+2 kkh 6" xfId="8406" xr:uid="{00000000-0005-0000-0000-00006D2F0000}"/>
    <cellStyle name="B_Left_SG.EEV-Apr06_HK.EEV-May06 4+2 kkh 6 2" xfId="8407" xr:uid="{00000000-0005-0000-0000-00006E2F0000}"/>
    <cellStyle name="B_Left_SG.EEV-Apr06_HK.EEV-May06 4+2 kkh 7" xfId="8408" xr:uid="{00000000-0005-0000-0000-00006F2F0000}"/>
    <cellStyle name="B_Left_SG.EEV-Apr06_HK.EEV-May06 4+2 kkh 7 2" xfId="8409" xr:uid="{00000000-0005-0000-0000-0000702F0000}"/>
    <cellStyle name="B_Left_SG.EEV-Apr06_HK.EEV-May06 4+2 kkh 8" xfId="8410" xr:uid="{00000000-0005-0000-0000-0000712F0000}"/>
    <cellStyle name="B_Left_SG.EEV-Apr06_HK.EEV-May06 4+2 kkh 8 2" xfId="8411" xr:uid="{00000000-0005-0000-0000-0000722F0000}"/>
    <cellStyle name="B_Left_SG.EEV-Apr06_HK.EEV-May06 4+2 kkh 9" xfId="8412" xr:uid="{00000000-0005-0000-0000-0000732F0000}"/>
    <cellStyle name="B_Left_SG.EEV-Apr06_HK.EEV-May06 4+2 kkh 9 2" xfId="8413" xr:uid="{00000000-0005-0000-0000-0000742F0000}"/>
    <cellStyle name="B_Left_SG.EEV-Apr06_HK.EEV-May06 4+2 kkh_PROD_DETAILS" xfId="8414" xr:uid="{00000000-0005-0000-0000-0000752F0000}"/>
    <cellStyle name="B_Left_SG.EEV-Apr06_HK.EEV-May06 4+2 kkh_PROD_DETAILS 2" xfId="8415" xr:uid="{00000000-0005-0000-0000-0000762F0000}"/>
    <cellStyle name="B_Left_SG.EEV-Apr06_HK.EEV-May06 4+2 kkh_SOLVENCY POSITION " xfId="8416" xr:uid="{00000000-0005-0000-0000-0000772F0000}"/>
    <cellStyle name="B_Left_SG.EEV-Apr06_HK.EEV-May06 4+2 kkh_SOLVENCY POSITION  2" xfId="8417" xr:uid="{00000000-0005-0000-0000-0000782F0000}"/>
    <cellStyle name="B_Left_SG.EEV-Apr06_PROD_DETAILS" xfId="8418" xr:uid="{00000000-0005-0000-0000-0000792F0000}"/>
    <cellStyle name="B_Left_SG.EEV-Apr06_PROD_DETAILS 2" xfId="8419" xr:uid="{00000000-0005-0000-0000-00007A2F0000}"/>
    <cellStyle name="B_Left_SG.EEV-Apr06_SOLVENCY POSITION " xfId="8420" xr:uid="{00000000-0005-0000-0000-00007B2F0000}"/>
    <cellStyle name="B_Left_SG.EEV-Apr06_SOLVENCY POSITION  2" xfId="8421" xr:uid="{00000000-0005-0000-0000-00007C2F0000}"/>
    <cellStyle name="B_Left_SG.EEV-June06 6+6" xfId="8422" xr:uid="{00000000-0005-0000-0000-00007D2F0000}"/>
    <cellStyle name="B_Left_SG.EEV-June06 6+6 10" xfId="8423" xr:uid="{00000000-0005-0000-0000-00007E2F0000}"/>
    <cellStyle name="B_Left_SG.EEV-June06 6+6 10 2" xfId="8424" xr:uid="{00000000-0005-0000-0000-00007F2F0000}"/>
    <cellStyle name="B_Left_SG.EEV-June06 6+6 11" xfId="8425" xr:uid="{00000000-0005-0000-0000-0000802F0000}"/>
    <cellStyle name="B_Left_SG.EEV-June06 6+6 11 2" xfId="8426" xr:uid="{00000000-0005-0000-0000-0000812F0000}"/>
    <cellStyle name="B_Left_SG.EEV-June06 6+6 12" xfId="8427" xr:uid="{00000000-0005-0000-0000-0000822F0000}"/>
    <cellStyle name="B_Left_SG.EEV-June06 6+6 12 2" xfId="8428" xr:uid="{00000000-0005-0000-0000-0000832F0000}"/>
    <cellStyle name="B_Left_SG.EEV-June06 6+6 13" xfId="8429" xr:uid="{00000000-0005-0000-0000-0000842F0000}"/>
    <cellStyle name="B_Left_SG.EEV-June06 6+6 13 2" xfId="8430" xr:uid="{00000000-0005-0000-0000-0000852F0000}"/>
    <cellStyle name="B_Left_SG.EEV-June06 6+6 14" xfId="8431" xr:uid="{00000000-0005-0000-0000-0000862F0000}"/>
    <cellStyle name="B_Left_SG.EEV-June06 6+6 14 2" xfId="8432" xr:uid="{00000000-0005-0000-0000-0000872F0000}"/>
    <cellStyle name="B_Left_SG.EEV-June06 6+6 15" xfId="8433" xr:uid="{00000000-0005-0000-0000-0000882F0000}"/>
    <cellStyle name="B_Left_SG.EEV-June06 6+6 15 2" xfId="8434" xr:uid="{00000000-0005-0000-0000-0000892F0000}"/>
    <cellStyle name="B_Left_SG.EEV-June06 6+6 16" xfId="8435" xr:uid="{00000000-0005-0000-0000-00008A2F0000}"/>
    <cellStyle name="B_Left_SG.EEV-June06 6+6 16 2" xfId="8436" xr:uid="{00000000-0005-0000-0000-00008B2F0000}"/>
    <cellStyle name="B_Left_SG.EEV-June06 6+6 17" xfId="8437" xr:uid="{00000000-0005-0000-0000-00008C2F0000}"/>
    <cellStyle name="B_Left_SG.EEV-June06 6+6 17 2" xfId="8438" xr:uid="{00000000-0005-0000-0000-00008D2F0000}"/>
    <cellStyle name="B_Left_SG.EEV-June06 6+6 18" xfId="8439" xr:uid="{00000000-0005-0000-0000-00008E2F0000}"/>
    <cellStyle name="B_Left_SG.EEV-June06 6+6 18 2" xfId="8440" xr:uid="{00000000-0005-0000-0000-00008F2F0000}"/>
    <cellStyle name="B_Left_SG.EEV-June06 6+6 19" xfId="8441" xr:uid="{00000000-0005-0000-0000-0000902F0000}"/>
    <cellStyle name="B_Left_SG.EEV-June06 6+6 19 2" xfId="8442" xr:uid="{00000000-0005-0000-0000-0000912F0000}"/>
    <cellStyle name="B_Left_SG.EEV-June06 6+6 2" xfId="8443" xr:uid="{00000000-0005-0000-0000-0000922F0000}"/>
    <cellStyle name="B_Left_SG.EEV-June06 6+6 2 2" xfId="8444" xr:uid="{00000000-0005-0000-0000-0000932F0000}"/>
    <cellStyle name="B_Left_SG.EEV-June06 6+6 20" xfId="8445" xr:uid="{00000000-0005-0000-0000-0000942F0000}"/>
    <cellStyle name="B_Left_SG.EEV-June06 6+6 20 2" xfId="8446" xr:uid="{00000000-0005-0000-0000-0000952F0000}"/>
    <cellStyle name="B_Left_SG.EEV-June06 6+6 21" xfId="8447" xr:uid="{00000000-0005-0000-0000-0000962F0000}"/>
    <cellStyle name="B_Left_SG.EEV-June06 6+6 21 2" xfId="8448" xr:uid="{00000000-0005-0000-0000-0000972F0000}"/>
    <cellStyle name="B_Left_SG.EEV-June06 6+6 22" xfId="8449" xr:uid="{00000000-0005-0000-0000-0000982F0000}"/>
    <cellStyle name="B_Left_SG.EEV-June06 6+6 22 2" xfId="8450" xr:uid="{00000000-0005-0000-0000-0000992F0000}"/>
    <cellStyle name="B_Left_SG.EEV-June06 6+6 23" xfId="8451" xr:uid="{00000000-0005-0000-0000-00009A2F0000}"/>
    <cellStyle name="B_Left_SG.EEV-June06 6+6 23 2" xfId="8452" xr:uid="{00000000-0005-0000-0000-00009B2F0000}"/>
    <cellStyle name="B_Left_SG.EEV-June06 6+6 24" xfId="8453" xr:uid="{00000000-0005-0000-0000-00009C2F0000}"/>
    <cellStyle name="B_Left_SG.EEV-June06 6+6 3" xfId="8454" xr:uid="{00000000-0005-0000-0000-00009D2F0000}"/>
    <cellStyle name="B_Left_SG.EEV-June06 6+6 3 2" xfId="8455" xr:uid="{00000000-0005-0000-0000-00009E2F0000}"/>
    <cellStyle name="B_Left_SG.EEV-June06 6+6 4" xfId="8456" xr:uid="{00000000-0005-0000-0000-00009F2F0000}"/>
    <cellStyle name="B_Left_SG.EEV-June06 6+6 4 2" xfId="8457" xr:uid="{00000000-0005-0000-0000-0000A02F0000}"/>
    <cellStyle name="B_Left_SG.EEV-June06 6+6 5" xfId="8458" xr:uid="{00000000-0005-0000-0000-0000A12F0000}"/>
    <cellStyle name="B_Left_SG.EEV-June06 6+6 5 2" xfId="8459" xr:uid="{00000000-0005-0000-0000-0000A22F0000}"/>
    <cellStyle name="B_Left_SG.EEV-June06 6+6 6" xfId="8460" xr:uid="{00000000-0005-0000-0000-0000A32F0000}"/>
    <cellStyle name="B_Left_SG.EEV-June06 6+6 6 2" xfId="8461" xr:uid="{00000000-0005-0000-0000-0000A42F0000}"/>
    <cellStyle name="B_Left_SG.EEV-June06 6+6 7" xfId="8462" xr:uid="{00000000-0005-0000-0000-0000A52F0000}"/>
    <cellStyle name="B_Left_SG.EEV-June06 6+6 7 2" xfId="8463" xr:uid="{00000000-0005-0000-0000-0000A62F0000}"/>
    <cellStyle name="B_Left_SG.EEV-June06 6+6 8" xfId="8464" xr:uid="{00000000-0005-0000-0000-0000A72F0000}"/>
    <cellStyle name="B_Left_SG.EEV-June06 6+6 8 2" xfId="8465" xr:uid="{00000000-0005-0000-0000-0000A82F0000}"/>
    <cellStyle name="B_Left_SG.EEV-June06 6+6 9" xfId="8466" xr:uid="{00000000-0005-0000-0000-0000A92F0000}"/>
    <cellStyle name="B_Left_SG.EEV-June06 6+6 9 2" xfId="8467" xr:uid="{00000000-0005-0000-0000-0000AA2F0000}"/>
    <cellStyle name="B_Left_SG.EEV-June06 6+6_PROD_DETAILS" xfId="8468" xr:uid="{00000000-0005-0000-0000-0000AB2F0000}"/>
    <cellStyle name="B_Left_SG.EEV-June06 6+6_PROD_DETAILS 2" xfId="8469" xr:uid="{00000000-0005-0000-0000-0000AC2F0000}"/>
    <cellStyle name="B_Left_SG.EEV-June06 6+6_SOLVENCY POSITION " xfId="8470" xr:uid="{00000000-0005-0000-0000-0000AD2F0000}"/>
    <cellStyle name="B_Left_SG.EEV-June06 6+6_SOLVENCY POSITION  2" xfId="8471" xr:uid="{00000000-0005-0000-0000-0000AE2F0000}"/>
    <cellStyle name="B_Left_SG.EEV-May06 4+2" xfId="8472" xr:uid="{00000000-0005-0000-0000-0000AF2F0000}"/>
    <cellStyle name="B_Left_SG.EEV-May06 4+2 10" xfId="8473" xr:uid="{00000000-0005-0000-0000-0000B02F0000}"/>
    <cellStyle name="B_Left_SG.EEV-May06 4+2 10 2" xfId="8474" xr:uid="{00000000-0005-0000-0000-0000B12F0000}"/>
    <cellStyle name="B_Left_SG.EEV-May06 4+2 11" xfId="8475" xr:uid="{00000000-0005-0000-0000-0000B22F0000}"/>
    <cellStyle name="B_Left_SG.EEV-May06 4+2 11 2" xfId="8476" xr:uid="{00000000-0005-0000-0000-0000B32F0000}"/>
    <cellStyle name="B_Left_SG.EEV-May06 4+2 12" xfId="8477" xr:uid="{00000000-0005-0000-0000-0000B42F0000}"/>
    <cellStyle name="B_Left_SG.EEV-May06 4+2 12 2" xfId="8478" xr:uid="{00000000-0005-0000-0000-0000B52F0000}"/>
    <cellStyle name="B_Left_SG.EEV-May06 4+2 13" xfId="8479" xr:uid="{00000000-0005-0000-0000-0000B62F0000}"/>
    <cellStyle name="B_Left_SG.EEV-May06 4+2 13 2" xfId="8480" xr:uid="{00000000-0005-0000-0000-0000B72F0000}"/>
    <cellStyle name="B_Left_SG.EEV-May06 4+2 14" xfId="8481" xr:uid="{00000000-0005-0000-0000-0000B82F0000}"/>
    <cellStyle name="B_Left_SG.EEV-May06 4+2 14 2" xfId="8482" xr:uid="{00000000-0005-0000-0000-0000B92F0000}"/>
    <cellStyle name="B_Left_SG.EEV-May06 4+2 15" xfId="8483" xr:uid="{00000000-0005-0000-0000-0000BA2F0000}"/>
    <cellStyle name="B_Left_SG.EEV-May06 4+2 15 2" xfId="8484" xr:uid="{00000000-0005-0000-0000-0000BB2F0000}"/>
    <cellStyle name="B_Left_SG.EEV-May06 4+2 16" xfId="8485" xr:uid="{00000000-0005-0000-0000-0000BC2F0000}"/>
    <cellStyle name="B_Left_SG.EEV-May06 4+2 16 2" xfId="8486" xr:uid="{00000000-0005-0000-0000-0000BD2F0000}"/>
    <cellStyle name="B_Left_SG.EEV-May06 4+2 17" xfId="8487" xr:uid="{00000000-0005-0000-0000-0000BE2F0000}"/>
    <cellStyle name="B_Left_SG.EEV-May06 4+2 17 2" xfId="8488" xr:uid="{00000000-0005-0000-0000-0000BF2F0000}"/>
    <cellStyle name="B_Left_SG.EEV-May06 4+2 18" xfId="8489" xr:uid="{00000000-0005-0000-0000-0000C02F0000}"/>
    <cellStyle name="B_Left_SG.EEV-May06 4+2 18 2" xfId="8490" xr:uid="{00000000-0005-0000-0000-0000C12F0000}"/>
    <cellStyle name="B_Left_SG.EEV-May06 4+2 19" xfId="8491" xr:uid="{00000000-0005-0000-0000-0000C22F0000}"/>
    <cellStyle name="B_Left_SG.EEV-May06 4+2 19 2" xfId="8492" xr:uid="{00000000-0005-0000-0000-0000C32F0000}"/>
    <cellStyle name="B_Left_SG.EEV-May06 4+2 2" xfId="8493" xr:uid="{00000000-0005-0000-0000-0000C42F0000}"/>
    <cellStyle name="B_Left_SG.EEV-May06 4+2 2 2" xfId="8494" xr:uid="{00000000-0005-0000-0000-0000C52F0000}"/>
    <cellStyle name="B_Left_SG.EEV-May06 4+2 20" xfId="8495" xr:uid="{00000000-0005-0000-0000-0000C62F0000}"/>
    <cellStyle name="B_Left_SG.EEV-May06 4+2 20 2" xfId="8496" xr:uid="{00000000-0005-0000-0000-0000C72F0000}"/>
    <cellStyle name="B_Left_SG.EEV-May06 4+2 21" xfId="8497" xr:uid="{00000000-0005-0000-0000-0000C82F0000}"/>
    <cellStyle name="B_Left_SG.EEV-May06 4+2 21 2" xfId="8498" xr:uid="{00000000-0005-0000-0000-0000C92F0000}"/>
    <cellStyle name="B_Left_SG.EEV-May06 4+2 22" xfId="8499" xr:uid="{00000000-0005-0000-0000-0000CA2F0000}"/>
    <cellStyle name="B_Left_SG.EEV-May06 4+2 22 2" xfId="8500" xr:uid="{00000000-0005-0000-0000-0000CB2F0000}"/>
    <cellStyle name="B_Left_SG.EEV-May06 4+2 23" xfId="8501" xr:uid="{00000000-0005-0000-0000-0000CC2F0000}"/>
    <cellStyle name="B_Left_SG.EEV-May06 4+2 23 2" xfId="8502" xr:uid="{00000000-0005-0000-0000-0000CD2F0000}"/>
    <cellStyle name="B_Left_SG.EEV-May06 4+2 24" xfId="8503" xr:uid="{00000000-0005-0000-0000-0000CE2F0000}"/>
    <cellStyle name="B_Left_SG.EEV-May06 4+2 3" xfId="8504" xr:uid="{00000000-0005-0000-0000-0000CF2F0000}"/>
    <cellStyle name="B_Left_SG.EEV-May06 4+2 3 2" xfId="8505" xr:uid="{00000000-0005-0000-0000-0000D02F0000}"/>
    <cellStyle name="B_Left_SG.EEV-May06 4+2 4" xfId="8506" xr:uid="{00000000-0005-0000-0000-0000D12F0000}"/>
    <cellStyle name="B_Left_SG.EEV-May06 4+2 4 2" xfId="8507" xr:uid="{00000000-0005-0000-0000-0000D22F0000}"/>
    <cellStyle name="B_Left_SG.EEV-May06 4+2 5" xfId="8508" xr:uid="{00000000-0005-0000-0000-0000D32F0000}"/>
    <cellStyle name="B_Left_SG.EEV-May06 4+2 5 2" xfId="8509" xr:uid="{00000000-0005-0000-0000-0000D42F0000}"/>
    <cellStyle name="B_Left_SG.EEV-May06 4+2 6" xfId="8510" xr:uid="{00000000-0005-0000-0000-0000D52F0000}"/>
    <cellStyle name="B_Left_SG.EEV-May06 4+2 6 2" xfId="8511" xr:uid="{00000000-0005-0000-0000-0000D62F0000}"/>
    <cellStyle name="B_Left_SG.EEV-May06 4+2 7" xfId="8512" xr:uid="{00000000-0005-0000-0000-0000D72F0000}"/>
    <cellStyle name="B_Left_SG.EEV-May06 4+2 7 2" xfId="8513" xr:uid="{00000000-0005-0000-0000-0000D82F0000}"/>
    <cellStyle name="B_Left_SG.EEV-May06 4+2 8" xfId="8514" xr:uid="{00000000-0005-0000-0000-0000D92F0000}"/>
    <cellStyle name="B_Left_SG.EEV-May06 4+2 8 2" xfId="8515" xr:uid="{00000000-0005-0000-0000-0000DA2F0000}"/>
    <cellStyle name="B_Left_SG.EEV-May06 4+2 9" xfId="8516" xr:uid="{00000000-0005-0000-0000-0000DB2F0000}"/>
    <cellStyle name="B_Left_SG.EEV-May06 4+2 9 2" xfId="8517" xr:uid="{00000000-0005-0000-0000-0000DC2F0000}"/>
    <cellStyle name="B_Left_SG.EEV-May06 4+2_PROD_DETAILS" xfId="8518" xr:uid="{00000000-0005-0000-0000-0000DD2F0000}"/>
    <cellStyle name="B_Left_SG.EEV-May06 4+2_PROD_DETAILS 2" xfId="8519" xr:uid="{00000000-0005-0000-0000-0000DE2F0000}"/>
    <cellStyle name="B_Left_SG.EEV-May06 4+2_SOLVENCY POSITION " xfId="8520" xr:uid="{00000000-0005-0000-0000-0000DF2F0000}"/>
    <cellStyle name="B_Left_SG.EEV-May06 4+2_SOLVENCY POSITION  2" xfId="8521" xr:uid="{00000000-0005-0000-0000-0000E02F0000}"/>
    <cellStyle name="B_Left_SOLVENCY POSITION " xfId="8522" xr:uid="{00000000-0005-0000-0000-0000E12F0000}"/>
    <cellStyle name="B_Left_SOLVENCY POSITION  2" xfId="8523" xr:uid="{00000000-0005-0000-0000-0000E22F0000}"/>
    <cellStyle name="B_Left_SUMM" xfId="8524" xr:uid="{00000000-0005-0000-0000-0000E32F0000}"/>
    <cellStyle name="B_Left_SUMM 10" xfId="8525" xr:uid="{00000000-0005-0000-0000-0000E42F0000}"/>
    <cellStyle name="B_Left_SUMM 10 2" xfId="8526" xr:uid="{00000000-0005-0000-0000-0000E52F0000}"/>
    <cellStyle name="B_Left_SUMM 11" xfId="8527" xr:uid="{00000000-0005-0000-0000-0000E62F0000}"/>
    <cellStyle name="B_Left_SUMM 11 2" xfId="8528" xr:uid="{00000000-0005-0000-0000-0000E72F0000}"/>
    <cellStyle name="B_Left_SUMM 12" xfId="8529" xr:uid="{00000000-0005-0000-0000-0000E82F0000}"/>
    <cellStyle name="B_Left_SUMM 12 2" xfId="8530" xr:uid="{00000000-0005-0000-0000-0000E92F0000}"/>
    <cellStyle name="B_Left_SUMM 13" xfId="8531" xr:uid="{00000000-0005-0000-0000-0000EA2F0000}"/>
    <cellStyle name="B_Left_SUMM 13 2" xfId="8532" xr:uid="{00000000-0005-0000-0000-0000EB2F0000}"/>
    <cellStyle name="B_Left_SUMM 14" xfId="8533" xr:uid="{00000000-0005-0000-0000-0000EC2F0000}"/>
    <cellStyle name="B_Left_SUMM 14 2" xfId="8534" xr:uid="{00000000-0005-0000-0000-0000ED2F0000}"/>
    <cellStyle name="B_Left_SUMM 15" xfId="8535" xr:uid="{00000000-0005-0000-0000-0000EE2F0000}"/>
    <cellStyle name="B_Left_SUMM 15 2" xfId="8536" xr:uid="{00000000-0005-0000-0000-0000EF2F0000}"/>
    <cellStyle name="B_Left_SUMM 16" xfId="8537" xr:uid="{00000000-0005-0000-0000-0000F02F0000}"/>
    <cellStyle name="B_Left_SUMM 16 2" xfId="8538" xr:uid="{00000000-0005-0000-0000-0000F12F0000}"/>
    <cellStyle name="B_Left_SUMM 17" xfId="8539" xr:uid="{00000000-0005-0000-0000-0000F22F0000}"/>
    <cellStyle name="B_Left_SUMM 17 2" xfId="8540" xr:uid="{00000000-0005-0000-0000-0000F32F0000}"/>
    <cellStyle name="B_Left_SUMM 18" xfId="8541" xr:uid="{00000000-0005-0000-0000-0000F42F0000}"/>
    <cellStyle name="B_Left_SUMM 18 2" xfId="8542" xr:uid="{00000000-0005-0000-0000-0000F52F0000}"/>
    <cellStyle name="B_Left_SUMM 19" xfId="8543" xr:uid="{00000000-0005-0000-0000-0000F62F0000}"/>
    <cellStyle name="B_Left_SUMM 19 2" xfId="8544" xr:uid="{00000000-0005-0000-0000-0000F72F0000}"/>
    <cellStyle name="B_Left_SUMM 2" xfId="8545" xr:uid="{00000000-0005-0000-0000-0000F82F0000}"/>
    <cellStyle name="B_Left_SUMM 2 2" xfId="8546" xr:uid="{00000000-0005-0000-0000-0000F92F0000}"/>
    <cellStyle name="B_Left_SUMM 20" xfId="8547" xr:uid="{00000000-0005-0000-0000-0000FA2F0000}"/>
    <cellStyle name="B_Left_SUMM 20 2" xfId="8548" xr:uid="{00000000-0005-0000-0000-0000FB2F0000}"/>
    <cellStyle name="B_Left_SUMM 21" xfId="8549" xr:uid="{00000000-0005-0000-0000-0000FC2F0000}"/>
    <cellStyle name="B_Left_SUMM 21 2" xfId="8550" xr:uid="{00000000-0005-0000-0000-0000FD2F0000}"/>
    <cellStyle name="B_Left_SUMM 22" xfId="8551" xr:uid="{00000000-0005-0000-0000-0000FE2F0000}"/>
    <cellStyle name="B_Left_SUMM 22 2" xfId="8552" xr:uid="{00000000-0005-0000-0000-0000FF2F0000}"/>
    <cellStyle name="B_Left_SUMM 23" xfId="8553" xr:uid="{00000000-0005-0000-0000-000000300000}"/>
    <cellStyle name="B_Left_SUMM 23 2" xfId="8554" xr:uid="{00000000-0005-0000-0000-000001300000}"/>
    <cellStyle name="B_Left_SUMM 24" xfId="8555" xr:uid="{00000000-0005-0000-0000-000002300000}"/>
    <cellStyle name="B_Left_SUMM 3" xfId="8556" xr:uid="{00000000-0005-0000-0000-000003300000}"/>
    <cellStyle name="B_Left_SUMM 3 2" xfId="8557" xr:uid="{00000000-0005-0000-0000-000004300000}"/>
    <cellStyle name="B_Left_SUMM 4" xfId="8558" xr:uid="{00000000-0005-0000-0000-000005300000}"/>
    <cellStyle name="B_Left_SUMM 4 2" xfId="8559" xr:uid="{00000000-0005-0000-0000-000006300000}"/>
    <cellStyle name="B_Left_SUMM 5" xfId="8560" xr:uid="{00000000-0005-0000-0000-000007300000}"/>
    <cellStyle name="B_Left_SUMM 5 2" xfId="8561" xr:uid="{00000000-0005-0000-0000-000008300000}"/>
    <cellStyle name="B_Left_SUMM 6" xfId="8562" xr:uid="{00000000-0005-0000-0000-000009300000}"/>
    <cellStyle name="B_Left_SUMM 6 2" xfId="8563" xr:uid="{00000000-0005-0000-0000-00000A300000}"/>
    <cellStyle name="B_Left_SUMM 7" xfId="8564" xr:uid="{00000000-0005-0000-0000-00000B300000}"/>
    <cellStyle name="B_Left_SUMM 7 2" xfId="8565" xr:uid="{00000000-0005-0000-0000-00000C300000}"/>
    <cellStyle name="B_Left_SUMM 8" xfId="8566" xr:uid="{00000000-0005-0000-0000-00000D300000}"/>
    <cellStyle name="B_Left_SUMM 8 2" xfId="8567" xr:uid="{00000000-0005-0000-0000-00000E300000}"/>
    <cellStyle name="B_Left_SUMM 9" xfId="8568" xr:uid="{00000000-0005-0000-0000-00000F300000}"/>
    <cellStyle name="B_Left_SUMM 9 2" xfId="8569" xr:uid="{00000000-0005-0000-0000-000010300000}"/>
    <cellStyle name="B_Left_SUMM_PROD_DETAILS" xfId="8570" xr:uid="{00000000-0005-0000-0000-000011300000}"/>
    <cellStyle name="B_Left_SUMM_PROD_DETAILS 2" xfId="8571" xr:uid="{00000000-0005-0000-0000-000012300000}"/>
    <cellStyle name="B_Left_SUMM_SOLVENCY POSITION " xfId="8572" xr:uid="{00000000-0005-0000-0000-000013300000}"/>
    <cellStyle name="B_Left_SUMM_SOLVENCY POSITION  2" xfId="8573" xr:uid="{00000000-0005-0000-0000-000014300000}"/>
    <cellStyle name="B_Left_Template" xfId="8574" xr:uid="{00000000-0005-0000-0000-000015300000}"/>
    <cellStyle name="B_Left_Template 10" xfId="8575" xr:uid="{00000000-0005-0000-0000-000016300000}"/>
    <cellStyle name="B_Left_Template 10 2" xfId="8576" xr:uid="{00000000-0005-0000-0000-000017300000}"/>
    <cellStyle name="B_Left_Template 11" xfId="8577" xr:uid="{00000000-0005-0000-0000-000018300000}"/>
    <cellStyle name="B_Left_Template 11 2" xfId="8578" xr:uid="{00000000-0005-0000-0000-000019300000}"/>
    <cellStyle name="B_Left_Template 12" xfId="8579" xr:uid="{00000000-0005-0000-0000-00001A300000}"/>
    <cellStyle name="B_Left_Template 12 2" xfId="8580" xr:uid="{00000000-0005-0000-0000-00001B300000}"/>
    <cellStyle name="B_Left_Template 13" xfId="8581" xr:uid="{00000000-0005-0000-0000-00001C300000}"/>
    <cellStyle name="B_Left_Template 13 2" xfId="8582" xr:uid="{00000000-0005-0000-0000-00001D300000}"/>
    <cellStyle name="B_Left_Template 14" xfId="8583" xr:uid="{00000000-0005-0000-0000-00001E300000}"/>
    <cellStyle name="B_Left_Template 14 2" xfId="8584" xr:uid="{00000000-0005-0000-0000-00001F300000}"/>
    <cellStyle name="B_Left_Template 15" xfId="8585" xr:uid="{00000000-0005-0000-0000-000020300000}"/>
    <cellStyle name="B_Left_Template 15 2" xfId="8586" xr:uid="{00000000-0005-0000-0000-000021300000}"/>
    <cellStyle name="B_Left_Template 16" xfId="8587" xr:uid="{00000000-0005-0000-0000-000022300000}"/>
    <cellStyle name="B_Left_Template 16 2" xfId="8588" xr:uid="{00000000-0005-0000-0000-000023300000}"/>
    <cellStyle name="B_Left_Template 17" xfId="8589" xr:uid="{00000000-0005-0000-0000-000024300000}"/>
    <cellStyle name="B_Left_Template 17 2" xfId="8590" xr:uid="{00000000-0005-0000-0000-000025300000}"/>
    <cellStyle name="B_Left_Template 18" xfId="8591" xr:uid="{00000000-0005-0000-0000-000026300000}"/>
    <cellStyle name="B_Left_Template 18 2" xfId="8592" xr:uid="{00000000-0005-0000-0000-000027300000}"/>
    <cellStyle name="B_Left_Template 19" xfId="8593" xr:uid="{00000000-0005-0000-0000-000028300000}"/>
    <cellStyle name="B_Left_Template 19 2" xfId="8594" xr:uid="{00000000-0005-0000-0000-000029300000}"/>
    <cellStyle name="B_Left_Template 2" xfId="8595" xr:uid="{00000000-0005-0000-0000-00002A300000}"/>
    <cellStyle name="B_Left_Template 2 2" xfId="8596" xr:uid="{00000000-0005-0000-0000-00002B300000}"/>
    <cellStyle name="B_Left_Template 20" xfId="8597" xr:uid="{00000000-0005-0000-0000-00002C300000}"/>
    <cellStyle name="B_Left_Template 20 2" xfId="8598" xr:uid="{00000000-0005-0000-0000-00002D300000}"/>
    <cellStyle name="B_Left_Template 21" xfId="8599" xr:uid="{00000000-0005-0000-0000-00002E300000}"/>
    <cellStyle name="B_Left_Template 21 2" xfId="8600" xr:uid="{00000000-0005-0000-0000-00002F300000}"/>
    <cellStyle name="B_Left_Template 22" xfId="8601" xr:uid="{00000000-0005-0000-0000-000030300000}"/>
    <cellStyle name="B_Left_Template 22 2" xfId="8602" xr:uid="{00000000-0005-0000-0000-000031300000}"/>
    <cellStyle name="B_Left_Template 23" xfId="8603" xr:uid="{00000000-0005-0000-0000-000032300000}"/>
    <cellStyle name="B_Left_Template 23 2" xfId="8604" xr:uid="{00000000-0005-0000-0000-000033300000}"/>
    <cellStyle name="B_Left_Template 24" xfId="8605" xr:uid="{00000000-0005-0000-0000-000034300000}"/>
    <cellStyle name="B_Left_Template 3" xfId="8606" xr:uid="{00000000-0005-0000-0000-000035300000}"/>
    <cellStyle name="B_Left_Template 3 2" xfId="8607" xr:uid="{00000000-0005-0000-0000-000036300000}"/>
    <cellStyle name="B_Left_Template 4" xfId="8608" xr:uid="{00000000-0005-0000-0000-000037300000}"/>
    <cellStyle name="B_Left_Template 4 2" xfId="8609" xr:uid="{00000000-0005-0000-0000-000038300000}"/>
    <cellStyle name="B_Left_Template 5" xfId="8610" xr:uid="{00000000-0005-0000-0000-000039300000}"/>
    <cellStyle name="B_Left_Template 5 2" xfId="8611" xr:uid="{00000000-0005-0000-0000-00003A300000}"/>
    <cellStyle name="B_Left_Template 6" xfId="8612" xr:uid="{00000000-0005-0000-0000-00003B300000}"/>
    <cellStyle name="B_Left_Template 6 2" xfId="8613" xr:uid="{00000000-0005-0000-0000-00003C300000}"/>
    <cellStyle name="B_Left_Template 7" xfId="8614" xr:uid="{00000000-0005-0000-0000-00003D300000}"/>
    <cellStyle name="B_Left_Template 7 2" xfId="8615" xr:uid="{00000000-0005-0000-0000-00003E300000}"/>
    <cellStyle name="B_Left_Template 8" xfId="8616" xr:uid="{00000000-0005-0000-0000-00003F300000}"/>
    <cellStyle name="B_Left_Template 8 2" xfId="8617" xr:uid="{00000000-0005-0000-0000-000040300000}"/>
    <cellStyle name="B_Left_Template 9" xfId="8618" xr:uid="{00000000-0005-0000-0000-000041300000}"/>
    <cellStyle name="B_Left_Template 9 2" xfId="8619" xr:uid="{00000000-0005-0000-0000-000042300000}"/>
    <cellStyle name="B_Left_Template_PROD_DETAILS" xfId="8620" xr:uid="{00000000-0005-0000-0000-000043300000}"/>
    <cellStyle name="B_Left_Template_PROD_DETAILS 2" xfId="8621" xr:uid="{00000000-0005-0000-0000-000044300000}"/>
    <cellStyle name="B_Left_Template_SOLVENCY POSITION " xfId="8622" xr:uid="{00000000-0005-0000-0000-000045300000}"/>
    <cellStyle name="B_Left_Template_SOLVENCY POSITION  2" xfId="8623" xr:uid="{00000000-0005-0000-0000-000046300000}"/>
    <cellStyle name="B_Right" xfId="8624" xr:uid="{00000000-0005-0000-0000-000047300000}"/>
    <cellStyle name="B_Right 10" xfId="8625" xr:uid="{00000000-0005-0000-0000-000048300000}"/>
    <cellStyle name="B_Right 11" xfId="8626" xr:uid="{00000000-0005-0000-0000-000049300000}"/>
    <cellStyle name="B_Right 12" xfId="8627" xr:uid="{00000000-0005-0000-0000-00004A300000}"/>
    <cellStyle name="B_Right 13" xfId="8628" xr:uid="{00000000-0005-0000-0000-00004B300000}"/>
    <cellStyle name="B_Right 14" xfId="8629" xr:uid="{00000000-0005-0000-0000-00004C300000}"/>
    <cellStyle name="B_Right 15" xfId="8630" xr:uid="{00000000-0005-0000-0000-00004D300000}"/>
    <cellStyle name="B_Right 16" xfId="8631" xr:uid="{00000000-0005-0000-0000-00004E300000}"/>
    <cellStyle name="B_Right 17" xfId="8632" xr:uid="{00000000-0005-0000-0000-00004F300000}"/>
    <cellStyle name="B_Right 18" xfId="8633" xr:uid="{00000000-0005-0000-0000-000050300000}"/>
    <cellStyle name="B_Right 19" xfId="8634" xr:uid="{00000000-0005-0000-0000-000051300000}"/>
    <cellStyle name="B_Right 2" xfId="8635" xr:uid="{00000000-0005-0000-0000-000052300000}"/>
    <cellStyle name="B_Right 20" xfId="8636" xr:uid="{00000000-0005-0000-0000-000053300000}"/>
    <cellStyle name="B_Right 21" xfId="8637" xr:uid="{00000000-0005-0000-0000-000054300000}"/>
    <cellStyle name="B_Right 22" xfId="8638" xr:uid="{00000000-0005-0000-0000-000055300000}"/>
    <cellStyle name="B_Right 23" xfId="8639" xr:uid="{00000000-0005-0000-0000-000056300000}"/>
    <cellStyle name="B_Right 3" xfId="8640" xr:uid="{00000000-0005-0000-0000-000057300000}"/>
    <cellStyle name="B_Right 4" xfId="8641" xr:uid="{00000000-0005-0000-0000-000058300000}"/>
    <cellStyle name="B_Right 5" xfId="8642" xr:uid="{00000000-0005-0000-0000-000059300000}"/>
    <cellStyle name="B_Right 6" xfId="8643" xr:uid="{00000000-0005-0000-0000-00005A300000}"/>
    <cellStyle name="B_Right 7" xfId="8644" xr:uid="{00000000-0005-0000-0000-00005B300000}"/>
    <cellStyle name="B_Right 8" xfId="8645" xr:uid="{00000000-0005-0000-0000-00005C300000}"/>
    <cellStyle name="B_Right 9" xfId="8646" xr:uid="{00000000-0005-0000-0000-00005D300000}"/>
    <cellStyle name="B_Right_ASSUMP" xfId="8647" xr:uid="{00000000-0005-0000-0000-00005E300000}"/>
    <cellStyle name="B_Right_ASSUMP 10" xfId="8648" xr:uid="{00000000-0005-0000-0000-00005F300000}"/>
    <cellStyle name="B_Right_ASSUMP 11" xfId="8649" xr:uid="{00000000-0005-0000-0000-000060300000}"/>
    <cellStyle name="B_Right_ASSUMP 12" xfId="8650" xr:uid="{00000000-0005-0000-0000-000061300000}"/>
    <cellStyle name="B_Right_ASSUMP 13" xfId="8651" xr:uid="{00000000-0005-0000-0000-000062300000}"/>
    <cellStyle name="B_Right_ASSUMP 14" xfId="8652" xr:uid="{00000000-0005-0000-0000-000063300000}"/>
    <cellStyle name="B_Right_ASSUMP 15" xfId="8653" xr:uid="{00000000-0005-0000-0000-000064300000}"/>
    <cellStyle name="B_Right_ASSUMP 16" xfId="8654" xr:uid="{00000000-0005-0000-0000-000065300000}"/>
    <cellStyle name="B_Right_ASSUMP 17" xfId="8655" xr:uid="{00000000-0005-0000-0000-000066300000}"/>
    <cellStyle name="B_Right_ASSUMP 18" xfId="8656" xr:uid="{00000000-0005-0000-0000-000067300000}"/>
    <cellStyle name="B_Right_ASSUMP 19" xfId="8657" xr:uid="{00000000-0005-0000-0000-000068300000}"/>
    <cellStyle name="B_Right_ASSUMP 2" xfId="8658" xr:uid="{00000000-0005-0000-0000-000069300000}"/>
    <cellStyle name="B_Right_ASSUMP 20" xfId="8659" xr:uid="{00000000-0005-0000-0000-00006A300000}"/>
    <cellStyle name="B_Right_ASSUMP 21" xfId="8660" xr:uid="{00000000-0005-0000-0000-00006B300000}"/>
    <cellStyle name="B_Right_ASSUMP 22" xfId="8661" xr:uid="{00000000-0005-0000-0000-00006C300000}"/>
    <cellStyle name="B_Right_ASSUMP 23" xfId="8662" xr:uid="{00000000-0005-0000-0000-00006D300000}"/>
    <cellStyle name="B_Right_ASSUMP 3" xfId="8663" xr:uid="{00000000-0005-0000-0000-00006E300000}"/>
    <cellStyle name="B_Right_ASSUMP 4" xfId="8664" xr:uid="{00000000-0005-0000-0000-00006F300000}"/>
    <cellStyle name="B_Right_ASSUMP 5" xfId="8665" xr:uid="{00000000-0005-0000-0000-000070300000}"/>
    <cellStyle name="B_Right_ASSUMP 6" xfId="8666" xr:uid="{00000000-0005-0000-0000-000071300000}"/>
    <cellStyle name="B_Right_ASSUMP 7" xfId="8667" xr:uid="{00000000-0005-0000-0000-000072300000}"/>
    <cellStyle name="B_Right_ASSUMP 8" xfId="8668" xr:uid="{00000000-0005-0000-0000-000073300000}"/>
    <cellStyle name="B_Right_ASSUMP 9" xfId="8669" xr:uid="{00000000-0005-0000-0000-000074300000}"/>
    <cellStyle name="B_Right_ASSUMP_PROD_DETAILS" xfId="8670" xr:uid="{00000000-0005-0000-0000-000075300000}"/>
    <cellStyle name="B_Right_ASSUMP_SOLVENCY POSITION " xfId="8671" xr:uid="{00000000-0005-0000-0000-000076300000}"/>
    <cellStyle name="B_Right_Checks" xfId="8672" xr:uid="{00000000-0005-0000-0000-000077300000}"/>
    <cellStyle name="B_Right_Checks 10" xfId="8673" xr:uid="{00000000-0005-0000-0000-000078300000}"/>
    <cellStyle name="B_Right_Checks 11" xfId="8674" xr:uid="{00000000-0005-0000-0000-000079300000}"/>
    <cellStyle name="B_Right_Checks 12" xfId="8675" xr:uid="{00000000-0005-0000-0000-00007A300000}"/>
    <cellStyle name="B_Right_Checks 13" xfId="8676" xr:uid="{00000000-0005-0000-0000-00007B300000}"/>
    <cellStyle name="B_Right_Checks 14" xfId="8677" xr:uid="{00000000-0005-0000-0000-00007C300000}"/>
    <cellStyle name="B_Right_Checks 15" xfId="8678" xr:uid="{00000000-0005-0000-0000-00007D300000}"/>
    <cellStyle name="B_Right_Checks 16" xfId="8679" xr:uid="{00000000-0005-0000-0000-00007E300000}"/>
    <cellStyle name="B_Right_Checks 17" xfId="8680" xr:uid="{00000000-0005-0000-0000-00007F300000}"/>
    <cellStyle name="B_Right_Checks 18" xfId="8681" xr:uid="{00000000-0005-0000-0000-000080300000}"/>
    <cellStyle name="B_Right_Checks 19" xfId="8682" xr:uid="{00000000-0005-0000-0000-000081300000}"/>
    <cellStyle name="B_Right_Checks 2" xfId="8683" xr:uid="{00000000-0005-0000-0000-000082300000}"/>
    <cellStyle name="B_Right_Checks 20" xfId="8684" xr:uid="{00000000-0005-0000-0000-000083300000}"/>
    <cellStyle name="B_Right_Checks 21" xfId="8685" xr:uid="{00000000-0005-0000-0000-000084300000}"/>
    <cellStyle name="B_Right_Checks 22" xfId="8686" xr:uid="{00000000-0005-0000-0000-000085300000}"/>
    <cellStyle name="B_Right_Checks 23" xfId="8687" xr:uid="{00000000-0005-0000-0000-000086300000}"/>
    <cellStyle name="B_Right_Checks 3" xfId="8688" xr:uid="{00000000-0005-0000-0000-000087300000}"/>
    <cellStyle name="B_Right_Checks 4" xfId="8689" xr:uid="{00000000-0005-0000-0000-000088300000}"/>
    <cellStyle name="B_Right_Checks 5" xfId="8690" xr:uid="{00000000-0005-0000-0000-000089300000}"/>
    <cellStyle name="B_Right_Checks 6" xfId="8691" xr:uid="{00000000-0005-0000-0000-00008A300000}"/>
    <cellStyle name="B_Right_Checks 7" xfId="8692" xr:uid="{00000000-0005-0000-0000-00008B300000}"/>
    <cellStyle name="B_Right_Checks 8" xfId="8693" xr:uid="{00000000-0005-0000-0000-00008C300000}"/>
    <cellStyle name="B_Right_Checks 9" xfId="8694" xr:uid="{00000000-0005-0000-0000-00008D300000}"/>
    <cellStyle name="B_Right_Checks_PROD_DETAILS" xfId="8695" xr:uid="{00000000-0005-0000-0000-00008E300000}"/>
    <cellStyle name="B_Right_Checks_SOLVENCY POSITION " xfId="8696" xr:uid="{00000000-0005-0000-0000-00008F300000}"/>
    <cellStyle name="B_Right_Group Life" xfId="8697" xr:uid="{00000000-0005-0000-0000-000090300000}"/>
    <cellStyle name="B_Right_Group Life 10" xfId="8698" xr:uid="{00000000-0005-0000-0000-000091300000}"/>
    <cellStyle name="B_Right_Group Life 11" xfId="8699" xr:uid="{00000000-0005-0000-0000-000092300000}"/>
    <cellStyle name="B_Right_Group Life 12" xfId="8700" xr:uid="{00000000-0005-0000-0000-000093300000}"/>
    <cellStyle name="B_Right_Group Life 13" xfId="8701" xr:uid="{00000000-0005-0000-0000-000094300000}"/>
    <cellStyle name="B_Right_Group Life 14" xfId="8702" xr:uid="{00000000-0005-0000-0000-000095300000}"/>
    <cellStyle name="B_Right_Group Life 15" xfId="8703" xr:uid="{00000000-0005-0000-0000-000096300000}"/>
    <cellStyle name="B_Right_Group Life 16" xfId="8704" xr:uid="{00000000-0005-0000-0000-000097300000}"/>
    <cellStyle name="B_Right_Group Life 17" xfId="8705" xr:uid="{00000000-0005-0000-0000-000098300000}"/>
    <cellStyle name="B_Right_Group Life 18" xfId="8706" xr:uid="{00000000-0005-0000-0000-000099300000}"/>
    <cellStyle name="B_Right_Group Life 19" xfId="8707" xr:uid="{00000000-0005-0000-0000-00009A300000}"/>
    <cellStyle name="B_Right_Group Life 2" xfId="8708" xr:uid="{00000000-0005-0000-0000-00009B300000}"/>
    <cellStyle name="B_Right_Group Life 20" xfId="8709" xr:uid="{00000000-0005-0000-0000-00009C300000}"/>
    <cellStyle name="B_Right_Group Life 21" xfId="8710" xr:uid="{00000000-0005-0000-0000-00009D300000}"/>
    <cellStyle name="B_Right_Group Life 22" xfId="8711" xr:uid="{00000000-0005-0000-0000-00009E300000}"/>
    <cellStyle name="B_Right_Group Life 23" xfId="8712" xr:uid="{00000000-0005-0000-0000-00009F300000}"/>
    <cellStyle name="B_Right_Group Life 3" xfId="8713" xr:uid="{00000000-0005-0000-0000-0000A0300000}"/>
    <cellStyle name="B_Right_Group Life 4" xfId="8714" xr:uid="{00000000-0005-0000-0000-0000A1300000}"/>
    <cellStyle name="B_Right_Group Life 5" xfId="8715" xr:uid="{00000000-0005-0000-0000-0000A2300000}"/>
    <cellStyle name="B_Right_Group Life 6" xfId="8716" xr:uid="{00000000-0005-0000-0000-0000A3300000}"/>
    <cellStyle name="B_Right_Group Life 7" xfId="8717" xr:uid="{00000000-0005-0000-0000-0000A4300000}"/>
    <cellStyle name="B_Right_Group Life 8" xfId="8718" xr:uid="{00000000-0005-0000-0000-0000A5300000}"/>
    <cellStyle name="B_Right_Group Life 9" xfId="8719" xr:uid="{00000000-0005-0000-0000-0000A6300000}"/>
    <cellStyle name="B_Right_Group Life_PROD_DETAILS" xfId="8720" xr:uid="{00000000-0005-0000-0000-0000A7300000}"/>
    <cellStyle name="B_Right_Group Life_SOLVENCY POSITION " xfId="8721" xr:uid="{00000000-0005-0000-0000-0000A8300000}"/>
    <cellStyle name="B_Right_HK P &amp; L (To Finance to compute tax)" xfId="8722" xr:uid="{00000000-0005-0000-0000-0000A9300000}"/>
    <cellStyle name="B_Right_HK P &amp; L (To Finance to compute tax) 10" xfId="8723" xr:uid="{00000000-0005-0000-0000-0000AA300000}"/>
    <cellStyle name="B_Right_HK P &amp; L (To Finance to compute tax) 11" xfId="8724" xr:uid="{00000000-0005-0000-0000-0000AB300000}"/>
    <cellStyle name="B_Right_HK P &amp; L (To Finance to compute tax) 12" xfId="8725" xr:uid="{00000000-0005-0000-0000-0000AC300000}"/>
    <cellStyle name="B_Right_HK P &amp; L (To Finance to compute tax) 13" xfId="8726" xr:uid="{00000000-0005-0000-0000-0000AD300000}"/>
    <cellStyle name="B_Right_HK P &amp; L (To Finance to compute tax) 14" xfId="8727" xr:uid="{00000000-0005-0000-0000-0000AE300000}"/>
    <cellStyle name="B_Right_HK P &amp; L (To Finance to compute tax) 15" xfId="8728" xr:uid="{00000000-0005-0000-0000-0000AF300000}"/>
    <cellStyle name="B_Right_HK P &amp; L (To Finance to compute tax) 16" xfId="8729" xr:uid="{00000000-0005-0000-0000-0000B0300000}"/>
    <cellStyle name="B_Right_HK P &amp; L (To Finance to compute tax) 17" xfId="8730" xr:uid="{00000000-0005-0000-0000-0000B1300000}"/>
    <cellStyle name="B_Right_HK P &amp; L (To Finance to compute tax) 18" xfId="8731" xr:uid="{00000000-0005-0000-0000-0000B2300000}"/>
    <cellStyle name="B_Right_HK P &amp; L (To Finance to compute tax) 19" xfId="8732" xr:uid="{00000000-0005-0000-0000-0000B3300000}"/>
    <cellStyle name="B_Right_HK P &amp; L (To Finance to compute tax) 2" xfId="8733" xr:uid="{00000000-0005-0000-0000-0000B4300000}"/>
    <cellStyle name="B_Right_HK P &amp; L (To Finance to compute tax) 20" xfId="8734" xr:uid="{00000000-0005-0000-0000-0000B5300000}"/>
    <cellStyle name="B_Right_HK P &amp; L (To Finance to compute tax) 21" xfId="8735" xr:uid="{00000000-0005-0000-0000-0000B6300000}"/>
    <cellStyle name="B_Right_HK P &amp; L (To Finance to compute tax) 22" xfId="8736" xr:uid="{00000000-0005-0000-0000-0000B7300000}"/>
    <cellStyle name="B_Right_HK P &amp; L (To Finance to compute tax) 23" xfId="8737" xr:uid="{00000000-0005-0000-0000-0000B8300000}"/>
    <cellStyle name="B_Right_HK P &amp; L (To Finance to compute tax) 3" xfId="8738" xr:uid="{00000000-0005-0000-0000-0000B9300000}"/>
    <cellStyle name="B_Right_HK P &amp; L (To Finance to compute tax) 4" xfId="8739" xr:uid="{00000000-0005-0000-0000-0000BA300000}"/>
    <cellStyle name="B_Right_HK P &amp; L (To Finance to compute tax) 5" xfId="8740" xr:uid="{00000000-0005-0000-0000-0000BB300000}"/>
    <cellStyle name="B_Right_HK P &amp; L (To Finance to compute tax) 6" xfId="8741" xr:uid="{00000000-0005-0000-0000-0000BC300000}"/>
    <cellStyle name="B_Right_HK P &amp; L (To Finance to compute tax) 7" xfId="8742" xr:uid="{00000000-0005-0000-0000-0000BD300000}"/>
    <cellStyle name="B_Right_HK P &amp; L (To Finance to compute tax) 8" xfId="8743" xr:uid="{00000000-0005-0000-0000-0000BE300000}"/>
    <cellStyle name="B_Right_HK P &amp; L (To Finance to compute tax) 9" xfId="8744" xr:uid="{00000000-0005-0000-0000-0000BF300000}"/>
    <cellStyle name="B_Right_HK P &amp; L (To Finance to compute tax)_PROD_DETAILS" xfId="8745" xr:uid="{00000000-0005-0000-0000-0000C0300000}"/>
    <cellStyle name="B_Right_HK P &amp; L (To Finance to compute tax)_SOLVENCY POSITION " xfId="8746" xr:uid="{00000000-0005-0000-0000-0000C1300000}"/>
    <cellStyle name="B_Right_HK.EEV-Apr06v2" xfId="8747" xr:uid="{00000000-0005-0000-0000-0000C2300000}"/>
    <cellStyle name="B_Right_HK.EEV-Apr06v2 10" xfId="8748" xr:uid="{00000000-0005-0000-0000-0000C3300000}"/>
    <cellStyle name="B_Right_HK.EEV-Apr06v2 11" xfId="8749" xr:uid="{00000000-0005-0000-0000-0000C4300000}"/>
    <cellStyle name="B_Right_HK.EEV-Apr06v2 12" xfId="8750" xr:uid="{00000000-0005-0000-0000-0000C5300000}"/>
    <cellStyle name="B_Right_HK.EEV-Apr06v2 13" xfId="8751" xr:uid="{00000000-0005-0000-0000-0000C6300000}"/>
    <cellStyle name="B_Right_HK.EEV-Apr06v2 14" xfId="8752" xr:uid="{00000000-0005-0000-0000-0000C7300000}"/>
    <cellStyle name="B_Right_HK.EEV-Apr06v2 15" xfId="8753" xr:uid="{00000000-0005-0000-0000-0000C8300000}"/>
    <cellStyle name="B_Right_HK.EEV-Apr06v2 16" xfId="8754" xr:uid="{00000000-0005-0000-0000-0000C9300000}"/>
    <cellStyle name="B_Right_HK.EEV-Apr06v2 17" xfId="8755" xr:uid="{00000000-0005-0000-0000-0000CA300000}"/>
    <cellStyle name="B_Right_HK.EEV-Apr06v2 18" xfId="8756" xr:uid="{00000000-0005-0000-0000-0000CB300000}"/>
    <cellStyle name="B_Right_HK.EEV-Apr06v2 19" xfId="8757" xr:uid="{00000000-0005-0000-0000-0000CC300000}"/>
    <cellStyle name="B_Right_HK.EEV-Apr06v2 2" xfId="8758" xr:uid="{00000000-0005-0000-0000-0000CD300000}"/>
    <cellStyle name="B_Right_HK.EEV-Apr06v2 20" xfId="8759" xr:uid="{00000000-0005-0000-0000-0000CE300000}"/>
    <cellStyle name="B_Right_HK.EEV-Apr06v2 21" xfId="8760" xr:uid="{00000000-0005-0000-0000-0000CF300000}"/>
    <cellStyle name="B_Right_HK.EEV-Apr06v2 22" xfId="8761" xr:uid="{00000000-0005-0000-0000-0000D0300000}"/>
    <cellStyle name="B_Right_HK.EEV-Apr06v2 23" xfId="8762" xr:uid="{00000000-0005-0000-0000-0000D1300000}"/>
    <cellStyle name="B_Right_HK.EEV-Apr06v2 3" xfId="8763" xr:uid="{00000000-0005-0000-0000-0000D2300000}"/>
    <cellStyle name="B_Right_HK.EEV-Apr06v2 4" xfId="8764" xr:uid="{00000000-0005-0000-0000-0000D3300000}"/>
    <cellStyle name="B_Right_HK.EEV-Apr06v2 5" xfId="8765" xr:uid="{00000000-0005-0000-0000-0000D4300000}"/>
    <cellStyle name="B_Right_HK.EEV-Apr06v2 6" xfId="8766" xr:uid="{00000000-0005-0000-0000-0000D5300000}"/>
    <cellStyle name="B_Right_HK.EEV-Apr06v2 7" xfId="8767" xr:uid="{00000000-0005-0000-0000-0000D6300000}"/>
    <cellStyle name="B_Right_HK.EEV-Apr06v2 8" xfId="8768" xr:uid="{00000000-0005-0000-0000-0000D7300000}"/>
    <cellStyle name="B_Right_HK.EEV-Apr06v2 9" xfId="8769" xr:uid="{00000000-0005-0000-0000-0000D8300000}"/>
    <cellStyle name="B_Right_HK.EEV-Apr06v2_HK.EEV-May06 4+2 kkh" xfId="8770" xr:uid="{00000000-0005-0000-0000-0000D9300000}"/>
    <cellStyle name="B_Right_HK.EEV-Apr06v2_HK.EEV-May06 4+2 kkh 10" xfId="8771" xr:uid="{00000000-0005-0000-0000-0000DA300000}"/>
    <cellStyle name="B_Right_HK.EEV-Apr06v2_HK.EEV-May06 4+2 kkh 11" xfId="8772" xr:uid="{00000000-0005-0000-0000-0000DB300000}"/>
    <cellStyle name="B_Right_HK.EEV-Apr06v2_HK.EEV-May06 4+2 kkh 12" xfId="8773" xr:uid="{00000000-0005-0000-0000-0000DC300000}"/>
    <cellStyle name="B_Right_HK.EEV-Apr06v2_HK.EEV-May06 4+2 kkh 13" xfId="8774" xr:uid="{00000000-0005-0000-0000-0000DD300000}"/>
    <cellStyle name="B_Right_HK.EEV-Apr06v2_HK.EEV-May06 4+2 kkh 14" xfId="8775" xr:uid="{00000000-0005-0000-0000-0000DE300000}"/>
    <cellStyle name="B_Right_HK.EEV-Apr06v2_HK.EEV-May06 4+2 kkh 15" xfId="8776" xr:uid="{00000000-0005-0000-0000-0000DF300000}"/>
    <cellStyle name="B_Right_HK.EEV-Apr06v2_HK.EEV-May06 4+2 kkh 16" xfId="8777" xr:uid="{00000000-0005-0000-0000-0000E0300000}"/>
    <cellStyle name="B_Right_HK.EEV-Apr06v2_HK.EEV-May06 4+2 kkh 17" xfId="8778" xr:uid="{00000000-0005-0000-0000-0000E1300000}"/>
    <cellStyle name="B_Right_HK.EEV-Apr06v2_HK.EEV-May06 4+2 kkh 18" xfId="8779" xr:uid="{00000000-0005-0000-0000-0000E2300000}"/>
    <cellStyle name="B_Right_HK.EEV-Apr06v2_HK.EEV-May06 4+2 kkh 19" xfId="8780" xr:uid="{00000000-0005-0000-0000-0000E3300000}"/>
    <cellStyle name="B_Right_HK.EEV-Apr06v2_HK.EEV-May06 4+2 kkh 2" xfId="8781" xr:uid="{00000000-0005-0000-0000-0000E4300000}"/>
    <cellStyle name="B_Right_HK.EEV-Apr06v2_HK.EEV-May06 4+2 kkh 20" xfId="8782" xr:uid="{00000000-0005-0000-0000-0000E5300000}"/>
    <cellStyle name="B_Right_HK.EEV-Apr06v2_HK.EEV-May06 4+2 kkh 21" xfId="8783" xr:uid="{00000000-0005-0000-0000-0000E6300000}"/>
    <cellStyle name="B_Right_HK.EEV-Apr06v2_HK.EEV-May06 4+2 kkh 22" xfId="8784" xr:uid="{00000000-0005-0000-0000-0000E7300000}"/>
    <cellStyle name="B_Right_HK.EEV-Apr06v2_HK.EEV-May06 4+2 kkh 23" xfId="8785" xr:uid="{00000000-0005-0000-0000-0000E8300000}"/>
    <cellStyle name="B_Right_HK.EEV-Apr06v2_HK.EEV-May06 4+2 kkh 3" xfId="8786" xr:uid="{00000000-0005-0000-0000-0000E9300000}"/>
    <cellStyle name="B_Right_HK.EEV-Apr06v2_HK.EEV-May06 4+2 kkh 4" xfId="8787" xr:uid="{00000000-0005-0000-0000-0000EA300000}"/>
    <cellStyle name="B_Right_HK.EEV-Apr06v2_HK.EEV-May06 4+2 kkh 5" xfId="8788" xr:uid="{00000000-0005-0000-0000-0000EB300000}"/>
    <cellStyle name="B_Right_HK.EEV-Apr06v2_HK.EEV-May06 4+2 kkh 6" xfId="8789" xr:uid="{00000000-0005-0000-0000-0000EC300000}"/>
    <cellStyle name="B_Right_HK.EEV-Apr06v2_HK.EEV-May06 4+2 kkh 7" xfId="8790" xr:uid="{00000000-0005-0000-0000-0000ED300000}"/>
    <cellStyle name="B_Right_HK.EEV-Apr06v2_HK.EEV-May06 4+2 kkh 8" xfId="8791" xr:uid="{00000000-0005-0000-0000-0000EE300000}"/>
    <cellStyle name="B_Right_HK.EEV-Apr06v2_HK.EEV-May06 4+2 kkh 9" xfId="8792" xr:uid="{00000000-0005-0000-0000-0000EF300000}"/>
    <cellStyle name="B_Right_HK.EEV-Apr06v2_HK.EEV-May06 4+2 kkh_PROD_DETAILS" xfId="8793" xr:uid="{00000000-0005-0000-0000-0000F0300000}"/>
    <cellStyle name="B_Right_HK.EEV-Apr06v2_HK.EEV-May06 4+2 kkh_SOLVENCY POSITION " xfId="8794" xr:uid="{00000000-0005-0000-0000-0000F1300000}"/>
    <cellStyle name="B_Right_HK.EEV-Apr06v2_PROD_DETAILS" xfId="8795" xr:uid="{00000000-0005-0000-0000-0000F2300000}"/>
    <cellStyle name="B_Right_HK.EEV-Apr06v2_SOLVENCY POSITION " xfId="8796" xr:uid="{00000000-0005-0000-0000-0000F3300000}"/>
    <cellStyle name="B_Right_HK.EEV-Jun06 07-09 2006 (QF3)" xfId="8797" xr:uid="{00000000-0005-0000-0000-0000F4300000}"/>
    <cellStyle name="B_Right_HK.EEV-Jun06 07-09 2006 (QF3) 10" xfId="8798" xr:uid="{00000000-0005-0000-0000-0000F5300000}"/>
    <cellStyle name="B_Right_HK.EEV-Jun06 07-09 2006 (QF3) 11" xfId="8799" xr:uid="{00000000-0005-0000-0000-0000F6300000}"/>
    <cellStyle name="B_Right_HK.EEV-Jun06 07-09 2006 (QF3) 12" xfId="8800" xr:uid="{00000000-0005-0000-0000-0000F7300000}"/>
    <cellStyle name="B_Right_HK.EEV-Jun06 07-09 2006 (QF3) 13" xfId="8801" xr:uid="{00000000-0005-0000-0000-0000F8300000}"/>
    <cellStyle name="B_Right_HK.EEV-Jun06 07-09 2006 (QF3) 14" xfId="8802" xr:uid="{00000000-0005-0000-0000-0000F9300000}"/>
    <cellStyle name="B_Right_HK.EEV-Jun06 07-09 2006 (QF3) 15" xfId="8803" xr:uid="{00000000-0005-0000-0000-0000FA300000}"/>
    <cellStyle name="B_Right_HK.EEV-Jun06 07-09 2006 (QF3) 16" xfId="8804" xr:uid="{00000000-0005-0000-0000-0000FB300000}"/>
    <cellStyle name="B_Right_HK.EEV-Jun06 07-09 2006 (QF3) 17" xfId="8805" xr:uid="{00000000-0005-0000-0000-0000FC300000}"/>
    <cellStyle name="B_Right_HK.EEV-Jun06 07-09 2006 (QF3) 18" xfId="8806" xr:uid="{00000000-0005-0000-0000-0000FD300000}"/>
    <cellStyle name="B_Right_HK.EEV-Jun06 07-09 2006 (QF3) 19" xfId="8807" xr:uid="{00000000-0005-0000-0000-0000FE300000}"/>
    <cellStyle name="B_Right_HK.EEV-Jun06 07-09 2006 (QF3) 2" xfId="8808" xr:uid="{00000000-0005-0000-0000-0000FF300000}"/>
    <cellStyle name="B_Right_HK.EEV-Jun06 07-09 2006 (QF3) 20" xfId="8809" xr:uid="{00000000-0005-0000-0000-000000310000}"/>
    <cellStyle name="B_Right_HK.EEV-Jun06 07-09 2006 (QF3) 21" xfId="8810" xr:uid="{00000000-0005-0000-0000-000001310000}"/>
    <cellStyle name="B_Right_HK.EEV-Jun06 07-09 2006 (QF3) 22" xfId="8811" xr:uid="{00000000-0005-0000-0000-000002310000}"/>
    <cellStyle name="B_Right_HK.EEV-Jun06 07-09 2006 (QF3) 23" xfId="8812" xr:uid="{00000000-0005-0000-0000-000003310000}"/>
    <cellStyle name="B_Right_HK.EEV-Jun06 07-09 2006 (QF3) 3" xfId="8813" xr:uid="{00000000-0005-0000-0000-000004310000}"/>
    <cellStyle name="B_Right_HK.EEV-Jun06 07-09 2006 (QF3) 4" xfId="8814" xr:uid="{00000000-0005-0000-0000-000005310000}"/>
    <cellStyle name="B_Right_HK.EEV-Jun06 07-09 2006 (QF3) 5" xfId="8815" xr:uid="{00000000-0005-0000-0000-000006310000}"/>
    <cellStyle name="B_Right_HK.EEV-Jun06 07-09 2006 (QF3) 6" xfId="8816" xr:uid="{00000000-0005-0000-0000-000007310000}"/>
    <cellStyle name="B_Right_HK.EEV-Jun06 07-09 2006 (QF3) 7" xfId="8817" xr:uid="{00000000-0005-0000-0000-000008310000}"/>
    <cellStyle name="B_Right_HK.EEV-Jun06 07-09 2006 (QF3) 8" xfId="8818" xr:uid="{00000000-0005-0000-0000-000009310000}"/>
    <cellStyle name="B_Right_HK.EEV-Jun06 07-09 2006 (QF3) 9" xfId="8819" xr:uid="{00000000-0005-0000-0000-00000A310000}"/>
    <cellStyle name="B_Right_HK.EEV-Jun06 07-09 2006 (QF3)_PROD_DETAILS" xfId="8820" xr:uid="{00000000-0005-0000-0000-00000B310000}"/>
    <cellStyle name="B_Right_HK.EEV-Jun06 07-09 2006 (QF3)_SOLVENCY POSITION " xfId="8821" xr:uid="{00000000-0005-0000-0000-00000C310000}"/>
    <cellStyle name="B_Right_HK.EEV-May06 4+2" xfId="8822" xr:uid="{00000000-0005-0000-0000-00000D310000}"/>
    <cellStyle name="B_Right_HK.EEV-May06 4+2 10" xfId="8823" xr:uid="{00000000-0005-0000-0000-00000E310000}"/>
    <cellStyle name="B_Right_HK.EEV-May06 4+2 11" xfId="8824" xr:uid="{00000000-0005-0000-0000-00000F310000}"/>
    <cellStyle name="B_Right_HK.EEV-May06 4+2 12" xfId="8825" xr:uid="{00000000-0005-0000-0000-000010310000}"/>
    <cellStyle name="B_Right_HK.EEV-May06 4+2 13" xfId="8826" xr:uid="{00000000-0005-0000-0000-000011310000}"/>
    <cellStyle name="B_Right_HK.EEV-May06 4+2 14" xfId="8827" xr:uid="{00000000-0005-0000-0000-000012310000}"/>
    <cellStyle name="B_Right_HK.EEV-May06 4+2 15" xfId="8828" xr:uid="{00000000-0005-0000-0000-000013310000}"/>
    <cellStyle name="B_Right_HK.EEV-May06 4+2 16" xfId="8829" xr:uid="{00000000-0005-0000-0000-000014310000}"/>
    <cellStyle name="B_Right_HK.EEV-May06 4+2 17" xfId="8830" xr:uid="{00000000-0005-0000-0000-000015310000}"/>
    <cellStyle name="B_Right_HK.EEV-May06 4+2 18" xfId="8831" xr:uid="{00000000-0005-0000-0000-000016310000}"/>
    <cellStyle name="B_Right_HK.EEV-May06 4+2 19" xfId="8832" xr:uid="{00000000-0005-0000-0000-000017310000}"/>
    <cellStyle name="B_Right_HK.EEV-May06 4+2 2" xfId="8833" xr:uid="{00000000-0005-0000-0000-000018310000}"/>
    <cellStyle name="B_Right_HK.EEV-May06 4+2 20" xfId="8834" xr:uid="{00000000-0005-0000-0000-000019310000}"/>
    <cellStyle name="B_Right_HK.EEV-May06 4+2 21" xfId="8835" xr:uid="{00000000-0005-0000-0000-00001A310000}"/>
    <cellStyle name="B_Right_HK.EEV-May06 4+2 22" xfId="8836" xr:uid="{00000000-0005-0000-0000-00001B310000}"/>
    <cellStyle name="B_Right_HK.EEV-May06 4+2 23" xfId="8837" xr:uid="{00000000-0005-0000-0000-00001C310000}"/>
    <cellStyle name="B_Right_HK.EEV-May06 4+2 3" xfId="8838" xr:uid="{00000000-0005-0000-0000-00001D310000}"/>
    <cellStyle name="B_Right_HK.EEV-May06 4+2 4" xfId="8839" xr:uid="{00000000-0005-0000-0000-00001E310000}"/>
    <cellStyle name="B_Right_HK.EEV-May06 4+2 5" xfId="8840" xr:uid="{00000000-0005-0000-0000-00001F310000}"/>
    <cellStyle name="B_Right_HK.EEV-May06 4+2 6" xfId="8841" xr:uid="{00000000-0005-0000-0000-000020310000}"/>
    <cellStyle name="B_Right_HK.EEV-May06 4+2 7" xfId="8842" xr:uid="{00000000-0005-0000-0000-000021310000}"/>
    <cellStyle name="B_Right_HK.EEV-May06 4+2 8" xfId="8843" xr:uid="{00000000-0005-0000-0000-000022310000}"/>
    <cellStyle name="B_Right_HK.EEV-May06 4+2 9" xfId="8844" xr:uid="{00000000-0005-0000-0000-000023310000}"/>
    <cellStyle name="B_Right_HK.EEV-May06 4+2_HK.EEV-May06 4+2 kkh" xfId="8845" xr:uid="{00000000-0005-0000-0000-000024310000}"/>
    <cellStyle name="B_Right_HK.EEV-May06 4+2_HK.EEV-May06 4+2 kkh 10" xfId="8846" xr:uid="{00000000-0005-0000-0000-000025310000}"/>
    <cellStyle name="B_Right_HK.EEV-May06 4+2_HK.EEV-May06 4+2 kkh 11" xfId="8847" xr:uid="{00000000-0005-0000-0000-000026310000}"/>
    <cellStyle name="B_Right_HK.EEV-May06 4+2_HK.EEV-May06 4+2 kkh 12" xfId="8848" xr:uid="{00000000-0005-0000-0000-000027310000}"/>
    <cellStyle name="B_Right_HK.EEV-May06 4+2_HK.EEV-May06 4+2 kkh 13" xfId="8849" xr:uid="{00000000-0005-0000-0000-000028310000}"/>
    <cellStyle name="B_Right_HK.EEV-May06 4+2_HK.EEV-May06 4+2 kkh 14" xfId="8850" xr:uid="{00000000-0005-0000-0000-000029310000}"/>
    <cellStyle name="B_Right_HK.EEV-May06 4+2_HK.EEV-May06 4+2 kkh 15" xfId="8851" xr:uid="{00000000-0005-0000-0000-00002A310000}"/>
    <cellStyle name="B_Right_HK.EEV-May06 4+2_HK.EEV-May06 4+2 kkh 16" xfId="8852" xr:uid="{00000000-0005-0000-0000-00002B310000}"/>
    <cellStyle name="B_Right_HK.EEV-May06 4+2_HK.EEV-May06 4+2 kkh 17" xfId="8853" xr:uid="{00000000-0005-0000-0000-00002C310000}"/>
    <cellStyle name="B_Right_HK.EEV-May06 4+2_HK.EEV-May06 4+2 kkh 18" xfId="8854" xr:uid="{00000000-0005-0000-0000-00002D310000}"/>
    <cellStyle name="B_Right_HK.EEV-May06 4+2_HK.EEV-May06 4+2 kkh 19" xfId="8855" xr:uid="{00000000-0005-0000-0000-00002E310000}"/>
    <cellStyle name="B_Right_HK.EEV-May06 4+2_HK.EEV-May06 4+2 kkh 2" xfId="8856" xr:uid="{00000000-0005-0000-0000-00002F310000}"/>
    <cellStyle name="B_Right_HK.EEV-May06 4+2_HK.EEV-May06 4+2 kkh 20" xfId="8857" xr:uid="{00000000-0005-0000-0000-000030310000}"/>
    <cellStyle name="B_Right_HK.EEV-May06 4+2_HK.EEV-May06 4+2 kkh 21" xfId="8858" xr:uid="{00000000-0005-0000-0000-000031310000}"/>
    <cellStyle name="B_Right_HK.EEV-May06 4+2_HK.EEV-May06 4+2 kkh 22" xfId="8859" xr:uid="{00000000-0005-0000-0000-000032310000}"/>
    <cellStyle name="B_Right_HK.EEV-May06 4+2_HK.EEV-May06 4+2 kkh 23" xfId="8860" xr:uid="{00000000-0005-0000-0000-000033310000}"/>
    <cellStyle name="B_Right_HK.EEV-May06 4+2_HK.EEV-May06 4+2 kkh 3" xfId="8861" xr:uid="{00000000-0005-0000-0000-000034310000}"/>
    <cellStyle name="B_Right_HK.EEV-May06 4+2_HK.EEV-May06 4+2 kkh 4" xfId="8862" xr:uid="{00000000-0005-0000-0000-000035310000}"/>
    <cellStyle name="B_Right_HK.EEV-May06 4+2_HK.EEV-May06 4+2 kkh 5" xfId="8863" xr:uid="{00000000-0005-0000-0000-000036310000}"/>
    <cellStyle name="B_Right_HK.EEV-May06 4+2_HK.EEV-May06 4+2 kkh 6" xfId="8864" xr:uid="{00000000-0005-0000-0000-000037310000}"/>
    <cellStyle name="B_Right_HK.EEV-May06 4+2_HK.EEV-May06 4+2 kkh 7" xfId="8865" xr:uid="{00000000-0005-0000-0000-000038310000}"/>
    <cellStyle name="B_Right_HK.EEV-May06 4+2_HK.EEV-May06 4+2 kkh 8" xfId="8866" xr:uid="{00000000-0005-0000-0000-000039310000}"/>
    <cellStyle name="B_Right_HK.EEV-May06 4+2_HK.EEV-May06 4+2 kkh 9" xfId="8867" xr:uid="{00000000-0005-0000-0000-00003A310000}"/>
    <cellStyle name="B_Right_HK.EEV-May06 4+2_HK.EEV-May06 4+2 kkh_PROD_DETAILS" xfId="8868" xr:uid="{00000000-0005-0000-0000-00003B310000}"/>
    <cellStyle name="B_Right_HK.EEV-May06 4+2_HK.EEV-May06 4+2 kkh_SOLVENCY POSITION " xfId="8869" xr:uid="{00000000-0005-0000-0000-00003C310000}"/>
    <cellStyle name="B_Right_HK.EEV-May06 4+2_PROD_DETAILS" xfId="8870" xr:uid="{00000000-0005-0000-0000-00003D310000}"/>
    <cellStyle name="B_Right_HK.EEV-May06 4+2_SOLVENCY POSITION " xfId="8871" xr:uid="{00000000-0005-0000-0000-00003E310000}"/>
    <cellStyle name="B_Right_HK.NBC@Mar2006" xfId="8872" xr:uid="{00000000-0005-0000-0000-00003F310000}"/>
    <cellStyle name="B_Right_HK.NBC@Mar2006 10" xfId="8873" xr:uid="{00000000-0005-0000-0000-000040310000}"/>
    <cellStyle name="B_Right_HK.NBC@Mar2006 11" xfId="8874" xr:uid="{00000000-0005-0000-0000-000041310000}"/>
    <cellStyle name="B_Right_HK.NBC@Mar2006 12" xfId="8875" xr:uid="{00000000-0005-0000-0000-000042310000}"/>
    <cellStyle name="B_Right_HK.NBC@Mar2006 13" xfId="8876" xr:uid="{00000000-0005-0000-0000-000043310000}"/>
    <cellStyle name="B_Right_HK.NBC@Mar2006 14" xfId="8877" xr:uid="{00000000-0005-0000-0000-000044310000}"/>
    <cellStyle name="B_Right_HK.NBC@Mar2006 15" xfId="8878" xr:uid="{00000000-0005-0000-0000-000045310000}"/>
    <cellStyle name="B_Right_HK.NBC@Mar2006 16" xfId="8879" xr:uid="{00000000-0005-0000-0000-000046310000}"/>
    <cellStyle name="B_Right_HK.NBC@Mar2006 17" xfId="8880" xr:uid="{00000000-0005-0000-0000-000047310000}"/>
    <cellStyle name="B_Right_HK.NBC@Mar2006 18" xfId="8881" xr:uid="{00000000-0005-0000-0000-000048310000}"/>
    <cellStyle name="B_Right_HK.NBC@Mar2006 19" xfId="8882" xr:uid="{00000000-0005-0000-0000-000049310000}"/>
    <cellStyle name="B_Right_HK.NBC@Mar2006 2" xfId="8883" xr:uid="{00000000-0005-0000-0000-00004A310000}"/>
    <cellStyle name="B_Right_HK.NBC@Mar2006 20" xfId="8884" xr:uid="{00000000-0005-0000-0000-00004B310000}"/>
    <cellStyle name="B_Right_HK.NBC@Mar2006 21" xfId="8885" xr:uid="{00000000-0005-0000-0000-00004C310000}"/>
    <cellStyle name="B_Right_HK.NBC@Mar2006 22" xfId="8886" xr:uid="{00000000-0005-0000-0000-00004D310000}"/>
    <cellStyle name="B_Right_HK.NBC@Mar2006 23" xfId="8887" xr:uid="{00000000-0005-0000-0000-00004E310000}"/>
    <cellStyle name="B_Right_HK.NBC@Mar2006 3" xfId="8888" xr:uid="{00000000-0005-0000-0000-00004F310000}"/>
    <cellStyle name="B_Right_HK.NBC@Mar2006 4" xfId="8889" xr:uid="{00000000-0005-0000-0000-000050310000}"/>
    <cellStyle name="B_Right_HK.NBC@Mar2006 5" xfId="8890" xr:uid="{00000000-0005-0000-0000-000051310000}"/>
    <cellStyle name="B_Right_HK.NBC@Mar2006 6" xfId="8891" xr:uid="{00000000-0005-0000-0000-000052310000}"/>
    <cellStyle name="B_Right_HK.NBC@Mar2006 7" xfId="8892" xr:uid="{00000000-0005-0000-0000-000053310000}"/>
    <cellStyle name="B_Right_HK.NBC@Mar2006 8" xfId="8893" xr:uid="{00000000-0005-0000-0000-000054310000}"/>
    <cellStyle name="B_Right_HK.NBC@Mar2006 9" xfId="8894" xr:uid="{00000000-0005-0000-0000-000055310000}"/>
    <cellStyle name="B_Right_HK.NBC@Mar2006_HK.EEV-May06 4+2 kkh" xfId="8895" xr:uid="{00000000-0005-0000-0000-000056310000}"/>
    <cellStyle name="B_Right_HK.NBC@Mar2006_HK.EEV-May06 4+2 kkh 10" xfId="8896" xr:uid="{00000000-0005-0000-0000-000057310000}"/>
    <cellStyle name="B_Right_HK.NBC@Mar2006_HK.EEV-May06 4+2 kkh 11" xfId="8897" xr:uid="{00000000-0005-0000-0000-000058310000}"/>
    <cellStyle name="B_Right_HK.NBC@Mar2006_HK.EEV-May06 4+2 kkh 12" xfId="8898" xr:uid="{00000000-0005-0000-0000-000059310000}"/>
    <cellStyle name="B_Right_HK.NBC@Mar2006_HK.EEV-May06 4+2 kkh 13" xfId="8899" xr:uid="{00000000-0005-0000-0000-00005A310000}"/>
    <cellStyle name="B_Right_HK.NBC@Mar2006_HK.EEV-May06 4+2 kkh 14" xfId="8900" xr:uid="{00000000-0005-0000-0000-00005B310000}"/>
    <cellStyle name="B_Right_HK.NBC@Mar2006_HK.EEV-May06 4+2 kkh 15" xfId="8901" xr:uid="{00000000-0005-0000-0000-00005C310000}"/>
    <cellStyle name="B_Right_HK.NBC@Mar2006_HK.EEV-May06 4+2 kkh 16" xfId="8902" xr:uid="{00000000-0005-0000-0000-00005D310000}"/>
    <cellStyle name="B_Right_HK.NBC@Mar2006_HK.EEV-May06 4+2 kkh 17" xfId="8903" xr:uid="{00000000-0005-0000-0000-00005E310000}"/>
    <cellStyle name="B_Right_HK.NBC@Mar2006_HK.EEV-May06 4+2 kkh 18" xfId="8904" xr:uid="{00000000-0005-0000-0000-00005F310000}"/>
    <cellStyle name="B_Right_HK.NBC@Mar2006_HK.EEV-May06 4+2 kkh 19" xfId="8905" xr:uid="{00000000-0005-0000-0000-000060310000}"/>
    <cellStyle name="B_Right_HK.NBC@Mar2006_HK.EEV-May06 4+2 kkh 2" xfId="8906" xr:uid="{00000000-0005-0000-0000-000061310000}"/>
    <cellStyle name="B_Right_HK.NBC@Mar2006_HK.EEV-May06 4+2 kkh 20" xfId="8907" xr:uid="{00000000-0005-0000-0000-000062310000}"/>
    <cellStyle name="B_Right_HK.NBC@Mar2006_HK.EEV-May06 4+2 kkh 21" xfId="8908" xr:uid="{00000000-0005-0000-0000-000063310000}"/>
    <cellStyle name="B_Right_HK.NBC@Mar2006_HK.EEV-May06 4+2 kkh 22" xfId="8909" xr:uid="{00000000-0005-0000-0000-000064310000}"/>
    <cellStyle name="B_Right_HK.NBC@Mar2006_HK.EEV-May06 4+2 kkh 23" xfId="8910" xr:uid="{00000000-0005-0000-0000-000065310000}"/>
    <cellStyle name="B_Right_HK.NBC@Mar2006_HK.EEV-May06 4+2 kkh 3" xfId="8911" xr:uid="{00000000-0005-0000-0000-000066310000}"/>
    <cellStyle name="B_Right_HK.NBC@Mar2006_HK.EEV-May06 4+2 kkh 4" xfId="8912" xr:uid="{00000000-0005-0000-0000-000067310000}"/>
    <cellStyle name="B_Right_HK.NBC@Mar2006_HK.EEV-May06 4+2 kkh 5" xfId="8913" xr:uid="{00000000-0005-0000-0000-000068310000}"/>
    <cellStyle name="B_Right_HK.NBC@Mar2006_HK.EEV-May06 4+2 kkh 6" xfId="8914" xr:uid="{00000000-0005-0000-0000-000069310000}"/>
    <cellStyle name="B_Right_HK.NBC@Mar2006_HK.EEV-May06 4+2 kkh 7" xfId="8915" xr:uid="{00000000-0005-0000-0000-00006A310000}"/>
    <cellStyle name="B_Right_HK.NBC@Mar2006_HK.EEV-May06 4+2 kkh 8" xfId="8916" xr:uid="{00000000-0005-0000-0000-00006B310000}"/>
    <cellStyle name="B_Right_HK.NBC@Mar2006_HK.EEV-May06 4+2 kkh 9" xfId="8917" xr:uid="{00000000-0005-0000-0000-00006C310000}"/>
    <cellStyle name="B_Right_HK.NBC@Mar2006_HK.EEV-May06 4+2 kkh_PROD_DETAILS" xfId="8918" xr:uid="{00000000-0005-0000-0000-00006D310000}"/>
    <cellStyle name="B_Right_HK.NBC@Mar2006_HK.EEV-May06 4+2 kkh_SOLVENCY POSITION " xfId="8919" xr:uid="{00000000-0005-0000-0000-00006E310000}"/>
    <cellStyle name="B_Right_HK.NBC@Mar2006_PROD_DETAILS" xfId="8920" xr:uid="{00000000-0005-0000-0000-00006F310000}"/>
    <cellStyle name="B_Right_HK.NBC@Mar2006_SOLVENCY POSITION " xfId="8921" xr:uid="{00000000-0005-0000-0000-000070310000}"/>
    <cellStyle name="B_Right_HK_NBC@Dec2007(New Lapse)Final" xfId="8922" xr:uid="{00000000-0005-0000-0000-000071310000}"/>
    <cellStyle name="B_Right_HK_NBC@Dec2007(New Lapse)Final 10" xfId="8923" xr:uid="{00000000-0005-0000-0000-000072310000}"/>
    <cellStyle name="B_Right_HK_NBC@Dec2007(New Lapse)Final 11" xfId="8924" xr:uid="{00000000-0005-0000-0000-000073310000}"/>
    <cellStyle name="B_Right_HK_NBC@Dec2007(New Lapse)Final 12" xfId="8925" xr:uid="{00000000-0005-0000-0000-000074310000}"/>
    <cellStyle name="B_Right_HK_NBC@Dec2007(New Lapse)Final 13" xfId="8926" xr:uid="{00000000-0005-0000-0000-000075310000}"/>
    <cellStyle name="B_Right_HK_NBC@Dec2007(New Lapse)Final 14" xfId="8927" xr:uid="{00000000-0005-0000-0000-000076310000}"/>
    <cellStyle name="B_Right_HK_NBC@Dec2007(New Lapse)Final 15" xfId="8928" xr:uid="{00000000-0005-0000-0000-000077310000}"/>
    <cellStyle name="B_Right_HK_NBC@Dec2007(New Lapse)Final 16" xfId="8929" xr:uid="{00000000-0005-0000-0000-000078310000}"/>
    <cellStyle name="B_Right_HK_NBC@Dec2007(New Lapse)Final 17" xfId="8930" xr:uid="{00000000-0005-0000-0000-000079310000}"/>
    <cellStyle name="B_Right_HK_NBC@Dec2007(New Lapse)Final 18" xfId="8931" xr:uid="{00000000-0005-0000-0000-00007A310000}"/>
    <cellStyle name="B_Right_HK_NBC@Dec2007(New Lapse)Final 19" xfId="8932" xr:uid="{00000000-0005-0000-0000-00007B310000}"/>
    <cellStyle name="B_Right_HK_NBC@Dec2007(New Lapse)Final 2" xfId="8933" xr:uid="{00000000-0005-0000-0000-00007C310000}"/>
    <cellStyle name="B_Right_HK_NBC@Dec2007(New Lapse)Final 20" xfId="8934" xr:uid="{00000000-0005-0000-0000-00007D310000}"/>
    <cellStyle name="B_Right_HK_NBC@Dec2007(New Lapse)Final 21" xfId="8935" xr:uid="{00000000-0005-0000-0000-00007E310000}"/>
    <cellStyle name="B_Right_HK_NBC@Dec2007(New Lapse)Final 22" xfId="8936" xr:uid="{00000000-0005-0000-0000-00007F310000}"/>
    <cellStyle name="B_Right_HK_NBC@Dec2007(New Lapse)Final 23" xfId="8937" xr:uid="{00000000-0005-0000-0000-000080310000}"/>
    <cellStyle name="B_Right_HK_NBC@Dec2007(New Lapse)Final 3" xfId="8938" xr:uid="{00000000-0005-0000-0000-000081310000}"/>
    <cellStyle name="B_Right_HK_NBC@Dec2007(New Lapse)Final 4" xfId="8939" xr:uid="{00000000-0005-0000-0000-000082310000}"/>
    <cellStyle name="B_Right_HK_NBC@Dec2007(New Lapse)Final 5" xfId="8940" xr:uid="{00000000-0005-0000-0000-000083310000}"/>
    <cellStyle name="B_Right_HK_NBC@Dec2007(New Lapse)Final 6" xfId="8941" xr:uid="{00000000-0005-0000-0000-000084310000}"/>
    <cellStyle name="B_Right_HK_NBC@Dec2007(New Lapse)Final 7" xfId="8942" xr:uid="{00000000-0005-0000-0000-000085310000}"/>
    <cellStyle name="B_Right_HK_NBC@Dec2007(New Lapse)Final 8" xfId="8943" xr:uid="{00000000-0005-0000-0000-000086310000}"/>
    <cellStyle name="B_Right_HK_NBC@Dec2007(New Lapse)Final 9" xfId="8944" xr:uid="{00000000-0005-0000-0000-000087310000}"/>
    <cellStyle name="B_Right_HK_NBC@Dec2007(New Lapse)Final_PROD_DETAILS" xfId="8945" xr:uid="{00000000-0005-0000-0000-000088310000}"/>
    <cellStyle name="B_Right_HK_NBC@Dec2007(New Lapse)Final_SOLVENCY POSITION " xfId="8946" xr:uid="{00000000-0005-0000-0000-000089310000}"/>
    <cellStyle name="B_Right_PROD_DETAILS" xfId="8947" xr:uid="{00000000-0005-0000-0000-00008A310000}"/>
    <cellStyle name="B_Right_SOLVENCY POSITION " xfId="8948" xr:uid="{00000000-0005-0000-0000-00008B310000}"/>
    <cellStyle name="Bad 10" xfId="8949" xr:uid="{00000000-0005-0000-0000-00008C310000}"/>
    <cellStyle name="Bad 11" xfId="8950" xr:uid="{00000000-0005-0000-0000-00008D310000}"/>
    <cellStyle name="Bad 12" xfId="8951" xr:uid="{00000000-0005-0000-0000-00008E310000}"/>
    <cellStyle name="Bad 13" xfId="8952" xr:uid="{00000000-0005-0000-0000-00008F310000}"/>
    <cellStyle name="Bad 14" xfId="8953" xr:uid="{00000000-0005-0000-0000-000090310000}"/>
    <cellStyle name="Bad 15" xfId="8954" xr:uid="{00000000-0005-0000-0000-000091310000}"/>
    <cellStyle name="Bad 16" xfId="8955" xr:uid="{00000000-0005-0000-0000-000092310000}"/>
    <cellStyle name="Bad 17" xfId="8956" xr:uid="{00000000-0005-0000-0000-000093310000}"/>
    <cellStyle name="Bad 17 2" xfId="8957" xr:uid="{00000000-0005-0000-0000-000094310000}"/>
    <cellStyle name="Bad 17 3" xfId="8958" xr:uid="{00000000-0005-0000-0000-000095310000}"/>
    <cellStyle name="Bad 17 4" xfId="8959" xr:uid="{00000000-0005-0000-0000-000096310000}"/>
    <cellStyle name="Bad 17 5" xfId="8960" xr:uid="{00000000-0005-0000-0000-000097310000}"/>
    <cellStyle name="Bad 18" xfId="8961" xr:uid="{00000000-0005-0000-0000-000098310000}"/>
    <cellStyle name="Bad 18 2" xfId="8962" xr:uid="{00000000-0005-0000-0000-000099310000}"/>
    <cellStyle name="Bad 18 3" xfId="8963" xr:uid="{00000000-0005-0000-0000-00009A310000}"/>
    <cellStyle name="Bad 18 4" xfId="8964" xr:uid="{00000000-0005-0000-0000-00009B310000}"/>
    <cellStyle name="Bad 18 5" xfId="8965" xr:uid="{00000000-0005-0000-0000-00009C310000}"/>
    <cellStyle name="Bad 19" xfId="8966" xr:uid="{00000000-0005-0000-0000-00009D310000}"/>
    <cellStyle name="Bad 19 2" xfId="8967" xr:uid="{00000000-0005-0000-0000-00009E310000}"/>
    <cellStyle name="Bad 19 3" xfId="8968" xr:uid="{00000000-0005-0000-0000-00009F310000}"/>
    <cellStyle name="Bad 19 4" xfId="8969" xr:uid="{00000000-0005-0000-0000-0000A0310000}"/>
    <cellStyle name="Bad 19 5" xfId="8970" xr:uid="{00000000-0005-0000-0000-0000A1310000}"/>
    <cellStyle name="Bad 2" xfId="8971" xr:uid="{00000000-0005-0000-0000-0000A2310000}"/>
    <cellStyle name="Bad 2 2" xfId="8972" xr:uid="{00000000-0005-0000-0000-0000A3310000}"/>
    <cellStyle name="Bad 2 3" xfId="27271" xr:uid="{00000000-0005-0000-0000-0000A4310000}"/>
    <cellStyle name="Bad 20" xfId="8973" xr:uid="{00000000-0005-0000-0000-0000A5310000}"/>
    <cellStyle name="Bad 20 2" xfId="8974" xr:uid="{00000000-0005-0000-0000-0000A6310000}"/>
    <cellStyle name="Bad 20 3" xfId="8975" xr:uid="{00000000-0005-0000-0000-0000A7310000}"/>
    <cellStyle name="Bad 20 4" xfId="8976" xr:uid="{00000000-0005-0000-0000-0000A8310000}"/>
    <cellStyle name="Bad 20 5" xfId="8977" xr:uid="{00000000-0005-0000-0000-0000A9310000}"/>
    <cellStyle name="Bad 21" xfId="8978" xr:uid="{00000000-0005-0000-0000-0000AA310000}"/>
    <cellStyle name="Bad 21 2" xfId="8979" xr:uid="{00000000-0005-0000-0000-0000AB310000}"/>
    <cellStyle name="Bad 21 3" xfId="8980" xr:uid="{00000000-0005-0000-0000-0000AC310000}"/>
    <cellStyle name="Bad 21 4" xfId="8981" xr:uid="{00000000-0005-0000-0000-0000AD310000}"/>
    <cellStyle name="Bad 21 5" xfId="8982" xr:uid="{00000000-0005-0000-0000-0000AE310000}"/>
    <cellStyle name="Bad 22" xfId="8983" xr:uid="{00000000-0005-0000-0000-0000AF310000}"/>
    <cellStyle name="Bad 22 2" xfId="8984" xr:uid="{00000000-0005-0000-0000-0000B0310000}"/>
    <cellStyle name="Bad 22 3" xfId="8985" xr:uid="{00000000-0005-0000-0000-0000B1310000}"/>
    <cellStyle name="Bad 22 4" xfId="8986" xr:uid="{00000000-0005-0000-0000-0000B2310000}"/>
    <cellStyle name="Bad 22 5" xfId="8987" xr:uid="{00000000-0005-0000-0000-0000B3310000}"/>
    <cellStyle name="Bad 23" xfId="8988" xr:uid="{00000000-0005-0000-0000-0000B4310000}"/>
    <cellStyle name="Bad 24" xfId="8989" xr:uid="{00000000-0005-0000-0000-0000B5310000}"/>
    <cellStyle name="Bad 25" xfId="8990" xr:uid="{00000000-0005-0000-0000-0000B6310000}"/>
    <cellStyle name="Bad 26" xfId="8991" xr:uid="{00000000-0005-0000-0000-0000B7310000}"/>
    <cellStyle name="Bad 3" xfId="8992" xr:uid="{00000000-0005-0000-0000-0000B8310000}"/>
    <cellStyle name="Bad 4" xfId="8993" xr:uid="{00000000-0005-0000-0000-0000B9310000}"/>
    <cellStyle name="Bad 5" xfId="8994" xr:uid="{00000000-0005-0000-0000-0000BA310000}"/>
    <cellStyle name="Bad 6" xfId="8995" xr:uid="{00000000-0005-0000-0000-0000BB310000}"/>
    <cellStyle name="Bad 7" xfId="8996" xr:uid="{00000000-0005-0000-0000-0000BC310000}"/>
    <cellStyle name="Bad 8" xfId="8997" xr:uid="{00000000-0005-0000-0000-0000BD310000}"/>
    <cellStyle name="Bad 9" xfId="8998" xr:uid="{00000000-0005-0000-0000-0000BE310000}"/>
    <cellStyle name="Calculation 10" xfId="8999" xr:uid="{00000000-0005-0000-0000-0000BF310000}"/>
    <cellStyle name="Calculation 10 10" xfId="9000" xr:uid="{00000000-0005-0000-0000-0000C0310000}"/>
    <cellStyle name="Calculation 10 10 2" xfId="9001" xr:uid="{00000000-0005-0000-0000-0000C1310000}"/>
    <cellStyle name="Calculation 10 10 3" xfId="27272" xr:uid="{00000000-0005-0000-0000-0000C2310000}"/>
    <cellStyle name="Calculation 10 10 4" xfId="27273" xr:uid="{00000000-0005-0000-0000-0000C3310000}"/>
    <cellStyle name="Calculation 10 11" xfId="9002" xr:uid="{00000000-0005-0000-0000-0000C4310000}"/>
    <cellStyle name="Calculation 10 11 2" xfId="9003" xr:uid="{00000000-0005-0000-0000-0000C5310000}"/>
    <cellStyle name="Calculation 10 11 3" xfId="27274" xr:uid="{00000000-0005-0000-0000-0000C6310000}"/>
    <cellStyle name="Calculation 10 11 4" xfId="27275" xr:uid="{00000000-0005-0000-0000-0000C7310000}"/>
    <cellStyle name="Calculation 10 12" xfId="9004" xr:uid="{00000000-0005-0000-0000-0000C8310000}"/>
    <cellStyle name="Calculation 10 13" xfId="27276" xr:uid="{00000000-0005-0000-0000-0000C9310000}"/>
    <cellStyle name="Calculation 10 14" xfId="27277" xr:uid="{00000000-0005-0000-0000-0000CA310000}"/>
    <cellStyle name="Calculation 10 2" xfId="9005" xr:uid="{00000000-0005-0000-0000-0000CB310000}"/>
    <cellStyle name="Calculation 10 2 10" xfId="27278" xr:uid="{00000000-0005-0000-0000-0000CC310000}"/>
    <cellStyle name="Calculation 10 2 2" xfId="9006" xr:uid="{00000000-0005-0000-0000-0000CD310000}"/>
    <cellStyle name="Calculation 10 2 2 2" xfId="9007" xr:uid="{00000000-0005-0000-0000-0000CE310000}"/>
    <cellStyle name="Calculation 10 2 2 3" xfId="27279" xr:uid="{00000000-0005-0000-0000-0000CF310000}"/>
    <cellStyle name="Calculation 10 2 2 4" xfId="27280" xr:uid="{00000000-0005-0000-0000-0000D0310000}"/>
    <cellStyle name="Calculation 10 2 3" xfId="9008" xr:uid="{00000000-0005-0000-0000-0000D1310000}"/>
    <cellStyle name="Calculation 10 2 3 2" xfId="9009" xr:uid="{00000000-0005-0000-0000-0000D2310000}"/>
    <cellStyle name="Calculation 10 2 3 3" xfId="27281" xr:uid="{00000000-0005-0000-0000-0000D3310000}"/>
    <cellStyle name="Calculation 10 2 3 4" xfId="27282" xr:uid="{00000000-0005-0000-0000-0000D4310000}"/>
    <cellStyle name="Calculation 10 2 4" xfId="9010" xr:uid="{00000000-0005-0000-0000-0000D5310000}"/>
    <cellStyle name="Calculation 10 2 4 2" xfId="9011" xr:uid="{00000000-0005-0000-0000-0000D6310000}"/>
    <cellStyle name="Calculation 10 2 4 3" xfId="27283" xr:uid="{00000000-0005-0000-0000-0000D7310000}"/>
    <cellStyle name="Calculation 10 2 4 4" xfId="27284" xr:uid="{00000000-0005-0000-0000-0000D8310000}"/>
    <cellStyle name="Calculation 10 2 5" xfId="9012" xr:uid="{00000000-0005-0000-0000-0000D9310000}"/>
    <cellStyle name="Calculation 10 2 5 2" xfId="9013" xr:uid="{00000000-0005-0000-0000-0000DA310000}"/>
    <cellStyle name="Calculation 10 2 5 3" xfId="27285" xr:uid="{00000000-0005-0000-0000-0000DB310000}"/>
    <cellStyle name="Calculation 10 2 5 4" xfId="27286" xr:uid="{00000000-0005-0000-0000-0000DC310000}"/>
    <cellStyle name="Calculation 10 2 6" xfId="9014" xr:uid="{00000000-0005-0000-0000-0000DD310000}"/>
    <cellStyle name="Calculation 10 2 6 2" xfId="9015" xr:uid="{00000000-0005-0000-0000-0000DE310000}"/>
    <cellStyle name="Calculation 10 2 6 3" xfId="27287" xr:uid="{00000000-0005-0000-0000-0000DF310000}"/>
    <cellStyle name="Calculation 10 2 6 4" xfId="27288" xr:uid="{00000000-0005-0000-0000-0000E0310000}"/>
    <cellStyle name="Calculation 10 2 7" xfId="9016" xr:uid="{00000000-0005-0000-0000-0000E1310000}"/>
    <cellStyle name="Calculation 10 2 7 2" xfId="9017" xr:uid="{00000000-0005-0000-0000-0000E2310000}"/>
    <cellStyle name="Calculation 10 2 7 3" xfId="27289" xr:uid="{00000000-0005-0000-0000-0000E3310000}"/>
    <cellStyle name="Calculation 10 2 7 4" xfId="27290" xr:uid="{00000000-0005-0000-0000-0000E4310000}"/>
    <cellStyle name="Calculation 10 2 8" xfId="9018" xr:uid="{00000000-0005-0000-0000-0000E5310000}"/>
    <cellStyle name="Calculation 10 2 9" xfId="27291" xr:uid="{00000000-0005-0000-0000-0000E6310000}"/>
    <cellStyle name="Calculation 10 3" xfId="9019" xr:uid="{00000000-0005-0000-0000-0000E7310000}"/>
    <cellStyle name="Calculation 10 3 10" xfId="27292" xr:uid="{00000000-0005-0000-0000-0000E8310000}"/>
    <cellStyle name="Calculation 10 3 2" xfId="9020" xr:uid="{00000000-0005-0000-0000-0000E9310000}"/>
    <cellStyle name="Calculation 10 3 2 2" xfId="9021" xr:uid="{00000000-0005-0000-0000-0000EA310000}"/>
    <cellStyle name="Calculation 10 3 2 3" xfId="27293" xr:uid="{00000000-0005-0000-0000-0000EB310000}"/>
    <cellStyle name="Calculation 10 3 2 4" xfId="27294" xr:uid="{00000000-0005-0000-0000-0000EC310000}"/>
    <cellStyle name="Calculation 10 3 3" xfId="9022" xr:uid="{00000000-0005-0000-0000-0000ED310000}"/>
    <cellStyle name="Calculation 10 3 3 2" xfId="9023" xr:uid="{00000000-0005-0000-0000-0000EE310000}"/>
    <cellStyle name="Calculation 10 3 3 3" xfId="27295" xr:uid="{00000000-0005-0000-0000-0000EF310000}"/>
    <cellStyle name="Calculation 10 3 3 4" xfId="27296" xr:uid="{00000000-0005-0000-0000-0000F0310000}"/>
    <cellStyle name="Calculation 10 3 4" xfId="9024" xr:uid="{00000000-0005-0000-0000-0000F1310000}"/>
    <cellStyle name="Calculation 10 3 4 2" xfId="9025" xr:uid="{00000000-0005-0000-0000-0000F2310000}"/>
    <cellStyle name="Calculation 10 3 4 3" xfId="27297" xr:uid="{00000000-0005-0000-0000-0000F3310000}"/>
    <cellStyle name="Calculation 10 3 4 4" xfId="27298" xr:uid="{00000000-0005-0000-0000-0000F4310000}"/>
    <cellStyle name="Calculation 10 3 5" xfId="9026" xr:uid="{00000000-0005-0000-0000-0000F5310000}"/>
    <cellStyle name="Calculation 10 3 5 2" xfId="9027" xr:uid="{00000000-0005-0000-0000-0000F6310000}"/>
    <cellStyle name="Calculation 10 3 5 3" xfId="27299" xr:uid="{00000000-0005-0000-0000-0000F7310000}"/>
    <cellStyle name="Calculation 10 3 5 4" xfId="27300" xr:uid="{00000000-0005-0000-0000-0000F8310000}"/>
    <cellStyle name="Calculation 10 3 6" xfId="9028" xr:uid="{00000000-0005-0000-0000-0000F9310000}"/>
    <cellStyle name="Calculation 10 3 6 2" xfId="9029" xr:uid="{00000000-0005-0000-0000-0000FA310000}"/>
    <cellStyle name="Calculation 10 3 6 3" xfId="27301" xr:uid="{00000000-0005-0000-0000-0000FB310000}"/>
    <cellStyle name="Calculation 10 3 6 4" xfId="27302" xr:uid="{00000000-0005-0000-0000-0000FC310000}"/>
    <cellStyle name="Calculation 10 3 7" xfId="9030" xr:uid="{00000000-0005-0000-0000-0000FD310000}"/>
    <cellStyle name="Calculation 10 3 7 2" xfId="9031" xr:uid="{00000000-0005-0000-0000-0000FE310000}"/>
    <cellStyle name="Calculation 10 3 7 3" xfId="27303" xr:uid="{00000000-0005-0000-0000-0000FF310000}"/>
    <cellStyle name="Calculation 10 3 7 4" xfId="27304" xr:uid="{00000000-0005-0000-0000-000000320000}"/>
    <cellStyle name="Calculation 10 3 8" xfId="9032" xr:uid="{00000000-0005-0000-0000-000001320000}"/>
    <cellStyle name="Calculation 10 3 9" xfId="27305" xr:uid="{00000000-0005-0000-0000-000002320000}"/>
    <cellStyle name="Calculation 10 4" xfId="9033" xr:uid="{00000000-0005-0000-0000-000003320000}"/>
    <cellStyle name="Calculation 10 4 10" xfId="27306" xr:uid="{00000000-0005-0000-0000-000004320000}"/>
    <cellStyle name="Calculation 10 4 2" xfId="9034" xr:uid="{00000000-0005-0000-0000-000005320000}"/>
    <cellStyle name="Calculation 10 4 2 2" xfId="9035" xr:uid="{00000000-0005-0000-0000-000006320000}"/>
    <cellStyle name="Calculation 10 4 2 3" xfId="27307" xr:uid="{00000000-0005-0000-0000-000007320000}"/>
    <cellStyle name="Calculation 10 4 2 4" xfId="27308" xr:uid="{00000000-0005-0000-0000-000008320000}"/>
    <cellStyle name="Calculation 10 4 3" xfId="9036" xr:uid="{00000000-0005-0000-0000-000009320000}"/>
    <cellStyle name="Calculation 10 4 3 2" xfId="9037" xr:uid="{00000000-0005-0000-0000-00000A320000}"/>
    <cellStyle name="Calculation 10 4 3 3" xfId="27309" xr:uid="{00000000-0005-0000-0000-00000B320000}"/>
    <cellStyle name="Calculation 10 4 3 4" xfId="27310" xr:uid="{00000000-0005-0000-0000-00000C320000}"/>
    <cellStyle name="Calculation 10 4 4" xfId="9038" xr:uid="{00000000-0005-0000-0000-00000D320000}"/>
    <cellStyle name="Calculation 10 4 4 2" xfId="9039" xr:uid="{00000000-0005-0000-0000-00000E320000}"/>
    <cellStyle name="Calculation 10 4 4 3" xfId="27311" xr:uid="{00000000-0005-0000-0000-00000F320000}"/>
    <cellStyle name="Calculation 10 4 4 4" xfId="27312" xr:uid="{00000000-0005-0000-0000-000010320000}"/>
    <cellStyle name="Calculation 10 4 5" xfId="9040" xr:uid="{00000000-0005-0000-0000-000011320000}"/>
    <cellStyle name="Calculation 10 4 5 2" xfId="9041" xr:uid="{00000000-0005-0000-0000-000012320000}"/>
    <cellStyle name="Calculation 10 4 5 3" xfId="27313" xr:uid="{00000000-0005-0000-0000-000013320000}"/>
    <cellStyle name="Calculation 10 4 5 4" xfId="27314" xr:uid="{00000000-0005-0000-0000-000014320000}"/>
    <cellStyle name="Calculation 10 4 6" xfId="9042" xr:uid="{00000000-0005-0000-0000-000015320000}"/>
    <cellStyle name="Calculation 10 4 6 2" xfId="9043" xr:uid="{00000000-0005-0000-0000-000016320000}"/>
    <cellStyle name="Calculation 10 4 6 3" xfId="27315" xr:uid="{00000000-0005-0000-0000-000017320000}"/>
    <cellStyle name="Calculation 10 4 6 4" xfId="27316" xr:uid="{00000000-0005-0000-0000-000018320000}"/>
    <cellStyle name="Calculation 10 4 7" xfId="9044" xr:uid="{00000000-0005-0000-0000-000019320000}"/>
    <cellStyle name="Calculation 10 4 7 2" xfId="9045" xr:uid="{00000000-0005-0000-0000-00001A320000}"/>
    <cellStyle name="Calculation 10 4 7 3" xfId="27317" xr:uid="{00000000-0005-0000-0000-00001B320000}"/>
    <cellStyle name="Calculation 10 4 7 4" xfId="27318" xr:uid="{00000000-0005-0000-0000-00001C320000}"/>
    <cellStyle name="Calculation 10 4 8" xfId="9046" xr:uid="{00000000-0005-0000-0000-00001D320000}"/>
    <cellStyle name="Calculation 10 4 9" xfId="27319" xr:uid="{00000000-0005-0000-0000-00001E320000}"/>
    <cellStyle name="Calculation 10 5" xfId="9047" xr:uid="{00000000-0005-0000-0000-00001F320000}"/>
    <cellStyle name="Calculation 10 5 10" xfId="27320" xr:uid="{00000000-0005-0000-0000-000020320000}"/>
    <cellStyle name="Calculation 10 5 2" xfId="9048" xr:uid="{00000000-0005-0000-0000-000021320000}"/>
    <cellStyle name="Calculation 10 5 2 2" xfId="9049" xr:uid="{00000000-0005-0000-0000-000022320000}"/>
    <cellStyle name="Calculation 10 5 2 3" xfId="27321" xr:uid="{00000000-0005-0000-0000-000023320000}"/>
    <cellStyle name="Calculation 10 5 2 4" xfId="27322" xr:uid="{00000000-0005-0000-0000-000024320000}"/>
    <cellStyle name="Calculation 10 5 3" xfId="9050" xr:uid="{00000000-0005-0000-0000-000025320000}"/>
    <cellStyle name="Calculation 10 5 3 2" xfId="9051" xr:uid="{00000000-0005-0000-0000-000026320000}"/>
    <cellStyle name="Calculation 10 5 3 3" xfId="27323" xr:uid="{00000000-0005-0000-0000-000027320000}"/>
    <cellStyle name="Calculation 10 5 3 4" xfId="27324" xr:uid="{00000000-0005-0000-0000-000028320000}"/>
    <cellStyle name="Calculation 10 5 4" xfId="9052" xr:uid="{00000000-0005-0000-0000-000029320000}"/>
    <cellStyle name="Calculation 10 5 4 2" xfId="9053" xr:uid="{00000000-0005-0000-0000-00002A320000}"/>
    <cellStyle name="Calculation 10 5 4 3" xfId="27325" xr:uid="{00000000-0005-0000-0000-00002B320000}"/>
    <cellStyle name="Calculation 10 5 4 4" xfId="27326" xr:uid="{00000000-0005-0000-0000-00002C320000}"/>
    <cellStyle name="Calculation 10 5 5" xfId="9054" xr:uid="{00000000-0005-0000-0000-00002D320000}"/>
    <cellStyle name="Calculation 10 5 5 2" xfId="9055" xr:uid="{00000000-0005-0000-0000-00002E320000}"/>
    <cellStyle name="Calculation 10 5 5 3" xfId="27327" xr:uid="{00000000-0005-0000-0000-00002F320000}"/>
    <cellStyle name="Calculation 10 5 5 4" xfId="27328" xr:uid="{00000000-0005-0000-0000-000030320000}"/>
    <cellStyle name="Calculation 10 5 6" xfId="9056" xr:uid="{00000000-0005-0000-0000-000031320000}"/>
    <cellStyle name="Calculation 10 5 6 2" xfId="9057" xr:uid="{00000000-0005-0000-0000-000032320000}"/>
    <cellStyle name="Calculation 10 5 6 3" xfId="27329" xr:uid="{00000000-0005-0000-0000-000033320000}"/>
    <cellStyle name="Calculation 10 5 6 4" xfId="27330" xr:uid="{00000000-0005-0000-0000-000034320000}"/>
    <cellStyle name="Calculation 10 5 7" xfId="9058" xr:uid="{00000000-0005-0000-0000-000035320000}"/>
    <cellStyle name="Calculation 10 5 7 2" xfId="9059" xr:uid="{00000000-0005-0000-0000-000036320000}"/>
    <cellStyle name="Calculation 10 5 7 3" xfId="27331" xr:uid="{00000000-0005-0000-0000-000037320000}"/>
    <cellStyle name="Calculation 10 5 7 4" xfId="27332" xr:uid="{00000000-0005-0000-0000-000038320000}"/>
    <cellStyle name="Calculation 10 5 8" xfId="9060" xr:uid="{00000000-0005-0000-0000-000039320000}"/>
    <cellStyle name="Calculation 10 5 9" xfId="27333" xr:uid="{00000000-0005-0000-0000-00003A320000}"/>
    <cellStyle name="Calculation 10 6" xfId="9061" xr:uid="{00000000-0005-0000-0000-00003B320000}"/>
    <cellStyle name="Calculation 10 6 2" xfId="9062" xr:uid="{00000000-0005-0000-0000-00003C320000}"/>
    <cellStyle name="Calculation 10 6 3" xfId="27334" xr:uid="{00000000-0005-0000-0000-00003D320000}"/>
    <cellStyle name="Calculation 10 6 4" xfId="27335" xr:uid="{00000000-0005-0000-0000-00003E320000}"/>
    <cellStyle name="Calculation 10 7" xfId="9063" xr:uid="{00000000-0005-0000-0000-00003F320000}"/>
    <cellStyle name="Calculation 10 7 2" xfId="9064" xr:uid="{00000000-0005-0000-0000-000040320000}"/>
    <cellStyle name="Calculation 10 7 3" xfId="27336" xr:uid="{00000000-0005-0000-0000-000041320000}"/>
    <cellStyle name="Calculation 10 7 4" xfId="27337" xr:uid="{00000000-0005-0000-0000-000042320000}"/>
    <cellStyle name="Calculation 10 8" xfId="9065" xr:uid="{00000000-0005-0000-0000-000043320000}"/>
    <cellStyle name="Calculation 10 8 2" xfId="9066" xr:uid="{00000000-0005-0000-0000-000044320000}"/>
    <cellStyle name="Calculation 10 8 3" xfId="27338" xr:uid="{00000000-0005-0000-0000-000045320000}"/>
    <cellStyle name="Calculation 10 8 4" xfId="27339" xr:uid="{00000000-0005-0000-0000-000046320000}"/>
    <cellStyle name="Calculation 10 9" xfId="9067" xr:uid="{00000000-0005-0000-0000-000047320000}"/>
    <cellStyle name="Calculation 10 9 2" xfId="9068" xr:uid="{00000000-0005-0000-0000-000048320000}"/>
    <cellStyle name="Calculation 10 9 3" xfId="27340" xr:uid="{00000000-0005-0000-0000-000049320000}"/>
    <cellStyle name="Calculation 10 9 4" xfId="27341" xr:uid="{00000000-0005-0000-0000-00004A320000}"/>
    <cellStyle name="Calculation 11" xfId="9069" xr:uid="{00000000-0005-0000-0000-00004B320000}"/>
    <cellStyle name="Calculation 11 10" xfId="9070" xr:uid="{00000000-0005-0000-0000-00004C320000}"/>
    <cellStyle name="Calculation 11 10 2" xfId="9071" xr:uid="{00000000-0005-0000-0000-00004D320000}"/>
    <cellStyle name="Calculation 11 10 3" xfId="27342" xr:uid="{00000000-0005-0000-0000-00004E320000}"/>
    <cellStyle name="Calculation 11 10 4" xfId="27343" xr:uid="{00000000-0005-0000-0000-00004F320000}"/>
    <cellStyle name="Calculation 11 11" xfId="9072" xr:uid="{00000000-0005-0000-0000-000050320000}"/>
    <cellStyle name="Calculation 11 11 2" xfId="9073" xr:uid="{00000000-0005-0000-0000-000051320000}"/>
    <cellStyle name="Calculation 11 11 3" xfId="27344" xr:uid="{00000000-0005-0000-0000-000052320000}"/>
    <cellStyle name="Calculation 11 11 4" xfId="27345" xr:uid="{00000000-0005-0000-0000-000053320000}"/>
    <cellStyle name="Calculation 11 12" xfId="9074" xr:uid="{00000000-0005-0000-0000-000054320000}"/>
    <cellStyle name="Calculation 11 13" xfId="27346" xr:uid="{00000000-0005-0000-0000-000055320000}"/>
    <cellStyle name="Calculation 11 14" xfId="27347" xr:uid="{00000000-0005-0000-0000-000056320000}"/>
    <cellStyle name="Calculation 11 2" xfId="9075" xr:uid="{00000000-0005-0000-0000-000057320000}"/>
    <cellStyle name="Calculation 11 2 10" xfId="27348" xr:uid="{00000000-0005-0000-0000-000058320000}"/>
    <cellStyle name="Calculation 11 2 2" xfId="9076" xr:uid="{00000000-0005-0000-0000-000059320000}"/>
    <cellStyle name="Calculation 11 2 2 2" xfId="9077" xr:uid="{00000000-0005-0000-0000-00005A320000}"/>
    <cellStyle name="Calculation 11 2 2 3" xfId="27349" xr:uid="{00000000-0005-0000-0000-00005B320000}"/>
    <cellStyle name="Calculation 11 2 2 4" xfId="27350" xr:uid="{00000000-0005-0000-0000-00005C320000}"/>
    <cellStyle name="Calculation 11 2 3" xfId="9078" xr:uid="{00000000-0005-0000-0000-00005D320000}"/>
    <cellStyle name="Calculation 11 2 3 2" xfId="9079" xr:uid="{00000000-0005-0000-0000-00005E320000}"/>
    <cellStyle name="Calculation 11 2 3 3" xfId="27351" xr:uid="{00000000-0005-0000-0000-00005F320000}"/>
    <cellStyle name="Calculation 11 2 3 4" xfId="27352" xr:uid="{00000000-0005-0000-0000-000060320000}"/>
    <cellStyle name="Calculation 11 2 4" xfId="9080" xr:uid="{00000000-0005-0000-0000-000061320000}"/>
    <cellStyle name="Calculation 11 2 4 2" xfId="9081" xr:uid="{00000000-0005-0000-0000-000062320000}"/>
    <cellStyle name="Calculation 11 2 4 3" xfId="27353" xr:uid="{00000000-0005-0000-0000-000063320000}"/>
    <cellStyle name="Calculation 11 2 4 4" xfId="27354" xr:uid="{00000000-0005-0000-0000-000064320000}"/>
    <cellStyle name="Calculation 11 2 5" xfId="9082" xr:uid="{00000000-0005-0000-0000-000065320000}"/>
    <cellStyle name="Calculation 11 2 5 2" xfId="9083" xr:uid="{00000000-0005-0000-0000-000066320000}"/>
    <cellStyle name="Calculation 11 2 5 3" xfId="27355" xr:uid="{00000000-0005-0000-0000-000067320000}"/>
    <cellStyle name="Calculation 11 2 5 4" xfId="27356" xr:uid="{00000000-0005-0000-0000-000068320000}"/>
    <cellStyle name="Calculation 11 2 6" xfId="9084" xr:uid="{00000000-0005-0000-0000-000069320000}"/>
    <cellStyle name="Calculation 11 2 6 2" xfId="9085" xr:uid="{00000000-0005-0000-0000-00006A320000}"/>
    <cellStyle name="Calculation 11 2 6 3" xfId="27357" xr:uid="{00000000-0005-0000-0000-00006B320000}"/>
    <cellStyle name="Calculation 11 2 6 4" xfId="27358" xr:uid="{00000000-0005-0000-0000-00006C320000}"/>
    <cellStyle name="Calculation 11 2 7" xfId="9086" xr:uid="{00000000-0005-0000-0000-00006D320000}"/>
    <cellStyle name="Calculation 11 2 7 2" xfId="9087" xr:uid="{00000000-0005-0000-0000-00006E320000}"/>
    <cellStyle name="Calculation 11 2 7 3" xfId="27359" xr:uid="{00000000-0005-0000-0000-00006F320000}"/>
    <cellStyle name="Calculation 11 2 7 4" xfId="27360" xr:uid="{00000000-0005-0000-0000-000070320000}"/>
    <cellStyle name="Calculation 11 2 8" xfId="9088" xr:uid="{00000000-0005-0000-0000-000071320000}"/>
    <cellStyle name="Calculation 11 2 9" xfId="27361" xr:uid="{00000000-0005-0000-0000-000072320000}"/>
    <cellStyle name="Calculation 11 3" xfId="9089" xr:uid="{00000000-0005-0000-0000-000073320000}"/>
    <cellStyle name="Calculation 11 3 10" xfId="27362" xr:uid="{00000000-0005-0000-0000-000074320000}"/>
    <cellStyle name="Calculation 11 3 2" xfId="9090" xr:uid="{00000000-0005-0000-0000-000075320000}"/>
    <cellStyle name="Calculation 11 3 2 2" xfId="9091" xr:uid="{00000000-0005-0000-0000-000076320000}"/>
    <cellStyle name="Calculation 11 3 2 3" xfId="27363" xr:uid="{00000000-0005-0000-0000-000077320000}"/>
    <cellStyle name="Calculation 11 3 2 4" xfId="27364" xr:uid="{00000000-0005-0000-0000-000078320000}"/>
    <cellStyle name="Calculation 11 3 3" xfId="9092" xr:uid="{00000000-0005-0000-0000-000079320000}"/>
    <cellStyle name="Calculation 11 3 3 2" xfId="9093" xr:uid="{00000000-0005-0000-0000-00007A320000}"/>
    <cellStyle name="Calculation 11 3 3 3" xfId="27365" xr:uid="{00000000-0005-0000-0000-00007B320000}"/>
    <cellStyle name="Calculation 11 3 3 4" xfId="27366" xr:uid="{00000000-0005-0000-0000-00007C320000}"/>
    <cellStyle name="Calculation 11 3 4" xfId="9094" xr:uid="{00000000-0005-0000-0000-00007D320000}"/>
    <cellStyle name="Calculation 11 3 4 2" xfId="9095" xr:uid="{00000000-0005-0000-0000-00007E320000}"/>
    <cellStyle name="Calculation 11 3 4 3" xfId="27367" xr:uid="{00000000-0005-0000-0000-00007F320000}"/>
    <cellStyle name="Calculation 11 3 4 4" xfId="27368" xr:uid="{00000000-0005-0000-0000-000080320000}"/>
    <cellStyle name="Calculation 11 3 5" xfId="9096" xr:uid="{00000000-0005-0000-0000-000081320000}"/>
    <cellStyle name="Calculation 11 3 5 2" xfId="9097" xr:uid="{00000000-0005-0000-0000-000082320000}"/>
    <cellStyle name="Calculation 11 3 5 3" xfId="27369" xr:uid="{00000000-0005-0000-0000-000083320000}"/>
    <cellStyle name="Calculation 11 3 5 4" xfId="27370" xr:uid="{00000000-0005-0000-0000-000084320000}"/>
    <cellStyle name="Calculation 11 3 6" xfId="9098" xr:uid="{00000000-0005-0000-0000-000085320000}"/>
    <cellStyle name="Calculation 11 3 6 2" xfId="9099" xr:uid="{00000000-0005-0000-0000-000086320000}"/>
    <cellStyle name="Calculation 11 3 6 3" xfId="27371" xr:uid="{00000000-0005-0000-0000-000087320000}"/>
    <cellStyle name="Calculation 11 3 6 4" xfId="27372" xr:uid="{00000000-0005-0000-0000-000088320000}"/>
    <cellStyle name="Calculation 11 3 7" xfId="9100" xr:uid="{00000000-0005-0000-0000-000089320000}"/>
    <cellStyle name="Calculation 11 3 7 2" xfId="9101" xr:uid="{00000000-0005-0000-0000-00008A320000}"/>
    <cellStyle name="Calculation 11 3 7 3" xfId="27373" xr:uid="{00000000-0005-0000-0000-00008B320000}"/>
    <cellStyle name="Calculation 11 3 7 4" xfId="27374" xr:uid="{00000000-0005-0000-0000-00008C320000}"/>
    <cellStyle name="Calculation 11 3 8" xfId="9102" xr:uid="{00000000-0005-0000-0000-00008D320000}"/>
    <cellStyle name="Calculation 11 3 9" xfId="27375" xr:uid="{00000000-0005-0000-0000-00008E320000}"/>
    <cellStyle name="Calculation 11 4" xfId="9103" xr:uid="{00000000-0005-0000-0000-00008F320000}"/>
    <cellStyle name="Calculation 11 4 10" xfId="27376" xr:uid="{00000000-0005-0000-0000-000090320000}"/>
    <cellStyle name="Calculation 11 4 2" xfId="9104" xr:uid="{00000000-0005-0000-0000-000091320000}"/>
    <cellStyle name="Calculation 11 4 2 2" xfId="9105" xr:uid="{00000000-0005-0000-0000-000092320000}"/>
    <cellStyle name="Calculation 11 4 2 3" xfId="27377" xr:uid="{00000000-0005-0000-0000-000093320000}"/>
    <cellStyle name="Calculation 11 4 2 4" xfId="27378" xr:uid="{00000000-0005-0000-0000-000094320000}"/>
    <cellStyle name="Calculation 11 4 3" xfId="9106" xr:uid="{00000000-0005-0000-0000-000095320000}"/>
    <cellStyle name="Calculation 11 4 3 2" xfId="9107" xr:uid="{00000000-0005-0000-0000-000096320000}"/>
    <cellStyle name="Calculation 11 4 3 3" xfId="27379" xr:uid="{00000000-0005-0000-0000-000097320000}"/>
    <cellStyle name="Calculation 11 4 3 4" xfId="27380" xr:uid="{00000000-0005-0000-0000-000098320000}"/>
    <cellStyle name="Calculation 11 4 4" xfId="9108" xr:uid="{00000000-0005-0000-0000-000099320000}"/>
    <cellStyle name="Calculation 11 4 4 2" xfId="9109" xr:uid="{00000000-0005-0000-0000-00009A320000}"/>
    <cellStyle name="Calculation 11 4 4 3" xfId="27381" xr:uid="{00000000-0005-0000-0000-00009B320000}"/>
    <cellStyle name="Calculation 11 4 4 4" xfId="27382" xr:uid="{00000000-0005-0000-0000-00009C320000}"/>
    <cellStyle name="Calculation 11 4 5" xfId="9110" xr:uid="{00000000-0005-0000-0000-00009D320000}"/>
    <cellStyle name="Calculation 11 4 5 2" xfId="9111" xr:uid="{00000000-0005-0000-0000-00009E320000}"/>
    <cellStyle name="Calculation 11 4 5 3" xfId="27383" xr:uid="{00000000-0005-0000-0000-00009F320000}"/>
    <cellStyle name="Calculation 11 4 5 4" xfId="27384" xr:uid="{00000000-0005-0000-0000-0000A0320000}"/>
    <cellStyle name="Calculation 11 4 6" xfId="9112" xr:uid="{00000000-0005-0000-0000-0000A1320000}"/>
    <cellStyle name="Calculation 11 4 6 2" xfId="9113" xr:uid="{00000000-0005-0000-0000-0000A2320000}"/>
    <cellStyle name="Calculation 11 4 6 3" xfId="27385" xr:uid="{00000000-0005-0000-0000-0000A3320000}"/>
    <cellStyle name="Calculation 11 4 6 4" xfId="27386" xr:uid="{00000000-0005-0000-0000-0000A4320000}"/>
    <cellStyle name="Calculation 11 4 7" xfId="9114" xr:uid="{00000000-0005-0000-0000-0000A5320000}"/>
    <cellStyle name="Calculation 11 4 7 2" xfId="9115" xr:uid="{00000000-0005-0000-0000-0000A6320000}"/>
    <cellStyle name="Calculation 11 4 7 3" xfId="27387" xr:uid="{00000000-0005-0000-0000-0000A7320000}"/>
    <cellStyle name="Calculation 11 4 7 4" xfId="27388" xr:uid="{00000000-0005-0000-0000-0000A8320000}"/>
    <cellStyle name="Calculation 11 4 8" xfId="9116" xr:uid="{00000000-0005-0000-0000-0000A9320000}"/>
    <cellStyle name="Calculation 11 4 9" xfId="27389" xr:uid="{00000000-0005-0000-0000-0000AA320000}"/>
    <cellStyle name="Calculation 11 5" xfId="9117" xr:uid="{00000000-0005-0000-0000-0000AB320000}"/>
    <cellStyle name="Calculation 11 5 10" xfId="27390" xr:uid="{00000000-0005-0000-0000-0000AC320000}"/>
    <cellStyle name="Calculation 11 5 2" xfId="9118" xr:uid="{00000000-0005-0000-0000-0000AD320000}"/>
    <cellStyle name="Calculation 11 5 2 2" xfId="9119" xr:uid="{00000000-0005-0000-0000-0000AE320000}"/>
    <cellStyle name="Calculation 11 5 2 3" xfId="27391" xr:uid="{00000000-0005-0000-0000-0000AF320000}"/>
    <cellStyle name="Calculation 11 5 2 4" xfId="27392" xr:uid="{00000000-0005-0000-0000-0000B0320000}"/>
    <cellStyle name="Calculation 11 5 3" xfId="9120" xr:uid="{00000000-0005-0000-0000-0000B1320000}"/>
    <cellStyle name="Calculation 11 5 3 2" xfId="9121" xr:uid="{00000000-0005-0000-0000-0000B2320000}"/>
    <cellStyle name="Calculation 11 5 3 3" xfId="27393" xr:uid="{00000000-0005-0000-0000-0000B3320000}"/>
    <cellStyle name="Calculation 11 5 3 4" xfId="27394" xr:uid="{00000000-0005-0000-0000-0000B4320000}"/>
    <cellStyle name="Calculation 11 5 4" xfId="9122" xr:uid="{00000000-0005-0000-0000-0000B5320000}"/>
    <cellStyle name="Calculation 11 5 4 2" xfId="9123" xr:uid="{00000000-0005-0000-0000-0000B6320000}"/>
    <cellStyle name="Calculation 11 5 4 3" xfId="27395" xr:uid="{00000000-0005-0000-0000-0000B7320000}"/>
    <cellStyle name="Calculation 11 5 4 4" xfId="27396" xr:uid="{00000000-0005-0000-0000-0000B8320000}"/>
    <cellStyle name="Calculation 11 5 5" xfId="9124" xr:uid="{00000000-0005-0000-0000-0000B9320000}"/>
    <cellStyle name="Calculation 11 5 5 2" xfId="9125" xr:uid="{00000000-0005-0000-0000-0000BA320000}"/>
    <cellStyle name="Calculation 11 5 5 3" xfId="27397" xr:uid="{00000000-0005-0000-0000-0000BB320000}"/>
    <cellStyle name="Calculation 11 5 5 4" xfId="27398" xr:uid="{00000000-0005-0000-0000-0000BC320000}"/>
    <cellStyle name="Calculation 11 5 6" xfId="9126" xr:uid="{00000000-0005-0000-0000-0000BD320000}"/>
    <cellStyle name="Calculation 11 5 6 2" xfId="9127" xr:uid="{00000000-0005-0000-0000-0000BE320000}"/>
    <cellStyle name="Calculation 11 5 6 3" xfId="27399" xr:uid="{00000000-0005-0000-0000-0000BF320000}"/>
    <cellStyle name="Calculation 11 5 6 4" xfId="27400" xr:uid="{00000000-0005-0000-0000-0000C0320000}"/>
    <cellStyle name="Calculation 11 5 7" xfId="9128" xr:uid="{00000000-0005-0000-0000-0000C1320000}"/>
    <cellStyle name="Calculation 11 5 7 2" xfId="9129" xr:uid="{00000000-0005-0000-0000-0000C2320000}"/>
    <cellStyle name="Calculation 11 5 7 3" xfId="27401" xr:uid="{00000000-0005-0000-0000-0000C3320000}"/>
    <cellStyle name="Calculation 11 5 7 4" xfId="27402" xr:uid="{00000000-0005-0000-0000-0000C4320000}"/>
    <cellStyle name="Calculation 11 5 8" xfId="9130" xr:uid="{00000000-0005-0000-0000-0000C5320000}"/>
    <cellStyle name="Calculation 11 5 9" xfId="27403" xr:uid="{00000000-0005-0000-0000-0000C6320000}"/>
    <cellStyle name="Calculation 11 6" xfId="9131" xr:uid="{00000000-0005-0000-0000-0000C7320000}"/>
    <cellStyle name="Calculation 11 6 2" xfId="9132" xr:uid="{00000000-0005-0000-0000-0000C8320000}"/>
    <cellStyle name="Calculation 11 6 3" xfId="27404" xr:uid="{00000000-0005-0000-0000-0000C9320000}"/>
    <cellStyle name="Calculation 11 6 4" xfId="27405" xr:uid="{00000000-0005-0000-0000-0000CA320000}"/>
    <cellStyle name="Calculation 11 7" xfId="9133" xr:uid="{00000000-0005-0000-0000-0000CB320000}"/>
    <cellStyle name="Calculation 11 7 2" xfId="9134" xr:uid="{00000000-0005-0000-0000-0000CC320000}"/>
    <cellStyle name="Calculation 11 7 3" xfId="27406" xr:uid="{00000000-0005-0000-0000-0000CD320000}"/>
    <cellStyle name="Calculation 11 7 4" xfId="27407" xr:uid="{00000000-0005-0000-0000-0000CE320000}"/>
    <cellStyle name="Calculation 11 8" xfId="9135" xr:uid="{00000000-0005-0000-0000-0000CF320000}"/>
    <cellStyle name="Calculation 11 8 2" xfId="9136" xr:uid="{00000000-0005-0000-0000-0000D0320000}"/>
    <cellStyle name="Calculation 11 8 3" xfId="27408" xr:uid="{00000000-0005-0000-0000-0000D1320000}"/>
    <cellStyle name="Calculation 11 8 4" xfId="27409" xr:uid="{00000000-0005-0000-0000-0000D2320000}"/>
    <cellStyle name="Calculation 11 9" xfId="9137" xr:uid="{00000000-0005-0000-0000-0000D3320000}"/>
    <cellStyle name="Calculation 11 9 2" xfId="9138" xr:uid="{00000000-0005-0000-0000-0000D4320000}"/>
    <cellStyle name="Calculation 11 9 3" xfId="27410" xr:uid="{00000000-0005-0000-0000-0000D5320000}"/>
    <cellStyle name="Calculation 11 9 4" xfId="27411" xr:uid="{00000000-0005-0000-0000-0000D6320000}"/>
    <cellStyle name="Calculation 12" xfId="9139" xr:uid="{00000000-0005-0000-0000-0000D7320000}"/>
    <cellStyle name="Calculation 12 10" xfId="9140" xr:uid="{00000000-0005-0000-0000-0000D8320000}"/>
    <cellStyle name="Calculation 12 10 2" xfId="9141" xr:uid="{00000000-0005-0000-0000-0000D9320000}"/>
    <cellStyle name="Calculation 12 10 3" xfId="27412" xr:uid="{00000000-0005-0000-0000-0000DA320000}"/>
    <cellStyle name="Calculation 12 10 4" xfId="27413" xr:uid="{00000000-0005-0000-0000-0000DB320000}"/>
    <cellStyle name="Calculation 12 11" xfId="9142" xr:uid="{00000000-0005-0000-0000-0000DC320000}"/>
    <cellStyle name="Calculation 12 11 2" xfId="9143" xr:uid="{00000000-0005-0000-0000-0000DD320000}"/>
    <cellStyle name="Calculation 12 11 3" xfId="27414" xr:uid="{00000000-0005-0000-0000-0000DE320000}"/>
    <cellStyle name="Calculation 12 11 4" xfId="27415" xr:uid="{00000000-0005-0000-0000-0000DF320000}"/>
    <cellStyle name="Calculation 12 12" xfId="9144" xr:uid="{00000000-0005-0000-0000-0000E0320000}"/>
    <cellStyle name="Calculation 12 13" xfId="27416" xr:uid="{00000000-0005-0000-0000-0000E1320000}"/>
    <cellStyle name="Calculation 12 14" xfId="27417" xr:uid="{00000000-0005-0000-0000-0000E2320000}"/>
    <cellStyle name="Calculation 12 2" xfId="9145" xr:uid="{00000000-0005-0000-0000-0000E3320000}"/>
    <cellStyle name="Calculation 12 2 10" xfId="27418" xr:uid="{00000000-0005-0000-0000-0000E4320000}"/>
    <cellStyle name="Calculation 12 2 2" xfId="9146" xr:uid="{00000000-0005-0000-0000-0000E5320000}"/>
    <cellStyle name="Calculation 12 2 2 2" xfId="9147" xr:uid="{00000000-0005-0000-0000-0000E6320000}"/>
    <cellStyle name="Calculation 12 2 2 3" xfId="27419" xr:uid="{00000000-0005-0000-0000-0000E7320000}"/>
    <cellStyle name="Calculation 12 2 2 4" xfId="27420" xr:uid="{00000000-0005-0000-0000-0000E8320000}"/>
    <cellStyle name="Calculation 12 2 3" xfId="9148" xr:uid="{00000000-0005-0000-0000-0000E9320000}"/>
    <cellStyle name="Calculation 12 2 3 2" xfId="9149" xr:uid="{00000000-0005-0000-0000-0000EA320000}"/>
    <cellStyle name="Calculation 12 2 3 3" xfId="27421" xr:uid="{00000000-0005-0000-0000-0000EB320000}"/>
    <cellStyle name="Calculation 12 2 3 4" xfId="27422" xr:uid="{00000000-0005-0000-0000-0000EC320000}"/>
    <cellStyle name="Calculation 12 2 4" xfId="9150" xr:uid="{00000000-0005-0000-0000-0000ED320000}"/>
    <cellStyle name="Calculation 12 2 4 2" xfId="9151" xr:uid="{00000000-0005-0000-0000-0000EE320000}"/>
    <cellStyle name="Calculation 12 2 4 3" xfId="27423" xr:uid="{00000000-0005-0000-0000-0000EF320000}"/>
    <cellStyle name="Calculation 12 2 4 4" xfId="27424" xr:uid="{00000000-0005-0000-0000-0000F0320000}"/>
    <cellStyle name="Calculation 12 2 5" xfId="9152" xr:uid="{00000000-0005-0000-0000-0000F1320000}"/>
    <cellStyle name="Calculation 12 2 5 2" xfId="9153" xr:uid="{00000000-0005-0000-0000-0000F2320000}"/>
    <cellStyle name="Calculation 12 2 5 3" xfId="27425" xr:uid="{00000000-0005-0000-0000-0000F3320000}"/>
    <cellStyle name="Calculation 12 2 5 4" xfId="27426" xr:uid="{00000000-0005-0000-0000-0000F4320000}"/>
    <cellStyle name="Calculation 12 2 6" xfId="9154" xr:uid="{00000000-0005-0000-0000-0000F5320000}"/>
    <cellStyle name="Calculation 12 2 6 2" xfId="9155" xr:uid="{00000000-0005-0000-0000-0000F6320000}"/>
    <cellStyle name="Calculation 12 2 6 3" xfId="27427" xr:uid="{00000000-0005-0000-0000-0000F7320000}"/>
    <cellStyle name="Calculation 12 2 6 4" xfId="27428" xr:uid="{00000000-0005-0000-0000-0000F8320000}"/>
    <cellStyle name="Calculation 12 2 7" xfId="9156" xr:uid="{00000000-0005-0000-0000-0000F9320000}"/>
    <cellStyle name="Calculation 12 2 7 2" xfId="9157" xr:uid="{00000000-0005-0000-0000-0000FA320000}"/>
    <cellStyle name="Calculation 12 2 7 3" xfId="27429" xr:uid="{00000000-0005-0000-0000-0000FB320000}"/>
    <cellStyle name="Calculation 12 2 7 4" xfId="27430" xr:uid="{00000000-0005-0000-0000-0000FC320000}"/>
    <cellStyle name="Calculation 12 2 8" xfId="9158" xr:uid="{00000000-0005-0000-0000-0000FD320000}"/>
    <cellStyle name="Calculation 12 2 9" xfId="27431" xr:uid="{00000000-0005-0000-0000-0000FE320000}"/>
    <cellStyle name="Calculation 12 3" xfId="9159" xr:uid="{00000000-0005-0000-0000-0000FF320000}"/>
    <cellStyle name="Calculation 12 3 10" xfId="27432" xr:uid="{00000000-0005-0000-0000-000000330000}"/>
    <cellStyle name="Calculation 12 3 2" xfId="9160" xr:uid="{00000000-0005-0000-0000-000001330000}"/>
    <cellStyle name="Calculation 12 3 2 2" xfId="9161" xr:uid="{00000000-0005-0000-0000-000002330000}"/>
    <cellStyle name="Calculation 12 3 2 3" xfId="27433" xr:uid="{00000000-0005-0000-0000-000003330000}"/>
    <cellStyle name="Calculation 12 3 2 4" xfId="27434" xr:uid="{00000000-0005-0000-0000-000004330000}"/>
    <cellStyle name="Calculation 12 3 3" xfId="9162" xr:uid="{00000000-0005-0000-0000-000005330000}"/>
    <cellStyle name="Calculation 12 3 3 2" xfId="9163" xr:uid="{00000000-0005-0000-0000-000006330000}"/>
    <cellStyle name="Calculation 12 3 3 3" xfId="27435" xr:uid="{00000000-0005-0000-0000-000007330000}"/>
    <cellStyle name="Calculation 12 3 3 4" xfId="27436" xr:uid="{00000000-0005-0000-0000-000008330000}"/>
    <cellStyle name="Calculation 12 3 4" xfId="9164" xr:uid="{00000000-0005-0000-0000-000009330000}"/>
    <cellStyle name="Calculation 12 3 4 2" xfId="9165" xr:uid="{00000000-0005-0000-0000-00000A330000}"/>
    <cellStyle name="Calculation 12 3 4 3" xfId="27437" xr:uid="{00000000-0005-0000-0000-00000B330000}"/>
    <cellStyle name="Calculation 12 3 4 4" xfId="27438" xr:uid="{00000000-0005-0000-0000-00000C330000}"/>
    <cellStyle name="Calculation 12 3 5" xfId="9166" xr:uid="{00000000-0005-0000-0000-00000D330000}"/>
    <cellStyle name="Calculation 12 3 5 2" xfId="9167" xr:uid="{00000000-0005-0000-0000-00000E330000}"/>
    <cellStyle name="Calculation 12 3 5 3" xfId="27439" xr:uid="{00000000-0005-0000-0000-00000F330000}"/>
    <cellStyle name="Calculation 12 3 5 4" xfId="27440" xr:uid="{00000000-0005-0000-0000-000010330000}"/>
    <cellStyle name="Calculation 12 3 6" xfId="9168" xr:uid="{00000000-0005-0000-0000-000011330000}"/>
    <cellStyle name="Calculation 12 3 6 2" xfId="9169" xr:uid="{00000000-0005-0000-0000-000012330000}"/>
    <cellStyle name="Calculation 12 3 6 3" xfId="27441" xr:uid="{00000000-0005-0000-0000-000013330000}"/>
    <cellStyle name="Calculation 12 3 6 4" xfId="27442" xr:uid="{00000000-0005-0000-0000-000014330000}"/>
    <cellStyle name="Calculation 12 3 7" xfId="9170" xr:uid="{00000000-0005-0000-0000-000015330000}"/>
    <cellStyle name="Calculation 12 3 7 2" xfId="9171" xr:uid="{00000000-0005-0000-0000-000016330000}"/>
    <cellStyle name="Calculation 12 3 7 3" xfId="27443" xr:uid="{00000000-0005-0000-0000-000017330000}"/>
    <cellStyle name="Calculation 12 3 7 4" xfId="27444" xr:uid="{00000000-0005-0000-0000-000018330000}"/>
    <cellStyle name="Calculation 12 3 8" xfId="9172" xr:uid="{00000000-0005-0000-0000-000019330000}"/>
    <cellStyle name="Calculation 12 3 9" xfId="27445" xr:uid="{00000000-0005-0000-0000-00001A330000}"/>
    <cellStyle name="Calculation 12 4" xfId="9173" xr:uid="{00000000-0005-0000-0000-00001B330000}"/>
    <cellStyle name="Calculation 12 4 10" xfId="27446" xr:uid="{00000000-0005-0000-0000-00001C330000}"/>
    <cellStyle name="Calculation 12 4 2" xfId="9174" xr:uid="{00000000-0005-0000-0000-00001D330000}"/>
    <cellStyle name="Calculation 12 4 2 2" xfId="9175" xr:uid="{00000000-0005-0000-0000-00001E330000}"/>
    <cellStyle name="Calculation 12 4 2 3" xfId="27447" xr:uid="{00000000-0005-0000-0000-00001F330000}"/>
    <cellStyle name="Calculation 12 4 2 4" xfId="27448" xr:uid="{00000000-0005-0000-0000-000020330000}"/>
    <cellStyle name="Calculation 12 4 3" xfId="9176" xr:uid="{00000000-0005-0000-0000-000021330000}"/>
    <cellStyle name="Calculation 12 4 3 2" xfId="9177" xr:uid="{00000000-0005-0000-0000-000022330000}"/>
    <cellStyle name="Calculation 12 4 3 3" xfId="27449" xr:uid="{00000000-0005-0000-0000-000023330000}"/>
    <cellStyle name="Calculation 12 4 3 4" xfId="27450" xr:uid="{00000000-0005-0000-0000-000024330000}"/>
    <cellStyle name="Calculation 12 4 4" xfId="9178" xr:uid="{00000000-0005-0000-0000-000025330000}"/>
    <cellStyle name="Calculation 12 4 4 2" xfId="9179" xr:uid="{00000000-0005-0000-0000-000026330000}"/>
    <cellStyle name="Calculation 12 4 4 3" xfId="27451" xr:uid="{00000000-0005-0000-0000-000027330000}"/>
    <cellStyle name="Calculation 12 4 4 4" xfId="27452" xr:uid="{00000000-0005-0000-0000-000028330000}"/>
    <cellStyle name="Calculation 12 4 5" xfId="9180" xr:uid="{00000000-0005-0000-0000-000029330000}"/>
    <cellStyle name="Calculation 12 4 5 2" xfId="9181" xr:uid="{00000000-0005-0000-0000-00002A330000}"/>
    <cellStyle name="Calculation 12 4 5 3" xfId="27453" xr:uid="{00000000-0005-0000-0000-00002B330000}"/>
    <cellStyle name="Calculation 12 4 5 4" xfId="27454" xr:uid="{00000000-0005-0000-0000-00002C330000}"/>
    <cellStyle name="Calculation 12 4 6" xfId="9182" xr:uid="{00000000-0005-0000-0000-00002D330000}"/>
    <cellStyle name="Calculation 12 4 6 2" xfId="9183" xr:uid="{00000000-0005-0000-0000-00002E330000}"/>
    <cellStyle name="Calculation 12 4 6 3" xfId="27455" xr:uid="{00000000-0005-0000-0000-00002F330000}"/>
    <cellStyle name="Calculation 12 4 6 4" xfId="27456" xr:uid="{00000000-0005-0000-0000-000030330000}"/>
    <cellStyle name="Calculation 12 4 7" xfId="9184" xr:uid="{00000000-0005-0000-0000-000031330000}"/>
    <cellStyle name="Calculation 12 4 7 2" xfId="9185" xr:uid="{00000000-0005-0000-0000-000032330000}"/>
    <cellStyle name="Calculation 12 4 7 3" xfId="27457" xr:uid="{00000000-0005-0000-0000-000033330000}"/>
    <cellStyle name="Calculation 12 4 7 4" xfId="27458" xr:uid="{00000000-0005-0000-0000-000034330000}"/>
    <cellStyle name="Calculation 12 4 8" xfId="9186" xr:uid="{00000000-0005-0000-0000-000035330000}"/>
    <cellStyle name="Calculation 12 4 9" xfId="27459" xr:uid="{00000000-0005-0000-0000-000036330000}"/>
    <cellStyle name="Calculation 12 5" xfId="9187" xr:uid="{00000000-0005-0000-0000-000037330000}"/>
    <cellStyle name="Calculation 12 5 10" xfId="27460" xr:uid="{00000000-0005-0000-0000-000038330000}"/>
    <cellStyle name="Calculation 12 5 2" xfId="9188" xr:uid="{00000000-0005-0000-0000-000039330000}"/>
    <cellStyle name="Calculation 12 5 2 2" xfId="9189" xr:uid="{00000000-0005-0000-0000-00003A330000}"/>
    <cellStyle name="Calculation 12 5 2 3" xfId="27461" xr:uid="{00000000-0005-0000-0000-00003B330000}"/>
    <cellStyle name="Calculation 12 5 2 4" xfId="27462" xr:uid="{00000000-0005-0000-0000-00003C330000}"/>
    <cellStyle name="Calculation 12 5 3" xfId="9190" xr:uid="{00000000-0005-0000-0000-00003D330000}"/>
    <cellStyle name="Calculation 12 5 3 2" xfId="9191" xr:uid="{00000000-0005-0000-0000-00003E330000}"/>
    <cellStyle name="Calculation 12 5 3 3" xfId="27463" xr:uid="{00000000-0005-0000-0000-00003F330000}"/>
    <cellStyle name="Calculation 12 5 3 4" xfId="27464" xr:uid="{00000000-0005-0000-0000-000040330000}"/>
    <cellStyle name="Calculation 12 5 4" xfId="9192" xr:uid="{00000000-0005-0000-0000-000041330000}"/>
    <cellStyle name="Calculation 12 5 4 2" xfId="9193" xr:uid="{00000000-0005-0000-0000-000042330000}"/>
    <cellStyle name="Calculation 12 5 4 3" xfId="27465" xr:uid="{00000000-0005-0000-0000-000043330000}"/>
    <cellStyle name="Calculation 12 5 4 4" xfId="27466" xr:uid="{00000000-0005-0000-0000-000044330000}"/>
    <cellStyle name="Calculation 12 5 5" xfId="9194" xr:uid="{00000000-0005-0000-0000-000045330000}"/>
    <cellStyle name="Calculation 12 5 5 2" xfId="9195" xr:uid="{00000000-0005-0000-0000-000046330000}"/>
    <cellStyle name="Calculation 12 5 5 3" xfId="27467" xr:uid="{00000000-0005-0000-0000-000047330000}"/>
    <cellStyle name="Calculation 12 5 5 4" xfId="27468" xr:uid="{00000000-0005-0000-0000-000048330000}"/>
    <cellStyle name="Calculation 12 5 6" xfId="9196" xr:uid="{00000000-0005-0000-0000-000049330000}"/>
    <cellStyle name="Calculation 12 5 6 2" xfId="9197" xr:uid="{00000000-0005-0000-0000-00004A330000}"/>
    <cellStyle name="Calculation 12 5 6 3" xfId="27469" xr:uid="{00000000-0005-0000-0000-00004B330000}"/>
    <cellStyle name="Calculation 12 5 6 4" xfId="27470" xr:uid="{00000000-0005-0000-0000-00004C330000}"/>
    <cellStyle name="Calculation 12 5 7" xfId="9198" xr:uid="{00000000-0005-0000-0000-00004D330000}"/>
    <cellStyle name="Calculation 12 5 7 2" xfId="9199" xr:uid="{00000000-0005-0000-0000-00004E330000}"/>
    <cellStyle name="Calculation 12 5 7 3" xfId="27471" xr:uid="{00000000-0005-0000-0000-00004F330000}"/>
    <cellStyle name="Calculation 12 5 7 4" xfId="27472" xr:uid="{00000000-0005-0000-0000-000050330000}"/>
    <cellStyle name="Calculation 12 5 8" xfId="9200" xr:uid="{00000000-0005-0000-0000-000051330000}"/>
    <cellStyle name="Calculation 12 5 9" xfId="27473" xr:uid="{00000000-0005-0000-0000-000052330000}"/>
    <cellStyle name="Calculation 12 6" xfId="9201" xr:uid="{00000000-0005-0000-0000-000053330000}"/>
    <cellStyle name="Calculation 12 6 2" xfId="9202" xr:uid="{00000000-0005-0000-0000-000054330000}"/>
    <cellStyle name="Calculation 12 6 3" xfId="27474" xr:uid="{00000000-0005-0000-0000-000055330000}"/>
    <cellStyle name="Calculation 12 6 4" xfId="27475" xr:uid="{00000000-0005-0000-0000-000056330000}"/>
    <cellStyle name="Calculation 12 7" xfId="9203" xr:uid="{00000000-0005-0000-0000-000057330000}"/>
    <cellStyle name="Calculation 12 7 2" xfId="9204" xr:uid="{00000000-0005-0000-0000-000058330000}"/>
    <cellStyle name="Calculation 12 7 3" xfId="27476" xr:uid="{00000000-0005-0000-0000-000059330000}"/>
    <cellStyle name="Calculation 12 7 4" xfId="27477" xr:uid="{00000000-0005-0000-0000-00005A330000}"/>
    <cellStyle name="Calculation 12 8" xfId="9205" xr:uid="{00000000-0005-0000-0000-00005B330000}"/>
    <cellStyle name="Calculation 12 8 2" xfId="9206" xr:uid="{00000000-0005-0000-0000-00005C330000}"/>
    <cellStyle name="Calculation 12 8 3" xfId="27478" xr:uid="{00000000-0005-0000-0000-00005D330000}"/>
    <cellStyle name="Calculation 12 8 4" xfId="27479" xr:uid="{00000000-0005-0000-0000-00005E330000}"/>
    <cellStyle name="Calculation 12 9" xfId="9207" xr:uid="{00000000-0005-0000-0000-00005F330000}"/>
    <cellStyle name="Calculation 12 9 2" xfId="9208" xr:uid="{00000000-0005-0000-0000-000060330000}"/>
    <cellStyle name="Calculation 12 9 3" xfId="27480" xr:uid="{00000000-0005-0000-0000-000061330000}"/>
    <cellStyle name="Calculation 12 9 4" xfId="27481" xr:uid="{00000000-0005-0000-0000-000062330000}"/>
    <cellStyle name="Calculation 13" xfId="9209" xr:uid="{00000000-0005-0000-0000-000063330000}"/>
    <cellStyle name="Calculation 13 10" xfId="9210" xr:uid="{00000000-0005-0000-0000-000064330000}"/>
    <cellStyle name="Calculation 13 10 2" xfId="9211" xr:uid="{00000000-0005-0000-0000-000065330000}"/>
    <cellStyle name="Calculation 13 10 3" xfId="27482" xr:uid="{00000000-0005-0000-0000-000066330000}"/>
    <cellStyle name="Calculation 13 10 4" xfId="27483" xr:uid="{00000000-0005-0000-0000-000067330000}"/>
    <cellStyle name="Calculation 13 11" xfId="9212" xr:uid="{00000000-0005-0000-0000-000068330000}"/>
    <cellStyle name="Calculation 13 11 2" xfId="9213" xr:uid="{00000000-0005-0000-0000-000069330000}"/>
    <cellStyle name="Calculation 13 11 3" xfId="27484" xr:uid="{00000000-0005-0000-0000-00006A330000}"/>
    <cellStyle name="Calculation 13 11 4" xfId="27485" xr:uid="{00000000-0005-0000-0000-00006B330000}"/>
    <cellStyle name="Calculation 13 12" xfId="9214" xr:uid="{00000000-0005-0000-0000-00006C330000}"/>
    <cellStyle name="Calculation 13 13" xfId="27486" xr:uid="{00000000-0005-0000-0000-00006D330000}"/>
    <cellStyle name="Calculation 13 14" xfId="27487" xr:uid="{00000000-0005-0000-0000-00006E330000}"/>
    <cellStyle name="Calculation 13 2" xfId="9215" xr:uid="{00000000-0005-0000-0000-00006F330000}"/>
    <cellStyle name="Calculation 13 2 10" xfId="27488" xr:uid="{00000000-0005-0000-0000-000070330000}"/>
    <cellStyle name="Calculation 13 2 2" xfId="9216" xr:uid="{00000000-0005-0000-0000-000071330000}"/>
    <cellStyle name="Calculation 13 2 2 2" xfId="9217" xr:uid="{00000000-0005-0000-0000-000072330000}"/>
    <cellStyle name="Calculation 13 2 2 3" xfId="27489" xr:uid="{00000000-0005-0000-0000-000073330000}"/>
    <cellStyle name="Calculation 13 2 2 4" xfId="27490" xr:uid="{00000000-0005-0000-0000-000074330000}"/>
    <cellStyle name="Calculation 13 2 3" xfId="9218" xr:uid="{00000000-0005-0000-0000-000075330000}"/>
    <cellStyle name="Calculation 13 2 3 2" xfId="9219" xr:uid="{00000000-0005-0000-0000-000076330000}"/>
    <cellStyle name="Calculation 13 2 3 3" xfId="27491" xr:uid="{00000000-0005-0000-0000-000077330000}"/>
    <cellStyle name="Calculation 13 2 3 4" xfId="27492" xr:uid="{00000000-0005-0000-0000-000078330000}"/>
    <cellStyle name="Calculation 13 2 4" xfId="9220" xr:uid="{00000000-0005-0000-0000-000079330000}"/>
    <cellStyle name="Calculation 13 2 4 2" xfId="9221" xr:uid="{00000000-0005-0000-0000-00007A330000}"/>
    <cellStyle name="Calculation 13 2 4 3" xfId="27493" xr:uid="{00000000-0005-0000-0000-00007B330000}"/>
    <cellStyle name="Calculation 13 2 4 4" xfId="27494" xr:uid="{00000000-0005-0000-0000-00007C330000}"/>
    <cellStyle name="Calculation 13 2 5" xfId="9222" xr:uid="{00000000-0005-0000-0000-00007D330000}"/>
    <cellStyle name="Calculation 13 2 5 2" xfId="9223" xr:uid="{00000000-0005-0000-0000-00007E330000}"/>
    <cellStyle name="Calculation 13 2 5 3" xfId="27495" xr:uid="{00000000-0005-0000-0000-00007F330000}"/>
    <cellStyle name="Calculation 13 2 5 4" xfId="27496" xr:uid="{00000000-0005-0000-0000-000080330000}"/>
    <cellStyle name="Calculation 13 2 6" xfId="9224" xr:uid="{00000000-0005-0000-0000-000081330000}"/>
    <cellStyle name="Calculation 13 2 6 2" xfId="9225" xr:uid="{00000000-0005-0000-0000-000082330000}"/>
    <cellStyle name="Calculation 13 2 6 3" xfId="27497" xr:uid="{00000000-0005-0000-0000-000083330000}"/>
    <cellStyle name="Calculation 13 2 6 4" xfId="27498" xr:uid="{00000000-0005-0000-0000-000084330000}"/>
    <cellStyle name="Calculation 13 2 7" xfId="9226" xr:uid="{00000000-0005-0000-0000-000085330000}"/>
    <cellStyle name="Calculation 13 2 7 2" xfId="9227" xr:uid="{00000000-0005-0000-0000-000086330000}"/>
    <cellStyle name="Calculation 13 2 7 3" xfId="27499" xr:uid="{00000000-0005-0000-0000-000087330000}"/>
    <cellStyle name="Calculation 13 2 7 4" xfId="27500" xr:uid="{00000000-0005-0000-0000-000088330000}"/>
    <cellStyle name="Calculation 13 2 8" xfId="9228" xr:uid="{00000000-0005-0000-0000-000089330000}"/>
    <cellStyle name="Calculation 13 2 9" xfId="27501" xr:uid="{00000000-0005-0000-0000-00008A330000}"/>
    <cellStyle name="Calculation 13 3" xfId="9229" xr:uid="{00000000-0005-0000-0000-00008B330000}"/>
    <cellStyle name="Calculation 13 3 10" xfId="27502" xr:uid="{00000000-0005-0000-0000-00008C330000}"/>
    <cellStyle name="Calculation 13 3 2" xfId="9230" xr:uid="{00000000-0005-0000-0000-00008D330000}"/>
    <cellStyle name="Calculation 13 3 2 2" xfId="9231" xr:uid="{00000000-0005-0000-0000-00008E330000}"/>
    <cellStyle name="Calculation 13 3 2 3" xfId="27503" xr:uid="{00000000-0005-0000-0000-00008F330000}"/>
    <cellStyle name="Calculation 13 3 2 4" xfId="27504" xr:uid="{00000000-0005-0000-0000-000090330000}"/>
    <cellStyle name="Calculation 13 3 3" xfId="9232" xr:uid="{00000000-0005-0000-0000-000091330000}"/>
    <cellStyle name="Calculation 13 3 3 2" xfId="9233" xr:uid="{00000000-0005-0000-0000-000092330000}"/>
    <cellStyle name="Calculation 13 3 3 3" xfId="27505" xr:uid="{00000000-0005-0000-0000-000093330000}"/>
    <cellStyle name="Calculation 13 3 3 4" xfId="27506" xr:uid="{00000000-0005-0000-0000-000094330000}"/>
    <cellStyle name="Calculation 13 3 4" xfId="9234" xr:uid="{00000000-0005-0000-0000-000095330000}"/>
    <cellStyle name="Calculation 13 3 4 2" xfId="9235" xr:uid="{00000000-0005-0000-0000-000096330000}"/>
    <cellStyle name="Calculation 13 3 4 3" xfId="27507" xr:uid="{00000000-0005-0000-0000-000097330000}"/>
    <cellStyle name="Calculation 13 3 4 4" xfId="27508" xr:uid="{00000000-0005-0000-0000-000098330000}"/>
    <cellStyle name="Calculation 13 3 5" xfId="9236" xr:uid="{00000000-0005-0000-0000-000099330000}"/>
    <cellStyle name="Calculation 13 3 5 2" xfId="9237" xr:uid="{00000000-0005-0000-0000-00009A330000}"/>
    <cellStyle name="Calculation 13 3 5 3" xfId="27509" xr:uid="{00000000-0005-0000-0000-00009B330000}"/>
    <cellStyle name="Calculation 13 3 5 4" xfId="27510" xr:uid="{00000000-0005-0000-0000-00009C330000}"/>
    <cellStyle name="Calculation 13 3 6" xfId="9238" xr:uid="{00000000-0005-0000-0000-00009D330000}"/>
    <cellStyle name="Calculation 13 3 6 2" xfId="9239" xr:uid="{00000000-0005-0000-0000-00009E330000}"/>
    <cellStyle name="Calculation 13 3 6 3" xfId="27511" xr:uid="{00000000-0005-0000-0000-00009F330000}"/>
    <cellStyle name="Calculation 13 3 6 4" xfId="27512" xr:uid="{00000000-0005-0000-0000-0000A0330000}"/>
    <cellStyle name="Calculation 13 3 7" xfId="9240" xr:uid="{00000000-0005-0000-0000-0000A1330000}"/>
    <cellStyle name="Calculation 13 3 7 2" xfId="9241" xr:uid="{00000000-0005-0000-0000-0000A2330000}"/>
    <cellStyle name="Calculation 13 3 7 3" xfId="27513" xr:uid="{00000000-0005-0000-0000-0000A3330000}"/>
    <cellStyle name="Calculation 13 3 7 4" xfId="27514" xr:uid="{00000000-0005-0000-0000-0000A4330000}"/>
    <cellStyle name="Calculation 13 3 8" xfId="9242" xr:uid="{00000000-0005-0000-0000-0000A5330000}"/>
    <cellStyle name="Calculation 13 3 9" xfId="27515" xr:uid="{00000000-0005-0000-0000-0000A6330000}"/>
    <cellStyle name="Calculation 13 4" xfId="9243" xr:uid="{00000000-0005-0000-0000-0000A7330000}"/>
    <cellStyle name="Calculation 13 4 10" xfId="27516" xr:uid="{00000000-0005-0000-0000-0000A8330000}"/>
    <cellStyle name="Calculation 13 4 2" xfId="9244" xr:uid="{00000000-0005-0000-0000-0000A9330000}"/>
    <cellStyle name="Calculation 13 4 2 2" xfId="9245" xr:uid="{00000000-0005-0000-0000-0000AA330000}"/>
    <cellStyle name="Calculation 13 4 2 3" xfId="27517" xr:uid="{00000000-0005-0000-0000-0000AB330000}"/>
    <cellStyle name="Calculation 13 4 2 4" xfId="27518" xr:uid="{00000000-0005-0000-0000-0000AC330000}"/>
    <cellStyle name="Calculation 13 4 3" xfId="9246" xr:uid="{00000000-0005-0000-0000-0000AD330000}"/>
    <cellStyle name="Calculation 13 4 3 2" xfId="9247" xr:uid="{00000000-0005-0000-0000-0000AE330000}"/>
    <cellStyle name="Calculation 13 4 3 3" xfId="27519" xr:uid="{00000000-0005-0000-0000-0000AF330000}"/>
    <cellStyle name="Calculation 13 4 3 4" xfId="27520" xr:uid="{00000000-0005-0000-0000-0000B0330000}"/>
    <cellStyle name="Calculation 13 4 4" xfId="9248" xr:uid="{00000000-0005-0000-0000-0000B1330000}"/>
    <cellStyle name="Calculation 13 4 4 2" xfId="9249" xr:uid="{00000000-0005-0000-0000-0000B2330000}"/>
    <cellStyle name="Calculation 13 4 4 3" xfId="27521" xr:uid="{00000000-0005-0000-0000-0000B3330000}"/>
    <cellStyle name="Calculation 13 4 4 4" xfId="27522" xr:uid="{00000000-0005-0000-0000-0000B4330000}"/>
    <cellStyle name="Calculation 13 4 5" xfId="9250" xr:uid="{00000000-0005-0000-0000-0000B5330000}"/>
    <cellStyle name="Calculation 13 4 5 2" xfId="9251" xr:uid="{00000000-0005-0000-0000-0000B6330000}"/>
    <cellStyle name="Calculation 13 4 5 3" xfId="27523" xr:uid="{00000000-0005-0000-0000-0000B7330000}"/>
    <cellStyle name="Calculation 13 4 5 4" xfId="27524" xr:uid="{00000000-0005-0000-0000-0000B8330000}"/>
    <cellStyle name="Calculation 13 4 6" xfId="9252" xr:uid="{00000000-0005-0000-0000-0000B9330000}"/>
    <cellStyle name="Calculation 13 4 6 2" xfId="9253" xr:uid="{00000000-0005-0000-0000-0000BA330000}"/>
    <cellStyle name="Calculation 13 4 6 3" xfId="27525" xr:uid="{00000000-0005-0000-0000-0000BB330000}"/>
    <cellStyle name="Calculation 13 4 6 4" xfId="27526" xr:uid="{00000000-0005-0000-0000-0000BC330000}"/>
    <cellStyle name="Calculation 13 4 7" xfId="9254" xr:uid="{00000000-0005-0000-0000-0000BD330000}"/>
    <cellStyle name="Calculation 13 4 7 2" xfId="9255" xr:uid="{00000000-0005-0000-0000-0000BE330000}"/>
    <cellStyle name="Calculation 13 4 7 3" xfId="27527" xr:uid="{00000000-0005-0000-0000-0000BF330000}"/>
    <cellStyle name="Calculation 13 4 7 4" xfId="27528" xr:uid="{00000000-0005-0000-0000-0000C0330000}"/>
    <cellStyle name="Calculation 13 4 8" xfId="9256" xr:uid="{00000000-0005-0000-0000-0000C1330000}"/>
    <cellStyle name="Calculation 13 4 9" xfId="27529" xr:uid="{00000000-0005-0000-0000-0000C2330000}"/>
    <cellStyle name="Calculation 13 5" xfId="9257" xr:uid="{00000000-0005-0000-0000-0000C3330000}"/>
    <cellStyle name="Calculation 13 5 10" xfId="27530" xr:uid="{00000000-0005-0000-0000-0000C4330000}"/>
    <cellStyle name="Calculation 13 5 2" xfId="9258" xr:uid="{00000000-0005-0000-0000-0000C5330000}"/>
    <cellStyle name="Calculation 13 5 2 2" xfId="9259" xr:uid="{00000000-0005-0000-0000-0000C6330000}"/>
    <cellStyle name="Calculation 13 5 2 3" xfId="27531" xr:uid="{00000000-0005-0000-0000-0000C7330000}"/>
    <cellStyle name="Calculation 13 5 2 4" xfId="27532" xr:uid="{00000000-0005-0000-0000-0000C8330000}"/>
    <cellStyle name="Calculation 13 5 3" xfId="9260" xr:uid="{00000000-0005-0000-0000-0000C9330000}"/>
    <cellStyle name="Calculation 13 5 3 2" xfId="9261" xr:uid="{00000000-0005-0000-0000-0000CA330000}"/>
    <cellStyle name="Calculation 13 5 3 3" xfId="27533" xr:uid="{00000000-0005-0000-0000-0000CB330000}"/>
    <cellStyle name="Calculation 13 5 3 4" xfId="27534" xr:uid="{00000000-0005-0000-0000-0000CC330000}"/>
    <cellStyle name="Calculation 13 5 4" xfId="9262" xr:uid="{00000000-0005-0000-0000-0000CD330000}"/>
    <cellStyle name="Calculation 13 5 4 2" xfId="9263" xr:uid="{00000000-0005-0000-0000-0000CE330000}"/>
    <cellStyle name="Calculation 13 5 4 3" xfId="27535" xr:uid="{00000000-0005-0000-0000-0000CF330000}"/>
    <cellStyle name="Calculation 13 5 4 4" xfId="27536" xr:uid="{00000000-0005-0000-0000-0000D0330000}"/>
    <cellStyle name="Calculation 13 5 5" xfId="9264" xr:uid="{00000000-0005-0000-0000-0000D1330000}"/>
    <cellStyle name="Calculation 13 5 5 2" xfId="9265" xr:uid="{00000000-0005-0000-0000-0000D2330000}"/>
    <cellStyle name="Calculation 13 5 5 3" xfId="27537" xr:uid="{00000000-0005-0000-0000-0000D3330000}"/>
    <cellStyle name="Calculation 13 5 5 4" xfId="27538" xr:uid="{00000000-0005-0000-0000-0000D4330000}"/>
    <cellStyle name="Calculation 13 5 6" xfId="9266" xr:uid="{00000000-0005-0000-0000-0000D5330000}"/>
    <cellStyle name="Calculation 13 5 6 2" xfId="9267" xr:uid="{00000000-0005-0000-0000-0000D6330000}"/>
    <cellStyle name="Calculation 13 5 6 3" xfId="27539" xr:uid="{00000000-0005-0000-0000-0000D7330000}"/>
    <cellStyle name="Calculation 13 5 6 4" xfId="27540" xr:uid="{00000000-0005-0000-0000-0000D8330000}"/>
    <cellStyle name="Calculation 13 5 7" xfId="9268" xr:uid="{00000000-0005-0000-0000-0000D9330000}"/>
    <cellStyle name="Calculation 13 5 7 2" xfId="9269" xr:uid="{00000000-0005-0000-0000-0000DA330000}"/>
    <cellStyle name="Calculation 13 5 7 3" xfId="27541" xr:uid="{00000000-0005-0000-0000-0000DB330000}"/>
    <cellStyle name="Calculation 13 5 7 4" xfId="27542" xr:uid="{00000000-0005-0000-0000-0000DC330000}"/>
    <cellStyle name="Calculation 13 5 8" xfId="9270" xr:uid="{00000000-0005-0000-0000-0000DD330000}"/>
    <cellStyle name="Calculation 13 5 9" xfId="27543" xr:uid="{00000000-0005-0000-0000-0000DE330000}"/>
    <cellStyle name="Calculation 13 6" xfId="9271" xr:uid="{00000000-0005-0000-0000-0000DF330000}"/>
    <cellStyle name="Calculation 13 6 2" xfId="9272" xr:uid="{00000000-0005-0000-0000-0000E0330000}"/>
    <cellStyle name="Calculation 13 6 3" xfId="27544" xr:uid="{00000000-0005-0000-0000-0000E1330000}"/>
    <cellStyle name="Calculation 13 6 4" xfId="27545" xr:uid="{00000000-0005-0000-0000-0000E2330000}"/>
    <cellStyle name="Calculation 13 7" xfId="9273" xr:uid="{00000000-0005-0000-0000-0000E3330000}"/>
    <cellStyle name="Calculation 13 7 2" xfId="9274" xr:uid="{00000000-0005-0000-0000-0000E4330000}"/>
    <cellStyle name="Calculation 13 7 3" xfId="27546" xr:uid="{00000000-0005-0000-0000-0000E5330000}"/>
    <cellStyle name="Calculation 13 7 4" xfId="27547" xr:uid="{00000000-0005-0000-0000-0000E6330000}"/>
    <cellStyle name="Calculation 13 8" xfId="9275" xr:uid="{00000000-0005-0000-0000-0000E7330000}"/>
    <cellStyle name="Calculation 13 8 2" xfId="9276" xr:uid="{00000000-0005-0000-0000-0000E8330000}"/>
    <cellStyle name="Calculation 13 8 3" xfId="27548" xr:uid="{00000000-0005-0000-0000-0000E9330000}"/>
    <cellStyle name="Calculation 13 8 4" xfId="27549" xr:uid="{00000000-0005-0000-0000-0000EA330000}"/>
    <cellStyle name="Calculation 13 9" xfId="9277" xr:uid="{00000000-0005-0000-0000-0000EB330000}"/>
    <cellStyle name="Calculation 13 9 2" xfId="9278" xr:uid="{00000000-0005-0000-0000-0000EC330000}"/>
    <cellStyle name="Calculation 13 9 3" xfId="27550" xr:uid="{00000000-0005-0000-0000-0000ED330000}"/>
    <cellStyle name="Calculation 13 9 4" xfId="27551" xr:uid="{00000000-0005-0000-0000-0000EE330000}"/>
    <cellStyle name="Calculation 14" xfId="9279" xr:uid="{00000000-0005-0000-0000-0000EF330000}"/>
    <cellStyle name="Calculation 14 10" xfId="9280" xr:uid="{00000000-0005-0000-0000-0000F0330000}"/>
    <cellStyle name="Calculation 14 10 2" xfId="9281" xr:uid="{00000000-0005-0000-0000-0000F1330000}"/>
    <cellStyle name="Calculation 14 10 3" xfId="27552" xr:uid="{00000000-0005-0000-0000-0000F2330000}"/>
    <cellStyle name="Calculation 14 10 4" xfId="27553" xr:uid="{00000000-0005-0000-0000-0000F3330000}"/>
    <cellStyle name="Calculation 14 11" xfId="9282" xr:uid="{00000000-0005-0000-0000-0000F4330000}"/>
    <cellStyle name="Calculation 14 11 2" xfId="9283" xr:uid="{00000000-0005-0000-0000-0000F5330000}"/>
    <cellStyle name="Calculation 14 11 3" xfId="27554" xr:uid="{00000000-0005-0000-0000-0000F6330000}"/>
    <cellStyle name="Calculation 14 11 4" xfId="27555" xr:uid="{00000000-0005-0000-0000-0000F7330000}"/>
    <cellStyle name="Calculation 14 12" xfId="9284" xr:uid="{00000000-0005-0000-0000-0000F8330000}"/>
    <cellStyle name="Calculation 14 13" xfId="27556" xr:uid="{00000000-0005-0000-0000-0000F9330000}"/>
    <cellStyle name="Calculation 14 14" xfId="27557" xr:uid="{00000000-0005-0000-0000-0000FA330000}"/>
    <cellStyle name="Calculation 14 2" xfId="9285" xr:uid="{00000000-0005-0000-0000-0000FB330000}"/>
    <cellStyle name="Calculation 14 2 10" xfId="27558" xr:uid="{00000000-0005-0000-0000-0000FC330000}"/>
    <cellStyle name="Calculation 14 2 2" xfId="9286" xr:uid="{00000000-0005-0000-0000-0000FD330000}"/>
    <cellStyle name="Calculation 14 2 2 2" xfId="9287" xr:uid="{00000000-0005-0000-0000-0000FE330000}"/>
    <cellStyle name="Calculation 14 2 2 3" xfId="27559" xr:uid="{00000000-0005-0000-0000-0000FF330000}"/>
    <cellStyle name="Calculation 14 2 2 4" xfId="27560" xr:uid="{00000000-0005-0000-0000-000000340000}"/>
    <cellStyle name="Calculation 14 2 3" xfId="9288" xr:uid="{00000000-0005-0000-0000-000001340000}"/>
    <cellStyle name="Calculation 14 2 3 2" xfId="9289" xr:uid="{00000000-0005-0000-0000-000002340000}"/>
    <cellStyle name="Calculation 14 2 3 3" xfId="27561" xr:uid="{00000000-0005-0000-0000-000003340000}"/>
    <cellStyle name="Calculation 14 2 3 4" xfId="27562" xr:uid="{00000000-0005-0000-0000-000004340000}"/>
    <cellStyle name="Calculation 14 2 4" xfId="9290" xr:uid="{00000000-0005-0000-0000-000005340000}"/>
    <cellStyle name="Calculation 14 2 4 2" xfId="9291" xr:uid="{00000000-0005-0000-0000-000006340000}"/>
    <cellStyle name="Calculation 14 2 4 3" xfId="27563" xr:uid="{00000000-0005-0000-0000-000007340000}"/>
    <cellStyle name="Calculation 14 2 4 4" xfId="27564" xr:uid="{00000000-0005-0000-0000-000008340000}"/>
    <cellStyle name="Calculation 14 2 5" xfId="9292" xr:uid="{00000000-0005-0000-0000-000009340000}"/>
    <cellStyle name="Calculation 14 2 5 2" xfId="9293" xr:uid="{00000000-0005-0000-0000-00000A340000}"/>
    <cellStyle name="Calculation 14 2 5 3" xfId="27565" xr:uid="{00000000-0005-0000-0000-00000B340000}"/>
    <cellStyle name="Calculation 14 2 5 4" xfId="27566" xr:uid="{00000000-0005-0000-0000-00000C340000}"/>
    <cellStyle name="Calculation 14 2 6" xfId="9294" xr:uid="{00000000-0005-0000-0000-00000D340000}"/>
    <cellStyle name="Calculation 14 2 6 2" xfId="9295" xr:uid="{00000000-0005-0000-0000-00000E340000}"/>
    <cellStyle name="Calculation 14 2 6 3" xfId="27567" xr:uid="{00000000-0005-0000-0000-00000F340000}"/>
    <cellStyle name="Calculation 14 2 6 4" xfId="27568" xr:uid="{00000000-0005-0000-0000-000010340000}"/>
    <cellStyle name="Calculation 14 2 7" xfId="9296" xr:uid="{00000000-0005-0000-0000-000011340000}"/>
    <cellStyle name="Calculation 14 2 7 2" xfId="9297" xr:uid="{00000000-0005-0000-0000-000012340000}"/>
    <cellStyle name="Calculation 14 2 7 3" xfId="27569" xr:uid="{00000000-0005-0000-0000-000013340000}"/>
    <cellStyle name="Calculation 14 2 7 4" xfId="27570" xr:uid="{00000000-0005-0000-0000-000014340000}"/>
    <cellStyle name="Calculation 14 2 8" xfId="9298" xr:uid="{00000000-0005-0000-0000-000015340000}"/>
    <cellStyle name="Calculation 14 2 9" xfId="27571" xr:uid="{00000000-0005-0000-0000-000016340000}"/>
    <cellStyle name="Calculation 14 3" xfId="9299" xr:uid="{00000000-0005-0000-0000-000017340000}"/>
    <cellStyle name="Calculation 14 3 10" xfId="27572" xr:uid="{00000000-0005-0000-0000-000018340000}"/>
    <cellStyle name="Calculation 14 3 2" xfId="9300" xr:uid="{00000000-0005-0000-0000-000019340000}"/>
    <cellStyle name="Calculation 14 3 2 2" xfId="9301" xr:uid="{00000000-0005-0000-0000-00001A340000}"/>
    <cellStyle name="Calculation 14 3 2 3" xfId="27573" xr:uid="{00000000-0005-0000-0000-00001B340000}"/>
    <cellStyle name="Calculation 14 3 2 4" xfId="27574" xr:uid="{00000000-0005-0000-0000-00001C340000}"/>
    <cellStyle name="Calculation 14 3 3" xfId="9302" xr:uid="{00000000-0005-0000-0000-00001D340000}"/>
    <cellStyle name="Calculation 14 3 3 2" xfId="9303" xr:uid="{00000000-0005-0000-0000-00001E340000}"/>
    <cellStyle name="Calculation 14 3 3 3" xfId="27575" xr:uid="{00000000-0005-0000-0000-00001F340000}"/>
    <cellStyle name="Calculation 14 3 3 4" xfId="27576" xr:uid="{00000000-0005-0000-0000-000020340000}"/>
    <cellStyle name="Calculation 14 3 4" xfId="9304" xr:uid="{00000000-0005-0000-0000-000021340000}"/>
    <cellStyle name="Calculation 14 3 4 2" xfId="9305" xr:uid="{00000000-0005-0000-0000-000022340000}"/>
    <cellStyle name="Calculation 14 3 4 3" xfId="27577" xr:uid="{00000000-0005-0000-0000-000023340000}"/>
    <cellStyle name="Calculation 14 3 4 4" xfId="27578" xr:uid="{00000000-0005-0000-0000-000024340000}"/>
    <cellStyle name="Calculation 14 3 5" xfId="9306" xr:uid="{00000000-0005-0000-0000-000025340000}"/>
    <cellStyle name="Calculation 14 3 5 2" xfId="9307" xr:uid="{00000000-0005-0000-0000-000026340000}"/>
    <cellStyle name="Calculation 14 3 5 3" xfId="27579" xr:uid="{00000000-0005-0000-0000-000027340000}"/>
    <cellStyle name="Calculation 14 3 5 4" xfId="27580" xr:uid="{00000000-0005-0000-0000-000028340000}"/>
    <cellStyle name="Calculation 14 3 6" xfId="9308" xr:uid="{00000000-0005-0000-0000-000029340000}"/>
    <cellStyle name="Calculation 14 3 6 2" xfId="9309" xr:uid="{00000000-0005-0000-0000-00002A340000}"/>
    <cellStyle name="Calculation 14 3 6 3" xfId="27581" xr:uid="{00000000-0005-0000-0000-00002B340000}"/>
    <cellStyle name="Calculation 14 3 6 4" xfId="27582" xr:uid="{00000000-0005-0000-0000-00002C340000}"/>
    <cellStyle name="Calculation 14 3 7" xfId="9310" xr:uid="{00000000-0005-0000-0000-00002D340000}"/>
    <cellStyle name="Calculation 14 3 7 2" xfId="9311" xr:uid="{00000000-0005-0000-0000-00002E340000}"/>
    <cellStyle name="Calculation 14 3 7 3" xfId="27583" xr:uid="{00000000-0005-0000-0000-00002F340000}"/>
    <cellStyle name="Calculation 14 3 7 4" xfId="27584" xr:uid="{00000000-0005-0000-0000-000030340000}"/>
    <cellStyle name="Calculation 14 3 8" xfId="9312" xr:uid="{00000000-0005-0000-0000-000031340000}"/>
    <cellStyle name="Calculation 14 3 9" xfId="27585" xr:uid="{00000000-0005-0000-0000-000032340000}"/>
    <cellStyle name="Calculation 14 4" xfId="9313" xr:uid="{00000000-0005-0000-0000-000033340000}"/>
    <cellStyle name="Calculation 14 4 10" xfId="27586" xr:uid="{00000000-0005-0000-0000-000034340000}"/>
    <cellStyle name="Calculation 14 4 2" xfId="9314" xr:uid="{00000000-0005-0000-0000-000035340000}"/>
    <cellStyle name="Calculation 14 4 2 2" xfId="9315" xr:uid="{00000000-0005-0000-0000-000036340000}"/>
    <cellStyle name="Calculation 14 4 2 3" xfId="27587" xr:uid="{00000000-0005-0000-0000-000037340000}"/>
    <cellStyle name="Calculation 14 4 2 4" xfId="27588" xr:uid="{00000000-0005-0000-0000-000038340000}"/>
    <cellStyle name="Calculation 14 4 3" xfId="9316" xr:uid="{00000000-0005-0000-0000-000039340000}"/>
    <cellStyle name="Calculation 14 4 3 2" xfId="9317" xr:uid="{00000000-0005-0000-0000-00003A340000}"/>
    <cellStyle name="Calculation 14 4 3 3" xfId="27589" xr:uid="{00000000-0005-0000-0000-00003B340000}"/>
    <cellStyle name="Calculation 14 4 3 4" xfId="27590" xr:uid="{00000000-0005-0000-0000-00003C340000}"/>
    <cellStyle name="Calculation 14 4 4" xfId="9318" xr:uid="{00000000-0005-0000-0000-00003D340000}"/>
    <cellStyle name="Calculation 14 4 4 2" xfId="9319" xr:uid="{00000000-0005-0000-0000-00003E340000}"/>
    <cellStyle name="Calculation 14 4 4 3" xfId="27591" xr:uid="{00000000-0005-0000-0000-00003F340000}"/>
    <cellStyle name="Calculation 14 4 4 4" xfId="27592" xr:uid="{00000000-0005-0000-0000-000040340000}"/>
    <cellStyle name="Calculation 14 4 5" xfId="9320" xr:uid="{00000000-0005-0000-0000-000041340000}"/>
    <cellStyle name="Calculation 14 4 5 2" xfId="9321" xr:uid="{00000000-0005-0000-0000-000042340000}"/>
    <cellStyle name="Calculation 14 4 5 3" xfId="27593" xr:uid="{00000000-0005-0000-0000-000043340000}"/>
    <cellStyle name="Calculation 14 4 5 4" xfId="27594" xr:uid="{00000000-0005-0000-0000-000044340000}"/>
    <cellStyle name="Calculation 14 4 6" xfId="9322" xr:uid="{00000000-0005-0000-0000-000045340000}"/>
    <cellStyle name="Calculation 14 4 6 2" xfId="9323" xr:uid="{00000000-0005-0000-0000-000046340000}"/>
    <cellStyle name="Calculation 14 4 6 3" xfId="27595" xr:uid="{00000000-0005-0000-0000-000047340000}"/>
    <cellStyle name="Calculation 14 4 6 4" xfId="27596" xr:uid="{00000000-0005-0000-0000-000048340000}"/>
    <cellStyle name="Calculation 14 4 7" xfId="9324" xr:uid="{00000000-0005-0000-0000-000049340000}"/>
    <cellStyle name="Calculation 14 4 7 2" xfId="9325" xr:uid="{00000000-0005-0000-0000-00004A340000}"/>
    <cellStyle name="Calculation 14 4 7 3" xfId="27597" xr:uid="{00000000-0005-0000-0000-00004B340000}"/>
    <cellStyle name="Calculation 14 4 7 4" xfId="27598" xr:uid="{00000000-0005-0000-0000-00004C340000}"/>
    <cellStyle name="Calculation 14 4 8" xfId="9326" xr:uid="{00000000-0005-0000-0000-00004D340000}"/>
    <cellStyle name="Calculation 14 4 9" xfId="27599" xr:uid="{00000000-0005-0000-0000-00004E340000}"/>
    <cellStyle name="Calculation 14 5" xfId="9327" xr:uid="{00000000-0005-0000-0000-00004F340000}"/>
    <cellStyle name="Calculation 14 5 10" xfId="27600" xr:uid="{00000000-0005-0000-0000-000050340000}"/>
    <cellStyle name="Calculation 14 5 2" xfId="9328" xr:uid="{00000000-0005-0000-0000-000051340000}"/>
    <cellStyle name="Calculation 14 5 2 2" xfId="9329" xr:uid="{00000000-0005-0000-0000-000052340000}"/>
    <cellStyle name="Calculation 14 5 2 3" xfId="27601" xr:uid="{00000000-0005-0000-0000-000053340000}"/>
    <cellStyle name="Calculation 14 5 2 4" xfId="27602" xr:uid="{00000000-0005-0000-0000-000054340000}"/>
    <cellStyle name="Calculation 14 5 3" xfId="9330" xr:uid="{00000000-0005-0000-0000-000055340000}"/>
    <cellStyle name="Calculation 14 5 3 2" xfId="9331" xr:uid="{00000000-0005-0000-0000-000056340000}"/>
    <cellStyle name="Calculation 14 5 3 3" xfId="27603" xr:uid="{00000000-0005-0000-0000-000057340000}"/>
    <cellStyle name="Calculation 14 5 3 4" xfId="27604" xr:uid="{00000000-0005-0000-0000-000058340000}"/>
    <cellStyle name="Calculation 14 5 4" xfId="9332" xr:uid="{00000000-0005-0000-0000-000059340000}"/>
    <cellStyle name="Calculation 14 5 4 2" xfId="9333" xr:uid="{00000000-0005-0000-0000-00005A340000}"/>
    <cellStyle name="Calculation 14 5 4 3" xfId="27605" xr:uid="{00000000-0005-0000-0000-00005B340000}"/>
    <cellStyle name="Calculation 14 5 4 4" xfId="27606" xr:uid="{00000000-0005-0000-0000-00005C340000}"/>
    <cellStyle name="Calculation 14 5 5" xfId="9334" xr:uid="{00000000-0005-0000-0000-00005D340000}"/>
    <cellStyle name="Calculation 14 5 5 2" xfId="9335" xr:uid="{00000000-0005-0000-0000-00005E340000}"/>
    <cellStyle name="Calculation 14 5 5 3" xfId="27607" xr:uid="{00000000-0005-0000-0000-00005F340000}"/>
    <cellStyle name="Calculation 14 5 5 4" xfId="27608" xr:uid="{00000000-0005-0000-0000-000060340000}"/>
    <cellStyle name="Calculation 14 5 6" xfId="9336" xr:uid="{00000000-0005-0000-0000-000061340000}"/>
    <cellStyle name="Calculation 14 5 6 2" xfId="9337" xr:uid="{00000000-0005-0000-0000-000062340000}"/>
    <cellStyle name="Calculation 14 5 6 3" xfId="27609" xr:uid="{00000000-0005-0000-0000-000063340000}"/>
    <cellStyle name="Calculation 14 5 6 4" xfId="27610" xr:uid="{00000000-0005-0000-0000-000064340000}"/>
    <cellStyle name="Calculation 14 5 7" xfId="9338" xr:uid="{00000000-0005-0000-0000-000065340000}"/>
    <cellStyle name="Calculation 14 5 7 2" xfId="9339" xr:uid="{00000000-0005-0000-0000-000066340000}"/>
    <cellStyle name="Calculation 14 5 7 3" xfId="27611" xr:uid="{00000000-0005-0000-0000-000067340000}"/>
    <cellStyle name="Calculation 14 5 7 4" xfId="27612" xr:uid="{00000000-0005-0000-0000-000068340000}"/>
    <cellStyle name="Calculation 14 5 8" xfId="9340" xr:uid="{00000000-0005-0000-0000-000069340000}"/>
    <cellStyle name="Calculation 14 5 9" xfId="27613" xr:uid="{00000000-0005-0000-0000-00006A340000}"/>
    <cellStyle name="Calculation 14 6" xfId="9341" xr:uid="{00000000-0005-0000-0000-00006B340000}"/>
    <cellStyle name="Calculation 14 6 2" xfId="9342" xr:uid="{00000000-0005-0000-0000-00006C340000}"/>
    <cellStyle name="Calculation 14 6 3" xfId="27614" xr:uid="{00000000-0005-0000-0000-00006D340000}"/>
    <cellStyle name="Calculation 14 6 4" xfId="27615" xr:uid="{00000000-0005-0000-0000-00006E340000}"/>
    <cellStyle name="Calculation 14 7" xfId="9343" xr:uid="{00000000-0005-0000-0000-00006F340000}"/>
    <cellStyle name="Calculation 14 7 2" xfId="9344" xr:uid="{00000000-0005-0000-0000-000070340000}"/>
    <cellStyle name="Calculation 14 7 3" xfId="27616" xr:uid="{00000000-0005-0000-0000-000071340000}"/>
    <cellStyle name="Calculation 14 7 4" xfId="27617" xr:uid="{00000000-0005-0000-0000-000072340000}"/>
    <cellStyle name="Calculation 14 8" xfId="9345" xr:uid="{00000000-0005-0000-0000-000073340000}"/>
    <cellStyle name="Calculation 14 8 2" xfId="9346" xr:uid="{00000000-0005-0000-0000-000074340000}"/>
    <cellStyle name="Calculation 14 8 3" xfId="27618" xr:uid="{00000000-0005-0000-0000-000075340000}"/>
    <cellStyle name="Calculation 14 8 4" xfId="27619" xr:uid="{00000000-0005-0000-0000-000076340000}"/>
    <cellStyle name="Calculation 14 9" xfId="9347" xr:uid="{00000000-0005-0000-0000-000077340000}"/>
    <cellStyle name="Calculation 14 9 2" xfId="9348" xr:uid="{00000000-0005-0000-0000-000078340000}"/>
    <cellStyle name="Calculation 14 9 3" xfId="27620" xr:uid="{00000000-0005-0000-0000-000079340000}"/>
    <cellStyle name="Calculation 14 9 4" xfId="27621" xr:uid="{00000000-0005-0000-0000-00007A340000}"/>
    <cellStyle name="Calculation 15" xfId="9349" xr:uid="{00000000-0005-0000-0000-00007B340000}"/>
    <cellStyle name="Calculation 15 10" xfId="9350" xr:uid="{00000000-0005-0000-0000-00007C340000}"/>
    <cellStyle name="Calculation 15 10 2" xfId="9351" xr:uid="{00000000-0005-0000-0000-00007D340000}"/>
    <cellStyle name="Calculation 15 10 3" xfId="27622" xr:uid="{00000000-0005-0000-0000-00007E340000}"/>
    <cellStyle name="Calculation 15 10 4" xfId="27623" xr:uid="{00000000-0005-0000-0000-00007F340000}"/>
    <cellStyle name="Calculation 15 11" xfId="9352" xr:uid="{00000000-0005-0000-0000-000080340000}"/>
    <cellStyle name="Calculation 15 11 2" xfId="9353" xr:uid="{00000000-0005-0000-0000-000081340000}"/>
    <cellStyle name="Calculation 15 11 3" xfId="27624" xr:uid="{00000000-0005-0000-0000-000082340000}"/>
    <cellStyle name="Calculation 15 11 4" xfId="27625" xr:uid="{00000000-0005-0000-0000-000083340000}"/>
    <cellStyle name="Calculation 15 12" xfId="9354" xr:uid="{00000000-0005-0000-0000-000084340000}"/>
    <cellStyle name="Calculation 15 13" xfId="27626" xr:uid="{00000000-0005-0000-0000-000085340000}"/>
    <cellStyle name="Calculation 15 14" xfId="27627" xr:uid="{00000000-0005-0000-0000-000086340000}"/>
    <cellStyle name="Calculation 15 2" xfId="9355" xr:uid="{00000000-0005-0000-0000-000087340000}"/>
    <cellStyle name="Calculation 15 2 10" xfId="27628" xr:uid="{00000000-0005-0000-0000-000088340000}"/>
    <cellStyle name="Calculation 15 2 2" xfId="9356" xr:uid="{00000000-0005-0000-0000-000089340000}"/>
    <cellStyle name="Calculation 15 2 2 2" xfId="9357" xr:uid="{00000000-0005-0000-0000-00008A340000}"/>
    <cellStyle name="Calculation 15 2 2 3" xfId="27629" xr:uid="{00000000-0005-0000-0000-00008B340000}"/>
    <cellStyle name="Calculation 15 2 2 4" xfId="27630" xr:uid="{00000000-0005-0000-0000-00008C340000}"/>
    <cellStyle name="Calculation 15 2 3" xfId="9358" xr:uid="{00000000-0005-0000-0000-00008D340000}"/>
    <cellStyle name="Calculation 15 2 3 2" xfId="9359" xr:uid="{00000000-0005-0000-0000-00008E340000}"/>
    <cellStyle name="Calculation 15 2 3 3" xfId="27631" xr:uid="{00000000-0005-0000-0000-00008F340000}"/>
    <cellStyle name="Calculation 15 2 3 4" xfId="27632" xr:uid="{00000000-0005-0000-0000-000090340000}"/>
    <cellStyle name="Calculation 15 2 4" xfId="9360" xr:uid="{00000000-0005-0000-0000-000091340000}"/>
    <cellStyle name="Calculation 15 2 4 2" xfId="9361" xr:uid="{00000000-0005-0000-0000-000092340000}"/>
    <cellStyle name="Calculation 15 2 4 3" xfId="27633" xr:uid="{00000000-0005-0000-0000-000093340000}"/>
    <cellStyle name="Calculation 15 2 4 4" xfId="27634" xr:uid="{00000000-0005-0000-0000-000094340000}"/>
    <cellStyle name="Calculation 15 2 5" xfId="9362" xr:uid="{00000000-0005-0000-0000-000095340000}"/>
    <cellStyle name="Calculation 15 2 5 2" xfId="9363" xr:uid="{00000000-0005-0000-0000-000096340000}"/>
    <cellStyle name="Calculation 15 2 5 3" xfId="27635" xr:uid="{00000000-0005-0000-0000-000097340000}"/>
    <cellStyle name="Calculation 15 2 5 4" xfId="27636" xr:uid="{00000000-0005-0000-0000-000098340000}"/>
    <cellStyle name="Calculation 15 2 6" xfId="9364" xr:uid="{00000000-0005-0000-0000-000099340000}"/>
    <cellStyle name="Calculation 15 2 6 2" xfId="9365" xr:uid="{00000000-0005-0000-0000-00009A340000}"/>
    <cellStyle name="Calculation 15 2 6 3" xfId="27637" xr:uid="{00000000-0005-0000-0000-00009B340000}"/>
    <cellStyle name="Calculation 15 2 6 4" xfId="27638" xr:uid="{00000000-0005-0000-0000-00009C340000}"/>
    <cellStyle name="Calculation 15 2 7" xfId="9366" xr:uid="{00000000-0005-0000-0000-00009D340000}"/>
    <cellStyle name="Calculation 15 2 7 2" xfId="9367" xr:uid="{00000000-0005-0000-0000-00009E340000}"/>
    <cellStyle name="Calculation 15 2 7 3" xfId="27639" xr:uid="{00000000-0005-0000-0000-00009F340000}"/>
    <cellStyle name="Calculation 15 2 7 4" xfId="27640" xr:uid="{00000000-0005-0000-0000-0000A0340000}"/>
    <cellStyle name="Calculation 15 2 8" xfId="9368" xr:uid="{00000000-0005-0000-0000-0000A1340000}"/>
    <cellStyle name="Calculation 15 2 9" xfId="27641" xr:uid="{00000000-0005-0000-0000-0000A2340000}"/>
    <cellStyle name="Calculation 15 3" xfId="9369" xr:uid="{00000000-0005-0000-0000-0000A3340000}"/>
    <cellStyle name="Calculation 15 3 10" xfId="27642" xr:uid="{00000000-0005-0000-0000-0000A4340000}"/>
    <cellStyle name="Calculation 15 3 2" xfId="9370" xr:uid="{00000000-0005-0000-0000-0000A5340000}"/>
    <cellStyle name="Calculation 15 3 2 2" xfId="9371" xr:uid="{00000000-0005-0000-0000-0000A6340000}"/>
    <cellStyle name="Calculation 15 3 2 3" xfId="27643" xr:uid="{00000000-0005-0000-0000-0000A7340000}"/>
    <cellStyle name="Calculation 15 3 2 4" xfId="27644" xr:uid="{00000000-0005-0000-0000-0000A8340000}"/>
    <cellStyle name="Calculation 15 3 3" xfId="9372" xr:uid="{00000000-0005-0000-0000-0000A9340000}"/>
    <cellStyle name="Calculation 15 3 3 2" xfId="9373" xr:uid="{00000000-0005-0000-0000-0000AA340000}"/>
    <cellStyle name="Calculation 15 3 3 3" xfId="27645" xr:uid="{00000000-0005-0000-0000-0000AB340000}"/>
    <cellStyle name="Calculation 15 3 3 4" xfId="27646" xr:uid="{00000000-0005-0000-0000-0000AC340000}"/>
    <cellStyle name="Calculation 15 3 4" xfId="9374" xr:uid="{00000000-0005-0000-0000-0000AD340000}"/>
    <cellStyle name="Calculation 15 3 4 2" xfId="9375" xr:uid="{00000000-0005-0000-0000-0000AE340000}"/>
    <cellStyle name="Calculation 15 3 4 3" xfId="27647" xr:uid="{00000000-0005-0000-0000-0000AF340000}"/>
    <cellStyle name="Calculation 15 3 4 4" xfId="27648" xr:uid="{00000000-0005-0000-0000-0000B0340000}"/>
    <cellStyle name="Calculation 15 3 5" xfId="9376" xr:uid="{00000000-0005-0000-0000-0000B1340000}"/>
    <cellStyle name="Calculation 15 3 5 2" xfId="9377" xr:uid="{00000000-0005-0000-0000-0000B2340000}"/>
    <cellStyle name="Calculation 15 3 5 3" xfId="27649" xr:uid="{00000000-0005-0000-0000-0000B3340000}"/>
    <cellStyle name="Calculation 15 3 5 4" xfId="27650" xr:uid="{00000000-0005-0000-0000-0000B4340000}"/>
    <cellStyle name="Calculation 15 3 6" xfId="9378" xr:uid="{00000000-0005-0000-0000-0000B5340000}"/>
    <cellStyle name="Calculation 15 3 6 2" xfId="9379" xr:uid="{00000000-0005-0000-0000-0000B6340000}"/>
    <cellStyle name="Calculation 15 3 6 3" xfId="27651" xr:uid="{00000000-0005-0000-0000-0000B7340000}"/>
    <cellStyle name="Calculation 15 3 6 4" xfId="27652" xr:uid="{00000000-0005-0000-0000-0000B8340000}"/>
    <cellStyle name="Calculation 15 3 7" xfId="9380" xr:uid="{00000000-0005-0000-0000-0000B9340000}"/>
    <cellStyle name="Calculation 15 3 7 2" xfId="9381" xr:uid="{00000000-0005-0000-0000-0000BA340000}"/>
    <cellStyle name="Calculation 15 3 7 3" xfId="27653" xr:uid="{00000000-0005-0000-0000-0000BB340000}"/>
    <cellStyle name="Calculation 15 3 7 4" xfId="27654" xr:uid="{00000000-0005-0000-0000-0000BC340000}"/>
    <cellStyle name="Calculation 15 3 8" xfId="9382" xr:uid="{00000000-0005-0000-0000-0000BD340000}"/>
    <cellStyle name="Calculation 15 3 9" xfId="27655" xr:uid="{00000000-0005-0000-0000-0000BE340000}"/>
    <cellStyle name="Calculation 15 4" xfId="9383" xr:uid="{00000000-0005-0000-0000-0000BF340000}"/>
    <cellStyle name="Calculation 15 4 10" xfId="27656" xr:uid="{00000000-0005-0000-0000-0000C0340000}"/>
    <cellStyle name="Calculation 15 4 2" xfId="9384" xr:uid="{00000000-0005-0000-0000-0000C1340000}"/>
    <cellStyle name="Calculation 15 4 2 2" xfId="9385" xr:uid="{00000000-0005-0000-0000-0000C2340000}"/>
    <cellStyle name="Calculation 15 4 2 3" xfId="27657" xr:uid="{00000000-0005-0000-0000-0000C3340000}"/>
    <cellStyle name="Calculation 15 4 2 4" xfId="27658" xr:uid="{00000000-0005-0000-0000-0000C4340000}"/>
    <cellStyle name="Calculation 15 4 3" xfId="9386" xr:uid="{00000000-0005-0000-0000-0000C5340000}"/>
    <cellStyle name="Calculation 15 4 3 2" xfId="9387" xr:uid="{00000000-0005-0000-0000-0000C6340000}"/>
    <cellStyle name="Calculation 15 4 3 3" xfId="27659" xr:uid="{00000000-0005-0000-0000-0000C7340000}"/>
    <cellStyle name="Calculation 15 4 3 4" xfId="27660" xr:uid="{00000000-0005-0000-0000-0000C8340000}"/>
    <cellStyle name="Calculation 15 4 4" xfId="9388" xr:uid="{00000000-0005-0000-0000-0000C9340000}"/>
    <cellStyle name="Calculation 15 4 4 2" xfId="9389" xr:uid="{00000000-0005-0000-0000-0000CA340000}"/>
    <cellStyle name="Calculation 15 4 4 3" xfId="27661" xr:uid="{00000000-0005-0000-0000-0000CB340000}"/>
    <cellStyle name="Calculation 15 4 4 4" xfId="27662" xr:uid="{00000000-0005-0000-0000-0000CC340000}"/>
    <cellStyle name="Calculation 15 4 5" xfId="9390" xr:uid="{00000000-0005-0000-0000-0000CD340000}"/>
    <cellStyle name="Calculation 15 4 5 2" xfId="9391" xr:uid="{00000000-0005-0000-0000-0000CE340000}"/>
    <cellStyle name="Calculation 15 4 5 3" xfId="27663" xr:uid="{00000000-0005-0000-0000-0000CF340000}"/>
    <cellStyle name="Calculation 15 4 5 4" xfId="27664" xr:uid="{00000000-0005-0000-0000-0000D0340000}"/>
    <cellStyle name="Calculation 15 4 6" xfId="9392" xr:uid="{00000000-0005-0000-0000-0000D1340000}"/>
    <cellStyle name="Calculation 15 4 6 2" xfId="9393" xr:uid="{00000000-0005-0000-0000-0000D2340000}"/>
    <cellStyle name="Calculation 15 4 6 3" xfId="27665" xr:uid="{00000000-0005-0000-0000-0000D3340000}"/>
    <cellStyle name="Calculation 15 4 6 4" xfId="27666" xr:uid="{00000000-0005-0000-0000-0000D4340000}"/>
    <cellStyle name="Calculation 15 4 7" xfId="9394" xr:uid="{00000000-0005-0000-0000-0000D5340000}"/>
    <cellStyle name="Calculation 15 4 7 2" xfId="9395" xr:uid="{00000000-0005-0000-0000-0000D6340000}"/>
    <cellStyle name="Calculation 15 4 7 3" xfId="27667" xr:uid="{00000000-0005-0000-0000-0000D7340000}"/>
    <cellStyle name="Calculation 15 4 7 4" xfId="27668" xr:uid="{00000000-0005-0000-0000-0000D8340000}"/>
    <cellStyle name="Calculation 15 4 8" xfId="9396" xr:uid="{00000000-0005-0000-0000-0000D9340000}"/>
    <cellStyle name="Calculation 15 4 9" xfId="27669" xr:uid="{00000000-0005-0000-0000-0000DA340000}"/>
    <cellStyle name="Calculation 15 5" xfId="9397" xr:uid="{00000000-0005-0000-0000-0000DB340000}"/>
    <cellStyle name="Calculation 15 5 10" xfId="27670" xr:uid="{00000000-0005-0000-0000-0000DC340000}"/>
    <cellStyle name="Calculation 15 5 2" xfId="9398" xr:uid="{00000000-0005-0000-0000-0000DD340000}"/>
    <cellStyle name="Calculation 15 5 2 2" xfId="9399" xr:uid="{00000000-0005-0000-0000-0000DE340000}"/>
    <cellStyle name="Calculation 15 5 2 3" xfId="27671" xr:uid="{00000000-0005-0000-0000-0000DF340000}"/>
    <cellStyle name="Calculation 15 5 2 4" xfId="27672" xr:uid="{00000000-0005-0000-0000-0000E0340000}"/>
    <cellStyle name="Calculation 15 5 3" xfId="9400" xr:uid="{00000000-0005-0000-0000-0000E1340000}"/>
    <cellStyle name="Calculation 15 5 3 2" xfId="9401" xr:uid="{00000000-0005-0000-0000-0000E2340000}"/>
    <cellStyle name="Calculation 15 5 3 3" xfId="27673" xr:uid="{00000000-0005-0000-0000-0000E3340000}"/>
    <cellStyle name="Calculation 15 5 3 4" xfId="27674" xr:uid="{00000000-0005-0000-0000-0000E4340000}"/>
    <cellStyle name="Calculation 15 5 4" xfId="9402" xr:uid="{00000000-0005-0000-0000-0000E5340000}"/>
    <cellStyle name="Calculation 15 5 4 2" xfId="9403" xr:uid="{00000000-0005-0000-0000-0000E6340000}"/>
    <cellStyle name="Calculation 15 5 4 3" xfId="27675" xr:uid="{00000000-0005-0000-0000-0000E7340000}"/>
    <cellStyle name="Calculation 15 5 4 4" xfId="27676" xr:uid="{00000000-0005-0000-0000-0000E8340000}"/>
    <cellStyle name="Calculation 15 5 5" xfId="9404" xr:uid="{00000000-0005-0000-0000-0000E9340000}"/>
    <cellStyle name="Calculation 15 5 5 2" xfId="9405" xr:uid="{00000000-0005-0000-0000-0000EA340000}"/>
    <cellStyle name="Calculation 15 5 5 3" xfId="27677" xr:uid="{00000000-0005-0000-0000-0000EB340000}"/>
    <cellStyle name="Calculation 15 5 5 4" xfId="27678" xr:uid="{00000000-0005-0000-0000-0000EC340000}"/>
    <cellStyle name="Calculation 15 5 6" xfId="9406" xr:uid="{00000000-0005-0000-0000-0000ED340000}"/>
    <cellStyle name="Calculation 15 5 6 2" xfId="9407" xr:uid="{00000000-0005-0000-0000-0000EE340000}"/>
    <cellStyle name="Calculation 15 5 6 3" xfId="27679" xr:uid="{00000000-0005-0000-0000-0000EF340000}"/>
    <cellStyle name="Calculation 15 5 6 4" xfId="27680" xr:uid="{00000000-0005-0000-0000-0000F0340000}"/>
    <cellStyle name="Calculation 15 5 7" xfId="9408" xr:uid="{00000000-0005-0000-0000-0000F1340000}"/>
    <cellStyle name="Calculation 15 5 7 2" xfId="9409" xr:uid="{00000000-0005-0000-0000-0000F2340000}"/>
    <cellStyle name="Calculation 15 5 7 3" xfId="27681" xr:uid="{00000000-0005-0000-0000-0000F3340000}"/>
    <cellStyle name="Calculation 15 5 7 4" xfId="27682" xr:uid="{00000000-0005-0000-0000-0000F4340000}"/>
    <cellStyle name="Calculation 15 5 8" xfId="9410" xr:uid="{00000000-0005-0000-0000-0000F5340000}"/>
    <cellStyle name="Calculation 15 5 9" xfId="27683" xr:uid="{00000000-0005-0000-0000-0000F6340000}"/>
    <cellStyle name="Calculation 15 6" xfId="9411" xr:uid="{00000000-0005-0000-0000-0000F7340000}"/>
    <cellStyle name="Calculation 15 6 2" xfId="9412" xr:uid="{00000000-0005-0000-0000-0000F8340000}"/>
    <cellStyle name="Calculation 15 6 3" xfId="27684" xr:uid="{00000000-0005-0000-0000-0000F9340000}"/>
    <cellStyle name="Calculation 15 6 4" xfId="27685" xr:uid="{00000000-0005-0000-0000-0000FA340000}"/>
    <cellStyle name="Calculation 15 7" xfId="9413" xr:uid="{00000000-0005-0000-0000-0000FB340000}"/>
    <cellStyle name="Calculation 15 7 2" xfId="9414" xr:uid="{00000000-0005-0000-0000-0000FC340000}"/>
    <cellStyle name="Calculation 15 7 3" xfId="27686" xr:uid="{00000000-0005-0000-0000-0000FD340000}"/>
    <cellStyle name="Calculation 15 7 4" xfId="27687" xr:uid="{00000000-0005-0000-0000-0000FE340000}"/>
    <cellStyle name="Calculation 15 8" xfId="9415" xr:uid="{00000000-0005-0000-0000-0000FF340000}"/>
    <cellStyle name="Calculation 15 8 2" xfId="9416" xr:uid="{00000000-0005-0000-0000-000000350000}"/>
    <cellStyle name="Calculation 15 8 3" xfId="27688" xr:uid="{00000000-0005-0000-0000-000001350000}"/>
    <cellStyle name="Calculation 15 8 4" xfId="27689" xr:uid="{00000000-0005-0000-0000-000002350000}"/>
    <cellStyle name="Calculation 15 9" xfId="9417" xr:uid="{00000000-0005-0000-0000-000003350000}"/>
    <cellStyle name="Calculation 15 9 2" xfId="9418" xr:uid="{00000000-0005-0000-0000-000004350000}"/>
    <cellStyle name="Calculation 15 9 3" xfId="27690" xr:uid="{00000000-0005-0000-0000-000005350000}"/>
    <cellStyle name="Calculation 15 9 4" xfId="27691" xr:uid="{00000000-0005-0000-0000-000006350000}"/>
    <cellStyle name="Calculation 16" xfId="9419" xr:uid="{00000000-0005-0000-0000-000007350000}"/>
    <cellStyle name="Calculation 16 10" xfId="9420" xr:uid="{00000000-0005-0000-0000-000008350000}"/>
    <cellStyle name="Calculation 16 10 2" xfId="9421" xr:uid="{00000000-0005-0000-0000-000009350000}"/>
    <cellStyle name="Calculation 16 10 3" xfId="27692" xr:uid="{00000000-0005-0000-0000-00000A350000}"/>
    <cellStyle name="Calculation 16 10 4" xfId="27693" xr:uid="{00000000-0005-0000-0000-00000B350000}"/>
    <cellStyle name="Calculation 16 11" xfId="9422" xr:uid="{00000000-0005-0000-0000-00000C350000}"/>
    <cellStyle name="Calculation 16 11 2" xfId="9423" xr:uid="{00000000-0005-0000-0000-00000D350000}"/>
    <cellStyle name="Calculation 16 11 3" xfId="27694" xr:uid="{00000000-0005-0000-0000-00000E350000}"/>
    <cellStyle name="Calculation 16 11 4" xfId="27695" xr:uid="{00000000-0005-0000-0000-00000F350000}"/>
    <cellStyle name="Calculation 16 12" xfId="9424" xr:uid="{00000000-0005-0000-0000-000010350000}"/>
    <cellStyle name="Calculation 16 13" xfId="27696" xr:uid="{00000000-0005-0000-0000-000011350000}"/>
    <cellStyle name="Calculation 16 14" xfId="27697" xr:uid="{00000000-0005-0000-0000-000012350000}"/>
    <cellStyle name="Calculation 16 2" xfId="9425" xr:uid="{00000000-0005-0000-0000-000013350000}"/>
    <cellStyle name="Calculation 16 2 10" xfId="27698" xr:uid="{00000000-0005-0000-0000-000014350000}"/>
    <cellStyle name="Calculation 16 2 2" xfId="9426" xr:uid="{00000000-0005-0000-0000-000015350000}"/>
    <cellStyle name="Calculation 16 2 2 2" xfId="9427" xr:uid="{00000000-0005-0000-0000-000016350000}"/>
    <cellStyle name="Calculation 16 2 2 3" xfId="27699" xr:uid="{00000000-0005-0000-0000-000017350000}"/>
    <cellStyle name="Calculation 16 2 2 4" xfId="27700" xr:uid="{00000000-0005-0000-0000-000018350000}"/>
    <cellStyle name="Calculation 16 2 3" xfId="9428" xr:uid="{00000000-0005-0000-0000-000019350000}"/>
    <cellStyle name="Calculation 16 2 3 2" xfId="9429" xr:uid="{00000000-0005-0000-0000-00001A350000}"/>
    <cellStyle name="Calculation 16 2 3 3" xfId="27701" xr:uid="{00000000-0005-0000-0000-00001B350000}"/>
    <cellStyle name="Calculation 16 2 3 4" xfId="27702" xr:uid="{00000000-0005-0000-0000-00001C350000}"/>
    <cellStyle name="Calculation 16 2 4" xfId="9430" xr:uid="{00000000-0005-0000-0000-00001D350000}"/>
    <cellStyle name="Calculation 16 2 4 2" xfId="9431" xr:uid="{00000000-0005-0000-0000-00001E350000}"/>
    <cellStyle name="Calculation 16 2 4 3" xfId="27703" xr:uid="{00000000-0005-0000-0000-00001F350000}"/>
    <cellStyle name="Calculation 16 2 4 4" xfId="27704" xr:uid="{00000000-0005-0000-0000-000020350000}"/>
    <cellStyle name="Calculation 16 2 5" xfId="9432" xr:uid="{00000000-0005-0000-0000-000021350000}"/>
    <cellStyle name="Calculation 16 2 5 2" xfId="9433" xr:uid="{00000000-0005-0000-0000-000022350000}"/>
    <cellStyle name="Calculation 16 2 5 3" xfId="27705" xr:uid="{00000000-0005-0000-0000-000023350000}"/>
    <cellStyle name="Calculation 16 2 5 4" xfId="27706" xr:uid="{00000000-0005-0000-0000-000024350000}"/>
    <cellStyle name="Calculation 16 2 6" xfId="9434" xr:uid="{00000000-0005-0000-0000-000025350000}"/>
    <cellStyle name="Calculation 16 2 6 2" xfId="9435" xr:uid="{00000000-0005-0000-0000-000026350000}"/>
    <cellStyle name="Calculation 16 2 6 3" xfId="27707" xr:uid="{00000000-0005-0000-0000-000027350000}"/>
    <cellStyle name="Calculation 16 2 6 4" xfId="27708" xr:uid="{00000000-0005-0000-0000-000028350000}"/>
    <cellStyle name="Calculation 16 2 7" xfId="9436" xr:uid="{00000000-0005-0000-0000-000029350000}"/>
    <cellStyle name="Calculation 16 2 7 2" xfId="9437" xr:uid="{00000000-0005-0000-0000-00002A350000}"/>
    <cellStyle name="Calculation 16 2 7 3" xfId="27709" xr:uid="{00000000-0005-0000-0000-00002B350000}"/>
    <cellStyle name="Calculation 16 2 7 4" xfId="27710" xr:uid="{00000000-0005-0000-0000-00002C350000}"/>
    <cellStyle name="Calculation 16 2 8" xfId="9438" xr:uid="{00000000-0005-0000-0000-00002D350000}"/>
    <cellStyle name="Calculation 16 2 9" xfId="27711" xr:uid="{00000000-0005-0000-0000-00002E350000}"/>
    <cellStyle name="Calculation 16 3" xfId="9439" xr:uid="{00000000-0005-0000-0000-00002F350000}"/>
    <cellStyle name="Calculation 16 3 10" xfId="27712" xr:uid="{00000000-0005-0000-0000-000030350000}"/>
    <cellStyle name="Calculation 16 3 2" xfId="9440" xr:uid="{00000000-0005-0000-0000-000031350000}"/>
    <cellStyle name="Calculation 16 3 2 2" xfId="9441" xr:uid="{00000000-0005-0000-0000-000032350000}"/>
    <cellStyle name="Calculation 16 3 2 3" xfId="27713" xr:uid="{00000000-0005-0000-0000-000033350000}"/>
    <cellStyle name="Calculation 16 3 2 4" xfId="27714" xr:uid="{00000000-0005-0000-0000-000034350000}"/>
    <cellStyle name="Calculation 16 3 3" xfId="9442" xr:uid="{00000000-0005-0000-0000-000035350000}"/>
    <cellStyle name="Calculation 16 3 3 2" xfId="9443" xr:uid="{00000000-0005-0000-0000-000036350000}"/>
    <cellStyle name="Calculation 16 3 3 3" xfId="27715" xr:uid="{00000000-0005-0000-0000-000037350000}"/>
    <cellStyle name="Calculation 16 3 3 4" xfId="27716" xr:uid="{00000000-0005-0000-0000-000038350000}"/>
    <cellStyle name="Calculation 16 3 4" xfId="9444" xr:uid="{00000000-0005-0000-0000-000039350000}"/>
    <cellStyle name="Calculation 16 3 4 2" xfId="9445" xr:uid="{00000000-0005-0000-0000-00003A350000}"/>
    <cellStyle name="Calculation 16 3 4 3" xfId="27717" xr:uid="{00000000-0005-0000-0000-00003B350000}"/>
    <cellStyle name="Calculation 16 3 4 4" xfId="27718" xr:uid="{00000000-0005-0000-0000-00003C350000}"/>
    <cellStyle name="Calculation 16 3 5" xfId="9446" xr:uid="{00000000-0005-0000-0000-00003D350000}"/>
    <cellStyle name="Calculation 16 3 5 2" xfId="9447" xr:uid="{00000000-0005-0000-0000-00003E350000}"/>
    <cellStyle name="Calculation 16 3 5 3" xfId="27719" xr:uid="{00000000-0005-0000-0000-00003F350000}"/>
    <cellStyle name="Calculation 16 3 5 4" xfId="27720" xr:uid="{00000000-0005-0000-0000-000040350000}"/>
    <cellStyle name="Calculation 16 3 6" xfId="9448" xr:uid="{00000000-0005-0000-0000-000041350000}"/>
    <cellStyle name="Calculation 16 3 6 2" xfId="9449" xr:uid="{00000000-0005-0000-0000-000042350000}"/>
    <cellStyle name="Calculation 16 3 6 3" xfId="27721" xr:uid="{00000000-0005-0000-0000-000043350000}"/>
    <cellStyle name="Calculation 16 3 6 4" xfId="27722" xr:uid="{00000000-0005-0000-0000-000044350000}"/>
    <cellStyle name="Calculation 16 3 7" xfId="9450" xr:uid="{00000000-0005-0000-0000-000045350000}"/>
    <cellStyle name="Calculation 16 3 7 2" xfId="9451" xr:uid="{00000000-0005-0000-0000-000046350000}"/>
    <cellStyle name="Calculation 16 3 7 3" xfId="27723" xr:uid="{00000000-0005-0000-0000-000047350000}"/>
    <cellStyle name="Calculation 16 3 7 4" xfId="27724" xr:uid="{00000000-0005-0000-0000-000048350000}"/>
    <cellStyle name="Calculation 16 3 8" xfId="9452" xr:uid="{00000000-0005-0000-0000-000049350000}"/>
    <cellStyle name="Calculation 16 3 9" xfId="27725" xr:uid="{00000000-0005-0000-0000-00004A350000}"/>
    <cellStyle name="Calculation 16 4" xfId="9453" xr:uid="{00000000-0005-0000-0000-00004B350000}"/>
    <cellStyle name="Calculation 16 4 10" xfId="27726" xr:uid="{00000000-0005-0000-0000-00004C350000}"/>
    <cellStyle name="Calculation 16 4 2" xfId="9454" xr:uid="{00000000-0005-0000-0000-00004D350000}"/>
    <cellStyle name="Calculation 16 4 2 2" xfId="9455" xr:uid="{00000000-0005-0000-0000-00004E350000}"/>
    <cellStyle name="Calculation 16 4 2 3" xfId="27727" xr:uid="{00000000-0005-0000-0000-00004F350000}"/>
    <cellStyle name="Calculation 16 4 2 4" xfId="27728" xr:uid="{00000000-0005-0000-0000-000050350000}"/>
    <cellStyle name="Calculation 16 4 3" xfId="9456" xr:uid="{00000000-0005-0000-0000-000051350000}"/>
    <cellStyle name="Calculation 16 4 3 2" xfId="9457" xr:uid="{00000000-0005-0000-0000-000052350000}"/>
    <cellStyle name="Calculation 16 4 3 3" xfId="27729" xr:uid="{00000000-0005-0000-0000-000053350000}"/>
    <cellStyle name="Calculation 16 4 3 4" xfId="27730" xr:uid="{00000000-0005-0000-0000-000054350000}"/>
    <cellStyle name="Calculation 16 4 4" xfId="9458" xr:uid="{00000000-0005-0000-0000-000055350000}"/>
    <cellStyle name="Calculation 16 4 4 2" xfId="9459" xr:uid="{00000000-0005-0000-0000-000056350000}"/>
    <cellStyle name="Calculation 16 4 4 3" xfId="27731" xr:uid="{00000000-0005-0000-0000-000057350000}"/>
    <cellStyle name="Calculation 16 4 4 4" xfId="27732" xr:uid="{00000000-0005-0000-0000-000058350000}"/>
    <cellStyle name="Calculation 16 4 5" xfId="9460" xr:uid="{00000000-0005-0000-0000-000059350000}"/>
    <cellStyle name="Calculation 16 4 5 2" xfId="9461" xr:uid="{00000000-0005-0000-0000-00005A350000}"/>
    <cellStyle name="Calculation 16 4 5 3" xfId="27733" xr:uid="{00000000-0005-0000-0000-00005B350000}"/>
    <cellStyle name="Calculation 16 4 5 4" xfId="27734" xr:uid="{00000000-0005-0000-0000-00005C350000}"/>
    <cellStyle name="Calculation 16 4 6" xfId="9462" xr:uid="{00000000-0005-0000-0000-00005D350000}"/>
    <cellStyle name="Calculation 16 4 6 2" xfId="9463" xr:uid="{00000000-0005-0000-0000-00005E350000}"/>
    <cellStyle name="Calculation 16 4 6 3" xfId="27735" xr:uid="{00000000-0005-0000-0000-00005F350000}"/>
    <cellStyle name="Calculation 16 4 6 4" xfId="27736" xr:uid="{00000000-0005-0000-0000-000060350000}"/>
    <cellStyle name="Calculation 16 4 7" xfId="9464" xr:uid="{00000000-0005-0000-0000-000061350000}"/>
    <cellStyle name="Calculation 16 4 7 2" xfId="9465" xr:uid="{00000000-0005-0000-0000-000062350000}"/>
    <cellStyle name="Calculation 16 4 7 3" xfId="27737" xr:uid="{00000000-0005-0000-0000-000063350000}"/>
    <cellStyle name="Calculation 16 4 7 4" xfId="27738" xr:uid="{00000000-0005-0000-0000-000064350000}"/>
    <cellStyle name="Calculation 16 4 8" xfId="9466" xr:uid="{00000000-0005-0000-0000-000065350000}"/>
    <cellStyle name="Calculation 16 4 9" xfId="27739" xr:uid="{00000000-0005-0000-0000-000066350000}"/>
    <cellStyle name="Calculation 16 5" xfId="9467" xr:uid="{00000000-0005-0000-0000-000067350000}"/>
    <cellStyle name="Calculation 16 5 10" xfId="27740" xr:uid="{00000000-0005-0000-0000-000068350000}"/>
    <cellStyle name="Calculation 16 5 2" xfId="9468" xr:uid="{00000000-0005-0000-0000-000069350000}"/>
    <cellStyle name="Calculation 16 5 2 2" xfId="9469" xr:uid="{00000000-0005-0000-0000-00006A350000}"/>
    <cellStyle name="Calculation 16 5 2 3" xfId="27741" xr:uid="{00000000-0005-0000-0000-00006B350000}"/>
    <cellStyle name="Calculation 16 5 2 4" xfId="27742" xr:uid="{00000000-0005-0000-0000-00006C350000}"/>
    <cellStyle name="Calculation 16 5 3" xfId="9470" xr:uid="{00000000-0005-0000-0000-00006D350000}"/>
    <cellStyle name="Calculation 16 5 3 2" xfId="9471" xr:uid="{00000000-0005-0000-0000-00006E350000}"/>
    <cellStyle name="Calculation 16 5 3 3" xfId="27743" xr:uid="{00000000-0005-0000-0000-00006F350000}"/>
    <cellStyle name="Calculation 16 5 3 4" xfId="27744" xr:uid="{00000000-0005-0000-0000-000070350000}"/>
    <cellStyle name="Calculation 16 5 4" xfId="9472" xr:uid="{00000000-0005-0000-0000-000071350000}"/>
    <cellStyle name="Calculation 16 5 4 2" xfId="9473" xr:uid="{00000000-0005-0000-0000-000072350000}"/>
    <cellStyle name="Calculation 16 5 4 3" xfId="27745" xr:uid="{00000000-0005-0000-0000-000073350000}"/>
    <cellStyle name="Calculation 16 5 4 4" xfId="27746" xr:uid="{00000000-0005-0000-0000-000074350000}"/>
    <cellStyle name="Calculation 16 5 5" xfId="9474" xr:uid="{00000000-0005-0000-0000-000075350000}"/>
    <cellStyle name="Calculation 16 5 5 2" xfId="9475" xr:uid="{00000000-0005-0000-0000-000076350000}"/>
    <cellStyle name="Calculation 16 5 5 3" xfId="27747" xr:uid="{00000000-0005-0000-0000-000077350000}"/>
    <cellStyle name="Calculation 16 5 5 4" xfId="27748" xr:uid="{00000000-0005-0000-0000-000078350000}"/>
    <cellStyle name="Calculation 16 5 6" xfId="9476" xr:uid="{00000000-0005-0000-0000-000079350000}"/>
    <cellStyle name="Calculation 16 5 6 2" xfId="9477" xr:uid="{00000000-0005-0000-0000-00007A350000}"/>
    <cellStyle name="Calculation 16 5 6 3" xfId="27749" xr:uid="{00000000-0005-0000-0000-00007B350000}"/>
    <cellStyle name="Calculation 16 5 6 4" xfId="27750" xr:uid="{00000000-0005-0000-0000-00007C350000}"/>
    <cellStyle name="Calculation 16 5 7" xfId="9478" xr:uid="{00000000-0005-0000-0000-00007D350000}"/>
    <cellStyle name="Calculation 16 5 7 2" xfId="9479" xr:uid="{00000000-0005-0000-0000-00007E350000}"/>
    <cellStyle name="Calculation 16 5 7 3" xfId="27751" xr:uid="{00000000-0005-0000-0000-00007F350000}"/>
    <cellStyle name="Calculation 16 5 7 4" xfId="27752" xr:uid="{00000000-0005-0000-0000-000080350000}"/>
    <cellStyle name="Calculation 16 5 8" xfId="9480" xr:uid="{00000000-0005-0000-0000-000081350000}"/>
    <cellStyle name="Calculation 16 5 9" xfId="27753" xr:uid="{00000000-0005-0000-0000-000082350000}"/>
    <cellStyle name="Calculation 16 6" xfId="9481" xr:uid="{00000000-0005-0000-0000-000083350000}"/>
    <cellStyle name="Calculation 16 6 2" xfId="9482" xr:uid="{00000000-0005-0000-0000-000084350000}"/>
    <cellStyle name="Calculation 16 6 3" xfId="27754" xr:uid="{00000000-0005-0000-0000-000085350000}"/>
    <cellStyle name="Calculation 16 6 4" xfId="27755" xr:uid="{00000000-0005-0000-0000-000086350000}"/>
    <cellStyle name="Calculation 16 7" xfId="9483" xr:uid="{00000000-0005-0000-0000-000087350000}"/>
    <cellStyle name="Calculation 16 7 2" xfId="9484" xr:uid="{00000000-0005-0000-0000-000088350000}"/>
    <cellStyle name="Calculation 16 7 3" xfId="27756" xr:uid="{00000000-0005-0000-0000-000089350000}"/>
    <cellStyle name="Calculation 16 7 4" xfId="27757" xr:uid="{00000000-0005-0000-0000-00008A350000}"/>
    <cellStyle name="Calculation 16 8" xfId="9485" xr:uid="{00000000-0005-0000-0000-00008B350000}"/>
    <cellStyle name="Calculation 16 8 2" xfId="9486" xr:uid="{00000000-0005-0000-0000-00008C350000}"/>
    <cellStyle name="Calculation 16 8 3" xfId="27758" xr:uid="{00000000-0005-0000-0000-00008D350000}"/>
    <cellStyle name="Calculation 16 8 4" xfId="27759" xr:uid="{00000000-0005-0000-0000-00008E350000}"/>
    <cellStyle name="Calculation 16 9" xfId="9487" xr:uid="{00000000-0005-0000-0000-00008F350000}"/>
    <cellStyle name="Calculation 16 9 2" xfId="9488" xr:uid="{00000000-0005-0000-0000-000090350000}"/>
    <cellStyle name="Calculation 16 9 3" xfId="27760" xr:uid="{00000000-0005-0000-0000-000091350000}"/>
    <cellStyle name="Calculation 16 9 4" xfId="27761" xr:uid="{00000000-0005-0000-0000-000092350000}"/>
    <cellStyle name="Calculation 17" xfId="9489" xr:uid="{00000000-0005-0000-0000-000093350000}"/>
    <cellStyle name="Calculation 17 10" xfId="9490" xr:uid="{00000000-0005-0000-0000-000094350000}"/>
    <cellStyle name="Calculation 17 10 2" xfId="9491" xr:uid="{00000000-0005-0000-0000-000095350000}"/>
    <cellStyle name="Calculation 17 10 3" xfId="27762" xr:uid="{00000000-0005-0000-0000-000096350000}"/>
    <cellStyle name="Calculation 17 10 4" xfId="27763" xr:uid="{00000000-0005-0000-0000-000097350000}"/>
    <cellStyle name="Calculation 17 11" xfId="9492" xr:uid="{00000000-0005-0000-0000-000098350000}"/>
    <cellStyle name="Calculation 17 11 2" xfId="9493" xr:uid="{00000000-0005-0000-0000-000099350000}"/>
    <cellStyle name="Calculation 17 11 3" xfId="27764" xr:uid="{00000000-0005-0000-0000-00009A350000}"/>
    <cellStyle name="Calculation 17 11 4" xfId="27765" xr:uid="{00000000-0005-0000-0000-00009B350000}"/>
    <cellStyle name="Calculation 17 12" xfId="9494" xr:uid="{00000000-0005-0000-0000-00009C350000}"/>
    <cellStyle name="Calculation 17 13" xfId="27766" xr:uid="{00000000-0005-0000-0000-00009D350000}"/>
    <cellStyle name="Calculation 17 14" xfId="27767" xr:uid="{00000000-0005-0000-0000-00009E350000}"/>
    <cellStyle name="Calculation 17 2" xfId="9495" xr:uid="{00000000-0005-0000-0000-00009F350000}"/>
    <cellStyle name="Calculation 17 2 10" xfId="27768" xr:uid="{00000000-0005-0000-0000-0000A0350000}"/>
    <cellStyle name="Calculation 17 2 2" xfId="9496" xr:uid="{00000000-0005-0000-0000-0000A1350000}"/>
    <cellStyle name="Calculation 17 2 2 2" xfId="9497" xr:uid="{00000000-0005-0000-0000-0000A2350000}"/>
    <cellStyle name="Calculation 17 2 2 3" xfId="27769" xr:uid="{00000000-0005-0000-0000-0000A3350000}"/>
    <cellStyle name="Calculation 17 2 2 4" xfId="27770" xr:uid="{00000000-0005-0000-0000-0000A4350000}"/>
    <cellStyle name="Calculation 17 2 3" xfId="9498" xr:uid="{00000000-0005-0000-0000-0000A5350000}"/>
    <cellStyle name="Calculation 17 2 3 2" xfId="9499" xr:uid="{00000000-0005-0000-0000-0000A6350000}"/>
    <cellStyle name="Calculation 17 2 3 3" xfId="27771" xr:uid="{00000000-0005-0000-0000-0000A7350000}"/>
    <cellStyle name="Calculation 17 2 3 4" xfId="27772" xr:uid="{00000000-0005-0000-0000-0000A8350000}"/>
    <cellStyle name="Calculation 17 2 4" xfId="9500" xr:uid="{00000000-0005-0000-0000-0000A9350000}"/>
    <cellStyle name="Calculation 17 2 4 2" xfId="9501" xr:uid="{00000000-0005-0000-0000-0000AA350000}"/>
    <cellStyle name="Calculation 17 2 4 3" xfId="27773" xr:uid="{00000000-0005-0000-0000-0000AB350000}"/>
    <cellStyle name="Calculation 17 2 4 4" xfId="27774" xr:uid="{00000000-0005-0000-0000-0000AC350000}"/>
    <cellStyle name="Calculation 17 2 5" xfId="9502" xr:uid="{00000000-0005-0000-0000-0000AD350000}"/>
    <cellStyle name="Calculation 17 2 5 2" xfId="9503" xr:uid="{00000000-0005-0000-0000-0000AE350000}"/>
    <cellStyle name="Calculation 17 2 5 3" xfId="27775" xr:uid="{00000000-0005-0000-0000-0000AF350000}"/>
    <cellStyle name="Calculation 17 2 5 4" xfId="27776" xr:uid="{00000000-0005-0000-0000-0000B0350000}"/>
    <cellStyle name="Calculation 17 2 6" xfId="9504" xr:uid="{00000000-0005-0000-0000-0000B1350000}"/>
    <cellStyle name="Calculation 17 2 6 2" xfId="9505" xr:uid="{00000000-0005-0000-0000-0000B2350000}"/>
    <cellStyle name="Calculation 17 2 6 3" xfId="27777" xr:uid="{00000000-0005-0000-0000-0000B3350000}"/>
    <cellStyle name="Calculation 17 2 6 4" xfId="27778" xr:uid="{00000000-0005-0000-0000-0000B4350000}"/>
    <cellStyle name="Calculation 17 2 7" xfId="9506" xr:uid="{00000000-0005-0000-0000-0000B5350000}"/>
    <cellStyle name="Calculation 17 2 7 2" xfId="9507" xr:uid="{00000000-0005-0000-0000-0000B6350000}"/>
    <cellStyle name="Calculation 17 2 7 3" xfId="27779" xr:uid="{00000000-0005-0000-0000-0000B7350000}"/>
    <cellStyle name="Calculation 17 2 7 4" xfId="27780" xr:uid="{00000000-0005-0000-0000-0000B8350000}"/>
    <cellStyle name="Calculation 17 2 8" xfId="9508" xr:uid="{00000000-0005-0000-0000-0000B9350000}"/>
    <cellStyle name="Calculation 17 2 9" xfId="27781" xr:uid="{00000000-0005-0000-0000-0000BA350000}"/>
    <cellStyle name="Calculation 17 3" xfId="9509" xr:uid="{00000000-0005-0000-0000-0000BB350000}"/>
    <cellStyle name="Calculation 17 3 10" xfId="27782" xr:uid="{00000000-0005-0000-0000-0000BC350000}"/>
    <cellStyle name="Calculation 17 3 2" xfId="9510" xr:uid="{00000000-0005-0000-0000-0000BD350000}"/>
    <cellStyle name="Calculation 17 3 2 2" xfId="9511" xr:uid="{00000000-0005-0000-0000-0000BE350000}"/>
    <cellStyle name="Calculation 17 3 2 3" xfId="27783" xr:uid="{00000000-0005-0000-0000-0000BF350000}"/>
    <cellStyle name="Calculation 17 3 2 4" xfId="27784" xr:uid="{00000000-0005-0000-0000-0000C0350000}"/>
    <cellStyle name="Calculation 17 3 3" xfId="9512" xr:uid="{00000000-0005-0000-0000-0000C1350000}"/>
    <cellStyle name="Calculation 17 3 3 2" xfId="9513" xr:uid="{00000000-0005-0000-0000-0000C2350000}"/>
    <cellStyle name="Calculation 17 3 3 3" xfId="27785" xr:uid="{00000000-0005-0000-0000-0000C3350000}"/>
    <cellStyle name="Calculation 17 3 3 4" xfId="27786" xr:uid="{00000000-0005-0000-0000-0000C4350000}"/>
    <cellStyle name="Calculation 17 3 4" xfId="9514" xr:uid="{00000000-0005-0000-0000-0000C5350000}"/>
    <cellStyle name="Calculation 17 3 4 2" xfId="9515" xr:uid="{00000000-0005-0000-0000-0000C6350000}"/>
    <cellStyle name="Calculation 17 3 4 3" xfId="27787" xr:uid="{00000000-0005-0000-0000-0000C7350000}"/>
    <cellStyle name="Calculation 17 3 4 4" xfId="27788" xr:uid="{00000000-0005-0000-0000-0000C8350000}"/>
    <cellStyle name="Calculation 17 3 5" xfId="9516" xr:uid="{00000000-0005-0000-0000-0000C9350000}"/>
    <cellStyle name="Calculation 17 3 5 2" xfId="9517" xr:uid="{00000000-0005-0000-0000-0000CA350000}"/>
    <cellStyle name="Calculation 17 3 5 3" xfId="27789" xr:uid="{00000000-0005-0000-0000-0000CB350000}"/>
    <cellStyle name="Calculation 17 3 5 4" xfId="27790" xr:uid="{00000000-0005-0000-0000-0000CC350000}"/>
    <cellStyle name="Calculation 17 3 6" xfId="9518" xr:uid="{00000000-0005-0000-0000-0000CD350000}"/>
    <cellStyle name="Calculation 17 3 6 2" xfId="9519" xr:uid="{00000000-0005-0000-0000-0000CE350000}"/>
    <cellStyle name="Calculation 17 3 6 3" xfId="27791" xr:uid="{00000000-0005-0000-0000-0000CF350000}"/>
    <cellStyle name="Calculation 17 3 6 4" xfId="27792" xr:uid="{00000000-0005-0000-0000-0000D0350000}"/>
    <cellStyle name="Calculation 17 3 7" xfId="9520" xr:uid="{00000000-0005-0000-0000-0000D1350000}"/>
    <cellStyle name="Calculation 17 3 7 2" xfId="9521" xr:uid="{00000000-0005-0000-0000-0000D2350000}"/>
    <cellStyle name="Calculation 17 3 7 3" xfId="27793" xr:uid="{00000000-0005-0000-0000-0000D3350000}"/>
    <cellStyle name="Calculation 17 3 7 4" xfId="27794" xr:uid="{00000000-0005-0000-0000-0000D4350000}"/>
    <cellStyle name="Calculation 17 3 8" xfId="9522" xr:uid="{00000000-0005-0000-0000-0000D5350000}"/>
    <cellStyle name="Calculation 17 3 9" xfId="27795" xr:uid="{00000000-0005-0000-0000-0000D6350000}"/>
    <cellStyle name="Calculation 17 4" xfId="9523" xr:uid="{00000000-0005-0000-0000-0000D7350000}"/>
    <cellStyle name="Calculation 17 4 10" xfId="27796" xr:uid="{00000000-0005-0000-0000-0000D8350000}"/>
    <cellStyle name="Calculation 17 4 2" xfId="9524" xr:uid="{00000000-0005-0000-0000-0000D9350000}"/>
    <cellStyle name="Calculation 17 4 2 2" xfId="9525" xr:uid="{00000000-0005-0000-0000-0000DA350000}"/>
    <cellStyle name="Calculation 17 4 2 3" xfId="27797" xr:uid="{00000000-0005-0000-0000-0000DB350000}"/>
    <cellStyle name="Calculation 17 4 2 4" xfId="27798" xr:uid="{00000000-0005-0000-0000-0000DC350000}"/>
    <cellStyle name="Calculation 17 4 3" xfId="9526" xr:uid="{00000000-0005-0000-0000-0000DD350000}"/>
    <cellStyle name="Calculation 17 4 3 2" xfId="9527" xr:uid="{00000000-0005-0000-0000-0000DE350000}"/>
    <cellStyle name="Calculation 17 4 3 3" xfId="27799" xr:uid="{00000000-0005-0000-0000-0000DF350000}"/>
    <cellStyle name="Calculation 17 4 3 4" xfId="27800" xr:uid="{00000000-0005-0000-0000-0000E0350000}"/>
    <cellStyle name="Calculation 17 4 4" xfId="9528" xr:uid="{00000000-0005-0000-0000-0000E1350000}"/>
    <cellStyle name="Calculation 17 4 4 2" xfId="9529" xr:uid="{00000000-0005-0000-0000-0000E2350000}"/>
    <cellStyle name="Calculation 17 4 4 3" xfId="27801" xr:uid="{00000000-0005-0000-0000-0000E3350000}"/>
    <cellStyle name="Calculation 17 4 4 4" xfId="27802" xr:uid="{00000000-0005-0000-0000-0000E4350000}"/>
    <cellStyle name="Calculation 17 4 5" xfId="9530" xr:uid="{00000000-0005-0000-0000-0000E5350000}"/>
    <cellStyle name="Calculation 17 4 5 2" xfId="9531" xr:uid="{00000000-0005-0000-0000-0000E6350000}"/>
    <cellStyle name="Calculation 17 4 5 3" xfId="27803" xr:uid="{00000000-0005-0000-0000-0000E7350000}"/>
    <cellStyle name="Calculation 17 4 5 4" xfId="27804" xr:uid="{00000000-0005-0000-0000-0000E8350000}"/>
    <cellStyle name="Calculation 17 4 6" xfId="9532" xr:uid="{00000000-0005-0000-0000-0000E9350000}"/>
    <cellStyle name="Calculation 17 4 6 2" xfId="9533" xr:uid="{00000000-0005-0000-0000-0000EA350000}"/>
    <cellStyle name="Calculation 17 4 6 3" xfId="27805" xr:uid="{00000000-0005-0000-0000-0000EB350000}"/>
    <cellStyle name="Calculation 17 4 6 4" xfId="27806" xr:uid="{00000000-0005-0000-0000-0000EC350000}"/>
    <cellStyle name="Calculation 17 4 7" xfId="9534" xr:uid="{00000000-0005-0000-0000-0000ED350000}"/>
    <cellStyle name="Calculation 17 4 7 2" xfId="9535" xr:uid="{00000000-0005-0000-0000-0000EE350000}"/>
    <cellStyle name="Calculation 17 4 7 3" xfId="27807" xr:uid="{00000000-0005-0000-0000-0000EF350000}"/>
    <cellStyle name="Calculation 17 4 7 4" xfId="27808" xr:uid="{00000000-0005-0000-0000-0000F0350000}"/>
    <cellStyle name="Calculation 17 4 8" xfId="9536" xr:uid="{00000000-0005-0000-0000-0000F1350000}"/>
    <cellStyle name="Calculation 17 4 9" xfId="27809" xr:uid="{00000000-0005-0000-0000-0000F2350000}"/>
    <cellStyle name="Calculation 17 5" xfId="9537" xr:uid="{00000000-0005-0000-0000-0000F3350000}"/>
    <cellStyle name="Calculation 17 5 10" xfId="27810" xr:uid="{00000000-0005-0000-0000-0000F4350000}"/>
    <cellStyle name="Calculation 17 5 2" xfId="9538" xr:uid="{00000000-0005-0000-0000-0000F5350000}"/>
    <cellStyle name="Calculation 17 5 2 2" xfId="9539" xr:uid="{00000000-0005-0000-0000-0000F6350000}"/>
    <cellStyle name="Calculation 17 5 2 3" xfId="27811" xr:uid="{00000000-0005-0000-0000-0000F7350000}"/>
    <cellStyle name="Calculation 17 5 2 4" xfId="27812" xr:uid="{00000000-0005-0000-0000-0000F8350000}"/>
    <cellStyle name="Calculation 17 5 3" xfId="9540" xr:uid="{00000000-0005-0000-0000-0000F9350000}"/>
    <cellStyle name="Calculation 17 5 3 2" xfId="9541" xr:uid="{00000000-0005-0000-0000-0000FA350000}"/>
    <cellStyle name="Calculation 17 5 3 3" xfId="27813" xr:uid="{00000000-0005-0000-0000-0000FB350000}"/>
    <cellStyle name="Calculation 17 5 3 4" xfId="27814" xr:uid="{00000000-0005-0000-0000-0000FC350000}"/>
    <cellStyle name="Calculation 17 5 4" xfId="9542" xr:uid="{00000000-0005-0000-0000-0000FD350000}"/>
    <cellStyle name="Calculation 17 5 4 2" xfId="9543" xr:uid="{00000000-0005-0000-0000-0000FE350000}"/>
    <cellStyle name="Calculation 17 5 4 3" xfId="27815" xr:uid="{00000000-0005-0000-0000-0000FF350000}"/>
    <cellStyle name="Calculation 17 5 4 4" xfId="27816" xr:uid="{00000000-0005-0000-0000-000000360000}"/>
    <cellStyle name="Calculation 17 5 5" xfId="9544" xr:uid="{00000000-0005-0000-0000-000001360000}"/>
    <cellStyle name="Calculation 17 5 5 2" xfId="9545" xr:uid="{00000000-0005-0000-0000-000002360000}"/>
    <cellStyle name="Calculation 17 5 5 3" xfId="27817" xr:uid="{00000000-0005-0000-0000-000003360000}"/>
    <cellStyle name="Calculation 17 5 5 4" xfId="27818" xr:uid="{00000000-0005-0000-0000-000004360000}"/>
    <cellStyle name="Calculation 17 5 6" xfId="9546" xr:uid="{00000000-0005-0000-0000-000005360000}"/>
    <cellStyle name="Calculation 17 5 6 2" xfId="9547" xr:uid="{00000000-0005-0000-0000-000006360000}"/>
    <cellStyle name="Calculation 17 5 6 3" xfId="27819" xr:uid="{00000000-0005-0000-0000-000007360000}"/>
    <cellStyle name="Calculation 17 5 6 4" xfId="27820" xr:uid="{00000000-0005-0000-0000-000008360000}"/>
    <cellStyle name="Calculation 17 5 7" xfId="9548" xr:uid="{00000000-0005-0000-0000-000009360000}"/>
    <cellStyle name="Calculation 17 5 7 2" xfId="9549" xr:uid="{00000000-0005-0000-0000-00000A360000}"/>
    <cellStyle name="Calculation 17 5 7 3" xfId="27821" xr:uid="{00000000-0005-0000-0000-00000B360000}"/>
    <cellStyle name="Calculation 17 5 7 4" xfId="27822" xr:uid="{00000000-0005-0000-0000-00000C360000}"/>
    <cellStyle name="Calculation 17 5 8" xfId="9550" xr:uid="{00000000-0005-0000-0000-00000D360000}"/>
    <cellStyle name="Calculation 17 5 9" xfId="27823" xr:uid="{00000000-0005-0000-0000-00000E360000}"/>
    <cellStyle name="Calculation 17 6" xfId="9551" xr:uid="{00000000-0005-0000-0000-00000F360000}"/>
    <cellStyle name="Calculation 17 6 2" xfId="9552" xr:uid="{00000000-0005-0000-0000-000010360000}"/>
    <cellStyle name="Calculation 17 6 3" xfId="27824" xr:uid="{00000000-0005-0000-0000-000011360000}"/>
    <cellStyle name="Calculation 17 6 4" xfId="27825" xr:uid="{00000000-0005-0000-0000-000012360000}"/>
    <cellStyle name="Calculation 17 7" xfId="9553" xr:uid="{00000000-0005-0000-0000-000013360000}"/>
    <cellStyle name="Calculation 17 7 2" xfId="9554" xr:uid="{00000000-0005-0000-0000-000014360000}"/>
    <cellStyle name="Calculation 17 7 3" xfId="27826" xr:uid="{00000000-0005-0000-0000-000015360000}"/>
    <cellStyle name="Calculation 17 7 4" xfId="27827" xr:uid="{00000000-0005-0000-0000-000016360000}"/>
    <cellStyle name="Calculation 17 8" xfId="9555" xr:uid="{00000000-0005-0000-0000-000017360000}"/>
    <cellStyle name="Calculation 17 8 2" xfId="9556" xr:uid="{00000000-0005-0000-0000-000018360000}"/>
    <cellStyle name="Calculation 17 8 3" xfId="27828" xr:uid="{00000000-0005-0000-0000-000019360000}"/>
    <cellStyle name="Calculation 17 8 4" xfId="27829" xr:uid="{00000000-0005-0000-0000-00001A360000}"/>
    <cellStyle name="Calculation 17 9" xfId="9557" xr:uid="{00000000-0005-0000-0000-00001B360000}"/>
    <cellStyle name="Calculation 17 9 2" xfId="9558" xr:uid="{00000000-0005-0000-0000-00001C360000}"/>
    <cellStyle name="Calculation 17 9 3" xfId="27830" xr:uid="{00000000-0005-0000-0000-00001D360000}"/>
    <cellStyle name="Calculation 17 9 4" xfId="27831" xr:uid="{00000000-0005-0000-0000-00001E360000}"/>
    <cellStyle name="Calculation 18" xfId="9559" xr:uid="{00000000-0005-0000-0000-00001F360000}"/>
    <cellStyle name="Calculation 18 10" xfId="9560" xr:uid="{00000000-0005-0000-0000-000020360000}"/>
    <cellStyle name="Calculation 18 10 2" xfId="9561" xr:uid="{00000000-0005-0000-0000-000021360000}"/>
    <cellStyle name="Calculation 18 10 3" xfId="27832" xr:uid="{00000000-0005-0000-0000-000022360000}"/>
    <cellStyle name="Calculation 18 10 4" xfId="27833" xr:uid="{00000000-0005-0000-0000-000023360000}"/>
    <cellStyle name="Calculation 18 11" xfId="9562" xr:uid="{00000000-0005-0000-0000-000024360000}"/>
    <cellStyle name="Calculation 18 11 2" xfId="9563" xr:uid="{00000000-0005-0000-0000-000025360000}"/>
    <cellStyle name="Calculation 18 11 3" xfId="27834" xr:uid="{00000000-0005-0000-0000-000026360000}"/>
    <cellStyle name="Calculation 18 11 4" xfId="27835" xr:uid="{00000000-0005-0000-0000-000027360000}"/>
    <cellStyle name="Calculation 18 12" xfId="9564" xr:uid="{00000000-0005-0000-0000-000028360000}"/>
    <cellStyle name="Calculation 18 13" xfId="27836" xr:uid="{00000000-0005-0000-0000-000029360000}"/>
    <cellStyle name="Calculation 18 14" xfId="27837" xr:uid="{00000000-0005-0000-0000-00002A360000}"/>
    <cellStyle name="Calculation 18 2" xfId="9565" xr:uid="{00000000-0005-0000-0000-00002B360000}"/>
    <cellStyle name="Calculation 18 2 10" xfId="27838" xr:uid="{00000000-0005-0000-0000-00002C360000}"/>
    <cellStyle name="Calculation 18 2 2" xfId="9566" xr:uid="{00000000-0005-0000-0000-00002D360000}"/>
    <cellStyle name="Calculation 18 2 2 2" xfId="9567" xr:uid="{00000000-0005-0000-0000-00002E360000}"/>
    <cellStyle name="Calculation 18 2 2 3" xfId="27839" xr:uid="{00000000-0005-0000-0000-00002F360000}"/>
    <cellStyle name="Calculation 18 2 2 4" xfId="27840" xr:uid="{00000000-0005-0000-0000-000030360000}"/>
    <cellStyle name="Calculation 18 2 3" xfId="9568" xr:uid="{00000000-0005-0000-0000-000031360000}"/>
    <cellStyle name="Calculation 18 2 3 2" xfId="9569" xr:uid="{00000000-0005-0000-0000-000032360000}"/>
    <cellStyle name="Calculation 18 2 3 3" xfId="27841" xr:uid="{00000000-0005-0000-0000-000033360000}"/>
    <cellStyle name="Calculation 18 2 3 4" xfId="27842" xr:uid="{00000000-0005-0000-0000-000034360000}"/>
    <cellStyle name="Calculation 18 2 4" xfId="9570" xr:uid="{00000000-0005-0000-0000-000035360000}"/>
    <cellStyle name="Calculation 18 2 4 2" xfId="9571" xr:uid="{00000000-0005-0000-0000-000036360000}"/>
    <cellStyle name="Calculation 18 2 4 3" xfId="27843" xr:uid="{00000000-0005-0000-0000-000037360000}"/>
    <cellStyle name="Calculation 18 2 4 4" xfId="27844" xr:uid="{00000000-0005-0000-0000-000038360000}"/>
    <cellStyle name="Calculation 18 2 5" xfId="9572" xr:uid="{00000000-0005-0000-0000-000039360000}"/>
    <cellStyle name="Calculation 18 2 5 2" xfId="9573" xr:uid="{00000000-0005-0000-0000-00003A360000}"/>
    <cellStyle name="Calculation 18 2 5 3" xfId="27845" xr:uid="{00000000-0005-0000-0000-00003B360000}"/>
    <cellStyle name="Calculation 18 2 5 4" xfId="27846" xr:uid="{00000000-0005-0000-0000-00003C360000}"/>
    <cellStyle name="Calculation 18 2 6" xfId="9574" xr:uid="{00000000-0005-0000-0000-00003D360000}"/>
    <cellStyle name="Calculation 18 2 6 2" xfId="9575" xr:uid="{00000000-0005-0000-0000-00003E360000}"/>
    <cellStyle name="Calculation 18 2 6 3" xfId="27847" xr:uid="{00000000-0005-0000-0000-00003F360000}"/>
    <cellStyle name="Calculation 18 2 6 4" xfId="27848" xr:uid="{00000000-0005-0000-0000-000040360000}"/>
    <cellStyle name="Calculation 18 2 7" xfId="9576" xr:uid="{00000000-0005-0000-0000-000041360000}"/>
    <cellStyle name="Calculation 18 2 7 2" xfId="9577" xr:uid="{00000000-0005-0000-0000-000042360000}"/>
    <cellStyle name="Calculation 18 2 7 3" xfId="27849" xr:uid="{00000000-0005-0000-0000-000043360000}"/>
    <cellStyle name="Calculation 18 2 7 4" xfId="27850" xr:uid="{00000000-0005-0000-0000-000044360000}"/>
    <cellStyle name="Calculation 18 2 8" xfId="9578" xr:uid="{00000000-0005-0000-0000-000045360000}"/>
    <cellStyle name="Calculation 18 2 9" xfId="27851" xr:uid="{00000000-0005-0000-0000-000046360000}"/>
    <cellStyle name="Calculation 18 3" xfId="9579" xr:uid="{00000000-0005-0000-0000-000047360000}"/>
    <cellStyle name="Calculation 18 3 10" xfId="27852" xr:uid="{00000000-0005-0000-0000-000048360000}"/>
    <cellStyle name="Calculation 18 3 2" xfId="9580" xr:uid="{00000000-0005-0000-0000-000049360000}"/>
    <cellStyle name="Calculation 18 3 2 2" xfId="9581" xr:uid="{00000000-0005-0000-0000-00004A360000}"/>
    <cellStyle name="Calculation 18 3 2 3" xfId="27853" xr:uid="{00000000-0005-0000-0000-00004B360000}"/>
    <cellStyle name="Calculation 18 3 2 4" xfId="27854" xr:uid="{00000000-0005-0000-0000-00004C360000}"/>
    <cellStyle name="Calculation 18 3 3" xfId="9582" xr:uid="{00000000-0005-0000-0000-00004D360000}"/>
    <cellStyle name="Calculation 18 3 3 2" xfId="9583" xr:uid="{00000000-0005-0000-0000-00004E360000}"/>
    <cellStyle name="Calculation 18 3 3 3" xfId="27855" xr:uid="{00000000-0005-0000-0000-00004F360000}"/>
    <cellStyle name="Calculation 18 3 3 4" xfId="27856" xr:uid="{00000000-0005-0000-0000-000050360000}"/>
    <cellStyle name="Calculation 18 3 4" xfId="9584" xr:uid="{00000000-0005-0000-0000-000051360000}"/>
    <cellStyle name="Calculation 18 3 4 2" xfId="9585" xr:uid="{00000000-0005-0000-0000-000052360000}"/>
    <cellStyle name="Calculation 18 3 4 3" xfId="27857" xr:uid="{00000000-0005-0000-0000-000053360000}"/>
    <cellStyle name="Calculation 18 3 4 4" xfId="27858" xr:uid="{00000000-0005-0000-0000-000054360000}"/>
    <cellStyle name="Calculation 18 3 5" xfId="9586" xr:uid="{00000000-0005-0000-0000-000055360000}"/>
    <cellStyle name="Calculation 18 3 5 2" xfId="9587" xr:uid="{00000000-0005-0000-0000-000056360000}"/>
    <cellStyle name="Calculation 18 3 5 3" xfId="27859" xr:uid="{00000000-0005-0000-0000-000057360000}"/>
    <cellStyle name="Calculation 18 3 5 4" xfId="27860" xr:uid="{00000000-0005-0000-0000-000058360000}"/>
    <cellStyle name="Calculation 18 3 6" xfId="9588" xr:uid="{00000000-0005-0000-0000-000059360000}"/>
    <cellStyle name="Calculation 18 3 6 2" xfId="9589" xr:uid="{00000000-0005-0000-0000-00005A360000}"/>
    <cellStyle name="Calculation 18 3 6 3" xfId="27861" xr:uid="{00000000-0005-0000-0000-00005B360000}"/>
    <cellStyle name="Calculation 18 3 6 4" xfId="27862" xr:uid="{00000000-0005-0000-0000-00005C360000}"/>
    <cellStyle name="Calculation 18 3 7" xfId="9590" xr:uid="{00000000-0005-0000-0000-00005D360000}"/>
    <cellStyle name="Calculation 18 3 7 2" xfId="9591" xr:uid="{00000000-0005-0000-0000-00005E360000}"/>
    <cellStyle name="Calculation 18 3 7 3" xfId="27863" xr:uid="{00000000-0005-0000-0000-00005F360000}"/>
    <cellStyle name="Calculation 18 3 7 4" xfId="27864" xr:uid="{00000000-0005-0000-0000-000060360000}"/>
    <cellStyle name="Calculation 18 3 8" xfId="9592" xr:uid="{00000000-0005-0000-0000-000061360000}"/>
    <cellStyle name="Calculation 18 3 9" xfId="27865" xr:uid="{00000000-0005-0000-0000-000062360000}"/>
    <cellStyle name="Calculation 18 4" xfId="9593" xr:uid="{00000000-0005-0000-0000-000063360000}"/>
    <cellStyle name="Calculation 18 4 10" xfId="27866" xr:uid="{00000000-0005-0000-0000-000064360000}"/>
    <cellStyle name="Calculation 18 4 2" xfId="9594" xr:uid="{00000000-0005-0000-0000-000065360000}"/>
    <cellStyle name="Calculation 18 4 2 2" xfId="9595" xr:uid="{00000000-0005-0000-0000-000066360000}"/>
    <cellStyle name="Calculation 18 4 2 3" xfId="27867" xr:uid="{00000000-0005-0000-0000-000067360000}"/>
    <cellStyle name="Calculation 18 4 2 4" xfId="27868" xr:uid="{00000000-0005-0000-0000-000068360000}"/>
    <cellStyle name="Calculation 18 4 3" xfId="9596" xr:uid="{00000000-0005-0000-0000-000069360000}"/>
    <cellStyle name="Calculation 18 4 3 2" xfId="9597" xr:uid="{00000000-0005-0000-0000-00006A360000}"/>
    <cellStyle name="Calculation 18 4 3 3" xfId="27869" xr:uid="{00000000-0005-0000-0000-00006B360000}"/>
    <cellStyle name="Calculation 18 4 3 4" xfId="27870" xr:uid="{00000000-0005-0000-0000-00006C360000}"/>
    <cellStyle name="Calculation 18 4 4" xfId="9598" xr:uid="{00000000-0005-0000-0000-00006D360000}"/>
    <cellStyle name="Calculation 18 4 4 2" xfId="9599" xr:uid="{00000000-0005-0000-0000-00006E360000}"/>
    <cellStyle name="Calculation 18 4 4 3" xfId="27871" xr:uid="{00000000-0005-0000-0000-00006F360000}"/>
    <cellStyle name="Calculation 18 4 4 4" xfId="27872" xr:uid="{00000000-0005-0000-0000-000070360000}"/>
    <cellStyle name="Calculation 18 4 5" xfId="9600" xr:uid="{00000000-0005-0000-0000-000071360000}"/>
    <cellStyle name="Calculation 18 4 5 2" xfId="9601" xr:uid="{00000000-0005-0000-0000-000072360000}"/>
    <cellStyle name="Calculation 18 4 5 3" xfId="27873" xr:uid="{00000000-0005-0000-0000-000073360000}"/>
    <cellStyle name="Calculation 18 4 5 4" xfId="27874" xr:uid="{00000000-0005-0000-0000-000074360000}"/>
    <cellStyle name="Calculation 18 4 6" xfId="9602" xr:uid="{00000000-0005-0000-0000-000075360000}"/>
    <cellStyle name="Calculation 18 4 6 2" xfId="9603" xr:uid="{00000000-0005-0000-0000-000076360000}"/>
    <cellStyle name="Calculation 18 4 6 3" xfId="27875" xr:uid="{00000000-0005-0000-0000-000077360000}"/>
    <cellStyle name="Calculation 18 4 6 4" xfId="27876" xr:uid="{00000000-0005-0000-0000-000078360000}"/>
    <cellStyle name="Calculation 18 4 7" xfId="9604" xr:uid="{00000000-0005-0000-0000-000079360000}"/>
    <cellStyle name="Calculation 18 4 7 2" xfId="9605" xr:uid="{00000000-0005-0000-0000-00007A360000}"/>
    <cellStyle name="Calculation 18 4 7 3" xfId="27877" xr:uid="{00000000-0005-0000-0000-00007B360000}"/>
    <cellStyle name="Calculation 18 4 7 4" xfId="27878" xr:uid="{00000000-0005-0000-0000-00007C360000}"/>
    <cellStyle name="Calculation 18 4 8" xfId="9606" xr:uid="{00000000-0005-0000-0000-00007D360000}"/>
    <cellStyle name="Calculation 18 4 9" xfId="27879" xr:uid="{00000000-0005-0000-0000-00007E360000}"/>
    <cellStyle name="Calculation 18 5" xfId="9607" xr:uid="{00000000-0005-0000-0000-00007F360000}"/>
    <cellStyle name="Calculation 18 5 10" xfId="27880" xr:uid="{00000000-0005-0000-0000-000080360000}"/>
    <cellStyle name="Calculation 18 5 2" xfId="9608" xr:uid="{00000000-0005-0000-0000-000081360000}"/>
    <cellStyle name="Calculation 18 5 2 2" xfId="9609" xr:uid="{00000000-0005-0000-0000-000082360000}"/>
    <cellStyle name="Calculation 18 5 2 3" xfId="27881" xr:uid="{00000000-0005-0000-0000-000083360000}"/>
    <cellStyle name="Calculation 18 5 2 4" xfId="27882" xr:uid="{00000000-0005-0000-0000-000084360000}"/>
    <cellStyle name="Calculation 18 5 3" xfId="9610" xr:uid="{00000000-0005-0000-0000-000085360000}"/>
    <cellStyle name="Calculation 18 5 3 2" xfId="9611" xr:uid="{00000000-0005-0000-0000-000086360000}"/>
    <cellStyle name="Calculation 18 5 3 3" xfId="27883" xr:uid="{00000000-0005-0000-0000-000087360000}"/>
    <cellStyle name="Calculation 18 5 3 4" xfId="27884" xr:uid="{00000000-0005-0000-0000-000088360000}"/>
    <cellStyle name="Calculation 18 5 4" xfId="9612" xr:uid="{00000000-0005-0000-0000-000089360000}"/>
    <cellStyle name="Calculation 18 5 4 2" xfId="9613" xr:uid="{00000000-0005-0000-0000-00008A360000}"/>
    <cellStyle name="Calculation 18 5 4 3" xfId="27885" xr:uid="{00000000-0005-0000-0000-00008B360000}"/>
    <cellStyle name="Calculation 18 5 4 4" xfId="27886" xr:uid="{00000000-0005-0000-0000-00008C360000}"/>
    <cellStyle name="Calculation 18 5 5" xfId="9614" xr:uid="{00000000-0005-0000-0000-00008D360000}"/>
    <cellStyle name="Calculation 18 5 5 2" xfId="9615" xr:uid="{00000000-0005-0000-0000-00008E360000}"/>
    <cellStyle name="Calculation 18 5 5 3" xfId="27887" xr:uid="{00000000-0005-0000-0000-00008F360000}"/>
    <cellStyle name="Calculation 18 5 5 4" xfId="27888" xr:uid="{00000000-0005-0000-0000-000090360000}"/>
    <cellStyle name="Calculation 18 5 6" xfId="9616" xr:uid="{00000000-0005-0000-0000-000091360000}"/>
    <cellStyle name="Calculation 18 5 6 2" xfId="9617" xr:uid="{00000000-0005-0000-0000-000092360000}"/>
    <cellStyle name="Calculation 18 5 6 3" xfId="27889" xr:uid="{00000000-0005-0000-0000-000093360000}"/>
    <cellStyle name="Calculation 18 5 6 4" xfId="27890" xr:uid="{00000000-0005-0000-0000-000094360000}"/>
    <cellStyle name="Calculation 18 5 7" xfId="9618" xr:uid="{00000000-0005-0000-0000-000095360000}"/>
    <cellStyle name="Calculation 18 5 7 2" xfId="9619" xr:uid="{00000000-0005-0000-0000-000096360000}"/>
    <cellStyle name="Calculation 18 5 7 3" xfId="27891" xr:uid="{00000000-0005-0000-0000-000097360000}"/>
    <cellStyle name="Calculation 18 5 7 4" xfId="27892" xr:uid="{00000000-0005-0000-0000-000098360000}"/>
    <cellStyle name="Calculation 18 5 8" xfId="9620" xr:uid="{00000000-0005-0000-0000-000099360000}"/>
    <cellStyle name="Calculation 18 5 9" xfId="27893" xr:uid="{00000000-0005-0000-0000-00009A360000}"/>
    <cellStyle name="Calculation 18 6" xfId="9621" xr:uid="{00000000-0005-0000-0000-00009B360000}"/>
    <cellStyle name="Calculation 18 6 2" xfId="9622" xr:uid="{00000000-0005-0000-0000-00009C360000}"/>
    <cellStyle name="Calculation 18 6 3" xfId="27894" xr:uid="{00000000-0005-0000-0000-00009D360000}"/>
    <cellStyle name="Calculation 18 6 4" xfId="27895" xr:uid="{00000000-0005-0000-0000-00009E360000}"/>
    <cellStyle name="Calculation 18 7" xfId="9623" xr:uid="{00000000-0005-0000-0000-00009F360000}"/>
    <cellStyle name="Calculation 18 7 2" xfId="9624" xr:uid="{00000000-0005-0000-0000-0000A0360000}"/>
    <cellStyle name="Calculation 18 7 3" xfId="27896" xr:uid="{00000000-0005-0000-0000-0000A1360000}"/>
    <cellStyle name="Calculation 18 7 4" xfId="27897" xr:uid="{00000000-0005-0000-0000-0000A2360000}"/>
    <cellStyle name="Calculation 18 8" xfId="9625" xr:uid="{00000000-0005-0000-0000-0000A3360000}"/>
    <cellStyle name="Calculation 18 8 2" xfId="9626" xr:uid="{00000000-0005-0000-0000-0000A4360000}"/>
    <cellStyle name="Calculation 18 8 3" xfId="27898" xr:uid="{00000000-0005-0000-0000-0000A5360000}"/>
    <cellStyle name="Calculation 18 8 4" xfId="27899" xr:uid="{00000000-0005-0000-0000-0000A6360000}"/>
    <cellStyle name="Calculation 18 9" xfId="9627" xr:uid="{00000000-0005-0000-0000-0000A7360000}"/>
    <cellStyle name="Calculation 18 9 2" xfId="9628" xr:uid="{00000000-0005-0000-0000-0000A8360000}"/>
    <cellStyle name="Calculation 18 9 3" xfId="27900" xr:uid="{00000000-0005-0000-0000-0000A9360000}"/>
    <cellStyle name="Calculation 18 9 4" xfId="27901" xr:uid="{00000000-0005-0000-0000-0000AA360000}"/>
    <cellStyle name="Calculation 19" xfId="9629" xr:uid="{00000000-0005-0000-0000-0000AB360000}"/>
    <cellStyle name="Calculation 19 10" xfId="9630" xr:uid="{00000000-0005-0000-0000-0000AC360000}"/>
    <cellStyle name="Calculation 19 10 2" xfId="9631" xr:uid="{00000000-0005-0000-0000-0000AD360000}"/>
    <cellStyle name="Calculation 19 10 3" xfId="27902" xr:uid="{00000000-0005-0000-0000-0000AE360000}"/>
    <cellStyle name="Calculation 19 10 4" xfId="27903" xr:uid="{00000000-0005-0000-0000-0000AF360000}"/>
    <cellStyle name="Calculation 19 11" xfId="9632" xr:uid="{00000000-0005-0000-0000-0000B0360000}"/>
    <cellStyle name="Calculation 19 11 2" xfId="9633" xr:uid="{00000000-0005-0000-0000-0000B1360000}"/>
    <cellStyle name="Calculation 19 11 3" xfId="27904" xr:uid="{00000000-0005-0000-0000-0000B2360000}"/>
    <cellStyle name="Calculation 19 11 4" xfId="27905" xr:uid="{00000000-0005-0000-0000-0000B3360000}"/>
    <cellStyle name="Calculation 19 12" xfId="9634" xr:uid="{00000000-0005-0000-0000-0000B4360000}"/>
    <cellStyle name="Calculation 19 13" xfId="27906" xr:uid="{00000000-0005-0000-0000-0000B5360000}"/>
    <cellStyle name="Calculation 19 14" xfId="27907" xr:uid="{00000000-0005-0000-0000-0000B6360000}"/>
    <cellStyle name="Calculation 19 2" xfId="9635" xr:uid="{00000000-0005-0000-0000-0000B7360000}"/>
    <cellStyle name="Calculation 19 2 10" xfId="27908" xr:uid="{00000000-0005-0000-0000-0000B8360000}"/>
    <cellStyle name="Calculation 19 2 2" xfId="9636" xr:uid="{00000000-0005-0000-0000-0000B9360000}"/>
    <cellStyle name="Calculation 19 2 2 2" xfId="9637" xr:uid="{00000000-0005-0000-0000-0000BA360000}"/>
    <cellStyle name="Calculation 19 2 2 3" xfId="27909" xr:uid="{00000000-0005-0000-0000-0000BB360000}"/>
    <cellStyle name="Calculation 19 2 2 4" xfId="27910" xr:uid="{00000000-0005-0000-0000-0000BC360000}"/>
    <cellStyle name="Calculation 19 2 3" xfId="9638" xr:uid="{00000000-0005-0000-0000-0000BD360000}"/>
    <cellStyle name="Calculation 19 2 3 2" xfId="9639" xr:uid="{00000000-0005-0000-0000-0000BE360000}"/>
    <cellStyle name="Calculation 19 2 3 3" xfId="27911" xr:uid="{00000000-0005-0000-0000-0000BF360000}"/>
    <cellStyle name="Calculation 19 2 3 4" xfId="27912" xr:uid="{00000000-0005-0000-0000-0000C0360000}"/>
    <cellStyle name="Calculation 19 2 4" xfId="9640" xr:uid="{00000000-0005-0000-0000-0000C1360000}"/>
    <cellStyle name="Calculation 19 2 4 2" xfId="9641" xr:uid="{00000000-0005-0000-0000-0000C2360000}"/>
    <cellStyle name="Calculation 19 2 4 3" xfId="27913" xr:uid="{00000000-0005-0000-0000-0000C3360000}"/>
    <cellStyle name="Calculation 19 2 4 4" xfId="27914" xr:uid="{00000000-0005-0000-0000-0000C4360000}"/>
    <cellStyle name="Calculation 19 2 5" xfId="9642" xr:uid="{00000000-0005-0000-0000-0000C5360000}"/>
    <cellStyle name="Calculation 19 2 5 2" xfId="9643" xr:uid="{00000000-0005-0000-0000-0000C6360000}"/>
    <cellStyle name="Calculation 19 2 5 3" xfId="27915" xr:uid="{00000000-0005-0000-0000-0000C7360000}"/>
    <cellStyle name="Calculation 19 2 5 4" xfId="27916" xr:uid="{00000000-0005-0000-0000-0000C8360000}"/>
    <cellStyle name="Calculation 19 2 6" xfId="9644" xr:uid="{00000000-0005-0000-0000-0000C9360000}"/>
    <cellStyle name="Calculation 19 2 6 2" xfId="9645" xr:uid="{00000000-0005-0000-0000-0000CA360000}"/>
    <cellStyle name="Calculation 19 2 6 3" xfId="27917" xr:uid="{00000000-0005-0000-0000-0000CB360000}"/>
    <cellStyle name="Calculation 19 2 6 4" xfId="27918" xr:uid="{00000000-0005-0000-0000-0000CC360000}"/>
    <cellStyle name="Calculation 19 2 7" xfId="9646" xr:uid="{00000000-0005-0000-0000-0000CD360000}"/>
    <cellStyle name="Calculation 19 2 7 2" xfId="9647" xr:uid="{00000000-0005-0000-0000-0000CE360000}"/>
    <cellStyle name="Calculation 19 2 7 3" xfId="27919" xr:uid="{00000000-0005-0000-0000-0000CF360000}"/>
    <cellStyle name="Calculation 19 2 7 4" xfId="27920" xr:uid="{00000000-0005-0000-0000-0000D0360000}"/>
    <cellStyle name="Calculation 19 2 8" xfId="9648" xr:uid="{00000000-0005-0000-0000-0000D1360000}"/>
    <cellStyle name="Calculation 19 2 9" xfId="27921" xr:uid="{00000000-0005-0000-0000-0000D2360000}"/>
    <cellStyle name="Calculation 19 3" xfId="9649" xr:uid="{00000000-0005-0000-0000-0000D3360000}"/>
    <cellStyle name="Calculation 19 3 10" xfId="27922" xr:uid="{00000000-0005-0000-0000-0000D4360000}"/>
    <cellStyle name="Calculation 19 3 2" xfId="9650" xr:uid="{00000000-0005-0000-0000-0000D5360000}"/>
    <cellStyle name="Calculation 19 3 2 2" xfId="9651" xr:uid="{00000000-0005-0000-0000-0000D6360000}"/>
    <cellStyle name="Calculation 19 3 2 3" xfId="27923" xr:uid="{00000000-0005-0000-0000-0000D7360000}"/>
    <cellStyle name="Calculation 19 3 2 4" xfId="27924" xr:uid="{00000000-0005-0000-0000-0000D8360000}"/>
    <cellStyle name="Calculation 19 3 3" xfId="9652" xr:uid="{00000000-0005-0000-0000-0000D9360000}"/>
    <cellStyle name="Calculation 19 3 3 2" xfId="9653" xr:uid="{00000000-0005-0000-0000-0000DA360000}"/>
    <cellStyle name="Calculation 19 3 3 3" xfId="27925" xr:uid="{00000000-0005-0000-0000-0000DB360000}"/>
    <cellStyle name="Calculation 19 3 3 4" xfId="27926" xr:uid="{00000000-0005-0000-0000-0000DC360000}"/>
    <cellStyle name="Calculation 19 3 4" xfId="9654" xr:uid="{00000000-0005-0000-0000-0000DD360000}"/>
    <cellStyle name="Calculation 19 3 4 2" xfId="9655" xr:uid="{00000000-0005-0000-0000-0000DE360000}"/>
    <cellStyle name="Calculation 19 3 4 3" xfId="27927" xr:uid="{00000000-0005-0000-0000-0000DF360000}"/>
    <cellStyle name="Calculation 19 3 4 4" xfId="27928" xr:uid="{00000000-0005-0000-0000-0000E0360000}"/>
    <cellStyle name="Calculation 19 3 5" xfId="9656" xr:uid="{00000000-0005-0000-0000-0000E1360000}"/>
    <cellStyle name="Calculation 19 3 5 2" xfId="9657" xr:uid="{00000000-0005-0000-0000-0000E2360000}"/>
    <cellStyle name="Calculation 19 3 5 3" xfId="27929" xr:uid="{00000000-0005-0000-0000-0000E3360000}"/>
    <cellStyle name="Calculation 19 3 5 4" xfId="27930" xr:uid="{00000000-0005-0000-0000-0000E4360000}"/>
    <cellStyle name="Calculation 19 3 6" xfId="9658" xr:uid="{00000000-0005-0000-0000-0000E5360000}"/>
    <cellStyle name="Calculation 19 3 6 2" xfId="9659" xr:uid="{00000000-0005-0000-0000-0000E6360000}"/>
    <cellStyle name="Calculation 19 3 6 3" xfId="27931" xr:uid="{00000000-0005-0000-0000-0000E7360000}"/>
    <cellStyle name="Calculation 19 3 6 4" xfId="27932" xr:uid="{00000000-0005-0000-0000-0000E8360000}"/>
    <cellStyle name="Calculation 19 3 7" xfId="9660" xr:uid="{00000000-0005-0000-0000-0000E9360000}"/>
    <cellStyle name="Calculation 19 3 7 2" xfId="9661" xr:uid="{00000000-0005-0000-0000-0000EA360000}"/>
    <cellStyle name="Calculation 19 3 7 3" xfId="27933" xr:uid="{00000000-0005-0000-0000-0000EB360000}"/>
    <cellStyle name="Calculation 19 3 7 4" xfId="27934" xr:uid="{00000000-0005-0000-0000-0000EC360000}"/>
    <cellStyle name="Calculation 19 3 8" xfId="9662" xr:uid="{00000000-0005-0000-0000-0000ED360000}"/>
    <cellStyle name="Calculation 19 3 9" xfId="27935" xr:uid="{00000000-0005-0000-0000-0000EE360000}"/>
    <cellStyle name="Calculation 19 4" xfId="9663" xr:uid="{00000000-0005-0000-0000-0000EF360000}"/>
    <cellStyle name="Calculation 19 4 10" xfId="27936" xr:uid="{00000000-0005-0000-0000-0000F0360000}"/>
    <cellStyle name="Calculation 19 4 2" xfId="9664" xr:uid="{00000000-0005-0000-0000-0000F1360000}"/>
    <cellStyle name="Calculation 19 4 2 2" xfId="9665" xr:uid="{00000000-0005-0000-0000-0000F2360000}"/>
    <cellStyle name="Calculation 19 4 2 3" xfId="27937" xr:uid="{00000000-0005-0000-0000-0000F3360000}"/>
    <cellStyle name="Calculation 19 4 2 4" xfId="27938" xr:uid="{00000000-0005-0000-0000-0000F4360000}"/>
    <cellStyle name="Calculation 19 4 3" xfId="9666" xr:uid="{00000000-0005-0000-0000-0000F5360000}"/>
    <cellStyle name="Calculation 19 4 3 2" xfId="9667" xr:uid="{00000000-0005-0000-0000-0000F6360000}"/>
    <cellStyle name="Calculation 19 4 3 3" xfId="27939" xr:uid="{00000000-0005-0000-0000-0000F7360000}"/>
    <cellStyle name="Calculation 19 4 3 4" xfId="27940" xr:uid="{00000000-0005-0000-0000-0000F8360000}"/>
    <cellStyle name="Calculation 19 4 4" xfId="9668" xr:uid="{00000000-0005-0000-0000-0000F9360000}"/>
    <cellStyle name="Calculation 19 4 4 2" xfId="9669" xr:uid="{00000000-0005-0000-0000-0000FA360000}"/>
    <cellStyle name="Calculation 19 4 4 3" xfId="27941" xr:uid="{00000000-0005-0000-0000-0000FB360000}"/>
    <cellStyle name="Calculation 19 4 4 4" xfId="27942" xr:uid="{00000000-0005-0000-0000-0000FC360000}"/>
    <cellStyle name="Calculation 19 4 5" xfId="9670" xr:uid="{00000000-0005-0000-0000-0000FD360000}"/>
    <cellStyle name="Calculation 19 4 5 2" xfId="9671" xr:uid="{00000000-0005-0000-0000-0000FE360000}"/>
    <cellStyle name="Calculation 19 4 5 3" xfId="27943" xr:uid="{00000000-0005-0000-0000-0000FF360000}"/>
    <cellStyle name="Calculation 19 4 5 4" xfId="27944" xr:uid="{00000000-0005-0000-0000-000000370000}"/>
    <cellStyle name="Calculation 19 4 6" xfId="9672" xr:uid="{00000000-0005-0000-0000-000001370000}"/>
    <cellStyle name="Calculation 19 4 6 2" xfId="9673" xr:uid="{00000000-0005-0000-0000-000002370000}"/>
    <cellStyle name="Calculation 19 4 6 3" xfId="27945" xr:uid="{00000000-0005-0000-0000-000003370000}"/>
    <cellStyle name="Calculation 19 4 6 4" xfId="27946" xr:uid="{00000000-0005-0000-0000-000004370000}"/>
    <cellStyle name="Calculation 19 4 7" xfId="9674" xr:uid="{00000000-0005-0000-0000-000005370000}"/>
    <cellStyle name="Calculation 19 4 7 2" xfId="9675" xr:uid="{00000000-0005-0000-0000-000006370000}"/>
    <cellStyle name="Calculation 19 4 7 3" xfId="27947" xr:uid="{00000000-0005-0000-0000-000007370000}"/>
    <cellStyle name="Calculation 19 4 7 4" xfId="27948" xr:uid="{00000000-0005-0000-0000-000008370000}"/>
    <cellStyle name="Calculation 19 4 8" xfId="9676" xr:uid="{00000000-0005-0000-0000-000009370000}"/>
    <cellStyle name="Calculation 19 4 9" xfId="27949" xr:uid="{00000000-0005-0000-0000-00000A370000}"/>
    <cellStyle name="Calculation 19 5" xfId="9677" xr:uid="{00000000-0005-0000-0000-00000B370000}"/>
    <cellStyle name="Calculation 19 5 10" xfId="27950" xr:uid="{00000000-0005-0000-0000-00000C370000}"/>
    <cellStyle name="Calculation 19 5 2" xfId="9678" xr:uid="{00000000-0005-0000-0000-00000D370000}"/>
    <cellStyle name="Calculation 19 5 2 2" xfId="9679" xr:uid="{00000000-0005-0000-0000-00000E370000}"/>
    <cellStyle name="Calculation 19 5 2 3" xfId="27951" xr:uid="{00000000-0005-0000-0000-00000F370000}"/>
    <cellStyle name="Calculation 19 5 2 4" xfId="27952" xr:uid="{00000000-0005-0000-0000-000010370000}"/>
    <cellStyle name="Calculation 19 5 3" xfId="9680" xr:uid="{00000000-0005-0000-0000-000011370000}"/>
    <cellStyle name="Calculation 19 5 3 2" xfId="9681" xr:uid="{00000000-0005-0000-0000-000012370000}"/>
    <cellStyle name="Calculation 19 5 3 3" xfId="27953" xr:uid="{00000000-0005-0000-0000-000013370000}"/>
    <cellStyle name="Calculation 19 5 3 4" xfId="27954" xr:uid="{00000000-0005-0000-0000-000014370000}"/>
    <cellStyle name="Calculation 19 5 4" xfId="9682" xr:uid="{00000000-0005-0000-0000-000015370000}"/>
    <cellStyle name="Calculation 19 5 4 2" xfId="9683" xr:uid="{00000000-0005-0000-0000-000016370000}"/>
    <cellStyle name="Calculation 19 5 4 3" xfId="27955" xr:uid="{00000000-0005-0000-0000-000017370000}"/>
    <cellStyle name="Calculation 19 5 4 4" xfId="27956" xr:uid="{00000000-0005-0000-0000-000018370000}"/>
    <cellStyle name="Calculation 19 5 5" xfId="9684" xr:uid="{00000000-0005-0000-0000-000019370000}"/>
    <cellStyle name="Calculation 19 5 5 2" xfId="9685" xr:uid="{00000000-0005-0000-0000-00001A370000}"/>
    <cellStyle name="Calculation 19 5 5 3" xfId="27957" xr:uid="{00000000-0005-0000-0000-00001B370000}"/>
    <cellStyle name="Calculation 19 5 5 4" xfId="27958" xr:uid="{00000000-0005-0000-0000-00001C370000}"/>
    <cellStyle name="Calculation 19 5 6" xfId="9686" xr:uid="{00000000-0005-0000-0000-00001D370000}"/>
    <cellStyle name="Calculation 19 5 6 2" xfId="9687" xr:uid="{00000000-0005-0000-0000-00001E370000}"/>
    <cellStyle name="Calculation 19 5 6 3" xfId="27959" xr:uid="{00000000-0005-0000-0000-00001F370000}"/>
    <cellStyle name="Calculation 19 5 6 4" xfId="27960" xr:uid="{00000000-0005-0000-0000-000020370000}"/>
    <cellStyle name="Calculation 19 5 7" xfId="9688" xr:uid="{00000000-0005-0000-0000-000021370000}"/>
    <cellStyle name="Calculation 19 5 7 2" xfId="9689" xr:uid="{00000000-0005-0000-0000-000022370000}"/>
    <cellStyle name="Calculation 19 5 7 3" xfId="27961" xr:uid="{00000000-0005-0000-0000-000023370000}"/>
    <cellStyle name="Calculation 19 5 7 4" xfId="27962" xr:uid="{00000000-0005-0000-0000-000024370000}"/>
    <cellStyle name="Calculation 19 5 8" xfId="9690" xr:uid="{00000000-0005-0000-0000-000025370000}"/>
    <cellStyle name="Calculation 19 5 9" xfId="27963" xr:uid="{00000000-0005-0000-0000-000026370000}"/>
    <cellStyle name="Calculation 19 6" xfId="9691" xr:uid="{00000000-0005-0000-0000-000027370000}"/>
    <cellStyle name="Calculation 19 6 2" xfId="9692" xr:uid="{00000000-0005-0000-0000-000028370000}"/>
    <cellStyle name="Calculation 19 6 3" xfId="27964" xr:uid="{00000000-0005-0000-0000-000029370000}"/>
    <cellStyle name="Calculation 19 6 4" xfId="27965" xr:uid="{00000000-0005-0000-0000-00002A370000}"/>
    <cellStyle name="Calculation 19 7" xfId="9693" xr:uid="{00000000-0005-0000-0000-00002B370000}"/>
    <cellStyle name="Calculation 19 7 2" xfId="9694" xr:uid="{00000000-0005-0000-0000-00002C370000}"/>
    <cellStyle name="Calculation 19 7 3" xfId="27966" xr:uid="{00000000-0005-0000-0000-00002D370000}"/>
    <cellStyle name="Calculation 19 7 4" xfId="27967" xr:uid="{00000000-0005-0000-0000-00002E370000}"/>
    <cellStyle name="Calculation 19 8" xfId="9695" xr:uid="{00000000-0005-0000-0000-00002F370000}"/>
    <cellStyle name="Calculation 19 8 2" xfId="9696" xr:uid="{00000000-0005-0000-0000-000030370000}"/>
    <cellStyle name="Calculation 19 8 3" xfId="27968" xr:uid="{00000000-0005-0000-0000-000031370000}"/>
    <cellStyle name="Calculation 19 8 4" xfId="27969" xr:uid="{00000000-0005-0000-0000-000032370000}"/>
    <cellStyle name="Calculation 19 9" xfId="9697" xr:uid="{00000000-0005-0000-0000-000033370000}"/>
    <cellStyle name="Calculation 19 9 2" xfId="9698" xr:uid="{00000000-0005-0000-0000-000034370000}"/>
    <cellStyle name="Calculation 19 9 3" xfId="27970" xr:uid="{00000000-0005-0000-0000-000035370000}"/>
    <cellStyle name="Calculation 19 9 4" xfId="27971" xr:uid="{00000000-0005-0000-0000-000036370000}"/>
    <cellStyle name="Calculation 2" xfId="9699" xr:uid="{00000000-0005-0000-0000-000037370000}"/>
    <cellStyle name="Calculation 2 10" xfId="9700" xr:uid="{00000000-0005-0000-0000-000038370000}"/>
    <cellStyle name="Calculation 2 10 2" xfId="9701" xr:uid="{00000000-0005-0000-0000-000039370000}"/>
    <cellStyle name="Calculation 2 10 3" xfId="27972" xr:uid="{00000000-0005-0000-0000-00003A370000}"/>
    <cellStyle name="Calculation 2 10 4" xfId="27973" xr:uid="{00000000-0005-0000-0000-00003B370000}"/>
    <cellStyle name="Calculation 2 11" xfId="9702" xr:uid="{00000000-0005-0000-0000-00003C370000}"/>
    <cellStyle name="Calculation 2 11 2" xfId="9703" xr:uid="{00000000-0005-0000-0000-00003D370000}"/>
    <cellStyle name="Calculation 2 11 3" xfId="27974" xr:uid="{00000000-0005-0000-0000-00003E370000}"/>
    <cellStyle name="Calculation 2 11 4" xfId="27975" xr:uid="{00000000-0005-0000-0000-00003F370000}"/>
    <cellStyle name="Calculation 2 12" xfId="9704" xr:uid="{00000000-0005-0000-0000-000040370000}"/>
    <cellStyle name="Calculation 2 12 2" xfId="9705" xr:uid="{00000000-0005-0000-0000-000041370000}"/>
    <cellStyle name="Calculation 2 12 3" xfId="27976" xr:uid="{00000000-0005-0000-0000-000042370000}"/>
    <cellStyle name="Calculation 2 13" xfId="9706" xr:uid="{00000000-0005-0000-0000-000043370000}"/>
    <cellStyle name="Calculation 2 14" xfId="27977" xr:uid="{00000000-0005-0000-0000-000044370000}"/>
    <cellStyle name="Calculation 2 15" xfId="27978" xr:uid="{00000000-0005-0000-0000-000045370000}"/>
    <cellStyle name="Calculation 2 16" xfId="27979" xr:uid="{00000000-0005-0000-0000-000046370000}"/>
    <cellStyle name="Calculation 2 2" xfId="9707" xr:uid="{00000000-0005-0000-0000-000047370000}"/>
    <cellStyle name="Calculation 2 2 10" xfId="27980" xr:uid="{00000000-0005-0000-0000-000048370000}"/>
    <cellStyle name="Calculation 2 2 2" xfId="9708" xr:uid="{00000000-0005-0000-0000-000049370000}"/>
    <cellStyle name="Calculation 2 2 2 2" xfId="9709" xr:uid="{00000000-0005-0000-0000-00004A370000}"/>
    <cellStyle name="Calculation 2 2 2 3" xfId="27981" xr:uid="{00000000-0005-0000-0000-00004B370000}"/>
    <cellStyle name="Calculation 2 2 2 4" xfId="27982" xr:uid="{00000000-0005-0000-0000-00004C370000}"/>
    <cellStyle name="Calculation 2 2 3" xfId="9710" xr:uid="{00000000-0005-0000-0000-00004D370000}"/>
    <cellStyle name="Calculation 2 2 3 2" xfId="9711" xr:uid="{00000000-0005-0000-0000-00004E370000}"/>
    <cellStyle name="Calculation 2 2 3 3" xfId="27983" xr:uid="{00000000-0005-0000-0000-00004F370000}"/>
    <cellStyle name="Calculation 2 2 3 4" xfId="27984" xr:uid="{00000000-0005-0000-0000-000050370000}"/>
    <cellStyle name="Calculation 2 2 4" xfId="9712" xr:uid="{00000000-0005-0000-0000-000051370000}"/>
    <cellStyle name="Calculation 2 2 4 2" xfId="9713" xr:uid="{00000000-0005-0000-0000-000052370000}"/>
    <cellStyle name="Calculation 2 2 4 3" xfId="27985" xr:uid="{00000000-0005-0000-0000-000053370000}"/>
    <cellStyle name="Calculation 2 2 4 4" xfId="27986" xr:uid="{00000000-0005-0000-0000-000054370000}"/>
    <cellStyle name="Calculation 2 2 5" xfId="9714" xr:uid="{00000000-0005-0000-0000-000055370000}"/>
    <cellStyle name="Calculation 2 2 5 2" xfId="9715" xr:uid="{00000000-0005-0000-0000-000056370000}"/>
    <cellStyle name="Calculation 2 2 5 3" xfId="27987" xr:uid="{00000000-0005-0000-0000-000057370000}"/>
    <cellStyle name="Calculation 2 2 5 4" xfId="27988" xr:uid="{00000000-0005-0000-0000-000058370000}"/>
    <cellStyle name="Calculation 2 2 6" xfId="9716" xr:uid="{00000000-0005-0000-0000-000059370000}"/>
    <cellStyle name="Calculation 2 2 6 2" xfId="9717" xr:uid="{00000000-0005-0000-0000-00005A370000}"/>
    <cellStyle name="Calculation 2 2 6 3" xfId="27989" xr:uid="{00000000-0005-0000-0000-00005B370000}"/>
    <cellStyle name="Calculation 2 2 6 4" xfId="27990" xr:uid="{00000000-0005-0000-0000-00005C370000}"/>
    <cellStyle name="Calculation 2 2 7" xfId="9718" xr:uid="{00000000-0005-0000-0000-00005D370000}"/>
    <cellStyle name="Calculation 2 2 7 2" xfId="9719" xr:uid="{00000000-0005-0000-0000-00005E370000}"/>
    <cellStyle name="Calculation 2 2 7 3" xfId="27991" xr:uid="{00000000-0005-0000-0000-00005F370000}"/>
    <cellStyle name="Calculation 2 2 7 4" xfId="27992" xr:uid="{00000000-0005-0000-0000-000060370000}"/>
    <cellStyle name="Calculation 2 2 8" xfId="9720" xr:uid="{00000000-0005-0000-0000-000061370000}"/>
    <cellStyle name="Calculation 2 2 9" xfId="27993" xr:uid="{00000000-0005-0000-0000-000062370000}"/>
    <cellStyle name="Calculation 2 3" xfId="9721" xr:uid="{00000000-0005-0000-0000-000063370000}"/>
    <cellStyle name="Calculation 2 3 10" xfId="27994" xr:uid="{00000000-0005-0000-0000-000064370000}"/>
    <cellStyle name="Calculation 2 3 2" xfId="9722" xr:uid="{00000000-0005-0000-0000-000065370000}"/>
    <cellStyle name="Calculation 2 3 2 2" xfId="9723" xr:uid="{00000000-0005-0000-0000-000066370000}"/>
    <cellStyle name="Calculation 2 3 2 3" xfId="27995" xr:uid="{00000000-0005-0000-0000-000067370000}"/>
    <cellStyle name="Calculation 2 3 2 4" xfId="27996" xr:uid="{00000000-0005-0000-0000-000068370000}"/>
    <cellStyle name="Calculation 2 3 3" xfId="9724" xr:uid="{00000000-0005-0000-0000-000069370000}"/>
    <cellStyle name="Calculation 2 3 3 2" xfId="9725" xr:uid="{00000000-0005-0000-0000-00006A370000}"/>
    <cellStyle name="Calculation 2 3 3 3" xfId="27997" xr:uid="{00000000-0005-0000-0000-00006B370000}"/>
    <cellStyle name="Calculation 2 3 3 4" xfId="27998" xr:uid="{00000000-0005-0000-0000-00006C370000}"/>
    <cellStyle name="Calculation 2 3 4" xfId="9726" xr:uid="{00000000-0005-0000-0000-00006D370000}"/>
    <cellStyle name="Calculation 2 3 4 2" xfId="9727" xr:uid="{00000000-0005-0000-0000-00006E370000}"/>
    <cellStyle name="Calculation 2 3 4 3" xfId="27999" xr:uid="{00000000-0005-0000-0000-00006F370000}"/>
    <cellStyle name="Calculation 2 3 4 4" xfId="28000" xr:uid="{00000000-0005-0000-0000-000070370000}"/>
    <cellStyle name="Calculation 2 3 5" xfId="9728" xr:uid="{00000000-0005-0000-0000-000071370000}"/>
    <cellStyle name="Calculation 2 3 5 2" xfId="9729" xr:uid="{00000000-0005-0000-0000-000072370000}"/>
    <cellStyle name="Calculation 2 3 5 3" xfId="28001" xr:uid="{00000000-0005-0000-0000-000073370000}"/>
    <cellStyle name="Calculation 2 3 5 4" xfId="28002" xr:uid="{00000000-0005-0000-0000-000074370000}"/>
    <cellStyle name="Calculation 2 3 6" xfId="9730" xr:uid="{00000000-0005-0000-0000-000075370000}"/>
    <cellStyle name="Calculation 2 3 6 2" xfId="9731" xr:uid="{00000000-0005-0000-0000-000076370000}"/>
    <cellStyle name="Calculation 2 3 6 3" xfId="28003" xr:uid="{00000000-0005-0000-0000-000077370000}"/>
    <cellStyle name="Calculation 2 3 6 4" xfId="28004" xr:uid="{00000000-0005-0000-0000-000078370000}"/>
    <cellStyle name="Calculation 2 3 7" xfId="9732" xr:uid="{00000000-0005-0000-0000-000079370000}"/>
    <cellStyle name="Calculation 2 3 7 2" xfId="9733" xr:uid="{00000000-0005-0000-0000-00007A370000}"/>
    <cellStyle name="Calculation 2 3 7 3" xfId="28005" xr:uid="{00000000-0005-0000-0000-00007B370000}"/>
    <cellStyle name="Calculation 2 3 7 4" xfId="28006" xr:uid="{00000000-0005-0000-0000-00007C370000}"/>
    <cellStyle name="Calculation 2 3 8" xfId="9734" xr:uid="{00000000-0005-0000-0000-00007D370000}"/>
    <cellStyle name="Calculation 2 3 9" xfId="28007" xr:uid="{00000000-0005-0000-0000-00007E370000}"/>
    <cellStyle name="Calculation 2 4" xfId="9735" xr:uid="{00000000-0005-0000-0000-00007F370000}"/>
    <cellStyle name="Calculation 2 4 10" xfId="28008" xr:uid="{00000000-0005-0000-0000-000080370000}"/>
    <cellStyle name="Calculation 2 4 2" xfId="9736" xr:uid="{00000000-0005-0000-0000-000081370000}"/>
    <cellStyle name="Calculation 2 4 2 2" xfId="9737" xr:uid="{00000000-0005-0000-0000-000082370000}"/>
    <cellStyle name="Calculation 2 4 2 3" xfId="28009" xr:uid="{00000000-0005-0000-0000-000083370000}"/>
    <cellStyle name="Calculation 2 4 2 4" xfId="28010" xr:uid="{00000000-0005-0000-0000-000084370000}"/>
    <cellStyle name="Calculation 2 4 3" xfId="9738" xr:uid="{00000000-0005-0000-0000-000085370000}"/>
    <cellStyle name="Calculation 2 4 3 2" xfId="9739" xr:uid="{00000000-0005-0000-0000-000086370000}"/>
    <cellStyle name="Calculation 2 4 3 3" xfId="28011" xr:uid="{00000000-0005-0000-0000-000087370000}"/>
    <cellStyle name="Calculation 2 4 3 4" xfId="28012" xr:uid="{00000000-0005-0000-0000-000088370000}"/>
    <cellStyle name="Calculation 2 4 4" xfId="9740" xr:uid="{00000000-0005-0000-0000-000089370000}"/>
    <cellStyle name="Calculation 2 4 4 2" xfId="9741" xr:uid="{00000000-0005-0000-0000-00008A370000}"/>
    <cellStyle name="Calculation 2 4 4 3" xfId="28013" xr:uid="{00000000-0005-0000-0000-00008B370000}"/>
    <cellStyle name="Calculation 2 4 4 4" xfId="28014" xr:uid="{00000000-0005-0000-0000-00008C370000}"/>
    <cellStyle name="Calculation 2 4 5" xfId="9742" xr:uid="{00000000-0005-0000-0000-00008D370000}"/>
    <cellStyle name="Calculation 2 4 5 2" xfId="9743" xr:uid="{00000000-0005-0000-0000-00008E370000}"/>
    <cellStyle name="Calculation 2 4 5 3" xfId="28015" xr:uid="{00000000-0005-0000-0000-00008F370000}"/>
    <cellStyle name="Calculation 2 4 5 4" xfId="28016" xr:uid="{00000000-0005-0000-0000-000090370000}"/>
    <cellStyle name="Calculation 2 4 6" xfId="9744" xr:uid="{00000000-0005-0000-0000-000091370000}"/>
    <cellStyle name="Calculation 2 4 6 2" xfId="9745" xr:uid="{00000000-0005-0000-0000-000092370000}"/>
    <cellStyle name="Calculation 2 4 6 3" xfId="28017" xr:uid="{00000000-0005-0000-0000-000093370000}"/>
    <cellStyle name="Calculation 2 4 6 4" xfId="28018" xr:uid="{00000000-0005-0000-0000-000094370000}"/>
    <cellStyle name="Calculation 2 4 7" xfId="9746" xr:uid="{00000000-0005-0000-0000-000095370000}"/>
    <cellStyle name="Calculation 2 4 7 2" xfId="9747" xr:uid="{00000000-0005-0000-0000-000096370000}"/>
    <cellStyle name="Calculation 2 4 7 3" xfId="28019" xr:uid="{00000000-0005-0000-0000-000097370000}"/>
    <cellStyle name="Calculation 2 4 7 4" xfId="28020" xr:uid="{00000000-0005-0000-0000-000098370000}"/>
    <cellStyle name="Calculation 2 4 8" xfId="9748" xr:uid="{00000000-0005-0000-0000-000099370000}"/>
    <cellStyle name="Calculation 2 4 9" xfId="28021" xr:uid="{00000000-0005-0000-0000-00009A370000}"/>
    <cellStyle name="Calculation 2 5" xfId="9749" xr:uid="{00000000-0005-0000-0000-00009B370000}"/>
    <cellStyle name="Calculation 2 5 10" xfId="28022" xr:uid="{00000000-0005-0000-0000-00009C370000}"/>
    <cellStyle name="Calculation 2 5 2" xfId="9750" xr:uid="{00000000-0005-0000-0000-00009D370000}"/>
    <cellStyle name="Calculation 2 5 2 2" xfId="9751" xr:uid="{00000000-0005-0000-0000-00009E370000}"/>
    <cellStyle name="Calculation 2 5 2 3" xfId="28023" xr:uid="{00000000-0005-0000-0000-00009F370000}"/>
    <cellStyle name="Calculation 2 5 2 4" xfId="28024" xr:uid="{00000000-0005-0000-0000-0000A0370000}"/>
    <cellStyle name="Calculation 2 5 3" xfId="9752" xr:uid="{00000000-0005-0000-0000-0000A1370000}"/>
    <cellStyle name="Calculation 2 5 3 2" xfId="9753" xr:uid="{00000000-0005-0000-0000-0000A2370000}"/>
    <cellStyle name="Calculation 2 5 3 3" xfId="28025" xr:uid="{00000000-0005-0000-0000-0000A3370000}"/>
    <cellStyle name="Calculation 2 5 3 4" xfId="28026" xr:uid="{00000000-0005-0000-0000-0000A4370000}"/>
    <cellStyle name="Calculation 2 5 4" xfId="9754" xr:uid="{00000000-0005-0000-0000-0000A5370000}"/>
    <cellStyle name="Calculation 2 5 4 2" xfId="9755" xr:uid="{00000000-0005-0000-0000-0000A6370000}"/>
    <cellStyle name="Calculation 2 5 4 3" xfId="28027" xr:uid="{00000000-0005-0000-0000-0000A7370000}"/>
    <cellStyle name="Calculation 2 5 4 4" xfId="28028" xr:uid="{00000000-0005-0000-0000-0000A8370000}"/>
    <cellStyle name="Calculation 2 5 5" xfId="9756" xr:uid="{00000000-0005-0000-0000-0000A9370000}"/>
    <cellStyle name="Calculation 2 5 5 2" xfId="9757" xr:uid="{00000000-0005-0000-0000-0000AA370000}"/>
    <cellStyle name="Calculation 2 5 5 3" xfId="28029" xr:uid="{00000000-0005-0000-0000-0000AB370000}"/>
    <cellStyle name="Calculation 2 5 5 4" xfId="28030" xr:uid="{00000000-0005-0000-0000-0000AC370000}"/>
    <cellStyle name="Calculation 2 5 6" xfId="9758" xr:uid="{00000000-0005-0000-0000-0000AD370000}"/>
    <cellStyle name="Calculation 2 5 6 2" xfId="9759" xr:uid="{00000000-0005-0000-0000-0000AE370000}"/>
    <cellStyle name="Calculation 2 5 6 3" xfId="28031" xr:uid="{00000000-0005-0000-0000-0000AF370000}"/>
    <cellStyle name="Calculation 2 5 6 4" xfId="28032" xr:uid="{00000000-0005-0000-0000-0000B0370000}"/>
    <cellStyle name="Calculation 2 5 7" xfId="9760" xr:uid="{00000000-0005-0000-0000-0000B1370000}"/>
    <cellStyle name="Calculation 2 5 7 2" xfId="9761" xr:uid="{00000000-0005-0000-0000-0000B2370000}"/>
    <cellStyle name="Calculation 2 5 7 3" xfId="28033" xr:uid="{00000000-0005-0000-0000-0000B3370000}"/>
    <cellStyle name="Calculation 2 5 7 4" xfId="28034" xr:uid="{00000000-0005-0000-0000-0000B4370000}"/>
    <cellStyle name="Calculation 2 5 8" xfId="9762" xr:uid="{00000000-0005-0000-0000-0000B5370000}"/>
    <cellStyle name="Calculation 2 5 9" xfId="28035" xr:uid="{00000000-0005-0000-0000-0000B6370000}"/>
    <cellStyle name="Calculation 2 6" xfId="9763" xr:uid="{00000000-0005-0000-0000-0000B7370000}"/>
    <cellStyle name="Calculation 2 6 2" xfId="9764" xr:uid="{00000000-0005-0000-0000-0000B8370000}"/>
    <cellStyle name="Calculation 2 6 3" xfId="28036" xr:uid="{00000000-0005-0000-0000-0000B9370000}"/>
    <cellStyle name="Calculation 2 6 4" xfId="28037" xr:uid="{00000000-0005-0000-0000-0000BA370000}"/>
    <cellStyle name="Calculation 2 7" xfId="9765" xr:uid="{00000000-0005-0000-0000-0000BB370000}"/>
    <cellStyle name="Calculation 2 7 2" xfId="9766" xr:uid="{00000000-0005-0000-0000-0000BC370000}"/>
    <cellStyle name="Calculation 2 7 3" xfId="28038" xr:uid="{00000000-0005-0000-0000-0000BD370000}"/>
    <cellStyle name="Calculation 2 7 4" xfId="28039" xr:uid="{00000000-0005-0000-0000-0000BE370000}"/>
    <cellStyle name="Calculation 2 8" xfId="9767" xr:uid="{00000000-0005-0000-0000-0000BF370000}"/>
    <cellStyle name="Calculation 2 8 2" xfId="9768" xr:uid="{00000000-0005-0000-0000-0000C0370000}"/>
    <cellStyle name="Calculation 2 8 3" xfId="28040" xr:uid="{00000000-0005-0000-0000-0000C1370000}"/>
    <cellStyle name="Calculation 2 8 4" xfId="28041" xr:uid="{00000000-0005-0000-0000-0000C2370000}"/>
    <cellStyle name="Calculation 2 9" xfId="9769" xr:uid="{00000000-0005-0000-0000-0000C3370000}"/>
    <cellStyle name="Calculation 2 9 2" xfId="9770" xr:uid="{00000000-0005-0000-0000-0000C4370000}"/>
    <cellStyle name="Calculation 2 9 3" xfId="28042" xr:uid="{00000000-0005-0000-0000-0000C5370000}"/>
    <cellStyle name="Calculation 2 9 4" xfId="28043" xr:uid="{00000000-0005-0000-0000-0000C6370000}"/>
    <cellStyle name="Calculation 20" xfId="9771" xr:uid="{00000000-0005-0000-0000-0000C7370000}"/>
    <cellStyle name="Calculation 20 10" xfId="9772" xr:uid="{00000000-0005-0000-0000-0000C8370000}"/>
    <cellStyle name="Calculation 20 10 2" xfId="9773" xr:uid="{00000000-0005-0000-0000-0000C9370000}"/>
    <cellStyle name="Calculation 20 10 3" xfId="28044" xr:uid="{00000000-0005-0000-0000-0000CA370000}"/>
    <cellStyle name="Calculation 20 10 4" xfId="28045" xr:uid="{00000000-0005-0000-0000-0000CB370000}"/>
    <cellStyle name="Calculation 20 11" xfId="9774" xr:uid="{00000000-0005-0000-0000-0000CC370000}"/>
    <cellStyle name="Calculation 20 11 2" xfId="9775" xr:uid="{00000000-0005-0000-0000-0000CD370000}"/>
    <cellStyle name="Calculation 20 11 3" xfId="28046" xr:uid="{00000000-0005-0000-0000-0000CE370000}"/>
    <cellStyle name="Calculation 20 11 4" xfId="28047" xr:uid="{00000000-0005-0000-0000-0000CF370000}"/>
    <cellStyle name="Calculation 20 12" xfId="9776" xr:uid="{00000000-0005-0000-0000-0000D0370000}"/>
    <cellStyle name="Calculation 20 13" xfId="28048" xr:uid="{00000000-0005-0000-0000-0000D1370000}"/>
    <cellStyle name="Calculation 20 14" xfId="28049" xr:uid="{00000000-0005-0000-0000-0000D2370000}"/>
    <cellStyle name="Calculation 20 2" xfId="9777" xr:uid="{00000000-0005-0000-0000-0000D3370000}"/>
    <cellStyle name="Calculation 20 2 10" xfId="28050" xr:uid="{00000000-0005-0000-0000-0000D4370000}"/>
    <cellStyle name="Calculation 20 2 2" xfId="9778" xr:uid="{00000000-0005-0000-0000-0000D5370000}"/>
    <cellStyle name="Calculation 20 2 2 2" xfId="9779" xr:uid="{00000000-0005-0000-0000-0000D6370000}"/>
    <cellStyle name="Calculation 20 2 2 3" xfId="28051" xr:uid="{00000000-0005-0000-0000-0000D7370000}"/>
    <cellStyle name="Calculation 20 2 2 4" xfId="28052" xr:uid="{00000000-0005-0000-0000-0000D8370000}"/>
    <cellStyle name="Calculation 20 2 3" xfId="9780" xr:uid="{00000000-0005-0000-0000-0000D9370000}"/>
    <cellStyle name="Calculation 20 2 3 2" xfId="9781" xr:uid="{00000000-0005-0000-0000-0000DA370000}"/>
    <cellStyle name="Calculation 20 2 3 3" xfId="28053" xr:uid="{00000000-0005-0000-0000-0000DB370000}"/>
    <cellStyle name="Calculation 20 2 3 4" xfId="28054" xr:uid="{00000000-0005-0000-0000-0000DC370000}"/>
    <cellStyle name="Calculation 20 2 4" xfId="9782" xr:uid="{00000000-0005-0000-0000-0000DD370000}"/>
    <cellStyle name="Calculation 20 2 4 2" xfId="9783" xr:uid="{00000000-0005-0000-0000-0000DE370000}"/>
    <cellStyle name="Calculation 20 2 4 3" xfId="28055" xr:uid="{00000000-0005-0000-0000-0000DF370000}"/>
    <cellStyle name="Calculation 20 2 4 4" xfId="28056" xr:uid="{00000000-0005-0000-0000-0000E0370000}"/>
    <cellStyle name="Calculation 20 2 5" xfId="9784" xr:uid="{00000000-0005-0000-0000-0000E1370000}"/>
    <cellStyle name="Calculation 20 2 5 2" xfId="9785" xr:uid="{00000000-0005-0000-0000-0000E2370000}"/>
    <cellStyle name="Calculation 20 2 5 3" xfId="28057" xr:uid="{00000000-0005-0000-0000-0000E3370000}"/>
    <cellStyle name="Calculation 20 2 5 4" xfId="28058" xr:uid="{00000000-0005-0000-0000-0000E4370000}"/>
    <cellStyle name="Calculation 20 2 6" xfId="9786" xr:uid="{00000000-0005-0000-0000-0000E5370000}"/>
    <cellStyle name="Calculation 20 2 6 2" xfId="9787" xr:uid="{00000000-0005-0000-0000-0000E6370000}"/>
    <cellStyle name="Calculation 20 2 6 3" xfId="28059" xr:uid="{00000000-0005-0000-0000-0000E7370000}"/>
    <cellStyle name="Calculation 20 2 6 4" xfId="28060" xr:uid="{00000000-0005-0000-0000-0000E8370000}"/>
    <cellStyle name="Calculation 20 2 7" xfId="9788" xr:uid="{00000000-0005-0000-0000-0000E9370000}"/>
    <cellStyle name="Calculation 20 2 7 2" xfId="9789" xr:uid="{00000000-0005-0000-0000-0000EA370000}"/>
    <cellStyle name="Calculation 20 2 7 3" xfId="28061" xr:uid="{00000000-0005-0000-0000-0000EB370000}"/>
    <cellStyle name="Calculation 20 2 7 4" xfId="28062" xr:uid="{00000000-0005-0000-0000-0000EC370000}"/>
    <cellStyle name="Calculation 20 2 8" xfId="9790" xr:uid="{00000000-0005-0000-0000-0000ED370000}"/>
    <cellStyle name="Calculation 20 2 9" xfId="28063" xr:uid="{00000000-0005-0000-0000-0000EE370000}"/>
    <cellStyle name="Calculation 20 3" xfId="9791" xr:uid="{00000000-0005-0000-0000-0000EF370000}"/>
    <cellStyle name="Calculation 20 3 10" xfId="28064" xr:uid="{00000000-0005-0000-0000-0000F0370000}"/>
    <cellStyle name="Calculation 20 3 2" xfId="9792" xr:uid="{00000000-0005-0000-0000-0000F1370000}"/>
    <cellStyle name="Calculation 20 3 2 2" xfId="9793" xr:uid="{00000000-0005-0000-0000-0000F2370000}"/>
    <cellStyle name="Calculation 20 3 2 3" xfId="28065" xr:uid="{00000000-0005-0000-0000-0000F3370000}"/>
    <cellStyle name="Calculation 20 3 2 4" xfId="28066" xr:uid="{00000000-0005-0000-0000-0000F4370000}"/>
    <cellStyle name="Calculation 20 3 3" xfId="9794" xr:uid="{00000000-0005-0000-0000-0000F5370000}"/>
    <cellStyle name="Calculation 20 3 3 2" xfId="9795" xr:uid="{00000000-0005-0000-0000-0000F6370000}"/>
    <cellStyle name="Calculation 20 3 3 3" xfId="28067" xr:uid="{00000000-0005-0000-0000-0000F7370000}"/>
    <cellStyle name="Calculation 20 3 3 4" xfId="28068" xr:uid="{00000000-0005-0000-0000-0000F8370000}"/>
    <cellStyle name="Calculation 20 3 4" xfId="9796" xr:uid="{00000000-0005-0000-0000-0000F9370000}"/>
    <cellStyle name="Calculation 20 3 4 2" xfId="9797" xr:uid="{00000000-0005-0000-0000-0000FA370000}"/>
    <cellStyle name="Calculation 20 3 4 3" xfId="28069" xr:uid="{00000000-0005-0000-0000-0000FB370000}"/>
    <cellStyle name="Calculation 20 3 4 4" xfId="28070" xr:uid="{00000000-0005-0000-0000-0000FC370000}"/>
    <cellStyle name="Calculation 20 3 5" xfId="9798" xr:uid="{00000000-0005-0000-0000-0000FD370000}"/>
    <cellStyle name="Calculation 20 3 5 2" xfId="9799" xr:uid="{00000000-0005-0000-0000-0000FE370000}"/>
    <cellStyle name="Calculation 20 3 5 3" xfId="28071" xr:uid="{00000000-0005-0000-0000-0000FF370000}"/>
    <cellStyle name="Calculation 20 3 5 4" xfId="28072" xr:uid="{00000000-0005-0000-0000-000000380000}"/>
    <cellStyle name="Calculation 20 3 6" xfId="9800" xr:uid="{00000000-0005-0000-0000-000001380000}"/>
    <cellStyle name="Calculation 20 3 6 2" xfId="9801" xr:uid="{00000000-0005-0000-0000-000002380000}"/>
    <cellStyle name="Calculation 20 3 6 3" xfId="28073" xr:uid="{00000000-0005-0000-0000-000003380000}"/>
    <cellStyle name="Calculation 20 3 6 4" xfId="28074" xr:uid="{00000000-0005-0000-0000-000004380000}"/>
    <cellStyle name="Calculation 20 3 7" xfId="9802" xr:uid="{00000000-0005-0000-0000-000005380000}"/>
    <cellStyle name="Calculation 20 3 7 2" xfId="9803" xr:uid="{00000000-0005-0000-0000-000006380000}"/>
    <cellStyle name="Calculation 20 3 7 3" xfId="28075" xr:uid="{00000000-0005-0000-0000-000007380000}"/>
    <cellStyle name="Calculation 20 3 7 4" xfId="28076" xr:uid="{00000000-0005-0000-0000-000008380000}"/>
    <cellStyle name="Calculation 20 3 8" xfId="9804" xr:uid="{00000000-0005-0000-0000-000009380000}"/>
    <cellStyle name="Calculation 20 3 9" xfId="28077" xr:uid="{00000000-0005-0000-0000-00000A380000}"/>
    <cellStyle name="Calculation 20 4" xfId="9805" xr:uid="{00000000-0005-0000-0000-00000B380000}"/>
    <cellStyle name="Calculation 20 4 10" xfId="28078" xr:uid="{00000000-0005-0000-0000-00000C380000}"/>
    <cellStyle name="Calculation 20 4 2" xfId="9806" xr:uid="{00000000-0005-0000-0000-00000D380000}"/>
    <cellStyle name="Calculation 20 4 2 2" xfId="9807" xr:uid="{00000000-0005-0000-0000-00000E380000}"/>
    <cellStyle name="Calculation 20 4 2 3" xfId="28079" xr:uid="{00000000-0005-0000-0000-00000F380000}"/>
    <cellStyle name="Calculation 20 4 2 4" xfId="28080" xr:uid="{00000000-0005-0000-0000-000010380000}"/>
    <cellStyle name="Calculation 20 4 3" xfId="9808" xr:uid="{00000000-0005-0000-0000-000011380000}"/>
    <cellStyle name="Calculation 20 4 3 2" xfId="9809" xr:uid="{00000000-0005-0000-0000-000012380000}"/>
    <cellStyle name="Calculation 20 4 3 3" xfId="28081" xr:uid="{00000000-0005-0000-0000-000013380000}"/>
    <cellStyle name="Calculation 20 4 3 4" xfId="28082" xr:uid="{00000000-0005-0000-0000-000014380000}"/>
    <cellStyle name="Calculation 20 4 4" xfId="9810" xr:uid="{00000000-0005-0000-0000-000015380000}"/>
    <cellStyle name="Calculation 20 4 4 2" xfId="9811" xr:uid="{00000000-0005-0000-0000-000016380000}"/>
    <cellStyle name="Calculation 20 4 4 3" xfId="28083" xr:uid="{00000000-0005-0000-0000-000017380000}"/>
    <cellStyle name="Calculation 20 4 4 4" xfId="28084" xr:uid="{00000000-0005-0000-0000-000018380000}"/>
    <cellStyle name="Calculation 20 4 5" xfId="9812" xr:uid="{00000000-0005-0000-0000-000019380000}"/>
    <cellStyle name="Calculation 20 4 5 2" xfId="9813" xr:uid="{00000000-0005-0000-0000-00001A380000}"/>
    <cellStyle name="Calculation 20 4 5 3" xfId="28085" xr:uid="{00000000-0005-0000-0000-00001B380000}"/>
    <cellStyle name="Calculation 20 4 5 4" xfId="28086" xr:uid="{00000000-0005-0000-0000-00001C380000}"/>
    <cellStyle name="Calculation 20 4 6" xfId="9814" xr:uid="{00000000-0005-0000-0000-00001D380000}"/>
    <cellStyle name="Calculation 20 4 6 2" xfId="9815" xr:uid="{00000000-0005-0000-0000-00001E380000}"/>
    <cellStyle name="Calculation 20 4 6 3" xfId="28087" xr:uid="{00000000-0005-0000-0000-00001F380000}"/>
    <cellStyle name="Calculation 20 4 6 4" xfId="28088" xr:uid="{00000000-0005-0000-0000-000020380000}"/>
    <cellStyle name="Calculation 20 4 7" xfId="9816" xr:uid="{00000000-0005-0000-0000-000021380000}"/>
    <cellStyle name="Calculation 20 4 7 2" xfId="9817" xr:uid="{00000000-0005-0000-0000-000022380000}"/>
    <cellStyle name="Calculation 20 4 7 3" xfId="28089" xr:uid="{00000000-0005-0000-0000-000023380000}"/>
    <cellStyle name="Calculation 20 4 7 4" xfId="28090" xr:uid="{00000000-0005-0000-0000-000024380000}"/>
    <cellStyle name="Calculation 20 4 8" xfId="9818" xr:uid="{00000000-0005-0000-0000-000025380000}"/>
    <cellStyle name="Calculation 20 4 9" xfId="28091" xr:uid="{00000000-0005-0000-0000-000026380000}"/>
    <cellStyle name="Calculation 20 5" xfId="9819" xr:uid="{00000000-0005-0000-0000-000027380000}"/>
    <cellStyle name="Calculation 20 5 10" xfId="28092" xr:uid="{00000000-0005-0000-0000-000028380000}"/>
    <cellStyle name="Calculation 20 5 2" xfId="9820" xr:uid="{00000000-0005-0000-0000-000029380000}"/>
    <cellStyle name="Calculation 20 5 2 2" xfId="9821" xr:uid="{00000000-0005-0000-0000-00002A380000}"/>
    <cellStyle name="Calculation 20 5 2 3" xfId="28093" xr:uid="{00000000-0005-0000-0000-00002B380000}"/>
    <cellStyle name="Calculation 20 5 2 4" xfId="28094" xr:uid="{00000000-0005-0000-0000-00002C380000}"/>
    <cellStyle name="Calculation 20 5 3" xfId="9822" xr:uid="{00000000-0005-0000-0000-00002D380000}"/>
    <cellStyle name="Calculation 20 5 3 2" xfId="9823" xr:uid="{00000000-0005-0000-0000-00002E380000}"/>
    <cellStyle name="Calculation 20 5 3 3" xfId="28095" xr:uid="{00000000-0005-0000-0000-00002F380000}"/>
    <cellStyle name="Calculation 20 5 3 4" xfId="28096" xr:uid="{00000000-0005-0000-0000-000030380000}"/>
    <cellStyle name="Calculation 20 5 4" xfId="9824" xr:uid="{00000000-0005-0000-0000-000031380000}"/>
    <cellStyle name="Calculation 20 5 4 2" xfId="9825" xr:uid="{00000000-0005-0000-0000-000032380000}"/>
    <cellStyle name="Calculation 20 5 4 3" xfId="28097" xr:uid="{00000000-0005-0000-0000-000033380000}"/>
    <cellStyle name="Calculation 20 5 4 4" xfId="28098" xr:uid="{00000000-0005-0000-0000-000034380000}"/>
    <cellStyle name="Calculation 20 5 5" xfId="9826" xr:uid="{00000000-0005-0000-0000-000035380000}"/>
    <cellStyle name="Calculation 20 5 5 2" xfId="9827" xr:uid="{00000000-0005-0000-0000-000036380000}"/>
    <cellStyle name="Calculation 20 5 5 3" xfId="28099" xr:uid="{00000000-0005-0000-0000-000037380000}"/>
    <cellStyle name="Calculation 20 5 5 4" xfId="28100" xr:uid="{00000000-0005-0000-0000-000038380000}"/>
    <cellStyle name="Calculation 20 5 6" xfId="9828" xr:uid="{00000000-0005-0000-0000-000039380000}"/>
    <cellStyle name="Calculation 20 5 6 2" xfId="9829" xr:uid="{00000000-0005-0000-0000-00003A380000}"/>
    <cellStyle name="Calculation 20 5 6 3" xfId="28101" xr:uid="{00000000-0005-0000-0000-00003B380000}"/>
    <cellStyle name="Calculation 20 5 6 4" xfId="28102" xr:uid="{00000000-0005-0000-0000-00003C380000}"/>
    <cellStyle name="Calculation 20 5 7" xfId="9830" xr:uid="{00000000-0005-0000-0000-00003D380000}"/>
    <cellStyle name="Calculation 20 5 7 2" xfId="9831" xr:uid="{00000000-0005-0000-0000-00003E380000}"/>
    <cellStyle name="Calculation 20 5 7 3" xfId="28103" xr:uid="{00000000-0005-0000-0000-00003F380000}"/>
    <cellStyle name="Calculation 20 5 7 4" xfId="28104" xr:uid="{00000000-0005-0000-0000-000040380000}"/>
    <cellStyle name="Calculation 20 5 8" xfId="9832" xr:uid="{00000000-0005-0000-0000-000041380000}"/>
    <cellStyle name="Calculation 20 5 9" xfId="28105" xr:uid="{00000000-0005-0000-0000-000042380000}"/>
    <cellStyle name="Calculation 20 6" xfId="9833" xr:uid="{00000000-0005-0000-0000-000043380000}"/>
    <cellStyle name="Calculation 20 6 2" xfId="9834" xr:uid="{00000000-0005-0000-0000-000044380000}"/>
    <cellStyle name="Calculation 20 6 3" xfId="28106" xr:uid="{00000000-0005-0000-0000-000045380000}"/>
    <cellStyle name="Calculation 20 6 4" xfId="28107" xr:uid="{00000000-0005-0000-0000-000046380000}"/>
    <cellStyle name="Calculation 20 7" xfId="9835" xr:uid="{00000000-0005-0000-0000-000047380000}"/>
    <cellStyle name="Calculation 20 7 2" xfId="9836" xr:uid="{00000000-0005-0000-0000-000048380000}"/>
    <cellStyle name="Calculation 20 7 3" xfId="28108" xr:uid="{00000000-0005-0000-0000-000049380000}"/>
    <cellStyle name="Calculation 20 7 4" xfId="28109" xr:uid="{00000000-0005-0000-0000-00004A380000}"/>
    <cellStyle name="Calculation 20 8" xfId="9837" xr:uid="{00000000-0005-0000-0000-00004B380000}"/>
    <cellStyle name="Calculation 20 8 2" xfId="9838" xr:uid="{00000000-0005-0000-0000-00004C380000}"/>
    <cellStyle name="Calculation 20 8 3" xfId="28110" xr:uid="{00000000-0005-0000-0000-00004D380000}"/>
    <cellStyle name="Calculation 20 8 4" xfId="28111" xr:uid="{00000000-0005-0000-0000-00004E380000}"/>
    <cellStyle name="Calculation 20 9" xfId="9839" xr:uid="{00000000-0005-0000-0000-00004F380000}"/>
    <cellStyle name="Calculation 20 9 2" xfId="9840" xr:uid="{00000000-0005-0000-0000-000050380000}"/>
    <cellStyle name="Calculation 20 9 3" xfId="28112" xr:uid="{00000000-0005-0000-0000-000051380000}"/>
    <cellStyle name="Calculation 20 9 4" xfId="28113" xr:uid="{00000000-0005-0000-0000-000052380000}"/>
    <cellStyle name="Calculation 21" xfId="9841" xr:uid="{00000000-0005-0000-0000-000053380000}"/>
    <cellStyle name="Calculation 21 10" xfId="9842" xr:uid="{00000000-0005-0000-0000-000054380000}"/>
    <cellStyle name="Calculation 21 10 2" xfId="9843" xr:uid="{00000000-0005-0000-0000-000055380000}"/>
    <cellStyle name="Calculation 21 10 3" xfId="28114" xr:uid="{00000000-0005-0000-0000-000056380000}"/>
    <cellStyle name="Calculation 21 10 4" xfId="28115" xr:uid="{00000000-0005-0000-0000-000057380000}"/>
    <cellStyle name="Calculation 21 11" xfId="9844" xr:uid="{00000000-0005-0000-0000-000058380000}"/>
    <cellStyle name="Calculation 21 11 2" xfId="9845" xr:uid="{00000000-0005-0000-0000-000059380000}"/>
    <cellStyle name="Calculation 21 11 3" xfId="28116" xr:uid="{00000000-0005-0000-0000-00005A380000}"/>
    <cellStyle name="Calculation 21 11 4" xfId="28117" xr:uid="{00000000-0005-0000-0000-00005B380000}"/>
    <cellStyle name="Calculation 21 12" xfId="9846" xr:uid="{00000000-0005-0000-0000-00005C380000}"/>
    <cellStyle name="Calculation 21 13" xfId="28118" xr:uid="{00000000-0005-0000-0000-00005D380000}"/>
    <cellStyle name="Calculation 21 14" xfId="28119" xr:uid="{00000000-0005-0000-0000-00005E380000}"/>
    <cellStyle name="Calculation 21 2" xfId="9847" xr:uid="{00000000-0005-0000-0000-00005F380000}"/>
    <cellStyle name="Calculation 21 2 10" xfId="28120" xr:uid="{00000000-0005-0000-0000-000060380000}"/>
    <cellStyle name="Calculation 21 2 2" xfId="9848" xr:uid="{00000000-0005-0000-0000-000061380000}"/>
    <cellStyle name="Calculation 21 2 2 2" xfId="9849" xr:uid="{00000000-0005-0000-0000-000062380000}"/>
    <cellStyle name="Calculation 21 2 2 3" xfId="28121" xr:uid="{00000000-0005-0000-0000-000063380000}"/>
    <cellStyle name="Calculation 21 2 2 4" xfId="28122" xr:uid="{00000000-0005-0000-0000-000064380000}"/>
    <cellStyle name="Calculation 21 2 3" xfId="9850" xr:uid="{00000000-0005-0000-0000-000065380000}"/>
    <cellStyle name="Calculation 21 2 3 2" xfId="9851" xr:uid="{00000000-0005-0000-0000-000066380000}"/>
    <cellStyle name="Calculation 21 2 3 3" xfId="28123" xr:uid="{00000000-0005-0000-0000-000067380000}"/>
    <cellStyle name="Calculation 21 2 3 4" xfId="28124" xr:uid="{00000000-0005-0000-0000-000068380000}"/>
    <cellStyle name="Calculation 21 2 4" xfId="9852" xr:uid="{00000000-0005-0000-0000-000069380000}"/>
    <cellStyle name="Calculation 21 2 4 2" xfId="9853" xr:uid="{00000000-0005-0000-0000-00006A380000}"/>
    <cellStyle name="Calculation 21 2 4 3" xfId="28125" xr:uid="{00000000-0005-0000-0000-00006B380000}"/>
    <cellStyle name="Calculation 21 2 4 4" xfId="28126" xr:uid="{00000000-0005-0000-0000-00006C380000}"/>
    <cellStyle name="Calculation 21 2 5" xfId="9854" xr:uid="{00000000-0005-0000-0000-00006D380000}"/>
    <cellStyle name="Calculation 21 2 5 2" xfId="9855" xr:uid="{00000000-0005-0000-0000-00006E380000}"/>
    <cellStyle name="Calculation 21 2 5 3" xfId="28127" xr:uid="{00000000-0005-0000-0000-00006F380000}"/>
    <cellStyle name="Calculation 21 2 5 4" xfId="28128" xr:uid="{00000000-0005-0000-0000-000070380000}"/>
    <cellStyle name="Calculation 21 2 6" xfId="9856" xr:uid="{00000000-0005-0000-0000-000071380000}"/>
    <cellStyle name="Calculation 21 2 6 2" xfId="9857" xr:uid="{00000000-0005-0000-0000-000072380000}"/>
    <cellStyle name="Calculation 21 2 6 3" xfId="28129" xr:uid="{00000000-0005-0000-0000-000073380000}"/>
    <cellStyle name="Calculation 21 2 6 4" xfId="28130" xr:uid="{00000000-0005-0000-0000-000074380000}"/>
    <cellStyle name="Calculation 21 2 7" xfId="9858" xr:uid="{00000000-0005-0000-0000-000075380000}"/>
    <cellStyle name="Calculation 21 2 7 2" xfId="9859" xr:uid="{00000000-0005-0000-0000-000076380000}"/>
    <cellStyle name="Calculation 21 2 7 3" xfId="28131" xr:uid="{00000000-0005-0000-0000-000077380000}"/>
    <cellStyle name="Calculation 21 2 7 4" xfId="28132" xr:uid="{00000000-0005-0000-0000-000078380000}"/>
    <cellStyle name="Calculation 21 2 8" xfId="9860" xr:uid="{00000000-0005-0000-0000-000079380000}"/>
    <cellStyle name="Calculation 21 2 9" xfId="28133" xr:uid="{00000000-0005-0000-0000-00007A380000}"/>
    <cellStyle name="Calculation 21 3" xfId="9861" xr:uid="{00000000-0005-0000-0000-00007B380000}"/>
    <cellStyle name="Calculation 21 3 10" xfId="28134" xr:uid="{00000000-0005-0000-0000-00007C380000}"/>
    <cellStyle name="Calculation 21 3 2" xfId="9862" xr:uid="{00000000-0005-0000-0000-00007D380000}"/>
    <cellStyle name="Calculation 21 3 2 2" xfId="9863" xr:uid="{00000000-0005-0000-0000-00007E380000}"/>
    <cellStyle name="Calculation 21 3 2 3" xfId="28135" xr:uid="{00000000-0005-0000-0000-00007F380000}"/>
    <cellStyle name="Calculation 21 3 2 4" xfId="28136" xr:uid="{00000000-0005-0000-0000-000080380000}"/>
    <cellStyle name="Calculation 21 3 3" xfId="9864" xr:uid="{00000000-0005-0000-0000-000081380000}"/>
    <cellStyle name="Calculation 21 3 3 2" xfId="9865" xr:uid="{00000000-0005-0000-0000-000082380000}"/>
    <cellStyle name="Calculation 21 3 3 3" xfId="28137" xr:uid="{00000000-0005-0000-0000-000083380000}"/>
    <cellStyle name="Calculation 21 3 3 4" xfId="28138" xr:uid="{00000000-0005-0000-0000-000084380000}"/>
    <cellStyle name="Calculation 21 3 4" xfId="9866" xr:uid="{00000000-0005-0000-0000-000085380000}"/>
    <cellStyle name="Calculation 21 3 4 2" xfId="9867" xr:uid="{00000000-0005-0000-0000-000086380000}"/>
    <cellStyle name="Calculation 21 3 4 3" xfId="28139" xr:uid="{00000000-0005-0000-0000-000087380000}"/>
    <cellStyle name="Calculation 21 3 4 4" xfId="28140" xr:uid="{00000000-0005-0000-0000-000088380000}"/>
    <cellStyle name="Calculation 21 3 5" xfId="9868" xr:uid="{00000000-0005-0000-0000-000089380000}"/>
    <cellStyle name="Calculation 21 3 5 2" xfId="9869" xr:uid="{00000000-0005-0000-0000-00008A380000}"/>
    <cellStyle name="Calculation 21 3 5 3" xfId="28141" xr:uid="{00000000-0005-0000-0000-00008B380000}"/>
    <cellStyle name="Calculation 21 3 5 4" xfId="28142" xr:uid="{00000000-0005-0000-0000-00008C380000}"/>
    <cellStyle name="Calculation 21 3 6" xfId="9870" xr:uid="{00000000-0005-0000-0000-00008D380000}"/>
    <cellStyle name="Calculation 21 3 6 2" xfId="9871" xr:uid="{00000000-0005-0000-0000-00008E380000}"/>
    <cellStyle name="Calculation 21 3 6 3" xfId="28143" xr:uid="{00000000-0005-0000-0000-00008F380000}"/>
    <cellStyle name="Calculation 21 3 6 4" xfId="28144" xr:uid="{00000000-0005-0000-0000-000090380000}"/>
    <cellStyle name="Calculation 21 3 7" xfId="9872" xr:uid="{00000000-0005-0000-0000-000091380000}"/>
    <cellStyle name="Calculation 21 3 7 2" xfId="9873" xr:uid="{00000000-0005-0000-0000-000092380000}"/>
    <cellStyle name="Calculation 21 3 7 3" xfId="28145" xr:uid="{00000000-0005-0000-0000-000093380000}"/>
    <cellStyle name="Calculation 21 3 7 4" xfId="28146" xr:uid="{00000000-0005-0000-0000-000094380000}"/>
    <cellStyle name="Calculation 21 3 8" xfId="9874" xr:uid="{00000000-0005-0000-0000-000095380000}"/>
    <cellStyle name="Calculation 21 3 9" xfId="28147" xr:uid="{00000000-0005-0000-0000-000096380000}"/>
    <cellStyle name="Calculation 21 4" xfId="9875" xr:uid="{00000000-0005-0000-0000-000097380000}"/>
    <cellStyle name="Calculation 21 4 10" xfId="28148" xr:uid="{00000000-0005-0000-0000-000098380000}"/>
    <cellStyle name="Calculation 21 4 2" xfId="9876" xr:uid="{00000000-0005-0000-0000-000099380000}"/>
    <cellStyle name="Calculation 21 4 2 2" xfId="9877" xr:uid="{00000000-0005-0000-0000-00009A380000}"/>
    <cellStyle name="Calculation 21 4 2 3" xfId="28149" xr:uid="{00000000-0005-0000-0000-00009B380000}"/>
    <cellStyle name="Calculation 21 4 2 4" xfId="28150" xr:uid="{00000000-0005-0000-0000-00009C380000}"/>
    <cellStyle name="Calculation 21 4 3" xfId="9878" xr:uid="{00000000-0005-0000-0000-00009D380000}"/>
    <cellStyle name="Calculation 21 4 3 2" xfId="9879" xr:uid="{00000000-0005-0000-0000-00009E380000}"/>
    <cellStyle name="Calculation 21 4 3 3" xfId="28151" xr:uid="{00000000-0005-0000-0000-00009F380000}"/>
    <cellStyle name="Calculation 21 4 3 4" xfId="28152" xr:uid="{00000000-0005-0000-0000-0000A0380000}"/>
    <cellStyle name="Calculation 21 4 4" xfId="9880" xr:uid="{00000000-0005-0000-0000-0000A1380000}"/>
    <cellStyle name="Calculation 21 4 4 2" xfId="9881" xr:uid="{00000000-0005-0000-0000-0000A2380000}"/>
    <cellStyle name="Calculation 21 4 4 3" xfId="28153" xr:uid="{00000000-0005-0000-0000-0000A3380000}"/>
    <cellStyle name="Calculation 21 4 4 4" xfId="28154" xr:uid="{00000000-0005-0000-0000-0000A4380000}"/>
    <cellStyle name="Calculation 21 4 5" xfId="9882" xr:uid="{00000000-0005-0000-0000-0000A5380000}"/>
    <cellStyle name="Calculation 21 4 5 2" xfId="9883" xr:uid="{00000000-0005-0000-0000-0000A6380000}"/>
    <cellStyle name="Calculation 21 4 5 3" xfId="28155" xr:uid="{00000000-0005-0000-0000-0000A7380000}"/>
    <cellStyle name="Calculation 21 4 5 4" xfId="28156" xr:uid="{00000000-0005-0000-0000-0000A8380000}"/>
    <cellStyle name="Calculation 21 4 6" xfId="9884" xr:uid="{00000000-0005-0000-0000-0000A9380000}"/>
    <cellStyle name="Calculation 21 4 6 2" xfId="9885" xr:uid="{00000000-0005-0000-0000-0000AA380000}"/>
    <cellStyle name="Calculation 21 4 6 3" xfId="28157" xr:uid="{00000000-0005-0000-0000-0000AB380000}"/>
    <cellStyle name="Calculation 21 4 6 4" xfId="28158" xr:uid="{00000000-0005-0000-0000-0000AC380000}"/>
    <cellStyle name="Calculation 21 4 7" xfId="9886" xr:uid="{00000000-0005-0000-0000-0000AD380000}"/>
    <cellStyle name="Calculation 21 4 7 2" xfId="9887" xr:uid="{00000000-0005-0000-0000-0000AE380000}"/>
    <cellStyle name="Calculation 21 4 7 3" xfId="28159" xr:uid="{00000000-0005-0000-0000-0000AF380000}"/>
    <cellStyle name="Calculation 21 4 7 4" xfId="28160" xr:uid="{00000000-0005-0000-0000-0000B0380000}"/>
    <cellStyle name="Calculation 21 4 8" xfId="9888" xr:uid="{00000000-0005-0000-0000-0000B1380000}"/>
    <cellStyle name="Calculation 21 4 9" xfId="28161" xr:uid="{00000000-0005-0000-0000-0000B2380000}"/>
    <cellStyle name="Calculation 21 5" xfId="9889" xr:uid="{00000000-0005-0000-0000-0000B3380000}"/>
    <cellStyle name="Calculation 21 5 10" xfId="28162" xr:uid="{00000000-0005-0000-0000-0000B4380000}"/>
    <cellStyle name="Calculation 21 5 2" xfId="9890" xr:uid="{00000000-0005-0000-0000-0000B5380000}"/>
    <cellStyle name="Calculation 21 5 2 2" xfId="9891" xr:uid="{00000000-0005-0000-0000-0000B6380000}"/>
    <cellStyle name="Calculation 21 5 2 3" xfId="28163" xr:uid="{00000000-0005-0000-0000-0000B7380000}"/>
    <cellStyle name="Calculation 21 5 2 4" xfId="28164" xr:uid="{00000000-0005-0000-0000-0000B8380000}"/>
    <cellStyle name="Calculation 21 5 3" xfId="9892" xr:uid="{00000000-0005-0000-0000-0000B9380000}"/>
    <cellStyle name="Calculation 21 5 3 2" xfId="9893" xr:uid="{00000000-0005-0000-0000-0000BA380000}"/>
    <cellStyle name="Calculation 21 5 3 3" xfId="28165" xr:uid="{00000000-0005-0000-0000-0000BB380000}"/>
    <cellStyle name="Calculation 21 5 3 4" xfId="28166" xr:uid="{00000000-0005-0000-0000-0000BC380000}"/>
    <cellStyle name="Calculation 21 5 4" xfId="9894" xr:uid="{00000000-0005-0000-0000-0000BD380000}"/>
    <cellStyle name="Calculation 21 5 4 2" xfId="9895" xr:uid="{00000000-0005-0000-0000-0000BE380000}"/>
    <cellStyle name="Calculation 21 5 4 3" xfId="28167" xr:uid="{00000000-0005-0000-0000-0000BF380000}"/>
    <cellStyle name="Calculation 21 5 4 4" xfId="28168" xr:uid="{00000000-0005-0000-0000-0000C0380000}"/>
    <cellStyle name="Calculation 21 5 5" xfId="9896" xr:uid="{00000000-0005-0000-0000-0000C1380000}"/>
    <cellStyle name="Calculation 21 5 5 2" xfId="9897" xr:uid="{00000000-0005-0000-0000-0000C2380000}"/>
    <cellStyle name="Calculation 21 5 5 3" xfId="28169" xr:uid="{00000000-0005-0000-0000-0000C3380000}"/>
    <cellStyle name="Calculation 21 5 5 4" xfId="28170" xr:uid="{00000000-0005-0000-0000-0000C4380000}"/>
    <cellStyle name="Calculation 21 5 6" xfId="9898" xr:uid="{00000000-0005-0000-0000-0000C5380000}"/>
    <cellStyle name="Calculation 21 5 6 2" xfId="9899" xr:uid="{00000000-0005-0000-0000-0000C6380000}"/>
    <cellStyle name="Calculation 21 5 6 3" xfId="28171" xr:uid="{00000000-0005-0000-0000-0000C7380000}"/>
    <cellStyle name="Calculation 21 5 6 4" xfId="28172" xr:uid="{00000000-0005-0000-0000-0000C8380000}"/>
    <cellStyle name="Calculation 21 5 7" xfId="9900" xr:uid="{00000000-0005-0000-0000-0000C9380000}"/>
    <cellStyle name="Calculation 21 5 7 2" xfId="9901" xr:uid="{00000000-0005-0000-0000-0000CA380000}"/>
    <cellStyle name="Calculation 21 5 7 3" xfId="28173" xr:uid="{00000000-0005-0000-0000-0000CB380000}"/>
    <cellStyle name="Calculation 21 5 7 4" xfId="28174" xr:uid="{00000000-0005-0000-0000-0000CC380000}"/>
    <cellStyle name="Calculation 21 5 8" xfId="9902" xr:uid="{00000000-0005-0000-0000-0000CD380000}"/>
    <cellStyle name="Calculation 21 5 9" xfId="28175" xr:uid="{00000000-0005-0000-0000-0000CE380000}"/>
    <cellStyle name="Calculation 21 6" xfId="9903" xr:uid="{00000000-0005-0000-0000-0000CF380000}"/>
    <cellStyle name="Calculation 21 6 2" xfId="9904" xr:uid="{00000000-0005-0000-0000-0000D0380000}"/>
    <cellStyle name="Calculation 21 6 3" xfId="28176" xr:uid="{00000000-0005-0000-0000-0000D1380000}"/>
    <cellStyle name="Calculation 21 6 4" xfId="28177" xr:uid="{00000000-0005-0000-0000-0000D2380000}"/>
    <cellStyle name="Calculation 21 7" xfId="9905" xr:uid="{00000000-0005-0000-0000-0000D3380000}"/>
    <cellStyle name="Calculation 21 7 2" xfId="9906" xr:uid="{00000000-0005-0000-0000-0000D4380000}"/>
    <cellStyle name="Calculation 21 7 3" xfId="28178" xr:uid="{00000000-0005-0000-0000-0000D5380000}"/>
    <cellStyle name="Calculation 21 7 4" xfId="28179" xr:uid="{00000000-0005-0000-0000-0000D6380000}"/>
    <cellStyle name="Calculation 21 8" xfId="9907" xr:uid="{00000000-0005-0000-0000-0000D7380000}"/>
    <cellStyle name="Calculation 21 8 2" xfId="9908" xr:uid="{00000000-0005-0000-0000-0000D8380000}"/>
    <cellStyle name="Calculation 21 8 3" xfId="28180" xr:uid="{00000000-0005-0000-0000-0000D9380000}"/>
    <cellStyle name="Calculation 21 8 4" xfId="28181" xr:uid="{00000000-0005-0000-0000-0000DA380000}"/>
    <cellStyle name="Calculation 21 9" xfId="9909" xr:uid="{00000000-0005-0000-0000-0000DB380000}"/>
    <cellStyle name="Calculation 21 9 2" xfId="9910" xr:uid="{00000000-0005-0000-0000-0000DC380000}"/>
    <cellStyle name="Calculation 21 9 3" xfId="28182" xr:uid="{00000000-0005-0000-0000-0000DD380000}"/>
    <cellStyle name="Calculation 21 9 4" xfId="28183" xr:uid="{00000000-0005-0000-0000-0000DE380000}"/>
    <cellStyle name="Calculation 22" xfId="9911" xr:uid="{00000000-0005-0000-0000-0000DF380000}"/>
    <cellStyle name="Calculation 22 10" xfId="9912" xr:uid="{00000000-0005-0000-0000-0000E0380000}"/>
    <cellStyle name="Calculation 22 10 2" xfId="9913" xr:uid="{00000000-0005-0000-0000-0000E1380000}"/>
    <cellStyle name="Calculation 22 10 3" xfId="28184" xr:uid="{00000000-0005-0000-0000-0000E2380000}"/>
    <cellStyle name="Calculation 22 10 4" xfId="28185" xr:uid="{00000000-0005-0000-0000-0000E3380000}"/>
    <cellStyle name="Calculation 22 11" xfId="9914" xr:uid="{00000000-0005-0000-0000-0000E4380000}"/>
    <cellStyle name="Calculation 22 11 2" xfId="9915" xr:uid="{00000000-0005-0000-0000-0000E5380000}"/>
    <cellStyle name="Calculation 22 11 3" xfId="28186" xr:uid="{00000000-0005-0000-0000-0000E6380000}"/>
    <cellStyle name="Calculation 22 11 4" xfId="28187" xr:uid="{00000000-0005-0000-0000-0000E7380000}"/>
    <cellStyle name="Calculation 22 12" xfId="9916" xr:uid="{00000000-0005-0000-0000-0000E8380000}"/>
    <cellStyle name="Calculation 22 13" xfId="28188" xr:uid="{00000000-0005-0000-0000-0000E9380000}"/>
    <cellStyle name="Calculation 22 14" xfId="28189" xr:uid="{00000000-0005-0000-0000-0000EA380000}"/>
    <cellStyle name="Calculation 22 2" xfId="9917" xr:uid="{00000000-0005-0000-0000-0000EB380000}"/>
    <cellStyle name="Calculation 22 2 10" xfId="28190" xr:uid="{00000000-0005-0000-0000-0000EC380000}"/>
    <cellStyle name="Calculation 22 2 2" xfId="9918" xr:uid="{00000000-0005-0000-0000-0000ED380000}"/>
    <cellStyle name="Calculation 22 2 2 2" xfId="9919" xr:uid="{00000000-0005-0000-0000-0000EE380000}"/>
    <cellStyle name="Calculation 22 2 2 3" xfId="28191" xr:uid="{00000000-0005-0000-0000-0000EF380000}"/>
    <cellStyle name="Calculation 22 2 2 4" xfId="28192" xr:uid="{00000000-0005-0000-0000-0000F0380000}"/>
    <cellStyle name="Calculation 22 2 3" xfId="9920" xr:uid="{00000000-0005-0000-0000-0000F1380000}"/>
    <cellStyle name="Calculation 22 2 3 2" xfId="9921" xr:uid="{00000000-0005-0000-0000-0000F2380000}"/>
    <cellStyle name="Calculation 22 2 3 3" xfId="28193" xr:uid="{00000000-0005-0000-0000-0000F3380000}"/>
    <cellStyle name="Calculation 22 2 3 4" xfId="28194" xr:uid="{00000000-0005-0000-0000-0000F4380000}"/>
    <cellStyle name="Calculation 22 2 4" xfId="9922" xr:uid="{00000000-0005-0000-0000-0000F5380000}"/>
    <cellStyle name="Calculation 22 2 4 2" xfId="9923" xr:uid="{00000000-0005-0000-0000-0000F6380000}"/>
    <cellStyle name="Calculation 22 2 4 3" xfId="28195" xr:uid="{00000000-0005-0000-0000-0000F7380000}"/>
    <cellStyle name="Calculation 22 2 4 4" xfId="28196" xr:uid="{00000000-0005-0000-0000-0000F8380000}"/>
    <cellStyle name="Calculation 22 2 5" xfId="9924" xr:uid="{00000000-0005-0000-0000-0000F9380000}"/>
    <cellStyle name="Calculation 22 2 5 2" xfId="9925" xr:uid="{00000000-0005-0000-0000-0000FA380000}"/>
    <cellStyle name="Calculation 22 2 5 3" xfId="28197" xr:uid="{00000000-0005-0000-0000-0000FB380000}"/>
    <cellStyle name="Calculation 22 2 5 4" xfId="28198" xr:uid="{00000000-0005-0000-0000-0000FC380000}"/>
    <cellStyle name="Calculation 22 2 6" xfId="9926" xr:uid="{00000000-0005-0000-0000-0000FD380000}"/>
    <cellStyle name="Calculation 22 2 6 2" xfId="9927" xr:uid="{00000000-0005-0000-0000-0000FE380000}"/>
    <cellStyle name="Calculation 22 2 6 3" xfId="28199" xr:uid="{00000000-0005-0000-0000-0000FF380000}"/>
    <cellStyle name="Calculation 22 2 6 4" xfId="28200" xr:uid="{00000000-0005-0000-0000-000000390000}"/>
    <cellStyle name="Calculation 22 2 7" xfId="9928" xr:uid="{00000000-0005-0000-0000-000001390000}"/>
    <cellStyle name="Calculation 22 2 7 2" xfId="9929" xr:uid="{00000000-0005-0000-0000-000002390000}"/>
    <cellStyle name="Calculation 22 2 7 3" xfId="28201" xr:uid="{00000000-0005-0000-0000-000003390000}"/>
    <cellStyle name="Calculation 22 2 7 4" xfId="28202" xr:uid="{00000000-0005-0000-0000-000004390000}"/>
    <cellStyle name="Calculation 22 2 8" xfId="9930" xr:uid="{00000000-0005-0000-0000-000005390000}"/>
    <cellStyle name="Calculation 22 2 9" xfId="28203" xr:uid="{00000000-0005-0000-0000-000006390000}"/>
    <cellStyle name="Calculation 22 3" xfId="9931" xr:uid="{00000000-0005-0000-0000-000007390000}"/>
    <cellStyle name="Calculation 22 3 10" xfId="28204" xr:uid="{00000000-0005-0000-0000-000008390000}"/>
    <cellStyle name="Calculation 22 3 2" xfId="9932" xr:uid="{00000000-0005-0000-0000-000009390000}"/>
    <cellStyle name="Calculation 22 3 2 2" xfId="9933" xr:uid="{00000000-0005-0000-0000-00000A390000}"/>
    <cellStyle name="Calculation 22 3 2 3" xfId="28205" xr:uid="{00000000-0005-0000-0000-00000B390000}"/>
    <cellStyle name="Calculation 22 3 2 4" xfId="28206" xr:uid="{00000000-0005-0000-0000-00000C390000}"/>
    <cellStyle name="Calculation 22 3 3" xfId="9934" xr:uid="{00000000-0005-0000-0000-00000D390000}"/>
    <cellStyle name="Calculation 22 3 3 2" xfId="9935" xr:uid="{00000000-0005-0000-0000-00000E390000}"/>
    <cellStyle name="Calculation 22 3 3 3" xfId="28207" xr:uid="{00000000-0005-0000-0000-00000F390000}"/>
    <cellStyle name="Calculation 22 3 3 4" xfId="28208" xr:uid="{00000000-0005-0000-0000-000010390000}"/>
    <cellStyle name="Calculation 22 3 4" xfId="9936" xr:uid="{00000000-0005-0000-0000-000011390000}"/>
    <cellStyle name="Calculation 22 3 4 2" xfId="9937" xr:uid="{00000000-0005-0000-0000-000012390000}"/>
    <cellStyle name="Calculation 22 3 4 3" xfId="28209" xr:uid="{00000000-0005-0000-0000-000013390000}"/>
    <cellStyle name="Calculation 22 3 4 4" xfId="28210" xr:uid="{00000000-0005-0000-0000-000014390000}"/>
    <cellStyle name="Calculation 22 3 5" xfId="9938" xr:uid="{00000000-0005-0000-0000-000015390000}"/>
    <cellStyle name="Calculation 22 3 5 2" xfId="9939" xr:uid="{00000000-0005-0000-0000-000016390000}"/>
    <cellStyle name="Calculation 22 3 5 3" xfId="28211" xr:uid="{00000000-0005-0000-0000-000017390000}"/>
    <cellStyle name="Calculation 22 3 5 4" xfId="28212" xr:uid="{00000000-0005-0000-0000-000018390000}"/>
    <cellStyle name="Calculation 22 3 6" xfId="9940" xr:uid="{00000000-0005-0000-0000-000019390000}"/>
    <cellStyle name="Calculation 22 3 6 2" xfId="9941" xr:uid="{00000000-0005-0000-0000-00001A390000}"/>
    <cellStyle name="Calculation 22 3 6 3" xfId="28213" xr:uid="{00000000-0005-0000-0000-00001B390000}"/>
    <cellStyle name="Calculation 22 3 6 4" xfId="28214" xr:uid="{00000000-0005-0000-0000-00001C390000}"/>
    <cellStyle name="Calculation 22 3 7" xfId="9942" xr:uid="{00000000-0005-0000-0000-00001D390000}"/>
    <cellStyle name="Calculation 22 3 7 2" xfId="9943" xr:uid="{00000000-0005-0000-0000-00001E390000}"/>
    <cellStyle name="Calculation 22 3 7 3" xfId="28215" xr:uid="{00000000-0005-0000-0000-00001F390000}"/>
    <cellStyle name="Calculation 22 3 7 4" xfId="28216" xr:uid="{00000000-0005-0000-0000-000020390000}"/>
    <cellStyle name="Calculation 22 3 8" xfId="9944" xr:uid="{00000000-0005-0000-0000-000021390000}"/>
    <cellStyle name="Calculation 22 3 9" xfId="28217" xr:uid="{00000000-0005-0000-0000-000022390000}"/>
    <cellStyle name="Calculation 22 4" xfId="9945" xr:uid="{00000000-0005-0000-0000-000023390000}"/>
    <cellStyle name="Calculation 22 4 10" xfId="28218" xr:uid="{00000000-0005-0000-0000-000024390000}"/>
    <cellStyle name="Calculation 22 4 2" xfId="9946" xr:uid="{00000000-0005-0000-0000-000025390000}"/>
    <cellStyle name="Calculation 22 4 2 2" xfId="9947" xr:uid="{00000000-0005-0000-0000-000026390000}"/>
    <cellStyle name="Calculation 22 4 2 3" xfId="28219" xr:uid="{00000000-0005-0000-0000-000027390000}"/>
    <cellStyle name="Calculation 22 4 2 4" xfId="28220" xr:uid="{00000000-0005-0000-0000-000028390000}"/>
    <cellStyle name="Calculation 22 4 3" xfId="9948" xr:uid="{00000000-0005-0000-0000-000029390000}"/>
    <cellStyle name="Calculation 22 4 3 2" xfId="9949" xr:uid="{00000000-0005-0000-0000-00002A390000}"/>
    <cellStyle name="Calculation 22 4 3 3" xfId="28221" xr:uid="{00000000-0005-0000-0000-00002B390000}"/>
    <cellStyle name="Calculation 22 4 3 4" xfId="28222" xr:uid="{00000000-0005-0000-0000-00002C390000}"/>
    <cellStyle name="Calculation 22 4 4" xfId="9950" xr:uid="{00000000-0005-0000-0000-00002D390000}"/>
    <cellStyle name="Calculation 22 4 4 2" xfId="9951" xr:uid="{00000000-0005-0000-0000-00002E390000}"/>
    <cellStyle name="Calculation 22 4 4 3" xfId="28223" xr:uid="{00000000-0005-0000-0000-00002F390000}"/>
    <cellStyle name="Calculation 22 4 4 4" xfId="28224" xr:uid="{00000000-0005-0000-0000-000030390000}"/>
    <cellStyle name="Calculation 22 4 5" xfId="9952" xr:uid="{00000000-0005-0000-0000-000031390000}"/>
    <cellStyle name="Calculation 22 4 5 2" xfId="9953" xr:uid="{00000000-0005-0000-0000-000032390000}"/>
    <cellStyle name="Calculation 22 4 5 3" xfId="28225" xr:uid="{00000000-0005-0000-0000-000033390000}"/>
    <cellStyle name="Calculation 22 4 5 4" xfId="28226" xr:uid="{00000000-0005-0000-0000-000034390000}"/>
    <cellStyle name="Calculation 22 4 6" xfId="9954" xr:uid="{00000000-0005-0000-0000-000035390000}"/>
    <cellStyle name="Calculation 22 4 6 2" xfId="9955" xr:uid="{00000000-0005-0000-0000-000036390000}"/>
    <cellStyle name="Calculation 22 4 6 3" xfId="28227" xr:uid="{00000000-0005-0000-0000-000037390000}"/>
    <cellStyle name="Calculation 22 4 6 4" xfId="28228" xr:uid="{00000000-0005-0000-0000-000038390000}"/>
    <cellStyle name="Calculation 22 4 7" xfId="9956" xr:uid="{00000000-0005-0000-0000-000039390000}"/>
    <cellStyle name="Calculation 22 4 7 2" xfId="9957" xr:uid="{00000000-0005-0000-0000-00003A390000}"/>
    <cellStyle name="Calculation 22 4 7 3" xfId="28229" xr:uid="{00000000-0005-0000-0000-00003B390000}"/>
    <cellStyle name="Calculation 22 4 7 4" xfId="28230" xr:uid="{00000000-0005-0000-0000-00003C390000}"/>
    <cellStyle name="Calculation 22 4 8" xfId="9958" xr:uid="{00000000-0005-0000-0000-00003D390000}"/>
    <cellStyle name="Calculation 22 4 9" xfId="28231" xr:uid="{00000000-0005-0000-0000-00003E390000}"/>
    <cellStyle name="Calculation 22 5" xfId="9959" xr:uid="{00000000-0005-0000-0000-00003F390000}"/>
    <cellStyle name="Calculation 22 5 10" xfId="28232" xr:uid="{00000000-0005-0000-0000-000040390000}"/>
    <cellStyle name="Calculation 22 5 2" xfId="9960" xr:uid="{00000000-0005-0000-0000-000041390000}"/>
    <cellStyle name="Calculation 22 5 2 2" xfId="9961" xr:uid="{00000000-0005-0000-0000-000042390000}"/>
    <cellStyle name="Calculation 22 5 2 3" xfId="28233" xr:uid="{00000000-0005-0000-0000-000043390000}"/>
    <cellStyle name="Calculation 22 5 2 4" xfId="28234" xr:uid="{00000000-0005-0000-0000-000044390000}"/>
    <cellStyle name="Calculation 22 5 3" xfId="9962" xr:uid="{00000000-0005-0000-0000-000045390000}"/>
    <cellStyle name="Calculation 22 5 3 2" xfId="9963" xr:uid="{00000000-0005-0000-0000-000046390000}"/>
    <cellStyle name="Calculation 22 5 3 3" xfId="28235" xr:uid="{00000000-0005-0000-0000-000047390000}"/>
    <cellStyle name="Calculation 22 5 3 4" xfId="28236" xr:uid="{00000000-0005-0000-0000-000048390000}"/>
    <cellStyle name="Calculation 22 5 4" xfId="9964" xr:uid="{00000000-0005-0000-0000-000049390000}"/>
    <cellStyle name="Calculation 22 5 4 2" xfId="9965" xr:uid="{00000000-0005-0000-0000-00004A390000}"/>
    <cellStyle name="Calculation 22 5 4 3" xfId="28237" xr:uid="{00000000-0005-0000-0000-00004B390000}"/>
    <cellStyle name="Calculation 22 5 4 4" xfId="28238" xr:uid="{00000000-0005-0000-0000-00004C390000}"/>
    <cellStyle name="Calculation 22 5 5" xfId="9966" xr:uid="{00000000-0005-0000-0000-00004D390000}"/>
    <cellStyle name="Calculation 22 5 5 2" xfId="9967" xr:uid="{00000000-0005-0000-0000-00004E390000}"/>
    <cellStyle name="Calculation 22 5 5 3" xfId="28239" xr:uid="{00000000-0005-0000-0000-00004F390000}"/>
    <cellStyle name="Calculation 22 5 5 4" xfId="28240" xr:uid="{00000000-0005-0000-0000-000050390000}"/>
    <cellStyle name="Calculation 22 5 6" xfId="9968" xr:uid="{00000000-0005-0000-0000-000051390000}"/>
    <cellStyle name="Calculation 22 5 6 2" xfId="9969" xr:uid="{00000000-0005-0000-0000-000052390000}"/>
    <cellStyle name="Calculation 22 5 6 3" xfId="28241" xr:uid="{00000000-0005-0000-0000-000053390000}"/>
    <cellStyle name="Calculation 22 5 6 4" xfId="28242" xr:uid="{00000000-0005-0000-0000-000054390000}"/>
    <cellStyle name="Calculation 22 5 7" xfId="9970" xr:uid="{00000000-0005-0000-0000-000055390000}"/>
    <cellStyle name="Calculation 22 5 7 2" xfId="9971" xr:uid="{00000000-0005-0000-0000-000056390000}"/>
    <cellStyle name="Calculation 22 5 7 3" xfId="28243" xr:uid="{00000000-0005-0000-0000-000057390000}"/>
    <cellStyle name="Calculation 22 5 7 4" xfId="28244" xr:uid="{00000000-0005-0000-0000-000058390000}"/>
    <cellStyle name="Calculation 22 5 8" xfId="9972" xr:uid="{00000000-0005-0000-0000-000059390000}"/>
    <cellStyle name="Calculation 22 5 9" xfId="28245" xr:uid="{00000000-0005-0000-0000-00005A390000}"/>
    <cellStyle name="Calculation 22 6" xfId="9973" xr:uid="{00000000-0005-0000-0000-00005B390000}"/>
    <cellStyle name="Calculation 22 6 2" xfId="9974" xr:uid="{00000000-0005-0000-0000-00005C390000}"/>
    <cellStyle name="Calculation 22 6 3" xfId="28246" xr:uid="{00000000-0005-0000-0000-00005D390000}"/>
    <cellStyle name="Calculation 22 6 4" xfId="28247" xr:uid="{00000000-0005-0000-0000-00005E390000}"/>
    <cellStyle name="Calculation 22 7" xfId="9975" xr:uid="{00000000-0005-0000-0000-00005F390000}"/>
    <cellStyle name="Calculation 22 7 2" xfId="9976" xr:uid="{00000000-0005-0000-0000-000060390000}"/>
    <cellStyle name="Calculation 22 7 3" xfId="28248" xr:uid="{00000000-0005-0000-0000-000061390000}"/>
    <cellStyle name="Calculation 22 7 4" xfId="28249" xr:uid="{00000000-0005-0000-0000-000062390000}"/>
    <cellStyle name="Calculation 22 8" xfId="9977" xr:uid="{00000000-0005-0000-0000-000063390000}"/>
    <cellStyle name="Calculation 22 8 2" xfId="9978" xr:uid="{00000000-0005-0000-0000-000064390000}"/>
    <cellStyle name="Calculation 22 8 3" xfId="28250" xr:uid="{00000000-0005-0000-0000-000065390000}"/>
    <cellStyle name="Calculation 22 8 4" xfId="28251" xr:uid="{00000000-0005-0000-0000-000066390000}"/>
    <cellStyle name="Calculation 22 9" xfId="9979" xr:uid="{00000000-0005-0000-0000-000067390000}"/>
    <cellStyle name="Calculation 22 9 2" xfId="9980" xr:uid="{00000000-0005-0000-0000-000068390000}"/>
    <cellStyle name="Calculation 22 9 3" xfId="28252" xr:uid="{00000000-0005-0000-0000-000069390000}"/>
    <cellStyle name="Calculation 22 9 4" xfId="28253" xr:uid="{00000000-0005-0000-0000-00006A390000}"/>
    <cellStyle name="Calculation 23" xfId="9981" xr:uid="{00000000-0005-0000-0000-00006B390000}"/>
    <cellStyle name="Calculation 23 10" xfId="28254" xr:uid="{00000000-0005-0000-0000-00006C390000}"/>
    <cellStyle name="Calculation 23 2" xfId="9982" xr:uid="{00000000-0005-0000-0000-00006D390000}"/>
    <cellStyle name="Calculation 23 2 2" xfId="9983" xr:uid="{00000000-0005-0000-0000-00006E390000}"/>
    <cellStyle name="Calculation 23 2 3" xfId="28255" xr:uid="{00000000-0005-0000-0000-00006F390000}"/>
    <cellStyle name="Calculation 23 2 4" xfId="28256" xr:uid="{00000000-0005-0000-0000-000070390000}"/>
    <cellStyle name="Calculation 23 3" xfId="9984" xr:uid="{00000000-0005-0000-0000-000071390000}"/>
    <cellStyle name="Calculation 23 3 2" xfId="9985" xr:uid="{00000000-0005-0000-0000-000072390000}"/>
    <cellStyle name="Calculation 23 3 3" xfId="28257" xr:uid="{00000000-0005-0000-0000-000073390000}"/>
    <cellStyle name="Calculation 23 3 4" xfId="28258" xr:uid="{00000000-0005-0000-0000-000074390000}"/>
    <cellStyle name="Calculation 23 4" xfId="9986" xr:uid="{00000000-0005-0000-0000-000075390000}"/>
    <cellStyle name="Calculation 23 4 2" xfId="9987" xr:uid="{00000000-0005-0000-0000-000076390000}"/>
    <cellStyle name="Calculation 23 4 3" xfId="28259" xr:uid="{00000000-0005-0000-0000-000077390000}"/>
    <cellStyle name="Calculation 23 4 4" xfId="28260" xr:uid="{00000000-0005-0000-0000-000078390000}"/>
    <cellStyle name="Calculation 23 5" xfId="9988" xr:uid="{00000000-0005-0000-0000-000079390000}"/>
    <cellStyle name="Calculation 23 5 2" xfId="9989" xr:uid="{00000000-0005-0000-0000-00007A390000}"/>
    <cellStyle name="Calculation 23 5 3" xfId="28261" xr:uid="{00000000-0005-0000-0000-00007B390000}"/>
    <cellStyle name="Calculation 23 5 4" xfId="28262" xr:uid="{00000000-0005-0000-0000-00007C390000}"/>
    <cellStyle name="Calculation 23 6" xfId="9990" xr:uid="{00000000-0005-0000-0000-00007D390000}"/>
    <cellStyle name="Calculation 23 6 2" xfId="9991" xr:uid="{00000000-0005-0000-0000-00007E390000}"/>
    <cellStyle name="Calculation 23 6 3" xfId="28263" xr:uid="{00000000-0005-0000-0000-00007F390000}"/>
    <cellStyle name="Calculation 23 6 4" xfId="28264" xr:uid="{00000000-0005-0000-0000-000080390000}"/>
    <cellStyle name="Calculation 23 7" xfId="9992" xr:uid="{00000000-0005-0000-0000-000081390000}"/>
    <cellStyle name="Calculation 23 7 2" xfId="9993" xr:uid="{00000000-0005-0000-0000-000082390000}"/>
    <cellStyle name="Calculation 23 7 3" xfId="28265" xr:uid="{00000000-0005-0000-0000-000083390000}"/>
    <cellStyle name="Calculation 23 7 4" xfId="28266" xr:uid="{00000000-0005-0000-0000-000084390000}"/>
    <cellStyle name="Calculation 23 8" xfId="9994" xr:uid="{00000000-0005-0000-0000-000085390000}"/>
    <cellStyle name="Calculation 23 9" xfId="28267" xr:uid="{00000000-0005-0000-0000-000086390000}"/>
    <cellStyle name="Calculation 24" xfId="9995" xr:uid="{00000000-0005-0000-0000-000087390000}"/>
    <cellStyle name="Calculation 24 10" xfId="28268" xr:uid="{00000000-0005-0000-0000-000088390000}"/>
    <cellStyle name="Calculation 24 2" xfId="9996" xr:uid="{00000000-0005-0000-0000-000089390000}"/>
    <cellStyle name="Calculation 24 2 2" xfId="9997" xr:uid="{00000000-0005-0000-0000-00008A390000}"/>
    <cellStyle name="Calculation 24 2 3" xfId="28269" xr:uid="{00000000-0005-0000-0000-00008B390000}"/>
    <cellStyle name="Calculation 24 2 4" xfId="28270" xr:uid="{00000000-0005-0000-0000-00008C390000}"/>
    <cellStyle name="Calculation 24 3" xfId="9998" xr:uid="{00000000-0005-0000-0000-00008D390000}"/>
    <cellStyle name="Calculation 24 3 2" xfId="9999" xr:uid="{00000000-0005-0000-0000-00008E390000}"/>
    <cellStyle name="Calculation 24 3 3" xfId="28271" xr:uid="{00000000-0005-0000-0000-00008F390000}"/>
    <cellStyle name="Calculation 24 3 4" xfId="28272" xr:uid="{00000000-0005-0000-0000-000090390000}"/>
    <cellStyle name="Calculation 24 4" xfId="10000" xr:uid="{00000000-0005-0000-0000-000091390000}"/>
    <cellStyle name="Calculation 24 4 2" xfId="10001" xr:uid="{00000000-0005-0000-0000-000092390000}"/>
    <cellStyle name="Calculation 24 4 3" xfId="28273" xr:uid="{00000000-0005-0000-0000-000093390000}"/>
    <cellStyle name="Calculation 24 4 4" xfId="28274" xr:uid="{00000000-0005-0000-0000-000094390000}"/>
    <cellStyle name="Calculation 24 5" xfId="10002" xr:uid="{00000000-0005-0000-0000-000095390000}"/>
    <cellStyle name="Calculation 24 5 2" xfId="10003" xr:uid="{00000000-0005-0000-0000-000096390000}"/>
    <cellStyle name="Calculation 24 5 3" xfId="28275" xr:uid="{00000000-0005-0000-0000-000097390000}"/>
    <cellStyle name="Calculation 24 5 4" xfId="28276" xr:uid="{00000000-0005-0000-0000-000098390000}"/>
    <cellStyle name="Calculation 24 6" xfId="10004" xr:uid="{00000000-0005-0000-0000-000099390000}"/>
    <cellStyle name="Calculation 24 6 2" xfId="10005" xr:uid="{00000000-0005-0000-0000-00009A390000}"/>
    <cellStyle name="Calculation 24 6 3" xfId="28277" xr:uid="{00000000-0005-0000-0000-00009B390000}"/>
    <cellStyle name="Calculation 24 6 4" xfId="28278" xr:uid="{00000000-0005-0000-0000-00009C390000}"/>
    <cellStyle name="Calculation 24 7" xfId="10006" xr:uid="{00000000-0005-0000-0000-00009D390000}"/>
    <cellStyle name="Calculation 24 7 2" xfId="10007" xr:uid="{00000000-0005-0000-0000-00009E390000}"/>
    <cellStyle name="Calculation 24 7 3" xfId="28279" xr:uid="{00000000-0005-0000-0000-00009F390000}"/>
    <cellStyle name="Calculation 24 7 4" xfId="28280" xr:uid="{00000000-0005-0000-0000-0000A0390000}"/>
    <cellStyle name="Calculation 24 8" xfId="10008" xr:uid="{00000000-0005-0000-0000-0000A1390000}"/>
    <cellStyle name="Calculation 24 9" xfId="28281" xr:uid="{00000000-0005-0000-0000-0000A2390000}"/>
    <cellStyle name="Calculation 25" xfId="10009" xr:uid="{00000000-0005-0000-0000-0000A3390000}"/>
    <cellStyle name="Calculation 25 10" xfId="28282" xr:uid="{00000000-0005-0000-0000-0000A4390000}"/>
    <cellStyle name="Calculation 25 2" xfId="10010" xr:uid="{00000000-0005-0000-0000-0000A5390000}"/>
    <cellStyle name="Calculation 25 2 2" xfId="10011" xr:uid="{00000000-0005-0000-0000-0000A6390000}"/>
    <cellStyle name="Calculation 25 2 3" xfId="28283" xr:uid="{00000000-0005-0000-0000-0000A7390000}"/>
    <cellStyle name="Calculation 25 2 4" xfId="28284" xr:uid="{00000000-0005-0000-0000-0000A8390000}"/>
    <cellStyle name="Calculation 25 3" xfId="10012" xr:uid="{00000000-0005-0000-0000-0000A9390000}"/>
    <cellStyle name="Calculation 25 3 2" xfId="10013" xr:uid="{00000000-0005-0000-0000-0000AA390000}"/>
    <cellStyle name="Calculation 25 3 3" xfId="28285" xr:uid="{00000000-0005-0000-0000-0000AB390000}"/>
    <cellStyle name="Calculation 25 3 4" xfId="28286" xr:uid="{00000000-0005-0000-0000-0000AC390000}"/>
    <cellStyle name="Calculation 25 4" xfId="10014" xr:uid="{00000000-0005-0000-0000-0000AD390000}"/>
    <cellStyle name="Calculation 25 4 2" xfId="10015" xr:uid="{00000000-0005-0000-0000-0000AE390000}"/>
    <cellStyle name="Calculation 25 4 3" xfId="28287" xr:uid="{00000000-0005-0000-0000-0000AF390000}"/>
    <cellStyle name="Calculation 25 4 4" xfId="28288" xr:uid="{00000000-0005-0000-0000-0000B0390000}"/>
    <cellStyle name="Calculation 25 5" xfId="10016" xr:uid="{00000000-0005-0000-0000-0000B1390000}"/>
    <cellStyle name="Calculation 25 5 2" xfId="10017" xr:uid="{00000000-0005-0000-0000-0000B2390000}"/>
    <cellStyle name="Calculation 25 5 3" xfId="28289" xr:uid="{00000000-0005-0000-0000-0000B3390000}"/>
    <cellStyle name="Calculation 25 5 4" xfId="28290" xr:uid="{00000000-0005-0000-0000-0000B4390000}"/>
    <cellStyle name="Calculation 25 6" xfId="10018" xr:uid="{00000000-0005-0000-0000-0000B5390000}"/>
    <cellStyle name="Calculation 25 6 2" xfId="10019" xr:uid="{00000000-0005-0000-0000-0000B6390000}"/>
    <cellStyle name="Calculation 25 6 3" xfId="28291" xr:uid="{00000000-0005-0000-0000-0000B7390000}"/>
    <cellStyle name="Calculation 25 6 4" xfId="28292" xr:uid="{00000000-0005-0000-0000-0000B8390000}"/>
    <cellStyle name="Calculation 25 7" xfId="10020" xr:uid="{00000000-0005-0000-0000-0000B9390000}"/>
    <cellStyle name="Calculation 25 7 2" xfId="10021" xr:uid="{00000000-0005-0000-0000-0000BA390000}"/>
    <cellStyle name="Calculation 25 7 3" xfId="28293" xr:uid="{00000000-0005-0000-0000-0000BB390000}"/>
    <cellStyle name="Calculation 25 7 4" xfId="28294" xr:uid="{00000000-0005-0000-0000-0000BC390000}"/>
    <cellStyle name="Calculation 25 8" xfId="10022" xr:uid="{00000000-0005-0000-0000-0000BD390000}"/>
    <cellStyle name="Calculation 25 9" xfId="28295" xr:uid="{00000000-0005-0000-0000-0000BE390000}"/>
    <cellStyle name="Calculation 26" xfId="10023" xr:uid="{00000000-0005-0000-0000-0000BF390000}"/>
    <cellStyle name="Calculation 26 10" xfId="28296" xr:uid="{00000000-0005-0000-0000-0000C0390000}"/>
    <cellStyle name="Calculation 26 2" xfId="10024" xr:uid="{00000000-0005-0000-0000-0000C1390000}"/>
    <cellStyle name="Calculation 26 2 2" xfId="10025" xr:uid="{00000000-0005-0000-0000-0000C2390000}"/>
    <cellStyle name="Calculation 26 2 3" xfId="28297" xr:uid="{00000000-0005-0000-0000-0000C3390000}"/>
    <cellStyle name="Calculation 26 2 4" xfId="28298" xr:uid="{00000000-0005-0000-0000-0000C4390000}"/>
    <cellStyle name="Calculation 26 3" xfId="10026" xr:uid="{00000000-0005-0000-0000-0000C5390000}"/>
    <cellStyle name="Calculation 26 3 2" xfId="10027" xr:uid="{00000000-0005-0000-0000-0000C6390000}"/>
    <cellStyle name="Calculation 26 3 3" xfId="28299" xr:uid="{00000000-0005-0000-0000-0000C7390000}"/>
    <cellStyle name="Calculation 26 3 4" xfId="28300" xr:uid="{00000000-0005-0000-0000-0000C8390000}"/>
    <cellStyle name="Calculation 26 4" xfId="10028" xr:uid="{00000000-0005-0000-0000-0000C9390000}"/>
    <cellStyle name="Calculation 26 4 2" xfId="10029" xr:uid="{00000000-0005-0000-0000-0000CA390000}"/>
    <cellStyle name="Calculation 26 4 3" xfId="28301" xr:uid="{00000000-0005-0000-0000-0000CB390000}"/>
    <cellStyle name="Calculation 26 4 4" xfId="28302" xr:uid="{00000000-0005-0000-0000-0000CC390000}"/>
    <cellStyle name="Calculation 26 5" xfId="10030" xr:uid="{00000000-0005-0000-0000-0000CD390000}"/>
    <cellStyle name="Calculation 26 5 2" xfId="10031" xr:uid="{00000000-0005-0000-0000-0000CE390000}"/>
    <cellStyle name="Calculation 26 5 3" xfId="28303" xr:uid="{00000000-0005-0000-0000-0000CF390000}"/>
    <cellStyle name="Calculation 26 5 4" xfId="28304" xr:uid="{00000000-0005-0000-0000-0000D0390000}"/>
    <cellStyle name="Calculation 26 6" xfId="10032" xr:uid="{00000000-0005-0000-0000-0000D1390000}"/>
    <cellStyle name="Calculation 26 6 2" xfId="10033" xr:uid="{00000000-0005-0000-0000-0000D2390000}"/>
    <cellStyle name="Calculation 26 6 3" xfId="28305" xr:uid="{00000000-0005-0000-0000-0000D3390000}"/>
    <cellStyle name="Calculation 26 6 4" xfId="28306" xr:uid="{00000000-0005-0000-0000-0000D4390000}"/>
    <cellStyle name="Calculation 26 7" xfId="10034" xr:uid="{00000000-0005-0000-0000-0000D5390000}"/>
    <cellStyle name="Calculation 26 7 2" xfId="10035" xr:uid="{00000000-0005-0000-0000-0000D6390000}"/>
    <cellStyle name="Calculation 26 7 3" xfId="28307" xr:uid="{00000000-0005-0000-0000-0000D7390000}"/>
    <cellStyle name="Calculation 26 7 4" xfId="28308" xr:uid="{00000000-0005-0000-0000-0000D8390000}"/>
    <cellStyle name="Calculation 26 8" xfId="10036" xr:uid="{00000000-0005-0000-0000-0000D9390000}"/>
    <cellStyle name="Calculation 26 9" xfId="28309" xr:uid="{00000000-0005-0000-0000-0000DA390000}"/>
    <cellStyle name="Calculation 3" xfId="10037" xr:uid="{00000000-0005-0000-0000-0000DB390000}"/>
    <cellStyle name="Calculation 3 10" xfId="10038" xr:uid="{00000000-0005-0000-0000-0000DC390000}"/>
    <cellStyle name="Calculation 3 10 2" xfId="10039" xr:uid="{00000000-0005-0000-0000-0000DD390000}"/>
    <cellStyle name="Calculation 3 10 3" xfId="28310" xr:uid="{00000000-0005-0000-0000-0000DE390000}"/>
    <cellStyle name="Calculation 3 10 4" xfId="28311" xr:uid="{00000000-0005-0000-0000-0000DF390000}"/>
    <cellStyle name="Calculation 3 11" xfId="10040" xr:uid="{00000000-0005-0000-0000-0000E0390000}"/>
    <cellStyle name="Calculation 3 11 2" xfId="10041" xr:uid="{00000000-0005-0000-0000-0000E1390000}"/>
    <cellStyle name="Calculation 3 11 3" xfId="28312" xr:uid="{00000000-0005-0000-0000-0000E2390000}"/>
    <cellStyle name="Calculation 3 11 4" xfId="28313" xr:uid="{00000000-0005-0000-0000-0000E3390000}"/>
    <cellStyle name="Calculation 3 12" xfId="10042" xr:uid="{00000000-0005-0000-0000-0000E4390000}"/>
    <cellStyle name="Calculation 3 13" xfId="28314" xr:uid="{00000000-0005-0000-0000-0000E5390000}"/>
    <cellStyle name="Calculation 3 14" xfId="28315" xr:uid="{00000000-0005-0000-0000-0000E6390000}"/>
    <cellStyle name="Calculation 3 2" xfId="10043" xr:uid="{00000000-0005-0000-0000-0000E7390000}"/>
    <cellStyle name="Calculation 3 2 10" xfId="28316" xr:uid="{00000000-0005-0000-0000-0000E8390000}"/>
    <cellStyle name="Calculation 3 2 2" xfId="10044" xr:uid="{00000000-0005-0000-0000-0000E9390000}"/>
    <cellStyle name="Calculation 3 2 2 2" xfId="10045" xr:uid="{00000000-0005-0000-0000-0000EA390000}"/>
    <cellStyle name="Calculation 3 2 2 3" xfId="28317" xr:uid="{00000000-0005-0000-0000-0000EB390000}"/>
    <cellStyle name="Calculation 3 2 2 4" xfId="28318" xr:uid="{00000000-0005-0000-0000-0000EC390000}"/>
    <cellStyle name="Calculation 3 2 3" xfId="10046" xr:uid="{00000000-0005-0000-0000-0000ED390000}"/>
    <cellStyle name="Calculation 3 2 3 2" xfId="10047" xr:uid="{00000000-0005-0000-0000-0000EE390000}"/>
    <cellStyle name="Calculation 3 2 3 3" xfId="28319" xr:uid="{00000000-0005-0000-0000-0000EF390000}"/>
    <cellStyle name="Calculation 3 2 3 4" xfId="28320" xr:uid="{00000000-0005-0000-0000-0000F0390000}"/>
    <cellStyle name="Calculation 3 2 4" xfId="10048" xr:uid="{00000000-0005-0000-0000-0000F1390000}"/>
    <cellStyle name="Calculation 3 2 4 2" xfId="10049" xr:uid="{00000000-0005-0000-0000-0000F2390000}"/>
    <cellStyle name="Calculation 3 2 4 3" xfId="28321" xr:uid="{00000000-0005-0000-0000-0000F3390000}"/>
    <cellStyle name="Calculation 3 2 4 4" xfId="28322" xr:uid="{00000000-0005-0000-0000-0000F4390000}"/>
    <cellStyle name="Calculation 3 2 5" xfId="10050" xr:uid="{00000000-0005-0000-0000-0000F5390000}"/>
    <cellStyle name="Calculation 3 2 5 2" xfId="10051" xr:uid="{00000000-0005-0000-0000-0000F6390000}"/>
    <cellStyle name="Calculation 3 2 5 3" xfId="28323" xr:uid="{00000000-0005-0000-0000-0000F7390000}"/>
    <cellStyle name="Calculation 3 2 5 4" xfId="28324" xr:uid="{00000000-0005-0000-0000-0000F8390000}"/>
    <cellStyle name="Calculation 3 2 6" xfId="10052" xr:uid="{00000000-0005-0000-0000-0000F9390000}"/>
    <cellStyle name="Calculation 3 2 6 2" xfId="10053" xr:uid="{00000000-0005-0000-0000-0000FA390000}"/>
    <cellStyle name="Calculation 3 2 6 3" xfId="28325" xr:uid="{00000000-0005-0000-0000-0000FB390000}"/>
    <cellStyle name="Calculation 3 2 6 4" xfId="28326" xr:uid="{00000000-0005-0000-0000-0000FC390000}"/>
    <cellStyle name="Calculation 3 2 7" xfId="10054" xr:uid="{00000000-0005-0000-0000-0000FD390000}"/>
    <cellStyle name="Calculation 3 2 7 2" xfId="10055" xr:uid="{00000000-0005-0000-0000-0000FE390000}"/>
    <cellStyle name="Calculation 3 2 7 3" xfId="28327" xr:uid="{00000000-0005-0000-0000-0000FF390000}"/>
    <cellStyle name="Calculation 3 2 7 4" xfId="28328" xr:uid="{00000000-0005-0000-0000-0000003A0000}"/>
    <cellStyle name="Calculation 3 2 8" xfId="10056" xr:uid="{00000000-0005-0000-0000-0000013A0000}"/>
    <cellStyle name="Calculation 3 2 9" xfId="28329" xr:uid="{00000000-0005-0000-0000-0000023A0000}"/>
    <cellStyle name="Calculation 3 3" xfId="10057" xr:uid="{00000000-0005-0000-0000-0000033A0000}"/>
    <cellStyle name="Calculation 3 3 10" xfId="28330" xr:uid="{00000000-0005-0000-0000-0000043A0000}"/>
    <cellStyle name="Calculation 3 3 2" xfId="10058" xr:uid="{00000000-0005-0000-0000-0000053A0000}"/>
    <cellStyle name="Calculation 3 3 2 2" xfId="10059" xr:uid="{00000000-0005-0000-0000-0000063A0000}"/>
    <cellStyle name="Calculation 3 3 2 3" xfId="28331" xr:uid="{00000000-0005-0000-0000-0000073A0000}"/>
    <cellStyle name="Calculation 3 3 2 4" xfId="28332" xr:uid="{00000000-0005-0000-0000-0000083A0000}"/>
    <cellStyle name="Calculation 3 3 3" xfId="10060" xr:uid="{00000000-0005-0000-0000-0000093A0000}"/>
    <cellStyle name="Calculation 3 3 3 2" xfId="10061" xr:uid="{00000000-0005-0000-0000-00000A3A0000}"/>
    <cellStyle name="Calculation 3 3 3 3" xfId="28333" xr:uid="{00000000-0005-0000-0000-00000B3A0000}"/>
    <cellStyle name="Calculation 3 3 3 4" xfId="28334" xr:uid="{00000000-0005-0000-0000-00000C3A0000}"/>
    <cellStyle name="Calculation 3 3 4" xfId="10062" xr:uid="{00000000-0005-0000-0000-00000D3A0000}"/>
    <cellStyle name="Calculation 3 3 4 2" xfId="10063" xr:uid="{00000000-0005-0000-0000-00000E3A0000}"/>
    <cellStyle name="Calculation 3 3 4 3" xfId="28335" xr:uid="{00000000-0005-0000-0000-00000F3A0000}"/>
    <cellStyle name="Calculation 3 3 4 4" xfId="28336" xr:uid="{00000000-0005-0000-0000-0000103A0000}"/>
    <cellStyle name="Calculation 3 3 5" xfId="10064" xr:uid="{00000000-0005-0000-0000-0000113A0000}"/>
    <cellStyle name="Calculation 3 3 5 2" xfId="10065" xr:uid="{00000000-0005-0000-0000-0000123A0000}"/>
    <cellStyle name="Calculation 3 3 5 3" xfId="28337" xr:uid="{00000000-0005-0000-0000-0000133A0000}"/>
    <cellStyle name="Calculation 3 3 5 4" xfId="28338" xr:uid="{00000000-0005-0000-0000-0000143A0000}"/>
    <cellStyle name="Calculation 3 3 6" xfId="10066" xr:uid="{00000000-0005-0000-0000-0000153A0000}"/>
    <cellStyle name="Calculation 3 3 6 2" xfId="10067" xr:uid="{00000000-0005-0000-0000-0000163A0000}"/>
    <cellStyle name="Calculation 3 3 6 3" xfId="28339" xr:uid="{00000000-0005-0000-0000-0000173A0000}"/>
    <cellStyle name="Calculation 3 3 6 4" xfId="28340" xr:uid="{00000000-0005-0000-0000-0000183A0000}"/>
    <cellStyle name="Calculation 3 3 7" xfId="10068" xr:uid="{00000000-0005-0000-0000-0000193A0000}"/>
    <cellStyle name="Calculation 3 3 7 2" xfId="10069" xr:uid="{00000000-0005-0000-0000-00001A3A0000}"/>
    <cellStyle name="Calculation 3 3 7 3" xfId="28341" xr:uid="{00000000-0005-0000-0000-00001B3A0000}"/>
    <cellStyle name="Calculation 3 3 7 4" xfId="28342" xr:uid="{00000000-0005-0000-0000-00001C3A0000}"/>
    <cellStyle name="Calculation 3 3 8" xfId="10070" xr:uid="{00000000-0005-0000-0000-00001D3A0000}"/>
    <cellStyle name="Calculation 3 3 9" xfId="28343" xr:uid="{00000000-0005-0000-0000-00001E3A0000}"/>
    <cellStyle name="Calculation 3 4" xfId="10071" xr:uid="{00000000-0005-0000-0000-00001F3A0000}"/>
    <cellStyle name="Calculation 3 4 10" xfId="28344" xr:uid="{00000000-0005-0000-0000-0000203A0000}"/>
    <cellStyle name="Calculation 3 4 2" xfId="10072" xr:uid="{00000000-0005-0000-0000-0000213A0000}"/>
    <cellStyle name="Calculation 3 4 2 2" xfId="10073" xr:uid="{00000000-0005-0000-0000-0000223A0000}"/>
    <cellStyle name="Calculation 3 4 2 3" xfId="28345" xr:uid="{00000000-0005-0000-0000-0000233A0000}"/>
    <cellStyle name="Calculation 3 4 2 4" xfId="28346" xr:uid="{00000000-0005-0000-0000-0000243A0000}"/>
    <cellStyle name="Calculation 3 4 3" xfId="10074" xr:uid="{00000000-0005-0000-0000-0000253A0000}"/>
    <cellStyle name="Calculation 3 4 3 2" xfId="10075" xr:uid="{00000000-0005-0000-0000-0000263A0000}"/>
    <cellStyle name="Calculation 3 4 3 3" xfId="28347" xr:uid="{00000000-0005-0000-0000-0000273A0000}"/>
    <cellStyle name="Calculation 3 4 3 4" xfId="28348" xr:uid="{00000000-0005-0000-0000-0000283A0000}"/>
    <cellStyle name="Calculation 3 4 4" xfId="10076" xr:uid="{00000000-0005-0000-0000-0000293A0000}"/>
    <cellStyle name="Calculation 3 4 4 2" xfId="10077" xr:uid="{00000000-0005-0000-0000-00002A3A0000}"/>
    <cellStyle name="Calculation 3 4 4 3" xfId="28349" xr:uid="{00000000-0005-0000-0000-00002B3A0000}"/>
    <cellStyle name="Calculation 3 4 4 4" xfId="28350" xr:uid="{00000000-0005-0000-0000-00002C3A0000}"/>
    <cellStyle name="Calculation 3 4 5" xfId="10078" xr:uid="{00000000-0005-0000-0000-00002D3A0000}"/>
    <cellStyle name="Calculation 3 4 5 2" xfId="10079" xr:uid="{00000000-0005-0000-0000-00002E3A0000}"/>
    <cellStyle name="Calculation 3 4 5 3" xfId="28351" xr:uid="{00000000-0005-0000-0000-00002F3A0000}"/>
    <cellStyle name="Calculation 3 4 5 4" xfId="28352" xr:uid="{00000000-0005-0000-0000-0000303A0000}"/>
    <cellStyle name="Calculation 3 4 6" xfId="10080" xr:uid="{00000000-0005-0000-0000-0000313A0000}"/>
    <cellStyle name="Calculation 3 4 6 2" xfId="10081" xr:uid="{00000000-0005-0000-0000-0000323A0000}"/>
    <cellStyle name="Calculation 3 4 6 3" xfId="28353" xr:uid="{00000000-0005-0000-0000-0000333A0000}"/>
    <cellStyle name="Calculation 3 4 6 4" xfId="28354" xr:uid="{00000000-0005-0000-0000-0000343A0000}"/>
    <cellStyle name="Calculation 3 4 7" xfId="10082" xr:uid="{00000000-0005-0000-0000-0000353A0000}"/>
    <cellStyle name="Calculation 3 4 7 2" xfId="10083" xr:uid="{00000000-0005-0000-0000-0000363A0000}"/>
    <cellStyle name="Calculation 3 4 7 3" xfId="28355" xr:uid="{00000000-0005-0000-0000-0000373A0000}"/>
    <cellStyle name="Calculation 3 4 7 4" xfId="28356" xr:uid="{00000000-0005-0000-0000-0000383A0000}"/>
    <cellStyle name="Calculation 3 4 8" xfId="10084" xr:uid="{00000000-0005-0000-0000-0000393A0000}"/>
    <cellStyle name="Calculation 3 4 9" xfId="28357" xr:uid="{00000000-0005-0000-0000-00003A3A0000}"/>
    <cellStyle name="Calculation 3 5" xfId="10085" xr:uid="{00000000-0005-0000-0000-00003B3A0000}"/>
    <cellStyle name="Calculation 3 5 10" xfId="28358" xr:uid="{00000000-0005-0000-0000-00003C3A0000}"/>
    <cellStyle name="Calculation 3 5 2" xfId="10086" xr:uid="{00000000-0005-0000-0000-00003D3A0000}"/>
    <cellStyle name="Calculation 3 5 2 2" xfId="10087" xr:uid="{00000000-0005-0000-0000-00003E3A0000}"/>
    <cellStyle name="Calculation 3 5 2 3" xfId="28359" xr:uid="{00000000-0005-0000-0000-00003F3A0000}"/>
    <cellStyle name="Calculation 3 5 2 4" xfId="28360" xr:uid="{00000000-0005-0000-0000-0000403A0000}"/>
    <cellStyle name="Calculation 3 5 3" xfId="10088" xr:uid="{00000000-0005-0000-0000-0000413A0000}"/>
    <cellStyle name="Calculation 3 5 3 2" xfId="10089" xr:uid="{00000000-0005-0000-0000-0000423A0000}"/>
    <cellStyle name="Calculation 3 5 3 3" xfId="28361" xr:uid="{00000000-0005-0000-0000-0000433A0000}"/>
    <cellStyle name="Calculation 3 5 3 4" xfId="28362" xr:uid="{00000000-0005-0000-0000-0000443A0000}"/>
    <cellStyle name="Calculation 3 5 4" xfId="10090" xr:uid="{00000000-0005-0000-0000-0000453A0000}"/>
    <cellStyle name="Calculation 3 5 4 2" xfId="10091" xr:uid="{00000000-0005-0000-0000-0000463A0000}"/>
    <cellStyle name="Calculation 3 5 4 3" xfId="28363" xr:uid="{00000000-0005-0000-0000-0000473A0000}"/>
    <cellStyle name="Calculation 3 5 4 4" xfId="28364" xr:uid="{00000000-0005-0000-0000-0000483A0000}"/>
    <cellStyle name="Calculation 3 5 5" xfId="10092" xr:uid="{00000000-0005-0000-0000-0000493A0000}"/>
    <cellStyle name="Calculation 3 5 5 2" xfId="10093" xr:uid="{00000000-0005-0000-0000-00004A3A0000}"/>
    <cellStyle name="Calculation 3 5 5 3" xfId="28365" xr:uid="{00000000-0005-0000-0000-00004B3A0000}"/>
    <cellStyle name="Calculation 3 5 5 4" xfId="28366" xr:uid="{00000000-0005-0000-0000-00004C3A0000}"/>
    <cellStyle name="Calculation 3 5 6" xfId="10094" xr:uid="{00000000-0005-0000-0000-00004D3A0000}"/>
    <cellStyle name="Calculation 3 5 6 2" xfId="10095" xr:uid="{00000000-0005-0000-0000-00004E3A0000}"/>
    <cellStyle name="Calculation 3 5 6 3" xfId="28367" xr:uid="{00000000-0005-0000-0000-00004F3A0000}"/>
    <cellStyle name="Calculation 3 5 6 4" xfId="28368" xr:uid="{00000000-0005-0000-0000-0000503A0000}"/>
    <cellStyle name="Calculation 3 5 7" xfId="10096" xr:uid="{00000000-0005-0000-0000-0000513A0000}"/>
    <cellStyle name="Calculation 3 5 7 2" xfId="10097" xr:uid="{00000000-0005-0000-0000-0000523A0000}"/>
    <cellStyle name="Calculation 3 5 7 3" xfId="28369" xr:uid="{00000000-0005-0000-0000-0000533A0000}"/>
    <cellStyle name="Calculation 3 5 7 4" xfId="28370" xr:uid="{00000000-0005-0000-0000-0000543A0000}"/>
    <cellStyle name="Calculation 3 5 8" xfId="10098" xr:uid="{00000000-0005-0000-0000-0000553A0000}"/>
    <cellStyle name="Calculation 3 5 9" xfId="28371" xr:uid="{00000000-0005-0000-0000-0000563A0000}"/>
    <cellStyle name="Calculation 3 6" xfId="10099" xr:uid="{00000000-0005-0000-0000-0000573A0000}"/>
    <cellStyle name="Calculation 3 6 2" xfId="10100" xr:uid="{00000000-0005-0000-0000-0000583A0000}"/>
    <cellStyle name="Calculation 3 6 3" xfId="28372" xr:uid="{00000000-0005-0000-0000-0000593A0000}"/>
    <cellStyle name="Calculation 3 6 4" xfId="28373" xr:uid="{00000000-0005-0000-0000-00005A3A0000}"/>
    <cellStyle name="Calculation 3 7" xfId="10101" xr:uid="{00000000-0005-0000-0000-00005B3A0000}"/>
    <cellStyle name="Calculation 3 7 2" xfId="10102" xr:uid="{00000000-0005-0000-0000-00005C3A0000}"/>
    <cellStyle name="Calculation 3 7 3" xfId="28374" xr:uid="{00000000-0005-0000-0000-00005D3A0000}"/>
    <cellStyle name="Calculation 3 7 4" xfId="28375" xr:uid="{00000000-0005-0000-0000-00005E3A0000}"/>
    <cellStyle name="Calculation 3 8" xfId="10103" xr:uid="{00000000-0005-0000-0000-00005F3A0000}"/>
    <cellStyle name="Calculation 3 8 2" xfId="10104" xr:uid="{00000000-0005-0000-0000-0000603A0000}"/>
    <cellStyle name="Calculation 3 8 3" xfId="28376" xr:uid="{00000000-0005-0000-0000-0000613A0000}"/>
    <cellStyle name="Calculation 3 8 4" xfId="28377" xr:uid="{00000000-0005-0000-0000-0000623A0000}"/>
    <cellStyle name="Calculation 3 9" xfId="10105" xr:uid="{00000000-0005-0000-0000-0000633A0000}"/>
    <cellStyle name="Calculation 3 9 2" xfId="10106" xr:uid="{00000000-0005-0000-0000-0000643A0000}"/>
    <cellStyle name="Calculation 3 9 3" xfId="28378" xr:uid="{00000000-0005-0000-0000-0000653A0000}"/>
    <cellStyle name="Calculation 3 9 4" xfId="28379" xr:uid="{00000000-0005-0000-0000-0000663A0000}"/>
    <cellStyle name="Calculation 4" xfId="10107" xr:uid="{00000000-0005-0000-0000-0000673A0000}"/>
    <cellStyle name="Calculation 4 10" xfId="10108" xr:uid="{00000000-0005-0000-0000-0000683A0000}"/>
    <cellStyle name="Calculation 4 10 2" xfId="10109" xr:uid="{00000000-0005-0000-0000-0000693A0000}"/>
    <cellStyle name="Calculation 4 10 3" xfId="28380" xr:uid="{00000000-0005-0000-0000-00006A3A0000}"/>
    <cellStyle name="Calculation 4 10 4" xfId="28381" xr:uid="{00000000-0005-0000-0000-00006B3A0000}"/>
    <cellStyle name="Calculation 4 11" xfId="10110" xr:uid="{00000000-0005-0000-0000-00006C3A0000}"/>
    <cellStyle name="Calculation 4 11 2" xfId="10111" xr:uid="{00000000-0005-0000-0000-00006D3A0000}"/>
    <cellStyle name="Calculation 4 11 3" xfId="28382" xr:uid="{00000000-0005-0000-0000-00006E3A0000}"/>
    <cellStyle name="Calculation 4 11 4" xfId="28383" xr:uid="{00000000-0005-0000-0000-00006F3A0000}"/>
    <cellStyle name="Calculation 4 12" xfId="10112" xr:uid="{00000000-0005-0000-0000-0000703A0000}"/>
    <cellStyle name="Calculation 4 13" xfId="28384" xr:uid="{00000000-0005-0000-0000-0000713A0000}"/>
    <cellStyle name="Calculation 4 14" xfId="28385" xr:uid="{00000000-0005-0000-0000-0000723A0000}"/>
    <cellStyle name="Calculation 4 2" xfId="10113" xr:uid="{00000000-0005-0000-0000-0000733A0000}"/>
    <cellStyle name="Calculation 4 2 10" xfId="28386" xr:uid="{00000000-0005-0000-0000-0000743A0000}"/>
    <cellStyle name="Calculation 4 2 2" xfId="10114" xr:uid="{00000000-0005-0000-0000-0000753A0000}"/>
    <cellStyle name="Calculation 4 2 2 2" xfId="10115" xr:uid="{00000000-0005-0000-0000-0000763A0000}"/>
    <cellStyle name="Calculation 4 2 2 3" xfId="28387" xr:uid="{00000000-0005-0000-0000-0000773A0000}"/>
    <cellStyle name="Calculation 4 2 2 4" xfId="28388" xr:uid="{00000000-0005-0000-0000-0000783A0000}"/>
    <cellStyle name="Calculation 4 2 3" xfId="10116" xr:uid="{00000000-0005-0000-0000-0000793A0000}"/>
    <cellStyle name="Calculation 4 2 3 2" xfId="10117" xr:uid="{00000000-0005-0000-0000-00007A3A0000}"/>
    <cellStyle name="Calculation 4 2 3 3" xfId="28389" xr:uid="{00000000-0005-0000-0000-00007B3A0000}"/>
    <cellStyle name="Calculation 4 2 3 4" xfId="28390" xr:uid="{00000000-0005-0000-0000-00007C3A0000}"/>
    <cellStyle name="Calculation 4 2 4" xfId="10118" xr:uid="{00000000-0005-0000-0000-00007D3A0000}"/>
    <cellStyle name="Calculation 4 2 4 2" xfId="10119" xr:uid="{00000000-0005-0000-0000-00007E3A0000}"/>
    <cellStyle name="Calculation 4 2 4 3" xfId="28391" xr:uid="{00000000-0005-0000-0000-00007F3A0000}"/>
    <cellStyle name="Calculation 4 2 4 4" xfId="28392" xr:uid="{00000000-0005-0000-0000-0000803A0000}"/>
    <cellStyle name="Calculation 4 2 5" xfId="10120" xr:uid="{00000000-0005-0000-0000-0000813A0000}"/>
    <cellStyle name="Calculation 4 2 5 2" xfId="10121" xr:uid="{00000000-0005-0000-0000-0000823A0000}"/>
    <cellStyle name="Calculation 4 2 5 3" xfId="28393" xr:uid="{00000000-0005-0000-0000-0000833A0000}"/>
    <cellStyle name="Calculation 4 2 5 4" xfId="28394" xr:uid="{00000000-0005-0000-0000-0000843A0000}"/>
    <cellStyle name="Calculation 4 2 6" xfId="10122" xr:uid="{00000000-0005-0000-0000-0000853A0000}"/>
    <cellStyle name="Calculation 4 2 6 2" xfId="10123" xr:uid="{00000000-0005-0000-0000-0000863A0000}"/>
    <cellStyle name="Calculation 4 2 6 3" xfId="28395" xr:uid="{00000000-0005-0000-0000-0000873A0000}"/>
    <cellStyle name="Calculation 4 2 6 4" xfId="28396" xr:uid="{00000000-0005-0000-0000-0000883A0000}"/>
    <cellStyle name="Calculation 4 2 7" xfId="10124" xr:uid="{00000000-0005-0000-0000-0000893A0000}"/>
    <cellStyle name="Calculation 4 2 7 2" xfId="10125" xr:uid="{00000000-0005-0000-0000-00008A3A0000}"/>
    <cellStyle name="Calculation 4 2 7 3" xfId="28397" xr:uid="{00000000-0005-0000-0000-00008B3A0000}"/>
    <cellStyle name="Calculation 4 2 7 4" xfId="28398" xr:uid="{00000000-0005-0000-0000-00008C3A0000}"/>
    <cellStyle name="Calculation 4 2 8" xfId="10126" xr:uid="{00000000-0005-0000-0000-00008D3A0000}"/>
    <cellStyle name="Calculation 4 2 9" xfId="28399" xr:uid="{00000000-0005-0000-0000-00008E3A0000}"/>
    <cellStyle name="Calculation 4 3" xfId="10127" xr:uid="{00000000-0005-0000-0000-00008F3A0000}"/>
    <cellStyle name="Calculation 4 3 10" xfId="28400" xr:uid="{00000000-0005-0000-0000-0000903A0000}"/>
    <cellStyle name="Calculation 4 3 2" xfId="10128" xr:uid="{00000000-0005-0000-0000-0000913A0000}"/>
    <cellStyle name="Calculation 4 3 2 2" xfId="10129" xr:uid="{00000000-0005-0000-0000-0000923A0000}"/>
    <cellStyle name="Calculation 4 3 2 3" xfId="28401" xr:uid="{00000000-0005-0000-0000-0000933A0000}"/>
    <cellStyle name="Calculation 4 3 2 4" xfId="28402" xr:uid="{00000000-0005-0000-0000-0000943A0000}"/>
    <cellStyle name="Calculation 4 3 3" xfId="10130" xr:uid="{00000000-0005-0000-0000-0000953A0000}"/>
    <cellStyle name="Calculation 4 3 3 2" xfId="10131" xr:uid="{00000000-0005-0000-0000-0000963A0000}"/>
    <cellStyle name="Calculation 4 3 3 3" xfId="28403" xr:uid="{00000000-0005-0000-0000-0000973A0000}"/>
    <cellStyle name="Calculation 4 3 3 4" xfId="28404" xr:uid="{00000000-0005-0000-0000-0000983A0000}"/>
    <cellStyle name="Calculation 4 3 4" xfId="10132" xr:uid="{00000000-0005-0000-0000-0000993A0000}"/>
    <cellStyle name="Calculation 4 3 4 2" xfId="10133" xr:uid="{00000000-0005-0000-0000-00009A3A0000}"/>
    <cellStyle name="Calculation 4 3 4 3" xfId="28405" xr:uid="{00000000-0005-0000-0000-00009B3A0000}"/>
    <cellStyle name="Calculation 4 3 4 4" xfId="28406" xr:uid="{00000000-0005-0000-0000-00009C3A0000}"/>
    <cellStyle name="Calculation 4 3 5" xfId="10134" xr:uid="{00000000-0005-0000-0000-00009D3A0000}"/>
    <cellStyle name="Calculation 4 3 5 2" xfId="10135" xr:uid="{00000000-0005-0000-0000-00009E3A0000}"/>
    <cellStyle name="Calculation 4 3 5 3" xfId="28407" xr:uid="{00000000-0005-0000-0000-00009F3A0000}"/>
    <cellStyle name="Calculation 4 3 5 4" xfId="28408" xr:uid="{00000000-0005-0000-0000-0000A03A0000}"/>
    <cellStyle name="Calculation 4 3 6" xfId="10136" xr:uid="{00000000-0005-0000-0000-0000A13A0000}"/>
    <cellStyle name="Calculation 4 3 6 2" xfId="10137" xr:uid="{00000000-0005-0000-0000-0000A23A0000}"/>
    <cellStyle name="Calculation 4 3 6 3" xfId="28409" xr:uid="{00000000-0005-0000-0000-0000A33A0000}"/>
    <cellStyle name="Calculation 4 3 6 4" xfId="28410" xr:uid="{00000000-0005-0000-0000-0000A43A0000}"/>
    <cellStyle name="Calculation 4 3 7" xfId="10138" xr:uid="{00000000-0005-0000-0000-0000A53A0000}"/>
    <cellStyle name="Calculation 4 3 7 2" xfId="10139" xr:uid="{00000000-0005-0000-0000-0000A63A0000}"/>
    <cellStyle name="Calculation 4 3 7 3" xfId="28411" xr:uid="{00000000-0005-0000-0000-0000A73A0000}"/>
    <cellStyle name="Calculation 4 3 7 4" xfId="28412" xr:uid="{00000000-0005-0000-0000-0000A83A0000}"/>
    <cellStyle name="Calculation 4 3 8" xfId="10140" xr:uid="{00000000-0005-0000-0000-0000A93A0000}"/>
    <cellStyle name="Calculation 4 3 9" xfId="28413" xr:uid="{00000000-0005-0000-0000-0000AA3A0000}"/>
    <cellStyle name="Calculation 4 4" xfId="10141" xr:uid="{00000000-0005-0000-0000-0000AB3A0000}"/>
    <cellStyle name="Calculation 4 4 10" xfId="28414" xr:uid="{00000000-0005-0000-0000-0000AC3A0000}"/>
    <cellStyle name="Calculation 4 4 2" xfId="10142" xr:uid="{00000000-0005-0000-0000-0000AD3A0000}"/>
    <cellStyle name="Calculation 4 4 2 2" xfId="10143" xr:uid="{00000000-0005-0000-0000-0000AE3A0000}"/>
    <cellStyle name="Calculation 4 4 2 3" xfId="28415" xr:uid="{00000000-0005-0000-0000-0000AF3A0000}"/>
    <cellStyle name="Calculation 4 4 2 4" xfId="28416" xr:uid="{00000000-0005-0000-0000-0000B03A0000}"/>
    <cellStyle name="Calculation 4 4 3" xfId="10144" xr:uid="{00000000-0005-0000-0000-0000B13A0000}"/>
    <cellStyle name="Calculation 4 4 3 2" xfId="10145" xr:uid="{00000000-0005-0000-0000-0000B23A0000}"/>
    <cellStyle name="Calculation 4 4 3 3" xfId="28417" xr:uid="{00000000-0005-0000-0000-0000B33A0000}"/>
    <cellStyle name="Calculation 4 4 3 4" xfId="28418" xr:uid="{00000000-0005-0000-0000-0000B43A0000}"/>
    <cellStyle name="Calculation 4 4 4" xfId="10146" xr:uid="{00000000-0005-0000-0000-0000B53A0000}"/>
    <cellStyle name="Calculation 4 4 4 2" xfId="10147" xr:uid="{00000000-0005-0000-0000-0000B63A0000}"/>
    <cellStyle name="Calculation 4 4 4 3" xfId="28419" xr:uid="{00000000-0005-0000-0000-0000B73A0000}"/>
    <cellStyle name="Calculation 4 4 4 4" xfId="28420" xr:uid="{00000000-0005-0000-0000-0000B83A0000}"/>
    <cellStyle name="Calculation 4 4 5" xfId="10148" xr:uid="{00000000-0005-0000-0000-0000B93A0000}"/>
    <cellStyle name="Calculation 4 4 5 2" xfId="10149" xr:uid="{00000000-0005-0000-0000-0000BA3A0000}"/>
    <cellStyle name="Calculation 4 4 5 3" xfId="28421" xr:uid="{00000000-0005-0000-0000-0000BB3A0000}"/>
    <cellStyle name="Calculation 4 4 5 4" xfId="28422" xr:uid="{00000000-0005-0000-0000-0000BC3A0000}"/>
    <cellStyle name="Calculation 4 4 6" xfId="10150" xr:uid="{00000000-0005-0000-0000-0000BD3A0000}"/>
    <cellStyle name="Calculation 4 4 6 2" xfId="10151" xr:uid="{00000000-0005-0000-0000-0000BE3A0000}"/>
    <cellStyle name="Calculation 4 4 6 3" xfId="28423" xr:uid="{00000000-0005-0000-0000-0000BF3A0000}"/>
    <cellStyle name="Calculation 4 4 6 4" xfId="28424" xr:uid="{00000000-0005-0000-0000-0000C03A0000}"/>
    <cellStyle name="Calculation 4 4 7" xfId="10152" xr:uid="{00000000-0005-0000-0000-0000C13A0000}"/>
    <cellStyle name="Calculation 4 4 7 2" xfId="10153" xr:uid="{00000000-0005-0000-0000-0000C23A0000}"/>
    <cellStyle name="Calculation 4 4 7 3" xfId="28425" xr:uid="{00000000-0005-0000-0000-0000C33A0000}"/>
    <cellStyle name="Calculation 4 4 7 4" xfId="28426" xr:uid="{00000000-0005-0000-0000-0000C43A0000}"/>
    <cellStyle name="Calculation 4 4 8" xfId="10154" xr:uid="{00000000-0005-0000-0000-0000C53A0000}"/>
    <cellStyle name="Calculation 4 4 9" xfId="28427" xr:uid="{00000000-0005-0000-0000-0000C63A0000}"/>
    <cellStyle name="Calculation 4 5" xfId="10155" xr:uid="{00000000-0005-0000-0000-0000C73A0000}"/>
    <cellStyle name="Calculation 4 5 10" xfId="28428" xr:uid="{00000000-0005-0000-0000-0000C83A0000}"/>
    <cellStyle name="Calculation 4 5 2" xfId="10156" xr:uid="{00000000-0005-0000-0000-0000C93A0000}"/>
    <cellStyle name="Calculation 4 5 2 2" xfId="10157" xr:uid="{00000000-0005-0000-0000-0000CA3A0000}"/>
    <cellStyle name="Calculation 4 5 2 3" xfId="28429" xr:uid="{00000000-0005-0000-0000-0000CB3A0000}"/>
    <cellStyle name="Calculation 4 5 2 4" xfId="28430" xr:uid="{00000000-0005-0000-0000-0000CC3A0000}"/>
    <cellStyle name="Calculation 4 5 3" xfId="10158" xr:uid="{00000000-0005-0000-0000-0000CD3A0000}"/>
    <cellStyle name="Calculation 4 5 3 2" xfId="10159" xr:uid="{00000000-0005-0000-0000-0000CE3A0000}"/>
    <cellStyle name="Calculation 4 5 3 3" xfId="28431" xr:uid="{00000000-0005-0000-0000-0000CF3A0000}"/>
    <cellStyle name="Calculation 4 5 3 4" xfId="28432" xr:uid="{00000000-0005-0000-0000-0000D03A0000}"/>
    <cellStyle name="Calculation 4 5 4" xfId="10160" xr:uid="{00000000-0005-0000-0000-0000D13A0000}"/>
    <cellStyle name="Calculation 4 5 4 2" xfId="10161" xr:uid="{00000000-0005-0000-0000-0000D23A0000}"/>
    <cellStyle name="Calculation 4 5 4 3" xfId="28433" xr:uid="{00000000-0005-0000-0000-0000D33A0000}"/>
    <cellStyle name="Calculation 4 5 4 4" xfId="28434" xr:uid="{00000000-0005-0000-0000-0000D43A0000}"/>
    <cellStyle name="Calculation 4 5 5" xfId="10162" xr:uid="{00000000-0005-0000-0000-0000D53A0000}"/>
    <cellStyle name="Calculation 4 5 5 2" xfId="10163" xr:uid="{00000000-0005-0000-0000-0000D63A0000}"/>
    <cellStyle name="Calculation 4 5 5 3" xfId="28435" xr:uid="{00000000-0005-0000-0000-0000D73A0000}"/>
    <cellStyle name="Calculation 4 5 5 4" xfId="28436" xr:uid="{00000000-0005-0000-0000-0000D83A0000}"/>
    <cellStyle name="Calculation 4 5 6" xfId="10164" xr:uid="{00000000-0005-0000-0000-0000D93A0000}"/>
    <cellStyle name="Calculation 4 5 6 2" xfId="10165" xr:uid="{00000000-0005-0000-0000-0000DA3A0000}"/>
    <cellStyle name="Calculation 4 5 6 3" xfId="28437" xr:uid="{00000000-0005-0000-0000-0000DB3A0000}"/>
    <cellStyle name="Calculation 4 5 6 4" xfId="28438" xr:uid="{00000000-0005-0000-0000-0000DC3A0000}"/>
    <cellStyle name="Calculation 4 5 7" xfId="10166" xr:uid="{00000000-0005-0000-0000-0000DD3A0000}"/>
    <cellStyle name="Calculation 4 5 7 2" xfId="10167" xr:uid="{00000000-0005-0000-0000-0000DE3A0000}"/>
    <cellStyle name="Calculation 4 5 7 3" xfId="28439" xr:uid="{00000000-0005-0000-0000-0000DF3A0000}"/>
    <cellStyle name="Calculation 4 5 7 4" xfId="28440" xr:uid="{00000000-0005-0000-0000-0000E03A0000}"/>
    <cellStyle name="Calculation 4 5 8" xfId="10168" xr:uid="{00000000-0005-0000-0000-0000E13A0000}"/>
    <cellStyle name="Calculation 4 5 9" xfId="28441" xr:uid="{00000000-0005-0000-0000-0000E23A0000}"/>
    <cellStyle name="Calculation 4 6" xfId="10169" xr:uid="{00000000-0005-0000-0000-0000E33A0000}"/>
    <cellStyle name="Calculation 4 6 2" xfId="10170" xr:uid="{00000000-0005-0000-0000-0000E43A0000}"/>
    <cellStyle name="Calculation 4 6 3" xfId="28442" xr:uid="{00000000-0005-0000-0000-0000E53A0000}"/>
    <cellStyle name="Calculation 4 6 4" xfId="28443" xr:uid="{00000000-0005-0000-0000-0000E63A0000}"/>
    <cellStyle name="Calculation 4 7" xfId="10171" xr:uid="{00000000-0005-0000-0000-0000E73A0000}"/>
    <cellStyle name="Calculation 4 7 2" xfId="10172" xr:uid="{00000000-0005-0000-0000-0000E83A0000}"/>
    <cellStyle name="Calculation 4 7 3" xfId="28444" xr:uid="{00000000-0005-0000-0000-0000E93A0000}"/>
    <cellStyle name="Calculation 4 7 4" xfId="28445" xr:uid="{00000000-0005-0000-0000-0000EA3A0000}"/>
    <cellStyle name="Calculation 4 8" xfId="10173" xr:uid="{00000000-0005-0000-0000-0000EB3A0000}"/>
    <cellStyle name="Calculation 4 8 2" xfId="10174" xr:uid="{00000000-0005-0000-0000-0000EC3A0000}"/>
    <cellStyle name="Calculation 4 8 3" xfId="28446" xr:uid="{00000000-0005-0000-0000-0000ED3A0000}"/>
    <cellStyle name="Calculation 4 8 4" xfId="28447" xr:uid="{00000000-0005-0000-0000-0000EE3A0000}"/>
    <cellStyle name="Calculation 4 9" xfId="10175" xr:uid="{00000000-0005-0000-0000-0000EF3A0000}"/>
    <cellStyle name="Calculation 4 9 2" xfId="10176" xr:uid="{00000000-0005-0000-0000-0000F03A0000}"/>
    <cellStyle name="Calculation 4 9 3" xfId="28448" xr:uid="{00000000-0005-0000-0000-0000F13A0000}"/>
    <cellStyle name="Calculation 4 9 4" xfId="28449" xr:uid="{00000000-0005-0000-0000-0000F23A0000}"/>
    <cellStyle name="Calculation 5" xfId="10177" xr:uid="{00000000-0005-0000-0000-0000F33A0000}"/>
    <cellStyle name="Calculation 5 10" xfId="10178" xr:uid="{00000000-0005-0000-0000-0000F43A0000}"/>
    <cellStyle name="Calculation 5 10 2" xfId="10179" xr:uid="{00000000-0005-0000-0000-0000F53A0000}"/>
    <cellStyle name="Calculation 5 10 3" xfId="28450" xr:uid="{00000000-0005-0000-0000-0000F63A0000}"/>
    <cellStyle name="Calculation 5 10 4" xfId="28451" xr:uid="{00000000-0005-0000-0000-0000F73A0000}"/>
    <cellStyle name="Calculation 5 11" xfId="10180" xr:uid="{00000000-0005-0000-0000-0000F83A0000}"/>
    <cellStyle name="Calculation 5 11 2" xfId="10181" xr:uid="{00000000-0005-0000-0000-0000F93A0000}"/>
    <cellStyle name="Calculation 5 11 3" xfId="28452" xr:uid="{00000000-0005-0000-0000-0000FA3A0000}"/>
    <cellStyle name="Calculation 5 11 4" xfId="28453" xr:uid="{00000000-0005-0000-0000-0000FB3A0000}"/>
    <cellStyle name="Calculation 5 12" xfId="10182" xr:uid="{00000000-0005-0000-0000-0000FC3A0000}"/>
    <cellStyle name="Calculation 5 13" xfId="28454" xr:uid="{00000000-0005-0000-0000-0000FD3A0000}"/>
    <cellStyle name="Calculation 5 14" xfId="28455" xr:uid="{00000000-0005-0000-0000-0000FE3A0000}"/>
    <cellStyle name="Calculation 5 2" xfId="10183" xr:uid="{00000000-0005-0000-0000-0000FF3A0000}"/>
    <cellStyle name="Calculation 5 2 10" xfId="28456" xr:uid="{00000000-0005-0000-0000-0000003B0000}"/>
    <cellStyle name="Calculation 5 2 2" xfId="10184" xr:uid="{00000000-0005-0000-0000-0000013B0000}"/>
    <cellStyle name="Calculation 5 2 2 2" xfId="10185" xr:uid="{00000000-0005-0000-0000-0000023B0000}"/>
    <cellStyle name="Calculation 5 2 2 3" xfId="28457" xr:uid="{00000000-0005-0000-0000-0000033B0000}"/>
    <cellStyle name="Calculation 5 2 2 4" xfId="28458" xr:uid="{00000000-0005-0000-0000-0000043B0000}"/>
    <cellStyle name="Calculation 5 2 3" xfId="10186" xr:uid="{00000000-0005-0000-0000-0000053B0000}"/>
    <cellStyle name="Calculation 5 2 3 2" xfId="10187" xr:uid="{00000000-0005-0000-0000-0000063B0000}"/>
    <cellStyle name="Calculation 5 2 3 3" xfId="28459" xr:uid="{00000000-0005-0000-0000-0000073B0000}"/>
    <cellStyle name="Calculation 5 2 3 4" xfId="28460" xr:uid="{00000000-0005-0000-0000-0000083B0000}"/>
    <cellStyle name="Calculation 5 2 4" xfId="10188" xr:uid="{00000000-0005-0000-0000-0000093B0000}"/>
    <cellStyle name="Calculation 5 2 4 2" xfId="10189" xr:uid="{00000000-0005-0000-0000-00000A3B0000}"/>
    <cellStyle name="Calculation 5 2 4 3" xfId="28461" xr:uid="{00000000-0005-0000-0000-00000B3B0000}"/>
    <cellStyle name="Calculation 5 2 4 4" xfId="28462" xr:uid="{00000000-0005-0000-0000-00000C3B0000}"/>
    <cellStyle name="Calculation 5 2 5" xfId="10190" xr:uid="{00000000-0005-0000-0000-00000D3B0000}"/>
    <cellStyle name="Calculation 5 2 5 2" xfId="10191" xr:uid="{00000000-0005-0000-0000-00000E3B0000}"/>
    <cellStyle name="Calculation 5 2 5 3" xfId="28463" xr:uid="{00000000-0005-0000-0000-00000F3B0000}"/>
    <cellStyle name="Calculation 5 2 5 4" xfId="28464" xr:uid="{00000000-0005-0000-0000-0000103B0000}"/>
    <cellStyle name="Calculation 5 2 6" xfId="10192" xr:uid="{00000000-0005-0000-0000-0000113B0000}"/>
    <cellStyle name="Calculation 5 2 6 2" xfId="10193" xr:uid="{00000000-0005-0000-0000-0000123B0000}"/>
    <cellStyle name="Calculation 5 2 6 3" xfId="28465" xr:uid="{00000000-0005-0000-0000-0000133B0000}"/>
    <cellStyle name="Calculation 5 2 6 4" xfId="28466" xr:uid="{00000000-0005-0000-0000-0000143B0000}"/>
    <cellStyle name="Calculation 5 2 7" xfId="10194" xr:uid="{00000000-0005-0000-0000-0000153B0000}"/>
    <cellStyle name="Calculation 5 2 7 2" xfId="10195" xr:uid="{00000000-0005-0000-0000-0000163B0000}"/>
    <cellStyle name="Calculation 5 2 7 3" xfId="28467" xr:uid="{00000000-0005-0000-0000-0000173B0000}"/>
    <cellStyle name="Calculation 5 2 7 4" xfId="28468" xr:uid="{00000000-0005-0000-0000-0000183B0000}"/>
    <cellStyle name="Calculation 5 2 8" xfId="10196" xr:uid="{00000000-0005-0000-0000-0000193B0000}"/>
    <cellStyle name="Calculation 5 2 9" xfId="28469" xr:uid="{00000000-0005-0000-0000-00001A3B0000}"/>
    <cellStyle name="Calculation 5 3" xfId="10197" xr:uid="{00000000-0005-0000-0000-00001B3B0000}"/>
    <cellStyle name="Calculation 5 3 10" xfId="28470" xr:uid="{00000000-0005-0000-0000-00001C3B0000}"/>
    <cellStyle name="Calculation 5 3 2" xfId="10198" xr:uid="{00000000-0005-0000-0000-00001D3B0000}"/>
    <cellStyle name="Calculation 5 3 2 2" xfId="10199" xr:uid="{00000000-0005-0000-0000-00001E3B0000}"/>
    <cellStyle name="Calculation 5 3 2 3" xfId="28471" xr:uid="{00000000-0005-0000-0000-00001F3B0000}"/>
    <cellStyle name="Calculation 5 3 2 4" xfId="28472" xr:uid="{00000000-0005-0000-0000-0000203B0000}"/>
    <cellStyle name="Calculation 5 3 3" xfId="10200" xr:uid="{00000000-0005-0000-0000-0000213B0000}"/>
    <cellStyle name="Calculation 5 3 3 2" xfId="10201" xr:uid="{00000000-0005-0000-0000-0000223B0000}"/>
    <cellStyle name="Calculation 5 3 3 3" xfId="28473" xr:uid="{00000000-0005-0000-0000-0000233B0000}"/>
    <cellStyle name="Calculation 5 3 3 4" xfId="28474" xr:uid="{00000000-0005-0000-0000-0000243B0000}"/>
    <cellStyle name="Calculation 5 3 4" xfId="10202" xr:uid="{00000000-0005-0000-0000-0000253B0000}"/>
    <cellStyle name="Calculation 5 3 4 2" xfId="10203" xr:uid="{00000000-0005-0000-0000-0000263B0000}"/>
    <cellStyle name="Calculation 5 3 4 3" xfId="28475" xr:uid="{00000000-0005-0000-0000-0000273B0000}"/>
    <cellStyle name="Calculation 5 3 4 4" xfId="28476" xr:uid="{00000000-0005-0000-0000-0000283B0000}"/>
    <cellStyle name="Calculation 5 3 5" xfId="10204" xr:uid="{00000000-0005-0000-0000-0000293B0000}"/>
    <cellStyle name="Calculation 5 3 5 2" xfId="10205" xr:uid="{00000000-0005-0000-0000-00002A3B0000}"/>
    <cellStyle name="Calculation 5 3 5 3" xfId="28477" xr:uid="{00000000-0005-0000-0000-00002B3B0000}"/>
    <cellStyle name="Calculation 5 3 5 4" xfId="28478" xr:uid="{00000000-0005-0000-0000-00002C3B0000}"/>
    <cellStyle name="Calculation 5 3 6" xfId="10206" xr:uid="{00000000-0005-0000-0000-00002D3B0000}"/>
    <cellStyle name="Calculation 5 3 6 2" xfId="10207" xr:uid="{00000000-0005-0000-0000-00002E3B0000}"/>
    <cellStyle name="Calculation 5 3 6 3" xfId="28479" xr:uid="{00000000-0005-0000-0000-00002F3B0000}"/>
    <cellStyle name="Calculation 5 3 6 4" xfId="28480" xr:uid="{00000000-0005-0000-0000-0000303B0000}"/>
    <cellStyle name="Calculation 5 3 7" xfId="10208" xr:uid="{00000000-0005-0000-0000-0000313B0000}"/>
    <cellStyle name="Calculation 5 3 7 2" xfId="10209" xr:uid="{00000000-0005-0000-0000-0000323B0000}"/>
    <cellStyle name="Calculation 5 3 7 3" xfId="28481" xr:uid="{00000000-0005-0000-0000-0000333B0000}"/>
    <cellStyle name="Calculation 5 3 7 4" xfId="28482" xr:uid="{00000000-0005-0000-0000-0000343B0000}"/>
    <cellStyle name="Calculation 5 3 8" xfId="10210" xr:uid="{00000000-0005-0000-0000-0000353B0000}"/>
    <cellStyle name="Calculation 5 3 9" xfId="28483" xr:uid="{00000000-0005-0000-0000-0000363B0000}"/>
    <cellStyle name="Calculation 5 4" xfId="10211" xr:uid="{00000000-0005-0000-0000-0000373B0000}"/>
    <cellStyle name="Calculation 5 4 10" xfId="28484" xr:uid="{00000000-0005-0000-0000-0000383B0000}"/>
    <cellStyle name="Calculation 5 4 2" xfId="10212" xr:uid="{00000000-0005-0000-0000-0000393B0000}"/>
    <cellStyle name="Calculation 5 4 2 2" xfId="10213" xr:uid="{00000000-0005-0000-0000-00003A3B0000}"/>
    <cellStyle name="Calculation 5 4 2 3" xfId="28485" xr:uid="{00000000-0005-0000-0000-00003B3B0000}"/>
    <cellStyle name="Calculation 5 4 2 4" xfId="28486" xr:uid="{00000000-0005-0000-0000-00003C3B0000}"/>
    <cellStyle name="Calculation 5 4 3" xfId="10214" xr:uid="{00000000-0005-0000-0000-00003D3B0000}"/>
    <cellStyle name="Calculation 5 4 3 2" xfId="10215" xr:uid="{00000000-0005-0000-0000-00003E3B0000}"/>
    <cellStyle name="Calculation 5 4 3 3" xfId="28487" xr:uid="{00000000-0005-0000-0000-00003F3B0000}"/>
    <cellStyle name="Calculation 5 4 3 4" xfId="28488" xr:uid="{00000000-0005-0000-0000-0000403B0000}"/>
    <cellStyle name="Calculation 5 4 4" xfId="10216" xr:uid="{00000000-0005-0000-0000-0000413B0000}"/>
    <cellStyle name="Calculation 5 4 4 2" xfId="10217" xr:uid="{00000000-0005-0000-0000-0000423B0000}"/>
    <cellStyle name="Calculation 5 4 4 3" xfId="28489" xr:uid="{00000000-0005-0000-0000-0000433B0000}"/>
    <cellStyle name="Calculation 5 4 4 4" xfId="28490" xr:uid="{00000000-0005-0000-0000-0000443B0000}"/>
    <cellStyle name="Calculation 5 4 5" xfId="10218" xr:uid="{00000000-0005-0000-0000-0000453B0000}"/>
    <cellStyle name="Calculation 5 4 5 2" xfId="10219" xr:uid="{00000000-0005-0000-0000-0000463B0000}"/>
    <cellStyle name="Calculation 5 4 5 3" xfId="28491" xr:uid="{00000000-0005-0000-0000-0000473B0000}"/>
    <cellStyle name="Calculation 5 4 5 4" xfId="28492" xr:uid="{00000000-0005-0000-0000-0000483B0000}"/>
    <cellStyle name="Calculation 5 4 6" xfId="10220" xr:uid="{00000000-0005-0000-0000-0000493B0000}"/>
    <cellStyle name="Calculation 5 4 6 2" xfId="10221" xr:uid="{00000000-0005-0000-0000-00004A3B0000}"/>
    <cellStyle name="Calculation 5 4 6 3" xfId="28493" xr:uid="{00000000-0005-0000-0000-00004B3B0000}"/>
    <cellStyle name="Calculation 5 4 6 4" xfId="28494" xr:uid="{00000000-0005-0000-0000-00004C3B0000}"/>
    <cellStyle name="Calculation 5 4 7" xfId="10222" xr:uid="{00000000-0005-0000-0000-00004D3B0000}"/>
    <cellStyle name="Calculation 5 4 7 2" xfId="10223" xr:uid="{00000000-0005-0000-0000-00004E3B0000}"/>
    <cellStyle name="Calculation 5 4 7 3" xfId="28495" xr:uid="{00000000-0005-0000-0000-00004F3B0000}"/>
    <cellStyle name="Calculation 5 4 7 4" xfId="28496" xr:uid="{00000000-0005-0000-0000-0000503B0000}"/>
    <cellStyle name="Calculation 5 4 8" xfId="10224" xr:uid="{00000000-0005-0000-0000-0000513B0000}"/>
    <cellStyle name="Calculation 5 4 9" xfId="28497" xr:uid="{00000000-0005-0000-0000-0000523B0000}"/>
    <cellStyle name="Calculation 5 5" xfId="10225" xr:uid="{00000000-0005-0000-0000-0000533B0000}"/>
    <cellStyle name="Calculation 5 5 10" xfId="28498" xr:uid="{00000000-0005-0000-0000-0000543B0000}"/>
    <cellStyle name="Calculation 5 5 2" xfId="10226" xr:uid="{00000000-0005-0000-0000-0000553B0000}"/>
    <cellStyle name="Calculation 5 5 2 2" xfId="10227" xr:uid="{00000000-0005-0000-0000-0000563B0000}"/>
    <cellStyle name="Calculation 5 5 2 3" xfId="28499" xr:uid="{00000000-0005-0000-0000-0000573B0000}"/>
    <cellStyle name="Calculation 5 5 2 4" xfId="28500" xr:uid="{00000000-0005-0000-0000-0000583B0000}"/>
    <cellStyle name="Calculation 5 5 3" xfId="10228" xr:uid="{00000000-0005-0000-0000-0000593B0000}"/>
    <cellStyle name="Calculation 5 5 3 2" xfId="10229" xr:uid="{00000000-0005-0000-0000-00005A3B0000}"/>
    <cellStyle name="Calculation 5 5 3 3" xfId="28501" xr:uid="{00000000-0005-0000-0000-00005B3B0000}"/>
    <cellStyle name="Calculation 5 5 3 4" xfId="28502" xr:uid="{00000000-0005-0000-0000-00005C3B0000}"/>
    <cellStyle name="Calculation 5 5 4" xfId="10230" xr:uid="{00000000-0005-0000-0000-00005D3B0000}"/>
    <cellStyle name="Calculation 5 5 4 2" xfId="10231" xr:uid="{00000000-0005-0000-0000-00005E3B0000}"/>
    <cellStyle name="Calculation 5 5 4 3" xfId="28503" xr:uid="{00000000-0005-0000-0000-00005F3B0000}"/>
    <cellStyle name="Calculation 5 5 4 4" xfId="28504" xr:uid="{00000000-0005-0000-0000-0000603B0000}"/>
    <cellStyle name="Calculation 5 5 5" xfId="10232" xr:uid="{00000000-0005-0000-0000-0000613B0000}"/>
    <cellStyle name="Calculation 5 5 5 2" xfId="10233" xr:uid="{00000000-0005-0000-0000-0000623B0000}"/>
    <cellStyle name="Calculation 5 5 5 3" xfId="28505" xr:uid="{00000000-0005-0000-0000-0000633B0000}"/>
    <cellStyle name="Calculation 5 5 5 4" xfId="28506" xr:uid="{00000000-0005-0000-0000-0000643B0000}"/>
    <cellStyle name="Calculation 5 5 6" xfId="10234" xr:uid="{00000000-0005-0000-0000-0000653B0000}"/>
    <cellStyle name="Calculation 5 5 6 2" xfId="10235" xr:uid="{00000000-0005-0000-0000-0000663B0000}"/>
    <cellStyle name="Calculation 5 5 6 3" xfId="28507" xr:uid="{00000000-0005-0000-0000-0000673B0000}"/>
    <cellStyle name="Calculation 5 5 6 4" xfId="28508" xr:uid="{00000000-0005-0000-0000-0000683B0000}"/>
    <cellStyle name="Calculation 5 5 7" xfId="10236" xr:uid="{00000000-0005-0000-0000-0000693B0000}"/>
    <cellStyle name="Calculation 5 5 7 2" xfId="10237" xr:uid="{00000000-0005-0000-0000-00006A3B0000}"/>
    <cellStyle name="Calculation 5 5 7 3" xfId="28509" xr:uid="{00000000-0005-0000-0000-00006B3B0000}"/>
    <cellStyle name="Calculation 5 5 7 4" xfId="28510" xr:uid="{00000000-0005-0000-0000-00006C3B0000}"/>
    <cellStyle name="Calculation 5 5 8" xfId="10238" xr:uid="{00000000-0005-0000-0000-00006D3B0000}"/>
    <cellStyle name="Calculation 5 5 9" xfId="28511" xr:uid="{00000000-0005-0000-0000-00006E3B0000}"/>
    <cellStyle name="Calculation 5 6" xfId="10239" xr:uid="{00000000-0005-0000-0000-00006F3B0000}"/>
    <cellStyle name="Calculation 5 6 2" xfId="10240" xr:uid="{00000000-0005-0000-0000-0000703B0000}"/>
    <cellStyle name="Calculation 5 6 3" xfId="28512" xr:uid="{00000000-0005-0000-0000-0000713B0000}"/>
    <cellStyle name="Calculation 5 6 4" xfId="28513" xr:uid="{00000000-0005-0000-0000-0000723B0000}"/>
    <cellStyle name="Calculation 5 7" xfId="10241" xr:uid="{00000000-0005-0000-0000-0000733B0000}"/>
    <cellStyle name="Calculation 5 7 2" xfId="10242" xr:uid="{00000000-0005-0000-0000-0000743B0000}"/>
    <cellStyle name="Calculation 5 7 3" xfId="28514" xr:uid="{00000000-0005-0000-0000-0000753B0000}"/>
    <cellStyle name="Calculation 5 7 4" xfId="28515" xr:uid="{00000000-0005-0000-0000-0000763B0000}"/>
    <cellStyle name="Calculation 5 8" xfId="10243" xr:uid="{00000000-0005-0000-0000-0000773B0000}"/>
    <cellStyle name="Calculation 5 8 2" xfId="10244" xr:uid="{00000000-0005-0000-0000-0000783B0000}"/>
    <cellStyle name="Calculation 5 8 3" xfId="28516" xr:uid="{00000000-0005-0000-0000-0000793B0000}"/>
    <cellStyle name="Calculation 5 8 4" xfId="28517" xr:uid="{00000000-0005-0000-0000-00007A3B0000}"/>
    <cellStyle name="Calculation 5 9" xfId="10245" xr:uid="{00000000-0005-0000-0000-00007B3B0000}"/>
    <cellStyle name="Calculation 5 9 2" xfId="10246" xr:uid="{00000000-0005-0000-0000-00007C3B0000}"/>
    <cellStyle name="Calculation 5 9 3" xfId="28518" xr:uid="{00000000-0005-0000-0000-00007D3B0000}"/>
    <cellStyle name="Calculation 5 9 4" xfId="28519" xr:uid="{00000000-0005-0000-0000-00007E3B0000}"/>
    <cellStyle name="Calculation 6" xfId="10247" xr:uid="{00000000-0005-0000-0000-00007F3B0000}"/>
    <cellStyle name="Calculation 6 10" xfId="10248" xr:uid="{00000000-0005-0000-0000-0000803B0000}"/>
    <cellStyle name="Calculation 6 10 2" xfId="10249" xr:uid="{00000000-0005-0000-0000-0000813B0000}"/>
    <cellStyle name="Calculation 6 10 3" xfId="28520" xr:uid="{00000000-0005-0000-0000-0000823B0000}"/>
    <cellStyle name="Calculation 6 10 4" xfId="28521" xr:uid="{00000000-0005-0000-0000-0000833B0000}"/>
    <cellStyle name="Calculation 6 11" xfId="10250" xr:uid="{00000000-0005-0000-0000-0000843B0000}"/>
    <cellStyle name="Calculation 6 11 2" xfId="10251" xr:uid="{00000000-0005-0000-0000-0000853B0000}"/>
    <cellStyle name="Calculation 6 11 3" xfId="28522" xr:uid="{00000000-0005-0000-0000-0000863B0000}"/>
    <cellStyle name="Calculation 6 11 4" xfId="28523" xr:uid="{00000000-0005-0000-0000-0000873B0000}"/>
    <cellStyle name="Calculation 6 12" xfId="10252" xr:uid="{00000000-0005-0000-0000-0000883B0000}"/>
    <cellStyle name="Calculation 6 13" xfId="28524" xr:uid="{00000000-0005-0000-0000-0000893B0000}"/>
    <cellStyle name="Calculation 6 14" xfId="28525" xr:uid="{00000000-0005-0000-0000-00008A3B0000}"/>
    <cellStyle name="Calculation 6 2" xfId="10253" xr:uid="{00000000-0005-0000-0000-00008B3B0000}"/>
    <cellStyle name="Calculation 6 2 10" xfId="28526" xr:uid="{00000000-0005-0000-0000-00008C3B0000}"/>
    <cellStyle name="Calculation 6 2 2" xfId="10254" xr:uid="{00000000-0005-0000-0000-00008D3B0000}"/>
    <cellStyle name="Calculation 6 2 2 2" xfId="10255" xr:uid="{00000000-0005-0000-0000-00008E3B0000}"/>
    <cellStyle name="Calculation 6 2 2 3" xfId="28527" xr:uid="{00000000-0005-0000-0000-00008F3B0000}"/>
    <cellStyle name="Calculation 6 2 2 4" xfId="28528" xr:uid="{00000000-0005-0000-0000-0000903B0000}"/>
    <cellStyle name="Calculation 6 2 3" xfId="10256" xr:uid="{00000000-0005-0000-0000-0000913B0000}"/>
    <cellStyle name="Calculation 6 2 3 2" xfId="10257" xr:uid="{00000000-0005-0000-0000-0000923B0000}"/>
    <cellStyle name="Calculation 6 2 3 3" xfId="28529" xr:uid="{00000000-0005-0000-0000-0000933B0000}"/>
    <cellStyle name="Calculation 6 2 3 4" xfId="28530" xr:uid="{00000000-0005-0000-0000-0000943B0000}"/>
    <cellStyle name="Calculation 6 2 4" xfId="10258" xr:uid="{00000000-0005-0000-0000-0000953B0000}"/>
    <cellStyle name="Calculation 6 2 4 2" xfId="10259" xr:uid="{00000000-0005-0000-0000-0000963B0000}"/>
    <cellStyle name="Calculation 6 2 4 3" xfId="28531" xr:uid="{00000000-0005-0000-0000-0000973B0000}"/>
    <cellStyle name="Calculation 6 2 4 4" xfId="28532" xr:uid="{00000000-0005-0000-0000-0000983B0000}"/>
    <cellStyle name="Calculation 6 2 5" xfId="10260" xr:uid="{00000000-0005-0000-0000-0000993B0000}"/>
    <cellStyle name="Calculation 6 2 5 2" xfId="10261" xr:uid="{00000000-0005-0000-0000-00009A3B0000}"/>
    <cellStyle name="Calculation 6 2 5 3" xfId="28533" xr:uid="{00000000-0005-0000-0000-00009B3B0000}"/>
    <cellStyle name="Calculation 6 2 5 4" xfId="28534" xr:uid="{00000000-0005-0000-0000-00009C3B0000}"/>
    <cellStyle name="Calculation 6 2 6" xfId="10262" xr:uid="{00000000-0005-0000-0000-00009D3B0000}"/>
    <cellStyle name="Calculation 6 2 6 2" xfId="10263" xr:uid="{00000000-0005-0000-0000-00009E3B0000}"/>
    <cellStyle name="Calculation 6 2 6 3" xfId="28535" xr:uid="{00000000-0005-0000-0000-00009F3B0000}"/>
    <cellStyle name="Calculation 6 2 6 4" xfId="28536" xr:uid="{00000000-0005-0000-0000-0000A03B0000}"/>
    <cellStyle name="Calculation 6 2 7" xfId="10264" xr:uid="{00000000-0005-0000-0000-0000A13B0000}"/>
    <cellStyle name="Calculation 6 2 7 2" xfId="10265" xr:uid="{00000000-0005-0000-0000-0000A23B0000}"/>
    <cellStyle name="Calculation 6 2 7 3" xfId="28537" xr:uid="{00000000-0005-0000-0000-0000A33B0000}"/>
    <cellStyle name="Calculation 6 2 7 4" xfId="28538" xr:uid="{00000000-0005-0000-0000-0000A43B0000}"/>
    <cellStyle name="Calculation 6 2 8" xfId="10266" xr:uid="{00000000-0005-0000-0000-0000A53B0000}"/>
    <cellStyle name="Calculation 6 2 9" xfId="28539" xr:uid="{00000000-0005-0000-0000-0000A63B0000}"/>
    <cellStyle name="Calculation 6 3" xfId="10267" xr:uid="{00000000-0005-0000-0000-0000A73B0000}"/>
    <cellStyle name="Calculation 6 3 10" xfId="28540" xr:uid="{00000000-0005-0000-0000-0000A83B0000}"/>
    <cellStyle name="Calculation 6 3 2" xfId="10268" xr:uid="{00000000-0005-0000-0000-0000A93B0000}"/>
    <cellStyle name="Calculation 6 3 2 2" xfId="10269" xr:uid="{00000000-0005-0000-0000-0000AA3B0000}"/>
    <cellStyle name="Calculation 6 3 2 3" xfId="28541" xr:uid="{00000000-0005-0000-0000-0000AB3B0000}"/>
    <cellStyle name="Calculation 6 3 2 4" xfId="28542" xr:uid="{00000000-0005-0000-0000-0000AC3B0000}"/>
    <cellStyle name="Calculation 6 3 3" xfId="10270" xr:uid="{00000000-0005-0000-0000-0000AD3B0000}"/>
    <cellStyle name="Calculation 6 3 3 2" xfId="10271" xr:uid="{00000000-0005-0000-0000-0000AE3B0000}"/>
    <cellStyle name="Calculation 6 3 3 3" xfId="28543" xr:uid="{00000000-0005-0000-0000-0000AF3B0000}"/>
    <cellStyle name="Calculation 6 3 3 4" xfId="28544" xr:uid="{00000000-0005-0000-0000-0000B03B0000}"/>
    <cellStyle name="Calculation 6 3 4" xfId="10272" xr:uid="{00000000-0005-0000-0000-0000B13B0000}"/>
    <cellStyle name="Calculation 6 3 4 2" xfId="10273" xr:uid="{00000000-0005-0000-0000-0000B23B0000}"/>
    <cellStyle name="Calculation 6 3 4 3" xfId="28545" xr:uid="{00000000-0005-0000-0000-0000B33B0000}"/>
    <cellStyle name="Calculation 6 3 4 4" xfId="28546" xr:uid="{00000000-0005-0000-0000-0000B43B0000}"/>
    <cellStyle name="Calculation 6 3 5" xfId="10274" xr:uid="{00000000-0005-0000-0000-0000B53B0000}"/>
    <cellStyle name="Calculation 6 3 5 2" xfId="10275" xr:uid="{00000000-0005-0000-0000-0000B63B0000}"/>
    <cellStyle name="Calculation 6 3 5 3" xfId="28547" xr:uid="{00000000-0005-0000-0000-0000B73B0000}"/>
    <cellStyle name="Calculation 6 3 5 4" xfId="28548" xr:uid="{00000000-0005-0000-0000-0000B83B0000}"/>
    <cellStyle name="Calculation 6 3 6" xfId="10276" xr:uid="{00000000-0005-0000-0000-0000B93B0000}"/>
    <cellStyle name="Calculation 6 3 6 2" xfId="10277" xr:uid="{00000000-0005-0000-0000-0000BA3B0000}"/>
    <cellStyle name="Calculation 6 3 6 3" xfId="28549" xr:uid="{00000000-0005-0000-0000-0000BB3B0000}"/>
    <cellStyle name="Calculation 6 3 6 4" xfId="28550" xr:uid="{00000000-0005-0000-0000-0000BC3B0000}"/>
    <cellStyle name="Calculation 6 3 7" xfId="10278" xr:uid="{00000000-0005-0000-0000-0000BD3B0000}"/>
    <cellStyle name="Calculation 6 3 7 2" xfId="10279" xr:uid="{00000000-0005-0000-0000-0000BE3B0000}"/>
    <cellStyle name="Calculation 6 3 7 3" xfId="28551" xr:uid="{00000000-0005-0000-0000-0000BF3B0000}"/>
    <cellStyle name="Calculation 6 3 7 4" xfId="28552" xr:uid="{00000000-0005-0000-0000-0000C03B0000}"/>
    <cellStyle name="Calculation 6 3 8" xfId="10280" xr:uid="{00000000-0005-0000-0000-0000C13B0000}"/>
    <cellStyle name="Calculation 6 3 9" xfId="28553" xr:uid="{00000000-0005-0000-0000-0000C23B0000}"/>
    <cellStyle name="Calculation 6 4" xfId="10281" xr:uid="{00000000-0005-0000-0000-0000C33B0000}"/>
    <cellStyle name="Calculation 6 4 10" xfId="28554" xr:uid="{00000000-0005-0000-0000-0000C43B0000}"/>
    <cellStyle name="Calculation 6 4 2" xfId="10282" xr:uid="{00000000-0005-0000-0000-0000C53B0000}"/>
    <cellStyle name="Calculation 6 4 2 2" xfId="10283" xr:uid="{00000000-0005-0000-0000-0000C63B0000}"/>
    <cellStyle name="Calculation 6 4 2 3" xfId="28555" xr:uid="{00000000-0005-0000-0000-0000C73B0000}"/>
    <cellStyle name="Calculation 6 4 2 4" xfId="28556" xr:uid="{00000000-0005-0000-0000-0000C83B0000}"/>
    <cellStyle name="Calculation 6 4 3" xfId="10284" xr:uid="{00000000-0005-0000-0000-0000C93B0000}"/>
    <cellStyle name="Calculation 6 4 3 2" xfId="10285" xr:uid="{00000000-0005-0000-0000-0000CA3B0000}"/>
    <cellStyle name="Calculation 6 4 3 3" xfId="28557" xr:uid="{00000000-0005-0000-0000-0000CB3B0000}"/>
    <cellStyle name="Calculation 6 4 3 4" xfId="28558" xr:uid="{00000000-0005-0000-0000-0000CC3B0000}"/>
    <cellStyle name="Calculation 6 4 4" xfId="10286" xr:uid="{00000000-0005-0000-0000-0000CD3B0000}"/>
    <cellStyle name="Calculation 6 4 4 2" xfId="10287" xr:uid="{00000000-0005-0000-0000-0000CE3B0000}"/>
    <cellStyle name="Calculation 6 4 4 3" xfId="28559" xr:uid="{00000000-0005-0000-0000-0000CF3B0000}"/>
    <cellStyle name="Calculation 6 4 4 4" xfId="28560" xr:uid="{00000000-0005-0000-0000-0000D03B0000}"/>
    <cellStyle name="Calculation 6 4 5" xfId="10288" xr:uid="{00000000-0005-0000-0000-0000D13B0000}"/>
    <cellStyle name="Calculation 6 4 5 2" xfId="10289" xr:uid="{00000000-0005-0000-0000-0000D23B0000}"/>
    <cellStyle name="Calculation 6 4 5 3" xfId="28561" xr:uid="{00000000-0005-0000-0000-0000D33B0000}"/>
    <cellStyle name="Calculation 6 4 5 4" xfId="28562" xr:uid="{00000000-0005-0000-0000-0000D43B0000}"/>
    <cellStyle name="Calculation 6 4 6" xfId="10290" xr:uid="{00000000-0005-0000-0000-0000D53B0000}"/>
    <cellStyle name="Calculation 6 4 6 2" xfId="10291" xr:uid="{00000000-0005-0000-0000-0000D63B0000}"/>
    <cellStyle name="Calculation 6 4 6 3" xfId="28563" xr:uid="{00000000-0005-0000-0000-0000D73B0000}"/>
    <cellStyle name="Calculation 6 4 6 4" xfId="28564" xr:uid="{00000000-0005-0000-0000-0000D83B0000}"/>
    <cellStyle name="Calculation 6 4 7" xfId="10292" xr:uid="{00000000-0005-0000-0000-0000D93B0000}"/>
    <cellStyle name="Calculation 6 4 7 2" xfId="10293" xr:uid="{00000000-0005-0000-0000-0000DA3B0000}"/>
    <cellStyle name="Calculation 6 4 7 3" xfId="28565" xr:uid="{00000000-0005-0000-0000-0000DB3B0000}"/>
    <cellStyle name="Calculation 6 4 7 4" xfId="28566" xr:uid="{00000000-0005-0000-0000-0000DC3B0000}"/>
    <cellStyle name="Calculation 6 4 8" xfId="10294" xr:uid="{00000000-0005-0000-0000-0000DD3B0000}"/>
    <cellStyle name="Calculation 6 4 9" xfId="28567" xr:uid="{00000000-0005-0000-0000-0000DE3B0000}"/>
    <cellStyle name="Calculation 6 5" xfId="10295" xr:uid="{00000000-0005-0000-0000-0000DF3B0000}"/>
    <cellStyle name="Calculation 6 5 10" xfId="28568" xr:uid="{00000000-0005-0000-0000-0000E03B0000}"/>
    <cellStyle name="Calculation 6 5 2" xfId="10296" xr:uid="{00000000-0005-0000-0000-0000E13B0000}"/>
    <cellStyle name="Calculation 6 5 2 2" xfId="10297" xr:uid="{00000000-0005-0000-0000-0000E23B0000}"/>
    <cellStyle name="Calculation 6 5 2 3" xfId="28569" xr:uid="{00000000-0005-0000-0000-0000E33B0000}"/>
    <cellStyle name="Calculation 6 5 2 4" xfId="28570" xr:uid="{00000000-0005-0000-0000-0000E43B0000}"/>
    <cellStyle name="Calculation 6 5 3" xfId="10298" xr:uid="{00000000-0005-0000-0000-0000E53B0000}"/>
    <cellStyle name="Calculation 6 5 3 2" xfId="10299" xr:uid="{00000000-0005-0000-0000-0000E63B0000}"/>
    <cellStyle name="Calculation 6 5 3 3" xfId="28571" xr:uid="{00000000-0005-0000-0000-0000E73B0000}"/>
    <cellStyle name="Calculation 6 5 3 4" xfId="28572" xr:uid="{00000000-0005-0000-0000-0000E83B0000}"/>
    <cellStyle name="Calculation 6 5 4" xfId="10300" xr:uid="{00000000-0005-0000-0000-0000E93B0000}"/>
    <cellStyle name="Calculation 6 5 4 2" xfId="10301" xr:uid="{00000000-0005-0000-0000-0000EA3B0000}"/>
    <cellStyle name="Calculation 6 5 4 3" xfId="28573" xr:uid="{00000000-0005-0000-0000-0000EB3B0000}"/>
    <cellStyle name="Calculation 6 5 4 4" xfId="28574" xr:uid="{00000000-0005-0000-0000-0000EC3B0000}"/>
    <cellStyle name="Calculation 6 5 5" xfId="10302" xr:uid="{00000000-0005-0000-0000-0000ED3B0000}"/>
    <cellStyle name="Calculation 6 5 5 2" xfId="10303" xr:uid="{00000000-0005-0000-0000-0000EE3B0000}"/>
    <cellStyle name="Calculation 6 5 5 3" xfId="28575" xr:uid="{00000000-0005-0000-0000-0000EF3B0000}"/>
    <cellStyle name="Calculation 6 5 5 4" xfId="28576" xr:uid="{00000000-0005-0000-0000-0000F03B0000}"/>
    <cellStyle name="Calculation 6 5 6" xfId="10304" xr:uid="{00000000-0005-0000-0000-0000F13B0000}"/>
    <cellStyle name="Calculation 6 5 6 2" xfId="10305" xr:uid="{00000000-0005-0000-0000-0000F23B0000}"/>
    <cellStyle name="Calculation 6 5 6 3" xfId="28577" xr:uid="{00000000-0005-0000-0000-0000F33B0000}"/>
    <cellStyle name="Calculation 6 5 6 4" xfId="28578" xr:uid="{00000000-0005-0000-0000-0000F43B0000}"/>
    <cellStyle name="Calculation 6 5 7" xfId="10306" xr:uid="{00000000-0005-0000-0000-0000F53B0000}"/>
    <cellStyle name="Calculation 6 5 7 2" xfId="10307" xr:uid="{00000000-0005-0000-0000-0000F63B0000}"/>
    <cellStyle name="Calculation 6 5 7 3" xfId="28579" xr:uid="{00000000-0005-0000-0000-0000F73B0000}"/>
    <cellStyle name="Calculation 6 5 7 4" xfId="28580" xr:uid="{00000000-0005-0000-0000-0000F83B0000}"/>
    <cellStyle name="Calculation 6 5 8" xfId="10308" xr:uid="{00000000-0005-0000-0000-0000F93B0000}"/>
    <cellStyle name="Calculation 6 5 9" xfId="28581" xr:uid="{00000000-0005-0000-0000-0000FA3B0000}"/>
    <cellStyle name="Calculation 6 6" xfId="10309" xr:uid="{00000000-0005-0000-0000-0000FB3B0000}"/>
    <cellStyle name="Calculation 6 6 2" xfId="10310" xr:uid="{00000000-0005-0000-0000-0000FC3B0000}"/>
    <cellStyle name="Calculation 6 6 3" xfId="28582" xr:uid="{00000000-0005-0000-0000-0000FD3B0000}"/>
    <cellStyle name="Calculation 6 6 4" xfId="28583" xr:uid="{00000000-0005-0000-0000-0000FE3B0000}"/>
    <cellStyle name="Calculation 6 7" xfId="10311" xr:uid="{00000000-0005-0000-0000-0000FF3B0000}"/>
    <cellStyle name="Calculation 6 7 2" xfId="10312" xr:uid="{00000000-0005-0000-0000-0000003C0000}"/>
    <cellStyle name="Calculation 6 7 3" xfId="28584" xr:uid="{00000000-0005-0000-0000-0000013C0000}"/>
    <cellStyle name="Calculation 6 7 4" xfId="28585" xr:uid="{00000000-0005-0000-0000-0000023C0000}"/>
    <cellStyle name="Calculation 6 8" xfId="10313" xr:uid="{00000000-0005-0000-0000-0000033C0000}"/>
    <cellStyle name="Calculation 6 8 2" xfId="10314" xr:uid="{00000000-0005-0000-0000-0000043C0000}"/>
    <cellStyle name="Calculation 6 8 3" xfId="28586" xr:uid="{00000000-0005-0000-0000-0000053C0000}"/>
    <cellStyle name="Calculation 6 8 4" xfId="28587" xr:uid="{00000000-0005-0000-0000-0000063C0000}"/>
    <cellStyle name="Calculation 6 9" xfId="10315" xr:uid="{00000000-0005-0000-0000-0000073C0000}"/>
    <cellStyle name="Calculation 6 9 2" xfId="10316" xr:uid="{00000000-0005-0000-0000-0000083C0000}"/>
    <cellStyle name="Calculation 6 9 3" xfId="28588" xr:uid="{00000000-0005-0000-0000-0000093C0000}"/>
    <cellStyle name="Calculation 6 9 4" xfId="28589" xr:uid="{00000000-0005-0000-0000-00000A3C0000}"/>
    <cellStyle name="Calculation 7" xfId="10317" xr:uid="{00000000-0005-0000-0000-00000B3C0000}"/>
    <cellStyle name="Calculation 7 10" xfId="10318" xr:uid="{00000000-0005-0000-0000-00000C3C0000}"/>
    <cellStyle name="Calculation 7 10 2" xfId="10319" xr:uid="{00000000-0005-0000-0000-00000D3C0000}"/>
    <cellStyle name="Calculation 7 10 3" xfId="28590" xr:uid="{00000000-0005-0000-0000-00000E3C0000}"/>
    <cellStyle name="Calculation 7 10 4" xfId="28591" xr:uid="{00000000-0005-0000-0000-00000F3C0000}"/>
    <cellStyle name="Calculation 7 11" xfId="10320" xr:uid="{00000000-0005-0000-0000-0000103C0000}"/>
    <cellStyle name="Calculation 7 11 2" xfId="10321" xr:uid="{00000000-0005-0000-0000-0000113C0000}"/>
    <cellStyle name="Calculation 7 11 3" xfId="28592" xr:uid="{00000000-0005-0000-0000-0000123C0000}"/>
    <cellStyle name="Calculation 7 11 4" xfId="28593" xr:uid="{00000000-0005-0000-0000-0000133C0000}"/>
    <cellStyle name="Calculation 7 12" xfId="10322" xr:uid="{00000000-0005-0000-0000-0000143C0000}"/>
    <cellStyle name="Calculation 7 13" xfId="28594" xr:uid="{00000000-0005-0000-0000-0000153C0000}"/>
    <cellStyle name="Calculation 7 14" xfId="28595" xr:uid="{00000000-0005-0000-0000-0000163C0000}"/>
    <cellStyle name="Calculation 7 2" xfId="10323" xr:uid="{00000000-0005-0000-0000-0000173C0000}"/>
    <cellStyle name="Calculation 7 2 10" xfId="28596" xr:uid="{00000000-0005-0000-0000-0000183C0000}"/>
    <cellStyle name="Calculation 7 2 2" xfId="10324" xr:uid="{00000000-0005-0000-0000-0000193C0000}"/>
    <cellStyle name="Calculation 7 2 2 2" xfId="10325" xr:uid="{00000000-0005-0000-0000-00001A3C0000}"/>
    <cellStyle name="Calculation 7 2 2 3" xfId="28597" xr:uid="{00000000-0005-0000-0000-00001B3C0000}"/>
    <cellStyle name="Calculation 7 2 2 4" xfId="28598" xr:uid="{00000000-0005-0000-0000-00001C3C0000}"/>
    <cellStyle name="Calculation 7 2 3" xfId="10326" xr:uid="{00000000-0005-0000-0000-00001D3C0000}"/>
    <cellStyle name="Calculation 7 2 3 2" xfId="10327" xr:uid="{00000000-0005-0000-0000-00001E3C0000}"/>
    <cellStyle name="Calculation 7 2 3 3" xfId="28599" xr:uid="{00000000-0005-0000-0000-00001F3C0000}"/>
    <cellStyle name="Calculation 7 2 3 4" xfId="28600" xr:uid="{00000000-0005-0000-0000-0000203C0000}"/>
    <cellStyle name="Calculation 7 2 4" xfId="10328" xr:uid="{00000000-0005-0000-0000-0000213C0000}"/>
    <cellStyle name="Calculation 7 2 4 2" xfId="10329" xr:uid="{00000000-0005-0000-0000-0000223C0000}"/>
    <cellStyle name="Calculation 7 2 4 3" xfId="28601" xr:uid="{00000000-0005-0000-0000-0000233C0000}"/>
    <cellStyle name="Calculation 7 2 4 4" xfId="28602" xr:uid="{00000000-0005-0000-0000-0000243C0000}"/>
    <cellStyle name="Calculation 7 2 5" xfId="10330" xr:uid="{00000000-0005-0000-0000-0000253C0000}"/>
    <cellStyle name="Calculation 7 2 5 2" xfId="10331" xr:uid="{00000000-0005-0000-0000-0000263C0000}"/>
    <cellStyle name="Calculation 7 2 5 3" xfId="28603" xr:uid="{00000000-0005-0000-0000-0000273C0000}"/>
    <cellStyle name="Calculation 7 2 5 4" xfId="28604" xr:uid="{00000000-0005-0000-0000-0000283C0000}"/>
    <cellStyle name="Calculation 7 2 6" xfId="10332" xr:uid="{00000000-0005-0000-0000-0000293C0000}"/>
    <cellStyle name="Calculation 7 2 6 2" xfId="10333" xr:uid="{00000000-0005-0000-0000-00002A3C0000}"/>
    <cellStyle name="Calculation 7 2 6 3" xfId="28605" xr:uid="{00000000-0005-0000-0000-00002B3C0000}"/>
    <cellStyle name="Calculation 7 2 6 4" xfId="28606" xr:uid="{00000000-0005-0000-0000-00002C3C0000}"/>
    <cellStyle name="Calculation 7 2 7" xfId="10334" xr:uid="{00000000-0005-0000-0000-00002D3C0000}"/>
    <cellStyle name="Calculation 7 2 7 2" xfId="10335" xr:uid="{00000000-0005-0000-0000-00002E3C0000}"/>
    <cellStyle name="Calculation 7 2 7 3" xfId="28607" xr:uid="{00000000-0005-0000-0000-00002F3C0000}"/>
    <cellStyle name="Calculation 7 2 7 4" xfId="28608" xr:uid="{00000000-0005-0000-0000-0000303C0000}"/>
    <cellStyle name="Calculation 7 2 8" xfId="10336" xr:uid="{00000000-0005-0000-0000-0000313C0000}"/>
    <cellStyle name="Calculation 7 2 9" xfId="28609" xr:uid="{00000000-0005-0000-0000-0000323C0000}"/>
    <cellStyle name="Calculation 7 3" xfId="10337" xr:uid="{00000000-0005-0000-0000-0000333C0000}"/>
    <cellStyle name="Calculation 7 3 10" xfId="28610" xr:uid="{00000000-0005-0000-0000-0000343C0000}"/>
    <cellStyle name="Calculation 7 3 2" xfId="10338" xr:uid="{00000000-0005-0000-0000-0000353C0000}"/>
    <cellStyle name="Calculation 7 3 2 2" xfId="10339" xr:uid="{00000000-0005-0000-0000-0000363C0000}"/>
    <cellStyle name="Calculation 7 3 2 3" xfId="28611" xr:uid="{00000000-0005-0000-0000-0000373C0000}"/>
    <cellStyle name="Calculation 7 3 2 4" xfId="28612" xr:uid="{00000000-0005-0000-0000-0000383C0000}"/>
    <cellStyle name="Calculation 7 3 3" xfId="10340" xr:uid="{00000000-0005-0000-0000-0000393C0000}"/>
    <cellStyle name="Calculation 7 3 3 2" xfId="10341" xr:uid="{00000000-0005-0000-0000-00003A3C0000}"/>
    <cellStyle name="Calculation 7 3 3 3" xfId="28613" xr:uid="{00000000-0005-0000-0000-00003B3C0000}"/>
    <cellStyle name="Calculation 7 3 3 4" xfId="28614" xr:uid="{00000000-0005-0000-0000-00003C3C0000}"/>
    <cellStyle name="Calculation 7 3 4" xfId="10342" xr:uid="{00000000-0005-0000-0000-00003D3C0000}"/>
    <cellStyle name="Calculation 7 3 4 2" xfId="10343" xr:uid="{00000000-0005-0000-0000-00003E3C0000}"/>
    <cellStyle name="Calculation 7 3 4 3" xfId="28615" xr:uid="{00000000-0005-0000-0000-00003F3C0000}"/>
    <cellStyle name="Calculation 7 3 4 4" xfId="28616" xr:uid="{00000000-0005-0000-0000-0000403C0000}"/>
    <cellStyle name="Calculation 7 3 5" xfId="10344" xr:uid="{00000000-0005-0000-0000-0000413C0000}"/>
    <cellStyle name="Calculation 7 3 5 2" xfId="10345" xr:uid="{00000000-0005-0000-0000-0000423C0000}"/>
    <cellStyle name="Calculation 7 3 5 3" xfId="28617" xr:uid="{00000000-0005-0000-0000-0000433C0000}"/>
    <cellStyle name="Calculation 7 3 5 4" xfId="28618" xr:uid="{00000000-0005-0000-0000-0000443C0000}"/>
    <cellStyle name="Calculation 7 3 6" xfId="10346" xr:uid="{00000000-0005-0000-0000-0000453C0000}"/>
    <cellStyle name="Calculation 7 3 6 2" xfId="10347" xr:uid="{00000000-0005-0000-0000-0000463C0000}"/>
    <cellStyle name="Calculation 7 3 6 3" xfId="28619" xr:uid="{00000000-0005-0000-0000-0000473C0000}"/>
    <cellStyle name="Calculation 7 3 6 4" xfId="28620" xr:uid="{00000000-0005-0000-0000-0000483C0000}"/>
    <cellStyle name="Calculation 7 3 7" xfId="10348" xr:uid="{00000000-0005-0000-0000-0000493C0000}"/>
    <cellStyle name="Calculation 7 3 7 2" xfId="10349" xr:uid="{00000000-0005-0000-0000-00004A3C0000}"/>
    <cellStyle name="Calculation 7 3 7 3" xfId="28621" xr:uid="{00000000-0005-0000-0000-00004B3C0000}"/>
    <cellStyle name="Calculation 7 3 7 4" xfId="28622" xr:uid="{00000000-0005-0000-0000-00004C3C0000}"/>
    <cellStyle name="Calculation 7 3 8" xfId="10350" xr:uid="{00000000-0005-0000-0000-00004D3C0000}"/>
    <cellStyle name="Calculation 7 3 9" xfId="28623" xr:uid="{00000000-0005-0000-0000-00004E3C0000}"/>
    <cellStyle name="Calculation 7 4" xfId="10351" xr:uid="{00000000-0005-0000-0000-00004F3C0000}"/>
    <cellStyle name="Calculation 7 4 10" xfId="28624" xr:uid="{00000000-0005-0000-0000-0000503C0000}"/>
    <cellStyle name="Calculation 7 4 2" xfId="10352" xr:uid="{00000000-0005-0000-0000-0000513C0000}"/>
    <cellStyle name="Calculation 7 4 2 2" xfId="10353" xr:uid="{00000000-0005-0000-0000-0000523C0000}"/>
    <cellStyle name="Calculation 7 4 2 3" xfId="28625" xr:uid="{00000000-0005-0000-0000-0000533C0000}"/>
    <cellStyle name="Calculation 7 4 2 4" xfId="28626" xr:uid="{00000000-0005-0000-0000-0000543C0000}"/>
    <cellStyle name="Calculation 7 4 3" xfId="10354" xr:uid="{00000000-0005-0000-0000-0000553C0000}"/>
    <cellStyle name="Calculation 7 4 3 2" xfId="10355" xr:uid="{00000000-0005-0000-0000-0000563C0000}"/>
    <cellStyle name="Calculation 7 4 3 3" xfId="28627" xr:uid="{00000000-0005-0000-0000-0000573C0000}"/>
    <cellStyle name="Calculation 7 4 3 4" xfId="28628" xr:uid="{00000000-0005-0000-0000-0000583C0000}"/>
    <cellStyle name="Calculation 7 4 4" xfId="10356" xr:uid="{00000000-0005-0000-0000-0000593C0000}"/>
    <cellStyle name="Calculation 7 4 4 2" xfId="10357" xr:uid="{00000000-0005-0000-0000-00005A3C0000}"/>
    <cellStyle name="Calculation 7 4 4 3" xfId="28629" xr:uid="{00000000-0005-0000-0000-00005B3C0000}"/>
    <cellStyle name="Calculation 7 4 4 4" xfId="28630" xr:uid="{00000000-0005-0000-0000-00005C3C0000}"/>
    <cellStyle name="Calculation 7 4 5" xfId="10358" xr:uid="{00000000-0005-0000-0000-00005D3C0000}"/>
    <cellStyle name="Calculation 7 4 5 2" xfId="10359" xr:uid="{00000000-0005-0000-0000-00005E3C0000}"/>
    <cellStyle name="Calculation 7 4 5 3" xfId="28631" xr:uid="{00000000-0005-0000-0000-00005F3C0000}"/>
    <cellStyle name="Calculation 7 4 5 4" xfId="28632" xr:uid="{00000000-0005-0000-0000-0000603C0000}"/>
    <cellStyle name="Calculation 7 4 6" xfId="10360" xr:uid="{00000000-0005-0000-0000-0000613C0000}"/>
    <cellStyle name="Calculation 7 4 6 2" xfId="10361" xr:uid="{00000000-0005-0000-0000-0000623C0000}"/>
    <cellStyle name="Calculation 7 4 6 3" xfId="28633" xr:uid="{00000000-0005-0000-0000-0000633C0000}"/>
    <cellStyle name="Calculation 7 4 6 4" xfId="28634" xr:uid="{00000000-0005-0000-0000-0000643C0000}"/>
    <cellStyle name="Calculation 7 4 7" xfId="10362" xr:uid="{00000000-0005-0000-0000-0000653C0000}"/>
    <cellStyle name="Calculation 7 4 7 2" xfId="10363" xr:uid="{00000000-0005-0000-0000-0000663C0000}"/>
    <cellStyle name="Calculation 7 4 7 3" xfId="28635" xr:uid="{00000000-0005-0000-0000-0000673C0000}"/>
    <cellStyle name="Calculation 7 4 7 4" xfId="28636" xr:uid="{00000000-0005-0000-0000-0000683C0000}"/>
    <cellStyle name="Calculation 7 4 8" xfId="10364" xr:uid="{00000000-0005-0000-0000-0000693C0000}"/>
    <cellStyle name="Calculation 7 4 9" xfId="28637" xr:uid="{00000000-0005-0000-0000-00006A3C0000}"/>
    <cellStyle name="Calculation 7 5" xfId="10365" xr:uid="{00000000-0005-0000-0000-00006B3C0000}"/>
    <cellStyle name="Calculation 7 5 10" xfId="28638" xr:uid="{00000000-0005-0000-0000-00006C3C0000}"/>
    <cellStyle name="Calculation 7 5 2" xfId="10366" xr:uid="{00000000-0005-0000-0000-00006D3C0000}"/>
    <cellStyle name="Calculation 7 5 2 2" xfId="10367" xr:uid="{00000000-0005-0000-0000-00006E3C0000}"/>
    <cellStyle name="Calculation 7 5 2 3" xfId="28639" xr:uid="{00000000-0005-0000-0000-00006F3C0000}"/>
    <cellStyle name="Calculation 7 5 2 4" xfId="28640" xr:uid="{00000000-0005-0000-0000-0000703C0000}"/>
    <cellStyle name="Calculation 7 5 3" xfId="10368" xr:uid="{00000000-0005-0000-0000-0000713C0000}"/>
    <cellStyle name="Calculation 7 5 3 2" xfId="10369" xr:uid="{00000000-0005-0000-0000-0000723C0000}"/>
    <cellStyle name="Calculation 7 5 3 3" xfId="28641" xr:uid="{00000000-0005-0000-0000-0000733C0000}"/>
    <cellStyle name="Calculation 7 5 3 4" xfId="28642" xr:uid="{00000000-0005-0000-0000-0000743C0000}"/>
    <cellStyle name="Calculation 7 5 4" xfId="10370" xr:uid="{00000000-0005-0000-0000-0000753C0000}"/>
    <cellStyle name="Calculation 7 5 4 2" xfId="10371" xr:uid="{00000000-0005-0000-0000-0000763C0000}"/>
    <cellStyle name="Calculation 7 5 4 3" xfId="28643" xr:uid="{00000000-0005-0000-0000-0000773C0000}"/>
    <cellStyle name="Calculation 7 5 4 4" xfId="28644" xr:uid="{00000000-0005-0000-0000-0000783C0000}"/>
    <cellStyle name="Calculation 7 5 5" xfId="10372" xr:uid="{00000000-0005-0000-0000-0000793C0000}"/>
    <cellStyle name="Calculation 7 5 5 2" xfId="10373" xr:uid="{00000000-0005-0000-0000-00007A3C0000}"/>
    <cellStyle name="Calculation 7 5 5 3" xfId="28645" xr:uid="{00000000-0005-0000-0000-00007B3C0000}"/>
    <cellStyle name="Calculation 7 5 5 4" xfId="28646" xr:uid="{00000000-0005-0000-0000-00007C3C0000}"/>
    <cellStyle name="Calculation 7 5 6" xfId="10374" xr:uid="{00000000-0005-0000-0000-00007D3C0000}"/>
    <cellStyle name="Calculation 7 5 6 2" xfId="10375" xr:uid="{00000000-0005-0000-0000-00007E3C0000}"/>
    <cellStyle name="Calculation 7 5 6 3" xfId="28647" xr:uid="{00000000-0005-0000-0000-00007F3C0000}"/>
    <cellStyle name="Calculation 7 5 6 4" xfId="28648" xr:uid="{00000000-0005-0000-0000-0000803C0000}"/>
    <cellStyle name="Calculation 7 5 7" xfId="10376" xr:uid="{00000000-0005-0000-0000-0000813C0000}"/>
    <cellStyle name="Calculation 7 5 7 2" xfId="10377" xr:uid="{00000000-0005-0000-0000-0000823C0000}"/>
    <cellStyle name="Calculation 7 5 7 3" xfId="28649" xr:uid="{00000000-0005-0000-0000-0000833C0000}"/>
    <cellStyle name="Calculation 7 5 7 4" xfId="28650" xr:uid="{00000000-0005-0000-0000-0000843C0000}"/>
    <cellStyle name="Calculation 7 5 8" xfId="10378" xr:uid="{00000000-0005-0000-0000-0000853C0000}"/>
    <cellStyle name="Calculation 7 5 9" xfId="28651" xr:uid="{00000000-0005-0000-0000-0000863C0000}"/>
    <cellStyle name="Calculation 7 6" xfId="10379" xr:uid="{00000000-0005-0000-0000-0000873C0000}"/>
    <cellStyle name="Calculation 7 6 2" xfId="10380" xr:uid="{00000000-0005-0000-0000-0000883C0000}"/>
    <cellStyle name="Calculation 7 6 3" xfId="28652" xr:uid="{00000000-0005-0000-0000-0000893C0000}"/>
    <cellStyle name="Calculation 7 6 4" xfId="28653" xr:uid="{00000000-0005-0000-0000-00008A3C0000}"/>
    <cellStyle name="Calculation 7 7" xfId="10381" xr:uid="{00000000-0005-0000-0000-00008B3C0000}"/>
    <cellStyle name="Calculation 7 7 2" xfId="10382" xr:uid="{00000000-0005-0000-0000-00008C3C0000}"/>
    <cellStyle name="Calculation 7 7 3" xfId="28654" xr:uid="{00000000-0005-0000-0000-00008D3C0000}"/>
    <cellStyle name="Calculation 7 7 4" xfId="28655" xr:uid="{00000000-0005-0000-0000-00008E3C0000}"/>
    <cellStyle name="Calculation 7 8" xfId="10383" xr:uid="{00000000-0005-0000-0000-00008F3C0000}"/>
    <cellStyle name="Calculation 7 8 2" xfId="10384" xr:uid="{00000000-0005-0000-0000-0000903C0000}"/>
    <cellStyle name="Calculation 7 8 3" xfId="28656" xr:uid="{00000000-0005-0000-0000-0000913C0000}"/>
    <cellStyle name="Calculation 7 8 4" xfId="28657" xr:uid="{00000000-0005-0000-0000-0000923C0000}"/>
    <cellStyle name="Calculation 7 9" xfId="10385" xr:uid="{00000000-0005-0000-0000-0000933C0000}"/>
    <cellStyle name="Calculation 7 9 2" xfId="10386" xr:uid="{00000000-0005-0000-0000-0000943C0000}"/>
    <cellStyle name="Calculation 7 9 3" xfId="28658" xr:uid="{00000000-0005-0000-0000-0000953C0000}"/>
    <cellStyle name="Calculation 7 9 4" xfId="28659" xr:uid="{00000000-0005-0000-0000-0000963C0000}"/>
    <cellStyle name="Calculation 8" xfId="10387" xr:uid="{00000000-0005-0000-0000-0000973C0000}"/>
    <cellStyle name="Calculation 8 10" xfId="10388" xr:uid="{00000000-0005-0000-0000-0000983C0000}"/>
    <cellStyle name="Calculation 8 10 2" xfId="10389" xr:uid="{00000000-0005-0000-0000-0000993C0000}"/>
    <cellStyle name="Calculation 8 10 3" xfId="28660" xr:uid="{00000000-0005-0000-0000-00009A3C0000}"/>
    <cellStyle name="Calculation 8 10 4" xfId="28661" xr:uid="{00000000-0005-0000-0000-00009B3C0000}"/>
    <cellStyle name="Calculation 8 11" xfId="10390" xr:uid="{00000000-0005-0000-0000-00009C3C0000}"/>
    <cellStyle name="Calculation 8 11 2" xfId="10391" xr:uid="{00000000-0005-0000-0000-00009D3C0000}"/>
    <cellStyle name="Calculation 8 11 3" xfId="28662" xr:uid="{00000000-0005-0000-0000-00009E3C0000}"/>
    <cellStyle name="Calculation 8 11 4" xfId="28663" xr:uid="{00000000-0005-0000-0000-00009F3C0000}"/>
    <cellStyle name="Calculation 8 12" xfId="10392" xr:uid="{00000000-0005-0000-0000-0000A03C0000}"/>
    <cellStyle name="Calculation 8 13" xfId="28664" xr:uid="{00000000-0005-0000-0000-0000A13C0000}"/>
    <cellStyle name="Calculation 8 14" xfId="28665" xr:uid="{00000000-0005-0000-0000-0000A23C0000}"/>
    <cellStyle name="Calculation 8 2" xfId="10393" xr:uid="{00000000-0005-0000-0000-0000A33C0000}"/>
    <cellStyle name="Calculation 8 2 10" xfId="28666" xr:uid="{00000000-0005-0000-0000-0000A43C0000}"/>
    <cellStyle name="Calculation 8 2 2" xfId="10394" xr:uid="{00000000-0005-0000-0000-0000A53C0000}"/>
    <cellStyle name="Calculation 8 2 2 2" xfId="10395" xr:uid="{00000000-0005-0000-0000-0000A63C0000}"/>
    <cellStyle name="Calculation 8 2 2 3" xfId="28667" xr:uid="{00000000-0005-0000-0000-0000A73C0000}"/>
    <cellStyle name="Calculation 8 2 2 4" xfId="28668" xr:uid="{00000000-0005-0000-0000-0000A83C0000}"/>
    <cellStyle name="Calculation 8 2 3" xfId="10396" xr:uid="{00000000-0005-0000-0000-0000A93C0000}"/>
    <cellStyle name="Calculation 8 2 3 2" xfId="10397" xr:uid="{00000000-0005-0000-0000-0000AA3C0000}"/>
    <cellStyle name="Calculation 8 2 3 3" xfId="28669" xr:uid="{00000000-0005-0000-0000-0000AB3C0000}"/>
    <cellStyle name="Calculation 8 2 3 4" xfId="28670" xr:uid="{00000000-0005-0000-0000-0000AC3C0000}"/>
    <cellStyle name="Calculation 8 2 4" xfId="10398" xr:uid="{00000000-0005-0000-0000-0000AD3C0000}"/>
    <cellStyle name="Calculation 8 2 4 2" xfId="10399" xr:uid="{00000000-0005-0000-0000-0000AE3C0000}"/>
    <cellStyle name="Calculation 8 2 4 3" xfId="28671" xr:uid="{00000000-0005-0000-0000-0000AF3C0000}"/>
    <cellStyle name="Calculation 8 2 4 4" xfId="28672" xr:uid="{00000000-0005-0000-0000-0000B03C0000}"/>
    <cellStyle name="Calculation 8 2 5" xfId="10400" xr:uid="{00000000-0005-0000-0000-0000B13C0000}"/>
    <cellStyle name="Calculation 8 2 5 2" xfId="10401" xr:uid="{00000000-0005-0000-0000-0000B23C0000}"/>
    <cellStyle name="Calculation 8 2 5 3" xfId="28673" xr:uid="{00000000-0005-0000-0000-0000B33C0000}"/>
    <cellStyle name="Calculation 8 2 5 4" xfId="28674" xr:uid="{00000000-0005-0000-0000-0000B43C0000}"/>
    <cellStyle name="Calculation 8 2 6" xfId="10402" xr:uid="{00000000-0005-0000-0000-0000B53C0000}"/>
    <cellStyle name="Calculation 8 2 6 2" xfId="10403" xr:uid="{00000000-0005-0000-0000-0000B63C0000}"/>
    <cellStyle name="Calculation 8 2 6 3" xfId="28675" xr:uid="{00000000-0005-0000-0000-0000B73C0000}"/>
    <cellStyle name="Calculation 8 2 6 4" xfId="28676" xr:uid="{00000000-0005-0000-0000-0000B83C0000}"/>
    <cellStyle name="Calculation 8 2 7" xfId="10404" xr:uid="{00000000-0005-0000-0000-0000B93C0000}"/>
    <cellStyle name="Calculation 8 2 7 2" xfId="10405" xr:uid="{00000000-0005-0000-0000-0000BA3C0000}"/>
    <cellStyle name="Calculation 8 2 7 3" xfId="28677" xr:uid="{00000000-0005-0000-0000-0000BB3C0000}"/>
    <cellStyle name="Calculation 8 2 7 4" xfId="28678" xr:uid="{00000000-0005-0000-0000-0000BC3C0000}"/>
    <cellStyle name="Calculation 8 2 8" xfId="10406" xr:uid="{00000000-0005-0000-0000-0000BD3C0000}"/>
    <cellStyle name="Calculation 8 2 9" xfId="28679" xr:uid="{00000000-0005-0000-0000-0000BE3C0000}"/>
    <cellStyle name="Calculation 8 3" xfId="10407" xr:uid="{00000000-0005-0000-0000-0000BF3C0000}"/>
    <cellStyle name="Calculation 8 3 10" xfId="28680" xr:uid="{00000000-0005-0000-0000-0000C03C0000}"/>
    <cellStyle name="Calculation 8 3 2" xfId="10408" xr:uid="{00000000-0005-0000-0000-0000C13C0000}"/>
    <cellStyle name="Calculation 8 3 2 2" xfId="10409" xr:uid="{00000000-0005-0000-0000-0000C23C0000}"/>
    <cellStyle name="Calculation 8 3 2 3" xfId="28681" xr:uid="{00000000-0005-0000-0000-0000C33C0000}"/>
    <cellStyle name="Calculation 8 3 2 4" xfId="28682" xr:uid="{00000000-0005-0000-0000-0000C43C0000}"/>
    <cellStyle name="Calculation 8 3 3" xfId="10410" xr:uid="{00000000-0005-0000-0000-0000C53C0000}"/>
    <cellStyle name="Calculation 8 3 3 2" xfId="10411" xr:uid="{00000000-0005-0000-0000-0000C63C0000}"/>
    <cellStyle name="Calculation 8 3 3 3" xfId="28683" xr:uid="{00000000-0005-0000-0000-0000C73C0000}"/>
    <cellStyle name="Calculation 8 3 3 4" xfId="28684" xr:uid="{00000000-0005-0000-0000-0000C83C0000}"/>
    <cellStyle name="Calculation 8 3 4" xfId="10412" xr:uid="{00000000-0005-0000-0000-0000C93C0000}"/>
    <cellStyle name="Calculation 8 3 4 2" xfId="10413" xr:uid="{00000000-0005-0000-0000-0000CA3C0000}"/>
    <cellStyle name="Calculation 8 3 4 3" xfId="28685" xr:uid="{00000000-0005-0000-0000-0000CB3C0000}"/>
    <cellStyle name="Calculation 8 3 4 4" xfId="28686" xr:uid="{00000000-0005-0000-0000-0000CC3C0000}"/>
    <cellStyle name="Calculation 8 3 5" xfId="10414" xr:uid="{00000000-0005-0000-0000-0000CD3C0000}"/>
    <cellStyle name="Calculation 8 3 5 2" xfId="10415" xr:uid="{00000000-0005-0000-0000-0000CE3C0000}"/>
    <cellStyle name="Calculation 8 3 5 3" xfId="28687" xr:uid="{00000000-0005-0000-0000-0000CF3C0000}"/>
    <cellStyle name="Calculation 8 3 5 4" xfId="28688" xr:uid="{00000000-0005-0000-0000-0000D03C0000}"/>
    <cellStyle name="Calculation 8 3 6" xfId="10416" xr:uid="{00000000-0005-0000-0000-0000D13C0000}"/>
    <cellStyle name="Calculation 8 3 6 2" xfId="10417" xr:uid="{00000000-0005-0000-0000-0000D23C0000}"/>
    <cellStyle name="Calculation 8 3 6 3" xfId="28689" xr:uid="{00000000-0005-0000-0000-0000D33C0000}"/>
    <cellStyle name="Calculation 8 3 6 4" xfId="28690" xr:uid="{00000000-0005-0000-0000-0000D43C0000}"/>
    <cellStyle name="Calculation 8 3 7" xfId="10418" xr:uid="{00000000-0005-0000-0000-0000D53C0000}"/>
    <cellStyle name="Calculation 8 3 7 2" xfId="10419" xr:uid="{00000000-0005-0000-0000-0000D63C0000}"/>
    <cellStyle name="Calculation 8 3 7 3" xfId="28691" xr:uid="{00000000-0005-0000-0000-0000D73C0000}"/>
    <cellStyle name="Calculation 8 3 7 4" xfId="28692" xr:uid="{00000000-0005-0000-0000-0000D83C0000}"/>
    <cellStyle name="Calculation 8 3 8" xfId="10420" xr:uid="{00000000-0005-0000-0000-0000D93C0000}"/>
    <cellStyle name="Calculation 8 3 9" xfId="28693" xr:uid="{00000000-0005-0000-0000-0000DA3C0000}"/>
    <cellStyle name="Calculation 8 4" xfId="10421" xr:uid="{00000000-0005-0000-0000-0000DB3C0000}"/>
    <cellStyle name="Calculation 8 4 10" xfId="28694" xr:uid="{00000000-0005-0000-0000-0000DC3C0000}"/>
    <cellStyle name="Calculation 8 4 2" xfId="10422" xr:uid="{00000000-0005-0000-0000-0000DD3C0000}"/>
    <cellStyle name="Calculation 8 4 2 2" xfId="10423" xr:uid="{00000000-0005-0000-0000-0000DE3C0000}"/>
    <cellStyle name="Calculation 8 4 2 3" xfId="28695" xr:uid="{00000000-0005-0000-0000-0000DF3C0000}"/>
    <cellStyle name="Calculation 8 4 2 4" xfId="28696" xr:uid="{00000000-0005-0000-0000-0000E03C0000}"/>
    <cellStyle name="Calculation 8 4 3" xfId="10424" xr:uid="{00000000-0005-0000-0000-0000E13C0000}"/>
    <cellStyle name="Calculation 8 4 3 2" xfId="10425" xr:uid="{00000000-0005-0000-0000-0000E23C0000}"/>
    <cellStyle name="Calculation 8 4 3 3" xfId="28697" xr:uid="{00000000-0005-0000-0000-0000E33C0000}"/>
    <cellStyle name="Calculation 8 4 3 4" xfId="28698" xr:uid="{00000000-0005-0000-0000-0000E43C0000}"/>
    <cellStyle name="Calculation 8 4 4" xfId="10426" xr:uid="{00000000-0005-0000-0000-0000E53C0000}"/>
    <cellStyle name="Calculation 8 4 4 2" xfId="10427" xr:uid="{00000000-0005-0000-0000-0000E63C0000}"/>
    <cellStyle name="Calculation 8 4 4 3" xfId="28699" xr:uid="{00000000-0005-0000-0000-0000E73C0000}"/>
    <cellStyle name="Calculation 8 4 4 4" xfId="28700" xr:uid="{00000000-0005-0000-0000-0000E83C0000}"/>
    <cellStyle name="Calculation 8 4 5" xfId="10428" xr:uid="{00000000-0005-0000-0000-0000E93C0000}"/>
    <cellStyle name="Calculation 8 4 5 2" xfId="10429" xr:uid="{00000000-0005-0000-0000-0000EA3C0000}"/>
    <cellStyle name="Calculation 8 4 5 3" xfId="28701" xr:uid="{00000000-0005-0000-0000-0000EB3C0000}"/>
    <cellStyle name="Calculation 8 4 5 4" xfId="28702" xr:uid="{00000000-0005-0000-0000-0000EC3C0000}"/>
    <cellStyle name="Calculation 8 4 6" xfId="10430" xr:uid="{00000000-0005-0000-0000-0000ED3C0000}"/>
    <cellStyle name="Calculation 8 4 6 2" xfId="10431" xr:uid="{00000000-0005-0000-0000-0000EE3C0000}"/>
    <cellStyle name="Calculation 8 4 6 3" xfId="28703" xr:uid="{00000000-0005-0000-0000-0000EF3C0000}"/>
    <cellStyle name="Calculation 8 4 6 4" xfId="28704" xr:uid="{00000000-0005-0000-0000-0000F03C0000}"/>
    <cellStyle name="Calculation 8 4 7" xfId="10432" xr:uid="{00000000-0005-0000-0000-0000F13C0000}"/>
    <cellStyle name="Calculation 8 4 7 2" xfId="10433" xr:uid="{00000000-0005-0000-0000-0000F23C0000}"/>
    <cellStyle name="Calculation 8 4 7 3" xfId="28705" xr:uid="{00000000-0005-0000-0000-0000F33C0000}"/>
    <cellStyle name="Calculation 8 4 7 4" xfId="28706" xr:uid="{00000000-0005-0000-0000-0000F43C0000}"/>
    <cellStyle name="Calculation 8 4 8" xfId="10434" xr:uid="{00000000-0005-0000-0000-0000F53C0000}"/>
    <cellStyle name="Calculation 8 4 9" xfId="28707" xr:uid="{00000000-0005-0000-0000-0000F63C0000}"/>
    <cellStyle name="Calculation 8 5" xfId="10435" xr:uid="{00000000-0005-0000-0000-0000F73C0000}"/>
    <cellStyle name="Calculation 8 5 10" xfId="28708" xr:uid="{00000000-0005-0000-0000-0000F83C0000}"/>
    <cellStyle name="Calculation 8 5 2" xfId="10436" xr:uid="{00000000-0005-0000-0000-0000F93C0000}"/>
    <cellStyle name="Calculation 8 5 2 2" xfId="10437" xr:uid="{00000000-0005-0000-0000-0000FA3C0000}"/>
    <cellStyle name="Calculation 8 5 2 3" xfId="28709" xr:uid="{00000000-0005-0000-0000-0000FB3C0000}"/>
    <cellStyle name="Calculation 8 5 2 4" xfId="28710" xr:uid="{00000000-0005-0000-0000-0000FC3C0000}"/>
    <cellStyle name="Calculation 8 5 3" xfId="10438" xr:uid="{00000000-0005-0000-0000-0000FD3C0000}"/>
    <cellStyle name="Calculation 8 5 3 2" xfId="10439" xr:uid="{00000000-0005-0000-0000-0000FE3C0000}"/>
    <cellStyle name="Calculation 8 5 3 3" xfId="28711" xr:uid="{00000000-0005-0000-0000-0000FF3C0000}"/>
    <cellStyle name="Calculation 8 5 3 4" xfId="28712" xr:uid="{00000000-0005-0000-0000-0000003D0000}"/>
    <cellStyle name="Calculation 8 5 4" xfId="10440" xr:uid="{00000000-0005-0000-0000-0000013D0000}"/>
    <cellStyle name="Calculation 8 5 4 2" xfId="10441" xr:uid="{00000000-0005-0000-0000-0000023D0000}"/>
    <cellStyle name="Calculation 8 5 4 3" xfId="28713" xr:uid="{00000000-0005-0000-0000-0000033D0000}"/>
    <cellStyle name="Calculation 8 5 4 4" xfId="28714" xr:uid="{00000000-0005-0000-0000-0000043D0000}"/>
    <cellStyle name="Calculation 8 5 5" xfId="10442" xr:uid="{00000000-0005-0000-0000-0000053D0000}"/>
    <cellStyle name="Calculation 8 5 5 2" xfId="10443" xr:uid="{00000000-0005-0000-0000-0000063D0000}"/>
    <cellStyle name="Calculation 8 5 5 3" xfId="28715" xr:uid="{00000000-0005-0000-0000-0000073D0000}"/>
    <cellStyle name="Calculation 8 5 5 4" xfId="28716" xr:uid="{00000000-0005-0000-0000-0000083D0000}"/>
    <cellStyle name="Calculation 8 5 6" xfId="10444" xr:uid="{00000000-0005-0000-0000-0000093D0000}"/>
    <cellStyle name="Calculation 8 5 6 2" xfId="10445" xr:uid="{00000000-0005-0000-0000-00000A3D0000}"/>
    <cellStyle name="Calculation 8 5 6 3" xfId="28717" xr:uid="{00000000-0005-0000-0000-00000B3D0000}"/>
    <cellStyle name="Calculation 8 5 6 4" xfId="28718" xr:uid="{00000000-0005-0000-0000-00000C3D0000}"/>
    <cellStyle name="Calculation 8 5 7" xfId="10446" xr:uid="{00000000-0005-0000-0000-00000D3D0000}"/>
    <cellStyle name="Calculation 8 5 7 2" xfId="10447" xr:uid="{00000000-0005-0000-0000-00000E3D0000}"/>
    <cellStyle name="Calculation 8 5 7 3" xfId="28719" xr:uid="{00000000-0005-0000-0000-00000F3D0000}"/>
    <cellStyle name="Calculation 8 5 7 4" xfId="28720" xr:uid="{00000000-0005-0000-0000-0000103D0000}"/>
    <cellStyle name="Calculation 8 5 8" xfId="10448" xr:uid="{00000000-0005-0000-0000-0000113D0000}"/>
    <cellStyle name="Calculation 8 5 9" xfId="28721" xr:uid="{00000000-0005-0000-0000-0000123D0000}"/>
    <cellStyle name="Calculation 8 6" xfId="10449" xr:uid="{00000000-0005-0000-0000-0000133D0000}"/>
    <cellStyle name="Calculation 8 6 2" xfId="10450" xr:uid="{00000000-0005-0000-0000-0000143D0000}"/>
    <cellStyle name="Calculation 8 6 3" xfId="28722" xr:uid="{00000000-0005-0000-0000-0000153D0000}"/>
    <cellStyle name="Calculation 8 6 4" xfId="28723" xr:uid="{00000000-0005-0000-0000-0000163D0000}"/>
    <cellStyle name="Calculation 8 7" xfId="10451" xr:uid="{00000000-0005-0000-0000-0000173D0000}"/>
    <cellStyle name="Calculation 8 7 2" xfId="10452" xr:uid="{00000000-0005-0000-0000-0000183D0000}"/>
    <cellStyle name="Calculation 8 7 3" xfId="28724" xr:uid="{00000000-0005-0000-0000-0000193D0000}"/>
    <cellStyle name="Calculation 8 7 4" xfId="28725" xr:uid="{00000000-0005-0000-0000-00001A3D0000}"/>
    <cellStyle name="Calculation 8 8" xfId="10453" xr:uid="{00000000-0005-0000-0000-00001B3D0000}"/>
    <cellStyle name="Calculation 8 8 2" xfId="10454" xr:uid="{00000000-0005-0000-0000-00001C3D0000}"/>
    <cellStyle name="Calculation 8 8 3" xfId="28726" xr:uid="{00000000-0005-0000-0000-00001D3D0000}"/>
    <cellStyle name="Calculation 8 8 4" xfId="28727" xr:uid="{00000000-0005-0000-0000-00001E3D0000}"/>
    <cellStyle name="Calculation 8 9" xfId="10455" xr:uid="{00000000-0005-0000-0000-00001F3D0000}"/>
    <cellStyle name="Calculation 8 9 2" xfId="10456" xr:uid="{00000000-0005-0000-0000-0000203D0000}"/>
    <cellStyle name="Calculation 8 9 3" xfId="28728" xr:uid="{00000000-0005-0000-0000-0000213D0000}"/>
    <cellStyle name="Calculation 8 9 4" xfId="28729" xr:uid="{00000000-0005-0000-0000-0000223D0000}"/>
    <cellStyle name="Calculation 9" xfId="10457" xr:uid="{00000000-0005-0000-0000-0000233D0000}"/>
    <cellStyle name="Calculation 9 10" xfId="10458" xr:uid="{00000000-0005-0000-0000-0000243D0000}"/>
    <cellStyle name="Calculation 9 10 2" xfId="10459" xr:uid="{00000000-0005-0000-0000-0000253D0000}"/>
    <cellStyle name="Calculation 9 10 3" xfId="28730" xr:uid="{00000000-0005-0000-0000-0000263D0000}"/>
    <cellStyle name="Calculation 9 10 4" xfId="28731" xr:uid="{00000000-0005-0000-0000-0000273D0000}"/>
    <cellStyle name="Calculation 9 11" xfId="10460" xr:uid="{00000000-0005-0000-0000-0000283D0000}"/>
    <cellStyle name="Calculation 9 11 2" xfId="10461" xr:uid="{00000000-0005-0000-0000-0000293D0000}"/>
    <cellStyle name="Calculation 9 11 3" xfId="28732" xr:uid="{00000000-0005-0000-0000-00002A3D0000}"/>
    <cellStyle name="Calculation 9 11 4" xfId="28733" xr:uid="{00000000-0005-0000-0000-00002B3D0000}"/>
    <cellStyle name="Calculation 9 12" xfId="10462" xr:uid="{00000000-0005-0000-0000-00002C3D0000}"/>
    <cellStyle name="Calculation 9 13" xfId="28734" xr:uid="{00000000-0005-0000-0000-00002D3D0000}"/>
    <cellStyle name="Calculation 9 14" xfId="28735" xr:uid="{00000000-0005-0000-0000-00002E3D0000}"/>
    <cellStyle name="Calculation 9 2" xfId="10463" xr:uid="{00000000-0005-0000-0000-00002F3D0000}"/>
    <cellStyle name="Calculation 9 2 10" xfId="28736" xr:uid="{00000000-0005-0000-0000-0000303D0000}"/>
    <cellStyle name="Calculation 9 2 2" xfId="10464" xr:uid="{00000000-0005-0000-0000-0000313D0000}"/>
    <cellStyle name="Calculation 9 2 2 2" xfId="10465" xr:uid="{00000000-0005-0000-0000-0000323D0000}"/>
    <cellStyle name="Calculation 9 2 2 3" xfId="28737" xr:uid="{00000000-0005-0000-0000-0000333D0000}"/>
    <cellStyle name="Calculation 9 2 2 4" xfId="28738" xr:uid="{00000000-0005-0000-0000-0000343D0000}"/>
    <cellStyle name="Calculation 9 2 3" xfId="10466" xr:uid="{00000000-0005-0000-0000-0000353D0000}"/>
    <cellStyle name="Calculation 9 2 3 2" xfId="10467" xr:uid="{00000000-0005-0000-0000-0000363D0000}"/>
    <cellStyle name="Calculation 9 2 3 3" xfId="28739" xr:uid="{00000000-0005-0000-0000-0000373D0000}"/>
    <cellStyle name="Calculation 9 2 3 4" xfId="28740" xr:uid="{00000000-0005-0000-0000-0000383D0000}"/>
    <cellStyle name="Calculation 9 2 4" xfId="10468" xr:uid="{00000000-0005-0000-0000-0000393D0000}"/>
    <cellStyle name="Calculation 9 2 4 2" xfId="10469" xr:uid="{00000000-0005-0000-0000-00003A3D0000}"/>
    <cellStyle name="Calculation 9 2 4 3" xfId="28741" xr:uid="{00000000-0005-0000-0000-00003B3D0000}"/>
    <cellStyle name="Calculation 9 2 4 4" xfId="28742" xr:uid="{00000000-0005-0000-0000-00003C3D0000}"/>
    <cellStyle name="Calculation 9 2 5" xfId="10470" xr:uid="{00000000-0005-0000-0000-00003D3D0000}"/>
    <cellStyle name="Calculation 9 2 5 2" xfId="10471" xr:uid="{00000000-0005-0000-0000-00003E3D0000}"/>
    <cellStyle name="Calculation 9 2 5 3" xfId="28743" xr:uid="{00000000-0005-0000-0000-00003F3D0000}"/>
    <cellStyle name="Calculation 9 2 5 4" xfId="28744" xr:uid="{00000000-0005-0000-0000-0000403D0000}"/>
    <cellStyle name="Calculation 9 2 6" xfId="10472" xr:uid="{00000000-0005-0000-0000-0000413D0000}"/>
    <cellStyle name="Calculation 9 2 6 2" xfId="10473" xr:uid="{00000000-0005-0000-0000-0000423D0000}"/>
    <cellStyle name="Calculation 9 2 6 3" xfId="28745" xr:uid="{00000000-0005-0000-0000-0000433D0000}"/>
    <cellStyle name="Calculation 9 2 6 4" xfId="28746" xr:uid="{00000000-0005-0000-0000-0000443D0000}"/>
    <cellStyle name="Calculation 9 2 7" xfId="10474" xr:uid="{00000000-0005-0000-0000-0000453D0000}"/>
    <cellStyle name="Calculation 9 2 7 2" xfId="10475" xr:uid="{00000000-0005-0000-0000-0000463D0000}"/>
    <cellStyle name="Calculation 9 2 7 3" xfId="28747" xr:uid="{00000000-0005-0000-0000-0000473D0000}"/>
    <cellStyle name="Calculation 9 2 7 4" xfId="28748" xr:uid="{00000000-0005-0000-0000-0000483D0000}"/>
    <cellStyle name="Calculation 9 2 8" xfId="10476" xr:uid="{00000000-0005-0000-0000-0000493D0000}"/>
    <cellStyle name="Calculation 9 2 9" xfId="28749" xr:uid="{00000000-0005-0000-0000-00004A3D0000}"/>
    <cellStyle name="Calculation 9 3" xfId="10477" xr:uid="{00000000-0005-0000-0000-00004B3D0000}"/>
    <cellStyle name="Calculation 9 3 10" xfId="28750" xr:uid="{00000000-0005-0000-0000-00004C3D0000}"/>
    <cellStyle name="Calculation 9 3 2" xfId="10478" xr:uid="{00000000-0005-0000-0000-00004D3D0000}"/>
    <cellStyle name="Calculation 9 3 2 2" xfId="10479" xr:uid="{00000000-0005-0000-0000-00004E3D0000}"/>
    <cellStyle name="Calculation 9 3 2 3" xfId="28751" xr:uid="{00000000-0005-0000-0000-00004F3D0000}"/>
    <cellStyle name="Calculation 9 3 2 4" xfId="28752" xr:uid="{00000000-0005-0000-0000-0000503D0000}"/>
    <cellStyle name="Calculation 9 3 3" xfId="10480" xr:uid="{00000000-0005-0000-0000-0000513D0000}"/>
    <cellStyle name="Calculation 9 3 3 2" xfId="10481" xr:uid="{00000000-0005-0000-0000-0000523D0000}"/>
    <cellStyle name="Calculation 9 3 3 3" xfId="28753" xr:uid="{00000000-0005-0000-0000-0000533D0000}"/>
    <cellStyle name="Calculation 9 3 3 4" xfId="28754" xr:uid="{00000000-0005-0000-0000-0000543D0000}"/>
    <cellStyle name="Calculation 9 3 4" xfId="10482" xr:uid="{00000000-0005-0000-0000-0000553D0000}"/>
    <cellStyle name="Calculation 9 3 4 2" xfId="10483" xr:uid="{00000000-0005-0000-0000-0000563D0000}"/>
    <cellStyle name="Calculation 9 3 4 3" xfId="28755" xr:uid="{00000000-0005-0000-0000-0000573D0000}"/>
    <cellStyle name="Calculation 9 3 4 4" xfId="28756" xr:uid="{00000000-0005-0000-0000-0000583D0000}"/>
    <cellStyle name="Calculation 9 3 5" xfId="10484" xr:uid="{00000000-0005-0000-0000-0000593D0000}"/>
    <cellStyle name="Calculation 9 3 5 2" xfId="10485" xr:uid="{00000000-0005-0000-0000-00005A3D0000}"/>
    <cellStyle name="Calculation 9 3 5 3" xfId="28757" xr:uid="{00000000-0005-0000-0000-00005B3D0000}"/>
    <cellStyle name="Calculation 9 3 5 4" xfId="28758" xr:uid="{00000000-0005-0000-0000-00005C3D0000}"/>
    <cellStyle name="Calculation 9 3 6" xfId="10486" xr:uid="{00000000-0005-0000-0000-00005D3D0000}"/>
    <cellStyle name="Calculation 9 3 6 2" xfId="10487" xr:uid="{00000000-0005-0000-0000-00005E3D0000}"/>
    <cellStyle name="Calculation 9 3 6 3" xfId="28759" xr:uid="{00000000-0005-0000-0000-00005F3D0000}"/>
    <cellStyle name="Calculation 9 3 6 4" xfId="28760" xr:uid="{00000000-0005-0000-0000-0000603D0000}"/>
    <cellStyle name="Calculation 9 3 7" xfId="10488" xr:uid="{00000000-0005-0000-0000-0000613D0000}"/>
    <cellStyle name="Calculation 9 3 7 2" xfId="10489" xr:uid="{00000000-0005-0000-0000-0000623D0000}"/>
    <cellStyle name="Calculation 9 3 7 3" xfId="28761" xr:uid="{00000000-0005-0000-0000-0000633D0000}"/>
    <cellStyle name="Calculation 9 3 7 4" xfId="28762" xr:uid="{00000000-0005-0000-0000-0000643D0000}"/>
    <cellStyle name="Calculation 9 3 8" xfId="10490" xr:uid="{00000000-0005-0000-0000-0000653D0000}"/>
    <cellStyle name="Calculation 9 3 9" xfId="28763" xr:uid="{00000000-0005-0000-0000-0000663D0000}"/>
    <cellStyle name="Calculation 9 4" xfId="10491" xr:uid="{00000000-0005-0000-0000-0000673D0000}"/>
    <cellStyle name="Calculation 9 4 10" xfId="28764" xr:uid="{00000000-0005-0000-0000-0000683D0000}"/>
    <cellStyle name="Calculation 9 4 2" xfId="10492" xr:uid="{00000000-0005-0000-0000-0000693D0000}"/>
    <cellStyle name="Calculation 9 4 2 2" xfId="10493" xr:uid="{00000000-0005-0000-0000-00006A3D0000}"/>
    <cellStyle name="Calculation 9 4 2 3" xfId="28765" xr:uid="{00000000-0005-0000-0000-00006B3D0000}"/>
    <cellStyle name="Calculation 9 4 2 4" xfId="28766" xr:uid="{00000000-0005-0000-0000-00006C3D0000}"/>
    <cellStyle name="Calculation 9 4 3" xfId="10494" xr:uid="{00000000-0005-0000-0000-00006D3D0000}"/>
    <cellStyle name="Calculation 9 4 3 2" xfId="10495" xr:uid="{00000000-0005-0000-0000-00006E3D0000}"/>
    <cellStyle name="Calculation 9 4 3 3" xfId="28767" xr:uid="{00000000-0005-0000-0000-00006F3D0000}"/>
    <cellStyle name="Calculation 9 4 3 4" xfId="28768" xr:uid="{00000000-0005-0000-0000-0000703D0000}"/>
    <cellStyle name="Calculation 9 4 4" xfId="10496" xr:uid="{00000000-0005-0000-0000-0000713D0000}"/>
    <cellStyle name="Calculation 9 4 4 2" xfId="10497" xr:uid="{00000000-0005-0000-0000-0000723D0000}"/>
    <cellStyle name="Calculation 9 4 4 3" xfId="28769" xr:uid="{00000000-0005-0000-0000-0000733D0000}"/>
    <cellStyle name="Calculation 9 4 4 4" xfId="28770" xr:uid="{00000000-0005-0000-0000-0000743D0000}"/>
    <cellStyle name="Calculation 9 4 5" xfId="10498" xr:uid="{00000000-0005-0000-0000-0000753D0000}"/>
    <cellStyle name="Calculation 9 4 5 2" xfId="10499" xr:uid="{00000000-0005-0000-0000-0000763D0000}"/>
    <cellStyle name="Calculation 9 4 5 3" xfId="28771" xr:uid="{00000000-0005-0000-0000-0000773D0000}"/>
    <cellStyle name="Calculation 9 4 5 4" xfId="28772" xr:uid="{00000000-0005-0000-0000-0000783D0000}"/>
    <cellStyle name="Calculation 9 4 6" xfId="10500" xr:uid="{00000000-0005-0000-0000-0000793D0000}"/>
    <cellStyle name="Calculation 9 4 6 2" xfId="10501" xr:uid="{00000000-0005-0000-0000-00007A3D0000}"/>
    <cellStyle name="Calculation 9 4 6 3" xfId="28773" xr:uid="{00000000-0005-0000-0000-00007B3D0000}"/>
    <cellStyle name="Calculation 9 4 6 4" xfId="28774" xr:uid="{00000000-0005-0000-0000-00007C3D0000}"/>
    <cellStyle name="Calculation 9 4 7" xfId="10502" xr:uid="{00000000-0005-0000-0000-00007D3D0000}"/>
    <cellStyle name="Calculation 9 4 7 2" xfId="10503" xr:uid="{00000000-0005-0000-0000-00007E3D0000}"/>
    <cellStyle name="Calculation 9 4 7 3" xfId="28775" xr:uid="{00000000-0005-0000-0000-00007F3D0000}"/>
    <cellStyle name="Calculation 9 4 7 4" xfId="28776" xr:uid="{00000000-0005-0000-0000-0000803D0000}"/>
    <cellStyle name="Calculation 9 4 8" xfId="10504" xr:uid="{00000000-0005-0000-0000-0000813D0000}"/>
    <cellStyle name="Calculation 9 4 9" xfId="28777" xr:uid="{00000000-0005-0000-0000-0000823D0000}"/>
    <cellStyle name="Calculation 9 5" xfId="10505" xr:uid="{00000000-0005-0000-0000-0000833D0000}"/>
    <cellStyle name="Calculation 9 5 10" xfId="28778" xr:uid="{00000000-0005-0000-0000-0000843D0000}"/>
    <cellStyle name="Calculation 9 5 2" xfId="10506" xr:uid="{00000000-0005-0000-0000-0000853D0000}"/>
    <cellStyle name="Calculation 9 5 2 2" xfId="10507" xr:uid="{00000000-0005-0000-0000-0000863D0000}"/>
    <cellStyle name="Calculation 9 5 2 3" xfId="28779" xr:uid="{00000000-0005-0000-0000-0000873D0000}"/>
    <cellStyle name="Calculation 9 5 2 4" xfId="28780" xr:uid="{00000000-0005-0000-0000-0000883D0000}"/>
    <cellStyle name="Calculation 9 5 3" xfId="10508" xr:uid="{00000000-0005-0000-0000-0000893D0000}"/>
    <cellStyle name="Calculation 9 5 3 2" xfId="10509" xr:uid="{00000000-0005-0000-0000-00008A3D0000}"/>
    <cellStyle name="Calculation 9 5 3 3" xfId="28781" xr:uid="{00000000-0005-0000-0000-00008B3D0000}"/>
    <cellStyle name="Calculation 9 5 3 4" xfId="28782" xr:uid="{00000000-0005-0000-0000-00008C3D0000}"/>
    <cellStyle name="Calculation 9 5 4" xfId="10510" xr:uid="{00000000-0005-0000-0000-00008D3D0000}"/>
    <cellStyle name="Calculation 9 5 4 2" xfId="10511" xr:uid="{00000000-0005-0000-0000-00008E3D0000}"/>
    <cellStyle name="Calculation 9 5 4 3" xfId="28783" xr:uid="{00000000-0005-0000-0000-00008F3D0000}"/>
    <cellStyle name="Calculation 9 5 4 4" xfId="28784" xr:uid="{00000000-0005-0000-0000-0000903D0000}"/>
    <cellStyle name="Calculation 9 5 5" xfId="10512" xr:uid="{00000000-0005-0000-0000-0000913D0000}"/>
    <cellStyle name="Calculation 9 5 5 2" xfId="10513" xr:uid="{00000000-0005-0000-0000-0000923D0000}"/>
    <cellStyle name="Calculation 9 5 5 3" xfId="28785" xr:uid="{00000000-0005-0000-0000-0000933D0000}"/>
    <cellStyle name="Calculation 9 5 5 4" xfId="28786" xr:uid="{00000000-0005-0000-0000-0000943D0000}"/>
    <cellStyle name="Calculation 9 5 6" xfId="10514" xr:uid="{00000000-0005-0000-0000-0000953D0000}"/>
    <cellStyle name="Calculation 9 5 6 2" xfId="10515" xr:uid="{00000000-0005-0000-0000-0000963D0000}"/>
    <cellStyle name="Calculation 9 5 6 3" xfId="28787" xr:uid="{00000000-0005-0000-0000-0000973D0000}"/>
    <cellStyle name="Calculation 9 5 6 4" xfId="28788" xr:uid="{00000000-0005-0000-0000-0000983D0000}"/>
    <cellStyle name="Calculation 9 5 7" xfId="10516" xr:uid="{00000000-0005-0000-0000-0000993D0000}"/>
    <cellStyle name="Calculation 9 5 7 2" xfId="10517" xr:uid="{00000000-0005-0000-0000-00009A3D0000}"/>
    <cellStyle name="Calculation 9 5 7 3" xfId="28789" xr:uid="{00000000-0005-0000-0000-00009B3D0000}"/>
    <cellStyle name="Calculation 9 5 7 4" xfId="28790" xr:uid="{00000000-0005-0000-0000-00009C3D0000}"/>
    <cellStyle name="Calculation 9 5 8" xfId="10518" xr:uid="{00000000-0005-0000-0000-00009D3D0000}"/>
    <cellStyle name="Calculation 9 5 9" xfId="28791" xr:uid="{00000000-0005-0000-0000-00009E3D0000}"/>
    <cellStyle name="Calculation 9 6" xfId="10519" xr:uid="{00000000-0005-0000-0000-00009F3D0000}"/>
    <cellStyle name="Calculation 9 6 2" xfId="10520" xr:uid="{00000000-0005-0000-0000-0000A03D0000}"/>
    <cellStyle name="Calculation 9 6 3" xfId="28792" xr:uid="{00000000-0005-0000-0000-0000A13D0000}"/>
    <cellStyle name="Calculation 9 6 4" xfId="28793" xr:uid="{00000000-0005-0000-0000-0000A23D0000}"/>
    <cellStyle name="Calculation 9 7" xfId="10521" xr:uid="{00000000-0005-0000-0000-0000A33D0000}"/>
    <cellStyle name="Calculation 9 7 2" xfId="10522" xr:uid="{00000000-0005-0000-0000-0000A43D0000}"/>
    <cellStyle name="Calculation 9 7 3" xfId="28794" xr:uid="{00000000-0005-0000-0000-0000A53D0000}"/>
    <cellStyle name="Calculation 9 7 4" xfId="28795" xr:uid="{00000000-0005-0000-0000-0000A63D0000}"/>
    <cellStyle name="Calculation 9 8" xfId="10523" xr:uid="{00000000-0005-0000-0000-0000A73D0000}"/>
    <cellStyle name="Calculation 9 8 2" xfId="10524" xr:uid="{00000000-0005-0000-0000-0000A83D0000}"/>
    <cellStyle name="Calculation 9 8 3" xfId="28796" xr:uid="{00000000-0005-0000-0000-0000A93D0000}"/>
    <cellStyle name="Calculation 9 8 4" xfId="28797" xr:uid="{00000000-0005-0000-0000-0000AA3D0000}"/>
    <cellStyle name="Calculation 9 9" xfId="10525" xr:uid="{00000000-0005-0000-0000-0000AB3D0000}"/>
    <cellStyle name="Calculation 9 9 2" xfId="10526" xr:uid="{00000000-0005-0000-0000-0000AC3D0000}"/>
    <cellStyle name="Calculation 9 9 3" xfId="28798" xr:uid="{00000000-0005-0000-0000-0000AD3D0000}"/>
    <cellStyle name="Calculation 9 9 4" xfId="28799" xr:uid="{00000000-0005-0000-0000-0000AE3D0000}"/>
    <cellStyle name="Check Cell 10" xfId="10527" xr:uid="{00000000-0005-0000-0000-0000AF3D0000}"/>
    <cellStyle name="Check Cell 11" xfId="10528" xr:uid="{00000000-0005-0000-0000-0000B03D0000}"/>
    <cellStyle name="Check Cell 12" xfId="10529" xr:uid="{00000000-0005-0000-0000-0000B13D0000}"/>
    <cellStyle name="Check Cell 13" xfId="10530" xr:uid="{00000000-0005-0000-0000-0000B23D0000}"/>
    <cellStyle name="Check Cell 14" xfId="10531" xr:uid="{00000000-0005-0000-0000-0000B33D0000}"/>
    <cellStyle name="Check Cell 15" xfId="10532" xr:uid="{00000000-0005-0000-0000-0000B43D0000}"/>
    <cellStyle name="Check Cell 16" xfId="10533" xr:uid="{00000000-0005-0000-0000-0000B53D0000}"/>
    <cellStyle name="Check Cell 17" xfId="10534" xr:uid="{00000000-0005-0000-0000-0000B63D0000}"/>
    <cellStyle name="Check Cell 17 2" xfId="10535" xr:uid="{00000000-0005-0000-0000-0000B73D0000}"/>
    <cellStyle name="Check Cell 17 3" xfId="10536" xr:uid="{00000000-0005-0000-0000-0000B83D0000}"/>
    <cellStyle name="Check Cell 17 4" xfId="10537" xr:uid="{00000000-0005-0000-0000-0000B93D0000}"/>
    <cellStyle name="Check Cell 17 5" xfId="10538" xr:uid="{00000000-0005-0000-0000-0000BA3D0000}"/>
    <cellStyle name="Check Cell 18" xfId="10539" xr:uid="{00000000-0005-0000-0000-0000BB3D0000}"/>
    <cellStyle name="Check Cell 18 2" xfId="10540" xr:uid="{00000000-0005-0000-0000-0000BC3D0000}"/>
    <cellStyle name="Check Cell 18 3" xfId="10541" xr:uid="{00000000-0005-0000-0000-0000BD3D0000}"/>
    <cellStyle name="Check Cell 18 4" xfId="10542" xr:uid="{00000000-0005-0000-0000-0000BE3D0000}"/>
    <cellStyle name="Check Cell 18 5" xfId="10543" xr:uid="{00000000-0005-0000-0000-0000BF3D0000}"/>
    <cellStyle name="Check Cell 19" xfId="10544" xr:uid="{00000000-0005-0000-0000-0000C03D0000}"/>
    <cellStyle name="Check Cell 19 2" xfId="10545" xr:uid="{00000000-0005-0000-0000-0000C13D0000}"/>
    <cellStyle name="Check Cell 19 3" xfId="10546" xr:uid="{00000000-0005-0000-0000-0000C23D0000}"/>
    <cellStyle name="Check Cell 19 4" xfId="10547" xr:uid="{00000000-0005-0000-0000-0000C33D0000}"/>
    <cellStyle name="Check Cell 19 5" xfId="10548" xr:uid="{00000000-0005-0000-0000-0000C43D0000}"/>
    <cellStyle name="Check Cell 2" xfId="10549" xr:uid="{00000000-0005-0000-0000-0000C53D0000}"/>
    <cellStyle name="Check Cell 2 2" xfId="10550" xr:uid="{00000000-0005-0000-0000-0000C63D0000}"/>
    <cellStyle name="Check Cell 2 3" xfId="28800" xr:uid="{00000000-0005-0000-0000-0000C73D0000}"/>
    <cellStyle name="Check Cell 20" xfId="10551" xr:uid="{00000000-0005-0000-0000-0000C83D0000}"/>
    <cellStyle name="Check Cell 20 2" xfId="10552" xr:uid="{00000000-0005-0000-0000-0000C93D0000}"/>
    <cellStyle name="Check Cell 20 3" xfId="10553" xr:uid="{00000000-0005-0000-0000-0000CA3D0000}"/>
    <cellStyle name="Check Cell 20 4" xfId="10554" xr:uid="{00000000-0005-0000-0000-0000CB3D0000}"/>
    <cellStyle name="Check Cell 20 5" xfId="10555" xr:uid="{00000000-0005-0000-0000-0000CC3D0000}"/>
    <cellStyle name="Check Cell 21" xfId="10556" xr:uid="{00000000-0005-0000-0000-0000CD3D0000}"/>
    <cellStyle name="Check Cell 21 2" xfId="10557" xr:uid="{00000000-0005-0000-0000-0000CE3D0000}"/>
    <cellStyle name="Check Cell 21 3" xfId="10558" xr:uid="{00000000-0005-0000-0000-0000CF3D0000}"/>
    <cellStyle name="Check Cell 21 4" xfId="10559" xr:uid="{00000000-0005-0000-0000-0000D03D0000}"/>
    <cellStyle name="Check Cell 21 5" xfId="10560" xr:uid="{00000000-0005-0000-0000-0000D13D0000}"/>
    <cellStyle name="Check Cell 22" xfId="10561" xr:uid="{00000000-0005-0000-0000-0000D23D0000}"/>
    <cellStyle name="Check Cell 22 2" xfId="10562" xr:uid="{00000000-0005-0000-0000-0000D33D0000}"/>
    <cellStyle name="Check Cell 22 3" xfId="10563" xr:uid="{00000000-0005-0000-0000-0000D43D0000}"/>
    <cellStyle name="Check Cell 22 4" xfId="10564" xr:uid="{00000000-0005-0000-0000-0000D53D0000}"/>
    <cellStyle name="Check Cell 22 5" xfId="10565" xr:uid="{00000000-0005-0000-0000-0000D63D0000}"/>
    <cellStyle name="Check Cell 23" xfId="10566" xr:uid="{00000000-0005-0000-0000-0000D73D0000}"/>
    <cellStyle name="Check Cell 24" xfId="10567" xr:uid="{00000000-0005-0000-0000-0000D83D0000}"/>
    <cellStyle name="Check Cell 25" xfId="10568" xr:uid="{00000000-0005-0000-0000-0000D93D0000}"/>
    <cellStyle name="Check Cell 26" xfId="10569" xr:uid="{00000000-0005-0000-0000-0000DA3D0000}"/>
    <cellStyle name="Check Cell 3" xfId="10570" xr:uid="{00000000-0005-0000-0000-0000DB3D0000}"/>
    <cellStyle name="Check Cell 4" xfId="10571" xr:uid="{00000000-0005-0000-0000-0000DC3D0000}"/>
    <cellStyle name="Check Cell 5" xfId="10572" xr:uid="{00000000-0005-0000-0000-0000DD3D0000}"/>
    <cellStyle name="Check Cell 6" xfId="10573" xr:uid="{00000000-0005-0000-0000-0000DE3D0000}"/>
    <cellStyle name="Check Cell 7" xfId="10574" xr:uid="{00000000-0005-0000-0000-0000DF3D0000}"/>
    <cellStyle name="Check Cell 8" xfId="10575" xr:uid="{00000000-0005-0000-0000-0000E03D0000}"/>
    <cellStyle name="Check Cell 9" xfId="10576" xr:uid="{00000000-0005-0000-0000-0000E13D0000}"/>
    <cellStyle name="Comma" xfId="1" builtinId="3"/>
    <cellStyle name="Comma [0] 2" xfId="10577" xr:uid="{00000000-0005-0000-0000-0000E33D0000}"/>
    <cellStyle name="Comma 10" xfId="2" xr:uid="{00000000-0005-0000-0000-0000E43D0000}"/>
    <cellStyle name="Comma 10 10" xfId="10578" xr:uid="{00000000-0005-0000-0000-0000E53D0000}"/>
    <cellStyle name="Comma 10 10 2" xfId="10579" xr:uid="{00000000-0005-0000-0000-0000E63D0000}"/>
    <cellStyle name="Comma 10 11" xfId="10580" xr:uid="{00000000-0005-0000-0000-0000E73D0000}"/>
    <cellStyle name="Comma 10 12" xfId="10581" xr:uid="{00000000-0005-0000-0000-0000E83D0000}"/>
    <cellStyle name="Comma 10 13" xfId="10582" xr:uid="{00000000-0005-0000-0000-0000E93D0000}"/>
    <cellStyle name="Comma 10 14" xfId="10583" xr:uid="{00000000-0005-0000-0000-0000EA3D0000}"/>
    <cellStyle name="Comma 10 15" xfId="10584" xr:uid="{00000000-0005-0000-0000-0000EB3D0000}"/>
    <cellStyle name="Comma 10 16" xfId="10585" xr:uid="{00000000-0005-0000-0000-0000EC3D0000}"/>
    <cellStyle name="Comma 10 17" xfId="10586" xr:uid="{00000000-0005-0000-0000-0000ED3D0000}"/>
    <cellStyle name="Comma 10 18" xfId="10587" xr:uid="{00000000-0005-0000-0000-0000EE3D0000}"/>
    <cellStyle name="Comma 10 19" xfId="10588" xr:uid="{00000000-0005-0000-0000-0000EF3D0000}"/>
    <cellStyle name="Comma 10 2" xfId="31" xr:uid="{00000000-0005-0000-0000-0000F03D0000}"/>
    <cellStyle name="Comma 10 2 10" xfId="10589" xr:uid="{00000000-0005-0000-0000-0000F13D0000}"/>
    <cellStyle name="Comma 10 2 11" xfId="10590" xr:uid="{00000000-0005-0000-0000-0000F23D0000}"/>
    <cellStyle name="Comma 10 2 2" xfId="10591" xr:uid="{00000000-0005-0000-0000-0000F33D0000}"/>
    <cellStyle name="Comma 10 2 2 2" xfId="10592" xr:uid="{00000000-0005-0000-0000-0000F43D0000}"/>
    <cellStyle name="Comma 10 2 2 2 2" xfId="10593" xr:uid="{00000000-0005-0000-0000-0000F53D0000}"/>
    <cellStyle name="Comma 10 2 2 2 3" xfId="10594" xr:uid="{00000000-0005-0000-0000-0000F63D0000}"/>
    <cellStyle name="Comma 10 2 2 3" xfId="10595" xr:uid="{00000000-0005-0000-0000-0000F73D0000}"/>
    <cellStyle name="Comma 10 2 2 4" xfId="10596" xr:uid="{00000000-0005-0000-0000-0000F83D0000}"/>
    <cellStyle name="Comma 10 2 3" xfId="10597" xr:uid="{00000000-0005-0000-0000-0000F93D0000}"/>
    <cellStyle name="Comma 10 2 4" xfId="10598" xr:uid="{00000000-0005-0000-0000-0000FA3D0000}"/>
    <cellStyle name="Comma 10 2 5" xfId="10599" xr:uid="{00000000-0005-0000-0000-0000FB3D0000}"/>
    <cellStyle name="Comma 10 2 5 2" xfId="10600" xr:uid="{00000000-0005-0000-0000-0000FC3D0000}"/>
    <cellStyle name="Comma 10 2 5 3" xfId="10601" xr:uid="{00000000-0005-0000-0000-0000FD3D0000}"/>
    <cellStyle name="Comma 10 2 6" xfId="10602" xr:uid="{00000000-0005-0000-0000-0000FE3D0000}"/>
    <cellStyle name="Comma 10 2 7" xfId="10603" xr:uid="{00000000-0005-0000-0000-0000FF3D0000}"/>
    <cellStyle name="Comma 10 2 8" xfId="10604" xr:uid="{00000000-0005-0000-0000-0000003E0000}"/>
    <cellStyle name="Comma 10 2 9" xfId="10605" xr:uid="{00000000-0005-0000-0000-0000013E0000}"/>
    <cellStyle name="Comma 10 20" xfId="10606" xr:uid="{00000000-0005-0000-0000-0000023E0000}"/>
    <cellStyle name="Comma 10 21" xfId="10607" xr:uid="{00000000-0005-0000-0000-0000033E0000}"/>
    <cellStyle name="Comma 10 22" xfId="10608" xr:uid="{00000000-0005-0000-0000-0000043E0000}"/>
    <cellStyle name="Comma 10 23" xfId="10609" xr:uid="{00000000-0005-0000-0000-0000053E0000}"/>
    <cellStyle name="Comma 10 24" xfId="10610" xr:uid="{00000000-0005-0000-0000-0000063E0000}"/>
    <cellStyle name="Comma 10 25" xfId="10611" xr:uid="{00000000-0005-0000-0000-0000073E0000}"/>
    <cellStyle name="Comma 10 26" xfId="10612" xr:uid="{00000000-0005-0000-0000-0000083E0000}"/>
    <cellStyle name="Comma 10 27" xfId="10613" xr:uid="{00000000-0005-0000-0000-0000093E0000}"/>
    <cellStyle name="Comma 10 27 2" xfId="10614" xr:uid="{00000000-0005-0000-0000-00000A3E0000}"/>
    <cellStyle name="Comma 10 27 3" xfId="10615" xr:uid="{00000000-0005-0000-0000-00000B3E0000}"/>
    <cellStyle name="Comma 10 28" xfId="10616" xr:uid="{00000000-0005-0000-0000-00000C3E0000}"/>
    <cellStyle name="Comma 10 29" xfId="10617" xr:uid="{00000000-0005-0000-0000-00000D3E0000}"/>
    <cellStyle name="Comma 10 3" xfId="10618" xr:uid="{00000000-0005-0000-0000-00000E3E0000}"/>
    <cellStyle name="Comma 10 3 10" xfId="10619" xr:uid="{00000000-0005-0000-0000-00000F3E0000}"/>
    <cellStyle name="Comma 10 3 11" xfId="10620" xr:uid="{00000000-0005-0000-0000-0000103E0000}"/>
    <cellStyle name="Comma 10 3 2" xfId="10621" xr:uid="{00000000-0005-0000-0000-0000113E0000}"/>
    <cellStyle name="Comma 10 3 3" xfId="10622" xr:uid="{00000000-0005-0000-0000-0000123E0000}"/>
    <cellStyle name="Comma 10 3 4" xfId="10623" xr:uid="{00000000-0005-0000-0000-0000133E0000}"/>
    <cellStyle name="Comma 10 3 5" xfId="10624" xr:uid="{00000000-0005-0000-0000-0000143E0000}"/>
    <cellStyle name="Comma 10 3 6" xfId="10625" xr:uid="{00000000-0005-0000-0000-0000153E0000}"/>
    <cellStyle name="Comma 10 3 7" xfId="10626" xr:uid="{00000000-0005-0000-0000-0000163E0000}"/>
    <cellStyle name="Comma 10 3 8" xfId="10627" xr:uid="{00000000-0005-0000-0000-0000173E0000}"/>
    <cellStyle name="Comma 10 3 9" xfId="10628" xr:uid="{00000000-0005-0000-0000-0000183E0000}"/>
    <cellStyle name="Comma 10 30" xfId="10629" xr:uid="{00000000-0005-0000-0000-0000193E0000}"/>
    <cellStyle name="Comma 10 4" xfId="10630" xr:uid="{00000000-0005-0000-0000-00001A3E0000}"/>
    <cellStyle name="Comma 10 4 10" xfId="10631" xr:uid="{00000000-0005-0000-0000-00001B3E0000}"/>
    <cellStyle name="Comma 10 4 11" xfId="10632" xr:uid="{00000000-0005-0000-0000-00001C3E0000}"/>
    <cellStyle name="Comma 10 4 2" xfId="10633" xr:uid="{00000000-0005-0000-0000-00001D3E0000}"/>
    <cellStyle name="Comma 10 4 3" xfId="10634" xr:uid="{00000000-0005-0000-0000-00001E3E0000}"/>
    <cellStyle name="Comma 10 4 4" xfId="10635" xr:uid="{00000000-0005-0000-0000-00001F3E0000}"/>
    <cellStyle name="Comma 10 4 5" xfId="10636" xr:uid="{00000000-0005-0000-0000-0000203E0000}"/>
    <cellStyle name="Comma 10 4 6" xfId="10637" xr:uid="{00000000-0005-0000-0000-0000213E0000}"/>
    <cellStyle name="Comma 10 4 7" xfId="10638" xr:uid="{00000000-0005-0000-0000-0000223E0000}"/>
    <cellStyle name="Comma 10 4 8" xfId="10639" xr:uid="{00000000-0005-0000-0000-0000233E0000}"/>
    <cellStyle name="Comma 10 4 9" xfId="10640" xr:uid="{00000000-0005-0000-0000-0000243E0000}"/>
    <cellStyle name="Comma 10 5" xfId="10641" xr:uid="{00000000-0005-0000-0000-0000253E0000}"/>
    <cellStyle name="Comma 10 5 10" xfId="10642" xr:uid="{00000000-0005-0000-0000-0000263E0000}"/>
    <cellStyle name="Comma 10 5 11" xfId="10643" xr:uid="{00000000-0005-0000-0000-0000273E0000}"/>
    <cellStyle name="Comma 10 5 2" xfId="10644" xr:uid="{00000000-0005-0000-0000-0000283E0000}"/>
    <cellStyle name="Comma 10 5 3" xfId="10645" xr:uid="{00000000-0005-0000-0000-0000293E0000}"/>
    <cellStyle name="Comma 10 5 4" xfId="10646" xr:uid="{00000000-0005-0000-0000-00002A3E0000}"/>
    <cellStyle name="Comma 10 5 5" xfId="10647" xr:uid="{00000000-0005-0000-0000-00002B3E0000}"/>
    <cellStyle name="Comma 10 5 6" xfId="10648" xr:uid="{00000000-0005-0000-0000-00002C3E0000}"/>
    <cellStyle name="Comma 10 5 7" xfId="10649" xr:uid="{00000000-0005-0000-0000-00002D3E0000}"/>
    <cellStyle name="Comma 10 5 8" xfId="10650" xr:uid="{00000000-0005-0000-0000-00002E3E0000}"/>
    <cellStyle name="Comma 10 5 9" xfId="10651" xr:uid="{00000000-0005-0000-0000-00002F3E0000}"/>
    <cellStyle name="Comma 10 6" xfId="10652" xr:uid="{00000000-0005-0000-0000-0000303E0000}"/>
    <cellStyle name="Comma 10 6 10" xfId="10653" xr:uid="{00000000-0005-0000-0000-0000313E0000}"/>
    <cellStyle name="Comma 10 6 11" xfId="10654" xr:uid="{00000000-0005-0000-0000-0000323E0000}"/>
    <cellStyle name="Comma 10 6 2" xfId="10655" xr:uid="{00000000-0005-0000-0000-0000333E0000}"/>
    <cellStyle name="Comma 10 6 3" xfId="10656" xr:uid="{00000000-0005-0000-0000-0000343E0000}"/>
    <cellStyle name="Comma 10 6 4" xfId="10657" xr:uid="{00000000-0005-0000-0000-0000353E0000}"/>
    <cellStyle name="Comma 10 6 5" xfId="10658" xr:uid="{00000000-0005-0000-0000-0000363E0000}"/>
    <cellStyle name="Comma 10 6 6" xfId="10659" xr:uid="{00000000-0005-0000-0000-0000373E0000}"/>
    <cellStyle name="Comma 10 6 7" xfId="10660" xr:uid="{00000000-0005-0000-0000-0000383E0000}"/>
    <cellStyle name="Comma 10 6 8" xfId="10661" xr:uid="{00000000-0005-0000-0000-0000393E0000}"/>
    <cellStyle name="Comma 10 6 9" xfId="10662" xr:uid="{00000000-0005-0000-0000-00003A3E0000}"/>
    <cellStyle name="Comma 10 7" xfId="10663" xr:uid="{00000000-0005-0000-0000-00003B3E0000}"/>
    <cellStyle name="Comma 10 7 10" xfId="10664" xr:uid="{00000000-0005-0000-0000-00003C3E0000}"/>
    <cellStyle name="Comma 10 7 11" xfId="10665" xr:uid="{00000000-0005-0000-0000-00003D3E0000}"/>
    <cellStyle name="Comma 10 7 12" xfId="28801" xr:uid="{00000000-0005-0000-0000-00003E3E0000}"/>
    <cellStyle name="Comma 10 7 2" xfId="10666" xr:uid="{00000000-0005-0000-0000-00003F3E0000}"/>
    <cellStyle name="Comma 10 7 3" xfId="10667" xr:uid="{00000000-0005-0000-0000-0000403E0000}"/>
    <cellStyle name="Comma 10 7 4" xfId="10668" xr:uid="{00000000-0005-0000-0000-0000413E0000}"/>
    <cellStyle name="Comma 10 7 5" xfId="10669" xr:uid="{00000000-0005-0000-0000-0000423E0000}"/>
    <cellStyle name="Comma 10 7 6" xfId="10670" xr:uid="{00000000-0005-0000-0000-0000433E0000}"/>
    <cellStyle name="Comma 10 7 7" xfId="10671" xr:uid="{00000000-0005-0000-0000-0000443E0000}"/>
    <cellStyle name="Comma 10 7 8" xfId="10672" xr:uid="{00000000-0005-0000-0000-0000453E0000}"/>
    <cellStyle name="Comma 10 7 9" xfId="10673" xr:uid="{00000000-0005-0000-0000-0000463E0000}"/>
    <cellStyle name="Comma 10 8" xfId="10674" xr:uid="{00000000-0005-0000-0000-0000473E0000}"/>
    <cellStyle name="Comma 10 8 10" xfId="10675" xr:uid="{00000000-0005-0000-0000-0000483E0000}"/>
    <cellStyle name="Comma 10 8 11" xfId="10676" xr:uid="{00000000-0005-0000-0000-0000493E0000}"/>
    <cellStyle name="Comma 10 8 2" xfId="10677" xr:uid="{00000000-0005-0000-0000-00004A3E0000}"/>
    <cellStyle name="Comma 10 8 3" xfId="10678" xr:uid="{00000000-0005-0000-0000-00004B3E0000}"/>
    <cellStyle name="Comma 10 8 4" xfId="10679" xr:uid="{00000000-0005-0000-0000-00004C3E0000}"/>
    <cellStyle name="Comma 10 8 5" xfId="10680" xr:uid="{00000000-0005-0000-0000-00004D3E0000}"/>
    <cellStyle name="Comma 10 8 6" xfId="10681" xr:uid="{00000000-0005-0000-0000-00004E3E0000}"/>
    <cellStyle name="Comma 10 8 7" xfId="10682" xr:uid="{00000000-0005-0000-0000-00004F3E0000}"/>
    <cellStyle name="Comma 10 8 8" xfId="10683" xr:uid="{00000000-0005-0000-0000-0000503E0000}"/>
    <cellStyle name="Comma 10 8 9" xfId="10684" xr:uid="{00000000-0005-0000-0000-0000513E0000}"/>
    <cellStyle name="Comma 10 9" xfId="10685" xr:uid="{00000000-0005-0000-0000-0000523E0000}"/>
    <cellStyle name="Comma 10 9 10" xfId="10686" xr:uid="{00000000-0005-0000-0000-0000533E0000}"/>
    <cellStyle name="Comma 10 9 11" xfId="10687" xr:uid="{00000000-0005-0000-0000-0000543E0000}"/>
    <cellStyle name="Comma 10 9 2" xfId="10688" xr:uid="{00000000-0005-0000-0000-0000553E0000}"/>
    <cellStyle name="Comma 10 9 3" xfId="10689" xr:uid="{00000000-0005-0000-0000-0000563E0000}"/>
    <cellStyle name="Comma 10 9 4" xfId="10690" xr:uid="{00000000-0005-0000-0000-0000573E0000}"/>
    <cellStyle name="Comma 10 9 5" xfId="10691" xr:uid="{00000000-0005-0000-0000-0000583E0000}"/>
    <cellStyle name="Comma 10 9 6" xfId="10692" xr:uid="{00000000-0005-0000-0000-0000593E0000}"/>
    <cellStyle name="Comma 10 9 7" xfId="10693" xr:uid="{00000000-0005-0000-0000-00005A3E0000}"/>
    <cellStyle name="Comma 10 9 8" xfId="10694" xr:uid="{00000000-0005-0000-0000-00005B3E0000}"/>
    <cellStyle name="Comma 10 9 9" xfId="10695" xr:uid="{00000000-0005-0000-0000-00005C3E0000}"/>
    <cellStyle name="Comma 100" xfId="10696" xr:uid="{00000000-0005-0000-0000-00005D3E0000}"/>
    <cellStyle name="Comma 101" xfId="10697" xr:uid="{00000000-0005-0000-0000-00005E3E0000}"/>
    <cellStyle name="Comma 102" xfId="10698" xr:uid="{00000000-0005-0000-0000-00005F3E0000}"/>
    <cellStyle name="Comma 103" xfId="10699" xr:uid="{00000000-0005-0000-0000-0000603E0000}"/>
    <cellStyle name="Comma 104" xfId="10700" xr:uid="{00000000-0005-0000-0000-0000613E0000}"/>
    <cellStyle name="Comma 105" xfId="10701" xr:uid="{00000000-0005-0000-0000-0000623E0000}"/>
    <cellStyle name="Comma 106" xfId="10702" xr:uid="{00000000-0005-0000-0000-0000633E0000}"/>
    <cellStyle name="Comma 107" xfId="10703" xr:uid="{00000000-0005-0000-0000-0000643E0000}"/>
    <cellStyle name="Comma 108" xfId="10704" xr:uid="{00000000-0005-0000-0000-0000653E0000}"/>
    <cellStyle name="Comma 109" xfId="10705" xr:uid="{00000000-0005-0000-0000-0000663E0000}"/>
    <cellStyle name="Comma 11" xfId="10706" xr:uid="{00000000-0005-0000-0000-0000673E0000}"/>
    <cellStyle name="Comma 11 10" xfId="10707" xr:uid="{00000000-0005-0000-0000-0000683E0000}"/>
    <cellStyle name="Comma 11 10 10" xfId="10708" xr:uid="{00000000-0005-0000-0000-0000693E0000}"/>
    <cellStyle name="Comma 11 10 11" xfId="10709" xr:uid="{00000000-0005-0000-0000-00006A3E0000}"/>
    <cellStyle name="Comma 11 10 2" xfId="10710" xr:uid="{00000000-0005-0000-0000-00006B3E0000}"/>
    <cellStyle name="Comma 11 10 3" xfId="10711" xr:uid="{00000000-0005-0000-0000-00006C3E0000}"/>
    <cellStyle name="Comma 11 10 4" xfId="10712" xr:uid="{00000000-0005-0000-0000-00006D3E0000}"/>
    <cellStyle name="Comma 11 10 5" xfId="10713" xr:uid="{00000000-0005-0000-0000-00006E3E0000}"/>
    <cellStyle name="Comma 11 10 6" xfId="10714" xr:uid="{00000000-0005-0000-0000-00006F3E0000}"/>
    <cellStyle name="Comma 11 10 7" xfId="10715" xr:uid="{00000000-0005-0000-0000-0000703E0000}"/>
    <cellStyle name="Comma 11 10 8" xfId="10716" xr:uid="{00000000-0005-0000-0000-0000713E0000}"/>
    <cellStyle name="Comma 11 10 9" xfId="10717" xr:uid="{00000000-0005-0000-0000-0000723E0000}"/>
    <cellStyle name="Comma 11 11" xfId="10718" xr:uid="{00000000-0005-0000-0000-0000733E0000}"/>
    <cellStyle name="Comma 11 12" xfId="10719" xr:uid="{00000000-0005-0000-0000-0000743E0000}"/>
    <cellStyle name="Comma 11 13" xfId="10720" xr:uid="{00000000-0005-0000-0000-0000753E0000}"/>
    <cellStyle name="Comma 11 14" xfId="10721" xr:uid="{00000000-0005-0000-0000-0000763E0000}"/>
    <cellStyle name="Comma 11 15" xfId="10722" xr:uid="{00000000-0005-0000-0000-0000773E0000}"/>
    <cellStyle name="Comma 11 2" xfId="10723" xr:uid="{00000000-0005-0000-0000-0000783E0000}"/>
    <cellStyle name="Comma 11 2 10" xfId="10724" xr:uid="{00000000-0005-0000-0000-0000793E0000}"/>
    <cellStyle name="Comma 11 2 11" xfId="10725" xr:uid="{00000000-0005-0000-0000-00007A3E0000}"/>
    <cellStyle name="Comma 11 2 12" xfId="10726" xr:uid="{00000000-0005-0000-0000-00007B3E0000}"/>
    <cellStyle name="Comma 11 2 2" xfId="10727" xr:uid="{00000000-0005-0000-0000-00007C3E0000}"/>
    <cellStyle name="Comma 11 2 3" xfId="10728" xr:uid="{00000000-0005-0000-0000-00007D3E0000}"/>
    <cellStyle name="Comma 11 2 4" xfId="10729" xr:uid="{00000000-0005-0000-0000-00007E3E0000}"/>
    <cellStyle name="Comma 11 2 5" xfId="10730" xr:uid="{00000000-0005-0000-0000-00007F3E0000}"/>
    <cellStyle name="Comma 11 2 6" xfId="10731" xr:uid="{00000000-0005-0000-0000-0000803E0000}"/>
    <cellStyle name="Comma 11 2 7" xfId="10732" xr:uid="{00000000-0005-0000-0000-0000813E0000}"/>
    <cellStyle name="Comma 11 2 8" xfId="10733" xr:uid="{00000000-0005-0000-0000-0000823E0000}"/>
    <cellStyle name="Comma 11 2 9" xfId="10734" xr:uid="{00000000-0005-0000-0000-0000833E0000}"/>
    <cellStyle name="Comma 11 3" xfId="10735" xr:uid="{00000000-0005-0000-0000-0000843E0000}"/>
    <cellStyle name="Comma 11 3 10" xfId="10736" xr:uid="{00000000-0005-0000-0000-0000853E0000}"/>
    <cellStyle name="Comma 11 3 11" xfId="10737" xr:uid="{00000000-0005-0000-0000-0000863E0000}"/>
    <cellStyle name="Comma 11 3 2" xfId="10738" xr:uid="{00000000-0005-0000-0000-0000873E0000}"/>
    <cellStyle name="Comma 11 3 3" xfId="10739" xr:uid="{00000000-0005-0000-0000-0000883E0000}"/>
    <cellStyle name="Comma 11 3 4" xfId="10740" xr:uid="{00000000-0005-0000-0000-0000893E0000}"/>
    <cellStyle name="Comma 11 3 5" xfId="10741" xr:uid="{00000000-0005-0000-0000-00008A3E0000}"/>
    <cellStyle name="Comma 11 3 6" xfId="10742" xr:uid="{00000000-0005-0000-0000-00008B3E0000}"/>
    <cellStyle name="Comma 11 3 7" xfId="10743" xr:uid="{00000000-0005-0000-0000-00008C3E0000}"/>
    <cellStyle name="Comma 11 3 8" xfId="10744" xr:uid="{00000000-0005-0000-0000-00008D3E0000}"/>
    <cellStyle name="Comma 11 3 9" xfId="10745" xr:uid="{00000000-0005-0000-0000-00008E3E0000}"/>
    <cellStyle name="Comma 11 4" xfId="10746" xr:uid="{00000000-0005-0000-0000-00008F3E0000}"/>
    <cellStyle name="Comma 11 4 10" xfId="10747" xr:uid="{00000000-0005-0000-0000-0000903E0000}"/>
    <cellStyle name="Comma 11 4 11" xfId="10748" xr:uid="{00000000-0005-0000-0000-0000913E0000}"/>
    <cellStyle name="Comma 11 4 2" xfId="10749" xr:uid="{00000000-0005-0000-0000-0000923E0000}"/>
    <cellStyle name="Comma 11 4 3" xfId="10750" xr:uid="{00000000-0005-0000-0000-0000933E0000}"/>
    <cellStyle name="Comma 11 4 4" xfId="10751" xr:uid="{00000000-0005-0000-0000-0000943E0000}"/>
    <cellStyle name="Comma 11 4 5" xfId="10752" xr:uid="{00000000-0005-0000-0000-0000953E0000}"/>
    <cellStyle name="Comma 11 4 6" xfId="10753" xr:uid="{00000000-0005-0000-0000-0000963E0000}"/>
    <cellStyle name="Comma 11 4 7" xfId="10754" xr:uid="{00000000-0005-0000-0000-0000973E0000}"/>
    <cellStyle name="Comma 11 4 8" xfId="10755" xr:uid="{00000000-0005-0000-0000-0000983E0000}"/>
    <cellStyle name="Comma 11 4 9" xfId="10756" xr:uid="{00000000-0005-0000-0000-0000993E0000}"/>
    <cellStyle name="Comma 11 5" xfId="10757" xr:uid="{00000000-0005-0000-0000-00009A3E0000}"/>
    <cellStyle name="Comma 11 5 10" xfId="10758" xr:uid="{00000000-0005-0000-0000-00009B3E0000}"/>
    <cellStyle name="Comma 11 5 11" xfId="10759" xr:uid="{00000000-0005-0000-0000-00009C3E0000}"/>
    <cellStyle name="Comma 11 5 2" xfId="10760" xr:uid="{00000000-0005-0000-0000-00009D3E0000}"/>
    <cellStyle name="Comma 11 5 3" xfId="10761" xr:uid="{00000000-0005-0000-0000-00009E3E0000}"/>
    <cellStyle name="Comma 11 5 4" xfId="10762" xr:uid="{00000000-0005-0000-0000-00009F3E0000}"/>
    <cellStyle name="Comma 11 5 5" xfId="10763" xr:uid="{00000000-0005-0000-0000-0000A03E0000}"/>
    <cellStyle name="Comma 11 5 6" xfId="10764" xr:uid="{00000000-0005-0000-0000-0000A13E0000}"/>
    <cellStyle name="Comma 11 5 7" xfId="10765" xr:uid="{00000000-0005-0000-0000-0000A23E0000}"/>
    <cellStyle name="Comma 11 5 8" xfId="10766" xr:uid="{00000000-0005-0000-0000-0000A33E0000}"/>
    <cellStyle name="Comma 11 5 9" xfId="10767" xr:uid="{00000000-0005-0000-0000-0000A43E0000}"/>
    <cellStyle name="Comma 11 6" xfId="10768" xr:uid="{00000000-0005-0000-0000-0000A53E0000}"/>
    <cellStyle name="Comma 11 6 10" xfId="10769" xr:uid="{00000000-0005-0000-0000-0000A63E0000}"/>
    <cellStyle name="Comma 11 6 11" xfId="10770" xr:uid="{00000000-0005-0000-0000-0000A73E0000}"/>
    <cellStyle name="Comma 11 6 2" xfId="10771" xr:uid="{00000000-0005-0000-0000-0000A83E0000}"/>
    <cellStyle name="Comma 11 6 3" xfId="10772" xr:uid="{00000000-0005-0000-0000-0000A93E0000}"/>
    <cellStyle name="Comma 11 6 4" xfId="10773" xr:uid="{00000000-0005-0000-0000-0000AA3E0000}"/>
    <cellStyle name="Comma 11 6 5" xfId="10774" xr:uid="{00000000-0005-0000-0000-0000AB3E0000}"/>
    <cellStyle name="Comma 11 6 6" xfId="10775" xr:uid="{00000000-0005-0000-0000-0000AC3E0000}"/>
    <cellStyle name="Comma 11 6 7" xfId="10776" xr:uid="{00000000-0005-0000-0000-0000AD3E0000}"/>
    <cellStyle name="Comma 11 6 8" xfId="10777" xr:uid="{00000000-0005-0000-0000-0000AE3E0000}"/>
    <cellStyle name="Comma 11 6 9" xfId="10778" xr:uid="{00000000-0005-0000-0000-0000AF3E0000}"/>
    <cellStyle name="Comma 11 7" xfId="10779" xr:uid="{00000000-0005-0000-0000-0000B03E0000}"/>
    <cellStyle name="Comma 11 7 10" xfId="10780" xr:uid="{00000000-0005-0000-0000-0000B13E0000}"/>
    <cellStyle name="Comma 11 7 11" xfId="10781" xr:uid="{00000000-0005-0000-0000-0000B23E0000}"/>
    <cellStyle name="Comma 11 7 2" xfId="10782" xr:uid="{00000000-0005-0000-0000-0000B33E0000}"/>
    <cellStyle name="Comma 11 7 3" xfId="10783" xr:uid="{00000000-0005-0000-0000-0000B43E0000}"/>
    <cellStyle name="Comma 11 7 4" xfId="10784" xr:uid="{00000000-0005-0000-0000-0000B53E0000}"/>
    <cellStyle name="Comma 11 7 5" xfId="10785" xr:uid="{00000000-0005-0000-0000-0000B63E0000}"/>
    <cellStyle name="Comma 11 7 6" xfId="10786" xr:uid="{00000000-0005-0000-0000-0000B73E0000}"/>
    <cellStyle name="Comma 11 7 7" xfId="10787" xr:uid="{00000000-0005-0000-0000-0000B83E0000}"/>
    <cellStyle name="Comma 11 7 8" xfId="10788" xr:uid="{00000000-0005-0000-0000-0000B93E0000}"/>
    <cellStyle name="Comma 11 7 9" xfId="10789" xr:uid="{00000000-0005-0000-0000-0000BA3E0000}"/>
    <cellStyle name="Comma 11 8" xfId="10790" xr:uid="{00000000-0005-0000-0000-0000BB3E0000}"/>
    <cellStyle name="Comma 11 8 10" xfId="10791" xr:uid="{00000000-0005-0000-0000-0000BC3E0000}"/>
    <cellStyle name="Comma 11 8 11" xfId="10792" xr:uid="{00000000-0005-0000-0000-0000BD3E0000}"/>
    <cellStyle name="Comma 11 8 2" xfId="10793" xr:uid="{00000000-0005-0000-0000-0000BE3E0000}"/>
    <cellStyle name="Comma 11 8 3" xfId="10794" xr:uid="{00000000-0005-0000-0000-0000BF3E0000}"/>
    <cellStyle name="Comma 11 8 4" xfId="10795" xr:uid="{00000000-0005-0000-0000-0000C03E0000}"/>
    <cellStyle name="Comma 11 8 5" xfId="10796" xr:uid="{00000000-0005-0000-0000-0000C13E0000}"/>
    <cellStyle name="Comma 11 8 6" xfId="10797" xr:uid="{00000000-0005-0000-0000-0000C23E0000}"/>
    <cellStyle name="Comma 11 8 7" xfId="10798" xr:uid="{00000000-0005-0000-0000-0000C33E0000}"/>
    <cellStyle name="Comma 11 8 8" xfId="10799" xr:uid="{00000000-0005-0000-0000-0000C43E0000}"/>
    <cellStyle name="Comma 11 8 9" xfId="10800" xr:uid="{00000000-0005-0000-0000-0000C53E0000}"/>
    <cellStyle name="Comma 11 9" xfId="10801" xr:uid="{00000000-0005-0000-0000-0000C63E0000}"/>
    <cellStyle name="Comma 110" xfId="10802" xr:uid="{00000000-0005-0000-0000-0000C73E0000}"/>
    <cellStyle name="Comma 111" xfId="10803" xr:uid="{00000000-0005-0000-0000-0000C83E0000}"/>
    <cellStyle name="Comma 112" xfId="10804" xr:uid="{00000000-0005-0000-0000-0000C93E0000}"/>
    <cellStyle name="Comma 113" xfId="10805" xr:uid="{00000000-0005-0000-0000-0000CA3E0000}"/>
    <cellStyle name="Comma 114" xfId="10806" xr:uid="{00000000-0005-0000-0000-0000CB3E0000}"/>
    <cellStyle name="Comma 115" xfId="10807" xr:uid="{00000000-0005-0000-0000-0000CC3E0000}"/>
    <cellStyle name="Comma 116" xfId="10808" xr:uid="{00000000-0005-0000-0000-0000CD3E0000}"/>
    <cellStyle name="Comma 117" xfId="10809" xr:uid="{00000000-0005-0000-0000-0000CE3E0000}"/>
    <cellStyle name="Comma 118" xfId="10810" xr:uid="{00000000-0005-0000-0000-0000CF3E0000}"/>
    <cellStyle name="Comma 119" xfId="10811" xr:uid="{00000000-0005-0000-0000-0000D03E0000}"/>
    <cellStyle name="Comma 12" xfId="11" xr:uid="{00000000-0005-0000-0000-0000D13E0000}"/>
    <cellStyle name="Comma 12 10" xfId="10812" xr:uid="{00000000-0005-0000-0000-0000D23E0000}"/>
    <cellStyle name="Comma 12 11" xfId="10813" xr:uid="{00000000-0005-0000-0000-0000D33E0000}"/>
    <cellStyle name="Comma 12 2" xfId="38" xr:uid="{00000000-0005-0000-0000-0000D43E0000}"/>
    <cellStyle name="Comma 12 2 10" xfId="10814" xr:uid="{00000000-0005-0000-0000-0000D53E0000}"/>
    <cellStyle name="Comma 12 2 11" xfId="10815" xr:uid="{00000000-0005-0000-0000-0000D63E0000}"/>
    <cellStyle name="Comma 12 2 2" xfId="10816" xr:uid="{00000000-0005-0000-0000-0000D73E0000}"/>
    <cellStyle name="Comma 12 2 3" xfId="10817" xr:uid="{00000000-0005-0000-0000-0000D83E0000}"/>
    <cellStyle name="Comma 12 2 4" xfId="10818" xr:uid="{00000000-0005-0000-0000-0000D93E0000}"/>
    <cellStyle name="Comma 12 2 5" xfId="10819" xr:uid="{00000000-0005-0000-0000-0000DA3E0000}"/>
    <cellStyle name="Comma 12 2 6" xfId="10820" xr:uid="{00000000-0005-0000-0000-0000DB3E0000}"/>
    <cellStyle name="Comma 12 2 7" xfId="10821" xr:uid="{00000000-0005-0000-0000-0000DC3E0000}"/>
    <cellStyle name="Comma 12 2 8" xfId="10822" xr:uid="{00000000-0005-0000-0000-0000DD3E0000}"/>
    <cellStyle name="Comma 12 2 9" xfId="10823" xr:uid="{00000000-0005-0000-0000-0000DE3E0000}"/>
    <cellStyle name="Comma 12 3" xfId="10824" xr:uid="{00000000-0005-0000-0000-0000DF3E0000}"/>
    <cellStyle name="Comma 12 3 10" xfId="10825" xr:uid="{00000000-0005-0000-0000-0000E03E0000}"/>
    <cellStyle name="Comma 12 3 11" xfId="10826" xr:uid="{00000000-0005-0000-0000-0000E13E0000}"/>
    <cellStyle name="Comma 12 3 2" xfId="10827" xr:uid="{00000000-0005-0000-0000-0000E23E0000}"/>
    <cellStyle name="Comma 12 3 3" xfId="10828" xr:uid="{00000000-0005-0000-0000-0000E33E0000}"/>
    <cellStyle name="Comma 12 3 4" xfId="10829" xr:uid="{00000000-0005-0000-0000-0000E43E0000}"/>
    <cellStyle name="Comma 12 3 5" xfId="10830" xr:uid="{00000000-0005-0000-0000-0000E53E0000}"/>
    <cellStyle name="Comma 12 3 6" xfId="10831" xr:uid="{00000000-0005-0000-0000-0000E63E0000}"/>
    <cellStyle name="Comma 12 3 7" xfId="10832" xr:uid="{00000000-0005-0000-0000-0000E73E0000}"/>
    <cellStyle name="Comma 12 3 8" xfId="10833" xr:uid="{00000000-0005-0000-0000-0000E83E0000}"/>
    <cellStyle name="Comma 12 3 9" xfId="10834" xr:uid="{00000000-0005-0000-0000-0000E93E0000}"/>
    <cellStyle name="Comma 12 4" xfId="10835" xr:uid="{00000000-0005-0000-0000-0000EA3E0000}"/>
    <cellStyle name="Comma 12 4 10" xfId="10836" xr:uid="{00000000-0005-0000-0000-0000EB3E0000}"/>
    <cellStyle name="Comma 12 4 11" xfId="10837" xr:uid="{00000000-0005-0000-0000-0000EC3E0000}"/>
    <cellStyle name="Comma 12 4 2" xfId="10838" xr:uid="{00000000-0005-0000-0000-0000ED3E0000}"/>
    <cellStyle name="Comma 12 4 3" xfId="10839" xr:uid="{00000000-0005-0000-0000-0000EE3E0000}"/>
    <cellStyle name="Comma 12 4 4" xfId="10840" xr:uid="{00000000-0005-0000-0000-0000EF3E0000}"/>
    <cellStyle name="Comma 12 4 5" xfId="10841" xr:uid="{00000000-0005-0000-0000-0000F03E0000}"/>
    <cellStyle name="Comma 12 4 6" xfId="10842" xr:uid="{00000000-0005-0000-0000-0000F13E0000}"/>
    <cellStyle name="Comma 12 4 7" xfId="10843" xr:uid="{00000000-0005-0000-0000-0000F23E0000}"/>
    <cellStyle name="Comma 12 4 8" xfId="10844" xr:uid="{00000000-0005-0000-0000-0000F33E0000}"/>
    <cellStyle name="Comma 12 4 9" xfId="10845" xr:uid="{00000000-0005-0000-0000-0000F43E0000}"/>
    <cellStyle name="Comma 12 5" xfId="10846" xr:uid="{00000000-0005-0000-0000-0000F53E0000}"/>
    <cellStyle name="Comma 12 5 10" xfId="10847" xr:uid="{00000000-0005-0000-0000-0000F63E0000}"/>
    <cellStyle name="Comma 12 5 11" xfId="10848" xr:uid="{00000000-0005-0000-0000-0000F73E0000}"/>
    <cellStyle name="Comma 12 5 2" xfId="10849" xr:uid="{00000000-0005-0000-0000-0000F83E0000}"/>
    <cellStyle name="Comma 12 5 3" xfId="10850" xr:uid="{00000000-0005-0000-0000-0000F93E0000}"/>
    <cellStyle name="Comma 12 5 4" xfId="10851" xr:uid="{00000000-0005-0000-0000-0000FA3E0000}"/>
    <cellStyle name="Comma 12 5 5" xfId="10852" xr:uid="{00000000-0005-0000-0000-0000FB3E0000}"/>
    <cellStyle name="Comma 12 5 6" xfId="10853" xr:uid="{00000000-0005-0000-0000-0000FC3E0000}"/>
    <cellStyle name="Comma 12 5 7" xfId="10854" xr:uid="{00000000-0005-0000-0000-0000FD3E0000}"/>
    <cellStyle name="Comma 12 5 8" xfId="10855" xr:uid="{00000000-0005-0000-0000-0000FE3E0000}"/>
    <cellStyle name="Comma 12 5 9" xfId="10856" xr:uid="{00000000-0005-0000-0000-0000FF3E0000}"/>
    <cellStyle name="Comma 12 6" xfId="10857" xr:uid="{00000000-0005-0000-0000-0000003F0000}"/>
    <cellStyle name="Comma 12 6 10" xfId="10858" xr:uid="{00000000-0005-0000-0000-0000013F0000}"/>
    <cellStyle name="Comma 12 6 11" xfId="10859" xr:uid="{00000000-0005-0000-0000-0000023F0000}"/>
    <cellStyle name="Comma 12 6 2" xfId="10860" xr:uid="{00000000-0005-0000-0000-0000033F0000}"/>
    <cellStyle name="Comma 12 6 3" xfId="10861" xr:uid="{00000000-0005-0000-0000-0000043F0000}"/>
    <cellStyle name="Comma 12 6 4" xfId="10862" xr:uid="{00000000-0005-0000-0000-0000053F0000}"/>
    <cellStyle name="Comma 12 6 5" xfId="10863" xr:uid="{00000000-0005-0000-0000-0000063F0000}"/>
    <cellStyle name="Comma 12 6 6" xfId="10864" xr:uid="{00000000-0005-0000-0000-0000073F0000}"/>
    <cellStyle name="Comma 12 6 7" xfId="10865" xr:uid="{00000000-0005-0000-0000-0000083F0000}"/>
    <cellStyle name="Comma 12 6 8" xfId="10866" xr:uid="{00000000-0005-0000-0000-0000093F0000}"/>
    <cellStyle name="Comma 12 6 9" xfId="10867" xr:uid="{00000000-0005-0000-0000-00000A3F0000}"/>
    <cellStyle name="Comma 12 7" xfId="10868" xr:uid="{00000000-0005-0000-0000-00000B3F0000}"/>
    <cellStyle name="Comma 12 7 10" xfId="10869" xr:uid="{00000000-0005-0000-0000-00000C3F0000}"/>
    <cellStyle name="Comma 12 7 11" xfId="10870" xr:uid="{00000000-0005-0000-0000-00000D3F0000}"/>
    <cellStyle name="Comma 12 7 2" xfId="10871" xr:uid="{00000000-0005-0000-0000-00000E3F0000}"/>
    <cellStyle name="Comma 12 7 3" xfId="10872" xr:uid="{00000000-0005-0000-0000-00000F3F0000}"/>
    <cellStyle name="Comma 12 7 4" xfId="10873" xr:uid="{00000000-0005-0000-0000-0000103F0000}"/>
    <cellStyle name="Comma 12 7 5" xfId="10874" xr:uid="{00000000-0005-0000-0000-0000113F0000}"/>
    <cellStyle name="Comma 12 7 6" xfId="10875" xr:uid="{00000000-0005-0000-0000-0000123F0000}"/>
    <cellStyle name="Comma 12 7 7" xfId="10876" xr:uid="{00000000-0005-0000-0000-0000133F0000}"/>
    <cellStyle name="Comma 12 7 8" xfId="10877" xr:uid="{00000000-0005-0000-0000-0000143F0000}"/>
    <cellStyle name="Comma 12 7 9" xfId="10878" xr:uid="{00000000-0005-0000-0000-0000153F0000}"/>
    <cellStyle name="Comma 12 8" xfId="10879" xr:uid="{00000000-0005-0000-0000-0000163F0000}"/>
    <cellStyle name="Comma 12 8 10" xfId="10880" xr:uid="{00000000-0005-0000-0000-0000173F0000}"/>
    <cellStyle name="Comma 12 8 11" xfId="10881" xr:uid="{00000000-0005-0000-0000-0000183F0000}"/>
    <cellStyle name="Comma 12 8 2" xfId="10882" xr:uid="{00000000-0005-0000-0000-0000193F0000}"/>
    <cellStyle name="Comma 12 8 3" xfId="10883" xr:uid="{00000000-0005-0000-0000-00001A3F0000}"/>
    <cellStyle name="Comma 12 8 4" xfId="10884" xr:uid="{00000000-0005-0000-0000-00001B3F0000}"/>
    <cellStyle name="Comma 12 8 5" xfId="10885" xr:uid="{00000000-0005-0000-0000-00001C3F0000}"/>
    <cellStyle name="Comma 12 8 6" xfId="10886" xr:uid="{00000000-0005-0000-0000-00001D3F0000}"/>
    <cellStyle name="Comma 12 8 7" xfId="10887" xr:uid="{00000000-0005-0000-0000-00001E3F0000}"/>
    <cellStyle name="Comma 12 8 8" xfId="10888" xr:uid="{00000000-0005-0000-0000-00001F3F0000}"/>
    <cellStyle name="Comma 12 8 9" xfId="10889" xr:uid="{00000000-0005-0000-0000-0000203F0000}"/>
    <cellStyle name="Comma 12 9" xfId="10890" xr:uid="{00000000-0005-0000-0000-0000213F0000}"/>
    <cellStyle name="Comma 12 9 10" xfId="10891" xr:uid="{00000000-0005-0000-0000-0000223F0000}"/>
    <cellStyle name="Comma 12 9 11" xfId="10892" xr:uid="{00000000-0005-0000-0000-0000233F0000}"/>
    <cellStyle name="Comma 12 9 2" xfId="10893" xr:uid="{00000000-0005-0000-0000-0000243F0000}"/>
    <cellStyle name="Comma 12 9 3" xfId="10894" xr:uid="{00000000-0005-0000-0000-0000253F0000}"/>
    <cellStyle name="Comma 12 9 4" xfId="10895" xr:uid="{00000000-0005-0000-0000-0000263F0000}"/>
    <cellStyle name="Comma 12 9 5" xfId="10896" xr:uid="{00000000-0005-0000-0000-0000273F0000}"/>
    <cellStyle name="Comma 12 9 6" xfId="10897" xr:uid="{00000000-0005-0000-0000-0000283F0000}"/>
    <cellStyle name="Comma 12 9 7" xfId="10898" xr:uid="{00000000-0005-0000-0000-0000293F0000}"/>
    <cellStyle name="Comma 12 9 8" xfId="10899" xr:uid="{00000000-0005-0000-0000-00002A3F0000}"/>
    <cellStyle name="Comma 12 9 9" xfId="10900" xr:uid="{00000000-0005-0000-0000-00002B3F0000}"/>
    <cellStyle name="Comma 120" xfId="10901" xr:uid="{00000000-0005-0000-0000-00002C3F0000}"/>
    <cellStyle name="Comma 121" xfId="10902" xr:uid="{00000000-0005-0000-0000-00002D3F0000}"/>
    <cellStyle name="Comma 122" xfId="10903" xr:uid="{00000000-0005-0000-0000-00002E3F0000}"/>
    <cellStyle name="Comma 123" xfId="10904" xr:uid="{00000000-0005-0000-0000-00002F3F0000}"/>
    <cellStyle name="Comma 124" xfId="10905" xr:uid="{00000000-0005-0000-0000-0000303F0000}"/>
    <cellStyle name="Comma 125" xfId="28802" xr:uid="{00000000-0005-0000-0000-0000313F0000}"/>
    <cellStyle name="Comma 126" xfId="28803" xr:uid="{00000000-0005-0000-0000-0000323F0000}"/>
    <cellStyle name="Comma 127" xfId="28804" xr:uid="{00000000-0005-0000-0000-0000333F0000}"/>
    <cellStyle name="Comma 128" xfId="28805" xr:uid="{00000000-0005-0000-0000-0000343F0000}"/>
    <cellStyle name="Comma 129" xfId="28806" xr:uid="{00000000-0005-0000-0000-0000353F0000}"/>
    <cellStyle name="Comma 13" xfId="10906" xr:uid="{00000000-0005-0000-0000-0000363F0000}"/>
    <cellStyle name="Comma 13 2" xfId="10907" xr:uid="{00000000-0005-0000-0000-0000373F0000}"/>
    <cellStyle name="Comma 13 2 10" xfId="10908" xr:uid="{00000000-0005-0000-0000-0000383F0000}"/>
    <cellStyle name="Comma 13 2 11" xfId="10909" xr:uid="{00000000-0005-0000-0000-0000393F0000}"/>
    <cellStyle name="Comma 13 2 2" xfId="10910" xr:uid="{00000000-0005-0000-0000-00003A3F0000}"/>
    <cellStyle name="Comma 13 2 3" xfId="10911" xr:uid="{00000000-0005-0000-0000-00003B3F0000}"/>
    <cellStyle name="Comma 13 2 4" xfId="10912" xr:uid="{00000000-0005-0000-0000-00003C3F0000}"/>
    <cellStyle name="Comma 13 2 5" xfId="10913" xr:uid="{00000000-0005-0000-0000-00003D3F0000}"/>
    <cellStyle name="Comma 13 2 6" xfId="10914" xr:uid="{00000000-0005-0000-0000-00003E3F0000}"/>
    <cellStyle name="Comma 13 2 7" xfId="10915" xr:uid="{00000000-0005-0000-0000-00003F3F0000}"/>
    <cellStyle name="Comma 13 2 8" xfId="10916" xr:uid="{00000000-0005-0000-0000-0000403F0000}"/>
    <cellStyle name="Comma 13 2 9" xfId="10917" xr:uid="{00000000-0005-0000-0000-0000413F0000}"/>
    <cellStyle name="Comma 13 3" xfId="10918" xr:uid="{00000000-0005-0000-0000-0000423F0000}"/>
    <cellStyle name="Comma 13 3 10" xfId="10919" xr:uid="{00000000-0005-0000-0000-0000433F0000}"/>
    <cellStyle name="Comma 13 3 11" xfId="10920" xr:uid="{00000000-0005-0000-0000-0000443F0000}"/>
    <cellStyle name="Comma 13 3 2" xfId="10921" xr:uid="{00000000-0005-0000-0000-0000453F0000}"/>
    <cellStyle name="Comma 13 3 3" xfId="10922" xr:uid="{00000000-0005-0000-0000-0000463F0000}"/>
    <cellStyle name="Comma 13 3 4" xfId="10923" xr:uid="{00000000-0005-0000-0000-0000473F0000}"/>
    <cellStyle name="Comma 13 3 5" xfId="10924" xr:uid="{00000000-0005-0000-0000-0000483F0000}"/>
    <cellStyle name="Comma 13 3 6" xfId="10925" xr:uid="{00000000-0005-0000-0000-0000493F0000}"/>
    <cellStyle name="Comma 13 3 7" xfId="10926" xr:uid="{00000000-0005-0000-0000-00004A3F0000}"/>
    <cellStyle name="Comma 13 3 8" xfId="10927" xr:uid="{00000000-0005-0000-0000-00004B3F0000}"/>
    <cellStyle name="Comma 13 3 9" xfId="10928" xr:uid="{00000000-0005-0000-0000-00004C3F0000}"/>
    <cellStyle name="Comma 13 4" xfId="10929" xr:uid="{00000000-0005-0000-0000-00004D3F0000}"/>
    <cellStyle name="Comma 13 4 10" xfId="10930" xr:uid="{00000000-0005-0000-0000-00004E3F0000}"/>
    <cellStyle name="Comma 13 4 11" xfId="10931" xr:uid="{00000000-0005-0000-0000-00004F3F0000}"/>
    <cellStyle name="Comma 13 4 2" xfId="10932" xr:uid="{00000000-0005-0000-0000-0000503F0000}"/>
    <cellStyle name="Comma 13 4 3" xfId="10933" xr:uid="{00000000-0005-0000-0000-0000513F0000}"/>
    <cellStyle name="Comma 13 4 4" xfId="10934" xr:uid="{00000000-0005-0000-0000-0000523F0000}"/>
    <cellStyle name="Comma 13 4 5" xfId="10935" xr:uid="{00000000-0005-0000-0000-0000533F0000}"/>
    <cellStyle name="Comma 13 4 6" xfId="10936" xr:uid="{00000000-0005-0000-0000-0000543F0000}"/>
    <cellStyle name="Comma 13 4 7" xfId="10937" xr:uid="{00000000-0005-0000-0000-0000553F0000}"/>
    <cellStyle name="Comma 13 4 8" xfId="10938" xr:uid="{00000000-0005-0000-0000-0000563F0000}"/>
    <cellStyle name="Comma 13 4 9" xfId="10939" xr:uid="{00000000-0005-0000-0000-0000573F0000}"/>
    <cellStyle name="Comma 13 5" xfId="10940" xr:uid="{00000000-0005-0000-0000-0000583F0000}"/>
    <cellStyle name="Comma 13 5 10" xfId="10941" xr:uid="{00000000-0005-0000-0000-0000593F0000}"/>
    <cellStyle name="Comma 13 5 11" xfId="10942" xr:uid="{00000000-0005-0000-0000-00005A3F0000}"/>
    <cellStyle name="Comma 13 5 2" xfId="10943" xr:uid="{00000000-0005-0000-0000-00005B3F0000}"/>
    <cellStyle name="Comma 13 5 3" xfId="10944" xr:uid="{00000000-0005-0000-0000-00005C3F0000}"/>
    <cellStyle name="Comma 13 5 4" xfId="10945" xr:uid="{00000000-0005-0000-0000-00005D3F0000}"/>
    <cellStyle name="Comma 13 5 5" xfId="10946" xr:uid="{00000000-0005-0000-0000-00005E3F0000}"/>
    <cellStyle name="Comma 13 5 6" xfId="10947" xr:uid="{00000000-0005-0000-0000-00005F3F0000}"/>
    <cellStyle name="Comma 13 5 7" xfId="10948" xr:uid="{00000000-0005-0000-0000-0000603F0000}"/>
    <cellStyle name="Comma 13 5 8" xfId="10949" xr:uid="{00000000-0005-0000-0000-0000613F0000}"/>
    <cellStyle name="Comma 13 5 9" xfId="10950" xr:uid="{00000000-0005-0000-0000-0000623F0000}"/>
    <cellStyle name="Comma 13 6" xfId="10951" xr:uid="{00000000-0005-0000-0000-0000633F0000}"/>
    <cellStyle name="Comma 13 6 10" xfId="10952" xr:uid="{00000000-0005-0000-0000-0000643F0000}"/>
    <cellStyle name="Comma 13 6 11" xfId="10953" xr:uid="{00000000-0005-0000-0000-0000653F0000}"/>
    <cellStyle name="Comma 13 6 2" xfId="10954" xr:uid="{00000000-0005-0000-0000-0000663F0000}"/>
    <cellStyle name="Comma 13 6 3" xfId="10955" xr:uid="{00000000-0005-0000-0000-0000673F0000}"/>
    <cellStyle name="Comma 13 6 4" xfId="10956" xr:uid="{00000000-0005-0000-0000-0000683F0000}"/>
    <cellStyle name="Comma 13 6 5" xfId="10957" xr:uid="{00000000-0005-0000-0000-0000693F0000}"/>
    <cellStyle name="Comma 13 6 6" xfId="10958" xr:uid="{00000000-0005-0000-0000-00006A3F0000}"/>
    <cellStyle name="Comma 13 6 7" xfId="10959" xr:uid="{00000000-0005-0000-0000-00006B3F0000}"/>
    <cellStyle name="Comma 13 6 8" xfId="10960" xr:uid="{00000000-0005-0000-0000-00006C3F0000}"/>
    <cellStyle name="Comma 13 6 9" xfId="10961" xr:uid="{00000000-0005-0000-0000-00006D3F0000}"/>
    <cellStyle name="Comma 13 7" xfId="10962" xr:uid="{00000000-0005-0000-0000-00006E3F0000}"/>
    <cellStyle name="Comma 13 7 10" xfId="10963" xr:uid="{00000000-0005-0000-0000-00006F3F0000}"/>
    <cellStyle name="Comma 13 7 11" xfId="10964" xr:uid="{00000000-0005-0000-0000-0000703F0000}"/>
    <cellStyle name="Comma 13 7 2" xfId="10965" xr:uid="{00000000-0005-0000-0000-0000713F0000}"/>
    <cellStyle name="Comma 13 7 3" xfId="10966" xr:uid="{00000000-0005-0000-0000-0000723F0000}"/>
    <cellStyle name="Comma 13 7 4" xfId="10967" xr:uid="{00000000-0005-0000-0000-0000733F0000}"/>
    <cellStyle name="Comma 13 7 5" xfId="10968" xr:uid="{00000000-0005-0000-0000-0000743F0000}"/>
    <cellStyle name="Comma 13 7 6" xfId="10969" xr:uid="{00000000-0005-0000-0000-0000753F0000}"/>
    <cellStyle name="Comma 13 7 7" xfId="10970" xr:uid="{00000000-0005-0000-0000-0000763F0000}"/>
    <cellStyle name="Comma 13 7 8" xfId="10971" xr:uid="{00000000-0005-0000-0000-0000773F0000}"/>
    <cellStyle name="Comma 13 7 9" xfId="10972" xr:uid="{00000000-0005-0000-0000-0000783F0000}"/>
    <cellStyle name="Comma 13 8" xfId="10973" xr:uid="{00000000-0005-0000-0000-0000793F0000}"/>
    <cellStyle name="Comma 13 8 10" xfId="10974" xr:uid="{00000000-0005-0000-0000-00007A3F0000}"/>
    <cellStyle name="Comma 13 8 11" xfId="10975" xr:uid="{00000000-0005-0000-0000-00007B3F0000}"/>
    <cellStyle name="Comma 13 8 2" xfId="10976" xr:uid="{00000000-0005-0000-0000-00007C3F0000}"/>
    <cellStyle name="Comma 13 8 3" xfId="10977" xr:uid="{00000000-0005-0000-0000-00007D3F0000}"/>
    <cellStyle name="Comma 13 8 4" xfId="10978" xr:uid="{00000000-0005-0000-0000-00007E3F0000}"/>
    <cellStyle name="Comma 13 8 5" xfId="10979" xr:uid="{00000000-0005-0000-0000-00007F3F0000}"/>
    <cellStyle name="Comma 13 8 6" xfId="10980" xr:uid="{00000000-0005-0000-0000-0000803F0000}"/>
    <cellStyle name="Comma 13 8 7" xfId="10981" xr:uid="{00000000-0005-0000-0000-0000813F0000}"/>
    <cellStyle name="Comma 13 8 8" xfId="10982" xr:uid="{00000000-0005-0000-0000-0000823F0000}"/>
    <cellStyle name="Comma 13 8 9" xfId="10983" xr:uid="{00000000-0005-0000-0000-0000833F0000}"/>
    <cellStyle name="Comma 13 9" xfId="10984" xr:uid="{00000000-0005-0000-0000-0000843F0000}"/>
    <cellStyle name="Comma 13 9 10" xfId="10985" xr:uid="{00000000-0005-0000-0000-0000853F0000}"/>
    <cellStyle name="Comma 13 9 11" xfId="10986" xr:uid="{00000000-0005-0000-0000-0000863F0000}"/>
    <cellStyle name="Comma 13 9 2" xfId="10987" xr:uid="{00000000-0005-0000-0000-0000873F0000}"/>
    <cellStyle name="Comma 13 9 3" xfId="10988" xr:uid="{00000000-0005-0000-0000-0000883F0000}"/>
    <cellStyle name="Comma 13 9 4" xfId="10989" xr:uid="{00000000-0005-0000-0000-0000893F0000}"/>
    <cellStyle name="Comma 13 9 5" xfId="10990" xr:uid="{00000000-0005-0000-0000-00008A3F0000}"/>
    <cellStyle name="Comma 13 9 6" xfId="10991" xr:uid="{00000000-0005-0000-0000-00008B3F0000}"/>
    <cellStyle name="Comma 13 9 7" xfId="10992" xr:uid="{00000000-0005-0000-0000-00008C3F0000}"/>
    <cellStyle name="Comma 13 9 8" xfId="10993" xr:uid="{00000000-0005-0000-0000-00008D3F0000}"/>
    <cellStyle name="Comma 13 9 9" xfId="10994" xr:uid="{00000000-0005-0000-0000-00008E3F0000}"/>
    <cellStyle name="Comma 130" xfId="37545" xr:uid="{00000000-0005-0000-0000-00008F3F0000}"/>
    <cellStyle name="Comma 131" xfId="37549" xr:uid="{00000000-0005-0000-0000-0000903F0000}"/>
    <cellStyle name="Comma 132" xfId="37547" xr:uid="{00000000-0005-0000-0000-0000913F0000}"/>
    <cellStyle name="Comma 133" xfId="37550" xr:uid="{00000000-0005-0000-0000-0000923F0000}"/>
    <cellStyle name="Comma 134" xfId="37542" xr:uid="{00000000-0005-0000-0000-0000933F0000}"/>
    <cellStyle name="Comma 135" xfId="37551" xr:uid="{00000000-0005-0000-0000-0000943F0000}"/>
    <cellStyle name="Comma 136" xfId="37548" xr:uid="{00000000-0005-0000-0000-0000953F0000}"/>
    <cellStyle name="Comma 137" xfId="37552" xr:uid="{00000000-0005-0000-0000-0000963F0000}"/>
    <cellStyle name="Comma 138" xfId="37546" xr:uid="{00000000-0005-0000-0000-0000973F0000}"/>
    <cellStyle name="Comma 139" xfId="37560" xr:uid="{00000000-0005-0000-0000-0000983F0000}"/>
    <cellStyle name="Comma 14" xfId="10995" xr:uid="{00000000-0005-0000-0000-0000993F0000}"/>
    <cellStyle name="Comma 14 10" xfId="10996" xr:uid="{00000000-0005-0000-0000-00009A3F0000}"/>
    <cellStyle name="Comma 14 11" xfId="10997" xr:uid="{00000000-0005-0000-0000-00009B3F0000}"/>
    <cellStyle name="Comma 14 12" xfId="10998" xr:uid="{00000000-0005-0000-0000-00009C3F0000}"/>
    <cellStyle name="Comma 14 13" xfId="10999" xr:uid="{00000000-0005-0000-0000-00009D3F0000}"/>
    <cellStyle name="Comma 14 14" xfId="11000" xr:uid="{00000000-0005-0000-0000-00009E3F0000}"/>
    <cellStyle name="Comma 14 15" xfId="11001" xr:uid="{00000000-0005-0000-0000-00009F3F0000}"/>
    <cellStyle name="Comma 14 16" xfId="11002" xr:uid="{00000000-0005-0000-0000-0000A03F0000}"/>
    <cellStyle name="Comma 14 17" xfId="11003" xr:uid="{00000000-0005-0000-0000-0000A13F0000}"/>
    <cellStyle name="Comma 14 18" xfId="11004" xr:uid="{00000000-0005-0000-0000-0000A23F0000}"/>
    <cellStyle name="Comma 14 19" xfId="11005" xr:uid="{00000000-0005-0000-0000-0000A33F0000}"/>
    <cellStyle name="Comma 14 2" xfId="11006" xr:uid="{00000000-0005-0000-0000-0000A43F0000}"/>
    <cellStyle name="Comma 14 20" xfId="11007" xr:uid="{00000000-0005-0000-0000-0000A53F0000}"/>
    <cellStyle name="Comma 14 21" xfId="11008" xr:uid="{00000000-0005-0000-0000-0000A63F0000}"/>
    <cellStyle name="Comma 14 22" xfId="11009" xr:uid="{00000000-0005-0000-0000-0000A73F0000}"/>
    <cellStyle name="Comma 14 23" xfId="11010" xr:uid="{00000000-0005-0000-0000-0000A83F0000}"/>
    <cellStyle name="Comma 14 3" xfId="11011" xr:uid="{00000000-0005-0000-0000-0000A93F0000}"/>
    <cellStyle name="Comma 14 4" xfId="11012" xr:uid="{00000000-0005-0000-0000-0000AA3F0000}"/>
    <cellStyle name="Comma 14 5" xfId="11013" xr:uid="{00000000-0005-0000-0000-0000AB3F0000}"/>
    <cellStyle name="Comma 14 6" xfId="11014" xr:uid="{00000000-0005-0000-0000-0000AC3F0000}"/>
    <cellStyle name="Comma 14 7" xfId="11015" xr:uid="{00000000-0005-0000-0000-0000AD3F0000}"/>
    <cellStyle name="Comma 14 8" xfId="11016" xr:uid="{00000000-0005-0000-0000-0000AE3F0000}"/>
    <cellStyle name="Comma 14 9" xfId="11017" xr:uid="{00000000-0005-0000-0000-0000AF3F0000}"/>
    <cellStyle name="Comma 140" xfId="37564" xr:uid="{00000000-0005-0000-0000-0000B03F0000}"/>
    <cellStyle name="Comma 141" xfId="37566" xr:uid="{00000000-0005-0000-0000-0000B13F0000}"/>
    <cellStyle name="Comma 142" xfId="37568" xr:uid="{00000000-0005-0000-0000-0000B23F0000}"/>
    <cellStyle name="Comma 143" xfId="37543" xr:uid="{00000000-0005-0000-0000-0000B33F0000}"/>
    <cellStyle name="Comma 144" xfId="37570" xr:uid="{00000000-0005-0000-0000-0000B43F0000}"/>
    <cellStyle name="Comma 145" xfId="37571" xr:uid="{00000000-0005-0000-0000-0000B53F0000}"/>
    <cellStyle name="Comma 15" xfId="11018" xr:uid="{00000000-0005-0000-0000-0000B63F0000}"/>
    <cellStyle name="Comma 15 10" xfId="11019" xr:uid="{00000000-0005-0000-0000-0000B73F0000}"/>
    <cellStyle name="Comma 15 11" xfId="11020" xr:uid="{00000000-0005-0000-0000-0000B83F0000}"/>
    <cellStyle name="Comma 15 12" xfId="11021" xr:uid="{00000000-0005-0000-0000-0000B93F0000}"/>
    <cellStyle name="Comma 15 13" xfId="11022" xr:uid="{00000000-0005-0000-0000-0000BA3F0000}"/>
    <cellStyle name="Comma 15 14" xfId="11023" xr:uid="{00000000-0005-0000-0000-0000BB3F0000}"/>
    <cellStyle name="Comma 15 15" xfId="11024" xr:uid="{00000000-0005-0000-0000-0000BC3F0000}"/>
    <cellStyle name="Comma 15 16" xfId="11025" xr:uid="{00000000-0005-0000-0000-0000BD3F0000}"/>
    <cellStyle name="Comma 15 17" xfId="11026" xr:uid="{00000000-0005-0000-0000-0000BE3F0000}"/>
    <cellStyle name="Comma 15 18" xfId="11027" xr:uid="{00000000-0005-0000-0000-0000BF3F0000}"/>
    <cellStyle name="Comma 15 19" xfId="11028" xr:uid="{00000000-0005-0000-0000-0000C03F0000}"/>
    <cellStyle name="Comma 15 2" xfId="11029" xr:uid="{00000000-0005-0000-0000-0000C13F0000}"/>
    <cellStyle name="Comma 15 20" xfId="11030" xr:uid="{00000000-0005-0000-0000-0000C23F0000}"/>
    <cellStyle name="Comma 15 21" xfId="11031" xr:uid="{00000000-0005-0000-0000-0000C33F0000}"/>
    <cellStyle name="Comma 15 22" xfId="11032" xr:uid="{00000000-0005-0000-0000-0000C43F0000}"/>
    <cellStyle name="Comma 15 23" xfId="11033" xr:uid="{00000000-0005-0000-0000-0000C53F0000}"/>
    <cellStyle name="Comma 15 3" xfId="11034" xr:uid="{00000000-0005-0000-0000-0000C63F0000}"/>
    <cellStyle name="Comma 15 4" xfId="11035" xr:uid="{00000000-0005-0000-0000-0000C73F0000}"/>
    <cellStyle name="Comma 15 5" xfId="11036" xr:uid="{00000000-0005-0000-0000-0000C83F0000}"/>
    <cellStyle name="Comma 15 5 2" xfId="11037" xr:uid="{00000000-0005-0000-0000-0000C93F0000}"/>
    <cellStyle name="Comma 15 6" xfId="11038" xr:uid="{00000000-0005-0000-0000-0000CA3F0000}"/>
    <cellStyle name="Comma 15 7" xfId="11039" xr:uid="{00000000-0005-0000-0000-0000CB3F0000}"/>
    <cellStyle name="Comma 15 8" xfId="11040" xr:uid="{00000000-0005-0000-0000-0000CC3F0000}"/>
    <cellStyle name="Comma 15 9" xfId="11041" xr:uid="{00000000-0005-0000-0000-0000CD3F0000}"/>
    <cellStyle name="Comma 16" xfId="20" xr:uid="{00000000-0005-0000-0000-0000CE3F0000}"/>
    <cellStyle name="Comma 16 10" xfId="11042" xr:uid="{00000000-0005-0000-0000-0000CF3F0000}"/>
    <cellStyle name="Comma 16 11" xfId="11043" xr:uid="{00000000-0005-0000-0000-0000D03F0000}"/>
    <cellStyle name="Comma 16 12" xfId="11044" xr:uid="{00000000-0005-0000-0000-0000D13F0000}"/>
    <cellStyle name="Comma 16 13" xfId="11045" xr:uid="{00000000-0005-0000-0000-0000D23F0000}"/>
    <cellStyle name="Comma 16 14" xfId="11046" xr:uid="{00000000-0005-0000-0000-0000D33F0000}"/>
    <cellStyle name="Comma 16 15" xfId="11047" xr:uid="{00000000-0005-0000-0000-0000D43F0000}"/>
    <cellStyle name="Comma 16 16" xfId="11048" xr:uid="{00000000-0005-0000-0000-0000D53F0000}"/>
    <cellStyle name="Comma 16 17" xfId="11049" xr:uid="{00000000-0005-0000-0000-0000D63F0000}"/>
    <cellStyle name="Comma 16 18" xfId="11050" xr:uid="{00000000-0005-0000-0000-0000D73F0000}"/>
    <cellStyle name="Comma 16 19" xfId="11051" xr:uid="{00000000-0005-0000-0000-0000D83F0000}"/>
    <cellStyle name="Comma 16 2" xfId="41" xr:uid="{00000000-0005-0000-0000-0000D93F0000}"/>
    <cellStyle name="Comma 16 20" xfId="11052" xr:uid="{00000000-0005-0000-0000-0000DA3F0000}"/>
    <cellStyle name="Comma 16 21" xfId="11053" xr:uid="{00000000-0005-0000-0000-0000DB3F0000}"/>
    <cellStyle name="Comma 16 22" xfId="11054" xr:uid="{00000000-0005-0000-0000-0000DC3F0000}"/>
    <cellStyle name="Comma 16 23" xfId="11055" xr:uid="{00000000-0005-0000-0000-0000DD3F0000}"/>
    <cellStyle name="Comma 16 24" xfId="11056" xr:uid="{00000000-0005-0000-0000-0000DE3F0000}"/>
    <cellStyle name="Comma 16 25" xfId="11057" xr:uid="{00000000-0005-0000-0000-0000DF3F0000}"/>
    <cellStyle name="Comma 16 3" xfId="11058" xr:uid="{00000000-0005-0000-0000-0000E03F0000}"/>
    <cellStyle name="Comma 16 4" xfId="11059" xr:uid="{00000000-0005-0000-0000-0000E13F0000}"/>
    <cellStyle name="Comma 16 5" xfId="11060" xr:uid="{00000000-0005-0000-0000-0000E23F0000}"/>
    <cellStyle name="Comma 16 6" xfId="11061" xr:uid="{00000000-0005-0000-0000-0000E33F0000}"/>
    <cellStyle name="Comma 16 7" xfId="11062" xr:uid="{00000000-0005-0000-0000-0000E43F0000}"/>
    <cellStyle name="Comma 16 8" xfId="11063" xr:uid="{00000000-0005-0000-0000-0000E53F0000}"/>
    <cellStyle name="Comma 16 9" xfId="11064" xr:uid="{00000000-0005-0000-0000-0000E63F0000}"/>
    <cellStyle name="Comma 17" xfId="11065" xr:uid="{00000000-0005-0000-0000-0000E73F0000}"/>
    <cellStyle name="Comma 17 10" xfId="11066" xr:uid="{00000000-0005-0000-0000-0000E83F0000}"/>
    <cellStyle name="Comma 17 11" xfId="11067" xr:uid="{00000000-0005-0000-0000-0000E93F0000}"/>
    <cellStyle name="Comma 17 12" xfId="11068" xr:uid="{00000000-0005-0000-0000-0000EA3F0000}"/>
    <cellStyle name="Comma 17 13" xfId="11069" xr:uid="{00000000-0005-0000-0000-0000EB3F0000}"/>
    <cellStyle name="Comma 17 14" xfId="11070" xr:uid="{00000000-0005-0000-0000-0000EC3F0000}"/>
    <cellStyle name="Comma 17 15" xfId="11071" xr:uid="{00000000-0005-0000-0000-0000ED3F0000}"/>
    <cellStyle name="Comma 17 16" xfId="11072" xr:uid="{00000000-0005-0000-0000-0000EE3F0000}"/>
    <cellStyle name="Comma 17 17" xfId="11073" xr:uid="{00000000-0005-0000-0000-0000EF3F0000}"/>
    <cellStyle name="Comma 17 18" xfId="11074" xr:uid="{00000000-0005-0000-0000-0000F03F0000}"/>
    <cellStyle name="Comma 17 19" xfId="11075" xr:uid="{00000000-0005-0000-0000-0000F13F0000}"/>
    <cellStyle name="Comma 17 2" xfId="11076" xr:uid="{00000000-0005-0000-0000-0000F23F0000}"/>
    <cellStyle name="Comma 17 20" xfId="11077" xr:uid="{00000000-0005-0000-0000-0000F33F0000}"/>
    <cellStyle name="Comma 17 21" xfId="11078" xr:uid="{00000000-0005-0000-0000-0000F43F0000}"/>
    <cellStyle name="Comma 17 22" xfId="11079" xr:uid="{00000000-0005-0000-0000-0000F53F0000}"/>
    <cellStyle name="Comma 17 23" xfId="11080" xr:uid="{00000000-0005-0000-0000-0000F63F0000}"/>
    <cellStyle name="Comma 17 24" xfId="11081" xr:uid="{00000000-0005-0000-0000-0000F73F0000}"/>
    <cellStyle name="Comma 17 25" xfId="11082" xr:uid="{00000000-0005-0000-0000-0000F83F0000}"/>
    <cellStyle name="Comma 17 26" xfId="11083" xr:uid="{00000000-0005-0000-0000-0000F93F0000}"/>
    <cellStyle name="Comma 17 27" xfId="11084" xr:uid="{00000000-0005-0000-0000-0000FA3F0000}"/>
    <cellStyle name="Comma 17 28" xfId="11085" xr:uid="{00000000-0005-0000-0000-0000FB3F0000}"/>
    <cellStyle name="Comma 17 29" xfId="11086" xr:uid="{00000000-0005-0000-0000-0000FC3F0000}"/>
    <cellStyle name="Comma 17 3" xfId="11087" xr:uid="{00000000-0005-0000-0000-0000FD3F0000}"/>
    <cellStyle name="Comma 17 30" xfId="11088" xr:uid="{00000000-0005-0000-0000-0000FE3F0000}"/>
    <cellStyle name="Comma 17 31" xfId="11089" xr:uid="{00000000-0005-0000-0000-0000FF3F0000}"/>
    <cellStyle name="Comma 17 32" xfId="11090" xr:uid="{00000000-0005-0000-0000-000000400000}"/>
    <cellStyle name="Comma 17 33" xfId="11091" xr:uid="{00000000-0005-0000-0000-000001400000}"/>
    <cellStyle name="Comma 17 34" xfId="11092" xr:uid="{00000000-0005-0000-0000-000002400000}"/>
    <cellStyle name="Comma 17 35" xfId="11093" xr:uid="{00000000-0005-0000-0000-000003400000}"/>
    <cellStyle name="Comma 17 36" xfId="11094" xr:uid="{00000000-0005-0000-0000-000004400000}"/>
    <cellStyle name="Comma 17 37" xfId="11095" xr:uid="{00000000-0005-0000-0000-000005400000}"/>
    <cellStyle name="Comma 17 38" xfId="11096" xr:uid="{00000000-0005-0000-0000-000006400000}"/>
    <cellStyle name="Comma 17 39" xfId="11097" xr:uid="{00000000-0005-0000-0000-000007400000}"/>
    <cellStyle name="Comma 17 4" xfId="11098" xr:uid="{00000000-0005-0000-0000-000008400000}"/>
    <cellStyle name="Comma 17 40" xfId="11099" xr:uid="{00000000-0005-0000-0000-000009400000}"/>
    <cellStyle name="Comma 17 41" xfId="11100" xr:uid="{00000000-0005-0000-0000-00000A400000}"/>
    <cellStyle name="Comma 17 42" xfId="11101" xr:uid="{00000000-0005-0000-0000-00000B400000}"/>
    <cellStyle name="Comma 17 43" xfId="11102" xr:uid="{00000000-0005-0000-0000-00000C400000}"/>
    <cellStyle name="Comma 17 44" xfId="11103" xr:uid="{00000000-0005-0000-0000-00000D400000}"/>
    <cellStyle name="Comma 17 45" xfId="11104" xr:uid="{00000000-0005-0000-0000-00000E400000}"/>
    <cellStyle name="Comma 17 46" xfId="11105" xr:uid="{00000000-0005-0000-0000-00000F400000}"/>
    <cellStyle name="Comma 17 47" xfId="11106" xr:uid="{00000000-0005-0000-0000-000010400000}"/>
    <cellStyle name="Comma 17 48" xfId="11107" xr:uid="{00000000-0005-0000-0000-000011400000}"/>
    <cellStyle name="Comma 17 49" xfId="11108" xr:uid="{00000000-0005-0000-0000-000012400000}"/>
    <cellStyle name="Comma 17 5" xfId="11109" xr:uid="{00000000-0005-0000-0000-000013400000}"/>
    <cellStyle name="Comma 17 50" xfId="11110" xr:uid="{00000000-0005-0000-0000-000014400000}"/>
    <cellStyle name="Comma 17 51" xfId="11111" xr:uid="{00000000-0005-0000-0000-000015400000}"/>
    <cellStyle name="Comma 17 52" xfId="11112" xr:uid="{00000000-0005-0000-0000-000016400000}"/>
    <cellStyle name="Comma 17 53" xfId="11113" xr:uid="{00000000-0005-0000-0000-000017400000}"/>
    <cellStyle name="Comma 17 54" xfId="11114" xr:uid="{00000000-0005-0000-0000-000018400000}"/>
    <cellStyle name="Comma 17 55" xfId="11115" xr:uid="{00000000-0005-0000-0000-000019400000}"/>
    <cellStyle name="Comma 17 56" xfId="11116" xr:uid="{00000000-0005-0000-0000-00001A400000}"/>
    <cellStyle name="Comma 17 57" xfId="11117" xr:uid="{00000000-0005-0000-0000-00001B400000}"/>
    <cellStyle name="Comma 17 58" xfId="11118" xr:uid="{00000000-0005-0000-0000-00001C400000}"/>
    <cellStyle name="Comma 17 59" xfId="11119" xr:uid="{00000000-0005-0000-0000-00001D400000}"/>
    <cellStyle name="Comma 17 6" xfId="11120" xr:uid="{00000000-0005-0000-0000-00001E400000}"/>
    <cellStyle name="Comma 17 60" xfId="11121" xr:uid="{00000000-0005-0000-0000-00001F400000}"/>
    <cellStyle name="Comma 17 61" xfId="11122" xr:uid="{00000000-0005-0000-0000-000020400000}"/>
    <cellStyle name="Comma 17 62" xfId="11123" xr:uid="{00000000-0005-0000-0000-000021400000}"/>
    <cellStyle name="Comma 17 63" xfId="11124" xr:uid="{00000000-0005-0000-0000-000022400000}"/>
    <cellStyle name="Comma 17 64" xfId="11125" xr:uid="{00000000-0005-0000-0000-000023400000}"/>
    <cellStyle name="Comma 17 65" xfId="11126" xr:uid="{00000000-0005-0000-0000-000024400000}"/>
    <cellStyle name="Comma 17 66" xfId="11127" xr:uid="{00000000-0005-0000-0000-000025400000}"/>
    <cellStyle name="Comma 17 67" xfId="11128" xr:uid="{00000000-0005-0000-0000-000026400000}"/>
    <cellStyle name="Comma 17 68" xfId="11129" xr:uid="{00000000-0005-0000-0000-000027400000}"/>
    <cellStyle name="Comma 17 69" xfId="11130" xr:uid="{00000000-0005-0000-0000-000028400000}"/>
    <cellStyle name="Comma 17 7" xfId="11131" xr:uid="{00000000-0005-0000-0000-000029400000}"/>
    <cellStyle name="Comma 17 70" xfId="11132" xr:uid="{00000000-0005-0000-0000-00002A400000}"/>
    <cellStyle name="Comma 17 71" xfId="11133" xr:uid="{00000000-0005-0000-0000-00002B400000}"/>
    <cellStyle name="Comma 17 72" xfId="11134" xr:uid="{00000000-0005-0000-0000-00002C400000}"/>
    <cellStyle name="Comma 17 73" xfId="11135" xr:uid="{00000000-0005-0000-0000-00002D400000}"/>
    <cellStyle name="Comma 17 74" xfId="11136" xr:uid="{00000000-0005-0000-0000-00002E400000}"/>
    <cellStyle name="Comma 17 8" xfId="11137" xr:uid="{00000000-0005-0000-0000-00002F400000}"/>
    <cellStyle name="Comma 17 9" xfId="11138" xr:uid="{00000000-0005-0000-0000-000030400000}"/>
    <cellStyle name="Comma 18" xfId="11139" xr:uid="{00000000-0005-0000-0000-000031400000}"/>
    <cellStyle name="Comma 18 2" xfId="11140" xr:uid="{00000000-0005-0000-0000-000032400000}"/>
    <cellStyle name="Comma 18 2 2" xfId="11141" xr:uid="{00000000-0005-0000-0000-000033400000}"/>
    <cellStyle name="Comma 18 2 3" xfId="11142" xr:uid="{00000000-0005-0000-0000-000034400000}"/>
    <cellStyle name="Comma 19" xfId="11143" xr:uid="{00000000-0005-0000-0000-000035400000}"/>
    <cellStyle name="Comma 19 2" xfId="11144" xr:uid="{00000000-0005-0000-0000-000036400000}"/>
    <cellStyle name="Comma 2" xfId="3" xr:uid="{00000000-0005-0000-0000-000037400000}"/>
    <cellStyle name="Comma 2 10" xfId="11145" xr:uid="{00000000-0005-0000-0000-000038400000}"/>
    <cellStyle name="Comma 2 10 10" xfId="11146" xr:uid="{00000000-0005-0000-0000-000039400000}"/>
    <cellStyle name="Comma 2 10 11" xfId="11147" xr:uid="{00000000-0005-0000-0000-00003A400000}"/>
    <cellStyle name="Comma 2 10 12" xfId="11148" xr:uid="{00000000-0005-0000-0000-00003B400000}"/>
    <cellStyle name="Comma 2 10 2" xfId="23" xr:uid="{00000000-0005-0000-0000-00003C400000}"/>
    <cellStyle name="Comma 2 10 2 2" xfId="43" xr:uid="{00000000-0005-0000-0000-00003D400000}"/>
    <cellStyle name="Comma 2 10 2 3" xfId="11149" xr:uid="{00000000-0005-0000-0000-00003E400000}"/>
    <cellStyle name="Comma 2 10 3" xfId="11150" xr:uid="{00000000-0005-0000-0000-00003F400000}"/>
    <cellStyle name="Comma 2 10 4" xfId="11151" xr:uid="{00000000-0005-0000-0000-000040400000}"/>
    <cellStyle name="Comma 2 10 5" xfId="11152" xr:uid="{00000000-0005-0000-0000-000041400000}"/>
    <cellStyle name="Comma 2 10 6" xfId="11153" xr:uid="{00000000-0005-0000-0000-000042400000}"/>
    <cellStyle name="Comma 2 10 7" xfId="11154" xr:uid="{00000000-0005-0000-0000-000043400000}"/>
    <cellStyle name="Comma 2 10 8" xfId="11155" xr:uid="{00000000-0005-0000-0000-000044400000}"/>
    <cellStyle name="Comma 2 10 9" xfId="11156" xr:uid="{00000000-0005-0000-0000-000045400000}"/>
    <cellStyle name="Comma 2 11" xfId="11157" xr:uid="{00000000-0005-0000-0000-000046400000}"/>
    <cellStyle name="Comma 2 12" xfId="11158" xr:uid="{00000000-0005-0000-0000-000047400000}"/>
    <cellStyle name="Comma 2 13" xfId="11159" xr:uid="{00000000-0005-0000-0000-000048400000}"/>
    <cellStyle name="Comma 2 14" xfId="11160" xr:uid="{00000000-0005-0000-0000-000049400000}"/>
    <cellStyle name="Comma 2 15" xfId="11161" xr:uid="{00000000-0005-0000-0000-00004A400000}"/>
    <cellStyle name="Comma 2 16" xfId="11162" xr:uid="{00000000-0005-0000-0000-00004B400000}"/>
    <cellStyle name="Comma 2 17" xfId="11163" xr:uid="{00000000-0005-0000-0000-00004C400000}"/>
    <cellStyle name="Comma 2 18" xfId="11164" xr:uid="{00000000-0005-0000-0000-00004D400000}"/>
    <cellStyle name="Comma 2 19" xfId="11165" xr:uid="{00000000-0005-0000-0000-00004E400000}"/>
    <cellStyle name="Comma 2 2" xfId="22" xr:uid="{00000000-0005-0000-0000-00004F400000}"/>
    <cellStyle name="Comma 2 2 10" xfId="11166" xr:uid="{00000000-0005-0000-0000-000050400000}"/>
    <cellStyle name="Comma 2 2 11" xfId="11167" xr:uid="{00000000-0005-0000-0000-000051400000}"/>
    <cellStyle name="Comma 2 2 12" xfId="11168" xr:uid="{00000000-0005-0000-0000-000052400000}"/>
    <cellStyle name="Comma 2 2 13" xfId="11169" xr:uid="{00000000-0005-0000-0000-000053400000}"/>
    <cellStyle name="Comma 2 2 13 2" xfId="11170" xr:uid="{00000000-0005-0000-0000-000054400000}"/>
    <cellStyle name="Comma 2 2 13 3" xfId="11171" xr:uid="{00000000-0005-0000-0000-000055400000}"/>
    <cellStyle name="Comma 2 2 13 4" xfId="11172" xr:uid="{00000000-0005-0000-0000-000056400000}"/>
    <cellStyle name="Comma 2 2 13 5" xfId="11173" xr:uid="{00000000-0005-0000-0000-000057400000}"/>
    <cellStyle name="Comma 2 2 13 6" xfId="11174" xr:uid="{00000000-0005-0000-0000-000058400000}"/>
    <cellStyle name="Comma 2 2 13 7" xfId="11175" xr:uid="{00000000-0005-0000-0000-000059400000}"/>
    <cellStyle name="Comma 2 2 14" xfId="11176" xr:uid="{00000000-0005-0000-0000-00005A400000}"/>
    <cellStyle name="Comma 2 2 15" xfId="11177" xr:uid="{00000000-0005-0000-0000-00005B400000}"/>
    <cellStyle name="Comma 2 2 16" xfId="11178" xr:uid="{00000000-0005-0000-0000-00005C400000}"/>
    <cellStyle name="Comma 2 2 17" xfId="11179" xr:uid="{00000000-0005-0000-0000-00005D400000}"/>
    <cellStyle name="Comma 2 2 18" xfId="11180" xr:uid="{00000000-0005-0000-0000-00005E400000}"/>
    <cellStyle name="Comma 2 2 19" xfId="11181" xr:uid="{00000000-0005-0000-0000-00005F400000}"/>
    <cellStyle name="Comma 2 2 19 2" xfId="11182" xr:uid="{00000000-0005-0000-0000-000060400000}"/>
    <cellStyle name="Comma 2 2 19 3" xfId="11183" xr:uid="{00000000-0005-0000-0000-000061400000}"/>
    <cellStyle name="Comma 2 2 2" xfId="14" xr:uid="{00000000-0005-0000-0000-000062400000}"/>
    <cellStyle name="Comma 2 2 2 10" xfId="11184" xr:uid="{00000000-0005-0000-0000-000063400000}"/>
    <cellStyle name="Comma 2 2 2 11" xfId="11185" xr:uid="{00000000-0005-0000-0000-000064400000}"/>
    <cellStyle name="Comma 2 2 2 12" xfId="11186" xr:uid="{00000000-0005-0000-0000-000065400000}"/>
    <cellStyle name="Comma 2 2 2 13" xfId="11187" xr:uid="{00000000-0005-0000-0000-000066400000}"/>
    <cellStyle name="Comma 2 2 2 14" xfId="11188" xr:uid="{00000000-0005-0000-0000-000067400000}"/>
    <cellStyle name="Comma 2 2 2 15" xfId="11189" xr:uid="{00000000-0005-0000-0000-000068400000}"/>
    <cellStyle name="Comma 2 2 2 16" xfId="11190" xr:uid="{00000000-0005-0000-0000-000069400000}"/>
    <cellStyle name="Comma 2 2 2 17" xfId="11191" xr:uid="{00000000-0005-0000-0000-00006A400000}"/>
    <cellStyle name="Comma 2 2 2 18" xfId="11192" xr:uid="{00000000-0005-0000-0000-00006B400000}"/>
    <cellStyle name="Comma 2 2 2 18 2" xfId="11193" xr:uid="{00000000-0005-0000-0000-00006C400000}"/>
    <cellStyle name="Comma 2 2 2 18 3" xfId="11194" xr:uid="{00000000-0005-0000-0000-00006D400000}"/>
    <cellStyle name="Comma 2 2 2 19" xfId="11195" xr:uid="{00000000-0005-0000-0000-00006E400000}"/>
    <cellStyle name="Comma 2 2 2 2" xfId="39" xr:uid="{00000000-0005-0000-0000-00006F400000}"/>
    <cellStyle name="Comma 2 2 2 2 10" xfId="11196" xr:uid="{00000000-0005-0000-0000-000070400000}"/>
    <cellStyle name="Comma 2 2 2 2 2" xfId="11197" xr:uid="{00000000-0005-0000-0000-000071400000}"/>
    <cellStyle name="Comma 2 2 2 2 2 10" xfId="11198" xr:uid="{00000000-0005-0000-0000-000072400000}"/>
    <cellStyle name="Comma 2 2 2 2 2 10 2" xfId="11199" xr:uid="{00000000-0005-0000-0000-000073400000}"/>
    <cellStyle name="Comma 2 2 2 2 2 2" xfId="11200" xr:uid="{00000000-0005-0000-0000-000074400000}"/>
    <cellStyle name="Comma 2 2 2 2 2 2 2" xfId="11201" xr:uid="{00000000-0005-0000-0000-000075400000}"/>
    <cellStyle name="Comma 2 2 2 2 2 2 2 2" xfId="11202" xr:uid="{00000000-0005-0000-0000-000076400000}"/>
    <cellStyle name="Comma 2 2 2 2 2 2 2 3" xfId="11203" xr:uid="{00000000-0005-0000-0000-000077400000}"/>
    <cellStyle name="Comma 2 2 2 2 2 2 3" xfId="11204" xr:uid="{00000000-0005-0000-0000-000078400000}"/>
    <cellStyle name="Comma 2 2 2 2 2 2 4" xfId="11205" xr:uid="{00000000-0005-0000-0000-000079400000}"/>
    <cellStyle name="Comma 2 2 2 2 2 3" xfId="11206" xr:uid="{00000000-0005-0000-0000-00007A400000}"/>
    <cellStyle name="Comma 2 2 2 2 2 4" xfId="11207" xr:uid="{00000000-0005-0000-0000-00007B400000}"/>
    <cellStyle name="Comma 2 2 2 2 2 5" xfId="11208" xr:uid="{00000000-0005-0000-0000-00007C400000}"/>
    <cellStyle name="Comma 2 2 2 2 2 6" xfId="11209" xr:uid="{00000000-0005-0000-0000-00007D400000}"/>
    <cellStyle name="Comma 2 2 2 2 2 7" xfId="11210" xr:uid="{00000000-0005-0000-0000-00007E400000}"/>
    <cellStyle name="Comma 2 2 2 2 2 8" xfId="11211" xr:uid="{00000000-0005-0000-0000-00007F400000}"/>
    <cellStyle name="Comma 2 2 2 2 2 8 2" xfId="11212" xr:uid="{00000000-0005-0000-0000-000080400000}"/>
    <cellStyle name="Comma 2 2 2 2 2 8 3" xfId="11213" xr:uid="{00000000-0005-0000-0000-000081400000}"/>
    <cellStyle name="Comma 2 2 2 2 2 9" xfId="11214" xr:uid="{00000000-0005-0000-0000-000082400000}"/>
    <cellStyle name="Comma 2 2 2 2 3" xfId="11215" xr:uid="{00000000-0005-0000-0000-000083400000}"/>
    <cellStyle name="Comma 2 2 2 2 4" xfId="11216" xr:uid="{00000000-0005-0000-0000-000084400000}"/>
    <cellStyle name="Comma 2 2 2 2 5" xfId="11217" xr:uid="{00000000-0005-0000-0000-000085400000}"/>
    <cellStyle name="Comma 2 2 2 2 6" xfId="11218" xr:uid="{00000000-0005-0000-0000-000086400000}"/>
    <cellStyle name="Comma 2 2 2 2 7" xfId="11219" xr:uid="{00000000-0005-0000-0000-000087400000}"/>
    <cellStyle name="Comma 2 2 2 2 8" xfId="11220" xr:uid="{00000000-0005-0000-0000-000088400000}"/>
    <cellStyle name="Comma 2 2 2 2 8 2" xfId="11221" xr:uid="{00000000-0005-0000-0000-000089400000}"/>
    <cellStyle name="Comma 2 2 2 2 8 3" xfId="11222" xr:uid="{00000000-0005-0000-0000-00008A400000}"/>
    <cellStyle name="Comma 2 2 2 2 9" xfId="11223" xr:uid="{00000000-0005-0000-0000-00008B400000}"/>
    <cellStyle name="Comma 2 2 2 20" xfId="11224" xr:uid="{00000000-0005-0000-0000-00008C400000}"/>
    <cellStyle name="Comma 2 2 2 21" xfId="11225" xr:uid="{00000000-0005-0000-0000-00008D400000}"/>
    <cellStyle name="Comma 2 2 2 22" xfId="11226" xr:uid="{00000000-0005-0000-0000-00008E400000}"/>
    <cellStyle name="Comma 2 2 2 23" xfId="11227" xr:uid="{00000000-0005-0000-0000-00008F400000}"/>
    <cellStyle name="Comma 2 2 2 24" xfId="11228" xr:uid="{00000000-0005-0000-0000-000090400000}"/>
    <cellStyle name="Comma 2 2 2 25" xfId="11229" xr:uid="{00000000-0005-0000-0000-000091400000}"/>
    <cellStyle name="Comma 2 2 2 26" xfId="11230" xr:uid="{00000000-0005-0000-0000-000092400000}"/>
    <cellStyle name="Comma 2 2 2 27" xfId="11231" xr:uid="{00000000-0005-0000-0000-000093400000}"/>
    <cellStyle name="Comma 2 2 2 28" xfId="11232" xr:uid="{00000000-0005-0000-0000-000094400000}"/>
    <cellStyle name="Comma 2 2 2 29" xfId="11233" xr:uid="{00000000-0005-0000-0000-000095400000}"/>
    <cellStyle name="Comma 2 2 2 3" xfId="11234" xr:uid="{00000000-0005-0000-0000-000096400000}"/>
    <cellStyle name="Comma 2 2 2 3 2" xfId="11235" xr:uid="{00000000-0005-0000-0000-000097400000}"/>
    <cellStyle name="Comma 2 2 2 3 2 2" xfId="11236" xr:uid="{00000000-0005-0000-0000-000098400000}"/>
    <cellStyle name="Comma 2 2 2 30" xfId="11237" xr:uid="{00000000-0005-0000-0000-000099400000}"/>
    <cellStyle name="Comma 2 2 2 31" xfId="11238" xr:uid="{00000000-0005-0000-0000-00009A400000}"/>
    <cellStyle name="Comma 2 2 2 32" xfId="11239" xr:uid="{00000000-0005-0000-0000-00009B400000}"/>
    <cellStyle name="Comma 2 2 2 33" xfId="11240" xr:uid="{00000000-0005-0000-0000-00009C400000}"/>
    <cellStyle name="Comma 2 2 2 34" xfId="11241" xr:uid="{00000000-0005-0000-0000-00009D400000}"/>
    <cellStyle name="Comma 2 2 2 35" xfId="11242" xr:uid="{00000000-0005-0000-0000-00009E400000}"/>
    <cellStyle name="Comma 2 2 2 36" xfId="11243" xr:uid="{00000000-0005-0000-0000-00009F400000}"/>
    <cellStyle name="Comma 2 2 2 37" xfId="11244" xr:uid="{00000000-0005-0000-0000-0000A0400000}"/>
    <cellStyle name="Comma 2 2 2 38" xfId="11245" xr:uid="{00000000-0005-0000-0000-0000A1400000}"/>
    <cellStyle name="Comma 2 2 2 39" xfId="11246" xr:uid="{00000000-0005-0000-0000-0000A2400000}"/>
    <cellStyle name="Comma 2 2 2 4" xfId="11247" xr:uid="{00000000-0005-0000-0000-0000A3400000}"/>
    <cellStyle name="Comma 2 2 2 40" xfId="11248" xr:uid="{00000000-0005-0000-0000-0000A4400000}"/>
    <cellStyle name="Comma 2 2 2 41" xfId="11249" xr:uid="{00000000-0005-0000-0000-0000A5400000}"/>
    <cellStyle name="Comma 2 2 2 42" xfId="11250" xr:uid="{00000000-0005-0000-0000-0000A6400000}"/>
    <cellStyle name="Comma 2 2 2 43" xfId="11251" xr:uid="{00000000-0005-0000-0000-0000A7400000}"/>
    <cellStyle name="Comma 2 2 2 44" xfId="11252" xr:uid="{00000000-0005-0000-0000-0000A8400000}"/>
    <cellStyle name="Comma 2 2 2 45" xfId="11253" xr:uid="{00000000-0005-0000-0000-0000A9400000}"/>
    <cellStyle name="Comma 2 2 2 46" xfId="11254" xr:uid="{00000000-0005-0000-0000-0000AA400000}"/>
    <cellStyle name="Comma 2 2 2 47" xfId="11255" xr:uid="{00000000-0005-0000-0000-0000AB400000}"/>
    <cellStyle name="Comma 2 2 2 48" xfId="11256" xr:uid="{00000000-0005-0000-0000-0000AC400000}"/>
    <cellStyle name="Comma 2 2 2 49" xfId="11257" xr:uid="{00000000-0005-0000-0000-0000AD400000}"/>
    <cellStyle name="Comma 2 2 2 5" xfId="11258" xr:uid="{00000000-0005-0000-0000-0000AE400000}"/>
    <cellStyle name="Comma 2 2 2 50" xfId="11259" xr:uid="{00000000-0005-0000-0000-0000AF400000}"/>
    <cellStyle name="Comma 2 2 2 51" xfId="11260" xr:uid="{00000000-0005-0000-0000-0000B0400000}"/>
    <cellStyle name="Comma 2 2 2 52" xfId="11261" xr:uid="{00000000-0005-0000-0000-0000B1400000}"/>
    <cellStyle name="Comma 2 2 2 53" xfId="11262" xr:uid="{00000000-0005-0000-0000-0000B2400000}"/>
    <cellStyle name="Comma 2 2 2 54" xfId="11263" xr:uid="{00000000-0005-0000-0000-0000B3400000}"/>
    <cellStyle name="Comma 2 2 2 55" xfId="11264" xr:uid="{00000000-0005-0000-0000-0000B4400000}"/>
    <cellStyle name="Comma 2 2 2 56" xfId="11265" xr:uid="{00000000-0005-0000-0000-0000B5400000}"/>
    <cellStyle name="Comma 2 2 2 57" xfId="11266" xr:uid="{00000000-0005-0000-0000-0000B6400000}"/>
    <cellStyle name="Comma 2 2 2 58" xfId="11267" xr:uid="{00000000-0005-0000-0000-0000B7400000}"/>
    <cellStyle name="Comma 2 2 2 59" xfId="11268" xr:uid="{00000000-0005-0000-0000-0000B8400000}"/>
    <cellStyle name="Comma 2 2 2 6" xfId="11269" xr:uid="{00000000-0005-0000-0000-0000B9400000}"/>
    <cellStyle name="Comma 2 2 2 60" xfId="11270" xr:uid="{00000000-0005-0000-0000-0000BA400000}"/>
    <cellStyle name="Comma 2 2 2 61" xfId="11271" xr:uid="{00000000-0005-0000-0000-0000BB400000}"/>
    <cellStyle name="Comma 2 2 2 62" xfId="11272" xr:uid="{00000000-0005-0000-0000-0000BC400000}"/>
    <cellStyle name="Comma 2 2 2 63" xfId="11273" xr:uid="{00000000-0005-0000-0000-0000BD400000}"/>
    <cellStyle name="Comma 2 2 2 64" xfId="11274" xr:uid="{00000000-0005-0000-0000-0000BE400000}"/>
    <cellStyle name="Comma 2 2 2 65" xfId="11275" xr:uid="{00000000-0005-0000-0000-0000BF400000}"/>
    <cellStyle name="Comma 2 2 2 66" xfId="11276" xr:uid="{00000000-0005-0000-0000-0000C0400000}"/>
    <cellStyle name="Comma 2 2 2 67" xfId="11277" xr:uid="{00000000-0005-0000-0000-0000C1400000}"/>
    <cellStyle name="Comma 2 2 2 68" xfId="11278" xr:uid="{00000000-0005-0000-0000-0000C2400000}"/>
    <cellStyle name="Comma 2 2 2 69" xfId="11279" xr:uid="{00000000-0005-0000-0000-0000C3400000}"/>
    <cellStyle name="Comma 2 2 2 7" xfId="11280" xr:uid="{00000000-0005-0000-0000-0000C4400000}"/>
    <cellStyle name="Comma 2 2 2 70" xfId="11281" xr:uid="{00000000-0005-0000-0000-0000C5400000}"/>
    <cellStyle name="Comma 2 2 2 71" xfId="11282" xr:uid="{00000000-0005-0000-0000-0000C6400000}"/>
    <cellStyle name="Comma 2 2 2 72" xfId="11283" xr:uid="{00000000-0005-0000-0000-0000C7400000}"/>
    <cellStyle name="Comma 2 2 2 73" xfId="11284" xr:uid="{00000000-0005-0000-0000-0000C8400000}"/>
    <cellStyle name="Comma 2 2 2 74" xfId="11285" xr:uid="{00000000-0005-0000-0000-0000C9400000}"/>
    <cellStyle name="Comma 2 2 2 75" xfId="11286" xr:uid="{00000000-0005-0000-0000-0000CA400000}"/>
    <cellStyle name="Comma 2 2 2 76" xfId="11287" xr:uid="{00000000-0005-0000-0000-0000CB400000}"/>
    <cellStyle name="Comma 2 2 2 77" xfId="11288" xr:uid="{00000000-0005-0000-0000-0000CC400000}"/>
    <cellStyle name="Comma 2 2 2 78" xfId="11289" xr:uid="{00000000-0005-0000-0000-0000CD400000}"/>
    <cellStyle name="Comma 2 2 2 79" xfId="11290" xr:uid="{00000000-0005-0000-0000-0000CE400000}"/>
    <cellStyle name="Comma 2 2 2 8" xfId="11291" xr:uid="{00000000-0005-0000-0000-0000CF400000}"/>
    <cellStyle name="Comma 2 2 2 80" xfId="11292" xr:uid="{00000000-0005-0000-0000-0000D0400000}"/>
    <cellStyle name="Comma 2 2 2 80 2" xfId="11293" xr:uid="{00000000-0005-0000-0000-0000D1400000}"/>
    <cellStyle name="Comma 2 2 2 81" xfId="11294" xr:uid="{00000000-0005-0000-0000-0000D2400000}"/>
    <cellStyle name="Comma 2 2 2 82" xfId="11295" xr:uid="{00000000-0005-0000-0000-0000D3400000}"/>
    <cellStyle name="Comma 2 2 2 83" xfId="11296" xr:uid="{00000000-0005-0000-0000-0000D4400000}"/>
    <cellStyle name="Comma 2 2 2 84" xfId="11297" xr:uid="{00000000-0005-0000-0000-0000D5400000}"/>
    <cellStyle name="Comma 2 2 2 85" xfId="11298" xr:uid="{00000000-0005-0000-0000-0000D6400000}"/>
    <cellStyle name="Comma 2 2 2 9" xfId="11299" xr:uid="{00000000-0005-0000-0000-0000D7400000}"/>
    <cellStyle name="Comma 2 2 20" xfId="11300" xr:uid="{00000000-0005-0000-0000-0000D8400000}"/>
    <cellStyle name="Comma 2 2 21" xfId="11301" xr:uid="{00000000-0005-0000-0000-0000D9400000}"/>
    <cellStyle name="Comma 2 2 22" xfId="11302" xr:uid="{00000000-0005-0000-0000-0000DA400000}"/>
    <cellStyle name="Comma 2 2 23" xfId="11303" xr:uid="{00000000-0005-0000-0000-0000DB400000}"/>
    <cellStyle name="Comma 2 2 24" xfId="11304" xr:uid="{00000000-0005-0000-0000-0000DC400000}"/>
    <cellStyle name="Comma 2 2 25" xfId="11305" xr:uid="{00000000-0005-0000-0000-0000DD400000}"/>
    <cellStyle name="Comma 2 2 25 2" xfId="11306" xr:uid="{00000000-0005-0000-0000-0000DE400000}"/>
    <cellStyle name="Comma 2 2 26" xfId="11307" xr:uid="{00000000-0005-0000-0000-0000DF400000}"/>
    <cellStyle name="Comma 2 2 27" xfId="11308" xr:uid="{00000000-0005-0000-0000-0000E0400000}"/>
    <cellStyle name="Comma 2 2 28" xfId="11309" xr:uid="{00000000-0005-0000-0000-0000E1400000}"/>
    <cellStyle name="Comma 2 2 29" xfId="11310" xr:uid="{00000000-0005-0000-0000-0000E2400000}"/>
    <cellStyle name="Comma 2 2 3" xfId="42" xr:uid="{00000000-0005-0000-0000-0000E3400000}"/>
    <cellStyle name="Comma 2 2 3 2" xfId="11311" xr:uid="{00000000-0005-0000-0000-0000E4400000}"/>
    <cellStyle name="Comma 2 2 3 2 2" xfId="11312" xr:uid="{00000000-0005-0000-0000-0000E5400000}"/>
    <cellStyle name="Comma 2 2 4" xfId="11313" xr:uid="{00000000-0005-0000-0000-0000E6400000}"/>
    <cellStyle name="Comma 2 2 5" xfId="11314" xr:uid="{00000000-0005-0000-0000-0000E7400000}"/>
    <cellStyle name="Comma 2 2 6" xfId="11315" xr:uid="{00000000-0005-0000-0000-0000E8400000}"/>
    <cellStyle name="Comma 2 2 7" xfId="11316" xr:uid="{00000000-0005-0000-0000-0000E9400000}"/>
    <cellStyle name="Comma 2 2 8" xfId="11317" xr:uid="{00000000-0005-0000-0000-0000EA400000}"/>
    <cellStyle name="Comma 2 2 9" xfId="11318" xr:uid="{00000000-0005-0000-0000-0000EB400000}"/>
    <cellStyle name="Comma 2 20" xfId="11319" xr:uid="{00000000-0005-0000-0000-0000EC400000}"/>
    <cellStyle name="Comma 2 21" xfId="11320" xr:uid="{00000000-0005-0000-0000-0000ED400000}"/>
    <cellStyle name="Comma 2 22" xfId="11321" xr:uid="{00000000-0005-0000-0000-0000EE400000}"/>
    <cellStyle name="Comma 2 23" xfId="11322" xr:uid="{00000000-0005-0000-0000-0000EF400000}"/>
    <cellStyle name="Comma 2 24" xfId="11323" xr:uid="{00000000-0005-0000-0000-0000F0400000}"/>
    <cellStyle name="Comma 2 25" xfId="11324" xr:uid="{00000000-0005-0000-0000-0000F1400000}"/>
    <cellStyle name="Comma 2 26" xfId="11325" xr:uid="{00000000-0005-0000-0000-0000F2400000}"/>
    <cellStyle name="Comma 2 27" xfId="11326" xr:uid="{00000000-0005-0000-0000-0000F3400000}"/>
    <cellStyle name="Comma 2 28" xfId="11327" xr:uid="{00000000-0005-0000-0000-0000F4400000}"/>
    <cellStyle name="Comma 2 29" xfId="11328" xr:uid="{00000000-0005-0000-0000-0000F5400000}"/>
    <cellStyle name="Comma 2 3" xfId="4" xr:uid="{00000000-0005-0000-0000-0000F6400000}"/>
    <cellStyle name="Comma 2 3 10" xfId="11329" xr:uid="{00000000-0005-0000-0000-0000F7400000}"/>
    <cellStyle name="Comma 2 3 11" xfId="11330" xr:uid="{00000000-0005-0000-0000-0000F8400000}"/>
    <cellStyle name="Comma 2 3 12" xfId="11331" xr:uid="{00000000-0005-0000-0000-0000F9400000}"/>
    <cellStyle name="Comma 2 3 13" xfId="11332" xr:uid="{00000000-0005-0000-0000-0000FA400000}"/>
    <cellStyle name="Comma 2 3 14" xfId="11333" xr:uid="{00000000-0005-0000-0000-0000FB400000}"/>
    <cellStyle name="Comma 2 3 15" xfId="11334" xr:uid="{00000000-0005-0000-0000-0000FC400000}"/>
    <cellStyle name="Comma 2 3 16" xfId="11335" xr:uid="{00000000-0005-0000-0000-0000FD400000}"/>
    <cellStyle name="Comma 2 3 17" xfId="11336" xr:uid="{00000000-0005-0000-0000-0000FE400000}"/>
    <cellStyle name="Comma 2 3 18" xfId="11337" xr:uid="{00000000-0005-0000-0000-0000FF400000}"/>
    <cellStyle name="Comma 2 3 19" xfId="11338" xr:uid="{00000000-0005-0000-0000-000000410000}"/>
    <cellStyle name="Comma 2 3 2" xfId="33" xr:uid="{00000000-0005-0000-0000-000001410000}"/>
    <cellStyle name="Comma 2 3 2 10" xfId="11339" xr:uid="{00000000-0005-0000-0000-000002410000}"/>
    <cellStyle name="Comma 2 3 2 11" xfId="11340" xr:uid="{00000000-0005-0000-0000-000003410000}"/>
    <cellStyle name="Comma 2 3 2 12" xfId="11341" xr:uid="{00000000-0005-0000-0000-000004410000}"/>
    <cellStyle name="Comma 2 3 2 13" xfId="11342" xr:uid="{00000000-0005-0000-0000-000005410000}"/>
    <cellStyle name="Comma 2 3 2 14" xfId="11343" xr:uid="{00000000-0005-0000-0000-000006410000}"/>
    <cellStyle name="Comma 2 3 2 15" xfId="11344" xr:uid="{00000000-0005-0000-0000-000007410000}"/>
    <cellStyle name="Comma 2 3 2 16" xfId="11345" xr:uid="{00000000-0005-0000-0000-000008410000}"/>
    <cellStyle name="Comma 2 3 2 17" xfId="11346" xr:uid="{00000000-0005-0000-0000-000009410000}"/>
    <cellStyle name="Comma 2 3 2 18" xfId="11347" xr:uid="{00000000-0005-0000-0000-00000A410000}"/>
    <cellStyle name="Comma 2 3 2 19" xfId="11348" xr:uid="{00000000-0005-0000-0000-00000B410000}"/>
    <cellStyle name="Comma 2 3 2 2" xfId="11349" xr:uid="{00000000-0005-0000-0000-00000C410000}"/>
    <cellStyle name="Comma 2 3 2 2 2" xfId="11350" xr:uid="{00000000-0005-0000-0000-00000D410000}"/>
    <cellStyle name="Comma 2 3 2 2 2 2" xfId="11351" xr:uid="{00000000-0005-0000-0000-00000E410000}"/>
    <cellStyle name="Comma 2 3 2 20" xfId="11352" xr:uid="{00000000-0005-0000-0000-00000F410000}"/>
    <cellStyle name="Comma 2 3 2 21" xfId="11353" xr:uid="{00000000-0005-0000-0000-000010410000}"/>
    <cellStyle name="Comma 2 3 2 22" xfId="11354" xr:uid="{00000000-0005-0000-0000-000011410000}"/>
    <cellStyle name="Comma 2 3 2 23" xfId="11355" xr:uid="{00000000-0005-0000-0000-000012410000}"/>
    <cellStyle name="Comma 2 3 2 24" xfId="11356" xr:uid="{00000000-0005-0000-0000-000013410000}"/>
    <cellStyle name="Comma 2 3 2 25" xfId="11357" xr:uid="{00000000-0005-0000-0000-000014410000}"/>
    <cellStyle name="Comma 2 3 2 26" xfId="11358" xr:uid="{00000000-0005-0000-0000-000015410000}"/>
    <cellStyle name="Comma 2 3 2 27" xfId="11359" xr:uid="{00000000-0005-0000-0000-000016410000}"/>
    <cellStyle name="Comma 2 3 2 28" xfId="11360" xr:uid="{00000000-0005-0000-0000-000017410000}"/>
    <cellStyle name="Comma 2 3 2 29" xfId="11361" xr:uid="{00000000-0005-0000-0000-000018410000}"/>
    <cellStyle name="Comma 2 3 2 3" xfId="11362" xr:uid="{00000000-0005-0000-0000-000019410000}"/>
    <cellStyle name="Comma 2 3 2 30" xfId="11363" xr:uid="{00000000-0005-0000-0000-00001A410000}"/>
    <cellStyle name="Comma 2 3 2 31" xfId="11364" xr:uid="{00000000-0005-0000-0000-00001B410000}"/>
    <cellStyle name="Comma 2 3 2 32" xfId="11365" xr:uid="{00000000-0005-0000-0000-00001C410000}"/>
    <cellStyle name="Comma 2 3 2 33" xfId="11366" xr:uid="{00000000-0005-0000-0000-00001D410000}"/>
    <cellStyle name="Comma 2 3 2 34" xfId="11367" xr:uid="{00000000-0005-0000-0000-00001E410000}"/>
    <cellStyle name="Comma 2 3 2 35" xfId="11368" xr:uid="{00000000-0005-0000-0000-00001F410000}"/>
    <cellStyle name="Comma 2 3 2 36" xfId="11369" xr:uid="{00000000-0005-0000-0000-000020410000}"/>
    <cellStyle name="Comma 2 3 2 37" xfId="11370" xr:uid="{00000000-0005-0000-0000-000021410000}"/>
    <cellStyle name="Comma 2 3 2 38" xfId="11371" xr:uid="{00000000-0005-0000-0000-000022410000}"/>
    <cellStyle name="Comma 2 3 2 39" xfId="11372" xr:uid="{00000000-0005-0000-0000-000023410000}"/>
    <cellStyle name="Comma 2 3 2 4" xfId="11373" xr:uid="{00000000-0005-0000-0000-000024410000}"/>
    <cellStyle name="Comma 2 3 2 40" xfId="11374" xr:uid="{00000000-0005-0000-0000-000025410000}"/>
    <cellStyle name="Comma 2 3 2 41" xfId="11375" xr:uid="{00000000-0005-0000-0000-000026410000}"/>
    <cellStyle name="Comma 2 3 2 42" xfId="11376" xr:uid="{00000000-0005-0000-0000-000027410000}"/>
    <cellStyle name="Comma 2 3 2 43" xfId="11377" xr:uid="{00000000-0005-0000-0000-000028410000}"/>
    <cellStyle name="Comma 2 3 2 44" xfId="11378" xr:uid="{00000000-0005-0000-0000-000029410000}"/>
    <cellStyle name="Comma 2 3 2 45" xfId="11379" xr:uid="{00000000-0005-0000-0000-00002A410000}"/>
    <cellStyle name="Comma 2 3 2 46" xfId="11380" xr:uid="{00000000-0005-0000-0000-00002B410000}"/>
    <cellStyle name="Comma 2 3 2 47" xfId="11381" xr:uid="{00000000-0005-0000-0000-00002C410000}"/>
    <cellStyle name="Comma 2 3 2 48" xfId="11382" xr:uid="{00000000-0005-0000-0000-00002D410000}"/>
    <cellStyle name="Comma 2 3 2 49" xfId="11383" xr:uid="{00000000-0005-0000-0000-00002E410000}"/>
    <cellStyle name="Comma 2 3 2 5" xfId="11384" xr:uid="{00000000-0005-0000-0000-00002F410000}"/>
    <cellStyle name="Comma 2 3 2 50" xfId="11385" xr:uid="{00000000-0005-0000-0000-000030410000}"/>
    <cellStyle name="Comma 2 3 2 51" xfId="11386" xr:uid="{00000000-0005-0000-0000-000031410000}"/>
    <cellStyle name="Comma 2 3 2 52" xfId="11387" xr:uid="{00000000-0005-0000-0000-000032410000}"/>
    <cellStyle name="Comma 2 3 2 53" xfId="11388" xr:uid="{00000000-0005-0000-0000-000033410000}"/>
    <cellStyle name="Comma 2 3 2 54" xfId="11389" xr:uid="{00000000-0005-0000-0000-000034410000}"/>
    <cellStyle name="Comma 2 3 2 55" xfId="11390" xr:uid="{00000000-0005-0000-0000-000035410000}"/>
    <cellStyle name="Comma 2 3 2 56" xfId="11391" xr:uid="{00000000-0005-0000-0000-000036410000}"/>
    <cellStyle name="Comma 2 3 2 57" xfId="11392" xr:uid="{00000000-0005-0000-0000-000037410000}"/>
    <cellStyle name="Comma 2 3 2 58" xfId="11393" xr:uid="{00000000-0005-0000-0000-000038410000}"/>
    <cellStyle name="Comma 2 3 2 59" xfId="11394" xr:uid="{00000000-0005-0000-0000-000039410000}"/>
    <cellStyle name="Comma 2 3 2 6" xfId="11395" xr:uid="{00000000-0005-0000-0000-00003A410000}"/>
    <cellStyle name="Comma 2 3 2 60" xfId="11396" xr:uid="{00000000-0005-0000-0000-00003B410000}"/>
    <cellStyle name="Comma 2 3 2 61" xfId="11397" xr:uid="{00000000-0005-0000-0000-00003C410000}"/>
    <cellStyle name="Comma 2 3 2 62" xfId="11398" xr:uid="{00000000-0005-0000-0000-00003D410000}"/>
    <cellStyle name="Comma 2 3 2 63" xfId="11399" xr:uid="{00000000-0005-0000-0000-00003E410000}"/>
    <cellStyle name="Comma 2 3 2 64" xfId="11400" xr:uid="{00000000-0005-0000-0000-00003F410000}"/>
    <cellStyle name="Comma 2 3 2 65" xfId="11401" xr:uid="{00000000-0005-0000-0000-000040410000}"/>
    <cellStyle name="Comma 2 3 2 66" xfId="11402" xr:uid="{00000000-0005-0000-0000-000041410000}"/>
    <cellStyle name="Comma 2 3 2 67" xfId="11403" xr:uid="{00000000-0005-0000-0000-000042410000}"/>
    <cellStyle name="Comma 2 3 2 68" xfId="11404" xr:uid="{00000000-0005-0000-0000-000043410000}"/>
    <cellStyle name="Comma 2 3 2 69" xfId="11405" xr:uid="{00000000-0005-0000-0000-000044410000}"/>
    <cellStyle name="Comma 2 3 2 7" xfId="11406" xr:uid="{00000000-0005-0000-0000-000045410000}"/>
    <cellStyle name="Comma 2 3 2 70" xfId="11407" xr:uid="{00000000-0005-0000-0000-000046410000}"/>
    <cellStyle name="Comma 2 3 2 71" xfId="11408" xr:uid="{00000000-0005-0000-0000-000047410000}"/>
    <cellStyle name="Comma 2 3 2 72" xfId="11409" xr:uid="{00000000-0005-0000-0000-000048410000}"/>
    <cellStyle name="Comma 2 3 2 73" xfId="11410" xr:uid="{00000000-0005-0000-0000-000049410000}"/>
    <cellStyle name="Comma 2 3 2 74" xfId="11411" xr:uid="{00000000-0005-0000-0000-00004A410000}"/>
    <cellStyle name="Comma 2 3 2 75" xfId="11412" xr:uid="{00000000-0005-0000-0000-00004B410000}"/>
    <cellStyle name="Comma 2 3 2 76" xfId="11413" xr:uid="{00000000-0005-0000-0000-00004C410000}"/>
    <cellStyle name="Comma 2 3 2 77" xfId="11414" xr:uid="{00000000-0005-0000-0000-00004D410000}"/>
    <cellStyle name="Comma 2 3 2 78" xfId="11415" xr:uid="{00000000-0005-0000-0000-00004E410000}"/>
    <cellStyle name="Comma 2 3 2 79" xfId="11416" xr:uid="{00000000-0005-0000-0000-00004F410000}"/>
    <cellStyle name="Comma 2 3 2 8" xfId="11417" xr:uid="{00000000-0005-0000-0000-000050410000}"/>
    <cellStyle name="Comma 2 3 2 80" xfId="11418" xr:uid="{00000000-0005-0000-0000-000051410000}"/>
    <cellStyle name="Comma 2 3 2 81" xfId="11419" xr:uid="{00000000-0005-0000-0000-000052410000}"/>
    <cellStyle name="Comma 2 3 2 82" xfId="11420" xr:uid="{00000000-0005-0000-0000-000053410000}"/>
    <cellStyle name="Comma 2 3 2 83" xfId="11421" xr:uid="{00000000-0005-0000-0000-000054410000}"/>
    <cellStyle name="Comma 2 3 2 84" xfId="11422" xr:uid="{00000000-0005-0000-0000-000055410000}"/>
    <cellStyle name="Comma 2 3 2 85" xfId="11423" xr:uid="{00000000-0005-0000-0000-000056410000}"/>
    <cellStyle name="Comma 2 3 2 86" xfId="11424" xr:uid="{00000000-0005-0000-0000-000057410000}"/>
    <cellStyle name="Comma 2 3 2 87" xfId="11425" xr:uid="{00000000-0005-0000-0000-000058410000}"/>
    <cellStyle name="Comma 2 3 2 88" xfId="11426" xr:uid="{00000000-0005-0000-0000-000059410000}"/>
    <cellStyle name="Comma 2 3 2 89" xfId="11427" xr:uid="{00000000-0005-0000-0000-00005A410000}"/>
    <cellStyle name="Comma 2 3 2 9" xfId="11428" xr:uid="{00000000-0005-0000-0000-00005B410000}"/>
    <cellStyle name="Comma 2 3 2 90" xfId="11429" xr:uid="{00000000-0005-0000-0000-00005C410000}"/>
    <cellStyle name="Comma 2 3 2 91" xfId="11430" xr:uid="{00000000-0005-0000-0000-00005D410000}"/>
    <cellStyle name="Comma 2 3 2 92" xfId="11431" xr:uid="{00000000-0005-0000-0000-00005E410000}"/>
    <cellStyle name="Comma 2 3 2 93" xfId="11432" xr:uid="{00000000-0005-0000-0000-00005F410000}"/>
    <cellStyle name="Comma 2 3 2 94" xfId="11433" xr:uid="{00000000-0005-0000-0000-000060410000}"/>
    <cellStyle name="Comma 2 3 2 95" xfId="11434" xr:uid="{00000000-0005-0000-0000-000061410000}"/>
    <cellStyle name="Comma 2 3 20" xfId="11435" xr:uid="{00000000-0005-0000-0000-000062410000}"/>
    <cellStyle name="Comma 2 3 21" xfId="11436" xr:uid="{00000000-0005-0000-0000-000063410000}"/>
    <cellStyle name="Comma 2 3 22" xfId="11437" xr:uid="{00000000-0005-0000-0000-000064410000}"/>
    <cellStyle name="Comma 2 3 23" xfId="11438" xr:uid="{00000000-0005-0000-0000-000065410000}"/>
    <cellStyle name="Comma 2 3 24" xfId="11439" xr:uid="{00000000-0005-0000-0000-000066410000}"/>
    <cellStyle name="Comma 2 3 25" xfId="11440" xr:uid="{00000000-0005-0000-0000-000067410000}"/>
    <cellStyle name="Comma 2 3 26" xfId="11441" xr:uid="{00000000-0005-0000-0000-000068410000}"/>
    <cellStyle name="Comma 2 3 27" xfId="11442" xr:uid="{00000000-0005-0000-0000-000069410000}"/>
    <cellStyle name="Comma 2 3 28" xfId="11443" xr:uid="{00000000-0005-0000-0000-00006A410000}"/>
    <cellStyle name="Comma 2 3 29" xfId="11444" xr:uid="{00000000-0005-0000-0000-00006B410000}"/>
    <cellStyle name="Comma 2 3 3" xfId="11445" xr:uid="{00000000-0005-0000-0000-00006C410000}"/>
    <cellStyle name="Comma 2 3 3 10" xfId="11446" xr:uid="{00000000-0005-0000-0000-00006D410000}"/>
    <cellStyle name="Comma 2 3 3 11" xfId="11447" xr:uid="{00000000-0005-0000-0000-00006E410000}"/>
    <cellStyle name="Comma 2 3 3 12" xfId="11448" xr:uid="{00000000-0005-0000-0000-00006F410000}"/>
    <cellStyle name="Comma 2 3 3 13" xfId="11449" xr:uid="{00000000-0005-0000-0000-000070410000}"/>
    <cellStyle name="Comma 2 3 3 14" xfId="11450" xr:uid="{00000000-0005-0000-0000-000071410000}"/>
    <cellStyle name="Comma 2 3 3 15" xfId="11451" xr:uid="{00000000-0005-0000-0000-000072410000}"/>
    <cellStyle name="Comma 2 3 3 16" xfId="11452" xr:uid="{00000000-0005-0000-0000-000073410000}"/>
    <cellStyle name="Comma 2 3 3 17" xfId="11453" xr:uid="{00000000-0005-0000-0000-000074410000}"/>
    <cellStyle name="Comma 2 3 3 18" xfId="11454" xr:uid="{00000000-0005-0000-0000-000075410000}"/>
    <cellStyle name="Comma 2 3 3 19" xfId="11455" xr:uid="{00000000-0005-0000-0000-000076410000}"/>
    <cellStyle name="Comma 2 3 3 2" xfId="11456" xr:uid="{00000000-0005-0000-0000-000077410000}"/>
    <cellStyle name="Comma 2 3 3 20" xfId="11457" xr:uid="{00000000-0005-0000-0000-000078410000}"/>
    <cellStyle name="Comma 2 3 3 21" xfId="11458" xr:uid="{00000000-0005-0000-0000-000079410000}"/>
    <cellStyle name="Comma 2 3 3 22" xfId="11459" xr:uid="{00000000-0005-0000-0000-00007A410000}"/>
    <cellStyle name="Comma 2 3 3 23" xfId="11460" xr:uid="{00000000-0005-0000-0000-00007B410000}"/>
    <cellStyle name="Comma 2 3 3 24" xfId="11461" xr:uid="{00000000-0005-0000-0000-00007C410000}"/>
    <cellStyle name="Comma 2 3 3 25" xfId="11462" xr:uid="{00000000-0005-0000-0000-00007D410000}"/>
    <cellStyle name="Comma 2 3 3 26" xfId="11463" xr:uid="{00000000-0005-0000-0000-00007E410000}"/>
    <cellStyle name="Comma 2 3 3 27" xfId="11464" xr:uid="{00000000-0005-0000-0000-00007F410000}"/>
    <cellStyle name="Comma 2 3 3 28" xfId="11465" xr:uid="{00000000-0005-0000-0000-000080410000}"/>
    <cellStyle name="Comma 2 3 3 29" xfId="11466" xr:uid="{00000000-0005-0000-0000-000081410000}"/>
    <cellStyle name="Comma 2 3 3 3" xfId="11467" xr:uid="{00000000-0005-0000-0000-000082410000}"/>
    <cellStyle name="Comma 2 3 3 30" xfId="11468" xr:uid="{00000000-0005-0000-0000-000083410000}"/>
    <cellStyle name="Comma 2 3 3 31" xfId="11469" xr:uid="{00000000-0005-0000-0000-000084410000}"/>
    <cellStyle name="Comma 2 3 3 32" xfId="11470" xr:uid="{00000000-0005-0000-0000-000085410000}"/>
    <cellStyle name="Comma 2 3 3 33" xfId="11471" xr:uid="{00000000-0005-0000-0000-000086410000}"/>
    <cellStyle name="Comma 2 3 3 34" xfId="11472" xr:uid="{00000000-0005-0000-0000-000087410000}"/>
    <cellStyle name="Comma 2 3 3 35" xfId="11473" xr:uid="{00000000-0005-0000-0000-000088410000}"/>
    <cellStyle name="Comma 2 3 3 36" xfId="11474" xr:uid="{00000000-0005-0000-0000-000089410000}"/>
    <cellStyle name="Comma 2 3 3 37" xfId="11475" xr:uid="{00000000-0005-0000-0000-00008A410000}"/>
    <cellStyle name="Comma 2 3 3 38" xfId="11476" xr:uid="{00000000-0005-0000-0000-00008B410000}"/>
    <cellStyle name="Comma 2 3 3 39" xfId="11477" xr:uid="{00000000-0005-0000-0000-00008C410000}"/>
    <cellStyle name="Comma 2 3 3 4" xfId="11478" xr:uid="{00000000-0005-0000-0000-00008D410000}"/>
    <cellStyle name="Comma 2 3 3 40" xfId="11479" xr:uid="{00000000-0005-0000-0000-00008E410000}"/>
    <cellStyle name="Comma 2 3 3 41" xfId="11480" xr:uid="{00000000-0005-0000-0000-00008F410000}"/>
    <cellStyle name="Comma 2 3 3 42" xfId="11481" xr:uid="{00000000-0005-0000-0000-000090410000}"/>
    <cellStyle name="Comma 2 3 3 43" xfId="11482" xr:uid="{00000000-0005-0000-0000-000091410000}"/>
    <cellStyle name="Comma 2 3 3 44" xfId="11483" xr:uid="{00000000-0005-0000-0000-000092410000}"/>
    <cellStyle name="Comma 2 3 3 45" xfId="11484" xr:uid="{00000000-0005-0000-0000-000093410000}"/>
    <cellStyle name="Comma 2 3 3 46" xfId="11485" xr:uid="{00000000-0005-0000-0000-000094410000}"/>
    <cellStyle name="Comma 2 3 3 47" xfId="11486" xr:uid="{00000000-0005-0000-0000-000095410000}"/>
    <cellStyle name="Comma 2 3 3 48" xfId="11487" xr:uid="{00000000-0005-0000-0000-000096410000}"/>
    <cellStyle name="Comma 2 3 3 49" xfId="11488" xr:uid="{00000000-0005-0000-0000-000097410000}"/>
    <cellStyle name="Comma 2 3 3 5" xfId="11489" xr:uid="{00000000-0005-0000-0000-000098410000}"/>
    <cellStyle name="Comma 2 3 3 50" xfId="11490" xr:uid="{00000000-0005-0000-0000-000099410000}"/>
    <cellStyle name="Comma 2 3 3 51" xfId="11491" xr:uid="{00000000-0005-0000-0000-00009A410000}"/>
    <cellStyle name="Comma 2 3 3 52" xfId="11492" xr:uid="{00000000-0005-0000-0000-00009B410000}"/>
    <cellStyle name="Comma 2 3 3 53" xfId="11493" xr:uid="{00000000-0005-0000-0000-00009C410000}"/>
    <cellStyle name="Comma 2 3 3 54" xfId="11494" xr:uid="{00000000-0005-0000-0000-00009D410000}"/>
    <cellStyle name="Comma 2 3 3 55" xfId="11495" xr:uid="{00000000-0005-0000-0000-00009E410000}"/>
    <cellStyle name="Comma 2 3 3 56" xfId="11496" xr:uid="{00000000-0005-0000-0000-00009F410000}"/>
    <cellStyle name="Comma 2 3 3 57" xfId="11497" xr:uid="{00000000-0005-0000-0000-0000A0410000}"/>
    <cellStyle name="Comma 2 3 3 58" xfId="11498" xr:uid="{00000000-0005-0000-0000-0000A1410000}"/>
    <cellStyle name="Comma 2 3 3 59" xfId="11499" xr:uid="{00000000-0005-0000-0000-0000A2410000}"/>
    <cellStyle name="Comma 2 3 3 6" xfId="11500" xr:uid="{00000000-0005-0000-0000-0000A3410000}"/>
    <cellStyle name="Comma 2 3 3 60" xfId="11501" xr:uid="{00000000-0005-0000-0000-0000A4410000}"/>
    <cellStyle name="Comma 2 3 3 61" xfId="11502" xr:uid="{00000000-0005-0000-0000-0000A5410000}"/>
    <cellStyle name="Comma 2 3 3 62" xfId="11503" xr:uid="{00000000-0005-0000-0000-0000A6410000}"/>
    <cellStyle name="Comma 2 3 3 63" xfId="11504" xr:uid="{00000000-0005-0000-0000-0000A7410000}"/>
    <cellStyle name="Comma 2 3 3 64" xfId="11505" xr:uid="{00000000-0005-0000-0000-0000A8410000}"/>
    <cellStyle name="Comma 2 3 3 65" xfId="11506" xr:uid="{00000000-0005-0000-0000-0000A9410000}"/>
    <cellStyle name="Comma 2 3 3 66" xfId="11507" xr:uid="{00000000-0005-0000-0000-0000AA410000}"/>
    <cellStyle name="Comma 2 3 3 67" xfId="11508" xr:uid="{00000000-0005-0000-0000-0000AB410000}"/>
    <cellStyle name="Comma 2 3 3 68" xfId="11509" xr:uid="{00000000-0005-0000-0000-0000AC410000}"/>
    <cellStyle name="Comma 2 3 3 69" xfId="11510" xr:uid="{00000000-0005-0000-0000-0000AD410000}"/>
    <cellStyle name="Comma 2 3 3 7" xfId="11511" xr:uid="{00000000-0005-0000-0000-0000AE410000}"/>
    <cellStyle name="Comma 2 3 3 70" xfId="11512" xr:uid="{00000000-0005-0000-0000-0000AF410000}"/>
    <cellStyle name="Comma 2 3 3 71" xfId="11513" xr:uid="{00000000-0005-0000-0000-0000B0410000}"/>
    <cellStyle name="Comma 2 3 3 72" xfId="11514" xr:uid="{00000000-0005-0000-0000-0000B1410000}"/>
    <cellStyle name="Comma 2 3 3 73" xfId="11515" xr:uid="{00000000-0005-0000-0000-0000B2410000}"/>
    <cellStyle name="Comma 2 3 3 74" xfId="11516" xr:uid="{00000000-0005-0000-0000-0000B3410000}"/>
    <cellStyle name="Comma 2 3 3 8" xfId="11517" xr:uid="{00000000-0005-0000-0000-0000B4410000}"/>
    <cellStyle name="Comma 2 3 3 9" xfId="11518" xr:uid="{00000000-0005-0000-0000-0000B5410000}"/>
    <cellStyle name="Comma 2 3 30" xfId="11519" xr:uid="{00000000-0005-0000-0000-0000B6410000}"/>
    <cellStyle name="Comma 2 3 31" xfId="11520" xr:uid="{00000000-0005-0000-0000-0000B7410000}"/>
    <cellStyle name="Comma 2 3 32" xfId="11521" xr:uid="{00000000-0005-0000-0000-0000B8410000}"/>
    <cellStyle name="Comma 2 3 33" xfId="11522" xr:uid="{00000000-0005-0000-0000-0000B9410000}"/>
    <cellStyle name="Comma 2 3 34" xfId="11523" xr:uid="{00000000-0005-0000-0000-0000BA410000}"/>
    <cellStyle name="Comma 2 3 35" xfId="11524" xr:uid="{00000000-0005-0000-0000-0000BB410000}"/>
    <cellStyle name="Comma 2 3 36" xfId="11525" xr:uid="{00000000-0005-0000-0000-0000BC410000}"/>
    <cellStyle name="Comma 2 3 37" xfId="11526" xr:uid="{00000000-0005-0000-0000-0000BD410000}"/>
    <cellStyle name="Comma 2 3 38" xfId="11527" xr:uid="{00000000-0005-0000-0000-0000BE410000}"/>
    <cellStyle name="Comma 2 3 39" xfId="11528" xr:uid="{00000000-0005-0000-0000-0000BF410000}"/>
    <cellStyle name="Comma 2 3 4" xfId="11529" xr:uid="{00000000-0005-0000-0000-0000C0410000}"/>
    <cellStyle name="Comma 2 3 40" xfId="11530" xr:uid="{00000000-0005-0000-0000-0000C1410000}"/>
    <cellStyle name="Comma 2 3 41" xfId="11531" xr:uid="{00000000-0005-0000-0000-0000C2410000}"/>
    <cellStyle name="Comma 2 3 42" xfId="11532" xr:uid="{00000000-0005-0000-0000-0000C3410000}"/>
    <cellStyle name="Comma 2 3 43" xfId="11533" xr:uid="{00000000-0005-0000-0000-0000C4410000}"/>
    <cellStyle name="Comma 2 3 44" xfId="11534" xr:uid="{00000000-0005-0000-0000-0000C5410000}"/>
    <cellStyle name="Comma 2 3 45" xfId="11535" xr:uid="{00000000-0005-0000-0000-0000C6410000}"/>
    <cellStyle name="Comma 2 3 46" xfId="11536" xr:uid="{00000000-0005-0000-0000-0000C7410000}"/>
    <cellStyle name="Comma 2 3 47" xfId="11537" xr:uid="{00000000-0005-0000-0000-0000C8410000}"/>
    <cellStyle name="Comma 2 3 48" xfId="11538" xr:uid="{00000000-0005-0000-0000-0000C9410000}"/>
    <cellStyle name="Comma 2 3 49" xfId="11539" xr:uid="{00000000-0005-0000-0000-0000CA410000}"/>
    <cellStyle name="Comma 2 3 5" xfId="11540" xr:uid="{00000000-0005-0000-0000-0000CB410000}"/>
    <cellStyle name="Comma 2 3 50" xfId="11541" xr:uid="{00000000-0005-0000-0000-0000CC410000}"/>
    <cellStyle name="Comma 2 3 51" xfId="11542" xr:uid="{00000000-0005-0000-0000-0000CD410000}"/>
    <cellStyle name="Comma 2 3 52" xfId="11543" xr:uid="{00000000-0005-0000-0000-0000CE410000}"/>
    <cellStyle name="Comma 2 3 53" xfId="11544" xr:uid="{00000000-0005-0000-0000-0000CF410000}"/>
    <cellStyle name="Comma 2 3 54" xfId="11545" xr:uid="{00000000-0005-0000-0000-0000D0410000}"/>
    <cellStyle name="Comma 2 3 55" xfId="11546" xr:uid="{00000000-0005-0000-0000-0000D1410000}"/>
    <cellStyle name="Comma 2 3 56" xfId="11547" xr:uid="{00000000-0005-0000-0000-0000D2410000}"/>
    <cellStyle name="Comma 2 3 57" xfId="11548" xr:uid="{00000000-0005-0000-0000-0000D3410000}"/>
    <cellStyle name="Comma 2 3 58" xfId="11549" xr:uid="{00000000-0005-0000-0000-0000D4410000}"/>
    <cellStyle name="Comma 2 3 59" xfId="11550" xr:uid="{00000000-0005-0000-0000-0000D5410000}"/>
    <cellStyle name="Comma 2 3 6" xfId="11551" xr:uid="{00000000-0005-0000-0000-0000D6410000}"/>
    <cellStyle name="Comma 2 3 60" xfId="11552" xr:uid="{00000000-0005-0000-0000-0000D7410000}"/>
    <cellStyle name="Comma 2 3 61" xfId="11553" xr:uid="{00000000-0005-0000-0000-0000D8410000}"/>
    <cellStyle name="Comma 2 3 62" xfId="11554" xr:uid="{00000000-0005-0000-0000-0000D9410000}"/>
    <cellStyle name="Comma 2 3 63" xfId="11555" xr:uid="{00000000-0005-0000-0000-0000DA410000}"/>
    <cellStyle name="Comma 2 3 64" xfId="11556" xr:uid="{00000000-0005-0000-0000-0000DB410000}"/>
    <cellStyle name="Comma 2 3 65" xfId="11557" xr:uid="{00000000-0005-0000-0000-0000DC410000}"/>
    <cellStyle name="Comma 2 3 66" xfId="11558" xr:uid="{00000000-0005-0000-0000-0000DD410000}"/>
    <cellStyle name="Comma 2 3 67" xfId="11559" xr:uid="{00000000-0005-0000-0000-0000DE410000}"/>
    <cellStyle name="Comma 2 3 68" xfId="11560" xr:uid="{00000000-0005-0000-0000-0000DF410000}"/>
    <cellStyle name="Comma 2 3 69" xfId="11561" xr:uid="{00000000-0005-0000-0000-0000E0410000}"/>
    <cellStyle name="Comma 2 3 7" xfId="11562" xr:uid="{00000000-0005-0000-0000-0000E1410000}"/>
    <cellStyle name="Comma 2 3 70" xfId="11563" xr:uid="{00000000-0005-0000-0000-0000E2410000}"/>
    <cellStyle name="Comma 2 3 71" xfId="11564" xr:uid="{00000000-0005-0000-0000-0000E3410000}"/>
    <cellStyle name="Comma 2 3 72" xfId="11565" xr:uid="{00000000-0005-0000-0000-0000E4410000}"/>
    <cellStyle name="Comma 2 3 73" xfId="11566" xr:uid="{00000000-0005-0000-0000-0000E5410000}"/>
    <cellStyle name="Comma 2 3 74" xfId="11567" xr:uid="{00000000-0005-0000-0000-0000E6410000}"/>
    <cellStyle name="Comma 2 3 75" xfId="11568" xr:uid="{00000000-0005-0000-0000-0000E7410000}"/>
    <cellStyle name="Comma 2 3 76" xfId="11569" xr:uid="{00000000-0005-0000-0000-0000E8410000}"/>
    <cellStyle name="Comma 2 3 77" xfId="11570" xr:uid="{00000000-0005-0000-0000-0000E9410000}"/>
    <cellStyle name="Comma 2 3 78" xfId="11571" xr:uid="{00000000-0005-0000-0000-0000EA410000}"/>
    <cellStyle name="Comma 2 3 79" xfId="11572" xr:uid="{00000000-0005-0000-0000-0000EB410000}"/>
    <cellStyle name="Comma 2 3 8" xfId="11573" xr:uid="{00000000-0005-0000-0000-0000EC410000}"/>
    <cellStyle name="Comma 2 3 80" xfId="11574" xr:uid="{00000000-0005-0000-0000-0000ED410000}"/>
    <cellStyle name="Comma 2 3 81" xfId="11575" xr:uid="{00000000-0005-0000-0000-0000EE410000}"/>
    <cellStyle name="Comma 2 3 82" xfId="11576" xr:uid="{00000000-0005-0000-0000-0000EF410000}"/>
    <cellStyle name="Comma 2 3 83" xfId="11577" xr:uid="{00000000-0005-0000-0000-0000F0410000}"/>
    <cellStyle name="Comma 2 3 84" xfId="11578" xr:uid="{00000000-0005-0000-0000-0000F1410000}"/>
    <cellStyle name="Comma 2 3 85" xfId="11579" xr:uid="{00000000-0005-0000-0000-0000F2410000}"/>
    <cellStyle name="Comma 2 3 86" xfId="11580" xr:uid="{00000000-0005-0000-0000-0000F3410000}"/>
    <cellStyle name="Comma 2 3 87" xfId="11581" xr:uid="{00000000-0005-0000-0000-0000F4410000}"/>
    <cellStyle name="Comma 2 3 88" xfId="11582" xr:uid="{00000000-0005-0000-0000-0000F5410000}"/>
    <cellStyle name="Comma 2 3 89" xfId="11583" xr:uid="{00000000-0005-0000-0000-0000F6410000}"/>
    <cellStyle name="Comma 2 3 9" xfId="11584" xr:uid="{00000000-0005-0000-0000-0000F7410000}"/>
    <cellStyle name="Comma 2 3 90" xfId="11585" xr:uid="{00000000-0005-0000-0000-0000F8410000}"/>
    <cellStyle name="Comma 2 3 91" xfId="11586" xr:uid="{00000000-0005-0000-0000-0000F9410000}"/>
    <cellStyle name="Comma 2 3 92" xfId="11587" xr:uid="{00000000-0005-0000-0000-0000FA410000}"/>
    <cellStyle name="Comma 2 3 93" xfId="11588" xr:uid="{00000000-0005-0000-0000-0000FB410000}"/>
    <cellStyle name="Comma 2 3 94" xfId="11589" xr:uid="{00000000-0005-0000-0000-0000FC410000}"/>
    <cellStyle name="Comma 2 3 95" xfId="11590" xr:uid="{00000000-0005-0000-0000-0000FD410000}"/>
    <cellStyle name="Comma 2 3 96" xfId="11591" xr:uid="{00000000-0005-0000-0000-0000FE410000}"/>
    <cellStyle name="Comma 2 3 97" xfId="11592" xr:uid="{00000000-0005-0000-0000-0000FF410000}"/>
    <cellStyle name="Comma 2 3 98" xfId="11593" xr:uid="{00000000-0005-0000-0000-000000420000}"/>
    <cellStyle name="Comma 2 30" xfId="11594" xr:uid="{00000000-0005-0000-0000-000001420000}"/>
    <cellStyle name="Comma 2 31" xfId="11595" xr:uid="{00000000-0005-0000-0000-000002420000}"/>
    <cellStyle name="Comma 2 32" xfId="11596" xr:uid="{00000000-0005-0000-0000-000003420000}"/>
    <cellStyle name="Comma 2 33" xfId="11597" xr:uid="{00000000-0005-0000-0000-000004420000}"/>
    <cellStyle name="Comma 2 34" xfId="11598" xr:uid="{00000000-0005-0000-0000-000005420000}"/>
    <cellStyle name="Comma 2 35" xfId="11599" xr:uid="{00000000-0005-0000-0000-000006420000}"/>
    <cellStyle name="Comma 2 36" xfId="11600" xr:uid="{00000000-0005-0000-0000-000007420000}"/>
    <cellStyle name="Comma 2 37" xfId="11601" xr:uid="{00000000-0005-0000-0000-000008420000}"/>
    <cellStyle name="Comma 2 37 2" xfId="11602" xr:uid="{00000000-0005-0000-0000-000009420000}"/>
    <cellStyle name="Comma 2 38" xfId="11603" xr:uid="{00000000-0005-0000-0000-00000A420000}"/>
    <cellStyle name="Comma 2 39" xfId="11604" xr:uid="{00000000-0005-0000-0000-00000B420000}"/>
    <cellStyle name="Comma 2 4" xfId="5" xr:uid="{00000000-0005-0000-0000-00000C420000}"/>
    <cellStyle name="Comma 2 4 10" xfId="11605" xr:uid="{00000000-0005-0000-0000-00000D420000}"/>
    <cellStyle name="Comma 2 4 11" xfId="11606" xr:uid="{00000000-0005-0000-0000-00000E420000}"/>
    <cellStyle name="Comma 2 4 12" xfId="11607" xr:uid="{00000000-0005-0000-0000-00000F420000}"/>
    <cellStyle name="Comma 2 4 13" xfId="11608" xr:uid="{00000000-0005-0000-0000-000010420000}"/>
    <cellStyle name="Comma 2 4 14" xfId="11609" xr:uid="{00000000-0005-0000-0000-000011420000}"/>
    <cellStyle name="Comma 2 4 15" xfId="11610" xr:uid="{00000000-0005-0000-0000-000012420000}"/>
    <cellStyle name="Comma 2 4 16" xfId="11611" xr:uid="{00000000-0005-0000-0000-000013420000}"/>
    <cellStyle name="Comma 2 4 17" xfId="11612" xr:uid="{00000000-0005-0000-0000-000014420000}"/>
    <cellStyle name="Comma 2 4 18" xfId="11613" xr:uid="{00000000-0005-0000-0000-000015420000}"/>
    <cellStyle name="Comma 2 4 19" xfId="11614" xr:uid="{00000000-0005-0000-0000-000016420000}"/>
    <cellStyle name="Comma 2 4 2" xfId="34" xr:uid="{00000000-0005-0000-0000-000017420000}"/>
    <cellStyle name="Comma 2 4 2 2" xfId="11615" xr:uid="{00000000-0005-0000-0000-000018420000}"/>
    <cellStyle name="Comma 2 4 2 3" xfId="11616" xr:uid="{00000000-0005-0000-0000-000019420000}"/>
    <cellStyle name="Comma 2 4 2 4" xfId="11617" xr:uid="{00000000-0005-0000-0000-00001A420000}"/>
    <cellStyle name="Comma 2 4 2 5" xfId="11618" xr:uid="{00000000-0005-0000-0000-00001B420000}"/>
    <cellStyle name="Comma 2 4 20" xfId="11619" xr:uid="{00000000-0005-0000-0000-00001C420000}"/>
    <cellStyle name="Comma 2 4 21" xfId="11620" xr:uid="{00000000-0005-0000-0000-00001D420000}"/>
    <cellStyle name="Comma 2 4 22" xfId="11621" xr:uid="{00000000-0005-0000-0000-00001E420000}"/>
    <cellStyle name="Comma 2 4 23" xfId="11622" xr:uid="{00000000-0005-0000-0000-00001F420000}"/>
    <cellStyle name="Comma 2 4 24" xfId="11623" xr:uid="{00000000-0005-0000-0000-000020420000}"/>
    <cellStyle name="Comma 2 4 25" xfId="11624" xr:uid="{00000000-0005-0000-0000-000021420000}"/>
    <cellStyle name="Comma 2 4 26" xfId="11625" xr:uid="{00000000-0005-0000-0000-000022420000}"/>
    <cellStyle name="Comma 2 4 27" xfId="11626" xr:uid="{00000000-0005-0000-0000-000023420000}"/>
    <cellStyle name="Comma 2 4 28" xfId="11627" xr:uid="{00000000-0005-0000-0000-000024420000}"/>
    <cellStyle name="Comma 2 4 29" xfId="11628" xr:uid="{00000000-0005-0000-0000-000025420000}"/>
    <cellStyle name="Comma 2 4 3" xfId="11629" xr:uid="{00000000-0005-0000-0000-000026420000}"/>
    <cellStyle name="Comma 2 4 3 2" xfId="11630" xr:uid="{00000000-0005-0000-0000-000027420000}"/>
    <cellStyle name="Comma 2 4 3 3" xfId="11631" xr:uid="{00000000-0005-0000-0000-000028420000}"/>
    <cellStyle name="Comma 2 4 30" xfId="11632" xr:uid="{00000000-0005-0000-0000-000029420000}"/>
    <cellStyle name="Comma 2 4 31" xfId="11633" xr:uid="{00000000-0005-0000-0000-00002A420000}"/>
    <cellStyle name="Comma 2 4 32" xfId="11634" xr:uid="{00000000-0005-0000-0000-00002B420000}"/>
    <cellStyle name="Comma 2 4 33" xfId="11635" xr:uid="{00000000-0005-0000-0000-00002C420000}"/>
    <cellStyle name="Comma 2 4 34" xfId="11636" xr:uid="{00000000-0005-0000-0000-00002D420000}"/>
    <cellStyle name="Comma 2 4 35" xfId="11637" xr:uid="{00000000-0005-0000-0000-00002E420000}"/>
    <cellStyle name="Comma 2 4 36" xfId="11638" xr:uid="{00000000-0005-0000-0000-00002F420000}"/>
    <cellStyle name="Comma 2 4 37" xfId="11639" xr:uid="{00000000-0005-0000-0000-000030420000}"/>
    <cellStyle name="Comma 2 4 38" xfId="11640" xr:uid="{00000000-0005-0000-0000-000031420000}"/>
    <cellStyle name="Comma 2 4 39" xfId="11641" xr:uid="{00000000-0005-0000-0000-000032420000}"/>
    <cellStyle name="Comma 2 4 4" xfId="11642" xr:uid="{00000000-0005-0000-0000-000033420000}"/>
    <cellStyle name="Comma 2 4 40" xfId="11643" xr:uid="{00000000-0005-0000-0000-000034420000}"/>
    <cellStyle name="Comma 2 4 41" xfId="11644" xr:uid="{00000000-0005-0000-0000-000035420000}"/>
    <cellStyle name="Comma 2 4 42" xfId="11645" xr:uid="{00000000-0005-0000-0000-000036420000}"/>
    <cellStyle name="Comma 2 4 43" xfId="11646" xr:uid="{00000000-0005-0000-0000-000037420000}"/>
    <cellStyle name="Comma 2 4 5" xfId="11647" xr:uid="{00000000-0005-0000-0000-000038420000}"/>
    <cellStyle name="Comma 2 4 6" xfId="11648" xr:uid="{00000000-0005-0000-0000-000039420000}"/>
    <cellStyle name="Comma 2 4 7" xfId="11649" xr:uid="{00000000-0005-0000-0000-00003A420000}"/>
    <cellStyle name="Comma 2 4 8" xfId="11650" xr:uid="{00000000-0005-0000-0000-00003B420000}"/>
    <cellStyle name="Comma 2 4 9" xfId="11651" xr:uid="{00000000-0005-0000-0000-00003C420000}"/>
    <cellStyle name="Comma 2 40" xfId="11652" xr:uid="{00000000-0005-0000-0000-00003D420000}"/>
    <cellStyle name="Comma 2 41" xfId="11653" xr:uid="{00000000-0005-0000-0000-00003E420000}"/>
    <cellStyle name="Comma 2 5" xfId="32" xr:uid="{00000000-0005-0000-0000-00003F420000}"/>
    <cellStyle name="Comma 2 5 10" xfId="11654" xr:uid="{00000000-0005-0000-0000-000040420000}"/>
    <cellStyle name="Comma 2 5 11" xfId="11655" xr:uid="{00000000-0005-0000-0000-000041420000}"/>
    <cellStyle name="Comma 2 5 12" xfId="11656" xr:uid="{00000000-0005-0000-0000-000042420000}"/>
    <cellStyle name="Comma 2 5 13" xfId="11657" xr:uid="{00000000-0005-0000-0000-000043420000}"/>
    <cellStyle name="Comma 2 5 14" xfId="11658" xr:uid="{00000000-0005-0000-0000-000044420000}"/>
    <cellStyle name="Comma 2 5 15" xfId="11659" xr:uid="{00000000-0005-0000-0000-000045420000}"/>
    <cellStyle name="Comma 2 5 16" xfId="11660" xr:uid="{00000000-0005-0000-0000-000046420000}"/>
    <cellStyle name="Comma 2 5 17" xfId="11661" xr:uid="{00000000-0005-0000-0000-000047420000}"/>
    <cellStyle name="Comma 2 5 18" xfId="11662" xr:uid="{00000000-0005-0000-0000-000048420000}"/>
    <cellStyle name="Comma 2 5 19" xfId="11663" xr:uid="{00000000-0005-0000-0000-000049420000}"/>
    <cellStyle name="Comma 2 5 2" xfId="11664" xr:uid="{00000000-0005-0000-0000-00004A420000}"/>
    <cellStyle name="Comma 2 5 20" xfId="11665" xr:uid="{00000000-0005-0000-0000-00004B420000}"/>
    <cellStyle name="Comma 2 5 21" xfId="11666" xr:uid="{00000000-0005-0000-0000-00004C420000}"/>
    <cellStyle name="Comma 2 5 22" xfId="11667" xr:uid="{00000000-0005-0000-0000-00004D420000}"/>
    <cellStyle name="Comma 2 5 23" xfId="11668" xr:uid="{00000000-0005-0000-0000-00004E420000}"/>
    <cellStyle name="Comma 2 5 24" xfId="11669" xr:uid="{00000000-0005-0000-0000-00004F420000}"/>
    <cellStyle name="Comma 2 5 25" xfId="11670" xr:uid="{00000000-0005-0000-0000-000050420000}"/>
    <cellStyle name="Comma 2 5 26" xfId="11671" xr:uid="{00000000-0005-0000-0000-000051420000}"/>
    <cellStyle name="Comma 2 5 27" xfId="11672" xr:uid="{00000000-0005-0000-0000-000052420000}"/>
    <cellStyle name="Comma 2 5 28" xfId="11673" xr:uid="{00000000-0005-0000-0000-000053420000}"/>
    <cellStyle name="Comma 2 5 29" xfId="11674" xr:uid="{00000000-0005-0000-0000-000054420000}"/>
    <cellStyle name="Comma 2 5 3" xfId="11675" xr:uid="{00000000-0005-0000-0000-000055420000}"/>
    <cellStyle name="Comma 2 5 30" xfId="11676" xr:uid="{00000000-0005-0000-0000-000056420000}"/>
    <cellStyle name="Comma 2 5 31" xfId="11677" xr:uid="{00000000-0005-0000-0000-000057420000}"/>
    <cellStyle name="Comma 2 5 32" xfId="11678" xr:uid="{00000000-0005-0000-0000-000058420000}"/>
    <cellStyle name="Comma 2 5 33" xfId="11679" xr:uid="{00000000-0005-0000-0000-000059420000}"/>
    <cellStyle name="Comma 2 5 34" xfId="11680" xr:uid="{00000000-0005-0000-0000-00005A420000}"/>
    <cellStyle name="Comma 2 5 35" xfId="11681" xr:uid="{00000000-0005-0000-0000-00005B420000}"/>
    <cellStyle name="Comma 2 5 36" xfId="11682" xr:uid="{00000000-0005-0000-0000-00005C420000}"/>
    <cellStyle name="Comma 2 5 37" xfId="11683" xr:uid="{00000000-0005-0000-0000-00005D420000}"/>
    <cellStyle name="Comma 2 5 38" xfId="11684" xr:uid="{00000000-0005-0000-0000-00005E420000}"/>
    <cellStyle name="Comma 2 5 39" xfId="11685" xr:uid="{00000000-0005-0000-0000-00005F420000}"/>
    <cellStyle name="Comma 2 5 4" xfId="11686" xr:uid="{00000000-0005-0000-0000-000060420000}"/>
    <cellStyle name="Comma 2 5 4 2" xfId="11687" xr:uid="{00000000-0005-0000-0000-000061420000}"/>
    <cellStyle name="Comma 2 5 4 3" xfId="11688" xr:uid="{00000000-0005-0000-0000-000062420000}"/>
    <cellStyle name="Comma 2 5 4 4" xfId="11689" xr:uid="{00000000-0005-0000-0000-000063420000}"/>
    <cellStyle name="Comma 2 5 40" xfId="11690" xr:uid="{00000000-0005-0000-0000-000064420000}"/>
    <cellStyle name="Comma 2 5 41" xfId="11691" xr:uid="{00000000-0005-0000-0000-000065420000}"/>
    <cellStyle name="Comma 2 5 42" xfId="11692" xr:uid="{00000000-0005-0000-0000-000066420000}"/>
    <cellStyle name="Comma 2 5 5" xfId="11693" xr:uid="{00000000-0005-0000-0000-000067420000}"/>
    <cellStyle name="Comma 2 5 6" xfId="11694" xr:uid="{00000000-0005-0000-0000-000068420000}"/>
    <cellStyle name="Comma 2 5 7" xfId="11695" xr:uid="{00000000-0005-0000-0000-000069420000}"/>
    <cellStyle name="Comma 2 5 8" xfId="11696" xr:uid="{00000000-0005-0000-0000-00006A420000}"/>
    <cellStyle name="Comma 2 5 9" xfId="11697" xr:uid="{00000000-0005-0000-0000-00006B420000}"/>
    <cellStyle name="Comma 2 6" xfId="11698" xr:uid="{00000000-0005-0000-0000-00006C420000}"/>
    <cellStyle name="Comma 2 6 10" xfId="11699" xr:uid="{00000000-0005-0000-0000-00006D420000}"/>
    <cellStyle name="Comma 2 6 11" xfId="11700" xr:uid="{00000000-0005-0000-0000-00006E420000}"/>
    <cellStyle name="Comma 2 6 12" xfId="11701" xr:uid="{00000000-0005-0000-0000-00006F420000}"/>
    <cellStyle name="Comma 2 6 13" xfId="11702" xr:uid="{00000000-0005-0000-0000-000070420000}"/>
    <cellStyle name="Comma 2 6 14" xfId="11703" xr:uid="{00000000-0005-0000-0000-000071420000}"/>
    <cellStyle name="Comma 2 6 15" xfId="11704" xr:uid="{00000000-0005-0000-0000-000072420000}"/>
    <cellStyle name="Comma 2 6 16" xfId="11705" xr:uid="{00000000-0005-0000-0000-000073420000}"/>
    <cellStyle name="Comma 2 6 17" xfId="11706" xr:uid="{00000000-0005-0000-0000-000074420000}"/>
    <cellStyle name="Comma 2 6 18" xfId="11707" xr:uid="{00000000-0005-0000-0000-000075420000}"/>
    <cellStyle name="Comma 2 6 19" xfId="11708" xr:uid="{00000000-0005-0000-0000-000076420000}"/>
    <cellStyle name="Comma 2 6 2" xfId="11709" xr:uid="{00000000-0005-0000-0000-000077420000}"/>
    <cellStyle name="Comma 2 6 20" xfId="11710" xr:uid="{00000000-0005-0000-0000-000078420000}"/>
    <cellStyle name="Comma 2 6 21" xfId="11711" xr:uid="{00000000-0005-0000-0000-000079420000}"/>
    <cellStyle name="Comma 2 6 22" xfId="11712" xr:uid="{00000000-0005-0000-0000-00007A420000}"/>
    <cellStyle name="Comma 2 6 23" xfId="11713" xr:uid="{00000000-0005-0000-0000-00007B420000}"/>
    <cellStyle name="Comma 2 6 24" xfId="11714" xr:uid="{00000000-0005-0000-0000-00007C420000}"/>
    <cellStyle name="Comma 2 6 25" xfId="11715" xr:uid="{00000000-0005-0000-0000-00007D420000}"/>
    <cellStyle name="Comma 2 6 26" xfId="11716" xr:uid="{00000000-0005-0000-0000-00007E420000}"/>
    <cellStyle name="Comma 2 6 27" xfId="11717" xr:uid="{00000000-0005-0000-0000-00007F420000}"/>
    <cellStyle name="Comma 2 6 28" xfId="11718" xr:uid="{00000000-0005-0000-0000-000080420000}"/>
    <cellStyle name="Comma 2 6 29" xfId="11719" xr:uid="{00000000-0005-0000-0000-000081420000}"/>
    <cellStyle name="Comma 2 6 3" xfId="11720" xr:uid="{00000000-0005-0000-0000-000082420000}"/>
    <cellStyle name="Comma 2 6 30" xfId="11721" xr:uid="{00000000-0005-0000-0000-000083420000}"/>
    <cellStyle name="Comma 2 6 31" xfId="11722" xr:uid="{00000000-0005-0000-0000-000084420000}"/>
    <cellStyle name="Comma 2 6 32" xfId="11723" xr:uid="{00000000-0005-0000-0000-000085420000}"/>
    <cellStyle name="Comma 2 6 33" xfId="11724" xr:uid="{00000000-0005-0000-0000-000086420000}"/>
    <cellStyle name="Comma 2 6 33 2" xfId="11725" xr:uid="{00000000-0005-0000-0000-000087420000}"/>
    <cellStyle name="Comma 2 6 33 3" xfId="11726" xr:uid="{00000000-0005-0000-0000-000088420000}"/>
    <cellStyle name="Comma 2 6 34" xfId="11727" xr:uid="{00000000-0005-0000-0000-000089420000}"/>
    <cellStyle name="Comma 2 6 35" xfId="11728" xr:uid="{00000000-0005-0000-0000-00008A420000}"/>
    <cellStyle name="Comma 2 6 36" xfId="11729" xr:uid="{00000000-0005-0000-0000-00008B420000}"/>
    <cellStyle name="Comma 2 6 37" xfId="11730" xr:uid="{00000000-0005-0000-0000-00008C420000}"/>
    <cellStyle name="Comma 2 6 38" xfId="11731" xr:uid="{00000000-0005-0000-0000-00008D420000}"/>
    <cellStyle name="Comma 2 6 39" xfId="11732" xr:uid="{00000000-0005-0000-0000-00008E420000}"/>
    <cellStyle name="Comma 2 6 4" xfId="11733" xr:uid="{00000000-0005-0000-0000-00008F420000}"/>
    <cellStyle name="Comma 2 6 40" xfId="11734" xr:uid="{00000000-0005-0000-0000-000090420000}"/>
    <cellStyle name="Comma 2 6 41" xfId="11735" xr:uid="{00000000-0005-0000-0000-000091420000}"/>
    <cellStyle name="Comma 2 6 42" xfId="11736" xr:uid="{00000000-0005-0000-0000-000092420000}"/>
    <cellStyle name="Comma 2 6 43" xfId="11737" xr:uid="{00000000-0005-0000-0000-000093420000}"/>
    <cellStyle name="Comma 2 6 5" xfId="11738" xr:uid="{00000000-0005-0000-0000-000094420000}"/>
    <cellStyle name="Comma 2 6 6" xfId="11739" xr:uid="{00000000-0005-0000-0000-000095420000}"/>
    <cellStyle name="Comma 2 6 7" xfId="11740" xr:uid="{00000000-0005-0000-0000-000096420000}"/>
    <cellStyle name="Comma 2 6 8" xfId="11741" xr:uid="{00000000-0005-0000-0000-000097420000}"/>
    <cellStyle name="Comma 2 6 9" xfId="11742" xr:uid="{00000000-0005-0000-0000-000098420000}"/>
    <cellStyle name="Comma 2 7" xfId="11743" xr:uid="{00000000-0005-0000-0000-000099420000}"/>
    <cellStyle name="Comma 2 7 10" xfId="11744" xr:uid="{00000000-0005-0000-0000-00009A420000}"/>
    <cellStyle name="Comma 2 7 11" xfId="11745" xr:uid="{00000000-0005-0000-0000-00009B420000}"/>
    <cellStyle name="Comma 2 7 2" xfId="11746" xr:uid="{00000000-0005-0000-0000-00009C420000}"/>
    <cellStyle name="Comma 2 7 3" xfId="11747" xr:uid="{00000000-0005-0000-0000-00009D420000}"/>
    <cellStyle name="Comma 2 7 4" xfId="11748" xr:uid="{00000000-0005-0000-0000-00009E420000}"/>
    <cellStyle name="Comma 2 7 5" xfId="11749" xr:uid="{00000000-0005-0000-0000-00009F420000}"/>
    <cellStyle name="Comma 2 7 6" xfId="11750" xr:uid="{00000000-0005-0000-0000-0000A0420000}"/>
    <cellStyle name="Comma 2 7 7" xfId="11751" xr:uid="{00000000-0005-0000-0000-0000A1420000}"/>
    <cellStyle name="Comma 2 7 8" xfId="11752" xr:uid="{00000000-0005-0000-0000-0000A2420000}"/>
    <cellStyle name="Comma 2 7 9" xfId="11753" xr:uid="{00000000-0005-0000-0000-0000A3420000}"/>
    <cellStyle name="Comma 2 8" xfId="11754" xr:uid="{00000000-0005-0000-0000-0000A4420000}"/>
    <cellStyle name="Comma 2 8 10" xfId="11755" xr:uid="{00000000-0005-0000-0000-0000A5420000}"/>
    <cellStyle name="Comma 2 8 11" xfId="11756" xr:uid="{00000000-0005-0000-0000-0000A6420000}"/>
    <cellStyle name="Comma 2 8 2" xfId="11757" xr:uid="{00000000-0005-0000-0000-0000A7420000}"/>
    <cellStyle name="Comma 2 8 3" xfId="11758" xr:uid="{00000000-0005-0000-0000-0000A8420000}"/>
    <cellStyle name="Comma 2 8 4" xfId="11759" xr:uid="{00000000-0005-0000-0000-0000A9420000}"/>
    <cellStyle name="Comma 2 8 5" xfId="11760" xr:uid="{00000000-0005-0000-0000-0000AA420000}"/>
    <cellStyle name="Comma 2 8 6" xfId="11761" xr:uid="{00000000-0005-0000-0000-0000AB420000}"/>
    <cellStyle name="Comma 2 8 7" xfId="11762" xr:uid="{00000000-0005-0000-0000-0000AC420000}"/>
    <cellStyle name="Comma 2 8 8" xfId="11763" xr:uid="{00000000-0005-0000-0000-0000AD420000}"/>
    <cellStyle name="Comma 2 8 9" xfId="11764" xr:uid="{00000000-0005-0000-0000-0000AE420000}"/>
    <cellStyle name="Comma 2 9" xfId="11765" xr:uid="{00000000-0005-0000-0000-0000AF420000}"/>
    <cellStyle name="Comma 2 9 10" xfId="11766" xr:uid="{00000000-0005-0000-0000-0000B0420000}"/>
    <cellStyle name="Comma 2 9 11" xfId="11767" xr:uid="{00000000-0005-0000-0000-0000B1420000}"/>
    <cellStyle name="Comma 2 9 2" xfId="11768" xr:uid="{00000000-0005-0000-0000-0000B2420000}"/>
    <cellStyle name="Comma 2 9 3" xfId="11769" xr:uid="{00000000-0005-0000-0000-0000B3420000}"/>
    <cellStyle name="Comma 2 9 4" xfId="11770" xr:uid="{00000000-0005-0000-0000-0000B4420000}"/>
    <cellStyle name="Comma 2 9 5" xfId="11771" xr:uid="{00000000-0005-0000-0000-0000B5420000}"/>
    <cellStyle name="Comma 2 9 6" xfId="11772" xr:uid="{00000000-0005-0000-0000-0000B6420000}"/>
    <cellStyle name="Comma 2 9 7" xfId="11773" xr:uid="{00000000-0005-0000-0000-0000B7420000}"/>
    <cellStyle name="Comma 2 9 8" xfId="11774" xr:uid="{00000000-0005-0000-0000-0000B8420000}"/>
    <cellStyle name="Comma 2 9 9" xfId="11775" xr:uid="{00000000-0005-0000-0000-0000B9420000}"/>
    <cellStyle name="Comma 2_MA LIFE - 12 December 2009 - Stage 01A " xfId="11776" xr:uid="{00000000-0005-0000-0000-0000BA420000}"/>
    <cellStyle name="Comma 20" xfId="13" xr:uid="{00000000-0005-0000-0000-0000BB420000}"/>
    <cellStyle name="Comma 20 2" xfId="11777" xr:uid="{00000000-0005-0000-0000-0000BC420000}"/>
    <cellStyle name="Comma 21" xfId="11778" xr:uid="{00000000-0005-0000-0000-0000BD420000}"/>
    <cellStyle name="Comma 21 2" xfId="11779" xr:uid="{00000000-0005-0000-0000-0000BE420000}"/>
    <cellStyle name="Comma 21 3" xfId="11780" xr:uid="{00000000-0005-0000-0000-0000BF420000}"/>
    <cellStyle name="Comma 21 4" xfId="11781" xr:uid="{00000000-0005-0000-0000-0000C0420000}"/>
    <cellStyle name="Comma 21 5" xfId="11782" xr:uid="{00000000-0005-0000-0000-0000C1420000}"/>
    <cellStyle name="Comma 21 6" xfId="11783" xr:uid="{00000000-0005-0000-0000-0000C2420000}"/>
    <cellStyle name="Comma 22" xfId="11784" xr:uid="{00000000-0005-0000-0000-0000C3420000}"/>
    <cellStyle name="Comma 23" xfId="11785" xr:uid="{00000000-0005-0000-0000-0000C4420000}"/>
    <cellStyle name="Comma 23 10" xfId="11786" xr:uid="{00000000-0005-0000-0000-0000C5420000}"/>
    <cellStyle name="Comma 23 11" xfId="11787" xr:uid="{00000000-0005-0000-0000-0000C6420000}"/>
    <cellStyle name="Comma 23 2" xfId="11788" xr:uid="{00000000-0005-0000-0000-0000C7420000}"/>
    <cellStyle name="Comma 23 3" xfId="11789" xr:uid="{00000000-0005-0000-0000-0000C8420000}"/>
    <cellStyle name="Comma 23 4" xfId="11790" xr:uid="{00000000-0005-0000-0000-0000C9420000}"/>
    <cellStyle name="Comma 23 5" xfId="11791" xr:uid="{00000000-0005-0000-0000-0000CA420000}"/>
    <cellStyle name="Comma 23 6" xfId="11792" xr:uid="{00000000-0005-0000-0000-0000CB420000}"/>
    <cellStyle name="Comma 23 7" xfId="11793" xr:uid="{00000000-0005-0000-0000-0000CC420000}"/>
    <cellStyle name="Comma 23 8" xfId="11794" xr:uid="{00000000-0005-0000-0000-0000CD420000}"/>
    <cellStyle name="Comma 23 9" xfId="11795" xr:uid="{00000000-0005-0000-0000-0000CE420000}"/>
    <cellStyle name="Comma 24" xfId="11796" xr:uid="{00000000-0005-0000-0000-0000CF420000}"/>
    <cellStyle name="Comma 25" xfId="11797" xr:uid="{00000000-0005-0000-0000-0000D0420000}"/>
    <cellStyle name="Comma 25 2" xfId="11798" xr:uid="{00000000-0005-0000-0000-0000D1420000}"/>
    <cellStyle name="Comma 25 3" xfId="11799" xr:uid="{00000000-0005-0000-0000-0000D2420000}"/>
    <cellStyle name="Comma 25 4" xfId="11800" xr:uid="{00000000-0005-0000-0000-0000D3420000}"/>
    <cellStyle name="Comma 25 5" xfId="11801" xr:uid="{00000000-0005-0000-0000-0000D4420000}"/>
    <cellStyle name="Comma 26" xfId="11802" xr:uid="{00000000-0005-0000-0000-0000D5420000}"/>
    <cellStyle name="Comma 26 2" xfId="11803" xr:uid="{00000000-0005-0000-0000-0000D6420000}"/>
    <cellStyle name="Comma 26 3" xfId="11804" xr:uid="{00000000-0005-0000-0000-0000D7420000}"/>
    <cellStyle name="Comma 26 4" xfId="11805" xr:uid="{00000000-0005-0000-0000-0000D8420000}"/>
    <cellStyle name="Comma 26 5" xfId="11806" xr:uid="{00000000-0005-0000-0000-0000D9420000}"/>
    <cellStyle name="Comma 27" xfId="11807" xr:uid="{00000000-0005-0000-0000-0000DA420000}"/>
    <cellStyle name="Comma 27 2" xfId="11808" xr:uid="{00000000-0005-0000-0000-0000DB420000}"/>
    <cellStyle name="Comma 27 3" xfId="11809" xr:uid="{00000000-0005-0000-0000-0000DC420000}"/>
    <cellStyle name="Comma 27 4" xfId="37573" xr:uid="{00000000-0005-0000-0000-0000DD420000}"/>
    <cellStyle name="Comma 28" xfId="11810" xr:uid="{00000000-0005-0000-0000-0000DE420000}"/>
    <cellStyle name="Comma 28 2" xfId="37574" xr:uid="{00000000-0005-0000-0000-0000DF420000}"/>
    <cellStyle name="Comma 29" xfId="11811" xr:uid="{00000000-0005-0000-0000-0000E0420000}"/>
    <cellStyle name="Comma 29 2" xfId="37575" xr:uid="{00000000-0005-0000-0000-0000E1420000}"/>
    <cellStyle name="Comma 3" xfId="6" xr:uid="{00000000-0005-0000-0000-0000E2420000}"/>
    <cellStyle name="Comma 3 10" xfId="11812" xr:uid="{00000000-0005-0000-0000-0000E3420000}"/>
    <cellStyle name="Comma 3 11" xfId="11813" xr:uid="{00000000-0005-0000-0000-0000E4420000}"/>
    <cellStyle name="Comma 3 12" xfId="11814" xr:uid="{00000000-0005-0000-0000-0000E5420000}"/>
    <cellStyle name="Comma 3 13" xfId="11815" xr:uid="{00000000-0005-0000-0000-0000E6420000}"/>
    <cellStyle name="Comma 3 14" xfId="11816" xr:uid="{00000000-0005-0000-0000-0000E7420000}"/>
    <cellStyle name="Comma 3 15" xfId="11817" xr:uid="{00000000-0005-0000-0000-0000E8420000}"/>
    <cellStyle name="Comma 3 16" xfId="11818" xr:uid="{00000000-0005-0000-0000-0000E9420000}"/>
    <cellStyle name="Comma 3 17" xfId="11819" xr:uid="{00000000-0005-0000-0000-0000EA420000}"/>
    <cellStyle name="Comma 3 18" xfId="11820" xr:uid="{00000000-0005-0000-0000-0000EB420000}"/>
    <cellStyle name="Comma 3 19" xfId="11821" xr:uid="{00000000-0005-0000-0000-0000EC420000}"/>
    <cellStyle name="Comma 3 2" xfId="18" xr:uid="{00000000-0005-0000-0000-0000ED420000}"/>
    <cellStyle name="Comma 3 2 10" xfId="11822" xr:uid="{00000000-0005-0000-0000-0000EE420000}"/>
    <cellStyle name="Comma 3 2 11" xfId="11823" xr:uid="{00000000-0005-0000-0000-0000EF420000}"/>
    <cellStyle name="Comma 3 2 12" xfId="11824" xr:uid="{00000000-0005-0000-0000-0000F0420000}"/>
    <cellStyle name="Comma 3 2 13" xfId="11825" xr:uid="{00000000-0005-0000-0000-0000F1420000}"/>
    <cellStyle name="Comma 3 2 14" xfId="11826" xr:uid="{00000000-0005-0000-0000-0000F2420000}"/>
    <cellStyle name="Comma 3 2 15" xfId="11827" xr:uid="{00000000-0005-0000-0000-0000F3420000}"/>
    <cellStyle name="Comma 3 2 16" xfId="11828" xr:uid="{00000000-0005-0000-0000-0000F4420000}"/>
    <cellStyle name="Comma 3 2 17" xfId="11829" xr:uid="{00000000-0005-0000-0000-0000F5420000}"/>
    <cellStyle name="Comma 3 2 18" xfId="11830" xr:uid="{00000000-0005-0000-0000-0000F6420000}"/>
    <cellStyle name="Comma 3 2 19" xfId="11831" xr:uid="{00000000-0005-0000-0000-0000F7420000}"/>
    <cellStyle name="Comma 3 2 2" xfId="40" xr:uid="{00000000-0005-0000-0000-0000F8420000}"/>
    <cellStyle name="Comma 3 2 20" xfId="11832" xr:uid="{00000000-0005-0000-0000-0000F9420000}"/>
    <cellStyle name="Comma 3 2 21" xfId="11833" xr:uid="{00000000-0005-0000-0000-0000FA420000}"/>
    <cellStyle name="Comma 3 2 22" xfId="11834" xr:uid="{00000000-0005-0000-0000-0000FB420000}"/>
    <cellStyle name="Comma 3 2 23" xfId="11835" xr:uid="{00000000-0005-0000-0000-0000FC420000}"/>
    <cellStyle name="Comma 3 2 24" xfId="11836" xr:uid="{00000000-0005-0000-0000-0000FD420000}"/>
    <cellStyle name="Comma 3 2 3" xfId="11837" xr:uid="{00000000-0005-0000-0000-0000FE420000}"/>
    <cellStyle name="Comma 3 2 4" xfId="11838" xr:uid="{00000000-0005-0000-0000-0000FF420000}"/>
    <cellStyle name="Comma 3 2 5" xfId="11839" xr:uid="{00000000-0005-0000-0000-000000430000}"/>
    <cellStyle name="Comma 3 2 6" xfId="11840" xr:uid="{00000000-0005-0000-0000-000001430000}"/>
    <cellStyle name="Comma 3 2 7" xfId="11841" xr:uid="{00000000-0005-0000-0000-000002430000}"/>
    <cellStyle name="Comma 3 2 8" xfId="11842" xr:uid="{00000000-0005-0000-0000-000003430000}"/>
    <cellStyle name="Comma 3 2 9" xfId="11843" xr:uid="{00000000-0005-0000-0000-000004430000}"/>
    <cellStyle name="Comma 3 20" xfId="11844" xr:uid="{00000000-0005-0000-0000-000005430000}"/>
    <cellStyle name="Comma 3 21" xfId="11845" xr:uid="{00000000-0005-0000-0000-000006430000}"/>
    <cellStyle name="Comma 3 22" xfId="11846" xr:uid="{00000000-0005-0000-0000-000007430000}"/>
    <cellStyle name="Comma 3 23" xfId="11847" xr:uid="{00000000-0005-0000-0000-000008430000}"/>
    <cellStyle name="Comma 3 24" xfId="11848" xr:uid="{00000000-0005-0000-0000-000009430000}"/>
    <cellStyle name="Comma 3 25" xfId="11849" xr:uid="{00000000-0005-0000-0000-00000A430000}"/>
    <cellStyle name="Comma 3 26" xfId="11850" xr:uid="{00000000-0005-0000-0000-00000B430000}"/>
    <cellStyle name="Comma 3 27" xfId="37579" xr:uid="{00000000-0005-0000-0000-00000C430000}"/>
    <cellStyle name="Comma 3 3" xfId="35" xr:uid="{00000000-0005-0000-0000-00000D430000}"/>
    <cellStyle name="Comma 3 3 2" xfId="11851" xr:uid="{00000000-0005-0000-0000-00000E430000}"/>
    <cellStyle name="Comma 3 3 3" xfId="11852" xr:uid="{00000000-0005-0000-0000-00000F430000}"/>
    <cellStyle name="Comma 3 3 4" xfId="11853" xr:uid="{00000000-0005-0000-0000-000010430000}"/>
    <cellStyle name="Comma 3 3 5" xfId="11854" xr:uid="{00000000-0005-0000-0000-000011430000}"/>
    <cellStyle name="Comma 3 3 6" xfId="11855" xr:uid="{00000000-0005-0000-0000-000012430000}"/>
    <cellStyle name="Comma 3 4" xfId="11856" xr:uid="{00000000-0005-0000-0000-000013430000}"/>
    <cellStyle name="Comma 3 4 2" xfId="11857" xr:uid="{00000000-0005-0000-0000-000014430000}"/>
    <cellStyle name="Comma 3 5" xfId="11858" xr:uid="{00000000-0005-0000-0000-000015430000}"/>
    <cellStyle name="Comma 3 6" xfId="11859" xr:uid="{00000000-0005-0000-0000-000016430000}"/>
    <cellStyle name="Comma 3 7" xfId="11860" xr:uid="{00000000-0005-0000-0000-000017430000}"/>
    <cellStyle name="Comma 3 8" xfId="11861" xr:uid="{00000000-0005-0000-0000-000018430000}"/>
    <cellStyle name="Comma 3 9" xfId="11862" xr:uid="{00000000-0005-0000-0000-000019430000}"/>
    <cellStyle name="Comma 3_Xl0000010" xfId="11863" xr:uid="{00000000-0005-0000-0000-00001A430000}"/>
    <cellStyle name="Comma 30" xfId="16" xr:uid="{00000000-0005-0000-0000-00001B430000}"/>
    <cellStyle name="Comma 30 2" xfId="11864" xr:uid="{00000000-0005-0000-0000-00001C430000}"/>
    <cellStyle name="Comma 30 3" xfId="11865" xr:uid="{00000000-0005-0000-0000-00001D430000}"/>
    <cellStyle name="Comma 30 4" xfId="11866" xr:uid="{00000000-0005-0000-0000-00001E430000}"/>
    <cellStyle name="Comma 30 5" xfId="11867" xr:uid="{00000000-0005-0000-0000-00001F430000}"/>
    <cellStyle name="Comma 30 6" xfId="11868" xr:uid="{00000000-0005-0000-0000-000020430000}"/>
    <cellStyle name="Comma 30 7" xfId="37576" xr:uid="{00000000-0005-0000-0000-000021430000}"/>
    <cellStyle name="Comma 31" xfId="11869" xr:uid="{00000000-0005-0000-0000-000022430000}"/>
    <cellStyle name="Comma 32" xfId="11870" xr:uid="{00000000-0005-0000-0000-000023430000}"/>
    <cellStyle name="Comma 32 2" xfId="37577" xr:uid="{00000000-0005-0000-0000-000024430000}"/>
    <cellStyle name="Comma 33" xfId="11871" xr:uid="{00000000-0005-0000-0000-000025430000}"/>
    <cellStyle name="Comma 34" xfId="11872" xr:uid="{00000000-0005-0000-0000-000026430000}"/>
    <cellStyle name="Comma 35" xfId="11873" xr:uid="{00000000-0005-0000-0000-000027430000}"/>
    <cellStyle name="Comma 36" xfId="11874" xr:uid="{00000000-0005-0000-0000-000028430000}"/>
    <cellStyle name="Comma 37" xfId="11875" xr:uid="{00000000-0005-0000-0000-000029430000}"/>
    <cellStyle name="Comma 38" xfId="11876" xr:uid="{00000000-0005-0000-0000-00002A430000}"/>
    <cellStyle name="Comma 39" xfId="11877" xr:uid="{00000000-0005-0000-0000-00002B430000}"/>
    <cellStyle name="Comma 4" xfId="24" xr:uid="{00000000-0005-0000-0000-00002C430000}"/>
    <cellStyle name="Comma 4 10" xfId="11878" xr:uid="{00000000-0005-0000-0000-00002D430000}"/>
    <cellStyle name="Comma 4 10 2" xfId="11879" xr:uid="{00000000-0005-0000-0000-00002E430000}"/>
    <cellStyle name="Comma 4 11" xfId="11880" xr:uid="{00000000-0005-0000-0000-00002F430000}"/>
    <cellStyle name="Comma 4 12" xfId="11881" xr:uid="{00000000-0005-0000-0000-000030430000}"/>
    <cellStyle name="Comma 4 13" xfId="11882" xr:uid="{00000000-0005-0000-0000-000031430000}"/>
    <cellStyle name="Comma 4 14" xfId="11883" xr:uid="{00000000-0005-0000-0000-000032430000}"/>
    <cellStyle name="Comma 4 15" xfId="11884" xr:uid="{00000000-0005-0000-0000-000033430000}"/>
    <cellStyle name="Comma 4 16" xfId="11885" xr:uid="{00000000-0005-0000-0000-000034430000}"/>
    <cellStyle name="Comma 4 17" xfId="11886" xr:uid="{00000000-0005-0000-0000-000035430000}"/>
    <cellStyle name="Comma 4 18" xfId="11887" xr:uid="{00000000-0005-0000-0000-000036430000}"/>
    <cellStyle name="Comma 4 19" xfId="11888" xr:uid="{00000000-0005-0000-0000-000037430000}"/>
    <cellStyle name="Comma 4 2" xfId="44" xr:uid="{00000000-0005-0000-0000-000038430000}"/>
    <cellStyle name="Comma 4 2 10" xfId="11889" xr:uid="{00000000-0005-0000-0000-000039430000}"/>
    <cellStyle name="Comma 4 2 11" xfId="11890" xr:uid="{00000000-0005-0000-0000-00003A430000}"/>
    <cellStyle name="Comma 4 2 12" xfId="11891" xr:uid="{00000000-0005-0000-0000-00003B430000}"/>
    <cellStyle name="Comma 4 2 13" xfId="11892" xr:uid="{00000000-0005-0000-0000-00003C430000}"/>
    <cellStyle name="Comma 4 2 14" xfId="11893" xr:uid="{00000000-0005-0000-0000-00003D430000}"/>
    <cellStyle name="Comma 4 2 15" xfId="11894" xr:uid="{00000000-0005-0000-0000-00003E430000}"/>
    <cellStyle name="Comma 4 2 16" xfId="11895" xr:uid="{00000000-0005-0000-0000-00003F430000}"/>
    <cellStyle name="Comma 4 2 17" xfId="11896" xr:uid="{00000000-0005-0000-0000-000040430000}"/>
    <cellStyle name="Comma 4 2 18" xfId="11897" xr:uid="{00000000-0005-0000-0000-000041430000}"/>
    <cellStyle name="Comma 4 2 19" xfId="11898" xr:uid="{00000000-0005-0000-0000-000042430000}"/>
    <cellStyle name="Comma 4 2 2" xfId="11899" xr:uid="{00000000-0005-0000-0000-000043430000}"/>
    <cellStyle name="Comma 4 2 20" xfId="11900" xr:uid="{00000000-0005-0000-0000-000044430000}"/>
    <cellStyle name="Comma 4 2 21" xfId="11901" xr:uid="{00000000-0005-0000-0000-000045430000}"/>
    <cellStyle name="Comma 4 2 22" xfId="11902" xr:uid="{00000000-0005-0000-0000-000046430000}"/>
    <cellStyle name="Comma 4 2 23" xfId="11903" xr:uid="{00000000-0005-0000-0000-000047430000}"/>
    <cellStyle name="Comma 4 2 24" xfId="11904" xr:uid="{00000000-0005-0000-0000-000048430000}"/>
    <cellStyle name="Comma 4 2 25" xfId="11905" xr:uid="{00000000-0005-0000-0000-000049430000}"/>
    <cellStyle name="Comma 4 2 26" xfId="11906" xr:uid="{00000000-0005-0000-0000-00004A430000}"/>
    <cellStyle name="Comma 4 2 27" xfId="11907" xr:uid="{00000000-0005-0000-0000-00004B430000}"/>
    <cellStyle name="Comma 4 2 28" xfId="11908" xr:uid="{00000000-0005-0000-0000-00004C430000}"/>
    <cellStyle name="Comma 4 2 29" xfId="11909" xr:uid="{00000000-0005-0000-0000-00004D430000}"/>
    <cellStyle name="Comma 4 2 3" xfId="11910" xr:uid="{00000000-0005-0000-0000-00004E430000}"/>
    <cellStyle name="Comma 4 2 30" xfId="11911" xr:uid="{00000000-0005-0000-0000-00004F430000}"/>
    <cellStyle name="Comma 4 2 31" xfId="11912" xr:uid="{00000000-0005-0000-0000-000050430000}"/>
    <cellStyle name="Comma 4 2 32" xfId="11913" xr:uid="{00000000-0005-0000-0000-000051430000}"/>
    <cellStyle name="Comma 4 2 33" xfId="11914" xr:uid="{00000000-0005-0000-0000-000052430000}"/>
    <cellStyle name="Comma 4 2 34" xfId="11915" xr:uid="{00000000-0005-0000-0000-000053430000}"/>
    <cellStyle name="Comma 4 2 35" xfId="11916" xr:uid="{00000000-0005-0000-0000-000054430000}"/>
    <cellStyle name="Comma 4 2 36" xfId="11917" xr:uid="{00000000-0005-0000-0000-000055430000}"/>
    <cellStyle name="Comma 4 2 37" xfId="11918" xr:uid="{00000000-0005-0000-0000-000056430000}"/>
    <cellStyle name="Comma 4 2 38" xfId="11919" xr:uid="{00000000-0005-0000-0000-000057430000}"/>
    <cellStyle name="Comma 4 2 39" xfId="11920" xr:uid="{00000000-0005-0000-0000-000058430000}"/>
    <cellStyle name="Comma 4 2 4" xfId="11921" xr:uid="{00000000-0005-0000-0000-000059430000}"/>
    <cellStyle name="Comma 4 2 40" xfId="11922" xr:uid="{00000000-0005-0000-0000-00005A430000}"/>
    <cellStyle name="Comma 4 2 41" xfId="11923" xr:uid="{00000000-0005-0000-0000-00005B430000}"/>
    <cellStyle name="Comma 4 2 42" xfId="11924" xr:uid="{00000000-0005-0000-0000-00005C430000}"/>
    <cellStyle name="Comma 4 2 43" xfId="11925" xr:uid="{00000000-0005-0000-0000-00005D430000}"/>
    <cellStyle name="Comma 4 2 44" xfId="11926" xr:uid="{00000000-0005-0000-0000-00005E430000}"/>
    <cellStyle name="Comma 4 2 45" xfId="11927" xr:uid="{00000000-0005-0000-0000-00005F430000}"/>
    <cellStyle name="Comma 4 2 46" xfId="11928" xr:uid="{00000000-0005-0000-0000-000060430000}"/>
    <cellStyle name="Comma 4 2 47" xfId="11929" xr:uid="{00000000-0005-0000-0000-000061430000}"/>
    <cellStyle name="Comma 4 2 48" xfId="11930" xr:uid="{00000000-0005-0000-0000-000062430000}"/>
    <cellStyle name="Comma 4 2 49" xfId="11931" xr:uid="{00000000-0005-0000-0000-000063430000}"/>
    <cellStyle name="Comma 4 2 5" xfId="11932" xr:uid="{00000000-0005-0000-0000-000064430000}"/>
    <cellStyle name="Comma 4 2 50" xfId="11933" xr:uid="{00000000-0005-0000-0000-000065430000}"/>
    <cellStyle name="Comma 4 2 51" xfId="11934" xr:uid="{00000000-0005-0000-0000-000066430000}"/>
    <cellStyle name="Comma 4 2 52" xfId="11935" xr:uid="{00000000-0005-0000-0000-000067430000}"/>
    <cellStyle name="Comma 4 2 53" xfId="11936" xr:uid="{00000000-0005-0000-0000-000068430000}"/>
    <cellStyle name="Comma 4 2 54" xfId="11937" xr:uid="{00000000-0005-0000-0000-000069430000}"/>
    <cellStyle name="Comma 4 2 55" xfId="11938" xr:uid="{00000000-0005-0000-0000-00006A430000}"/>
    <cellStyle name="Comma 4 2 56" xfId="11939" xr:uid="{00000000-0005-0000-0000-00006B430000}"/>
    <cellStyle name="Comma 4 2 57" xfId="11940" xr:uid="{00000000-0005-0000-0000-00006C430000}"/>
    <cellStyle name="Comma 4 2 58" xfId="11941" xr:uid="{00000000-0005-0000-0000-00006D430000}"/>
    <cellStyle name="Comma 4 2 59" xfId="11942" xr:uid="{00000000-0005-0000-0000-00006E430000}"/>
    <cellStyle name="Comma 4 2 6" xfId="11943" xr:uid="{00000000-0005-0000-0000-00006F430000}"/>
    <cellStyle name="Comma 4 2 60" xfId="11944" xr:uid="{00000000-0005-0000-0000-000070430000}"/>
    <cellStyle name="Comma 4 2 61" xfId="11945" xr:uid="{00000000-0005-0000-0000-000071430000}"/>
    <cellStyle name="Comma 4 2 62" xfId="11946" xr:uid="{00000000-0005-0000-0000-000072430000}"/>
    <cellStyle name="Comma 4 2 63" xfId="11947" xr:uid="{00000000-0005-0000-0000-000073430000}"/>
    <cellStyle name="Comma 4 2 64" xfId="11948" xr:uid="{00000000-0005-0000-0000-000074430000}"/>
    <cellStyle name="Comma 4 2 65" xfId="11949" xr:uid="{00000000-0005-0000-0000-000075430000}"/>
    <cellStyle name="Comma 4 2 66" xfId="11950" xr:uid="{00000000-0005-0000-0000-000076430000}"/>
    <cellStyle name="Comma 4 2 67" xfId="11951" xr:uid="{00000000-0005-0000-0000-000077430000}"/>
    <cellStyle name="Comma 4 2 68" xfId="11952" xr:uid="{00000000-0005-0000-0000-000078430000}"/>
    <cellStyle name="Comma 4 2 69" xfId="11953" xr:uid="{00000000-0005-0000-0000-000079430000}"/>
    <cellStyle name="Comma 4 2 7" xfId="11954" xr:uid="{00000000-0005-0000-0000-00007A430000}"/>
    <cellStyle name="Comma 4 2 70" xfId="11955" xr:uid="{00000000-0005-0000-0000-00007B430000}"/>
    <cellStyle name="Comma 4 2 71" xfId="11956" xr:uid="{00000000-0005-0000-0000-00007C430000}"/>
    <cellStyle name="Comma 4 2 72" xfId="11957" xr:uid="{00000000-0005-0000-0000-00007D430000}"/>
    <cellStyle name="Comma 4 2 73" xfId="11958" xr:uid="{00000000-0005-0000-0000-00007E430000}"/>
    <cellStyle name="Comma 4 2 74" xfId="11959" xr:uid="{00000000-0005-0000-0000-00007F430000}"/>
    <cellStyle name="Comma 4 2 75" xfId="11960" xr:uid="{00000000-0005-0000-0000-000080430000}"/>
    <cellStyle name="Comma 4 2 76" xfId="11961" xr:uid="{00000000-0005-0000-0000-000081430000}"/>
    <cellStyle name="Comma 4 2 77" xfId="11962" xr:uid="{00000000-0005-0000-0000-000082430000}"/>
    <cellStyle name="Comma 4 2 78" xfId="11963" xr:uid="{00000000-0005-0000-0000-000083430000}"/>
    <cellStyle name="Comma 4 2 79" xfId="11964" xr:uid="{00000000-0005-0000-0000-000084430000}"/>
    <cellStyle name="Comma 4 2 8" xfId="11965" xr:uid="{00000000-0005-0000-0000-000085430000}"/>
    <cellStyle name="Comma 4 2 80" xfId="11966" xr:uid="{00000000-0005-0000-0000-000086430000}"/>
    <cellStyle name="Comma 4 2 81" xfId="11967" xr:uid="{00000000-0005-0000-0000-000087430000}"/>
    <cellStyle name="Comma 4 2 82" xfId="11968" xr:uid="{00000000-0005-0000-0000-000088430000}"/>
    <cellStyle name="Comma 4 2 83" xfId="11969" xr:uid="{00000000-0005-0000-0000-000089430000}"/>
    <cellStyle name="Comma 4 2 84" xfId="11970" xr:uid="{00000000-0005-0000-0000-00008A430000}"/>
    <cellStyle name="Comma 4 2 85" xfId="11971" xr:uid="{00000000-0005-0000-0000-00008B430000}"/>
    <cellStyle name="Comma 4 2 86" xfId="11972" xr:uid="{00000000-0005-0000-0000-00008C430000}"/>
    <cellStyle name="Comma 4 2 87" xfId="11973" xr:uid="{00000000-0005-0000-0000-00008D430000}"/>
    <cellStyle name="Comma 4 2 88" xfId="11974" xr:uid="{00000000-0005-0000-0000-00008E430000}"/>
    <cellStyle name="Comma 4 2 89" xfId="11975" xr:uid="{00000000-0005-0000-0000-00008F430000}"/>
    <cellStyle name="Comma 4 2 9" xfId="11976" xr:uid="{00000000-0005-0000-0000-000090430000}"/>
    <cellStyle name="Comma 4 2 90" xfId="11977" xr:uid="{00000000-0005-0000-0000-000091430000}"/>
    <cellStyle name="Comma 4 2 91" xfId="11978" xr:uid="{00000000-0005-0000-0000-000092430000}"/>
    <cellStyle name="Comma 4 2 92" xfId="11979" xr:uid="{00000000-0005-0000-0000-000093430000}"/>
    <cellStyle name="Comma 4 2 93" xfId="11980" xr:uid="{00000000-0005-0000-0000-000094430000}"/>
    <cellStyle name="Comma 4 2 94" xfId="11981" xr:uid="{00000000-0005-0000-0000-000095430000}"/>
    <cellStyle name="Comma 4 2 95" xfId="11982" xr:uid="{00000000-0005-0000-0000-000096430000}"/>
    <cellStyle name="Comma 4 2 96" xfId="11983" xr:uid="{00000000-0005-0000-0000-000097430000}"/>
    <cellStyle name="Comma 4 20" xfId="11984" xr:uid="{00000000-0005-0000-0000-000098430000}"/>
    <cellStyle name="Comma 4 21" xfId="11985" xr:uid="{00000000-0005-0000-0000-000099430000}"/>
    <cellStyle name="Comma 4 22" xfId="11986" xr:uid="{00000000-0005-0000-0000-00009A430000}"/>
    <cellStyle name="Comma 4 23" xfId="11987" xr:uid="{00000000-0005-0000-0000-00009B430000}"/>
    <cellStyle name="Comma 4 24" xfId="11988" xr:uid="{00000000-0005-0000-0000-00009C430000}"/>
    <cellStyle name="Comma 4 25" xfId="11989" xr:uid="{00000000-0005-0000-0000-00009D430000}"/>
    <cellStyle name="Comma 4 26" xfId="11990" xr:uid="{00000000-0005-0000-0000-00009E430000}"/>
    <cellStyle name="Comma 4 27" xfId="11991" xr:uid="{00000000-0005-0000-0000-00009F430000}"/>
    <cellStyle name="Comma 4 28" xfId="11992" xr:uid="{00000000-0005-0000-0000-0000A0430000}"/>
    <cellStyle name="Comma 4 29" xfId="11993" xr:uid="{00000000-0005-0000-0000-0000A1430000}"/>
    <cellStyle name="Comma 4 3" xfId="11994" xr:uid="{00000000-0005-0000-0000-0000A2430000}"/>
    <cellStyle name="Comma 4 3 2" xfId="11995" xr:uid="{00000000-0005-0000-0000-0000A3430000}"/>
    <cellStyle name="Comma 4 3 2 2" xfId="11996" xr:uid="{00000000-0005-0000-0000-0000A4430000}"/>
    <cellStyle name="Comma 4 3 2 3" xfId="11997" xr:uid="{00000000-0005-0000-0000-0000A5430000}"/>
    <cellStyle name="Comma 4 3 2 4" xfId="11998" xr:uid="{00000000-0005-0000-0000-0000A6430000}"/>
    <cellStyle name="Comma 4 3 3" xfId="11999" xr:uid="{00000000-0005-0000-0000-0000A7430000}"/>
    <cellStyle name="Comma 4 3 3 2" xfId="12000" xr:uid="{00000000-0005-0000-0000-0000A8430000}"/>
    <cellStyle name="Comma 4 3 3 3" xfId="12001" xr:uid="{00000000-0005-0000-0000-0000A9430000}"/>
    <cellStyle name="Comma 4 3 4" xfId="12002" xr:uid="{00000000-0005-0000-0000-0000AA430000}"/>
    <cellStyle name="Comma 4 3 4 2" xfId="12003" xr:uid="{00000000-0005-0000-0000-0000AB430000}"/>
    <cellStyle name="Comma 4 3 4 3" xfId="12004" xr:uid="{00000000-0005-0000-0000-0000AC430000}"/>
    <cellStyle name="Comma 4 3 5" xfId="12005" xr:uid="{00000000-0005-0000-0000-0000AD430000}"/>
    <cellStyle name="Comma 4 3 5 2" xfId="12006" xr:uid="{00000000-0005-0000-0000-0000AE430000}"/>
    <cellStyle name="Comma 4 3 5 3" xfId="12007" xr:uid="{00000000-0005-0000-0000-0000AF430000}"/>
    <cellStyle name="Comma 4 3 6" xfId="12008" xr:uid="{00000000-0005-0000-0000-0000B0430000}"/>
    <cellStyle name="Comma 4 3 7" xfId="12009" xr:uid="{00000000-0005-0000-0000-0000B1430000}"/>
    <cellStyle name="Comma 4 3 8" xfId="12010" xr:uid="{00000000-0005-0000-0000-0000B2430000}"/>
    <cellStyle name="Comma 4 3 9" xfId="12011" xr:uid="{00000000-0005-0000-0000-0000B3430000}"/>
    <cellStyle name="Comma 4 30" xfId="12012" xr:uid="{00000000-0005-0000-0000-0000B4430000}"/>
    <cellStyle name="Comma 4 31" xfId="12013" xr:uid="{00000000-0005-0000-0000-0000B5430000}"/>
    <cellStyle name="Comma 4 32" xfId="12014" xr:uid="{00000000-0005-0000-0000-0000B6430000}"/>
    <cellStyle name="Comma 4 33" xfId="12015" xr:uid="{00000000-0005-0000-0000-0000B7430000}"/>
    <cellStyle name="Comma 4 34" xfId="12016" xr:uid="{00000000-0005-0000-0000-0000B8430000}"/>
    <cellStyle name="Comma 4 35" xfId="12017" xr:uid="{00000000-0005-0000-0000-0000B9430000}"/>
    <cellStyle name="Comma 4 36" xfId="12018" xr:uid="{00000000-0005-0000-0000-0000BA430000}"/>
    <cellStyle name="Comma 4 37" xfId="12019" xr:uid="{00000000-0005-0000-0000-0000BB430000}"/>
    <cellStyle name="Comma 4 38" xfId="12020" xr:uid="{00000000-0005-0000-0000-0000BC430000}"/>
    <cellStyle name="Comma 4 39" xfId="12021" xr:uid="{00000000-0005-0000-0000-0000BD430000}"/>
    <cellStyle name="Comma 4 4" xfId="12022" xr:uid="{00000000-0005-0000-0000-0000BE430000}"/>
    <cellStyle name="Comma 4 4 2" xfId="12023" xr:uid="{00000000-0005-0000-0000-0000BF430000}"/>
    <cellStyle name="Comma 4 4 3" xfId="12024" xr:uid="{00000000-0005-0000-0000-0000C0430000}"/>
    <cellStyle name="Comma 4 4 4" xfId="12025" xr:uid="{00000000-0005-0000-0000-0000C1430000}"/>
    <cellStyle name="Comma 4 40" xfId="12026" xr:uid="{00000000-0005-0000-0000-0000C2430000}"/>
    <cellStyle name="Comma 4 41" xfId="12027" xr:uid="{00000000-0005-0000-0000-0000C3430000}"/>
    <cellStyle name="Comma 4 42" xfId="12028" xr:uid="{00000000-0005-0000-0000-0000C4430000}"/>
    <cellStyle name="Comma 4 43" xfId="12029" xr:uid="{00000000-0005-0000-0000-0000C5430000}"/>
    <cellStyle name="Comma 4 44" xfId="12030" xr:uid="{00000000-0005-0000-0000-0000C6430000}"/>
    <cellStyle name="Comma 4 45" xfId="12031" xr:uid="{00000000-0005-0000-0000-0000C7430000}"/>
    <cellStyle name="Comma 4 46" xfId="12032" xr:uid="{00000000-0005-0000-0000-0000C8430000}"/>
    <cellStyle name="Comma 4 47" xfId="12033" xr:uid="{00000000-0005-0000-0000-0000C9430000}"/>
    <cellStyle name="Comma 4 48" xfId="12034" xr:uid="{00000000-0005-0000-0000-0000CA430000}"/>
    <cellStyle name="Comma 4 49" xfId="12035" xr:uid="{00000000-0005-0000-0000-0000CB430000}"/>
    <cellStyle name="Comma 4 5" xfId="12036" xr:uid="{00000000-0005-0000-0000-0000CC430000}"/>
    <cellStyle name="Comma 4 5 2" xfId="12037" xr:uid="{00000000-0005-0000-0000-0000CD430000}"/>
    <cellStyle name="Comma 4 5 3" xfId="12038" xr:uid="{00000000-0005-0000-0000-0000CE430000}"/>
    <cellStyle name="Comma 4 5 4" xfId="12039" xr:uid="{00000000-0005-0000-0000-0000CF430000}"/>
    <cellStyle name="Comma 4 50" xfId="12040" xr:uid="{00000000-0005-0000-0000-0000D0430000}"/>
    <cellStyle name="Comma 4 51" xfId="12041" xr:uid="{00000000-0005-0000-0000-0000D1430000}"/>
    <cellStyle name="Comma 4 52" xfId="12042" xr:uid="{00000000-0005-0000-0000-0000D2430000}"/>
    <cellStyle name="Comma 4 53" xfId="12043" xr:uid="{00000000-0005-0000-0000-0000D3430000}"/>
    <cellStyle name="Comma 4 54" xfId="12044" xr:uid="{00000000-0005-0000-0000-0000D4430000}"/>
    <cellStyle name="Comma 4 55" xfId="12045" xr:uid="{00000000-0005-0000-0000-0000D5430000}"/>
    <cellStyle name="Comma 4 56" xfId="12046" xr:uid="{00000000-0005-0000-0000-0000D6430000}"/>
    <cellStyle name="Comma 4 57" xfId="12047" xr:uid="{00000000-0005-0000-0000-0000D7430000}"/>
    <cellStyle name="Comma 4 58" xfId="12048" xr:uid="{00000000-0005-0000-0000-0000D8430000}"/>
    <cellStyle name="Comma 4 59" xfId="12049" xr:uid="{00000000-0005-0000-0000-0000D9430000}"/>
    <cellStyle name="Comma 4 6" xfId="12050" xr:uid="{00000000-0005-0000-0000-0000DA430000}"/>
    <cellStyle name="Comma 4 6 2" xfId="12051" xr:uid="{00000000-0005-0000-0000-0000DB430000}"/>
    <cellStyle name="Comma 4 6 3" xfId="12052" xr:uid="{00000000-0005-0000-0000-0000DC430000}"/>
    <cellStyle name="Comma 4 60" xfId="12053" xr:uid="{00000000-0005-0000-0000-0000DD430000}"/>
    <cellStyle name="Comma 4 61" xfId="12054" xr:uid="{00000000-0005-0000-0000-0000DE430000}"/>
    <cellStyle name="Comma 4 62" xfId="12055" xr:uid="{00000000-0005-0000-0000-0000DF430000}"/>
    <cellStyle name="Comma 4 63" xfId="12056" xr:uid="{00000000-0005-0000-0000-0000E0430000}"/>
    <cellStyle name="Comma 4 64" xfId="12057" xr:uid="{00000000-0005-0000-0000-0000E1430000}"/>
    <cellStyle name="Comma 4 65" xfId="12058" xr:uid="{00000000-0005-0000-0000-0000E2430000}"/>
    <cellStyle name="Comma 4 66" xfId="12059" xr:uid="{00000000-0005-0000-0000-0000E3430000}"/>
    <cellStyle name="Comma 4 67" xfId="12060" xr:uid="{00000000-0005-0000-0000-0000E4430000}"/>
    <cellStyle name="Comma 4 68" xfId="12061" xr:uid="{00000000-0005-0000-0000-0000E5430000}"/>
    <cellStyle name="Comma 4 69" xfId="12062" xr:uid="{00000000-0005-0000-0000-0000E6430000}"/>
    <cellStyle name="Comma 4 7" xfId="12063" xr:uid="{00000000-0005-0000-0000-0000E7430000}"/>
    <cellStyle name="Comma 4 7 2" xfId="12064" xr:uid="{00000000-0005-0000-0000-0000E8430000}"/>
    <cellStyle name="Comma 4 7 3" xfId="12065" xr:uid="{00000000-0005-0000-0000-0000E9430000}"/>
    <cellStyle name="Comma 4 70" xfId="12066" xr:uid="{00000000-0005-0000-0000-0000EA430000}"/>
    <cellStyle name="Comma 4 71" xfId="12067" xr:uid="{00000000-0005-0000-0000-0000EB430000}"/>
    <cellStyle name="Comma 4 72" xfId="12068" xr:uid="{00000000-0005-0000-0000-0000EC430000}"/>
    <cellStyle name="Comma 4 73" xfId="12069" xr:uid="{00000000-0005-0000-0000-0000ED430000}"/>
    <cellStyle name="Comma 4 74" xfId="12070" xr:uid="{00000000-0005-0000-0000-0000EE430000}"/>
    <cellStyle name="Comma 4 75" xfId="12071" xr:uid="{00000000-0005-0000-0000-0000EF430000}"/>
    <cellStyle name="Comma 4 76" xfId="12072" xr:uid="{00000000-0005-0000-0000-0000F0430000}"/>
    <cellStyle name="Comma 4 77" xfId="12073" xr:uid="{00000000-0005-0000-0000-0000F1430000}"/>
    <cellStyle name="Comma 4 78" xfId="12074" xr:uid="{00000000-0005-0000-0000-0000F2430000}"/>
    <cellStyle name="Comma 4 79" xfId="12075" xr:uid="{00000000-0005-0000-0000-0000F3430000}"/>
    <cellStyle name="Comma 4 8" xfId="12076" xr:uid="{00000000-0005-0000-0000-0000F4430000}"/>
    <cellStyle name="Comma 4 80" xfId="12077" xr:uid="{00000000-0005-0000-0000-0000F5430000}"/>
    <cellStyle name="Comma 4 81" xfId="12078" xr:uid="{00000000-0005-0000-0000-0000F6430000}"/>
    <cellStyle name="Comma 4 82" xfId="12079" xr:uid="{00000000-0005-0000-0000-0000F7430000}"/>
    <cellStyle name="Comma 4 83" xfId="12080" xr:uid="{00000000-0005-0000-0000-0000F8430000}"/>
    <cellStyle name="Comma 4 84" xfId="12081" xr:uid="{00000000-0005-0000-0000-0000F9430000}"/>
    <cellStyle name="Comma 4 85" xfId="12082" xr:uid="{00000000-0005-0000-0000-0000FA430000}"/>
    <cellStyle name="Comma 4 86" xfId="12083" xr:uid="{00000000-0005-0000-0000-0000FB430000}"/>
    <cellStyle name="Comma 4 87" xfId="12084" xr:uid="{00000000-0005-0000-0000-0000FC430000}"/>
    <cellStyle name="Comma 4 88" xfId="12085" xr:uid="{00000000-0005-0000-0000-0000FD430000}"/>
    <cellStyle name="Comma 4 89" xfId="12086" xr:uid="{00000000-0005-0000-0000-0000FE430000}"/>
    <cellStyle name="Comma 4 9" xfId="12087" xr:uid="{00000000-0005-0000-0000-0000FF430000}"/>
    <cellStyle name="Comma 4 90" xfId="12088" xr:uid="{00000000-0005-0000-0000-000000440000}"/>
    <cellStyle name="Comma 4 91" xfId="12089" xr:uid="{00000000-0005-0000-0000-000001440000}"/>
    <cellStyle name="Comma 4 92" xfId="12090" xr:uid="{00000000-0005-0000-0000-000002440000}"/>
    <cellStyle name="Comma 4 93" xfId="12091" xr:uid="{00000000-0005-0000-0000-000003440000}"/>
    <cellStyle name="Comma 4 94" xfId="12092" xr:uid="{00000000-0005-0000-0000-000004440000}"/>
    <cellStyle name="Comma 4 95" xfId="12093" xr:uid="{00000000-0005-0000-0000-000005440000}"/>
    <cellStyle name="Comma 4 96" xfId="12094" xr:uid="{00000000-0005-0000-0000-000006440000}"/>
    <cellStyle name="Comma 4 97" xfId="12095" xr:uid="{00000000-0005-0000-0000-000007440000}"/>
    <cellStyle name="Comma 4 98" xfId="12096" xr:uid="{00000000-0005-0000-0000-000008440000}"/>
    <cellStyle name="Comma 4 99" xfId="37581" xr:uid="{00000000-0005-0000-0000-000009440000}"/>
    <cellStyle name="Comma 40" xfId="12097" xr:uid="{00000000-0005-0000-0000-00000A440000}"/>
    <cellStyle name="Comma 41" xfId="12098" xr:uid="{00000000-0005-0000-0000-00000B440000}"/>
    <cellStyle name="Comma 42" xfId="12099" xr:uid="{00000000-0005-0000-0000-00000C440000}"/>
    <cellStyle name="Comma 43" xfId="12100" xr:uid="{00000000-0005-0000-0000-00000D440000}"/>
    <cellStyle name="Comma 44" xfId="12101" xr:uid="{00000000-0005-0000-0000-00000E440000}"/>
    <cellStyle name="Comma 45" xfId="12102" xr:uid="{00000000-0005-0000-0000-00000F440000}"/>
    <cellStyle name="Comma 46" xfId="12103" xr:uid="{00000000-0005-0000-0000-000010440000}"/>
    <cellStyle name="Comma 47" xfId="12104" xr:uid="{00000000-0005-0000-0000-000011440000}"/>
    <cellStyle name="Comma 48" xfId="12105" xr:uid="{00000000-0005-0000-0000-000012440000}"/>
    <cellStyle name="Comma 49" xfId="12106" xr:uid="{00000000-0005-0000-0000-000013440000}"/>
    <cellStyle name="Comma 5" xfId="30" xr:uid="{00000000-0005-0000-0000-000014440000}"/>
    <cellStyle name="Comma 5 10" xfId="12107" xr:uid="{00000000-0005-0000-0000-000015440000}"/>
    <cellStyle name="Comma 5 11" xfId="12108" xr:uid="{00000000-0005-0000-0000-000016440000}"/>
    <cellStyle name="Comma 5 12" xfId="12109" xr:uid="{00000000-0005-0000-0000-000017440000}"/>
    <cellStyle name="Comma 5 13" xfId="12110" xr:uid="{00000000-0005-0000-0000-000018440000}"/>
    <cellStyle name="Comma 5 14" xfId="12111" xr:uid="{00000000-0005-0000-0000-000019440000}"/>
    <cellStyle name="Comma 5 15" xfId="12112" xr:uid="{00000000-0005-0000-0000-00001A440000}"/>
    <cellStyle name="Comma 5 16" xfId="12113" xr:uid="{00000000-0005-0000-0000-00001B440000}"/>
    <cellStyle name="Comma 5 17" xfId="12114" xr:uid="{00000000-0005-0000-0000-00001C440000}"/>
    <cellStyle name="Comma 5 18" xfId="12115" xr:uid="{00000000-0005-0000-0000-00001D440000}"/>
    <cellStyle name="Comma 5 19" xfId="12116" xr:uid="{00000000-0005-0000-0000-00001E440000}"/>
    <cellStyle name="Comma 5 2" xfId="12117" xr:uid="{00000000-0005-0000-0000-00001F440000}"/>
    <cellStyle name="Comma 5 2 10" xfId="12118" xr:uid="{00000000-0005-0000-0000-000020440000}"/>
    <cellStyle name="Comma 5 2 11" xfId="12119" xr:uid="{00000000-0005-0000-0000-000021440000}"/>
    <cellStyle name="Comma 5 2 12" xfId="12120" xr:uid="{00000000-0005-0000-0000-000022440000}"/>
    <cellStyle name="Comma 5 2 13" xfId="12121" xr:uid="{00000000-0005-0000-0000-000023440000}"/>
    <cellStyle name="Comma 5 2 14" xfId="12122" xr:uid="{00000000-0005-0000-0000-000024440000}"/>
    <cellStyle name="Comma 5 2 15" xfId="12123" xr:uid="{00000000-0005-0000-0000-000025440000}"/>
    <cellStyle name="Comma 5 2 16" xfId="12124" xr:uid="{00000000-0005-0000-0000-000026440000}"/>
    <cellStyle name="Comma 5 2 17" xfId="12125" xr:uid="{00000000-0005-0000-0000-000027440000}"/>
    <cellStyle name="Comma 5 2 18" xfId="12126" xr:uid="{00000000-0005-0000-0000-000028440000}"/>
    <cellStyle name="Comma 5 2 19" xfId="12127" xr:uid="{00000000-0005-0000-0000-000029440000}"/>
    <cellStyle name="Comma 5 2 2" xfId="12128" xr:uid="{00000000-0005-0000-0000-00002A440000}"/>
    <cellStyle name="Comma 5 2 2 2" xfId="12129" xr:uid="{00000000-0005-0000-0000-00002B440000}"/>
    <cellStyle name="Comma 5 2 2 3" xfId="12130" xr:uid="{00000000-0005-0000-0000-00002C440000}"/>
    <cellStyle name="Comma 5 2 20" xfId="12131" xr:uid="{00000000-0005-0000-0000-00002D440000}"/>
    <cellStyle name="Comma 5 2 21" xfId="12132" xr:uid="{00000000-0005-0000-0000-00002E440000}"/>
    <cellStyle name="Comma 5 2 22" xfId="12133" xr:uid="{00000000-0005-0000-0000-00002F440000}"/>
    <cellStyle name="Comma 5 2 23" xfId="12134" xr:uid="{00000000-0005-0000-0000-000030440000}"/>
    <cellStyle name="Comma 5 2 24" xfId="12135" xr:uid="{00000000-0005-0000-0000-000031440000}"/>
    <cellStyle name="Comma 5 2 25" xfId="12136" xr:uid="{00000000-0005-0000-0000-000032440000}"/>
    <cellStyle name="Comma 5 2 26" xfId="12137" xr:uid="{00000000-0005-0000-0000-000033440000}"/>
    <cellStyle name="Comma 5 2 27" xfId="12138" xr:uid="{00000000-0005-0000-0000-000034440000}"/>
    <cellStyle name="Comma 5 2 28" xfId="12139" xr:uid="{00000000-0005-0000-0000-000035440000}"/>
    <cellStyle name="Comma 5 2 29" xfId="12140" xr:uid="{00000000-0005-0000-0000-000036440000}"/>
    <cellStyle name="Comma 5 2 3" xfId="12141" xr:uid="{00000000-0005-0000-0000-000037440000}"/>
    <cellStyle name="Comma 5 2 30" xfId="12142" xr:uid="{00000000-0005-0000-0000-000038440000}"/>
    <cellStyle name="Comma 5 2 31" xfId="12143" xr:uid="{00000000-0005-0000-0000-000039440000}"/>
    <cellStyle name="Comma 5 2 32" xfId="12144" xr:uid="{00000000-0005-0000-0000-00003A440000}"/>
    <cellStyle name="Comma 5 2 33" xfId="12145" xr:uid="{00000000-0005-0000-0000-00003B440000}"/>
    <cellStyle name="Comma 5 2 34" xfId="12146" xr:uid="{00000000-0005-0000-0000-00003C440000}"/>
    <cellStyle name="Comma 5 2 35" xfId="12147" xr:uid="{00000000-0005-0000-0000-00003D440000}"/>
    <cellStyle name="Comma 5 2 36" xfId="12148" xr:uid="{00000000-0005-0000-0000-00003E440000}"/>
    <cellStyle name="Comma 5 2 37" xfId="12149" xr:uid="{00000000-0005-0000-0000-00003F440000}"/>
    <cellStyle name="Comma 5 2 38" xfId="12150" xr:uid="{00000000-0005-0000-0000-000040440000}"/>
    <cellStyle name="Comma 5 2 39" xfId="12151" xr:uid="{00000000-0005-0000-0000-000041440000}"/>
    <cellStyle name="Comma 5 2 4" xfId="12152" xr:uid="{00000000-0005-0000-0000-000042440000}"/>
    <cellStyle name="Comma 5 2 40" xfId="12153" xr:uid="{00000000-0005-0000-0000-000043440000}"/>
    <cellStyle name="Comma 5 2 41" xfId="12154" xr:uid="{00000000-0005-0000-0000-000044440000}"/>
    <cellStyle name="Comma 5 2 42" xfId="12155" xr:uid="{00000000-0005-0000-0000-000045440000}"/>
    <cellStyle name="Comma 5 2 43" xfId="12156" xr:uid="{00000000-0005-0000-0000-000046440000}"/>
    <cellStyle name="Comma 5 2 44" xfId="12157" xr:uid="{00000000-0005-0000-0000-000047440000}"/>
    <cellStyle name="Comma 5 2 45" xfId="28807" xr:uid="{00000000-0005-0000-0000-000048440000}"/>
    <cellStyle name="Comma 5 2 5" xfId="12158" xr:uid="{00000000-0005-0000-0000-000049440000}"/>
    <cellStyle name="Comma 5 2 6" xfId="12159" xr:uid="{00000000-0005-0000-0000-00004A440000}"/>
    <cellStyle name="Comma 5 2 7" xfId="12160" xr:uid="{00000000-0005-0000-0000-00004B440000}"/>
    <cellStyle name="Comma 5 2 8" xfId="12161" xr:uid="{00000000-0005-0000-0000-00004C440000}"/>
    <cellStyle name="Comma 5 2 9" xfId="12162" xr:uid="{00000000-0005-0000-0000-00004D440000}"/>
    <cellStyle name="Comma 5 20" xfId="12163" xr:uid="{00000000-0005-0000-0000-00004E440000}"/>
    <cellStyle name="Comma 5 21" xfId="12164" xr:uid="{00000000-0005-0000-0000-00004F440000}"/>
    <cellStyle name="Comma 5 22" xfId="12165" xr:uid="{00000000-0005-0000-0000-000050440000}"/>
    <cellStyle name="Comma 5 23" xfId="12166" xr:uid="{00000000-0005-0000-0000-000051440000}"/>
    <cellStyle name="Comma 5 24" xfId="12167" xr:uid="{00000000-0005-0000-0000-000052440000}"/>
    <cellStyle name="Comma 5 25" xfId="12168" xr:uid="{00000000-0005-0000-0000-000053440000}"/>
    <cellStyle name="Comma 5 26" xfId="12169" xr:uid="{00000000-0005-0000-0000-000054440000}"/>
    <cellStyle name="Comma 5 27" xfId="12170" xr:uid="{00000000-0005-0000-0000-000055440000}"/>
    <cellStyle name="Comma 5 28" xfId="12171" xr:uid="{00000000-0005-0000-0000-000056440000}"/>
    <cellStyle name="Comma 5 29" xfId="12172" xr:uid="{00000000-0005-0000-0000-000057440000}"/>
    <cellStyle name="Comma 5 3" xfId="12173" xr:uid="{00000000-0005-0000-0000-000058440000}"/>
    <cellStyle name="Comma 5 3 10" xfId="12174" xr:uid="{00000000-0005-0000-0000-000059440000}"/>
    <cellStyle name="Comma 5 3 11" xfId="12175" xr:uid="{00000000-0005-0000-0000-00005A440000}"/>
    <cellStyle name="Comma 5 3 12" xfId="12176" xr:uid="{00000000-0005-0000-0000-00005B440000}"/>
    <cellStyle name="Comma 5 3 13" xfId="12177" xr:uid="{00000000-0005-0000-0000-00005C440000}"/>
    <cellStyle name="Comma 5 3 14" xfId="12178" xr:uid="{00000000-0005-0000-0000-00005D440000}"/>
    <cellStyle name="Comma 5 3 15" xfId="12179" xr:uid="{00000000-0005-0000-0000-00005E440000}"/>
    <cellStyle name="Comma 5 3 16" xfId="12180" xr:uid="{00000000-0005-0000-0000-00005F440000}"/>
    <cellStyle name="Comma 5 3 17" xfId="12181" xr:uid="{00000000-0005-0000-0000-000060440000}"/>
    <cellStyle name="Comma 5 3 18" xfId="12182" xr:uid="{00000000-0005-0000-0000-000061440000}"/>
    <cellStyle name="Comma 5 3 19" xfId="12183" xr:uid="{00000000-0005-0000-0000-000062440000}"/>
    <cellStyle name="Comma 5 3 2" xfId="12184" xr:uid="{00000000-0005-0000-0000-000063440000}"/>
    <cellStyle name="Comma 5 3 20" xfId="12185" xr:uid="{00000000-0005-0000-0000-000064440000}"/>
    <cellStyle name="Comma 5 3 21" xfId="12186" xr:uid="{00000000-0005-0000-0000-000065440000}"/>
    <cellStyle name="Comma 5 3 22" xfId="12187" xr:uid="{00000000-0005-0000-0000-000066440000}"/>
    <cellStyle name="Comma 5 3 23" xfId="12188" xr:uid="{00000000-0005-0000-0000-000067440000}"/>
    <cellStyle name="Comma 5 3 24" xfId="12189" xr:uid="{00000000-0005-0000-0000-000068440000}"/>
    <cellStyle name="Comma 5 3 25" xfId="12190" xr:uid="{00000000-0005-0000-0000-000069440000}"/>
    <cellStyle name="Comma 5 3 26" xfId="12191" xr:uid="{00000000-0005-0000-0000-00006A440000}"/>
    <cellStyle name="Comma 5 3 27" xfId="12192" xr:uid="{00000000-0005-0000-0000-00006B440000}"/>
    <cellStyle name="Comma 5 3 28" xfId="12193" xr:uid="{00000000-0005-0000-0000-00006C440000}"/>
    <cellStyle name="Comma 5 3 29" xfId="12194" xr:uid="{00000000-0005-0000-0000-00006D440000}"/>
    <cellStyle name="Comma 5 3 3" xfId="12195" xr:uid="{00000000-0005-0000-0000-00006E440000}"/>
    <cellStyle name="Comma 5 3 30" xfId="12196" xr:uid="{00000000-0005-0000-0000-00006F440000}"/>
    <cellStyle name="Comma 5 3 31" xfId="12197" xr:uid="{00000000-0005-0000-0000-000070440000}"/>
    <cellStyle name="Comma 5 3 32" xfId="12198" xr:uid="{00000000-0005-0000-0000-000071440000}"/>
    <cellStyle name="Comma 5 3 33" xfId="12199" xr:uid="{00000000-0005-0000-0000-000072440000}"/>
    <cellStyle name="Comma 5 3 34" xfId="12200" xr:uid="{00000000-0005-0000-0000-000073440000}"/>
    <cellStyle name="Comma 5 3 35" xfId="12201" xr:uid="{00000000-0005-0000-0000-000074440000}"/>
    <cellStyle name="Comma 5 3 36" xfId="12202" xr:uid="{00000000-0005-0000-0000-000075440000}"/>
    <cellStyle name="Comma 5 3 37" xfId="12203" xr:uid="{00000000-0005-0000-0000-000076440000}"/>
    <cellStyle name="Comma 5 3 38" xfId="12204" xr:uid="{00000000-0005-0000-0000-000077440000}"/>
    <cellStyle name="Comma 5 3 39" xfId="12205" xr:uid="{00000000-0005-0000-0000-000078440000}"/>
    <cellStyle name="Comma 5 3 4" xfId="12206" xr:uid="{00000000-0005-0000-0000-000079440000}"/>
    <cellStyle name="Comma 5 3 40" xfId="12207" xr:uid="{00000000-0005-0000-0000-00007A440000}"/>
    <cellStyle name="Comma 5 3 41" xfId="12208" xr:uid="{00000000-0005-0000-0000-00007B440000}"/>
    <cellStyle name="Comma 5 3 42" xfId="12209" xr:uid="{00000000-0005-0000-0000-00007C440000}"/>
    <cellStyle name="Comma 5 3 43" xfId="12210" xr:uid="{00000000-0005-0000-0000-00007D440000}"/>
    <cellStyle name="Comma 5 3 5" xfId="12211" xr:uid="{00000000-0005-0000-0000-00007E440000}"/>
    <cellStyle name="Comma 5 3 6" xfId="12212" xr:uid="{00000000-0005-0000-0000-00007F440000}"/>
    <cellStyle name="Comma 5 3 7" xfId="12213" xr:uid="{00000000-0005-0000-0000-000080440000}"/>
    <cellStyle name="Comma 5 3 8" xfId="12214" xr:uid="{00000000-0005-0000-0000-000081440000}"/>
    <cellStyle name="Comma 5 3 9" xfId="12215" xr:uid="{00000000-0005-0000-0000-000082440000}"/>
    <cellStyle name="Comma 5 30" xfId="12216" xr:uid="{00000000-0005-0000-0000-000083440000}"/>
    <cellStyle name="Comma 5 31" xfId="12217" xr:uid="{00000000-0005-0000-0000-000084440000}"/>
    <cellStyle name="Comma 5 32" xfId="12218" xr:uid="{00000000-0005-0000-0000-000085440000}"/>
    <cellStyle name="Comma 5 33" xfId="12219" xr:uid="{00000000-0005-0000-0000-000086440000}"/>
    <cellStyle name="Comma 5 34" xfId="12220" xr:uid="{00000000-0005-0000-0000-000087440000}"/>
    <cellStyle name="Comma 5 35" xfId="12221" xr:uid="{00000000-0005-0000-0000-000088440000}"/>
    <cellStyle name="Comma 5 36" xfId="12222" xr:uid="{00000000-0005-0000-0000-000089440000}"/>
    <cellStyle name="Comma 5 37" xfId="12223" xr:uid="{00000000-0005-0000-0000-00008A440000}"/>
    <cellStyle name="Comma 5 38" xfId="12224" xr:uid="{00000000-0005-0000-0000-00008B440000}"/>
    <cellStyle name="Comma 5 39" xfId="12225" xr:uid="{00000000-0005-0000-0000-00008C440000}"/>
    <cellStyle name="Comma 5 4" xfId="12226" xr:uid="{00000000-0005-0000-0000-00008D440000}"/>
    <cellStyle name="Comma 5 4 10" xfId="12227" xr:uid="{00000000-0005-0000-0000-00008E440000}"/>
    <cellStyle name="Comma 5 4 11" xfId="12228" xr:uid="{00000000-0005-0000-0000-00008F440000}"/>
    <cellStyle name="Comma 5 4 12" xfId="12229" xr:uid="{00000000-0005-0000-0000-000090440000}"/>
    <cellStyle name="Comma 5 4 13" xfId="12230" xr:uid="{00000000-0005-0000-0000-000091440000}"/>
    <cellStyle name="Comma 5 4 14" xfId="12231" xr:uid="{00000000-0005-0000-0000-000092440000}"/>
    <cellStyle name="Comma 5 4 15" xfId="12232" xr:uid="{00000000-0005-0000-0000-000093440000}"/>
    <cellStyle name="Comma 5 4 16" xfId="12233" xr:uid="{00000000-0005-0000-0000-000094440000}"/>
    <cellStyle name="Comma 5 4 17" xfId="12234" xr:uid="{00000000-0005-0000-0000-000095440000}"/>
    <cellStyle name="Comma 5 4 18" xfId="12235" xr:uid="{00000000-0005-0000-0000-000096440000}"/>
    <cellStyle name="Comma 5 4 19" xfId="12236" xr:uid="{00000000-0005-0000-0000-000097440000}"/>
    <cellStyle name="Comma 5 4 2" xfId="12237" xr:uid="{00000000-0005-0000-0000-000098440000}"/>
    <cellStyle name="Comma 5 4 20" xfId="12238" xr:uid="{00000000-0005-0000-0000-000099440000}"/>
    <cellStyle name="Comma 5 4 21" xfId="12239" xr:uid="{00000000-0005-0000-0000-00009A440000}"/>
    <cellStyle name="Comma 5 4 22" xfId="12240" xr:uid="{00000000-0005-0000-0000-00009B440000}"/>
    <cellStyle name="Comma 5 4 23" xfId="12241" xr:uid="{00000000-0005-0000-0000-00009C440000}"/>
    <cellStyle name="Comma 5 4 24" xfId="12242" xr:uid="{00000000-0005-0000-0000-00009D440000}"/>
    <cellStyle name="Comma 5 4 25" xfId="12243" xr:uid="{00000000-0005-0000-0000-00009E440000}"/>
    <cellStyle name="Comma 5 4 26" xfId="12244" xr:uid="{00000000-0005-0000-0000-00009F440000}"/>
    <cellStyle name="Comma 5 4 27" xfId="12245" xr:uid="{00000000-0005-0000-0000-0000A0440000}"/>
    <cellStyle name="Comma 5 4 28" xfId="12246" xr:uid="{00000000-0005-0000-0000-0000A1440000}"/>
    <cellStyle name="Comma 5 4 29" xfId="12247" xr:uid="{00000000-0005-0000-0000-0000A2440000}"/>
    <cellStyle name="Comma 5 4 3" xfId="12248" xr:uid="{00000000-0005-0000-0000-0000A3440000}"/>
    <cellStyle name="Comma 5 4 30" xfId="12249" xr:uid="{00000000-0005-0000-0000-0000A4440000}"/>
    <cellStyle name="Comma 5 4 31" xfId="12250" xr:uid="{00000000-0005-0000-0000-0000A5440000}"/>
    <cellStyle name="Comma 5 4 32" xfId="12251" xr:uid="{00000000-0005-0000-0000-0000A6440000}"/>
    <cellStyle name="Comma 5 4 33" xfId="12252" xr:uid="{00000000-0005-0000-0000-0000A7440000}"/>
    <cellStyle name="Comma 5 4 34" xfId="12253" xr:uid="{00000000-0005-0000-0000-0000A8440000}"/>
    <cellStyle name="Comma 5 4 35" xfId="12254" xr:uid="{00000000-0005-0000-0000-0000A9440000}"/>
    <cellStyle name="Comma 5 4 36" xfId="12255" xr:uid="{00000000-0005-0000-0000-0000AA440000}"/>
    <cellStyle name="Comma 5 4 37" xfId="12256" xr:uid="{00000000-0005-0000-0000-0000AB440000}"/>
    <cellStyle name="Comma 5 4 38" xfId="12257" xr:uid="{00000000-0005-0000-0000-0000AC440000}"/>
    <cellStyle name="Comma 5 4 39" xfId="12258" xr:uid="{00000000-0005-0000-0000-0000AD440000}"/>
    <cellStyle name="Comma 5 4 4" xfId="12259" xr:uid="{00000000-0005-0000-0000-0000AE440000}"/>
    <cellStyle name="Comma 5 4 40" xfId="12260" xr:uid="{00000000-0005-0000-0000-0000AF440000}"/>
    <cellStyle name="Comma 5 4 41" xfId="12261" xr:uid="{00000000-0005-0000-0000-0000B0440000}"/>
    <cellStyle name="Comma 5 4 42" xfId="12262" xr:uid="{00000000-0005-0000-0000-0000B1440000}"/>
    <cellStyle name="Comma 5 4 5" xfId="12263" xr:uid="{00000000-0005-0000-0000-0000B2440000}"/>
    <cellStyle name="Comma 5 4 6" xfId="12264" xr:uid="{00000000-0005-0000-0000-0000B3440000}"/>
    <cellStyle name="Comma 5 4 7" xfId="12265" xr:uid="{00000000-0005-0000-0000-0000B4440000}"/>
    <cellStyle name="Comma 5 4 8" xfId="12266" xr:uid="{00000000-0005-0000-0000-0000B5440000}"/>
    <cellStyle name="Comma 5 4 9" xfId="12267" xr:uid="{00000000-0005-0000-0000-0000B6440000}"/>
    <cellStyle name="Comma 5 40" xfId="12268" xr:uid="{00000000-0005-0000-0000-0000B7440000}"/>
    <cellStyle name="Comma 5 41" xfId="12269" xr:uid="{00000000-0005-0000-0000-0000B8440000}"/>
    <cellStyle name="Comma 5 42" xfId="12270" xr:uid="{00000000-0005-0000-0000-0000B9440000}"/>
    <cellStyle name="Comma 5 43" xfId="12271" xr:uid="{00000000-0005-0000-0000-0000BA440000}"/>
    <cellStyle name="Comma 5 44" xfId="12272" xr:uid="{00000000-0005-0000-0000-0000BB440000}"/>
    <cellStyle name="Comma 5 45" xfId="12273" xr:uid="{00000000-0005-0000-0000-0000BC440000}"/>
    <cellStyle name="Comma 5 46" xfId="12274" xr:uid="{00000000-0005-0000-0000-0000BD440000}"/>
    <cellStyle name="Comma 5 47" xfId="12275" xr:uid="{00000000-0005-0000-0000-0000BE440000}"/>
    <cellStyle name="Comma 5 48" xfId="12276" xr:uid="{00000000-0005-0000-0000-0000BF440000}"/>
    <cellStyle name="Comma 5 49" xfId="12277" xr:uid="{00000000-0005-0000-0000-0000C0440000}"/>
    <cellStyle name="Comma 5 5" xfId="12278" xr:uid="{00000000-0005-0000-0000-0000C1440000}"/>
    <cellStyle name="Comma 5 5 2" xfId="12279" xr:uid="{00000000-0005-0000-0000-0000C2440000}"/>
    <cellStyle name="Comma 5 5 3" xfId="12280" xr:uid="{00000000-0005-0000-0000-0000C3440000}"/>
    <cellStyle name="Comma 5 50" xfId="12281" xr:uid="{00000000-0005-0000-0000-0000C4440000}"/>
    <cellStyle name="Comma 5 51" xfId="12282" xr:uid="{00000000-0005-0000-0000-0000C5440000}"/>
    <cellStyle name="Comma 5 52" xfId="12283" xr:uid="{00000000-0005-0000-0000-0000C6440000}"/>
    <cellStyle name="Comma 5 53" xfId="12284" xr:uid="{00000000-0005-0000-0000-0000C7440000}"/>
    <cellStyle name="Comma 5 54" xfId="12285" xr:uid="{00000000-0005-0000-0000-0000C8440000}"/>
    <cellStyle name="Comma 5 55" xfId="12286" xr:uid="{00000000-0005-0000-0000-0000C9440000}"/>
    <cellStyle name="Comma 5 56" xfId="12287" xr:uid="{00000000-0005-0000-0000-0000CA440000}"/>
    <cellStyle name="Comma 5 57" xfId="12288" xr:uid="{00000000-0005-0000-0000-0000CB440000}"/>
    <cellStyle name="Comma 5 58" xfId="12289" xr:uid="{00000000-0005-0000-0000-0000CC440000}"/>
    <cellStyle name="Comma 5 59" xfId="12290" xr:uid="{00000000-0005-0000-0000-0000CD440000}"/>
    <cellStyle name="Comma 5 6" xfId="12291" xr:uid="{00000000-0005-0000-0000-0000CE440000}"/>
    <cellStyle name="Comma 5 60" xfId="12292" xr:uid="{00000000-0005-0000-0000-0000CF440000}"/>
    <cellStyle name="Comma 5 61" xfId="12293" xr:uid="{00000000-0005-0000-0000-0000D0440000}"/>
    <cellStyle name="Comma 5 62" xfId="12294" xr:uid="{00000000-0005-0000-0000-0000D1440000}"/>
    <cellStyle name="Comma 5 63" xfId="12295" xr:uid="{00000000-0005-0000-0000-0000D2440000}"/>
    <cellStyle name="Comma 5 64" xfId="12296" xr:uid="{00000000-0005-0000-0000-0000D3440000}"/>
    <cellStyle name="Comma 5 65" xfId="12297" xr:uid="{00000000-0005-0000-0000-0000D4440000}"/>
    <cellStyle name="Comma 5 66" xfId="12298" xr:uid="{00000000-0005-0000-0000-0000D5440000}"/>
    <cellStyle name="Comma 5 67" xfId="12299" xr:uid="{00000000-0005-0000-0000-0000D6440000}"/>
    <cellStyle name="Comma 5 68" xfId="12300" xr:uid="{00000000-0005-0000-0000-0000D7440000}"/>
    <cellStyle name="Comma 5 69" xfId="12301" xr:uid="{00000000-0005-0000-0000-0000D8440000}"/>
    <cellStyle name="Comma 5 7" xfId="12302" xr:uid="{00000000-0005-0000-0000-0000D9440000}"/>
    <cellStyle name="Comma 5 70" xfId="12303" xr:uid="{00000000-0005-0000-0000-0000DA440000}"/>
    <cellStyle name="Comma 5 71" xfId="12304" xr:uid="{00000000-0005-0000-0000-0000DB440000}"/>
    <cellStyle name="Comma 5 72" xfId="12305" xr:uid="{00000000-0005-0000-0000-0000DC440000}"/>
    <cellStyle name="Comma 5 73" xfId="12306" xr:uid="{00000000-0005-0000-0000-0000DD440000}"/>
    <cellStyle name="Comma 5 74" xfId="12307" xr:uid="{00000000-0005-0000-0000-0000DE440000}"/>
    <cellStyle name="Comma 5 75" xfId="12308" xr:uid="{00000000-0005-0000-0000-0000DF440000}"/>
    <cellStyle name="Comma 5 76" xfId="12309" xr:uid="{00000000-0005-0000-0000-0000E0440000}"/>
    <cellStyle name="Comma 5 77" xfId="12310" xr:uid="{00000000-0005-0000-0000-0000E1440000}"/>
    <cellStyle name="Comma 5 78" xfId="12311" xr:uid="{00000000-0005-0000-0000-0000E2440000}"/>
    <cellStyle name="Comma 5 8" xfId="12312" xr:uid="{00000000-0005-0000-0000-0000E3440000}"/>
    <cellStyle name="Comma 5 9" xfId="12313" xr:uid="{00000000-0005-0000-0000-0000E4440000}"/>
    <cellStyle name="Comma 50" xfId="12314" xr:uid="{00000000-0005-0000-0000-0000E5440000}"/>
    <cellStyle name="Comma 51" xfId="12315" xr:uid="{00000000-0005-0000-0000-0000E6440000}"/>
    <cellStyle name="Comma 52" xfId="12316" xr:uid="{00000000-0005-0000-0000-0000E7440000}"/>
    <cellStyle name="Comma 53" xfId="12317" xr:uid="{00000000-0005-0000-0000-0000E8440000}"/>
    <cellStyle name="Comma 54" xfId="12318" xr:uid="{00000000-0005-0000-0000-0000E9440000}"/>
    <cellStyle name="Comma 55" xfId="12319" xr:uid="{00000000-0005-0000-0000-0000EA440000}"/>
    <cellStyle name="Comma 56" xfId="12320" xr:uid="{00000000-0005-0000-0000-0000EB440000}"/>
    <cellStyle name="Comma 57" xfId="12321" xr:uid="{00000000-0005-0000-0000-0000EC440000}"/>
    <cellStyle name="Comma 58" xfId="12322" xr:uid="{00000000-0005-0000-0000-0000ED440000}"/>
    <cellStyle name="Comma 59" xfId="12323" xr:uid="{00000000-0005-0000-0000-0000EE440000}"/>
    <cellStyle name="Comma 6" xfId="12324" xr:uid="{00000000-0005-0000-0000-0000EF440000}"/>
    <cellStyle name="Comma 6 10" xfId="12325" xr:uid="{00000000-0005-0000-0000-0000F0440000}"/>
    <cellStyle name="Comma 6 11" xfId="12326" xr:uid="{00000000-0005-0000-0000-0000F1440000}"/>
    <cellStyle name="Comma 6 12" xfId="12327" xr:uid="{00000000-0005-0000-0000-0000F2440000}"/>
    <cellStyle name="Comma 6 13" xfId="12328" xr:uid="{00000000-0005-0000-0000-0000F3440000}"/>
    <cellStyle name="Comma 6 14" xfId="12329" xr:uid="{00000000-0005-0000-0000-0000F4440000}"/>
    <cellStyle name="Comma 6 15" xfId="12330" xr:uid="{00000000-0005-0000-0000-0000F5440000}"/>
    <cellStyle name="Comma 6 16" xfId="12331" xr:uid="{00000000-0005-0000-0000-0000F6440000}"/>
    <cellStyle name="Comma 6 17" xfId="12332" xr:uid="{00000000-0005-0000-0000-0000F7440000}"/>
    <cellStyle name="Comma 6 18" xfId="12333" xr:uid="{00000000-0005-0000-0000-0000F8440000}"/>
    <cellStyle name="Comma 6 19" xfId="12334" xr:uid="{00000000-0005-0000-0000-0000F9440000}"/>
    <cellStyle name="Comma 6 2" xfId="12335" xr:uid="{00000000-0005-0000-0000-0000FA440000}"/>
    <cellStyle name="Comma 6 2 2" xfId="12336" xr:uid="{00000000-0005-0000-0000-0000FB440000}"/>
    <cellStyle name="Comma 6 2 3" xfId="28808" xr:uid="{00000000-0005-0000-0000-0000FC440000}"/>
    <cellStyle name="Comma 6 20" xfId="12337" xr:uid="{00000000-0005-0000-0000-0000FD440000}"/>
    <cellStyle name="Comma 6 21" xfId="12338" xr:uid="{00000000-0005-0000-0000-0000FE440000}"/>
    <cellStyle name="Comma 6 22" xfId="12339" xr:uid="{00000000-0005-0000-0000-0000FF440000}"/>
    <cellStyle name="Comma 6 23" xfId="12340" xr:uid="{00000000-0005-0000-0000-000000450000}"/>
    <cellStyle name="Comma 6 24" xfId="12341" xr:uid="{00000000-0005-0000-0000-000001450000}"/>
    <cellStyle name="Comma 6 25" xfId="12342" xr:uid="{00000000-0005-0000-0000-000002450000}"/>
    <cellStyle name="Comma 6 26" xfId="28809" xr:uid="{00000000-0005-0000-0000-000003450000}"/>
    <cellStyle name="Comma 6 3" xfId="12343" xr:uid="{00000000-0005-0000-0000-000004450000}"/>
    <cellStyle name="Comma 6 3 2" xfId="12344" xr:uid="{00000000-0005-0000-0000-000005450000}"/>
    <cellStyle name="Comma 6 4" xfId="12345" xr:uid="{00000000-0005-0000-0000-000006450000}"/>
    <cellStyle name="Comma 6 5" xfId="12346" xr:uid="{00000000-0005-0000-0000-000007450000}"/>
    <cellStyle name="Comma 6 6" xfId="12347" xr:uid="{00000000-0005-0000-0000-000008450000}"/>
    <cellStyle name="Comma 6 7" xfId="12348" xr:uid="{00000000-0005-0000-0000-000009450000}"/>
    <cellStyle name="Comma 6 8" xfId="12349" xr:uid="{00000000-0005-0000-0000-00000A450000}"/>
    <cellStyle name="Comma 6 9" xfId="12350" xr:uid="{00000000-0005-0000-0000-00000B450000}"/>
    <cellStyle name="Comma 60" xfId="12351" xr:uid="{00000000-0005-0000-0000-00000C450000}"/>
    <cellStyle name="Comma 61" xfId="12352" xr:uid="{00000000-0005-0000-0000-00000D450000}"/>
    <cellStyle name="Comma 62" xfId="12353" xr:uid="{00000000-0005-0000-0000-00000E450000}"/>
    <cellStyle name="Comma 63" xfId="12354" xr:uid="{00000000-0005-0000-0000-00000F450000}"/>
    <cellStyle name="Comma 64" xfId="12355" xr:uid="{00000000-0005-0000-0000-000010450000}"/>
    <cellStyle name="Comma 65" xfId="12356" xr:uid="{00000000-0005-0000-0000-000011450000}"/>
    <cellStyle name="Comma 66" xfId="12357" xr:uid="{00000000-0005-0000-0000-000012450000}"/>
    <cellStyle name="Comma 67" xfId="12358" xr:uid="{00000000-0005-0000-0000-000013450000}"/>
    <cellStyle name="Comma 68" xfId="12359" xr:uid="{00000000-0005-0000-0000-000014450000}"/>
    <cellStyle name="Comma 69" xfId="12360" xr:uid="{00000000-0005-0000-0000-000015450000}"/>
    <cellStyle name="Comma 7" xfId="7" xr:uid="{00000000-0005-0000-0000-000016450000}"/>
    <cellStyle name="Comma 7 10" xfId="12361" xr:uid="{00000000-0005-0000-0000-000017450000}"/>
    <cellStyle name="Comma 7 11" xfId="12362" xr:uid="{00000000-0005-0000-0000-000018450000}"/>
    <cellStyle name="Comma 7 12" xfId="12363" xr:uid="{00000000-0005-0000-0000-000019450000}"/>
    <cellStyle name="Comma 7 13" xfId="12364" xr:uid="{00000000-0005-0000-0000-00001A450000}"/>
    <cellStyle name="Comma 7 14" xfId="12365" xr:uid="{00000000-0005-0000-0000-00001B450000}"/>
    <cellStyle name="Comma 7 15" xfId="12366" xr:uid="{00000000-0005-0000-0000-00001C450000}"/>
    <cellStyle name="Comma 7 16" xfId="12367" xr:uid="{00000000-0005-0000-0000-00001D450000}"/>
    <cellStyle name="Comma 7 17" xfId="12368" xr:uid="{00000000-0005-0000-0000-00001E450000}"/>
    <cellStyle name="Comma 7 18" xfId="12369" xr:uid="{00000000-0005-0000-0000-00001F450000}"/>
    <cellStyle name="Comma 7 19" xfId="12370" xr:uid="{00000000-0005-0000-0000-000020450000}"/>
    <cellStyle name="Comma 7 2" xfId="36" xr:uid="{00000000-0005-0000-0000-000021450000}"/>
    <cellStyle name="Comma 7 2 2" xfId="12371" xr:uid="{00000000-0005-0000-0000-000022450000}"/>
    <cellStyle name="Comma 7 20" xfId="12372" xr:uid="{00000000-0005-0000-0000-000023450000}"/>
    <cellStyle name="Comma 7 21" xfId="12373" xr:uid="{00000000-0005-0000-0000-000024450000}"/>
    <cellStyle name="Comma 7 22" xfId="12374" xr:uid="{00000000-0005-0000-0000-000025450000}"/>
    <cellStyle name="Comma 7 23" xfId="12375" xr:uid="{00000000-0005-0000-0000-000026450000}"/>
    <cellStyle name="Comma 7 24" xfId="12376" xr:uid="{00000000-0005-0000-0000-000027450000}"/>
    <cellStyle name="Comma 7 25" xfId="12377" xr:uid="{00000000-0005-0000-0000-000028450000}"/>
    <cellStyle name="Comma 7 26" xfId="12378" xr:uid="{00000000-0005-0000-0000-000029450000}"/>
    <cellStyle name="Comma 7 27" xfId="28810" xr:uid="{00000000-0005-0000-0000-00002A450000}"/>
    <cellStyle name="Comma 7 3" xfId="12379" xr:uid="{00000000-0005-0000-0000-00002B450000}"/>
    <cellStyle name="Comma 7 4" xfId="12380" xr:uid="{00000000-0005-0000-0000-00002C450000}"/>
    <cellStyle name="Comma 7 5" xfId="12381" xr:uid="{00000000-0005-0000-0000-00002D450000}"/>
    <cellStyle name="Comma 7 6" xfId="12382" xr:uid="{00000000-0005-0000-0000-00002E450000}"/>
    <cellStyle name="Comma 7 7" xfId="12383" xr:uid="{00000000-0005-0000-0000-00002F450000}"/>
    <cellStyle name="Comma 7 8" xfId="12384" xr:uid="{00000000-0005-0000-0000-000030450000}"/>
    <cellStyle name="Comma 7 9" xfId="12385" xr:uid="{00000000-0005-0000-0000-000031450000}"/>
    <cellStyle name="Comma 70" xfId="12386" xr:uid="{00000000-0005-0000-0000-000032450000}"/>
    <cellStyle name="Comma 71" xfId="12387" xr:uid="{00000000-0005-0000-0000-000033450000}"/>
    <cellStyle name="Comma 72" xfId="12388" xr:uid="{00000000-0005-0000-0000-000034450000}"/>
    <cellStyle name="Comma 73" xfId="12389" xr:uid="{00000000-0005-0000-0000-000035450000}"/>
    <cellStyle name="Comma 74" xfId="12390" xr:uid="{00000000-0005-0000-0000-000036450000}"/>
    <cellStyle name="Comma 75" xfId="12391" xr:uid="{00000000-0005-0000-0000-000037450000}"/>
    <cellStyle name="Comma 76" xfId="12392" xr:uid="{00000000-0005-0000-0000-000038450000}"/>
    <cellStyle name="Comma 77" xfId="12393" xr:uid="{00000000-0005-0000-0000-000039450000}"/>
    <cellStyle name="Comma 78" xfId="12394" xr:uid="{00000000-0005-0000-0000-00003A450000}"/>
    <cellStyle name="Comma 79" xfId="12395" xr:uid="{00000000-0005-0000-0000-00003B450000}"/>
    <cellStyle name="Comma 8" xfId="8" xr:uid="{00000000-0005-0000-0000-00003C450000}"/>
    <cellStyle name="Comma 8 10" xfId="12396" xr:uid="{00000000-0005-0000-0000-00003D450000}"/>
    <cellStyle name="Comma 8 10 10" xfId="12397" xr:uid="{00000000-0005-0000-0000-00003E450000}"/>
    <cellStyle name="Comma 8 10 11" xfId="12398" xr:uid="{00000000-0005-0000-0000-00003F450000}"/>
    <cellStyle name="Comma 8 10 2" xfId="12399" xr:uid="{00000000-0005-0000-0000-000040450000}"/>
    <cellStyle name="Comma 8 10 3" xfId="12400" xr:uid="{00000000-0005-0000-0000-000041450000}"/>
    <cellStyle name="Comma 8 10 4" xfId="12401" xr:uid="{00000000-0005-0000-0000-000042450000}"/>
    <cellStyle name="Comma 8 10 5" xfId="12402" xr:uid="{00000000-0005-0000-0000-000043450000}"/>
    <cellStyle name="Comma 8 10 6" xfId="12403" xr:uid="{00000000-0005-0000-0000-000044450000}"/>
    <cellStyle name="Comma 8 10 7" xfId="12404" xr:uid="{00000000-0005-0000-0000-000045450000}"/>
    <cellStyle name="Comma 8 10 8" xfId="12405" xr:uid="{00000000-0005-0000-0000-000046450000}"/>
    <cellStyle name="Comma 8 10 9" xfId="12406" xr:uid="{00000000-0005-0000-0000-000047450000}"/>
    <cellStyle name="Comma 8 11" xfId="12407" xr:uid="{00000000-0005-0000-0000-000048450000}"/>
    <cellStyle name="Comma 8 12" xfId="12408" xr:uid="{00000000-0005-0000-0000-000049450000}"/>
    <cellStyle name="Comma 8 13" xfId="12409" xr:uid="{00000000-0005-0000-0000-00004A450000}"/>
    <cellStyle name="Comma 8 14" xfId="12410" xr:uid="{00000000-0005-0000-0000-00004B450000}"/>
    <cellStyle name="Comma 8 15" xfId="12411" xr:uid="{00000000-0005-0000-0000-00004C450000}"/>
    <cellStyle name="Comma 8 16" xfId="12412" xr:uid="{00000000-0005-0000-0000-00004D450000}"/>
    <cellStyle name="Comma 8 2" xfId="37" xr:uid="{00000000-0005-0000-0000-00004E450000}"/>
    <cellStyle name="Comma 8 2 10" xfId="12413" xr:uid="{00000000-0005-0000-0000-00004F450000}"/>
    <cellStyle name="Comma 8 2 11" xfId="12414" xr:uid="{00000000-0005-0000-0000-000050450000}"/>
    <cellStyle name="Comma 8 2 12" xfId="12415" xr:uid="{00000000-0005-0000-0000-000051450000}"/>
    <cellStyle name="Comma 8 2 2" xfId="12416" xr:uid="{00000000-0005-0000-0000-000052450000}"/>
    <cellStyle name="Comma 8 2 3" xfId="12417" xr:uid="{00000000-0005-0000-0000-000053450000}"/>
    <cellStyle name="Comma 8 2 4" xfId="12418" xr:uid="{00000000-0005-0000-0000-000054450000}"/>
    <cellStyle name="Comma 8 2 5" xfId="12419" xr:uid="{00000000-0005-0000-0000-000055450000}"/>
    <cellStyle name="Comma 8 2 6" xfId="12420" xr:uid="{00000000-0005-0000-0000-000056450000}"/>
    <cellStyle name="Comma 8 2 7" xfId="12421" xr:uid="{00000000-0005-0000-0000-000057450000}"/>
    <cellStyle name="Comma 8 2 8" xfId="12422" xr:uid="{00000000-0005-0000-0000-000058450000}"/>
    <cellStyle name="Comma 8 2 9" xfId="12423" xr:uid="{00000000-0005-0000-0000-000059450000}"/>
    <cellStyle name="Comma 8 3" xfId="12424" xr:uid="{00000000-0005-0000-0000-00005A450000}"/>
    <cellStyle name="Comma 8 3 10" xfId="12425" xr:uid="{00000000-0005-0000-0000-00005B450000}"/>
    <cellStyle name="Comma 8 3 11" xfId="12426" xr:uid="{00000000-0005-0000-0000-00005C450000}"/>
    <cellStyle name="Comma 8 3 2" xfId="12427" xr:uid="{00000000-0005-0000-0000-00005D450000}"/>
    <cellStyle name="Comma 8 3 3" xfId="12428" xr:uid="{00000000-0005-0000-0000-00005E450000}"/>
    <cellStyle name="Comma 8 3 4" xfId="12429" xr:uid="{00000000-0005-0000-0000-00005F450000}"/>
    <cellStyle name="Comma 8 3 5" xfId="12430" xr:uid="{00000000-0005-0000-0000-000060450000}"/>
    <cellStyle name="Comma 8 3 6" xfId="12431" xr:uid="{00000000-0005-0000-0000-000061450000}"/>
    <cellStyle name="Comma 8 3 7" xfId="12432" xr:uid="{00000000-0005-0000-0000-000062450000}"/>
    <cellStyle name="Comma 8 3 8" xfId="12433" xr:uid="{00000000-0005-0000-0000-000063450000}"/>
    <cellStyle name="Comma 8 3 9" xfId="12434" xr:uid="{00000000-0005-0000-0000-000064450000}"/>
    <cellStyle name="Comma 8 4" xfId="12435" xr:uid="{00000000-0005-0000-0000-000065450000}"/>
    <cellStyle name="Comma 8 4 10" xfId="12436" xr:uid="{00000000-0005-0000-0000-000066450000}"/>
    <cellStyle name="Comma 8 4 11" xfId="12437" xr:uid="{00000000-0005-0000-0000-000067450000}"/>
    <cellStyle name="Comma 8 4 2" xfId="12438" xr:uid="{00000000-0005-0000-0000-000068450000}"/>
    <cellStyle name="Comma 8 4 3" xfId="12439" xr:uid="{00000000-0005-0000-0000-000069450000}"/>
    <cellStyle name="Comma 8 4 4" xfId="12440" xr:uid="{00000000-0005-0000-0000-00006A450000}"/>
    <cellStyle name="Comma 8 4 5" xfId="12441" xr:uid="{00000000-0005-0000-0000-00006B450000}"/>
    <cellStyle name="Comma 8 4 6" xfId="12442" xr:uid="{00000000-0005-0000-0000-00006C450000}"/>
    <cellStyle name="Comma 8 4 7" xfId="12443" xr:uid="{00000000-0005-0000-0000-00006D450000}"/>
    <cellStyle name="Comma 8 4 8" xfId="12444" xr:uid="{00000000-0005-0000-0000-00006E450000}"/>
    <cellStyle name="Comma 8 4 9" xfId="12445" xr:uid="{00000000-0005-0000-0000-00006F450000}"/>
    <cellStyle name="Comma 8 5" xfId="12446" xr:uid="{00000000-0005-0000-0000-000070450000}"/>
    <cellStyle name="Comma 8 5 10" xfId="12447" xr:uid="{00000000-0005-0000-0000-000071450000}"/>
    <cellStyle name="Comma 8 5 11" xfId="12448" xr:uid="{00000000-0005-0000-0000-000072450000}"/>
    <cellStyle name="Comma 8 5 2" xfId="12449" xr:uid="{00000000-0005-0000-0000-000073450000}"/>
    <cellStyle name="Comma 8 5 3" xfId="12450" xr:uid="{00000000-0005-0000-0000-000074450000}"/>
    <cellStyle name="Comma 8 5 4" xfId="12451" xr:uid="{00000000-0005-0000-0000-000075450000}"/>
    <cellStyle name="Comma 8 5 5" xfId="12452" xr:uid="{00000000-0005-0000-0000-000076450000}"/>
    <cellStyle name="Comma 8 5 6" xfId="12453" xr:uid="{00000000-0005-0000-0000-000077450000}"/>
    <cellStyle name="Comma 8 5 7" xfId="12454" xr:uid="{00000000-0005-0000-0000-000078450000}"/>
    <cellStyle name="Comma 8 5 8" xfId="12455" xr:uid="{00000000-0005-0000-0000-000079450000}"/>
    <cellStyle name="Comma 8 5 9" xfId="12456" xr:uid="{00000000-0005-0000-0000-00007A450000}"/>
    <cellStyle name="Comma 8 6" xfId="12457" xr:uid="{00000000-0005-0000-0000-00007B450000}"/>
    <cellStyle name="Comma 8 6 10" xfId="12458" xr:uid="{00000000-0005-0000-0000-00007C450000}"/>
    <cellStyle name="Comma 8 6 11" xfId="12459" xr:uid="{00000000-0005-0000-0000-00007D450000}"/>
    <cellStyle name="Comma 8 6 2" xfId="12460" xr:uid="{00000000-0005-0000-0000-00007E450000}"/>
    <cellStyle name="Comma 8 6 3" xfId="12461" xr:uid="{00000000-0005-0000-0000-00007F450000}"/>
    <cellStyle name="Comma 8 6 4" xfId="12462" xr:uid="{00000000-0005-0000-0000-000080450000}"/>
    <cellStyle name="Comma 8 6 5" xfId="12463" xr:uid="{00000000-0005-0000-0000-000081450000}"/>
    <cellStyle name="Comma 8 6 6" xfId="12464" xr:uid="{00000000-0005-0000-0000-000082450000}"/>
    <cellStyle name="Comma 8 6 7" xfId="12465" xr:uid="{00000000-0005-0000-0000-000083450000}"/>
    <cellStyle name="Comma 8 6 8" xfId="12466" xr:uid="{00000000-0005-0000-0000-000084450000}"/>
    <cellStyle name="Comma 8 6 9" xfId="12467" xr:uid="{00000000-0005-0000-0000-000085450000}"/>
    <cellStyle name="Comma 8 7" xfId="12468" xr:uid="{00000000-0005-0000-0000-000086450000}"/>
    <cellStyle name="Comma 8 7 10" xfId="12469" xr:uid="{00000000-0005-0000-0000-000087450000}"/>
    <cellStyle name="Comma 8 7 11" xfId="12470" xr:uid="{00000000-0005-0000-0000-000088450000}"/>
    <cellStyle name="Comma 8 7 2" xfId="12471" xr:uid="{00000000-0005-0000-0000-000089450000}"/>
    <cellStyle name="Comma 8 7 3" xfId="12472" xr:uid="{00000000-0005-0000-0000-00008A450000}"/>
    <cellStyle name="Comma 8 7 4" xfId="12473" xr:uid="{00000000-0005-0000-0000-00008B450000}"/>
    <cellStyle name="Comma 8 7 5" xfId="12474" xr:uid="{00000000-0005-0000-0000-00008C450000}"/>
    <cellStyle name="Comma 8 7 6" xfId="12475" xr:uid="{00000000-0005-0000-0000-00008D450000}"/>
    <cellStyle name="Comma 8 7 7" xfId="12476" xr:uid="{00000000-0005-0000-0000-00008E450000}"/>
    <cellStyle name="Comma 8 7 8" xfId="12477" xr:uid="{00000000-0005-0000-0000-00008F450000}"/>
    <cellStyle name="Comma 8 7 9" xfId="12478" xr:uid="{00000000-0005-0000-0000-000090450000}"/>
    <cellStyle name="Comma 8 8" xfId="12479" xr:uid="{00000000-0005-0000-0000-000091450000}"/>
    <cellStyle name="Comma 8 8 10" xfId="12480" xr:uid="{00000000-0005-0000-0000-000092450000}"/>
    <cellStyle name="Comma 8 8 11" xfId="12481" xr:uid="{00000000-0005-0000-0000-000093450000}"/>
    <cellStyle name="Comma 8 8 2" xfId="12482" xr:uid="{00000000-0005-0000-0000-000094450000}"/>
    <cellStyle name="Comma 8 8 3" xfId="12483" xr:uid="{00000000-0005-0000-0000-000095450000}"/>
    <cellStyle name="Comma 8 8 4" xfId="12484" xr:uid="{00000000-0005-0000-0000-000096450000}"/>
    <cellStyle name="Comma 8 8 5" xfId="12485" xr:uid="{00000000-0005-0000-0000-000097450000}"/>
    <cellStyle name="Comma 8 8 6" xfId="12486" xr:uid="{00000000-0005-0000-0000-000098450000}"/>
    <cellStyle name="Comma 8 8 7" xfId="12487" xr:uid="{00000000-0005-0000-0000-000099450000}"/>
    <cellStyle name="Comma 8 8 8" xfId="12488" xr:uid="{00000000-0005-0000-0000-00009A450000}"/>
    <cellStyle name="Comma 8 8 9" xfId="12489" xr:uid="{00000000-0005-0000-0000-00009B450000}"/>
    <cellStyle name="Comma 8 9" xfId="12490" xr:uid="{00000000-0005-0000-0000-00009C450000}"/>
    <cellStyle name="Comma 80" xfId="12491" xr:uid="{00000000-0005-0000-0000-00009D450000}"/>
    <cellStyle name="Comma 81" xfId="12492" xr:uid="{00000000-0005-0000-0000-00009E450000}"/>
    <cellStyle name="Comma 82" xfId="12493" xr:uid="{00000000-0005-0000-0000-00009F450000}"/>
    <cellStyle name="Comma 83" xfId="12494" xr:uid="{00000000-0005-0000-0000-0000A0450000}"/>
    <cellStyle name="Comma 84" xfId="12495" xr:uid="{00000000-0005-0000-0000-0000A1450000}"/>
    <cellStyle name="Comma 85" xfId="12496" xr:uid="{00000000-0005-0000-0000-0000A2450000}"/>
    <cellStyle name="Comma 86" xfId="12497" xr:uid="{00000000-0005-0000-0000-0000A3450000}"/>
    <cellStyle name="Comma 87" xfId="12498" xr:uid="{00000000-0005-0000-0000-0000A4450000}"/>
    <cellStyle name="Comma 88" xfId="12499" xr:uid="{00000000-0005-0000-0000-0000A5450000}"/>
    <cellStyle name="Comma 89" xfId="12500" xr:uid="{00000000-0005-0000-0000-0000A6450000}"/>
    <cellStyle name="Comma 9" xfId="12501" xr:uid="{00000000-0005-0000-0000-0000A7450000}"/>
    <cellStyle name="Comma 9 10" xfId="12502" xr:uid="{00000000-0005-0000-0000-0000A8450000}"/>
    <cellStyle name="Comma 9 10 10" xfId="12503" xr:uid="{00000000-0005-0000-0000-0000A9450000}"/>
    <cellStyle name="Comma 9 10 11" xfId="12504" xr:uid="{00000000-0005-0000-0000-0000AA450000}"/>
    <cellStyle name="Comma 9 10 2" xfId="12505" xr:uid="{00000000-0005-0000-0000-0000AB450000}"/>
    <cellStyle name="Comma 9 10 3" xfId="12506" xr:uid="{00000000-0005-0000-0000-0000AC450000}"/>
    <cellStyle name="Comma 9 10 4" xfId="12507" xr:uid="{00000000-0005-0000-0000-0000AD450000}"/>
    <cellStyle name="Comma 9 10 5" xfId="12508" xr:uid="{00000000-0005-0000-0000-0000AE450000}"/>
    <cellStyle name="Comma 9 10 6" xfId="12509" xr:uid="{00000000-0005-0000-0000-0000AF450000}"/>
    <cellStyle name="Comma 9 10 7" xfId="12510" xr:uid="{00000000-0005-0000-0000-0000B0450000}"/>
    <cellStyle name="Comma 9 10 8" xfId="12511" xr:uid="{00000000-0005-0000-0000-0000B1450000}"/>
    <cellStyle name="Comma 9 10 9" xfId="12512" xr:uid="{00000000-0005-0000-0000-0000B2450000}"/>
    <cellStyle name="Comma 9 11" xfId="12513" xr:uid="{00000000-0005-0000-0000-0000B3450000}"/>
    <cellStyle name="Comma 9 12" xfId="12514" xr:uid="{00000000-0005-0000-0000-0000B4450000}"/>
    <cellStyle name="Comma 9 13" xfId="12515" xr:uid="{00000000-0005-0000-0000-0000B5450000}"/>
    <cellStyle name="Comma 9 14" xfId="12516" xr:uid="{00000000-0005-0000-0000-0000B6450000}"/>
    <cellStyle name="Comma 9 15" xfId="12517" xr:uid="{00000000-0005-0000-0000-0000B7450000}"/>
    <cellStyle name="Comma 9 2" xfId="12518" xr:uid="{00000000-0005-0000-0000-0000B8450000}"/>
    <cellStyle name="Comma 9 2 10" xfId="12519" xr:uid="{00000000-0005-0000-0000-0000B9450000}"/>
    <cellStyle name="Comma 9 2 11" xfId="12520" xr:uid="{00000000-0005-0000-0000-0000BA450000}"/>
    <cellStyle name="Comma 9 2 2" xfId="12521" xr:uid="{00000000-0005-0000-0000-0000BB450000}"/>
    <cellStyle name="Comma 9 2 3" xfId="12522" xr:uid="{00000000-0005-0000-0000-0000BC450000}"/>
    <cellStyle name="Comma 9 2 4" xfId="12523" xr:uid="{00000000-0005-0000-0000-0000BD450000}"/>
    <cellStyle name="Comma 9 2 5" xfId="12524" xr:uid="{00000000-0005-0000-0000-0000BE450000}"/>
    <cellStyle name="Comma 9 2 6" xfId="12525" xr:uid="{00000000-0005-0000-0000-0000BF450000}"/>
    <cellStyle name="Comma 9 2 7" xfId="12526" xr:uid="{00000000-0005-0000-0000-0000C0450000}"/>
    <cellStyle name="Comma 9 2 8" xfId="12527" xr:uid="{00000000-0005-0000-0000-0000C1450000}"/>
    <cellStyle name="Comma 9 2 9" xfId="12528" xr:uid="{00000000-0005-0000-0000-0000C2450000}"/>
    <cellStyle name="Comma 9 3" xfId="12529" xr:uid="{00000000-0005-0000-0000-0000C3450000}"/>
    <cellStyle name="Comma 9 3 10" xfId="12530" xr:uid="{00000000-0005-0000-0000-0000C4450000}"/>
    <cellStyle name="Comma 9 3 11" xfId="12531" xr:uid="{00000000-0005-0000-0000-0000C5450000}"/>
    <cellStyle name="Comma 9 3 2" xfId="12532" xr:uid="{00000000-0005-0000-0000-0000C6450000}"/>
    <cellStyle name="Comma 9 3 3" xfId="12533" xr:uid="{00000000-0005-0000-0000-0000C7450000}"/>
    <cellStyle name="Comma 9 3 4" xfId="12534" xr:uid="{00000000-0005-0000-0000-0000C8450000}"/>
    <cellStyle name="Comma 9 3 5" xfId="12535" xr:uid="{00000000-0005-0000-0000-0000C9450000}"/>
    <cellStyle name="Comma 9 3 6" xfId="12536" xr:uid="{00000000-0005-0000-0000-0000CA450000}"/>
    <cellStyle name="Comma 9 3 7" xfId="12537" xr:uid="{00000000-0005-0000-0000-0000CB450000}"/>
    <cellStyle name="Comma 9 3 8" xfId="12538" xr:uid="{00000000-0005-0000-0000-0000CC450000}"/>
    <cellStyle name="Comma 9 3 9" xfId="12539" xr:uid="{00000000-0005-0000-0000-0000CD450000}"/>
    <cellStyle name="Comma 9 4" xfId="12540" xr:uid="{00000000-0005-0000-0000-0000CE450000}"/>
    <cellStyle name="Comma 9 4 10" xfId="12541" xr:uid="{00000000-0005-0000-0000-0000CF450000}"/>
    <cellStyle name="Comma 9 4 11" xfId="12542" xr:uid="{00000000-0005-0000-0000-0000D0450000}"/>
    <cellStyle name="Comma 9 4 2" xfId="12543" xr:uid="{00000000-0005-0000-0000-0000D1450000}"/>
    <cellStyle name="Comma 9 4 3" xfId="12544" xr:uid="{00000000-0005-0000-0000-0000D2450000}"/>
    <cellStyle name="Comma 9 4 4" xfId="12545" xr:uid="{00000000-0005-0000-0000-0000D3450000}"/>
    <cellStyle name="Comma 9 4 5" xfId="12546" xr:uid="{00000000-0005-0000-0000-0000D4450000}"/>
    <cellStyle name="Comma 9 4 6" xfId="12547" xr:uid="{00000000-0005-0000-0000-0000D5450000}"/>
    <cellStyle name="Comma 9 4 7" xfId="12548" xr:uid="{00000000-0005-0000-0000-0000D6450000}"/>
    <cellStyle name="Comma 9 4 8" xfId="12549" xr:uid="{00000000-0005-0000-0000-0000D7450000}"/>
    <cellStyle name="Comma 9 4 9" xfId="12550" xr:uid="{00000000-0005-0000-0000-0000D8450000}"/>
    <cellStyle name="Comma 9 5" xfId="12551" xr:uid="{00000000-0005-0000-0000-0000D9450000}"/>
    <cellStyle name="Comma 9 5 10" xfId="12552" xr:uid="{00000000-0005-0000-0000-0000DA450000}"/>
    <cellStyle name="Comma 9 5 11" xfId="12553" xr:uid="{00000000-0005-0000-0000-0000DB450000}"/>
    <cellStyle name="Comma 9 5 2" xfId="12554" xr:uid="{00000000-0005-0000-0000-0000DC450000}"/>
    <cellStyle name="Comma 9 5 3" xfId="12555" xr:uid="{00000000-0005-0000-0000-0000DD450000}"/>
    <cellStyle name="Comma 9 5 4" xfId="12556" xr:uid="{00000000-0005-0000-0000-0000DE450000}"/>
    <cellStyle name="Comma 9 5 5" xfId="12557" xr:uid="{00000000-0005-0000-0000-0000DF450000}"/>
    <cellStyle name="Comma 9 5 6" xfId="12558" xr:uid="{00000000-0005-0000-0000-0000E0450000}"/>
    <cellStyle name="Comma 9 5 7" xfId="12559" xr:uid="{00000000-0005-0000-0000-0000E1450000}"/>
    <cellStyle name="Comma 9 5 8" xfId="12560" xr:uid="{00000000-0005-0000-0000-0000E2450000}"/>
    <cellStyle name="Comma 9 5 9" xfId="12561" xr:uid="{00000000-0005-0000-0000-0000E3450000}"/>
    <cellStyle name="Comma 9 6" xfId="12562" xr:uid="{00000000-0005-0000-0000-0000E4450000}"/>
    <cellStyle name="Comma 9 6 10" xfId="12563" xr:uid="{00000000-0005-0000-0000-0000E5450000}"/>
    <cellStyle name="Comma 9 6 11" xfId="12564" xr:uid="{00000000-0005-0000-0000-0000E6450000}"/>
    <cellStyle name="Comma 9 6 2" xfId="12565" xr:uid="{00000000-0005-0000-0000-0000E7450000}"/>
    <cellStyle name="Comma 9 6 3" xfId="12566" xr:uid="{00000000-0005-0000-0000-0000E8450000}"/>
    <cellStyle name="Comma 9 6 4" xfId="12567" xr:uid="{00000000-0005-0000-0000-0000E9450000}"/>
    <cellStyle name="Comma 9 6 5" xfId="12568" xr:uid="{00000000-0005-0000-0000-0000EA450000}"/>
    <cellStyle name="Comma 9 6 6" xfId="12569" xr:uid="{00000000-0005-0000-0000-0000EB450000}"/>
    <cellStyle name="Comma 9 6 7" xfId="12570" xr:uid="{00000000-0005-0000-0000-0000EC450000}"/>
    <cellStyle name="Comma 9 6 8" xfId="12571" xr:uid="{00000000-0005-0000-0000-0000ED450000}"/>
    <cellStyle name="Comma 9 6 9" xfId="12572" xr:uid="{00000000-0005-0000-0000-0000EE450000}"/>
    <cellStyle name="Comma 9 7" xfId="12573" xr:uid="{00000000-0005-0000-0000-0000EF450000}"/>
    <cellStyle name="Comma 9 7 10" xfId="12574" xr:uid="{00000000-0005-0000-0000-0000F0450000}"/>
    <cellStyle name="Comma 9 7 11" xfId="12575" xr:uid="{00000000-0005-0000-0000-0000F1450000}"/>
    <cellStyle name="Comma 9 7 2" xfId="12576" xr:uid="{00000000-0005-0000-0000-0000F2450000}"/>
    <cellStyle name="Comma 9 7 3" xfId="12577" xr:uid="{00000000-0005-0000-0000-0000F3450000}"/>
    <cellStyle name="Comma 9 7 4" xfId="12578" xr:uid="{00000000-0005-0000-0000-0000F4450000}"/>
    <cellStyle name="Comma 9 7 5" xfId="12579" xr:uid="{00000000-0005-0000-0000-0000F5450000}"/>
    <cellStyle name="Comma 9 7 6" xfId="12580" xr:uid="{00000000-0005-0000-0000-0000F6450000}"/>
    <cellStyle name="Comma 9 7 7" xfId="12581" xr:uid="{00000000-0005-0000-0000-0000F7450000}"/>
    <cellStyle name="Comma 9 7 8" xfId="12582" xr:uid="{00000000-0005-0000-0000-0000F8450000}"/>
    <cellStyle name="Comma 9 7 9" xfId="12583" xr:uid="{00000000-0005-0000-0000-0000F9450000}"/>
    <cellStyle name="Comma 9 8" xfId="12584" xr:uid="{00000000-0005-0000-0000-0000FA450000}"/>
    <cellStyle name="Comma 9 8 10" xfId="12585" xr:uid="{00000000-0005-0000-0000-0000FB450000}"/>
    <cellStyle name="Comma 9 8 11" xfId="12586" xr:uid="{00000000-0005-0000-0000-0000FC450000}"/>
    <cellStyle name="Comma 9 8 2" xfId="12587" xr:uid="{00000000-0005-0000-0000-0000FD450000}"/>
    <cellStyle name="Comma 9 8 3" xfId="12588" xr:uid="{00000000-0005-0000-0000-0000FE450000}"/>
    <cellStyle name="Comma 9 8 4" xfId="12589" xr:uid="{00000000-0005-0000-0000-0000FF450000}"/>
    <cellStyle name="Comma 9 8 5" xfId="12590" xr:uid="{00000000-0005-0000-0000-000000460000}"/>
    <cellStyle name="Comma 9 8 6" xfId="12591" xr:uid="{00000000-0005-0000-0000-000001460000}"/>
    <cellStyle name="Comma 9 8 7" xfId="12592" xr:uid="{00000000-0005-0000-0000-000002460000}"/>
    <cellStyle name="Comma 9 8 8" xfId="12593" xr:uid="{00000000-0005-0000-0000-000003460000}"/>
    <cellStyle name="Comma 9 8 9" xfId="12594" xr:uid="{00000000-0005-0000-0000-000004460000}"/>
    <cellStyle name="Comma 9 9" xfId="12595" xr:uid="{00000000-0005-0000-0000-000005460000}"/>
    <cellStyle name="Comma 90" xfId="12596" xr:uid="{00000000-0005-0000-0000-000006460000}"/>
    <cellStyle name="Comma 91" xfId="12597" xr:uid="{00000000-0005-0000-0000-000007460000}"/>
    <cellStyle name="Comma 92" xfId="12598" xr:uid="{00000000-0005-0000-0000-000008460000}"/>
    <cellStyle name="Comma 93" xfId="12599" xr:uid="{00000000-0005-0000-0000-000009460000}"/>
    <cellStyle name="Comma 94" xfId="12600" xr:uid="{00000000-0005-0000-0000-00000A460000}"/>
    <cellStyle name="Comma 95" xfId="12601" xr:uid="{00000000-0005-0000-0000-00000B460000}"/>
    <cellStyle name="Comma 96" xfId="12602" xr:uid="{00000000-0005-0000-0000-00000C460000}"/>
    <cellStyle name="Comma 97" xfId="12603" xr:uid="{00000000-0005-0000-0000-00000D460000}"/>
    <cellStyle name="Comma 98" xfId="12604" xr:uid="{00000000-0005-0000-0000-00000E460000}"/>
    <cellStyle name="Comma 99" xfId="12605" xr:uid="{00000000-0005-0000-0000-00000F460000}"/>
    <cellStyle name="Currency 2" xfId="12606" xr:uid="{00000000-0005-0000-0000-000010460000}"/>
    <cellStyle name="Currency 2 10" xfId="12607" xr:uid="{00000000-0005-0000-0000-000011460000}"/>
    <cellStyle name="Currency 2 11" xfId="12608" xr:uid="{00000000-0005-0000-0000-000012460000}"/>
    <cellStyle name="Currency 2 12" xfId="12609" xr:uid="{00000000-0005-0000-0000-000013460000}"/>
    <cellStyle name="Currency 2 13" xfId="12610" xr:uid="{00000000-0005-0000-0000-000014460000}"/>
    <cellStyle name="Currency 2 14" xfId="12611" xr:uid="{00000000-0005-0000-0000-000015460000}"/>
    <cellStyle name="Currency 2 15" xfId="12612" xr:uid="{00000000-0005-0000-0000-000016460000}"/>
    <cellStyle name="Currency 2 16" xfId="12613" xr:uid="{00000000-0005-0000-0000-000017460000}"/>
    <cellStyle name="Currency 2 17" xfId="12614" xr:uid="{00000000-0005-0000-0000-000018460000}"/>
    <cellStyle name="Currency 2 18" xfId="12615" xr:uid="{00000000-0005-0000-0000-000019460000}"/>
    <cellStyle name="Currency 2 19" xfId="12616" xr:uid="{00000000-0005-0000-0000-00001A460000}"/>
    <cellStyle name="Currency 2 2" xfId="12617" xr:uid="{00000000-0005-0000-0000-00001B460000}"/>
    <cellStyle name="Currency 2 2 2" xfId="12618" xr:uid="{00000000-0005-0000-0000-00001C460000}"/>
    <cellStyle name="Currency 2 2 3" xfId="12619" xr:uid="{00000000-0005-0000-0000-00001D460000}"/>
    <cellStyle name="Currency 2 2 4" xfId="12620" xr:uid="{00000000-0005-0000-0000-00001E460000}"/>
    <cellStyle name="Currency 2 2 5" xfId="12621" xr:uid="{00000000-0005-0000-0000-00001F460000}"/>
    <cellStyle name="Currency 2 20" xfId="12622" xr:uid="{00000000-0005-0000-0000-000020460000}"/>
    <cellStyle name="Currency 2 21" xfId="12623" xr:uid="{00000000-0005-0000-0000-000021460000}"/>
    <cellStyle name="Currency 2 22" xfId="12624" xr:uid="{00000000-0005-0000-0000-000022460000}"/>
    <cellStyle name="Currency 2 23" xfId="12625" xr:uid="{00000000-0005-0000-0000-000023460000}"/>
    <cellStyle name="Currency 2 3" xfId="12626" xr:uid="{00000000-0005-0000-0000-000024460000}"/>
    <cellStyle name="Currency 2 4" xfId="12627" xr:uid="{00000000-0005-0000-0000-000025460000}"/>
    <cellStyle name="Currency 2 5" xfId="12628" xr:uid="{00000000-0005-0000-0000-000026460000}"/>
    <cellStyle name="Currency 2 6" xfId="12629" xr:uid="{00000000-0005-0000-0000-000027460000}"/>
    <cellStyle name="Currency 2 7" xfId="12630" xr:uid="{00000000-0005-0000-0000-000028460000}"/>
    <cellStyle name="Currency 2 8" xfId="12631" xr:uid="{00000000-0005-0000-0000-000029460000}"/>
    <cellStyle name="Currency 2 9" xfId="12632" xr:uid="{00000000-0005-0000-0000-00002A460000}"/>
    <cellStyle name="Currency 3" xfId="12633" xr:uid="{00000000-0005-0000-0000-00002B460000}"/>
    <cellStyle name="Currency 3 2" xfId="12634" xr:uid="{00000000-0005-0000-0000-00002C460000}"/>
    <cellStyle name="Currency 3 3" xfId="12635" xr:uid="{00000000-0005-0000-0000-00002D460000}"/>
    <cellStyle name="Currency 4" xfId="12636" xr:uid="{00000000-0005-0000-0000-00002E460000}"/>
    <cellStyle name="Currency 4 2" xfId="12637" xr:uid="{00000000-0005-0000-0000-00002F460000}"/>
    <cellStyle name="Currency 5" xfId="12638" xr:uid="{00000000-0005-0000-0000-000030460000}"/>
    <cellStyle name="Currency 5 2" xfId="12639" xr:uid="{00000000-0005-0000-0000-000031460000}"/>
    <cellStyle name="Currency 6" xfId="12640" xr:uid="{00000000-0005-0000-0000-000032460000}"/>
    <cellStyle name="Currency 7" xfId="12641" xr:uid="{00000000-0005-0000-0000-000033460000}"/>
    <cellStyle name="Emphasis 1" xfId="12642" xr:uid="{00000000-0005-0000-0000-000034460000}"/>
    <cellStyle name="Emphasis 2" xfId="12643" xr:uid="{00000000-0005-0000-0000-000035460000}"/>
    <cellStyle name="Emphasis 3" xfId="12644" xr:uid="{00000000-0005-0000-0000-000036460000}"/>
    <cellStyle name="Excel Built-in Normal" xfId="12645" xr:uid="{00000000-0005-0000-0000-000037460000}"/>
    <cellStyle name="Excel Built-in Normal 10" xfId="12646" xr:uid="{00000000-0005-0000-0000-000038460000}"/>
    <cellStyle name="Excel Built-in Normal 11" xfId="12647" xr:uid="{00000000-0005-0000-0000-000039460000}"/>
    <cellStyle name="Excel Built-in Normal 12" xfId="12648" xr:uid="{00000000-0005-0000-0000-00003A460000}"/>
    <cellStyle name="Excel Built-in Normal 13" xfId="12649" xr:uid="{00000000-0005-0000-0000-00003B460000}"/>
    <cellStyle name="Excel Built-in Normal 14" xfId="12650" xr:uid="{00000000-0005-0000-0000-00003C460000}"/>
    <cellStyle name="Excel Built-in Normal 15" xfId="12651" xr:uid="{00000000-0005-0000-0000-00003D460000}"/>
    <cellStyle name="Excel Built-in Normal 16" xfId="12652" xr:uid="{00000000-0005-0000-0000-00003E460000}"/>
    <cellStyle name="Excel Built-in Normal 17" xfId="12653" xr:uid="{00000000-0005-0000-0000-00003F460000}"/>
    <cellStyle name="Excel Built-in Normal 18" xfId="12654" xr:uid="{00000000-0005-0000-0000-000040460000}"/>
    <cellStyle name="Excel Built-in Normal 19" xfId="12655" xr:uid="{00000000-0005-0000-0000-000041460000}"/>
    <cellStyle name="Excel Built-in Normal 2" xfId="12656" xr:uid="{00000000-0005-0000-0000-000042460000}"/>
    <cellStyle name="Excel Built-in Normal 2 2" xfId="12657" xr:uid="{00000000-0005-0000-0000-000043460000}"/>
    <cellStyle name="Excel Built-in Normal 2 2 2" xfId="12658" xr:uid="{00000000-0005-0000-0000-000044460000}"/>
    <cellStyle name="Excel Built-in Normal 2 2 3" xfId="12659" xr:uid="{00000000-0005-0000-0000-000045460000}"/>
    <cellStyle name="Excel Built-in Normal 2 2 4" xfId="12660" xr:uid="{00000000-0005-0000-0000-000046460000}"/>
    <cellStyle name="Excel Built-in Normal 2 2 5" xfId="12661" xr:uid="{00000000-0005-0000-0000-000047460000}"/>
    <cellStyle name="Excel Built-in Normal 2 3" xfId="12662" xr:uid="{00000000-0005-0000-0000-000048460000}"/>
    <cellStyle name="Excel Built-in Normal 2 4" xfId="12663" xr:uid="{00000000-0005-0000-0000-000049460000}"/>
    <cellStyle name="Excel Built-in Normal 2 5" xfId="12664" xr:uid="{00000000-0005-0000-0000-00004A460000}"/>
    <cellStyle name="Excel Built-in Normal 20" xfId="12665" xr:uid="{00000000-0005-0000-0000-00004B460000}"/>
    <cellStyle name="Excel Built-in Normal 21" xfId="12666" xr:uid="{00000000-0005-0000-0000-00004C460000}"/>
    <cellStyle name="Excel Built-in Normal 22" xfId="12667" xr:uid="{00000000-0005-0000-0000-00004D460000}"/>
    <cellStyle name="Excel Built-in Normal 23" xfId="12668" xr:uid="{00000000-0005-0000-0000-00004E460000}"/>
    <cellStyle name="Excel Built-in Normal 24" xfId="12669" xr:uid="{00000000-0005-0000-0000-00004F460000}"/>
    <cellStyle name="Excel Built-in Normal 25" xfId="12670" xr:uid="{00000000-0005-0000-0000-000050460000}"/>
    <cellStyle name="Excel Built-in Normal 26" xfId="12671" xr:uid="{00000000-0005-0000-0000-000051460000}"/>
    <cellStyle name="Excel Built-in Normal 27" xfId="12672" xr:uid="{00000000-0005-0000-0000-000052460000}"/>
    <cellStyle name="Excel Built-in Normal 28" xfId="12673" xr:uid="{00000000-0005-0000-0000-000053460000}"/>
    <cellStyle name="Excel Built-in Normal 29" xfId="12674" xr:uid="{00000000-0005-0000-0000-000054460000}"/>
    <cellStyle name="Excel Built-in Normal 3" xfId="12675" xr:uid="{00000000-0005-0000-0000-000055460000}"/>
    <cellStyle name="Excel Built-in Normal 30" xfId="12676" xr:uid="{00000000-0005-0000-0000-000056460000}"/>
    <cellStyle name="Excel Built-in Normal 31" xfId="12677" xr:uid="{00000000-0005-0000-0000-000057460000}"/>
    <cellStyle name="Excel Built-in Normal 32" xfId="12678" xr:uid="{00000000-0005-0000-0000-000058460000}"/>
    <cellStyle name="Excel Built-in Normal 33" xfId="12679" xr:uid="{00000000-0005-0000-0000-000059460000}"/>
    <cellStyle name="Excel Built-in Normal 34" xfId="12680" xr:uid="{00000000-0005-0000-0000-00005A460000}"/>
    <cellStyle name="Excel Built-in Normal 35" xfId="12681" xr:uid="{00000000-0005-0000-0000-00005B460000}"/>
    <cellStyle name="Excel Built-in Normal 36" xfId="12682" xr:uid="{00000000-0005-0000-0000-00005C460000}"/>
    <cellStyle name="Excel Built-in Normal 37" xfId="12683" xr:uid="{00000000-0005-0000-0000-00005D460000}"/>
    <cellStyle name="Excel Built-in Normal 38" xfId="12684" xr:uid="{00000000-0005-0000-0000-00005E460000}"/>
    <cellStyle name="Excel Built-in Normal 39" xfId="12685" xr:uid="{00000000-0005-0000-0000-00005F460000}"/>
    <cellStyle name="Excel Built-in Normal 4" xfId="12686" xr:uid="{00000000-0005-0000-0000-000060460000}"/>
    <cellStyle name="Excel Built-in Normal 40" xfId="12687" xr:uid="{00000000-0005-0000-0000-000061460000}"/>
    <cellStyle name="Excel Built-in Normal 41" xfId="12688" xr:uid="{00000000-0005-0000-0000-000062460000}"/>
    <cellStyle name="Excel Built-in Normal 42" xfId="12689" xr:uid="{00000000-0005-0000-0000-000063460000}"/>
    <cellStyle name="Excel Built-in Normal 43" xfId="12690" xr:uid="{00000000-0005-0000-0000-000064460000}"/>
    <cellStyle name="Excel Built-in Normal 44" xfId="12691" xr:uid="{00000000-0005-0000-0000-000065460000}"/>
    <cellStyle name="Excel Built-in Normal 45" xfId="12692" xr:uid="{00000000-0005-0000-0000-000066460000}"/>
    <cellStyle name="Excel Built-in Normal 46" xfId="12693" xr:uid="{00000000-0005-0000-0000-000067460000}"/>
    <cellStyle name="Excel Built-in Normal 47" xfId="12694" xr:uid="{00000000-0005-0000-0000-000068460000}"/>
    <cellStyle name="Excel Built-in Normal 48" xfId="12695" xr:uid="{00000000-0005-0000-0000-000069460000}"/>
    <cellStyle name="Excel Built-in Normal 49" xfId="12696" xr:uid="{00000000-0005-0000-0000-00006A460000}"/>
    <cellStyle name="Excel Built-in Normal 5" xfId="12697" xr:uid="{00000000-0005-0000-0000-00006B460000}"/>
    <cellStyle name="Excel Built-in Normal 50" xfId="12698" xr:uid="{00000000-0005-0000-0000-00006C460000}"/>
    <cellStyle name="Excel Built-in Normal 51" xfId="12699" xr:uid="{00000000-0005-0000-0000-00006D460000}"/>
    <cellStyle name="Excel Built-in Normal 52" xfId="12700" xr:uid="{00000000-0005-0000-0000-00006E460000}"/>
    <cellStyle name="Excel Built-in Normal 53" xfId="12701" xr:uid="{00000000-0005-0000-0000-00006F460000}"/>
    <cellStyle name="Excel Built-in Normal 54" xfId="12702" xr:uid="{00000000-0005-0000-0000-000070460000}"/>
    <cellStyle name="Excel Built-in Normal 55" xfId="12703" xr:uid="{00000000-0005-0000-0000-000071460000}"/>
    <cellStyle name="Excel Built-in Normal 56" xfId="12704" xr:uid="{00000000-0005-0000-0000-000072460000}"/>
    <cellStyle name="Excel Built-in Normal 57" xfId="12705" xr:uid="{00000000-0005-0000-0000-000073460000}"/>
    <cellStyle name="Excel Built-in Normal 58" xfId="12706" xr:uid="{00000000-0005-0000-0000-000074460000}"/>
    <cellStyle name="Excel Built-in Normal 59" xfId="12707" xr:uid="{00000000-0005-0000-0000-000075460000}"/>
    <cellStyle name="Excel Built-in Normal 6" xfId="12708" xr:uid="{00000000-0005-0000-0000-000076460000}"/>
    <cellStyle name="Excel Built-in Normal 60" xfId="12709" xr:uid="{00000000-0005-0000-0000-000077460000}"/>
    <cellStyle name="Excel Built-in Normal 61" xfId="12710" xr:uid="{00000000-0005-0000-0000-000078460000}"/>
    <cellStyle name="Excel Built-in Normal 62" xfId="12711" xr:uid="{00000000-0005-0000-0000-000079460000}"/>
    <cellStyle name="Excel Built-in Normal 63" xfId="12712" xr:uid="{00000000-0005-0000-0000-00007A460000}"/>
    <cellStyle name="Excel Built-in Normal 64" xfId="12713" xr:uid="{00000000-0005-0000-0000-00007B460000}"/>
    <cellStyle name="Excel Built-in Normal 65" xfId="12714" xr:uid="{00000000-0005-0000-0000-00007C460000}"/>
    <cellStyle name="Excel Built-in Normal 66" xfId="12715" xr:uid="{00000000-0005-0000-0000-00007D460000}"/>
    <cellStyle name="Excel Built-in Normal 67" xfId="12716" xr:uid="{00000000-0005-0000-0000-00007E460000}"/>
    <cellStyle name="Excel Built-in Normal 68" xfId="12717" xr:uid="{00000000-0005-0000-0000-00007F460000}"/>
    <cellStyle name="Excel Built-in Normal 69" xfId="12718" xr:uid="{00000000-0005-0000-0000-000080460000}"/>
    <cellStyle name="Excel Built-in Normal 7" xfId="12719" xr:uid="{00000000-0005-0000-0000-000081460000}"/>
    <cellStyle name="Excel Built-in Normal 70" xfId="12720" xr:uid="{00000000-0005-0000-0000-000082460000}"/>
    <cellStyle name="Excel Built-in Normal 71" xfId="12721" xr:uid="{00000000-0005-0000-0000-000083460000}"/>
    <cellStyle name="Excel Built-in Normal 72" xfId="12722" xr:uid="{00000000-0005-0000-0000-000084460000}"/>
    <cellStyle name="Excel Built-in Normal 73" xfId="12723" xr:uid="{00000000-0005-0000-0000-000085460000}"/>
    <cellStyle name="Excel Built-in Normal 74" xfId="12724" xr:uid="{00000000-0005-0000-0000-000086460000}"/>
    <cellStyle name="Excel Built-in Normal 75" xfId="12725" xr:uid="{00000000-0005-0000-0000-000087460000}"/>
    <cellStyle name="Excel Built-in Normal 76" xfId="12726" xr:uid="{00000000-0005-0000-0000-000088460000}"/>
    <cellStyle name="Excel Built-in Normal 77" xfId="12727" xr:uid="{00000000-0005-0000-0000-000089460000}"/>
    <cellStyle name="Excel Built-in Normal 78" xfId="12728" xr:uid="{00000000-0005-0000-0000-00008A460000}"/>
    <cellStyle name="Excel Built-in Normal 79" xfId="12729" xr:uid="{00000000-0005-0000-0000-00008B460000}"/>
    <cellStyle name="Excel Built-in Normal 8" xfId="12730" xr:uid="{00000000-0005-0000-0000-00008C460000}"/>
    <cellStyle name="Excel Built-in Normal 80" xfId="12731" xr:uid="{00000000-0005-0000-0000-00008D460000}"/>
    <cellStyle name="Excel Built-in Normal 81" xfId="12732" xr:uid="{00000000-0005-0000-0000-00008E460000}"/>
    <cellStyle name="Excel Built-in Normal 82" xfId="12733" xr:uid="{00000000-0005-0000-0000-00008F460000}"/>
    <cellStyle name="Excel Built-in Normal 83" xfId="12734" xr:uid="{00000000-0005-0000-0000-000090460000}"/>
    <cellStyle name="Excel Built-in Normal 84" xfId="12735" xr:uid="{00000000-0005-0000-0000-000091460000}"/>
    <cellStyle name="Excel Built-in Normal 85" xfId="12736" xr:uid="{00000000-0005-0000-0000-000092460000}"/>
    <cellStyle name="Excel Built-in Normal 86" xfId="12737" xr:uid="{00000000-0005-0000-0000-000093460000}"/>
    <cellStyle name="Excel Built-in Normal 87" xfId="12738" xr:uid="{00000000-0005-0000-0000-000094460000}"/>
    <cellStyle name="Excel Built-in Normal 88" xfId="12739" xr:uid="{00000000-0005-0000-0000-000095460000}"/>
    <cellStyle name="Excel Built-in Normal 89" xfId="12740" xr:uid="{00000000-0005-0000-0000-000096460000}"/>
    <cellStyle name="Excel Built-in Normal 9" xfId="12741" xr:uid="{00000000-0005-0000-0000-000097460000}"/>
    <cellStyle name="Excel Built-in Normal 90" xfId="12742" xr:uid="{00000000-0005-0000-0000-000098460000}"/>
    <cellStyle name="Excel Built-in Normal 91" xfId="12743" xr:uid="{00000000-0005-0000-0000-000099460000}"/>
    <cellStyle name="Excel Built-in Normal 92" xfId="12744" xr:uid="{00000000-0005-0000-0000-00009A460000}"/>
    <cellStyle name="Excel Built-in Normal 93" xfId="12745" xr:uid="{00000000-0005-0000-0000-00009B460000}"/>
    <cellStyle name="Excel Built-in Normal 94" xfId="12746" xr:uid="{00000000-0005-0000-0000-00009C460000}"/>
    <cellStyle name="Explanatory Text 10" xfId="12747" xr:uid="{00000000-0005-0000-0000-00009D460000}"/>
    <cellStyle name="Explanatory Text 11" xfId="12748" xr:uid="{00000000-0005-0000-0000-00009E460000}"/>
    <cellStyle name="Explanatory Text 12" xfId="12749" xr:uid="{00000000-0005-0000-0000-00009F460000}"/>
    <cellStyle name="Explanatory Text 13" xfId="12750" xr:uid="{00000000-0005-0000-0000-0000A0460000}"/>
    <cellStyle name="Explanatory Text 14" xfId="12751" xr:uid="{00000000-0005-0000-0000-0000A1460000}"/>
    <cellStyle name="Explanatory Text 15" xfId="12752" xr:uid="{00000000-0005-0000-0000-0000A2460000}"/>
    <cellStyle name="Explanatory Text 16" xfId="12753" xr:uid="{00000000-0005-0000-0000-0000A3460000}"/>
    <cellStyle name="Explanatory Text 17" xfId="12754" xr:uid="{00000000-0005-0000-0000-0000A4460000}"/>
    <cellStyle name="Explanatory Text 17 2" xfId="12755" xr:uid="{00000000-0005-0000-0000-0000A5460000}"/>
    <cellStyle name="Explanatory Text 17 3" xfId="12756" xr:uid="{00000000-0005-0000-0000-0000A6460000}"/>
    <cellStyle name="Explanatory Text 17 4" xfId="12757" xr:uid="{00000000-0005-0000-0000-0000A7460000}"/>
    <cellStyle name="Explanatory Text 17 5" xfId="12758" xr:uid="{00000000-0005-0000-0000-0000A8460000}"/>
    <cellStyle name="Explanatory Text 18" xfId="12759" xr:uid="{00000000-0005-0000-0000-0000A9460000}"/>
    <cellStyle name="Explanatory Text 18 2" xfId="12760" xr:uid="{00000000-0005-0000-0000-0000AA460000}"/>
    <cellStyle name="Explanatory Text 18 3" xfId="12761" xr:uid="{00000000-0005-0000-0000-0000AB460000}"/>
    <cellStyle name="Explanatory Text 18 4" xfId="12762" xr:uid="{00000000-0005-0000-0000-0000AC460000}"/>
    <cellStyle name="Explanatory Text 18 5" xfId="12763" xr:uid="{00000000-0005-0000-0000-0000AD460000}"/>
    <cellStyle name="Explanatory Text 19" xfId="12764" xr:uid="{00000000-0005-0000-0000-0000AE460000}"/>
    <cellStyle name="Explanatory Text 19 2" xfId="12765" xr:uid="{00000000-0005-0000-0000-0000AF460000}"/>
    <cellStyle name="Explanatory Text 19 3" xfId="12766" xr:uid="{00000000-0005-0000-0000-0000B0460000}"/>
    <cellStyle name="Explanatory Text 19 4" xfId="12767" xr:uid="{00000000-0005-0000-0000-0000B1460000}"/>
    <cellStyle name="Explanatory Text 19 5" xfId="12768" xr:uid="{00000000-0005-0000-0000-0000B2460000}"/>
    <cellStyle name="Explanatory Text 2" xfId="12769" xr:uid="{00000000-0005-0000-0000-0000B3460000}"/>
    <cellStyle name="Explanatory Text 2 2" xfId="28811" xr:uid="{00000000-0005-0000-0000-0000B4460000}"/>
    <cellStyle name="Explanatory Text 20" xfId="12770" xr:uid="{00000000-0005-0000-0000-0000B5460000}"/>
    <cellStyle name="Explanatory Text 20 2" xfId="12771" xr:uid="{00000000-0005-0000-0000-0000B6460000}"/>
    <cellStyle name="Explanatory Text 20 3" xfId="12772" xr:uid="{00000000-0005-0000-0000-0000B7460000}"/>
    <cellStyle name="Explanatory Text 20 4" xfId="12773" xr:uid="{00000000-0005-0000-0000-0000B8460000}"/>
    <cellStyle name="Explanatory Text 20 5" xfId="12774" xr:uid="{00000000-0005-0000-0000-0000B9460000}"/>
    <cellStyle name="Explanatory Text 21" xfId="12775" xr:uid="{00000000-0005-0000-0000-0000BA460000}"/>
    <cellStyle name="Explanatory Text 21 2" xfId="12776" xr:uid="{00000000-0005-0000-0000-0000BB460000}"/>
    <cellStyle name="Explanatory Text 21 3" xfId="12777" xr:uid="{00000000-0005-0000-0000-0000BC460000}"/>
    <cellStyle name="Explanatory Text 21 4" xfId="12778" xr:uid="{00000000-0005-0000-0000-0000BD460000}"/>
    <cellStyle name="Explanatory Text 21 5" xfId="12779" xr:uid="{00000000-0005-0000-0000-0000BE460000}"/>
    <cellStyle name="Explanatory Text 22" xfId="12780" xr:uid="{00000000-0005-0000-0000-0000BF460000}"/>
    <cellStyle name="Explanatory Text 22 2" xfId="12781" xr:uid="{00000000-0005-0000-0000-0000C0460000}"/>
    <cellStyle name="Explanatory Text 22 3" xfId="12782" xr:uid="{00000000-0005-0000-0000-0000C1460000}"/>
    <cellStyle name="Explanatory Text 22 4" xfId="12783" xr:uid="{00000000-0005-0000-0000-0000C2460000}"/>
    <cellStyle name="Explanatory Text 22 5" xfId="12784" xr:uid="{00000000-0005-0000-0000-0000C3460000}"/>
    <cellStyle name="Explanatory Text 23" xfId="12785" xr:uid="{00000000-0005-0000-0000-0000C4460000}"/>
    <cellStyle name="Explanatory Text 24" xfId="12786" xr:uid="{00000000-0005-0000-0000-0000C5460000}"/>
    <cellStyle name="Explanatory Text 25" xfId="12787" xr:uid="{00000000-0005-0000-0000-0000C6460000}"/>
    <cellStyle name="Explanatory Text 26" xfId="12788" xr:uid="{00000000-0005-0000-0000-0000C7460000}"/>
    <cellStyle name="Explanatory Text 3" xfId="12789" xr:uid="{00000000-0005-0000-0000-0000C8460000}"/>
    <cellStyle name="Explanatory Text 4" xfId="12790" xr:uid="{00000000-0005-0000-0000-0000C9460000}"/>
    <cellStyle name="Explanatory Text 5" xfId="12791" xr:uid="{00000000-0005-0000-0000-0000CA460000}"/>
    <cellStyle name="Explanatory Text 6" xfId="12792" xr:uid="{00000000-0005-0000-0000-0000CB460000}"/>
    <cellStyle name="Explanatory Text 7" xfId="12793" xr:uid="{00000000-0005-0000-0000-0000CC460000}"/>
    <cellStyle name="Explanatory Text 8" xfId="12794" xr:uid="{00000000-0005-0000-0000-0000CD460000}"/>
    <cellStyle name="Explanatory Text 9" xfId="12795" xr:uid="{00000000-0005-0000-0000-0000CE460000}"/>
    <cellStyle name="Formula" xfId="12796" xr:uid="{00000000-0005-0000-0000-0000CF460000}"/>
    <cellStyle name="Good 10" xfId="12797" xr:uid="{00000000-0005-0000-0000-0000D0460000}"/>
    <cellStyle name="Good 11" xfId="12798" xr:uid="{00000000-0005-0000-0000-0000D1460000}"/>
    <cellStyle name="Good 12" xfId="12799" xr:uid="{00000000-0005-0000-0000-0000D2460000}"/>
    <cellStyle name="Good 13" xfId="12800" xr:uid="{00000000-0005-0000-0000-0000D3460000}"/>
    <cellStyle name="Good 14" xfId="12801" xr:uid="{00000000-0005-0000-0000-0000D4460000}"/>
    <cellStyle name="Good 15" xfId="12802" xr:uid="{00000000-0005-0000-0000-0000D5460000}"/>
    <cellStyle name="Good 16" xfId="12803" xr:uid="{00000000-0005-0000-0000-0000D6460000}"/>
    <cellStyle name="Good 17" xfId="12804" xr:uid="{00000000-0005-0000-0000-0000D7460000}"/>
    <cellStyle name="Good 17 2" xfId="12805" xr:uid="{00000000-0005-0000-0000-0000D8460000}"/>
    <cellStyle name="Good 17 3" xfId="12806" xr:uid="{00000000-0005-0000-0000-0000D9460000}"/>
    <cellStyle name="Good 17 4" xfId="12807" xr:uid="{00000000-0005-0000-0000-0000DA460000}"/>
    <cellStyle name="Good 17 5" xfId="12808" xr:uid="{00000000-0005-0000-0000-0000DB460000}"/>
    <cellStyle name="Good 18" xfId="12809" xr:uid="{00000000-0005-0000-0000-0000DC460000}"/>
    <cellStyle name="Good 18 2" xfId="12810" xr:uid="{00000000-0005-0000-0000-0000DD460000}"/>
    <cellStyle name="Good 18 3" xfId="12811" xr:uid="{00000000-0005-0000-0000-0000DE460000}"/>
    <cellStyle name="Good 18 4" xfId="12812" xr:uid="{00000000-0005-0000-0000-0000DF460000}"/>
    <cellStyle name="Good 18 5" xfId="12813" xr:uid="{00000000-0005-0000-0000-0000E0460000}"/>
    <cellStyle name="Good 19" xfId="12814" xr:uid="{00000000-0005-0000-0000-0000E1460000}"/>
    <cellStyle name="Good 19 2" xfId="12815" xr:uid="{00000000-0005-0000-0000-0000E2460000}"/>
    <cellStyle name="Good 19 3" xfId="12816" xr:uid="{00000000-0005-0000-0000-0000E3460000}"/>
    <cellStyle name="Good 19 4" xfId="12817" xr:uid="{00000000-0005-0000-0000-0000E4460000}"/>
    <cellStyle name="Good 19 5" xfId="12818" xr:uid="{00000000-0005-0000-0000-0000E5460000}"/>
    <cellStyle name="Good 2" xfId="12819" xr:uid="{00000000-0005-0000-0000-0000E6460000}"/>
    <cellStyle name="Good 2 2" xfId="12820" xr:uid="{00000000-0005-0000-0000-0000E7460000}"/>
    <cellStyle name="Good 2 3" xfId="28812" xr:uid="{00000000-0005-0000-0000-0000E8460000}"/>
    <cellStyle name="Good 20" xfId="12821" xr:uid="{00000000-0005-0000-0000-0000E9460000}"/>
    <cellStyle name="Good 20 2" xfId="12822" xr:uid="{00000000-0005-0000-0000-0000EA460000}"/>
    <cellStyle name="Good 20 3" xfId="12823" xr:uid="{00000000-0005-0000-0000-0000EB460000}"/>
    <cellStyle name="Good 20 4" xfId="12824" xr:uid="{00000000-0005-0000-0000-0000EC460000}"/>
    <cellStyle name="Good 20 5" xfId="12825" xr:uid="{00000000-0005-0000-0000-0000ED460000}"/>
    <cellStyle name="Good 21" xfId="12826" xr:uid="{00000000-0005-0000-0000-0000EE460000}"/>
    <cellStyle name="Good 21 2" xfId="12827" xr:uid="{00000000-0005-0000-0000-0000EF460000}"/>
    <cellStyle name="Good 21 3" xfId="12828" xr:uid="{00000000-0005-0000-0000-0000F0460000}"/>
    <cellStyle name="Good 21 4" xfId="12829" xr:uid="{00000000-0005-0000-0000-0000F1460000}"/>
    <cellStyle name="Good 21 5" xfId="12830" xr:uid="{00000000-0005-0000-0000-0000F2460000}"/>
    <cellStyle name="Good 22" xfId="12831" xr:uid="{00000000-0005-0000-0000-0000F3460000}"/>
    <cellStyle name="Good 22 2" xfId="12832" xr:uid="{00000000-0005-0000-0000-0000F4460000}"/>
    <cellStyle name="Good 22 3" xfId="12833" xr:uid="{00000000-0005-0000-0000-0000F5460000}"/>
    <cellStyle name="Good 22 4" xfId="12834" xr:uid="{00000000-0005-0000-0000-0000F6460000}"/>
    <cellStyle name="Good 22 5" xfId="12835" xr:uid="{00000000-0005-0000-0000-0000F7460000}"/>
    <cellStyle name="Good 23" xfId="12836" xr:uid="{00000000-0005-0000-0000-0000F8460000}"/>
    <cellStyle name="Good 24" xfId="12837" xr:uid="{00000000-0005-0000-0000-0000F9460000}"/>
    <cellStyle name="Good 25" xfId="12838" xr:uid="{00000000-0005-0000-0000-0000FA460000}"/>
    <cellStyle name="Good 26" xfId="12839" xr:uid="{00000000-0005-0000-0000-0000FB460000}"/>
    <cellStyle name="Good 3" xfId="12840" xr:uid="{00000000-0005-0000-0000-0000FC460000}"/>
    <cellStyle name="Good 4" xfId="12841" xr:uid="{00000000-0005-0000-0000-0000FD460000}"/>
    <cellStyle name="Good 5" xfId="12842" xr:uid="{00000000-0005-0000-0000-0000FE460000}"/>
    <cellStyle name="Good 6" xfId="12843" xr:uid="{00000000-0005-0000-0000-0000FF460000}"/>
    <cellStyle name="Good 7" xfId="12844" xr:uid="{00000000-0005-0000-0000-000000470000}"/>
    <cellStyle name="Good 8" xfId="12845" xr:uid="{00000000-0005-0000-0000-000001470000}"/>
    <cellStyle name="Good 9" xfId="12846" xr:uid="{00000000-0005-0000-0000-000002470000}"/>
    <cellStyle name="Heading 1 10" xfId="12847" xr:uid="{00000000-0005-0000-0000-000003470000}"/>
    <cellStyle name="Heading 1 11" xfId="12848" xr:uid="{00000000-0005-0000-0000-000004470000}"/>
    <cellStyle name="Heading 1 12" xfId="12849" xr:uid="{00000000-0005-0000-0000-000005470000}"/>
    <cellStyle name="Heading 1 13" xfId="12850" xr:uid="{00000000-0005-0000-0000-000006470000}"/>
    <cellStyle name="Heading 1 14" xfId="12851" xr:uid="{00000000-0005-0000-0000-000007470000}"/>
    <cellStyle name="Heading 1 15" xfId="12852" xr:uid="{00000000-0005-0000-0000-000008470000}"/>
    <cellStyle name="Heading 1 16" xfId="12853" xr:uid="{00000000-0005-0000-0000-000009470000}"/>
    <cellStyle name="Heading 1 17" xfId="12854" xr:uid="{00000000-0005-0000-0000-00000A470000}"/>
    <cellStyle name="Heading 1 17 2" xfId="12855" xr:uid="{00000000-0005-0000-0000-00000B470000}"/>
    <cellStyle name="Heading 1 17 3" xfId="12856" xr:uid="{00000000-0005-0000-0000-00000C470000}"/>
    <cellStyle name="Heading 1 17 4" xfId="12857" xr:uid="{00000000-0005-0000-0000-00000D470000}"/>
    <cellStyle name="Heading 1 17 5" xfId="12858" xr:uid="{00000000-0005-0000-0000-00000E470000}"/>
    <cellStyle name="Heading 1 18" xfId="12859" xr:uid="{00000000-0005-0000-0000-00000F470000}"/>
    <cellStyle name="Heading 1 18 2" xfId="12860" xr:uid="{00000000-0005-0000-0000-000010470000}"/>
    <cellStyle name="Heading 1 18 3" xfId="12861" xr:uid="{00000000-0005-0000-0000-000011470000}"/>
    <cellStyle name="Heading 1 18 4" xfId="12862" xr:uid="{00000000-0005-0000-0000-000012470000}"/>
    <cellStyle name="Heading 1 18 5" xfId="12863" xr:uid="{00000000-0005-0000-0000-000013470000}"/>
    <cellStyle name="Heading 1 19" xfId="12864" xr:uid="{00000000-0005-0000-0000-000014470000}"/>
    <cellStyle name="Heading 1 19 2" xfId="12865" xr:uid="{00000000-0005-0000-0000-000015470000}"/>
    <cellStyle name="Heading 1 19 3" xfId="12866" xr:uid="{00000000-0005-0000-0000-000016470000}"/>
    <cellStyle name="Heading 1 19 4" xfId="12867" xr:uid="{00000000-0005-0000-0000-000017470000}"/>
    <cellStyle name="Heading 1 19 5" xfId="12868" xr:uid="{00000000-0005-0000-0000-000018470000}"/>
    <cellStyle name="Heading 1 2" xfId="12869" xr:uid="{00000000-0005-0000-0000-000019470000}"/>
    <cellStyle name="Heading 1 2 2" xfId="12870" xr:uid="{00000000-0005-0000-0000-00001A470000}"/>
    <cellStyle name="Heading 1 2 3" xfId="28813" xr:uid="{00000000-0005-0000-0000-00001B470000}"/>
    <cellStyle name="Heading 1 20" xfId="12871" xr:uid="{00000000-0005-0000-0000-00001C470000}"/>
    <cellStyle name="Heading 1 20 2" xfId="12872" xr:uid="{00000000-0005-0000-0000-00001D470000}"/>
    <cellStyle name="Heading 1 20 3" xfId="12873" xr:uid="{00000000-0005-0000-0000-00001E470000}"/>
    <cellStyle name="Heading 1 20 4" xfId="12874" xr:uid="{00000000-0005-0000-0000-00001F470000}"/>
    <cellStyle name="Heading 1 20 5" xfId="12875" xr:uid="{00000000-0005-0000-0000-000020470000}"/>
    <cellStyle name="Heading 1 21" xfId="12876" xr:uid="{00000000-0005-0000-0000-000021470000}"/>
    <cellStyle name="Heading 1 21 2" xfId="12877" xr:uid="{00000000-0005-0000-0000-000022470000}"/>
    <cellStyle name="Heading 1 21 3" xfId="12878" xr:uid="{00000000-0005-0000-0000-000023470000}"/>
    <cellStyle name="Heading 1 21 4" xfId="12879" xr:uid="{00000000-0005-0000-0000-000024470000}"/>
    <cellStyle name="Heading 1 21 5" xfId="12880" xr:uid="{00000000-0005-0000-0000-000025470000}"/>
    <cellStyle name="Heading 1 22" xfId="12881" xr:uid="{00000000-0005-0000-0000-000026470000}"/>
    <cellStyle name="Heading 1 22 2" xfId="12882" xr:uid="{00000000-0005-0000-0000-000027470000}"/>
    <cellStyle name="Heading 1 22 3" xfId="12883" xr:uid="{00000000-0005-0000-0000-000028470000}"/>
    <cellStyle name="Heading 1 22 4" xfId="12884" xr:uid="{00000000-0005-0000-0000-000029470000}"/>
    <cellStyle name="Heading 1 22 5" xfId="12885" xr:uid="{00000000-0005-0000-0000-00002A470000}"/>
    <cellStyle name="Heading 1 23" xfId="12886" xr:uid="{00000000-0005-0000-0000-00002B470000}"/>
    <cellStyle name="Heading 1 24" xfId="12887" xr:uid="{00000000-0005-0000-0000-00002C470000}"/>
    <cellStyle name="Heading 1 25" xfId="12888" xr:uid="{00000000-0005-0000-0000-00002D470000}"/>
    <cellStyle name="Heading 1 26" xfId="12889" xr:uid="{00000000-0005-0000-0000-00002E470000}"/>
    <cellStyle name="Heading 1 3" xfId="12890" xr:uid="{00000000-0005-0000-0000-00002F470000}"/>
    <cellStyle name="Heading 1 4" xfId="12891" xr:uid="{00000000-0005-0000-0000-000030470000}"/>
    <cellStyle name="Heading 1 5" xfId="12892" xr:uid="{00000000-0005-0000-0000-000031470000}"/>
    <cellStyle name="Heading 1 6" xfId="12893" xr:uid="{00000000-0005-0000-0000-000032470000}"/>
    <cellStyle name="Heading 1 7" xfId="12894" xr:uid="{00000000-0005-0000-0000-000033470000}"/>
    <cellStyle name="Heading 1 8" xfId="12895" xr:uid="{00000000-0005-0000-0000-000034470000}"/>
    <cellStyle name="Heading 1 9" xfId="12896" xr:uid="{00000000-0005-0000-0000-000035470000}"/>
    <cellStyle name="Heading 2 10" xfId="12897" xr:uid="{00000000-0005-0000-0000-000036470000}"/>
    <cellStyle name="Heading 2 11" xfId="12898" xr:uid="{00000000-0005-0000-0000-000037470000}"/>
    <cellStyle name="Heading 2 12" xfId="12899" xr:uid="{00000000-0005-0000-0000-000038470000}"/>
    <cellStyle name="Heading 2 13" xfId="12900" xr:uid="{00000000-0005-0000-0000-000039470000}"/>
    <cellStyle name="Heading 2 14" xfId="12901" xr:uid="{00000000-0005-0000-0000-00003A470000}"/>
    <cellStyle name="Heading 2 15" xfId="12902" xr:uid="{00000000-0005-0000-0000-00003B470000}"/>
    <cellStyle name="Heading 2 16" xfId="12903" xr:uid="{00000000-0005-0000-0000-00003C470000}"/>
    <cellStyle name="Heading 2 17" xfId="12904" xr:uid="{00000000-0005-0000-0000-00003D470000}"/>
    <cellStyle name="Heading 2 17 2" xfId="12905" xr:uid="{00000000-0005-0000-0000-00003E470000}"/>
    <cellStyle name="Heading 2 17 3" xfId="12906" xr:uid="{00000000-0005-0000-0000-00003F470000}"/>
    <cellStyle name="Heading 2 17 4" xfId="12907" xr:uid="{00000000-0005-0000-0000-000040470000}"/>
    <cellStyle name="Heading 2 17 5" xfId="12908" xr:uid="{00000000-0005-0000-0000-000041470000}"/>
    <cellStyle name="Heading 2 18" xfId="12909" xr:uid="{00000000-0005-0000-0000-000042470000}"/>
    <cellStyle name="Heading 2 18 2" xfId="12910" xr:uid="{00000000-0005-0000-0000-000043470000}"/>
    <cellStyle name="Heading 2 18 3" xfId="12911" xr:uid="{00000000-0005-0000-0000-000044470000}"/>
    <cellStyle name="Heading 2 18 4" xfId="12912" xr:uid="{00000000-0005-0000-0000-000045470000}"/>
    <cellStyle name="Heading 2 18 5" xfId="12913" xr:uid="{00000000-0005-0000-0000-000046470000}"/>
    <cellStyle name="Heading 2 19" xfId="12914" xr:uid="{00000000-0005-0000-0000-000047470000}"/>
    <cellStyle name="Heading 2 19 2" xfId="12915" xr:uid="{00000000-0005-0000-0000-000048470000}"/>
    <cellStyle name="Heading 2 19 3" xfId="12916" xr:uid="{00000000-0005-0000-0000-000049470000}"/>
    <cellStyle name="Heading 2 19 4" xfId="12917" xr:uid="{00000000-0005-0000-0000-00004A470000}"/>
    <cellStyle name="Heading 2 19 5" xfId="12918" xr:uid="{00000000-0005-0000-0000-00004B470000}"/>
    <cellStyle name="Heading 2 2" xfId="12919" xr:uid="{00000000-0005-0000-0000-00004C470000}"/>
    <cellStyle name="Heading 2 2 2" xfId="12920" xr:uid="{00000000-0005-0000-0000-00004D470000}"/>
    <cellStyle name="Heading 2 2 3" xfId="28814" xr:uid="{00000000-0005-0000-0000-00004E470000}"/>
    <cellStyle name="Heading 2 20" xfId="12921" xr:uid="{00000000-0005-0000-0000-00004F470000}"/>
    <cellStyle name="Heading 2 20 2" xfId="12922" xr:uid="{00000000-0005-0000-0000-000050470000}"/>
    <cellStyle name="Heading 2 20 3" xfId="12923" xr:uid="{00000000-0005-0000-0000-000051470000}"/>
    <cellStyle name="Heading 2 20 4" xfId="12924" xr:uid="{00000000-0005-0000-0000-000052470000}"/>
    <cellStyle name="Heading 2 20 5" xfId="12925" xr:uid="{00000000-0005-0000-0000-000053470000}"/>
    <cellStyle name="Heading 2 21" xfId="12926" xr:uid="{00000000-0005-0000-0000-000054470000}"/>
    <cellStyle name="Heading 2 21 2" xfId="12927" xr:uid="{00000000-0005-0000-0000-000055470000}"/>
    <cellStyle name="Heading 2 21 3" xfId="12928" xr:uid="{00000000-0005-0000-0000-000056470000}"/>
    <cellStyle name="Heading 2 21 4" xfId="12929" xr:uid="{00000000-0005-0000-0000-000057470000}"/>
    <cellStyle name="Heading 2 21 5" xfId="12930" xr:uid="{00000000-0005-0000-0000-000058470000}"/>
    <cellStyle name="Heading 2 22" xfId="12931" xr:uid="{00000000-0005-0000-0000-000059470000}"/>
    <cellStyle name="Heading 2 22 2" xfId="12932" xr:uid="{00000000-0005-0000-0000-00005A470000}"/>
    <cellStyle name="Heading 2 22 3" xfId="12933" xr:uid="{00000000-0005-0000-0000-00005B470000}"/>
    <cellStyle name="Heading 2 22 4" xfId="12934" xr:uid="{00000000-0005-0000-0000-00005C470000}"/>
    <cellStyle name="Heading 2 22 5" xfId="12935" xr:uid="{00000000-0005-0000-0000-00005D470000}"/>
    <cellStyle name="Heading 2 23" xfId="12936" xr:uid="{00000000-0005-0000-0000-00005E470000}"/>
    <cellStyle name="Heading 2 24" xfId="12937" xr:uid="{00000000-0005-0000-0000-00005F470000}"/>
    <cellStyle name="Heading 2 25" xfId="12938" xr:uid="{00000000-0005-0000-0000-000060470000}"/>
    <cellStyle name="Heading 2 26" xfId="12939" xr:uid="{00000000-0005-0000-0000-000061470000}"/>
    <cellStyle name="Heading 2 3" xfId="12940" xr:uid="{00000000-0005-0000-0000-000062470000}"/>
    <cellStyle name="Heading 2 4" xfId="12941" xr:uid="{00000000-0005-0000-0000-000063470000}"/>
    <cellStyle name="Heading 2 5" xfId="12942" xr:uid="{00000000-0005-0000-0000-000064470000}"/>
    <cellStyle name="Heading 2 6" xfId="12943" xr:uid="{00000000-0005-0000-0000-000065470000}"/>
    <cellStyle name="Heading 2 7" xfId="12944" xr:uid="{00000000-0005-0000-0000-000066470000}"/>
    <cellStyle name="Heading 2 8" xfId="12945" xr:uid="{00000000-0005-0000-0000-000067470000}"/>
    <cellStyle name="Heading 2 9" xfId="12946" xr:uid="{00000000-0005-0000-0000-000068470000}"/>
    <cellStyle name="Heading 3 10" xfId="12947" xr:uid="{00000000-0005-0000-0000-000069470000}"/>
    <cellStyle name="Heading 3 11" xfId="12948" xr:uid="{00000000-0005-0000-0000-00006A470000}"/>
    <cellStyle name="Heading 3 12" xfId="12949" xr:uid="{00000000-0005-0000-0000-00006B470000}"/>
    <cellStyle name="Heading 3 13" xfId="12950" xr:uid="{00000000-0005-0000-0000-00006C470000}"/>
    <cellStyle name="Heading 3 14" xfId="12951" xr:uid="{00000000-0005-0000-0000-00006D470000}"/>
    <cellStyle name="Heading 3 15" xfId="12952" xr:uid="{00000000-0005-0000-0000-00006E470000}"/>
    <cellStyle name="Heading 3 16" xfId="12953" xr:uid="{00000000-0005-0000-0000-00006F470000}"/>
    <cellStyle name="Heading 3 17" xfId="12954" xr:uid="{00000000-0005-0000-0000-000070470000}"/>
    <cellStyle name="Heading 3 17 2" xfId="12955" xr:uid="{00000000-0005-0000-0000-000071470000}"/>
    <cellStyle name="Heading 3 17 3" xfId="12956" xr:uid="{00000000-0005-0000-0000-000072470000}"/>
    <cellStyle name="Heading 3 17 4" xfId="12957" xr:uid="{00000000-0005-0000-0000-000073470000}"/>
    <cellStyle name="Heading 3 17 5" xfId="12958" xr:uid="{00000000-0005-0000-0000-000074470000}"/>
    <cellStyle name="Heading 3 18" xfId="12959" xr:uid="{00000000-0005-0000-0000-000075470000}"/>
    <cellStyle name="Heading 3 18 2" xfId="12960" xr:uid="{00000000-0005-0000-0000-000076470000}"/>
    <cellStyle name="Heading 3 18 3" xfId="12961" xr:uid="{00000000-0005-0000-0000-000077470000}"/>
    <cellStyle name="Heading 3 18 4" xfId="12962" xr:uid="{00000000-0005-0000-0000-000078470000}"/>
    <cellStyle name="Heading 3 18 5" xfId="12963" xr:uid="{00000000-0005-0000-0000-000079470000}"/>
    <cellStyle name="Heading 3 19" xfId="12964" xr:uid="{00000000-0005-0000-0000-00007A470000}"/>
    <cellStyle name="Heading 3 19 2" xfId="12965" xr:uid="{00000000-0005-0000-0000-00007B470000}"/>
    <cellStyle name="Heading 3 19 3" xfId="12966" xr:uid="{00000000-0005-0000-0000-00007C470000}"/>
    <cellStyle name="Heading 3 19 4" xfId="12967" xr:uid="{00000000-0005-0000-0000-00007D470000}"/>
    <cellStyle name="Heading 3 19 5" xfId="12968" xr:uid="{00000000-0005-0000-0000-00007E470000}"/>
    <cellStyle name="Heading 3 2" xfId="12969" xr:uid="{00000000-0005-0000-0000-00007F470000}"/>
    <cellStyle name="Heading 3 2 2" xfId="12970" xr:uid="{00000000-0005-0000-0000-000080470000}"/>
    <cellStyle name="Heading 3 2 3" xfId="28815" xr:uid="{00000000-0005-0000-0000-000081470000}"/>
    <cellStyle name="Heading 3 20" xfId="12971" xr:uid="{00000000-0005-0000-0000-000082470000}"/>
    <cellStyle name="Heading 3 20 2" xfId="12972" xr:uid="{00000000-0005-0000-0000-000083470000}"/>
    <cellStyle name="Heading 3 20 3" xfId="12973" xr:uid="{00000000-0005-0000-0000-000084470000}"/>
    <cellStyle name="Heading 3 20 4" xfId="12974" xr:uid="{00000000-0005-0000-0000-000085470000}"/>
    <cellStyle name="Heading 3 20 5" xfId="12975" xr:uid="{00000000-0005-0000-0000-000086470000}"/>
    <cellStyle name="Heading 3 21" xfId="12976" xr:uid="{00000000-0005-0000-0000-000087470000}"/>
    <cellStyle name="Heading 3 21 2" xfId="12977" xr:uid="{00000000-0005-0000-0000-000088470000}"/>
    <cellStyle name="Heading 3 21 3" xfId="12978" xr:uid="{00000000-0005-0000-0000-000089470000}"/>
    <cellStyle name="Heading 3 21 4" xfId="12979" xr:uid="{00000000-0005-0000-0000-00008A470000}"/>
    <cellStyle name="Heading 3 21 5" xfId="12980" xr:uid="{00000000-0005-0000-0000-00008B470000}"/>
    <cellStyle name="Heading 3 22" xfId="12981" xr:uid="{00000000-0005-0000-0000-00008C470000}"/>
    <cellStyle name="Heading 3 22 2" xfId="12982" xr:uid="{00000000-0005-0000-0000-00008D470000}"/>
    <cellStyle name="Heading 3 22 3" xfId="12983" xr:uid="{00000000-0005-0000-0000-00008E470000}"/>
    <cellStyle name="Heading 3 22 4" xfId="12984" xr:uid="{00000000-0005-0000-0000-00008F470000}"/>
    <cellStyle name="Heading 3 22 5" xfId="12985" xr:uid="{00000000-0005-0000-0000-000090470000}"/>
    <cellStyle name="Heading 3 23" xfId="12986" xr:uid="{00000000-0005-0000-0000-000091470000}"/>
    <cellStyle name="Heading 3 24" xfId="12987" xr:uid="{00000000-0005-0000-0000-000092470000}"/>
    <cellStyle name="Heading 3 25" xfId="12988" xr:uid="{00000000-0005-0000-0000-000093470000}"/>
    <cellStyle name="Heading 3 26" xfId="12989" xr:uid="{00000000-0005-0000-0000-000094470000}"/>
    <cellStyle name="Heading 3 3" xfId="12990" xr:uid="{00000000-0005-0000-0000-000095470000}"/>
    <cellStyle name="Heading 3 4" xfId="12991" xr:uid="{00000000-0005-0000-0000-000096470000}"/>
    <cellStyle name="Heading 3 5" xfId="12992" xr:uid="{00000000-0005-0000-0000-000097470000}"/>
    <cellStyle name="Heading 3 6" xfId="12993" xr:uid="{00000000-0005-0000-0000-000098470000}"/>
    <cellStyle name="Heading 3 7" xfId="12994" xr:uid="{00000000-0005-0000-0000-000099470000}"/>
    <cellStyle name="Heading 3 8" xfId="12995" xr:uid="{00000000-0005-0000-0000-00009A470000}"/>
    <cellStyle name="Heading 3 9" xfId="12996" xr:uid="{00000000-0005-0000-0000-00009B470000}"/>
    <cellStyle name="Heading 4 10" xfId="12997" xr:uid="{00000000-0005-0000-0000-00009C470000}"/>
    <cellStyle name="Heading 4 11" xfId="12998" xr:uid="{00000000-0005-0000-0000-00009D470000}"/>
    <cellStyle name="Heading 4 12" xfId="12999" xr:uid="{00000000-0005-0000-0000-00009E470000}"/>
    <cellStyle name="Heading 4 13" xfId="13000" xr:uid="{00000000-0005-0000-0000-00009F470000}"/>
    <cellStyle name="Heading 4 14" xfId="13001" xr:uid="{00000000-0005-0000-0000-0000A0470000}"/>
    <cellStyle name="Heading 4 15" xfId="13002" xr:uid="{00000000-0005-0000-0000-0000A1470000}"/>
    <cellStyle name="Heading 4 16" xfId="13003" xr:uid="{00000000-0005-0000-0000-0000A2470000}"/>
    <cellStyle name="Heading 4 17" xfId="13004" xr:uid="{00000000-0005-0000-0000-0000A3470000}"/>
    <cellStyle name="Heading 4 17 2" xfId="13005" xr:uid="{00000000-0005-0000-0000-0000A4470000}"/>
    <cellStyle name="Heading 4 17 3" xfId="13006" xr:uid="{00000000-0005-0000-0000-0000A5470000}"/>
    <cellStyle name="Heading 4 17 4" xfId="13007" xr:uid="{00000000-0005-0000-0000-0000A6470000}"/>
    <cellStyle name="Heading 4 17 5" xfId="13008" xr:uid="{00000000-0005-0000-0000-0000A7470000}"/>
    <cellStyle name="Heading 4 18" xfId="13009" xr:uid="{00000000-0005-0000-0000-0000A8470000}"/>
    <cellStyle name="Heading 4 18 2" xfId="13010" xr:uid="{00000000-0005-0000-0000-0000A9470000}"/>
    <cellStyle name="Heading 4 18 3" xfId="13011" xr:uid="{00000000-0005-0000-0000-0000AA470000}"/>
    <cellStyle name="Heading 4 18 4" xfId="13012" xr:uid="{00000000-0005-0000-0000-0000AB470000}"/>
    <cellStyle name="Heading 4 18 5" xfId="13013" xr:uid="{00000000-0005-0000-0000-0000AC470000}"/>
    <cellStyle name="Heading 4 19" xfId="13014" xr:uid="{00000000-0005-0000-0000-0000AD470000}"/>
    <cellStyle name="Heading 4 19 2" xfId="13015" xr:uid="{00000000-0005-0000-0000-0000AE470000}"/>
    <cellStyle name="Heading 4 19 3" xfId="13016" xr:uid="{00000000-0005-0000-0000-0000AF470000}"/>
    <cellStyle name="Heading 4 19 4" xfId="13017" xr:uid="{00000000-0005-0000-0000-0000B0470000}"/>
    <cellStyle name="Heading 4 19 5" xfId="13018" xr:uid="{00000000-0005-0000-0000-0000B1470000}"/>
    <cellStyle name="Heading 4 2" xfId="13019" xr:uid="{00000000-0005-0000-0000-0000B2470000}"/>
    <cellStyle name="Heading 4 2 2" xfId="13020" xr:uid="{00000000-0005-0000-0000-0000B3470000}"/>
    <cellStyle name="Heading 4 2 3" xfId="28816" xr:uid="{00000000-0005-0000-0000-0000B4470000}"/>
    <cellStyle name="Heading 4 20" xfId="13021" xr:uid="{00000000-0005-0000-0000-0000B5470000}"/>
    <cellStyle name="Heading 4 20 2" xfId="13022" xr:uid="{00000000-0005-0000-0000-0000B6470000}"/>
    <cellStyle name="Heading 4 20 3" xfId="13023" xr:uid="{00000000-0005-0000-0000-0000B7470000}"/>
    <cellStyle name="Heading 4 20 4" xfId="13024" xr:uid="{00000000-0005-0000-0000-0000B8470000}"/>
    <cellStyle name="Heading 4 20 5" xfId="13025" xr:uid="{00000000-0005-0000-0000-0000B9470000}"/>
    <cellStyle name="Heading 4 21" xfId="13026" xr:uid="{00000000-0005-0000-0000-0000BA470000}"/>
    <cellStyle name="Heading 4 21 2" xfId="13027" xr:uid="{00000000-0005-0000-0000-0000BB470000}"/>
    <cellStyle name="Heading 4 21 3" xfId="13028" xr:uid="{00000000-0005-0000-0000-0000BC470000}"/>
    <cellStyle name="Heading 4 21 4" xfId="13029" xr:uid="{00000000-0005-0000-0000-0000BD470000}"/>
    <cellStyle name="Heading 4 21 5" xfId="13030" xr:uid="{00000000-0005-0000-0000-0000BE470000}"/>
    <cellStyle name="Heading 4 22" xfId="13031" xr:uid="{00000000-0005-0000-0000-0000BF470000}"/>
    <cellStyle name="Heading 4 22 2" xfId="13032" xr:uid="{00000000-0005-0000-0000-0000C0470000}"/>
    <cellStyle name="Heading 4 22 3" xfId="13033" xr:uid="{00000000-0005-0000-0000-0000C1470000}"/>
    <cellStyle name="Heading 4 22 4" xfId="13034" xr:uid="{00000000-0005-0000-0000-0000C2470000}"/>
    <cellStyle name="Heading 4 22 5" xfId="13035" xr:uid="{00000000-0005-0000-0000-0000C3470000}"/>
    <cellStyle name="Heading 4 23" xfId="13036" xr:uid="{00000000-0005-0000-0000-0000C4470000}"/>
    <cellStyle name="Heading 4 24" xfId="13037" xr:uid="{00000000-0005-0000-0000-0000C5470000}"/>
    <cellStyle name="Heading 4 25" xfId="13038" xr:uid="{00000000-0005-0000-0000-0000C6470000}"/>
    <cellStyle name="Heading 4 26" xfId="13039" xr:uid="{00000000-0005-0000-0000-0000C7470000}"/>
    <cellStyle name="Heading 4 3" xfId="13040" xr:uid="{00000000-0005-0000-0000-0000C8470000}"/>
    <cellStyle name="Heading 4 4" xfId="13041" xr:uid="{00000000-0005-0000-0000-0000C9470000}"/>
    <cellStyle name="Heading 4 5" xfId="13042" xr:uid="{00000000-0005-0000-0000-0000CA470000}"/>
    <cellStyle name="Heading 4 6" xfId="13043" xr:uid="{00000000-0005-0000-0000-0000CB470000}"/>
    <cellStyle name="Heading 4 7" xfId="13044" xr:uid="{00000000-0005-0000-0000-0000CC470000}"/>
    <cellStyle name="Heading 4 8" xfId="13045" xr:uid="{00000000-0005-0000-0000-0000CD470000}"/>
    <cellStyle name="Heading 4 9" xfId="13046" xr:uid="{00000000-0005-0000-0000-0000CE470000}"/>
    <cellStyle name="Hyperlink" xfId="9" builtinId="8"/>
    <cellStyle name="Hyperlink 2" xfId="45" xr:uid="{00000000-0005-0000-0000-0000D0470000}"/>
    <cellStyle name="Hyperlink 2 10" xfId="13047" xr:uid="{00000000-0005-0000-0000-0000D1470000}"/>
    <cellStyle name="Hyperlink 2 11" xfId="13048" xr:uid="{00000000-0005-0000-0000-0000D2470000}"/>
    <cellStyle name="Hyperlink 2 11 2" xfId="28817" xr:uid="{00000000-0005-0000-0000-0000D3470000}"/>
    <cellStyle name="Hyperlink 2 2" xfId="13049" xr:uid="{00000000-0005-0000-0000-0000D4470000}"/>
    <cellStyle name="Hyperlink 2 2 2" xfId="13050" xr:uid="{00000000-0005-0000-0000-0000D5470000}"/>
    <cellStyle name="Hyperlink 2 2 2 2" xfId="13051" xr:uid="{00000000-0005-0000-0000-0000D6470000}"/>
    <cellStyle name="Hyperlink 2 2 2 3" xfId="13052" xr:uid="{00000000-0005-0000-0000-0000D7470000}"/>
    <cellStyle name="Hyperlink 2 2 2 4" xfId="13053" xr:uid="{00000000-0005-0000-0000-0000D8470000}"/>
    <cellStyle name="Hyperlink 2 2 2 5" xfId="13054" xr:uid="{00000000-0005-0000-0000-0000D9470000}"/>
    <cellStyle name="Hyperlink 2 2 3" xfId="13055" xr:uid="{00000000-0005-0000-0000-0000DA470000}"/>
    <cellStyle name="Hyperlink 2 2 4" xfId="13056" xr:uid="{00000000-0005-0000-0000-0000DB470000}"/>
    <cellStyle name="Hyperlink 2 2 5" xfId="13057" xr:uid="{00000000-0005-0000-0000-0000DC470000}"/>
    <cellStyle name="Hyperlink 2 3" xfId="13058" xr:uid="{00000000-0005-0000-0000-0000DD470000}"/>
    <cellStyle name="Hyperlink 2 4" xfId="13059" xr:uid="{00000000-0005-0000-0000-0000DE470000}"/>
    <cellStyle name="Hyperlink 2 5" xfId="13060" xr:uid="{00000000-0005-0000-0000-0000DF470000}"/>
    <cellStyle name="Hyperlink 2 6" xfId="13061" xr:uid="{00000000-0005-0000-0000-0000E0470000}"/>
    <cellStyle name="Hyperlink 2 7" xfId="13062" xr:uid="{00000000-0005-0000-0000-0000E1470000}"/>
    <cellStyle name="Hyperlink 2 8" xfId="13063" xr:uid="{00000000-0005-0000-0000-0000E2470000}"/>
    <cellStyle name="Hyperlink 2 9" xfId="13064" xr:uid="{00000000-0005-0000-0000-0000E3470000}"/>
    <cellStyle name="Hyperlink 3" xfId="13065" xr:uid="{00000000-0005-0000-0000-0000E4470000}"/>
    <cellStyle name="Hyperlink 3 2" xfId="37584" xr:uid="{00000000-0005-0000-0000-0000E5470000}"/>
    <cellStyle name="Hyperlink 4" xfId="13066" xr:uid="{00000000-0005-0000-0000-0000E6470000}"/>
    <cellStyle name="Hyperlink 4 2" xfId="13067" xr:uid="{00000000-0005-0000-0000-0000E7470000}"/>
    <cellStyle name="Input 10" xfId="13068" xr:uid="{00000000-0005-0000-0000-0000E8470000}"/>
    <cellStyle name="Input 10 10" xfId="13069" xr:uid="{00000000-0005-0000-0000-0000E9470000}"/>
    <cellStyle name="Input 10 10 2" xfId="13070" xr:uid="{00000000-0005-0000-0000-0000EA470000}"/>
    <cellStyle name="Input 10 10 3" xfId="28818" xr:uid="{00000000-0005-0000-0000-0000EB470000}"/>
    <cellStyle name="Input 10 10 4" xfId="28819" xr:uid="{00000000-0005-0000-0000-0000EC470000}"/>
    <cellStyle name="Input 10 11" xfId="13071" xr:uid="{00000000-0005-0000-0000-0000ED470000}"/>
    <cellStyle name="Input 10 11 2" xfId="13072" xr:uid="{00000000-0005-0000-0000-0000EE470000}"/>
    <cellStyle name="Input 10 11 3" xfId="28820" xr:uid="{00000000-0005-0000-0000-0000EF470000}"/>
    <cellStyle name="Input 10 11 4" xfId="28821" xr:uid="{00000000-0005-0000-0000-0000F0470000}"/>
    <cellStyle name="Input 10 12" xfId="13073" xr:uid="{00000000-0005-0000-0000-0000F1470000}"/>
    <cellStyle name="Input 10 13" xfId="28822" xr:uid="{00000000-0005-0000-0000-0000F2470000}"/>
    <cellStyle name="Input 10 14" xfId="28823" xr:uid="{00000000-0005-0000-0000-0000F3470000}"/>
    <cellStyle name="Input 10 2" xfId="13074" xr:uid="{00000000-0005-0000-0000-0000F4470000}"/>
    <cellStyle name="Input 10 2 10" xfId="28824" xr:uid="{00000000-0005-0000-0000-0000F5470000}"/>
    <cellStyle name="Input 10 2 2" xfId="13075" xr:uid="{00000000-0005-0000-0000-0000F6470000}"/>
    <cellStyle name="Input 10 2 2 2" xfId="13076" xr:uid="{00000000-0005-0000-0000-0000F7470000}"/>
    <cellStyle name="Input 10 2 2 3" xfId="28825" xr:uid="{00000000-0005-0000-0000-0000F8470000}"/>
    <cellStyle name="Input 10 2 2 4" xfId="28826" xr:uid="{00000000-0005-0000-0000-0000F9470000}"/>
    <cellStyle name="Input 10 2 3" xfId="13077" xr:uid="{00000000-0005-0000-0000-0000FA470000}"/>
    <cellStyle name="Input 10 2 3 2" xfId="13078" xr:uid="{00000000-0005-0000-0000-0000FB470000}"/>
    <cellStyle name="Input 10 2 3 3" xfId="28827" xr:uid="{00000000-0005-0000-0000-0000FC470000}"/>
    <cellStyle name="Input 10 2 3 4" xfId="28828" xr:uid="{00000000-0005-0000-0000-0000FD470000}"/>
    <cellStyle name="Input 10 2 4" xfId="13079" xr:uid="{00000000-0005-0000-0000-0000FE470000}"/>
    <cellStyle name="Input 10 2 4 2" xfId="13080" xr:uid="{00000000-0005-0000-0000-0000FF470000}"/>
    <cellStyle name="Input 10 2 4 3" xfId="28829" xr:uid="{00000000-0005-0000-0000-000000480000}"/>
    <cellStyle name="Input 10 2 4 4" xfId="28830" xr:uid="{00000000-0005-0000-0000-000001480000}"/>
    <cellStyle name="Input 10 2 5" xfId="13081" xr:uid="{00000000-0005-0000-0000-000002480000}"/>
    <cellStyle name="Input 10 2 5 2" xfId="13082" xr:uid="{00000000-0005-0000-0000-000003480000}"/>
    <cellStyle name="Input 10 2 5 3" xfId="28831" xr:uid="{00000000-0005-0000-0000-000004480000}"/>
    <cellStyle name="Input 10 2 5 4" xfId="28832" xr:uid="{00000000-0005-0000-0000-000005480000}"/>
    <cellStyle name="Input 10 2 6" xfId="13083" xr:uid="{00000000-0005-0000-0000-000006480000}"/>
    <cellStyle name="Input 10 2 6 2" xfId="13084" xr:uid="{00000000-0005-0000-0000-000007480000}"/>
    <cellStyle name="Input 10 2 6 3" xfId="28833" xr:uid="{00000000-0005-0000-0000-000008480000}"/>
    <cellStyle name="Input 10 2 6 4" xfId="28834" xr:uid="{00000000-0005-0000-0000-000009480000}"/>
    <cellStyle name="Input 10 2 7" xfId="13085" xr:uid="{00000000-0005-0000-0000-00000A480000}"/>
    <cellStyle name="Input 10 2 7 2" xfId="13086" xr:uid="{00000000-0005-0000-0000-00000B480000}"/>
    <cellStyle name="Input 10 2 7 3" xfId="28835" xr:uid="{00000000-0005-0000-0000-00000C480000}"/>
    <cellStyle name="Input 10 2 7 4" xfId="28836" xr:uid="{00000000-0005-0000-0000-00000D480000}"/>
    <cellStyle name="Input 10 2 8" xfId="13087" xr:uid="{00000000-0005-0000-0000-00000E480000}"/>
    <cellStyle name="Input 10 2 9" xfId="28837" xr:uid="{00000000-0005-0000-0000-00000F480000}"/>
    <cellStyle name="Input 10 3" xfId="13088" xr:uid="{00000000-0005-0000-0000-000010480000}"/>
    <cellStyle name="Input 10 3 10" xfId="28838" xr:uid="{00000000-0005-0000-0000-000011480000}"/>
    <cellStyle name="Input 10 3 2" xfId="13089" xr:uid="{00000000-0005-0000-0000-000012480000}"/>
    <cellStyle name="Input 10 3 2 2" xfId="13090" xr:uid="{00000000-0005-0000-0000-000013480000}"/>
    <cellStyle name="Input 10 3 2 3" xfId="28839" xr:uid="{00000000-0005-0000-0000-000014480000}"/>
    <cellStyle name="Input 10 3 2 4" xfId="28840" xr:uid="{00000000-0005-0000-0000-000015480000}"/>
    <cellStyle name="Input 10 3 3" xfId="13091" xr:uid="{00000000-0005-0000-0000-000016480000}"/>
    <cellStyle name="Input 10 3 3 2" xfId="13092" xr:uid="{00000000-0005-0000-0000-000017480000}"/>
    <cellStyle name="Input 10 3 3 3" xfId="28841" xr:uid="{00000000-0005-0000-0000-000018480000}"/>
    <cellStyle name="Input 10 3 3 4" xfId="28842" xr:uid="{00000000-0005-0000-0000-000019480000}"/>
    <cellStyle name="Input 10 3 4" xfId="13093" xr:uid="{00000000-0005-0000-0000-00001A480000}"/>
    <cellStyle name="Input 10 3 4 2" xfId="13094" xr:uid="{00000000-0005-0000-0000-00001B480000}"/>
    <cellStyle name="Input 10 3 4 3" xfId="28843" xr:uid="{00000000-0005-0000-0000-00001C480000}"/>
    <cellStyle name="Input 10 3 4 4" xfId="28844" xr:uid="{00000000-0005-0000-0000-00001D480000}"/>
    <cellStyle name="Input 10 3 5" xfId="13095" xr:uid="{00000000-0005-0000-0000-00001E480000}"/>
    <cellStyle name="Input 10 3 5 2" xfId="13096" xr:uid="{00000000-0005-0000-0000-00001F480000}"/>
    <cellStyle name="Input 10 3 5 3" xfId="28845" xr:uid="{00000000-0005-0000-0000-000020480000}"/>
    <cellStyle name="Input 10 3 5 4" xfId="28846" xr:uid="{00000000-0005-0000-0000-000021480000}"/>
    <cellStyle name="Input 10 3 6" xfId="13097" xr:uid="{00000000-0005-0000-0000-000022480000}"/>
    <cellStyle name="Input 10 3 6 2" xfId="13098" xr:uid="{00000000-0005-0000-0000-000023480000}"/>
    <cellStyle name="Input 10 3 6 3" xfId="28847" xr:uid="{00000000-0005-0000-0000-000024480000}"/>
    <cellStyle name="Input 10 3 6 4" xfId="28848" xr:uid="{00000000-0005-0000-0000-000025480000}"/>
    <cellStyle name="Input 10 3 7" xfId="13099" xr:uid="{00000000-0005-0000-0000-000026480000}"/>
    <cellStyle name="Input 10 3 7 2" xfId="13100" xr:uid="{00000000-0005-0000-0000-000027480000}"/>
    <cellStyle name="Input 10 3 7 3" xfId="28849" xr:uid="{00000000-0005-0000-0000-000028480000}"/>
    <cellStyle name="Input 10 3 7 4" xfId="28850" xr:uid="{00000000-0005-0000-0000-000029480000}"/>
    <cellStyle name="Input 10 3 8" xfId="13101" xr:uid="{00000000-0005-0000-0000-00002A480000}"/>
    <cellStyle name="Input 10 3 9" xfId="28851" xr:uid="{00000000-0005-0000-0000-00002B480000}"/>
    <cellStyle name="Input 10 4" xfId="13102" xr:uid="{00000000-0005-0000-0000-00002C480000}"/>
    <cellStyle name="Input 10 4 10" xfId="28852" xr:uid="{00000000-0005-0000-0000-00002D480000}"/>
    <cellStyle name="Input 10 4 2" xfId="13103" xr:uid="{00000000-0005-0000-0000-00002E480000}"/>
    <cellStyle name="Input 10 4 2 2" xfId="13104" xr:uid="{00000000-0005-0000-0000-00002F480000}"/>
    <cellStyle name="Input 10 4 2 3" xfId="28853" xr:uid="{00000000-0005-0000-0000-000030480000}"/>
    <cellStyle name="Input 10 4 2 4" xfId="28854" xr:uid="{00000000-0005-0000-0000-000031480000}"/>
    <cellStyle name="Input 10 4 3" xfId="13105" xr:uid="{00000000-0005-0000-0000-000032480000}"/>
    <cellStyle name="Input 10 4 3 2" xfId="13106" xr:uid="{00000000-0005-0000-0000-000033480000}"/>
    <cellStyle name="Input 10 4 3 3" xfId="28855" xr:uid="{00000000-0005-0000-0000-000034480000}"/>
    <cellStyle name="Input 10 4 3 4" xfId="28856" xr:uid="{00000000-0005-0000-0000-000035480000}"/>
    <cellStyle name="Input 10 4 4" xfId="13107" xr:uid="{00000000-0005-0000-0000-000036480000}"/>
    <cellStyle name="Input 10 4 4 2" xfId="13108" xr:uid="{00000000-0005-0000-0000-000037480000}"/>
    <cellStyle name="Input 10 4 4 3" xfId="28857" xr:uid="{00000000-0005-0000-0000-000038480000}"/>
    <cellStyle name="Input 10 4 4 4" xfId="28858" xr:uid="{00000000-0005-0000-0000-000039480000}"/>
    <cellStyle name="Input 10 4 5" xfId="13109" xr:uid="{00000000-0005-0000-0000-00003A480000}"/>
    <cellStyle name="Input 10 4 5 2" xfId="13110" xr:uid="{00000000-0005-0000-0000-00003B480000}"/>
    <cellStyle name="Input 10 4 5 3" xfId="28859" xr:uid="{00000000-0005-0000-0000-00003C480000}"/>
    <cellStyle name="Input 10 4 5 4" xfId="28860" xr:uid="{00000000-0005-0000-0000-00003D480000}"/>
    <cellStyle name="Input 10 4 6" xfId="13111" xr:uid="{00000000-0005-0000-0000-00003E480000}"/>
    <cellStyle name="Input 10 4 6 2" xfId="13112" xr:uid="{00000000-0005-0000-0000-00003F480000}"/>
    <cellStyle name="Input 10 4 6 3" xfId="28861" xr:uid="{00000000-0005-0000-0000-000040480000}"/>
    <cellStyle name="Input 10 4 6 4" xfId="28862" xr:uid="{00000000-0005-0000-0000-000041480000}"/>
    <cellStyle name="Input 10 4 7" xfId="13113" xr:uid="{00000000-0005-0000-0000-000042480000}"/>
    <cellStyle name="Input 10 4 7 2" xfId="13114" xr:uid="{00000000-0005-0000-0000-000043480000}"/>
    <cellStyle name="Input 10 4 7 3" xfId="28863" xr:uid="{00000000-0005-0000-0000-000044480000}"/>
    <cellStyle name="Input 10 4 7 4" xfId="28864" xr:uid="{00000000-0005-0000-0000-000045480000}"/>
    <cellStyle name="Input 10 4 8" xfId="13115" xr:uid="{00000000-0005-0000-0000-000046480000}"/>
    <cellStyle name="Input 10 4 9" xfId="28865" xr:uid="{00000000-0005-0000-0000-000047480000}"/>
    <cellStyle name="Input 10 5" xfId="13116" xr:uid="{00000000-0005-0000-0000-000048480000}"/>
    <cellStyle name="Input 10 5 10" xfId="28866" xr:uid="{00000000-0005-0000-0000-000049480000}"/>
    <cellStyle name="Input 10 5 2" xfId="13117" xr:uid="{00000000-0005-0000-0000-00004A480000}"/>
    <cellStyle name="Input 10 5 2 2" xfId="13118" xr:uid="{00000000-0005-0000-0000-00004B480000}"/>
    <cellStyle name="Input 10 5 2 3" xfId="28867" xr:uid="{00000000-0005-0000-0000-00004C480000}"/>
    <cellStyle name="Input 10 5 2 4" xfId="28868" xr:uid="{00000000-0005-0000-0000-00004D480000}"/>
    <cellStyle name="Input 10 5 3" xfId="13119" xr:uid="{00000000-0005-0000-0000-00004E480000}"/>
    <cellStyle name="Input 10 5 3 2" xfId="13120" xr:uid="{00000000-0005-0000-0000-00004F480000}"/>
    <cellStyle name="Input 10 5 3 3" xfId="28869" xr:uid="{00000000-0005-0000-0000-000050480000}"/>
    <cellStyle name="Input 10 5 3 4" xfId="28870" xr:uid="{00000000-0005-0000-0000-000051480000}"/>
    <cellStyle name="Input 10 5 4" xfId="13121" xr:uid="{00000000-0005-0000-0000-000052480000}"/>
    <cellStyle name="Input 10 5 4 2" xfId="13122" xr:uid="{00000000-0005-0000-0000-000053480000}"/>
    <cellStyle name="Input 10 5 4 3" xfId="28871" xr:uid="{00000000-0005-0000-0000-000054480000}"/>
    <cellStyle name="Input 10 5 4 4" xfId="28872" xr:uid="{00000000-0005-0000-0000-000055480000}"/>
    <cellStyle name="Input 10 5 5" xfId="13123" xr:uid="{00000000-0005-0000-0000-000056480000}"/>
    <cellStyle name="Input 10 5 5 2" xfId="13124" xr:uid="{00000000-0005-0000-0000-000057480000}"/>
    <cellStyle name="Input 10 5 5 3" xfId="28873" xr:uid="{00000000-0005-0000-0000-000058480000}"/>
    <cellStyle name="Input 10 5 5 4" xfId="28874" xr:uid="{00000000-0005-0000-0000-000059480000}"/>
    <cellStyle name="Input 10 5 6" xfId="13125" xr:uid="{00000000-0005-0000-0000-00005A480000}"/>
    <cellStyle name="Input 10 5 6 2" xfId="13126" xr:uid="{00000000-0005-0000-0000-00005B480000}"/>
    <cellStyle name="Input 10 5 6 3" xfId="28875" xr:uid="{00000000-0005-0000-0000-00005C480000}"/>
    <cellStyle name="Input 10 5 6 4" xfId="28876" xr:uid="{00000000-0005-0000-0000-00005D480000}"/>
    <cellStyle name="Input 10 5 7" xfId="13127" xr:uid="{00000000-0005-0000-0000-00005E480000}"/>
    <cellStyle name="Input 10 5 7 2" xfId="13128" xr:uid="{00000000-0005-0000-0000-00005F480000}"/>
    <cellStyle name="Input 10 5 7 3" xfId="28877" xr:uid="{00000000-0005-0000-0000-000060480000}"/>
    <cellStyle name="Input 10 5 7 4" xfId="28878" xr:uid="{00000000-0005-0000-0000-000061480000}"/>
    <cellStyle name="Input 10 5 8" xfId="13129" xr:uid="{00000000-0005-0000-0000-000062480000}"/>
    <cellStyle name="Input 10 5 9" xfId="28879" xr:uid="{00000000-0005-0000-0000-000063480000}"/>
    <cellStyle name="Input 10 6" xfId="13130" xr:uid="{00000000-0005-0000-0000-000064480000}"/>
    <cellStyle name="Input 10 6 2" xfId="13131" xr:uid="{00000000-0005-0000-0000-000065480000}"/>
    <cellStyle name="Input 10 6 3" xfId="28880" xr:uid="{00000000-0005-0000-0000-000066480000}"/>
    <cellStyle name="Input 10 6 4" xfId="28881" xr:uid="{00000000-0005-0000-0000-000067480000}"/>
    <cellStyle name="Input 10 7" xfId="13132" xr:uid="{00000000-0005-0000-0000-000068480000}"/>
    <cellStyle name="Input 10 7 2" xfId="13133" xr:uid="{00000000-0005-0000-0000-000069480000}"/>
    <cellStyle name="Input 10 7 3" xfId="28882" xr:uid="{00000000-0005-0000-0000-00006A480000}"/>
    <cellStyle name="Input 10 7 4" xfId="28883" xr:uid="{00000000-0005-0000-0000-00006B480000}"/>
    <cellStyle name="Input 10 8" xfId="13134" xr:uid="{00000000-0005-0000-0000-00006C480000}"/>
    <cellStyle name="Input 10 8 2" xfId="13135" xr:uid="{00000000-0005-0000-0000-00006D480000}"/>
    <cellStyle name="Input 10 8 3" xfId="28884" xr:uid="{00000000-0005-0000-0000-00006E480000}"/>
    <cellStyle name="Input 10 8 4" xfId="28885" xr:uid="{00000000-0005-0000-0000-00006F480000}"/>
    <cellStyle name="Input 10 9" xfId="13136" xr:uid="{00000000-0005-0000-0000-000070480000}"/>
    <cellStyle name="Input 10 9 2" xfId="13137" xr:uid="{00000000-0005-0000-0000-000071480000}"/>
    <cellStyle name="Input 10 9 3" xfId="28886" xr:uid="{00000000-0005-0000-0000-000072480000}"/>
    <cellStyle name="Input 10 9 4" xfId="28887" xr:uid="{00000000-0005-0000-0000-000073480000}"/>
    <cellStyle name="Input 11" xfId="13138" xr:uid="{00000000-0005-0000-0000-000074480000}"/>
    <cellStyle name="Input 11 10" xfId="13139" xr:uid="{00000000-0005-0000-0000-000075480000}"/>
    <cellStyle name="Input 11 10 2" xfId="13140" xr:uid="{00000000-0005-0000-0000-000076480000}"/>
    <cellStyle name="Input 11 10 3" xfId="28888" xr:uid="{00000000-0005-0000-0000-000077480000}"/>
    <cellStyle name="Input 11 10 4" xfId="28889" xr:uid="{00000000-0005-0000-0000-000078480000}"/>
    <cellStyle name="Input 11 11" xfId="13141" xr:uid="{00000000-0005-0000-0000-000079480000}"/>
    <cellStyle name="Input 11 11 2" xfId="13142" xr:uid="{00000000-0005-0000-0000-00007A480000}"/>
    <cellStyle name="Input 11 11 3" xfId="28890" xr:uid="{00000000-0005-0000-0000-00007B480000}"/>
    <cellStyle name="Input 11 11 4" xfId="28891" xr:uid="{00000000-0005-0000-0000-00007C480000}"/>
    <cellStyle name="Input 11 12" xfId="13143" xr:uid="{00000000-0005-0000-0000-00007D480000}"/>
    <cellStyle name="Input 11 13" xfId="28892" xr:uid="{00000000-0005-0000-0000-00007E480000}"/>
    <cellStyle name="Input 11 14" xfId="28893" xr:uid="{00000000-0005-0000-0000-00007F480000}"/>
    <cellStyle name="Input 11 2" xfId="13144" xr:uid="{00000000-0005-0000-0000-000080480000}"/>
    <cellStyle name="Input 11 2 10" xfId="28894" xr:uid="{00000000-0005-0000-0000-000081480000}"/>
    <cellStyle name="Input 11 2 2" xfId="13145" xr:uid="{00000000-0005-0000-0000-000082480000}"/>
    <cellStyle name="Input 11 2 2 2" xfId="13146" xr:uid="{00000000-0005-0000-0000-000083480000}"/>
    <cellStyle name="Input 11 2 2 3" xfId="28895" xr:uid="{00000000-0005-0000-0000-000084480000}"/>
    <cellStyle name="Input 11 2 2 4" xfId="28896" xr:uid="{00000000-0005-0000-0000-000085480000}"/>
    <cellStyle name="Input 11 2 3" xfId="13147" xr:uid="{00000000-0005-0000-0000-000086480000}"/>
    <cellStyle name="Input 11 2 3 2" xfId="13148" xr:uid="{00000000-0005-0000-0000-000087480000}"/>
    <cellStyle name="Input 11 2 3 3" xfId="28897" xr:uid="{00000000-0005-0000-0000-000088480000}"/>
    <cellStyle name="Input 11 2 3 4" xfId="28898" xr:uid="{00000000-0005-0000-0000-000089480000}"/>
    <cellStyle name="Input 11 2 4" xfId="13149" xr:uid="{00000000-0005-0000-0000-00008A480000}"/>
    <cellStyle name="Input 11 2 4 2" xfId="13150" xr:uid="{00000000-0005-0000-0000-00008B480000}"/>
    <cellStyle name="Input 11 2 4 3" xfId="28899" xr:uid="{00000000-0005-0000-0000-00008C480000}"/>
    <cellStyle name="Input 11 2 4 4" xfId="28900" xr:uid="{00000000-0005-0000-0000-00008D480000}"/>
    <cellStyle name="Input 11 2 5" xfId="13151" xr:uid="{00000000-0005-0000-0000-00008E480000}"/>
    <cellStyle name="Input 11 2 5 2" xfId="13152" xr:uid="{00000000-0005-0000-0000-00008F480000}"/>
    <cellStyle name="Input 11 2 5 3" xfId="28901" xr:uid="{00000000-0005-0000-0000-000090480000}"/>
    <cellStyle name="Input 11 2 5 4" xfId="28902" xr:uid="{00000000-0005-0000-0000-000091480000}"/>
    <cellStyle name="Input 11 2 6" xfId="13153" xr:uid="{00000000-0005-0000-0000-000092480000}"/>
    <cellStyle name="Input 11 2 6 2" xfId="13154" xr:uid="{00000000-0005-0000-0000-000093480000}"/>
    <cellStyle name="Input 11 2 6 3" xfId="28903" xr:uid="{00000000-0005-0000-0000-000094480000}"/>
    <cellStyle name="Input 11 2 6 4" xfId="28904" xr:uid="{00000000-0005-0000-0000-000095480000}"/>
    <cellStyle name="Input 11 2 7" xfId="13155" xr:uid="{00000000-0005-0000-0000-000096480000}"/>
    <cellStyle name="Input 11 2 7 2" xfId="13156" xr:uid="{00000000-0005-0000-0000-000097480000}"/>
    <cellStyle name="Input 11 2 7 3" xfId="28905" xr:uid="{00000000-0005-0000-0000-000098480000}"/>
    <cellStyle name="Input 11 2 7 4" xfId="28906" xr:uid="{00000000-0005-0000-0000-000099480000}"/>
    <cellStyle name="Input 11 2 8" xfId="13157" xr:uid="{00000000-0005-0000-0000-00009A480000}"/>
    <cellStyle name="Input 11 2 9" xfId="28907" xr:uid="{00000000-0005-0000-0000-00009B480000}"/>
    <cellStyle name="Input 11 3" xfId="13158" xr:uid="{00000000-0005-0000-0000-00009C480000}"/>
    <cellStyle name="Input 11 3 10" xfId="28908" xr:uid="{00000000-0005-0000-0000-00009D480000}"/>
    <cellStyle name="Input 11 3 2" xfId="13159" xr:uid="{00000000-0005-0000-0000-00009E480000}"/>
    <cellStyle name="Input 11 3 2 2" xfId="13160" xr:uid="{00000000-0005-0000-0000-00009F480000}"/>
    <cellStyle name="Input 11 3 2 3" xfId="28909" xr:uid="{00000000-0005-0000-0000-0000A0480000}"/>
    <cellStyle name="Input 11 3 2 4" xfId="28910" xr:uid="{00000000-0005-0000-0000-0000A1480000}"/>
    <cellStyle name="Input 11 3 3" xfId="13161" xr:uid="{00000000-0005-0000-0000-0000A2480000}"/>
    <cellStyle name="Input 11 3 3 2" xfId="13162" xr:uid="{00000000-0005-0000-0000-0000A3480000}"/>
    <cellStyle name="Input 11 3 3 3" xfId="28911" xr:uid="{00000000-0005-0000-0000-0000A4480000}"/>
    <cellStyle name="Input 11 3 3 4" xfId="28912" xr:uid="{00000000-0005-0000-0000-0000A5480000}"/>
    <cellStyle name="Input 11 3 4" xfId="13163" xr:uid="{00000000-0005-0000-0000-0000A6480000}"/>
    <cellStyle name="Input 11 3 4 2" xfId="13164" xr:uid="{00000000-0005-0000-0000-0000A7480000}"/>
    <cellStyle name="Input 11 3 4 3" xfId="28913" xr:uid="{00000000-0005-0000-0000-0000A8480000}"/>
    <cellStyle name="Input 11 3 4 4" xfId="28914" xr:uid="{00000000-0005-0000-0000-0000A9480000}"/>
    <cellStyle name="Input 11 3 5" xfId="13165" xr:uid="{00000000-0005-0000-0000-0000AA480000}"/>
    <cellStyle name="Input 11 3 5 2" xfId="13166" xr:uid="{00000000-0005-0000-0000-0000AB480000}"/>
    <cellStyle name="Input 11 3 5 3" xfId="28915" xr:uid="{00000000-0005-0000-0000-0000AC480000}"/>
    <cellStyle name="Input 11 3 5 4" xfId="28916" xr:uid="{00000000-0005-0000-0000-0000AD480000}"/>
    <cellStyle name="Input 11 3 6" xfId="13167" xr:uid="{00000000-0005-0000-0000-0000AE480000}"/>
    <cellStyle name="Input 11 3 6 2" xfId="13168" xr:uid="{00000000-0005-0000-0000-0000AF480000}"/>
    <cellStyle name="Input 11 3 6 3" xfId="28917" xr:uid="{00000000-0005-0000-0000-0000B0480000}"/>
    <cellStyle name="Input 11 3 6 4" xfId="28918" xr:uid="{00000000-0005-0000-0000-0000B1480000}"/>
    <cellStyle name="Input 11 3 7" xfId="13169" xr:uid="{00000000-0005-0000-0000-0000B2480000}"/>
    <cellStyle name="Input 11 3 7 2" xfId="13170" xr:uid="{00000000-0005-0000-0000-0000B3480000}"/>
    <cellStyle name="Input 11 3 7 3" xfId="28919" xr:uid="{00000000-0005-0000-0000-0000B4480000}"/>
    <cellStyle name="Input 11 3 7 4" xfId="28920" xr:uid="{00000000-0005-0000-0000-0000B5480000}"/>
    <cellStyle name="Input 11 3 8" xfId="13171" xr:uid="{00000000-0005-0000-0000-0000B6480000}"/>
    <cellStyle name="Input 11 3 9" xfId="28921" xr:uid="{00000000-0005-0000-0000-0000B7480000}"/>
    <cellStyle name="Input 11 4" xfId="13172" xr:uid="{00000000-0005-0000-0000-0000B8480000}"/>
    <cellStyle name="Input 11 4 10" xfId="28922" xr:uid="{00000000-0005-0000-0000-0000B9480000}"/>
    <cellStyle name="Input 11 4 2" xfId="13173" xr:uid="{00000000-0005-0000-0000-0000BA480000}"/>
    <cellStyle name="Input 11 4 2 2" xfId="13174" xr:uid="{00000000-0005-0000-0000-0000BB480000}"/>
    <cellStyle name="Input 11 4 2 3" xfId="28923" xr:uid="{00000000-0005-0000-0000-0000BC480000}"/>
    <cellStyle name="Input 11 4 2 4" xfId="28924" xr:uid="{00000000-0005-0000-0000-0000BD480000}"/>
    <cellStyle name="Input 11 4 3" xfId="13175" xr:uid="{00000000-0005-0000-0000-0000BE480000}"/>
    <cellStyle name="Input 11 4 3 2" xfId="13176" xr:uid="{00000000-0005-0000-0000-0000BF480000}"/>
    <cellStyle name="Input 11 4 3 3" xfId="28925" xr:uid="{00000000-0005-0000-0000-0000C0480000}"/>
    <cellStyle name="Input 11 4 3 4" xfId="28926" xr:uid="{00000000-0005-0000-0000-0000C1480000}"/>
    <cellStyle name="Input 11 4 4" xfId="13177" xr:uid="{00000000-0005-0000-0000-0000C2480000}"/>
    <cellStyle name="Input 11 4 4 2" xfId="13178" xr:uid="{00000000-0005-0000-0000-0000C3480000}"/>
    <cellStyle name="Input 11 4 4 3" xfId="28927" xr:uid="{00000000-0005-0000-0000-0000C4480000}"/>
    <cellStyle name="Input 11 4 4 4" xfId="28928" xr:uid="{00000000-0005-0000-0000-0000C5480000}"/>
    <cellStyle name="Input 11 4 5" xfId="13179" xr:uid="{00000000-0005-0000-0000-0000C6480000}"/>
    <cellStyle name="Input 11 4 5 2" xfId="13180" xr:uid="{00000000-0005-0000-0000-0000C7480000}"/>
    <cellStyle name="Input 11 4 5 3" xfId="28929" xr:uid="{00000000-0005-0000-0000-0000C8480000}"/>
    <cellStyle name="Input 11 4 5 4" xfId="28930" xr:uid="{00000000-0005-0000-0000-0000C9480000}"/>
    <cellStyle name="Input 11 4 6" xfId="13181" xr:uid="{00000000-0005-0000-0000-0000CA480000}"/>
    <cellStyle name="Input 11 4 6 2" xfId="13182" xr:uid="{00000000-0005-0000-0000-0000CB480000}"/>
    <cellStyle name="Input 11 4 6 3" xfId="28931" xr:uid="{00000000-0005-0000-0000-0000CC480000}"/>
    <cellStyle name="Input 11 4 6 4" xfId="28932" xr:uid="{00000000-0005-0000-0000-0000CD480000}"/>
    <cellStyle name="Input 11 4 7" xfId="13183" xr:uid="{00000000-0005-0000-0000-0000CE480000}"/>
    <cellStyle name="Input 11 4 7 2" xfId="13184" xr:uid="{00000000-0005-0000-0000-0000CF480000}"/>
    <cellStyle name="Input 11 4 7 3" xfId="28933" xr:uid="{00000000-0005-0000-0000-0000D0480000}"/>
    <cellStyle name="Input 11 4 7 4" xfId="28934" xr:uid="{00000000-0005-0000-0000-0000D1480000}"/>
    <cellStyle name="Input 11 4 8" xfId="13185" xr:uid="{00000000-0005-0000-0000-0000D2480000}"/>
    <cellStyle name="Input 11 4 9" xfId="28935" xr:uid="{00000000-0005-0000-0000-0000D3480000}"/>
    <cellStyle name="Input 11 5" xfId="13186" xr:uid="{00000000-0005-0000-0000-0000D4480000}"/>
    <cellStyle name="Input 11 5 10" xfId="28936" xr:uid="{00000000-0005-0000-0000-0000D5480000}"/>
    <cellStyle name="Input 11 5 2" xfId="13187" xr:uid="{00000000-0005-0000-0000-0000D6480000}"/>
    <cellStyle name="Input 11 5 2 2" xfId="13188" xr:uid="{00000000-0005-0000-0000-0000D7480000}"/>
    <cellStyle name="Input 11 5 2 3" xfId="28937" xr:uid="{00000000-0005-0000-0000-0000D8480000}"/>
    <cellStyle name="Input 11 5 2 4" xfId="28938" xr:uid="{00000000-0005-0000-0000-0000D9480000}"/>
    <cellStyle name="Input 11 5 3" xfId="13189" xr:uid="{00000000-0005-0000-0000-0000DA480000}"/>
    <cellStyle name="Input 11 5 3 2" xfId="13190" xr:uid="{00000000-0005-0000-0000-0000DB480000}"/>
    <cellStyle name="Input 11 5 3 3" xfId="28939" xr:uid="{00000000-0005-0000-0000-0000DC480000}"/>
    <cellStyle name="Input 11 5 3 4" xfId="28940" xr:uid="{00000000-0005-0000-0000-0000DD480000}"/>
    <cellStyle name="Input 11 5 4" xfId="13191" xr:uid="{00000000-0005-0000-0000-0000DE480000}"/>
    <cellStyle name="Input 11 5 4 2" xfId="13192" xr:uid="{00000000-0005-0000-0000-0000DF480000}"/>
    <cellStyle name="Input 11 5 4 3" xfId="28941" xr:uid="{00000000-0005-0000-0000-0000E0480000}"/>
    <cellStyle name="Input 11 5 4 4" xfId="28942" xr:uid="{00000000-0005-0000-0000-0000E1480000}"/>
    <cellStyle name="Input 11 5 5" xfId="13193" xr:uid="{00000000-0005-0000-0000-0000E2480000}"/>
    <cellStyle name="Input 11 5 5 2" xfId="13194" xr:uid="{00000000-0005-0000-0000-0000E3480000}"/>
    <cellStyle name="Input 11 5 5 3" xfId="28943" xr:uid="{00000000-0005-0000-0000-0000E4480000}"/>
    <cellStyle name="Input 11 5 5 4" xfId="28944" xr:uid="{00000000-0005-0000-0000-0000E5480000}"/>
    <cellStyle name="Input 11 5 6" xfId="13195" xr:uid="{00000000-0005-0000-0000-0000E6480000}"/>
    <cellStyle name="Input 11 5 6 2" xfId="13196" xr:uid="{00000000-0005-0000-0000-0000E7480000}"/>
    <cellStyle name="Input 11 5 6 3" xfId="28945" xr:uid="{00000000-0005-0000-0000-0000E8480000}"/>
    <cellStyle name="Input 11 5 6 4" xfId="28946" xr:uid="{00000000-0005-0000-0000-0000E9480000}"/>
    <cellStyle name="Input 11 5 7" xfId="13197" xr:uid="{00000000-0005-0000-0000-0000EA480000}"/>
    <cellStyle name="Input 11 5 7 2" xfId="13198" xr:uid="{00000000-0005-0000-0000-0000EB480000}"/>
    <cellStyle name="Input 11 5 7 3" xfId="28947" xr:uid="{00000000-0005-0000-0000-0000EC480000}"/>
    <cellStyle name="Input 11 5 7 4" xfId="28948" xr:uid="{00000000-0005-0000-0000-0000ED480000}"/>
    <cellStyle name="Input 11 5 8" xfId="13199" xr:uid="{00000000-0005-0000-0000-0000EE480000}"/>
    <cellStyle name="Input 11 5 9" xfId="28949" xr:uid="{00000000-0005-0000-0000-0000EF480000}"/>
    <cellStyle name="Input 11 6" xfId="13200" xr:uid="{00000000-0005-0000-0000-0000F0480000}"/>
    <cellStyle name="Input 11 6 2" xfId="13201" xr:uid="{00000000-0005-0000-0000-0000F1480000}"/>
    <cellStyle name="Input 11 6 3" xfId="28950" xr:uid="{00000000-0005-0000-0000-0000F2480000}"/>
    <cellStyle name="Input 11 6 4" xfId="28951" xr:uid="{00000000-0005-0000-0000-0000F3480000}"/>
    <cellStyle name="Input 11 7" xfId="13202" xr:uid="{00000000-0005-0000-0000-0000F4480000}"/>
    <cellStyle name="Input 11 7 2" xfId="13203" xr:uid="{00000000-0005-0000-0000-0000F5480000}"/>
    <cellStyle name="Input 11 7 3" xfId="28952" xr:uid="{00000000-0005-0000-0000-0000F6480000}"/>
    <cellStyle name="Input 11 7 4" xfId="28953" xr:uid="{00000000-0005-0000-0000-0000F7480000}"/>
    <cellStyle name="Input 11 8" xfId="13204" xr:uid="{00000000-0005-0000-0000-0000F8480000}"/>
    <cellStyle name="Input 11 8 2" xfId="13205" xr:uid="{00000000-0005-0000-0000-0000F9480000}"/>
    <cellStyle name="Input 11 8 3" xfId="28954" xr:uid="{00000000-0005-0000-0000-0000FA480000}"/>
    <cellStyle name="Input 11 8 4" xfId="28955" xr:uid="{00000000-0005-0000-0000-0000FB480000}"/>
    <cellStyle name="Input 11 9" xfId="13206" xr:uid="{00000000-0005-0000-0000-0000FC480000}"/>
    <cellStyle name="Input 11 9 2" xfId="13207" xr:uid="{00000000-0005-0000-0000-0000FD480000}"/>
    <cellStyle name="Input 11 9 3" xfId="28956" xr:uid="{00000000-0005-0000-0000-0000FE480000}"/>
    <cellStyle name="Input 11 9 4" xfId="28957" xr:uid="{00000000-0005-0000-0000-0000FF480000}"/>
    <cellStyle name="Input 12" xfId="13208" xr:uid="{00000000-0005-0000-0000-000000490000}"/>
    <cellStyle name="Input 12 10" xfId="13209" xr:uid="{00000000-0005-0000-0000-000001490000}"/>
    <cellStyle name="Input 12 10 2" xfId="13210" xr:uid="{00000000-0005-0000-0000-000002490000}"/>
    <cellStyle name="Input 12 10 3" xfId="28958" xr:uid="{00000000-0005-0000-0000-000003490000}"/>
    <cellStyle name="Input 12 10 4" xfId="28959" xr:uid="{00000000-0005-0000-0000-000004490000}"/>
    <cellStyle name="Input 12 11" xfId="13211" xr:uid="{00000000-0005-0000-0000-000005490000}"/>
    <cellStyle name="Input 12 11 2" xfId="13212" xr:uid="{00000000-0005-0000-0000-000006490000}"/>
    <cellStyle name="Input 12 11 3" xfId="28960" xr:uid="{00000000-0005-0000-0000-000007490000}"/>
    <cellStyle name="Input 12 11 4" xfId="28961" xr:uid="{00000000-0005-0000-0000-000008490000}"/>
    <cellStyle name="Input 12 12" xfId="13213" xr:uid="{00000000-0005-0000-0000-000009490000}"/>
    <cellStyle name="Input 12 13" xfId="28962" xr:uid="{00000000-0005-0000-0000-00000A490000}"/>
    <cellStyle name="Input 12 14" xfId="28963" xr:uid="{00000000-0005-0000-0000-00000B490000}"/>
    <cellStyle name="Input 12 2" xfId="13214" xr:uid="{00000000-0005-0000-0000-00000C490000}"/>
    <cellStyle name="Input 12 2 10" xfId="28964" xr:uid="{00000000-0005-0000-0000-00000D490000}"/>
    <cellStyle name="Input 12 2 2" xfId="13215" xr:uid="{00000000-0005-0000-0000-00000E490000}"/>
    <cellStyle name="Input 12 2 2 2" xfId="13216" xr:uid="{00000000-0005-0000-0000-00000F490000}"/>
    <cellStyle name="Input 12 2 2 3" xfId="28965" xr:uid="{00000000-0005-0000-0000-000010490000}"/>
    <cellStyle name="Input 12 2 2 4" xfId="28966" xr:uid="{00000000-0005-0000-0000-000011490000}"/>
    <cellStyle name="Input 12 2 3" xfId="13217" xr:uid="{00000000-0005-0000-0000-000012490000}"/>
    <cellStyle name="Input 12 2 3 2" xfId="13218" xr:uid="{00000000-0005-0000-0000-000013490000}"/>
    <cellStyle name="Input 12 2 3 3" xfId="28967" xr:uid="{00000000-0005-0000-0000-000014490000}"/>
    <cellStyle name="Input 12 2 3 4" xfId="28968" xr:uid="{00000000-0005-0000-0000-000015490000}"/>
    <cellStyle name="Input 12 2 4" xfId="13219" xr:uid="{00000000-0005-0000-0000-000016490000}"/>
    <cellStyle name="Input 12 2 4 2" xfId="13220" xr:uid="{00000000-0005-0000-0000-000017490000}"/>
    <cellStyle name="Input 12 2 4 3" xfId="28969" xr:uid="{00000000-0005-0000-0000-000018490000}"/>
    <cellStyle name="Input 12 2 4 4" xfId="28970" xr:uid="{00000000-0005-0000-0000-000019490000}"/>
    <cellStyle name="Input 12 2 5" xfId="13221" xr:uid="{00000000-0005-0000-0000-00001A490000}"/>
    <cellStyle name="Input 12 2 5 2" xfId="13222" xr:uid="{00000000-0005-0000-0000-00001B490000}"/>
    <cellStyle name="Input 12 2 5 3" xfId="28971" xr:uid="{00000000-0005-0000-0000-00001C490000}"/>
    <cellStyle name="Input 12 2 5 4" xfId="28972" xr:uid="{00000000-0005-0000-0000-00001D490000}"/>
    <cellStyle name="Input 12 2 6" xfId="13223" xr:uid="{00000000-0005-0000-0000-00001E490000}"/>
    <cellStyle name="Input 12 2 6 2" xfId="13224" xr:uid="{00000000-0005-0000-0000-00001F490000}"/>
    <cellStyle name="Input 12 2 6 3" xfId="28973" xr:uid="{00000000-0005-0000-0000-000020490000}"/>
    <cellStyle name="Input 12 2 6 4" xfId="28974" xr:uid="{00000000-0005-0000-0000-000021490000}"/>
    <cellStyle name="Input 12 2 7" xfId="13225" xr:uid="{00000000-0005-0000-0000-000022490000}"/>
    <cellStyle name="Input 12 2 7 2" xfId="13226" xr:uid="{00000000-0005-0000-0000-000023490000}"/>
    <cellStyle name="Input 12 2 7 3" xfId="28975" xr:uid="{00000000-0005-0000-0000-000024490000}"/>
    <cellStyle name="Input 12 2 7 4" xfId="28976" xr:uid="{00000000-0005-0000-0000-000025490000}"/>
    <cellStyle name="Input 12 2 8" xfId="13227" xr:uid="{00000000-0005-0000-0000-000026490000}"/>
    <cellStyle name="Input 12 2 9" xfId="28977" xr:uid="{00000000-0005-0000-0000-000027490000}"/>
    <cellStyle name="Input 12 3" xfId="13228" xr:uid="{00000000-0005-0000-0000-000028490000}"/>
    <cellStyle name="Input 12 3 10" xfId="28978" xr:uid="{00000000-0005-0000-0000-000029490000}"/>
    <cellStyle name="Input 12 3 2" xfId="13229" xr:uid="{00000000-0005-0000-0000-00002A490000}"/>
    <cellStyle name="Input 12 3 2 2" xfId="13230" xr:uid="{00000000-0005-0000-0000-00002B490000}"/>
    <cellStyle name="Input 12 3 2 3" xfId="28979" xr:uid="{00000000-0005-0000-0000-00002C490000}"/>
    <cellStyle name="Input 12 3 2 4" xfId="28980" xr:uid="{00000000-0005-0000-0000-00002D490000}"/>
    <cellStyle name="Input 12 3 3" xfId="13231" xr:uid="{00000000-0005-0000-0000-00002E490000}"/>
    <cellStyle name="Input 12 3 3 2" xfId="13232" xr:uid="{00000000-0005-0000-0000-00002F490000}"/>
    <cellStyle name="Input 12 3 3 3" xfId="28981" xr:uid="{00000000-0005-0000-0000-000030490000}"/>
    <cellStyle name="Input 12 3 3 4" xfId="28982" xr:uid="{00000000-0005-0000-0000-000031490000}"/>
    <cellStyle name="Input 12 3 4" xfId="13233" xr:uid="{00000000-0005-0000-0000-000032490000}"/>
    <cellStyle name="Input 12 3 4 2" xfId="13234" xr:uid="{00000000-0005-0000-0000-000033490000}"/>
    <cellStyle name="Input 12 3 4 3" xfId="28983" xr:uid="{00000000-0005-0000-0000-000034490000}"/>
    <cellStyle name="Input 12 3 4 4" xfId="28984" xr:uid="{00000000-0005-0000-0000-000035490000}"/>
    <cellStyle name="Input 12 3 5" xfId="13235" xr:uid="{00000000-0005-0000-0000-000036490000}"/>
    <cellStyle name="Input 12 3 5 2" xfId="13236" xr:uid="{00000000-0005-0000-0000-000037490000}"/>
    <cellStyle name="Input 12 3 5 3" xfId="28985" xr:uid="{00000000-0005-0000-0000-000038490000}"/>
    <cellStyle name="Input 12 3 5 4" xfId="28986" xr:uid="{00000000-0005-0000-0000-000039490000}"/>
    <cellStyle name="Input 12 3 6" xfId="13237" xr:uid="{00000000-0005-0000-0000-00003A490000}"/>
    <cellStyle name="Input 12 3 6 2" xfId="13238" xr:uid="{00000000-0005-0000-0000-00003B490000}"/>
    <cellStyle name="Input 12 3 6 3" xfId="28987" xr:uid="{00000000-0005-0000-0000-00003C490000}"/>
    <cellStyle name="Input 12 3 6 4" xfId="28988" xr:uid="{00000000-0005-0000-0000-00003D490000}"/>
    <cellStyle name="Input 12 3 7" xfId="13239" xr:uid="{00000000-0005-0000-0000-00003E490000}"/>
    <cellStyle name="Input 12 3 7 2" xfId="13240" xr:uid="{00000000-0005-0000-0000-00003F490000}"/>
    <cellStyle name="Input 12 3 7 3" xfId="28989" xr:uid="{00000000-0005-0000-0000-000040490000}"/>
    <cellStyle name="Input 12 3 7 4" xfId="28990" xr:uid="{00000000-0005-0000-0000-000041490000}"/>
    <cellStyle name="Input 12 3 8" xfId="13241" xr:uid="{00000000-0005-0000-0000-000042490000}"/>
    <cellStyle name="Input 12 3 9" xfId="28991" xr:uid="{00000000-0005-0000-0000-000043490000}"/>
    <cellStyle name="Input 12 4" xfId="13242" xr:uid="{00000000-0005-0000-0000-000044490000}"/>
    <cellStyle name="Input 12 4 10" xfId="28992" xr:uid="{00000000-0005-0000-0000-000045490000}"/>
    <cellStyle name="Input 12 4 2" xfId="13243" xr:uid="{00000000-0005-0000-0000-000046490000}"/>
    <cellStyle name="Input 12 4 2 2" xfId="13244" xr:uid="{00000000-0005-0000-0000-000047490000}"/>
    <cellStyle name="Input 12 4 2 3" xfId="28993" xr:uid="{00000000-0005-0000-0000-000048490000}"/>
    <cellStyle name="Input 12 4 2 4" xfId="28994" xr:uid="{00000000-0005-0000-0000-000049490000}"/>
    <cellStyle name="Input 12 4 3" xfId="13245" xr:uid="{00000000-0005-0000-0000-00004A490000}"/>
    <cellStyle name="Input 12 4 3 2" xfId="13246" xr:uid="{00000000-0005-0000-0000-00004B490000}"/>
    <cellStyle name="Input 12 4 3 3" xfId="28995" xr:uid="{00000000-0005-0000-0000-00004C490000}"/>
    <cellStyle name="Input 12 4 3 4" xfId="28996" xr:uid="{00000000-0005-0000-0000-00004D490000}"/>
    <cellStyle name="Input 12 4 4" xfId="13247" xr:uid="{00000000-0005-0000-0000-00004E490000}"/>
    <cellStyle name="Input 12 4 4 2" xfId="13248" xr:uid="{00000000-0005-0000-0000-00004F490000}"/>
    <cellStyle name="Input 12 4 4 3" xfId="28997" xr:uid="{00000000-0005-0000-0000-000050490000}"/>
    <cellStyle name="Input 12 4 4 4" xfId="28998" xr:uid="{00000000-0005-0000-0000-000051490000}"/>
    <cellStyle name="Input 12 4 5" xfId="13249" xr:uid="{00000000-0005-0000-0000-000052490000}"/>
    <cellStyle name="Input 12 4 5 2" xfId="13250" xr:uid="{00000000-0005-0000-0000-000053490000}"/>
    <cellStyle name="Input 12 4 5 3" xfId="28999" xr:uid="{00000000-0005-0000-0000-000054490000}"/>
    <cellStyle name="Input 12 4 5 4" xfId="29000" xr:uid="{00000000-0005-0000-0000-000055490000}"/>
    <cellStyle name="Input 12 4 6" xfId="13251" xr:uid="{00000000-0005-0000-0000-000056490000}"/>
    <cellStyle name="Input 12 4 6 2" xfId="13252" xr:uid="{00000000-0005-0000-0000-000057490000}"/>
    <cellStyle name="Input 12 4 6 3" xfId="29001" xr:uid="{00000000-0005-0000-0000-000058490000}"/>
    <cellStyle name="Input 12 4 6 4" xfId="29002" xr:uid="{00000000-0005-0000-0000-000059490000}"/>
    <cellStyle name="Input 12 4 7" xfId="13253" xr:uid="{00000000-0005-0000-0000-00005A490000}"/>
    <cellStyle name="Input 12 4 7 2" xfId="13254" xr:uid="{00000000-0005-0000-0000-00005B490000}"/>
    <cellStyle name="Input 12 4 7 3" xfId="29003" xr:uid="{00000000-0005-0000-0000-00005C490000}"/>
    <cellStyle name="Input 12 4 7 4" xfId="29004" xr:uid="{00000000-0005-0000-0000-00005D490000}"/>
    <cellStyle name="Input 12 4 8" xfId="13255" xr:uid="{00000000-0005-0000-0000-00005E490000}"/>
    <cellStyle name="Input 12 4 9" xfId="29005" xr:uid="{00000000-0005-0000-0000-00005F490000}"/>
    <cellStyle name="Input 12 5" xfId="13256" xr:uid="{00000000-0005-0000-0000-000060490000}"/>
    <cellStyle name="Input 12 5 10" xfId="29006" xr:uid="{00000000-0005-0000-0000-000061490000}"/>
    <cellStyle name="Input 12 5 2" xfId="13257" xr:uid="{00000000-0005-0000-0000-000062490000}"/>
    <cellStyle name="Input 12 5 2 2" xfId="13258" xr:uid="{00000000-0005-0000-0000-000063490000}"/>
    <cellStyle name="Input 12 5 2 3" xfId="29007" xr:uid="{00000000-0005-0000-0000-000064490000}"/>
    <cellStyle name="Input 12 5 2 4" xfId="29008" xr:uid="{00000000-0005-0000-0000-000065490000}"/>
    <cellStyle name="Input 12 5 3" xfId="13259" xr:uid="{00000000-0005-0000-0000-000066490000}"/>
    <cellStyle name="Input 12 5 3 2" xfId="13260" xr:uid="{00000000-0005-0000-0000-000067490000}"/>
    <cellStyle name="Input 12 5 3 3" xfId="29009" xr:uid="{00000000-0005-0000-0000-000068490000}"/>
    <cellStyle name="Input 12 5 3 4" xfId="29010" xr:uid="{00000000-0005-0000-0000-000069490000}"/>
    <cellStyle name="Input 12 5 4" xfId="13261" xr:uid="{00000000-0005-0000-0000-00006A490000}"/>
    <cellStyle name="Input 12 5 4 2" xfId="13262" xr:uid="{00000000-0005-0000-0000-00006B490000}"/>
    <cellStyle name="Input 12 5 4 3" xfId="29011" xr:uid="{00000000-0005-0000-0000-00006C490000}"/>
    <cellStyle name="Input 12 5 4 4" xfId="29012" xr:uid="{00000000-0005-0000-0000-00006D490000}"/>
    <cellStyle name="Input 12 5 5" xfId="13263" xr:uid="{00000000-0005-0000-0000-00006E490000}"/>
    <cellStyle name="Input 12 5 5 2" xfId="13264" xr:uid="{00000000-0005-0000-0000-00006F490000}"/>
    <cellStyle name="Input 12 5 5 3" xfId="29013" xr:uid="{00000000-0005-0000-0000-000070490000}"/>
    <cellStyle name="Input 12 5 5 4" xfId="29014" xr:uid="{00000000-0005-0000-0000-000071490000}"/>
    <cellStyle name="Input 12 5 6" xfId="13265" xr:uid="{00000000-0005-0000-0000-000072490000}"/>
    <cellStyle name="Input 12 5 6 2" xfId="13266" xr:uid="{00000000-0005-0000-0000-000073490000}"/>
    <cellStyle name="Input 12 5 6 3" xfId="29015" xr:uid="{00000000-0005-0000-0000-000074490000}"/>
    <cellStyle name="Input 12 5 6 4" xfId="29016" xr:uid="{00000000-0005-0000-0000-000075490000}"/>
    <cellStyle name="Input 12 5 7" xfId="13267" xr:uid="{00000000-0005-0000-0000-000076490000}"/>
    <cellStyle name="Input 12 5 7 2" xfId="13268" xr:uid="{00000000-0005-0000-0000-000077490000}"/>
    <cellStyle name="Input 12 5 7 3" xfId="29017" xr:uid="{00000000-0005-0000-0000-000078490000}"/>
    <cellStyle name="Input 12 5 7 4" xfId="29018" xr:uid="{00000000-0005-0000-0000-000079490000}"/>
    <cellStyle name="Input 12 5 8" xfId="13269" xr:uid="{00000000-0005-0000-0000-00007A490000}"/>
    <cellStyle name="Input 12 5 9" xfId="29019" xr:uid="{00000000-0005-0000-0000-00007B490000}"/>
    <cellStyle name="Input 12 6" xfId="13270" xr:uid="{00000000-0005-0000-0000-00007C490000}"/>
    <cellStyle name="Input 12 6 2" xfId="13271" xr:uid="{00000000-0005-0000-0000-00007D490000}"/>
    <cellStyle name="Input 12 6 3" xfId="29020" xr:uid="{00000000-0005-0000-0000-00007E490000}"/>
    <cellStyle name="Input 12 6 4" xfId="29021" xr:uid="{00000000-0005-0000-0000-00007F490000}"/>
    <cellStyle name="Input 12 7" xfId="13272" xr:uid="{00000000-0005-0000-0000-000080490000}"/>
    <cellStyle name="Input 12 7 2" xfId="13273" xr:uid="{00000000-0005-0000-0000-000081490000}"/>
    <cellStyle name="Input 12 7 3" xfId="29022" xr:uid="{00000000-0005-0000-0000-000082490000}"/>
    <cellStyle name="Input 12 7 4" xfId="29023" xr:uid="{00000000-0005-0000-0000-000083490000}"/>
    <cellStyle name="Input 12 8" xfId="13274" xr:uid="{00000000-0005-0000-0000-000084490000}"/>
    <cellStyle name="Input 12 8 2" xfId="13275" xr:uid="{00000000-0005-0000-0000-000085490000}"/>
    <cellStyle name="Input 12 8 3" xfId="29024" xr:uid="{00000000-0005-0000-0000-000086490000}"/>
    <cellStyle name="Input 12 8 4" xfId="29025" xr:uid="{00000000-0005-0000-0000-000087490000}"/>
    <cellStyle name="Input 12 9" xfId="13276" xr:uid="{00000000-0005-0000-0000-000088490000}"/>
    <cellStyle name="Input 12 9 2" xfId="13277" xr:uid="{00000000-0005-0000-0000-000089490000}"/>
    <cellStyle name="Input 12 9 3" xfId="29026" xr:uid="{00000000-0005-0000-0000-00008A490000}"/>
    <cellStyle name="Input 12 9 4" xfId="29027" xr:uid="{00000000-0005-0000-0000-00008B490000}"/>
    <cellStyle name="Input 13" xfId="13278" xr:uid="{00000000-0005-0000-0000-00008C490000}"/>
    <cellStyle name="Input 13 10" xfId="13279" xr:uid="{00000000-0005-0000-0000-00008D490000}"/>
    <cellStyle name="Input 13 10 2" xfId="13280" xr:uid="{00000000-0005-0000-0000-00008E490000}"/>
    <cellStyle name="Input 13 10 3" xfId="29028" xr:uid="{00000000-0005-0000-0000-00008F490000}"/>
    <cellStyle name="Input 13 10 4" xfId="29029" xr:uid="{00000000-0005-0000-0000-000090490000}"/>
    <cellStyle name="Input 13 11" xfId="13281" xr:uid="{00000000-0005-0000-0000-000091490000}"/>
    <cellStyle name="Input 13 11 2" xfId="13282" xr:uid="{00000000-0005-0000-0000-000092490000}"/>
    <cellStyle name="Input 13 11 3" xfId="29030" xr:uid="{00000000-0005-0000-0000-000093490000}"/>
    <cellStyle name="Input 13 11 4" xfId="29031" xr:uid="{00000000-0005-0000-0000-000094490000}"/>
    <cellStyle name="Input 13 12" xfId="13283" xr:uid="{00000000-0005-0000-0000-000095490000}"/>
    <cellStyle name="Input 13 13" xfId="29032" xr:uid="{00000000-0005-0000-0000-000096490000}"/>
    <cellStyle name="Input 13 14" xfId="29033" xr:uid="{00000000-0005-0000-0000-000097490000}"/>
    <cellStyle name="Input 13 2" xfId="13284" xr:uid="{00000000-0005-0000-0000-000098490000}"/>
    <cellStyle name="Input 13 2 10" xfId="29034" xr:uid="{00000000-0005-0000-0000-000099490000}"/>
    <cellStyle name="Input 13 2 2" xfId="13285" xr:uid="{00000000-0005-0000-0000-00009A490000}"/>
    <cellStyle name="Input 13 2 2 2" xfId="13286" xr:uid="{00000000-0005-0000-0000-00009B490000}"/>
    <cellStyle name="Input 13 2 2 3" xfId="29035" xr:uid="{00000000-0005-0000-0000-00009C490000}"/>
    <cellStyle name="Input 13 2 2 4" xfId="29036" xr:uid="{00000000-0005-0000-0000-00009D490000}"/>
    <cellStyle name="Input 13 2 3" xfId="13287" xr:uid="{00000000-0005-0000-0000-00009E490000}"/>
    <cellStyle name="Input 13 2 3 2" xfId="13288" xr:uid="{00000000-0005-0000-0000-00009F490000}"/>
    <cellStyle name="Input 13 2 3 3" xfId="29037" xr:uid="{00000000-0005-0000-0000-0000A0490000}"/>
    <cellStyle name="Input 13 2 3 4" xfId="29038" xr:uid="{00000000-0005-0000-0000-0000A1490000}"/>
    <cellStyle name="Input 13 2 4" xfId="13289" xr:uid="{00000000-0005-0000-0000-0000A2490000}"/>
    <cellStyle name="Input 13 2 4 2" xfId="13290" xr:uid="{00000000-0005-0000-0000-0000A3490000}"/>
    <cellStyle name="Input 13 2 4 3" xfId="29039" xr:uid="{00000000-0005-0000-0000-0000A4490000}"/>
    <cellStyle name="Input 13 2 4 4" xfId="29040" xr:uid="{00000000-0005-0000-0000-0000A5490000}"/>
    <cellStyle name="Input 13 2 5" xfId="13291" xr:uid="{00000000-0005-0000-0000-0000A6490000}"/>
    <cellStyle name="Input 13 2 5 2" xfId="13292" xr:uid="{00000000-0005-0000-0000-0000A7490000}"/>
    <cellStyle name="Input 13 2 5 3" xfId="29041" xr:uid="{00000000-0005-0000-0000-0000A8490000}"/>
    <cellStyle name="Input 13 2 5 4" xfId="29042" xr:uid="{00000000-0005-0000-0000-0000A9490000}"/>
    <cellStyle name="Input 13 2 6" xfId="13293" xr:uid="{00000000-0005-0000-0000-0000AA490000}"/>
    <cellStyle name="Input 13 2 6 2" xfId="13294" xr:uid="{00000000-0005-0000-0000-0000AB490000}"/>
    <cellStyle name="Input 13 2 6 3" xfId="29043" xr:uid="{00000000-0005-0000-0000-0000AC490000}"/>
    <cellStyle name="Input 13 2 6 4" xfId="29044" xr:uid="{00000000-0005-0000-0000-0000AD490000}"/>
    <cellStyle name="Input 13 2 7" xfId="13295" xr:uid="{00000000-0005-0000-0000-0000AE490000}"/>
    <cellStyle name="Input 13 2 7 2" xfId="13296" xr:uid="{00000000-0005-0000-0000-0000AF490000}"/>
    <cellStyle name="Input 13 2 7 3" xfId="29045" xr:uid="{00000000-0005-0000-0000-0000B0490000}"/>
    <cellStyle name="Input 13 2 7 4" xfId="29046" xr:uid="{00000000-0005-0000-0000-0000B1490000}"/>
    <cellStyle name="Input 13 2 8" xfId="13297" xr:uid="{00000000-0005-0000-0000-0000B2490000}"/>
    <cellStyle name="Input 13 2 9" xfId="29047" xr:uid="{00000000-0005-0000-0000-0000B3490000}"/>
    <cellStyle name="Input 13 3" xfId="13298" xr:uid="{00000000-0005-0000-0000-0000B4490000}"/>
    <cellStyle name="Input 13 3 10" xfId="29048" xr:uid="{00000000-0005-0000-0000-0000B5490000}"/>
    <cellStyle name="Input 13 3 2" xfId="13299" xr:uid="{00000000-0005-0000-0000-0000B6490000}"/>
    <cellStyle name="Input 13 3 2 2" xfId="13300" xr:uid="{00000000-0005-0000-0000-0000B7490000}"/>
    <cellStyle name="Input 13 3 2 3" xfId="29049" xr:uid="{00000000-0005-0000-0000-0000B8490000}"/>
    <cellStyle name="Input 13 3 2 4" xfId="29050" xr:uid="{00000000-0005-0000-0000-0000B9490000}"/>
    <cellStyle name="Input 13 3 3" xfId="13301" xr:uid="{00000000-0005-0000-0000-0000BA490000}"/>
    <cellStyle name="Input 13 3 3 2" xfId="13302" xr:uid="{00000000-0005-0000-0000-0000BB490000}"/>
    <cellStyle name="Input 13 3 3 3" xfId="29051" xr:uid="{00000000-0005-0000-0000-0000BC490000}"/>
    <cellStyle name="Input 13 3 3 4" xfId="29052" xr:uid="{00000000-0005-0000-0000-0000BD490000}"/>
    <cellStyle name="Input 13 3 4" xfId="13303" xr:uid="{00000000-0005-0000-0000-0000BE490000}"/>
    <cellStyle name="Input 13 3 4 2" xfId="13304" xr:uid="{00000000-0005-0000-0000-0000BF490000}"/>
    <cellStyle name="Input 13 3 4 3" xfId="29053" xr:uid="{00000000-0005-0000-0000-0000C0490000}"/>
    <cellStyle name="Input 13 3 4 4" xfId="29054" xr:uid="{00000000-0005-0000-0000-0000C1490000}"/>
    <cellStyle name="Input 13 3 5" xfId="13305" xr:uid="{00000000-0005-0000-0000-0000C2490000}"/>
    <cellStyle name="Input 13 3 5 2" xfId="13306" xr:uid="{00000000-0005-0000-0000-0000C3490000}"/>
    <cellStyle name="Input 13 3 5 3" xfId="29055" xr:uid="{00000000-0005-0000-0000-0000C4490000}"/>
    <cellStyle name="Input 13 3 5 4" xfId="29056" xr:uid="{00000000-0005-0000-0000-0000C5490000}"/>
    <cellStyle name="Input 13 3 6" xfId="13307" xr:uid="{00000000-0005-0000-0000-0000C6490000}"/>
    <cellStyle name="Input 13 3 6 2" xfId="13308" xr:uid="{00000000-0005-0000-0000-0000C7490000}"/>
    <cellStyle name="Input 13 3 6 3" xfId="29057" xr:uid="{00000000-0005-0000-0000-0000C8490000}"/>
    <cellStyle name="Input 13 3 6 4" xfId="29058" xr:uid="{00000000-0005-0000-0000-0000C9490000}"/>
    <cellStyle name="Input 13 3 7" xfId="13309" xr:uid="{00000000-0005-0000-0000-0000CA490000}"/>
    <cellStyle name="Input 13 3 7 2" xfId="13310" xr:uid="{00000000-0005-0000-0000-0000CB490000}"/>
    <cellStyle name="Input 13 3 7 3" xfId="29059" xr:uid="{00000000-0005-0000-0000-0000CC490000}"/>
    <cellStyle name="Input 13 3 7 4" xfId="29060" xr:uid="{00000000-0005-0000-0000-0000CD490000}"/>
    <cellStyle name="Input 13 3 8" xfId="13311" xr:uid="{00000000-0005-0000-0000-0000CE490000}"/>
    <cellStyle name="Input 13 3 9" xfId="29061" xr:uid="{00000000-0005-0000-0000-0000CF490000}"/>
    <cellStyle name="Input 13 4" xfId="13312" xr:uid="{00000000-0005-0000-0000-0000D0490000}"/>
    <cellStyle name="Input 13 4 10" xfId="29062" xr:uid="{00000000-0005-0000-0000-0000D1490000}"/>
    <cellStyle name="Input 13 4 2" xfId="13313" xr:uid="{00000000-0005-0000-0000-0000D2490000}"/>
    <cellStyle name="Input 13 4 2 2" xfId="13314" xr:uid="{00000000-0005-0000-0000-0000D3490000}"/>
    <cellStyle name="Input 13 4 2 3" xfId="29063" xr:uid="{00000000-0005-0000-0000-0000D4490000}"/>
    <cellStyle name="Input 13 4 2 4" xfId="29064" xr:uid="{00000000-0005-0000-0000-0000D5490000}"/>
    <cellStyle name="Input 13 4 3" xfId="13315" xr:uid="{00000000-0005-0000-0000-0000D6490000}"/>
    <cellStyle name="Input 13 4 3 2" xfId="13316" xr:uid="{00000000-0005-0000-0000-0000D7490000}"/>
    <cellStyle name="Input 13 4 3 3" xfId="29065" xr:uid="{00000000-0005-0000-0000-0000D8490000}"/>
    <cellStyle name="Input 13 4 3 4" xfId="29066" xr:uid="{00000000-0005-0000-0000-0000D9490000}"/>
    <cellStyle name="Input 13 4 4" xfId="13317" xr:uid="{00000000-0005-0000-0000-0000DA490000}"/>
    <cellStyle name="Input 13 4 4 2" xfId="13318" xr:uid="{00000000-0005-0000-0000-0000DB490000}"/>
    <cellStyle name="Input 13 4 4 3" xfId="29067" xr:uid="{00000000-0005-0000-0000-0000DC490000}"/>
    <cellStyle name="Input 13 4 4 4" xfId="29068" xr:uid="{00000000-0005-0000-0000-0000DD490000}"/>
    <cellStyle name="Input 13 4 5" xfId="13319" xr:uid="{00000000-0005-0000-0000-0000DE490000}"/>
    <cellStyle name="Input 13 4 5 2" xfId="13320" xr:uid="{00000000-0005-0000-0000-0000DF490000}"/>
    <cellStyle name="Input 13 4 5 3" xfId="29069" xr:uid="{00000000-0005-0000-0000-0000E0490000}"/>
    <cellStyle name="Input 13 4 5 4" xfId="29070" xr:uid="{00000000-0005-0000-0000-0000E1490000}"/>
    <cellStyle name="Input 13 4 6" xfId="13321" xr:uid="{00000000-0005-0000-0000-0000E2490000}"/>
    <cellStyle name="Input 13 4 6 2" xfId="13322" xr:uid="{00000000-0005-0000-0000-0000E3490000}"/>
    <cellStyle name="Input 13 4 6 3" xfId="29071" xr:uid="{00000000-0005-0000-0000-0000E4490000}"/>
    <cellStyle name="Input 13 4 6 4" xfId="29072" xr:uid="{00000000-0005-0000-0000-0000E5490000}"/>
    <cellStyle name="Input 13 4 7" xfId="13323" xr:uid="{00000000-0005-0000-0000-0000E6490000}"/>
    <cellStyle name="Input 13 4 7 2" xfId="13324" xr:uid="{00000000-0005-0000-0000-0000E7490000}"/>
    <cellStyle name="Input 13 4 7 3" xfId="29073" xr:uid="{00000000-0005-0000-0000-0000E8490000}"/>
    <cellStyle name="Input 13 4 7 4" xfId="29074" xr:uid="{00000000-0005-0000-0000-0000E9490000}"/>
    <cellStyle name="Input 13 4 8" xfId="13325" xr:uid="{00000000-0005-0000-0000-0000EA490000}"/>
    <cellStyle name="Input 13 4 9" xfId="29075" xr:uid="{00000000-0005-0000-0000-0000EB490000}"/>
    <cellStyle name="Input 13 5" xfId="13326" xr:uid="{00000000-0005-0000-0000-0000EC490000}"/>
    <cellStyle name="Input 13 5 10" xfId="29076" xr:uid="{00000000-0005-0000-0000-0000ED490000}"/>
    <cellStyle name="Input 13 5 2" xfId="13327" xr:uid="{00000000-0005-0000-0000-0000EE490000}"/>
    <cellStyle name="Input 13 5 2 2" xfId="13328" xr:uid="{00000000-0005-0000-0000-0000EF490000}"/>
    <cellStyle name="Input 13 5 2 3" xfId="29077" xr:uid="{00000000-0005-0000-0000-0000F0490000}"/>
    <cellStyle name="Input 13 5 2 4" xfId="29078" xr:uid="{00000000-0005-0000-0000-0000F1490000}"/>
    <cellStyle name="Input 13 5 3" xfId="13329" xr:uid="{00000000-0005-0000-0000-0000F2490000}"/>
    <cellStyle name="Input 13 5 3 2" xfId="13330" xr:uid="{00000000-0005-0000-0000-0000F3490000}"/>
    <cellStyle name="Input 13 5 3 3" xfId="29079" xr:uid="{00000000-0005-0000-0000-0000F4490000}"/>
    <cellStyle name="Input 13 5 3 4" xfId="29080" xr:uid="{00000000-0005-0000-0000-0000F5490000}"/>
    <cellStyle name="Input 13 5 4" xfId="13331" xr:uid="{00000000-0005-0000-0000-0000F6490000}"/>
    <cellStyle name="Input 13 5 4 2" xfId="13332" xr:uid="{00000000-0005-0000-0000-0000F7490000}"/>
    <cellStyle name="Input 13 5 4 3" xfId="29081" xr:uid="{00000000-0005-0000-0000-0000F8490000}"/>
    <cellStyle name="Input 13 5 4 4" xfId="29082" xr:uid="{00000000-0005-0000-0000-0000F9490000}"/>
    <cellStyle name="Input 13 5 5" xfId="13333" xr:uid="{00000000-0005-0000-0000-0000FA490000}"/>
    <cellStyle name="Input 13 5 5 2" xfId="13334" xr:uid="{00000000-0005-0000-0000-0000FB490000}"/>
    <cellStyle name="Input 13 5 5 3" xfId="29083" xr:uid="{00000000-0005-0000-0000-0000FC490000}"/>
    <cellStyle name="Input 13 5 5 4" xfId="29084" xr:uid="{00000000-0005-0000-0000-0000FD490000}"/>
    <cellStyle name="Input 13 5 6" xfId="13335" xr:uid="{00000000-0005-0000-0000-0000FE490000}"/>
    <cellStyle name="Input 13 5 6 2" xfId="13336" xr:uid="{00000000-0005-0000-0000-0000FF490000}"/>
    <cellStyle name="Input 13 5 6 3" xfId="29085" xr:uid="{00000000-0005-0000-0000-0000004A0000}"/>
    <cellStyle name="Input 13 5 6 4" xfId="29086" xr:uid="{00000000-0005-0000-0000-0000014A0000}"/>
    <cellStyle name="Input 13 5 7" xfId="13337" xr:uid="{00000000-0005-0000-0000-0000024A0000}"/>
    <cellStyle name="Input 13 5 7 2" xfId="13338" xr:uid="{00000000-0005-0000-0000-0000034A0000}"/>
    <cellStyle name="Input 13 5 7 3" xfId="29087" xr:uid="{00000000-0005-0000-0000-0000044A0000}"/>
    <cellStyle name="Input 13 5 7 4" xfId="29088" xr:uid="{00000000-0005-0000-0000-0000054A0000}"/>
    <cellStyle name="Input 13 5 8" xfId="13339" xr:uid="{00000000-0005-0000-0000-0000064A0000}"/>
    <cellStyle name="Input 13 5 9" xfId="29089" xr:uid="{00000000-0005-0000-0000-0000074A0000}"/>
    <cellStyle name="Input 13 6" xfId="13340" xr:uid="{00000000-0005-0000-0000-0000084A0000}"/>
    <cellStyle name="Input 13 6 2" xfId="13341" xr:uid="{00000000-0005-0000-0000-0000094A0000}"/>
    <cellStyle name="Input 13 6 3" xfId="29090" xr:uid="{00000000-0005-0000-0000-00000A4A0000}"/>
    <cellStyle name="Input 13 6 4" xfId="29091" xr:uid="{00000000-0005-0000-0000-00000B4A0000}"/>
    <cellStyle name="Input 13 7" xfId="13342" xr:uid="{00000000-0005-0000-0000-00000C4A0000}"/>
    <cellStyle name="Input 13 7 2" xfId="13343" xr:uid="{00000000-0005-0000-0000-00000D4A0000}"/>
    <cellStyle name="Input 13 7 3" xfId="29092" xr:uid="{00000000-0005-0000-0000-00000E4A0000}"/>
    <cellStyle name="Input 13 7 4" xfId="29093" xr:uid="{00000000-0005-0000-0000-00000F4A0000}"/>
    <cellStyle name="Input 13 8" xfId="13344" xr:uid="{00000000-0005-0000-0000-0000104A0000}"/>
    <cellStyle name="Input 13 8 2" xfId="13345" xr:uid="{00000000-0005-0000-0000-0000114A0000}"/>
    <cellStyle name="Input 13 8 3" xfId="29094" xr:uid="{00000000-0005-0000-0000-0000124A0000}"/>
    <cellStyle name="Input 13 8 4" xfId="29095" xr:uid="{00000000-0005-0000-0000-0000134A0000}"/>
    <cellStyle name="Input 13 9" xfId="13346" xr:uid="{00000000-0005-0000-0000-0000144A0000}"/>
    <cellStyle name="Input 13 9 2" xfId="13347" xr:uid="{00000000-0005-0000-0000-0000154A0000}"/>
    <cellStyle name="Input 13 9 3" xfId="29096" xr:uid="{00000000-0005-0000-0000-0000164A0000}"/>
    <cellStyle name="Input 13 9 4" xfId="29097" xr:uid="{00000000-0005-0000-0000-0000174A0000}"/>
    <cellStyle name="Input 14" xfId="13348" xr:uid="{00000000-0005-0000-0000-0000184A0000}"/>
    <cellStyle name="Input 14 10" xfId="13349" xr:uid="{00000000-0005-0000-0000-0000194A0000}"/>
    <cellStyle name="Input 14 10 2" xfId="13350" xr:uid="{00000000-0005-0000-0000-00001A4A0000}"/>
    <cellStyle name="Input 14 10 3" xfId="29098" xr:uid="{00000000-0005-0000-0000-00001B4A0000}"/>
    <cellStyle name="Input 14 10 4" xfId="29099" xr:uid="{00000000-0005-0000-0000-00001C4A0000}"/>
    <cellStyle name="Input 14 11" xfId="13351" xr:uid="{00000000-0005-0000-0000-00001D4A0000}"/>
    <cellStyle name="Input 14 11 2" xfId="13352" xr:uid="{00000000-0005-0000-0000-00001E4A0000}"/>
    <cellStyle name="Input 14 11 3" xfId="29100" xr:uid="{00000000-0005-0000-0000-00001F4A0000}"/>
    <cellStyle name="Input 14 11 4" xfId="29101" xr:uid="{00000000-0005-0000-0000-0000204A0000}"/>
    <cellStyle name="Input 14 12" xfId="13353" xr:uid="{00000000-0005-0000-0000-0000214A0000}"/>
    <cellStyle name="Input 14 13" xfId="29102" xr:uid="{00000000-0005-0000-0000-0000224A0000}"/>
    <cellStyle name="Input 14 14" xfId="29103" xr:uid="{00000000-0005-0000-0000-0000234A0000}"/>
    <cellStyle name="Input 14 2" xfId="13354" xr:uid="{00000000-0005-0000-0000-0000244A0000}"/>
    <cellStyle name="Input 14 2 10" xfId="29104" xr:uid="{00000000-0005-0000-0000-0000254A0000}"/>
    <cellStyle name="Input 14 2 2" xfId="13355" xr:uid="{00000000-0005-0000-0000-0000264A0000}"/>
    <cellStyle name="Input 14 2 2 2" xfId="13356" xr:uid="{00000000-0005-0000-0000-0000274A0000}"/>
    <cellStyle name="Input 14 2 2 3" xfId="29105" xr:uid="{00000000-0005-0000-0000-0000284A0000}"/>
    <cellStyle name="Input 14 2 2 4" xfId="29106" xr:uid="{00000000-0005-0000-0000-0000294A0000}"/>
    <cellStyle name="Input 14 2 3" xfId="13357" xr:uid="{00000000-0005-0000-0000-00002A4A0000}"/>
    <cellStyle name="Input 14 2 3 2" xfId="13358" xr:uid="{00000000-0005-0000-0000-00002B4A0000}"/>
    <cellStyle name="Input 14 2 3 3" xfId="29107" xr:uid="{00000000-0005-0000-0000-00002C4A0000}"/>
    <cellStyle name="Input 14 2 3 4" xfId="29108" xr:uid="{00000000-0005-0000-0000-00002D4A0000}"/>
    <cellStyle name="Input 14 2 4" xfId="13359" xr:uid="{00000000-0005-0000-0000-00002E4A0000}"/>
    <cellStyle name="Input 14 2 4 2" xfId="13360" xr:uid="{00000000-0005-0000-0000-00002F4A0000}"/>
    <cellStyle name="Input 14 2 4 3" xfId="29109" xr:uid="{00000000-0005-0000-0000-0000304A0000}"/>
    <cellStyle name="Input 14 2 4 4" xfId="29110" xr:uid="{00000000-0005-0000-0000-0000314A0000}"/>
    <cellStyle name="Input 14 2 5" xfId="13361" xr:uid="{00000000-0005-0000-0000-0000324A0000}"/>
    <cellStyle name="Input 14 2 5 2" xfId="13362" xr:uid="{00000000-0005-0000-0000-0000334A0000}"/>
    <cellStyle name="Input 14 2 5 3" xfId="29111" xr:uid="{00000000-0005-0000-0000-0000344A0000}"/>
    <cellStyle name="Input 14 2 5 4" xfId="29112" xr:uid="{00000000-0005-0000-0000-0000354A0000}"/>
    <cellStyle name="Input 14 2 6" xfId="13363" xr:uid="{00000000-0005-0000-0000-0000364A0000}"/>
    <cellStyle name="Input 14 2 6 2" xfId="13364" xr:uid="{00000000-0005-0000-0000-0000374A0000}"/>
    <cellStyle name="Input 14 2 6 3" xfId="29113" xr:uid="{00000000-0005-0000-0000-0000384A0000}"/>
    <cellStyle name="Input 14 2 6 4" xfId="29114" xr:uid="{00000000-0005-0000-0000-0000394A0000}"/>
    <cellStyle name="Input 14 2 7" xfId="13365" xr:uid="{00000000-0005-0000-0000-00003A4A0000}"/>
    <cellStyle name="Input 14 2 7 2" xfId="13366" xr:uid="{00000000-0005-0000-0000-00003B4A0000}"/>
    <cellStyle name="Input 14 2 7 3" xfId="29115" xr:uid="{00000000-0005-0000-0000-00003C4A0000}"/>
    <cellStyle name="Input 14 2 7 4" xfId="29116" xr:uid="{00000000-0005-0000-0000-00003D4A0000}"/>
    <cellStyle name="Input 14 2 8" xfId="13367" xr:uid="{00000000-0005-0000-0000-00003E4A0000}"/>
    <cellStyle name="Input 14 2 9" xfId="29117" xr:uid="{00000000-0005-0000-0000-00003F4A0000}"/>
    <cellStyle name="Input 14 3" xfId="13368" xr:uid="{00000000-0005-0000-0000-0000404A0000}"/>
    <cellStyle name="Input 14 3 10" xfId="29118" xr:uid="{00000000-0005-0000-0000-0000414A0000}"/>
    <cellStyle name="Input 14 3 2" xfId="13369" xr:uid="{00000000-0005-0000-0000-0000424A0000}"/>
    <cellStyle name="Input 14 3 2 2" xfId="13370" xr:uid="{00000000-0005-0000-0000-0000434A0000}"/>
    <cellStyle name="Input 14 3 2 3" xfId="29119" xr:uid="{00000000-0005-0000-0000-0000444A0000}"/>
    <cellStyle name="Input 14 3 2 4" xfId="29120" xr:uid="{00000000-0005-0000-0000-0000454A0000}"/>
    <cellStyle name="Input 14 3 3" xfId="13371" xr:uid="{00000000-0005-0000-0000-0000464A0000}"/>
    <cellStyle name="Input 14 3 3 2" xfId="13372" xr:uid="{00000000-0005-0000-0000-0000474A0000}"/>
    <cellStyle name="Input 14 3 3 3" xfId="29121" xr:uid="{00000000-0005-0000-0000-0000484A0000}"/>
    <cellStyle name="Input 14 3 3 4" xfId="29122" xr:uid="{00000000-0005-0000-0000-0000494A0000}"/>
    <cellStyle name="Input 14 3 4" xfId="13373" xr:uid="{00000000-0005-0000-0000-00004A4A0000}"/>
    <cellStyle name="Input 14 3 4 2" xfId="13374" xr:uid="{00000000-0005-0000-0000-00004B4A0000}"/>
    <cellStyle name="Input 14 3 4 3" xfId="29123" xr:uid="{00000000-0005-0000-0000-00004C4A0000}"/>
    <cellStyle name="Input 14 3 4 4" xfId="29124" xr:uid="{00000000-0005-0000-0000-00004D4A0000}"/>
    <cellStyle name="Input 14 3 5" xfId="13375" xr:uid="{00000000-0005-0000-0000-00004E4A0000}"/>
    <cellStyle name="Input 14 3 5 2" xfId="13376" xr:uid="{00000000-0005-0000-0000-00004F4A0000}"/>
    <cellStyle name="Input 14 3 5 3" xfId="29125" xr:uid="{00000000-0005-0000-0000-0000504A0000}"/>
    <cellStyle name="Input 14 3 5 4" xfId="29126" xr:uid="{00000000-0005-0000-0000-0000514A0000}"/>
    <cellStyle name="Input 14 3 6" xfId="13377" xr:uid="{00000000-0005-0000-0000-0000524A0000}"/>
    <cellStyle name="Input 14 3 6 2" xfId="13378" xr:uid="{00000000-0005-0000-0000-0000534A0000}"/>
    <cellStyle name="Input 14 3 6 3" xfId="29127" xr:uid="{00000000-0005-0000-0000-0000544A0000}"/>
    <cellStyle name="Input 14 3 6 4" xfId="29128" xr:uid="{00000000-0005-0000-0000-0000554A0000}"/>
    <cellStyle name="Input 14 3 7" xfId="13379" xr:uid="{00000000-0005-0000-0000-0000564A0000}"/>
    <cellStyle name="Input 14 3 7 2" xfId="13380" xr:uid="{00000000-0005-0000-0000-0000574A0000}"/>
    <cellStyle name="Input 14 3 7 3" xfId="29129" xr:uid="{00000000-0005-0000-0000-0000584A0000}"/>
    <cellStyle name="Input 14 3 7 4" xfId="29130" xr:uid="{00000000-0005-0000-0000-0000594A0000}"/>
    <cellStyle name="Input 14 3 8" xfId="13381" xr:uid="{00000000-0005-0000-0000-00005A4A0000}"/>
    <cellStyle name="Input 14 3 9" xfId="29131" xr:uid="{00000000-0005-0000-0000-00005B4A0000}"/>
    <cellStyle name="Input 14 4" xfId="13382" xr:uid="{00000000-0005-0000-0000-00005C4A0000}"/>
    <cellStyle name="Input 14 4 10" xfId="29132" xr:uid="{00000000-0005-0000-0000-00005D4A0000}"/>
    <cellStyle name="Input 14 4 2" xfId="13383" xr:uid="{00000000-0005-0000-0000-00005E4A0000}"/>
    <cellStyle name="Input 14 4 2 2" xfId="13384" xr:uid="{00000000-0005-0000-0000-00005F4A0000}"/>
    <cellStyle name="Input 14 4 2 3" xfId="29133" xr:uid="{00000000-0005-0000-0000-0000604A0000}"/>
    <cellStyle name="Input 14 4 2 4" xfId="29134" xr:uid="{00000000-0005-0000-0000-0000614A0000}"/>
    <cellStyle name="Input 14 4 3" xfId="13385" xr:uid="{00000000-0005-0000-0000-0000624A0000}"/>
    <cellStyle name="Input 14 4 3 2" xfId="13386" xr:uid="{00000000-0005-0000-0000-0000634A0000}"/>
    <cellStyle name="Input 14 4 3 3" xfId="29135" xr:uid="{00000000-0005-0000-0000-0000644A0000}"/>
    <cellStyle name="Input 14 4 3 4" xfId="29136" xr:uid="{00000000-0005-0000-0000-0000654A0000}"/>
    <cellStyle name="Input 14 4 4" xfId="13387" xr:uid="{00000000-0005-0000-0000-0000664A0000}"/>
    <cellStyle name="Input 14 4 4 2" xfId="13388" xr:uid="{00000000-0005-0000-0000-0000674A0000}"/>
    <cellStyle name="Input 14 4 4 3" xfId="29137" xr:uid="{00000000-0005-0000-0000-0000684A0000}"/>
    <cellStyle name="Input 14 4 4 4" xfId="29138" xr:uid="{00000000-0005-0000-0000-0000694A0000}"/>
    <cellStyle name="Input 14 4 5" xfId="13389" xr:uid="{00000000-0005-0000-0000-00006A4A0000}"/>
    <cellStyle name="Input 14 4 5 2" xfId="13390" xr:uid="{00000000-0005-0000-0000-00006B4A0000}"/>
    <cellStyle name="Input 14 4 5 3" xfId="29139" xr:uid="{00000000-0005-0000-0000-00006C4A0000}"/>
    <cellStyle name="Input 14 4 5 4" xfId="29140" xr:uid="{00000000-0005-0000-0000-00006D4A0000}"/>
    <cellStyle name="Input 14 4 6" xfId="13391" xr:uid="{00000000-0005-0000-0000-00006E4A0000}"/>
    <cellStyle name="Input 14 4 6 2" xfId="13392" xr:uid="{00000000-0005-0000-0000-00006F4A0000}"/>
    <cellStyle name="Input 14 4 6 3" xfId="29141" xr:uid="{00000000-0005-0000-0000-0000704A0000}"/>
    <cellStyle name="Input 14 4 6 4" xfId="29142" xr:uid="{00000000-0005-0000-0000-0000714A0000}"/>
    <cellStyle name="Input 14 4 7" xfId="13393" xr:uid="{00000000-0005-0000-0000-0000724A0000}"/>
    <cellStyle name="Input 14 4 7 2" xfId="13394" xr:uid="{00000000-0005-0000-0000-0000734A0000}"/>
    <cellStyle name="Input 14 4 7 3" xfId="29143" xr:uid="{00000000-0005-0000-0000-0000744A0000}"/>
    <cellStyle name="Input 14 4 7 4" xfId="29144" xr:uid="{00000000-0005-0000-0000-0000754A0000}"/>
    <cellStyle name="Input 14 4 8" xfId="13395" xr:uid="{00000000-0005-0000-0000-0000764A0000}"/>
    <cellStyle name="Input 14 4 9" xfId="29145" xr:uid="{00000000-0005-0000-0000-0000774A0000}"/>
    <cellStyle name="Input 14 5" xfId="13396" xr:uid="{00000000-0005-0000-0000-0000784A0000}"/>
    <cellStyle name="Input 14 5 10" xfId="29146" xr:uid="{00000000-0005-0000-0000-0000794A0000}"/>
    <cellStyle name="Input 14 5 2" xfId="13397" xr:uid="{00000000-0005-0000-0000-00007A4A0000}"/>
    <cellStyle name="Input 14 5 2 2" xfId="13398" xr:uid="{00000000-0005-0000-0000-00007B4A0000}"/>
    <cellStyle name="Input 14 5 2 3" xfId="29147" xr:uid="{00000000-0005-0000-0000-00007C4A0000}"/>
    <cellStyle name="Input 14 5 2 4" xfId="29148" xr:uid="{00000000-0005-0000-0000-00007D4A0000}"/>
    <cellStyle name="Input 14 5 3" xfId="13399" xr:uid="{00000000-0005-0000-0000-00007E4A0000}"/>
    <cellStyle name="Input 14 5 3 2" xfId="13400" xr:uid="{00000000-0005-0000-0000-00007F4A0000}"/>
    <cellStyle name="Input 14 5 3 3" xfId="29149" xr:uid="{00000000-0005-0000-0000-0000804A0000}"/>
    <cellStyle name="Input 14 5 3 4" xfId="29150" xr:uid="{00000000-0005-0000-0000-0000814A0000}"/>
    <cellStyle name="Input 14 5 4" xfId="13401" xr:uid="{00000000-0005-0000-0000-0000824A0000}"/>
    <cellStyle name="Input 14 5 4 2" xfId="13402" xr:uid="{00000000-0005-0000-0000-0000834A0000}"/>
    <cellStyle name="Input 14 5 4 3" xfId="29151" xr:uid="{00000000-0005-0000-0000-0000844A0000}"/>
    <cellStyle name="Input 14 5 4 4" xfId="29152" xr:uid="{00000000-0005-0000-0000-0000854A0000}"/>
    <cellStyle name="Input 14 5 5" xfId="13403" xr:uid="{00000000-0005-0000-0000-0000864A0000}"/>
    <cellStyle name="Input 14 5 5 2" xfId="13404" xr:uid="{00000000-0005-0000-0000-0000874A0000}"/>
    <cellStyle name="Input 14 5 5 3" xfId="29153" xr:uid="{00000000-0005-0000-0000-0000884A0000}"/>
    <cellStyle name="Input 14 5 5 4" xfId="29154" xr:uid="{00000000-0005-0000-0000-0000894A0000}"/>
    <cellStyle name="Input 14 5 6" xfId="13405" xr:uid="{00000000-0005-0000-0000-00008A4A0000}"/>
    <cellStyle name="Input 14 5 6 2" xfId="13406" xr:uid="{00000000-0005-0000-0000-00008B4A0000}"/>
    <cellStyle name="Input 14 5 6 3" xfId="29155" xr:uid="{00000000-0005-0000-0000-00008C4A0000}"/>
    <cellStyle name="Input 14 5 6 4" xfId="29156" xr:uid="{00000000-0005-0000-0000-00008D4A0000}"/>
    <cellStyle name="Input 14 5 7" xfId="13407" xr:uid="{00000000-0005-0000-0000-00008E4A0000}"/>
    <cellStyle name="Input 14 5 7 2" xfId="13408" xr:uid="{00000000-0005-0000-0000-00008F4A0000}"/>
    <cellStyle name="Input 14 5 7 3" xfId="29157" xr:uid="{00000000-0005-0000-0000-0000904A0000}"/>
    <cellStyle name="Input 14 5 7 4" xfId="29158" xr:uid="{00000000-0005-0000-0000-0000914A0000}"/>
    <cellStyle name="Input 14 5 8" xfId="13409" xr:uid="{00000000-0005-0000-0000-0000924A0000}"/>
    <cellStyle name="Input 14 5 9" xfId="29159" xr:uid="{00000000-0005-0000-0000-0000934A0000}"/>
    <cellStyle name="Input 14 6" xfId="13410" xr:uid="{00000000-0005-0000-0000-0000944A0000}"/>
    <cellStyle name="Input 14 6 2" xfId="13411" xr:uid="{00000000-0005-0000-0000-0000954A0000}"/>
    <cellStyle name="Input 14 6 3" xfId="29160" xr:uid="{00000000-0005-0000-0000-0000964A0000}"/>
    <cellStyle name="Input 14 6 4" xfId="29161" xr:uid="{00000000-0005-0000-0000-0000974A0000}"/>
    <cellStyle name="Input 14 7" xfId="13412" xr:uid="{00000000-0005-0000-0000-0000984A0000}"/>
    <cellStyle name="Input 14 7 2" xfId="13413" xr:uid="{00000000-0005-0000-0000-0000994A0000}"/>
    <cellStyle name="Input 14 7 3" xfId="29162" xr:uid="{00000000-0005-0000-0000-00009A4A0000}"/>
    <cellStyle name="Input 14 7 4" xfId="29163" xr:uid="{00000000-0005-0000-0000-00009B4A0000}"/>
    <cellStyle name="Input 14 8" xfId="13414" xr:uid="{00000000-0005-0000-0000-00009C4A0000}"/>
    <cellStyle name="Input 14 8 2" xfId="13415" xr:uid="{00000000-0005-0000-0000-00009D4A0000}"/>
    <cellStyle name="Input 14 8 3" xfId="29164" xr:uid="{00000000-0005-0000-0000-00009E4A0000}"/>
    <cellStyle name="Input 14 8 4" xfId="29165" xr:uid="{00000000-0005-0000-0000-00009F4A0000}"/>
    <cellStyle name="Input 14 9" xfId="13416" xr:uid="{00000000-0005-0000-0000-0000A04A0000}"/>
    <cellStyle name="Input 14 9 2" xfId="13417" xr:uid="{00000000-0005-0000-0000-0000A14A0000}"/>
    <cellStyle name="Input 14 9 3" xfId="29166" xr:uid="{00000000-0005-0000-0000-0000A24A0000}"/>
    <cellStyle name="Input 14 9 4" xfId="29167" xr:uid="{00000000-0005-0000-0000-0000A34A0000}"/>
    <cellStyle name="Input 15" xfId="13418" xr:uid="{00000000-0005-0000-0000-0000A44A0000}"/>
    <cellStyle name="Input 15 10" xfId="13419" xr:uid="{00000000-0005-0000-0000-0000A54A0000}"/>
    <cellStyle name="Input 15 10 2" xfId="13420" xr:uid="{00000000-0005-0000-0000-0000A64A0000}"/>
    <cellStyle name="Input 15 10 3" xfId="29168" xr:uid="{00000000-0005-0000-0000-0000A74A0000}"/>
    <cellStyle name="Input 15 10 4" xfId="29169" xr:uid="{00000000-0005-0000-0000-0000A84A0000}"/>
    <cellStyle name="Input 15 11" xfId="13421" xr:uid="{00000000-0005-0000-0000-0000A94A0000}"/>
    <cellStyle name="Input 15 11 2" xfId="13422" xr:uid="{00000000-0005-0000-0000-0000AA4A0000}"/>
    <cellStyle name="Input 15 11 3" xfId="29170" xr:uid="{00000000-0005-0000-0000-0000AB4A0000}"/>
    <cellStyle name="Input 15 11 4" xfId="29171" xr:uid="{00000000-0005-0000-0000-0000AC4A0000}"/>
    <cellStyle name="Input 15 12" xfId="13423" xr:uid="{00000000-0005-0000-0000-0000AD4A0000}"/>
    <cellStyle name="Input 15 13" xfId="29172" xr:uid="{00000000-0005-0000-0000-0000AE4A0000}"/>
    <cellStyle name="Input 15 14" xfId="29173" xr:uid="{00000000-0005-0000-0000-0000AF4A0000}"/>
    <cellStyle name="Input 15 2" xfId="13424" xr:uid="{00000000-0005-0000-0000-0000B04A0000}"/>
    <cellStyle name="Input 15 2 10" xfId="29174" xr:uid="{00000000-0005-0000-0000-0000B14A0000}"/>
    <cellStyle name="Input 15 2 2" xfId="13425" xr:uid="{00000000-0005-0000-0000-0000B24A0000}"/>
    <cellStyle name="Input 15 2 2 2" xfId="13426" xr:uid="{00000000-0005-0000-0000-0000B34A0000}"/>
    <cellStyle name="Input 15 2 2 3" xfId="29175" xr:uid="{00000000-0005-0000-0000-0000B44A0000}"/>
    <cellStyle name="Input 15 2 2 4" xfId="29176" xr:uid="{00000000-0005-0000-0000-0000B54A0000}"/>
    <cellStyle name="Input 15 2 3" xfId="13427" xr:uid="{00000000-0005-0000-0000-0000B64A0000}"/>
    <cellStyle name="Input 15 2 3 2" xfId="13428" xr:uid="{00000000-0005-0000-0000-0000B74A0000}"/>
    <cellStyle name="Input 15 2 3 3" xfId="29177" xr:uid="{00000000-0005-0000-0000-0000B84A0000}"/>
    <cellStyle name="Input 15 2 3 4" xfId="29178" xr:uid="{00000000-0005-0000-0000-0000B94A0000}"/>
    <cellStyle name="Input 15 2 4" xfId="13429" xr:uid="{00000000-0005-0000-0000-0000BA4A0000}"/>
    <cellStyle name="Input 15 2 4 2" xfId="13430" xr:uid="{00000000-0005-0000-0000-0000BB4A0000}"/>
    <cellStyle name="Input 15 2 4 3" xfId="29179" xr:uid="{00000000-0005-0000-0000-0000BC4A0000}"/>
    <cellStyle name="Input 15 2 4 4" xfId="29180" xr:uid="{00000000-0005-0000-0000-0000BD4A0000}"/>
    <cellStyle name="Input 15 2 5" xfId="13431" xr:uid="{00000000-0005-0000-0000-0000BE4A0000}"/>
    <cellStyle name="Input 15 2 5 2" xfId="13432" xr:uid="{00000000-0005-0000-0000-0000BF4A0000}"/>
    <cellStyle name="Input 15 2 5 3" xfId="29181" xr:uid="{00000000-0005-0000-0000-0000C04A0000}"/>
    <cellStyle name="Input 15 2 5 4" xfId="29182" xr:uid="{00000000-0005-0000-0000-0000C14A0000}"/>
    <cellStyle name="Input 15 2 6" xfId="13433" xr:uid="{00000000-0005-0000-0000-0000C24A0000}"/>
    <cellStyle name="Input 15 2 6 2" xfId="13434" xr:uid="{00000000-0005-0000-0000-0000C34A0000}"/>
    <cellStyle name="Input 15 2 6 3" xfId="29183" xr:uid="{00000000-0005-0000-0000-0000C44A0000}"/>
    <cellStyle name="Input 15 2 6 4" xfId="29184" xr:uid="{00000000-0005-0000-0000-0000C54A0000}"/>
    <cellStyle name="Input 15 2 7" xfId="13435" xr:uid="{00000000-0005-0000-0000-0000C64A0000}"/>
    <cellStyle name="Input 15 2 7 2" xfId="13436" xr:uid="{00000000-0005-0000-0000-0000C74A0000}"/>
    <cellStyle name="Input 15 2 7 3" xfId="29185" xr:uid="{00000000-0005-0000-0000-0000C84A0000}"/>
    <cellStyle name="Input 15 2 7 4" xfId="29186" xr:uid="{00000000-0005-0000-0000-0000C94A0000}"/>
    <cellStyle name="Input 15 2 8" xfId="13437" xr:uid="{00000000-0005-0000-0000-0000CA4A0000}"/>
    <cellStyle name="Input 15 2 9" xfId="29187" xr:uid="{00000000-0005-0000-0000-0000CB4A0000}"/>
    <cellStyle name="Input 15 3" xfId="13438" xr:uid="{00000000-0005-0000-0000-0000CC4A0000}"/>
    <cellStyle name="Input 15 3 10" xfId="29188" xr:uid="{00000000-0005-0000-0000-0000CD4A0000}"/>
    <cellStyle name="Input 15 3 2" xfId="13439" xr:uid="{00000000-0005-0000-0000-0000CE4A0000}"/>
    <cellStyle name="Input 15 3 2 2" xfId="13440" xr:uid="{00000000-0005-0000-0000-0000CF4A0000}"/>
    <cellStyle name="Input 15 3 2 3" xfId="29189" xr:uid="{00000000-0005-0000-0000-0000D04A0000}"/>
    <cellStyle name="Input 15 3 2 4" xfId="29190" xr:uid="{00000000-0005-0000-0000-0000D14A0000}"/>
    <cellStyle name="Input 15 3 3" xfId="13441" xr:uid="{00000000-0005-0000-0000-0000D24A0000}"/>
    <cellStyle name="Input 15 3 3 2" xfId="13442" xr:uid="{00000000-0005-0000-0000-0000D34A0000}"/>
    <cellStyle name="Input 15 3 3 3" xfId="29191" xr:uid="{00000000-0005-0000-0000-0000D44A0000}"/>
    <cellStyle name="Input 15 3 3 4" xfId="29192" xr:uid="{00000000-0005-0000-0000-0000D54A0000}"/>
    <cellStyle name="Input 15 3 4" xfId="13443" xr:uid="{00000000-0005-0000-0000-0000D64A0000}"/>
    <cellStyle name="Input 15 3 4 2" xfId="13444" xr:uid="{00000000-0005-0000-0000-0000D74A0000}"/>
    <cellStyle name="Input 15 3 4 3" xfId="29193" xr:uid="{00000000-0005-0000-0000-0000D84A0000}"/>
    <cellStyle name="Input 15 3 4 4" xfId="29194" xr:uid="{00000000-0005-0000-0000-0000D94A0000}"/>
    <cellStyle name="Input 15 3 5" xfId="13445" xr:uid="{00000000-0005-0000-0000-0000DA4A0000}"/>
    <cellStyle name="Input 15 3 5 2" xfId="13446" xr:uid="{00000000-0005-0000-0000-0000DB4A0000}"/>
    <cellStyle name="Input 15 3 5 3" xfId="29195" xr:uid="{00000000-0005-0000-0000-0000DC4A0000}"/>
    <cellStyle name="Input 15 3 5 4" xfId="29196" xr:uid="{00000000-0005-0000-0000-0000DD4A0000}"/>
    <cellStyle name="Input 15 3 6" xfId="13447" xr:uid="{00000000-0005-0000-0000-0000DE4A0000}"/>
    <cellStyle name="Input 15 3 6 2" xfId="13448" xr:uid="{00000000-0005-0000-0000-0000DF4A0000}"/>
    <cellStyle name="Input 15 3 6 3" xfId="29197" xr:uid="{00000000-0005-0000-0000-0000E04A0000}"/>
    <cellStyle name="Input 15 3 6 4" xfId="29198" xr:uid="{00000000-0005-0000-0000-0000E14A0000}"/>
    <cellStyle name="Input 15 3 7" xfId="13449" xr:uid="{00000000-0005-0000-0000-0000E24A0000}"/>
    <cellStyle name="Input 15 3 7 2" xfId="13450" xr:uid="{00000000-0005-0000-0000-0000E34A0000}"/>
    <cellStyle name="Input 15 3 7 3" xfId="29199" xr:uid="{00000000-0005-0000-0000-0000E44A0000}"/>
    <cellStyle name="Input 15 3 7 4" xfId="29200" xr:uid="{00000000-0005-0000-0000-0000E54A0000}"/>
    <cellStyle name="Input 15 3 8" xfId="13451" xr:uid="{00000000-0005-0000-0000-0000E64A0000}"/>
    <cellStyle name="Input 15 3 9" xfId="29201" xr:uid="{00000000-0005-0000-0000-0000E74A0000}"/>
    <cellStyle name="Input 15 4" xfId="13452" xr:uid="{00000000-0005-0000-0000-0000E84A0000}"/>
    <cellStyle name="Input 15 4 10" xfId="29202" xr:uid="{00000000-0005-0000-0000-0000E94A0000}"/>
    <cellStyle name="Input 15 4 2" xfId="13453" xr:uid="{00000000-0005-0000-0000-0000EA4A0000}"/>
    <cellStyle name="Input 15 4 2 2" xfId="13454" xr:uid="{00000000-0005-0000-0000-0000EB4A0000}"/>
    <cellStyle name="Input 15 4 2 3" xfId="29203" xr:uid="{00000000-0005-0000-0000-0000EC4A0000}"/>
    <cellStyle name="Input 15 4 2 4" xfId="29204" xr:uid="{00000000-0005-0000-0000-0000ED4A0000}"/>
    <cellStyle name="Input 15 4 3" xfId="13455" xr:uid="{00000000-0005-0000-0000-0000EE4A0000}"/>
    <cellStyle name="Input 15 4 3 2" xfId="13456" xr:uid="{00000000-0005-0000-0000-0000EF4A0000}"/>
    <cellStyle name="Input 15 4 3 3" xfId="29205" xr:uid="{00000000-0005-0000-0000-0000F04A0000}"/>
    <cellStyle name="Input 15 4 3 4" xfId="29206" xr:uid="{00000000-0005-0000-0000-0000F14A0000}"/>
    <cellStyle name="Input 15 4 4" xfId="13457" xr:uid="{00000000-0005-0000-0000-0000F24A0000}"/>
    <cellStyle name="Input 15 4 4 2" xfId="13458" xr:uid="{00000000-0005-0000-0000-0000F34A0000}"/>
    <cellStyle name="Input 15 4 4 3" xfId="29207" xr:uid="{00000000-0005-0000-0000-0000F44A0000}"/>
    <cellStyle name="Input 15 4 4 4" xfId="29208" xr:uid="{00000000-0005-0000-0000-0000F54A0000}"/>
    <cellStyle name="Input 15 4 5" xfId="13459" xr:uid="{00000000-0005-0000-0000-0000F64A0000}"/>
    <cellStyle name="Input 15 4 5 2" xfId="13460" xr:uid="{00000000-0005-0000-0000-0000F74A0000}"/>
    <cellStyle name="Input 15 4 5 3" xfId="29209" xr:uid="{00000000-0005-0000-0000-0000F84A0000}"/>
    <cellStyle name="Input 15 4 5 4" xfId="29210" xr:uid="{00000000-0005-0000-0000-0000F94A0000}"/>
    <cellStyle name="Input 15 4 6" xfId="13461" xr:uid="{00000000-0005-0000-0000-0000FA4A0000}"/>
    <cellStyle name="Input 15 4 6 2" xfId="13462" xr:uid="{00000000-0005-0000-0000-0000FB4A0000}"/>
    <cellStyle name="Input 15 4 6 3" xfId="29211" xr:uid="{00000000-0005-0000-0000-0000FC4A0000}"/>
    <cellStyle name="Input 15 4 6 4" xfId="29212" xr:uid="{00000000-0005-0000-0000-0000FD4A0000}"/>
    <cellStyle name="Input 15 4 7" xfId="13463" xr:uid="{00000000-0005-0000-0000-0000FE4A0000}"/>
    <cellStyle name="Input 15 4 7 2" xfId="13464" xr:uid="{00000000-0005-0000-0000-0000FF4A0000}"/>
    <cellStyle name="Input 15 4 7 3" xfId="29213" xr:uid="{00000000-0005-0000-0000-0000004B0000}"/>
    <cellStyle name="Input 15 4 7 4" xfId="29214" xr:uid="{00000000-0005-0000-0000-0000014B0000}"/>
    <cellStyle name="Input 15 4 8" xfId="13465" xr:uid="{00000000-0005-0000-0000-0000024B0000}"/>
    <cellStyle name="Input 15 4 9" xfId="29215" xr:uid="{00000000-0005-0000-0000-0000034B0000}"/>
    <cellStyle name="Input 15 5" xfId="13466" xr:uid="{00000000-0005-0000-0000-0000044B0000}"/>
    <cellStyle name="Input 15 5 10" xfId="29216" xr:uid="{00000000-0005-0000-0000-0000054B0000}"/>
    <cellStyle name="Input 15 5 2" xfId="13467" xr:uid="{00000000-0005-0000-0000-0000064B0000}"/>
    <cellStyle name="Input 15 5 2 2" xfId="13468" xr:uid="{00000000-0005-0000-0000-0000074B0000}"/>
    <cellStyle name="Input 15 5 2 3" xfId="29217" xr:uid="{00000000-0005-0000-0000-0000084B0000}"/>
    <cellStyle name="Input 15 5 2 4" xfId="29218" xr:uid="{00000000-0005-0000-0000-0000094B0000}"/>
    <cellStyle name="Input 15 5 3" xfId="13469" xr:uid="{00000000-0005-0000-0000-00000A4B0000}"/>
    <cellStyle name="Input 15 5 3 2" xfId="13470" xr:uid="{00000000-0005-0000-0000-00000B4B0000}"/>
    <cellStyle name="Input 15 5 3 3" xfId="29219" xr:uid="{00000000-0005-0000-0000-00000C4B0000}"/>
    <cellStyle name="Input 15 5 3 4" xfId="29220" xr:uid="{00000000-0005-0000-0000-00000D4B0000}"/>
    <cellStyle name="Input 15 5 4" xfId="13471" xr:uid="{00000000-0005-0000-0000-00000E4B0000}"/>
    <cellStyle name="Input 15 5 4 2" xfId="13472" xr:uid="{00000000-0005-0000-0000-00000F4B0000}"/>
    <cellStyle name="Input 15 5 4 3" xfId="29221" xr:uid="{00000000-0005-0000-0000-0000104B0000}"/>
    <cellStyle name="Input 15 5 4 4" xfId="29222" xr:uid="{00000000-0005-0000-0000-0000114B0000}"/>
    <cellStyle name="Input 15 5 5" xfId="13473" xr:uid="{00000000-0005-0000-0000-0000124B0000}"/>
    <cellStyle name="Input 15 5 5 2" xfId="13474" xr:uid="{00000000-0005-0000-0000-0000134B0000}"/>
    <cellStyle name="Input 15 5 5 3" xfId="29223" xr:uid="{00000000-0005-0000-0000-0000144B0000}"/>
    <cellStyle name="Input 15 5 5 4" xfId="29224" xr:uid="{00000000-0005-0000-0000-0000154B0000}"/>
    <cellStyle name="Input 15 5 6" xfId="13475" xr:uid="{00000000-0005-0000-0000-0000164B0000}"/>
    <cellStyle name="Input 15 5 6 2" xfId="13476" xr:uid="{00000000-0005-0000-0000-0000174B0000}"/>
    <cellStyle name="Input 15 5 6 3" xfId="29225" xr:uid="{00000000-0005-0000-0000-0000184B0000}"/>
    <cellStyle name="Input 15 5 6 4" xfId="29226" xr:uid="{00000000-0005-0000-0000-0000194B0000}"/>
    <cellStyle name="Input 15 5 7" xfId="13477" xr:uid="{00000000-0005-0000-0000-00001A4B0000}"/>
    <cellStyle name="Input 15 5 7 2" xfId="13478" xr:uid="{00000000-0005-0000-0000-00001B4B0000}"/>
    <cellStyle name="Input 15 5 7 3" xfId="29227" xr:uid="{00000000-0005-0000-0000-00001C4B0000}"/>
    <cellStyle name="Input 15 5 7 4" xfId="29228" xr:uid="{00000000-0005-0000-0000-00001D4B0000}"/>
    <cellStyle name="Input 15 5 8" xfId="13479" xr:uid="{00000000-0005-0000-0000-00001E4B0000}"/>
    <cellStyle name="Input 15 5 9" xfId="29229" xr:uid="{00000000-0005-0000-0000-00001F4B0000}"/>
    <cellStyle name="Input 15 6" xfId="13480" xr:uid="{00000000-0005-0000-0000-0000204B0000}"/>
    <cellStyle name="Input 15 6 2" xfId="13481" xr:uid="{00000000-0005-0000-0000-0000214B0000}"/>
    <cellStyle name="Input 15 6 3" xfId="29230" xr:uid="{00000000-0005-0000-0000-0000224B0000}"/>
    <cellStyle name="Input 15 6 4" xfId="29231" xr:uid="{00000000-0005-0000-0000-0000234B0000}"/>
    <cellStyle name="Input 15 7" xfId="13482" xr:uid="{00000000-0005-0000-0000-0000244B0000}"/>
    <cellStyle name="Input 15 7 2" xfId="13483" xr:uid="{00000000-0005-0000-0000-0000254B0000}"/>
    <cellStyle name="Input 15 7 3" xfId="29232" xr:uid="{00000000-0005-0000-0000-0000264B0000}"/>
    <cellStyle name="Input 15 7 4" xfId="29233" xr:uid="{00000000-0005-0000-0000-0000274B0000}"/>
    <cellStyle name="Input 15 8" xfId="13484" xr:uid="{00000000-0005-0000-0000-0000284B0000}"/>
    <cellStyle name="Input 15 8 2" xfId="13485" xr:uid="{00000000-0005-0000-0000-0000294B0000}"/>
    <cellStyle name="Input 15 8 3" xfId="29234" xr:uid="{00000000-0005-0000-0000-00002A4B0000}"/>
    <cellStyle name="Input 15 8 4" xfId="29235" xr:uid="{00000000-0005-0000-0000-00002B4B0000}"/>
    <cellStyle name="Input 15 9" xfId="13486" xr:uid="{00000000-0005-0000-0000-00002C4B0000}"/>
    <cellStyle name="Input 15 9 2" xfId="13487" xr:uid="{00000000-0005-0000-0000-00002D4B0000}"/>
    <cellStyle name="Input 15 9 3" xfId="29236" xr:uid="{00000000-0005-0000-0000-00002E4B0000}"/>
    <cellStyle name="Input 15 9 4" xfId="29237" xr:uid="{00000000-0005-0000-0000-00002F4B0000}"/>
    <cellStyle name="Input 16" xfId="13488" xr:uid="{00000000-0005-0000-0000-0000304B0000}"/>
    <cellStyle name="Input 16 10" xfId="13489" xr:uid="{00000000-0005-0000-0000-0000314B0000}"/>
    <cellStyle name="Input 16 10 2" xfId="13490" xr:uid="{00000000-0005-0000-0000-0000324B0000}"/>
    <cellStyle name="Input 16 10 3" xfId="29238" xr:uid="{00000000-0005-0000-0000-0000334B0000}"/>
    <cellStyle name="Input 16 10 4" xfId="29239" xr:uid="{00000000-0005-0000-0000-0000344B0000}"/>
    <cellStyle name="Input 16 11" xfId="13491" xr:uid="{00000000-0005-0000-0000-0000354B0000}"/>
    <cellStyle name="Input 16 11 2" xfId="13492" xr:uid="{00000000-0005-0000-0000-0000364B0000}"/>
    <cellStyle name="Input 16 11 3" xfId="29240" xr:uid="{00000000-0005-0000-0000-0000374B0000}"/>
    <cellStyle name="Input 16 11 4" xfId="29241" xr:uid="{00000000-0005-0000-0000-0000384B0000}"/>
    <cellStyle name="Input 16 12" xfId="13493" xr:uid="{00000000-0005-0000-0000-0000394B0000}"/>
    <cellStyle name="Input 16 13" xfId="29242" xr:uid="{00000000-0005-0000-0000-00003A4B0000}"/>
    <cellStyle name="Input 16 14" xfId="29243" xr:uid="{00000000-0005-0000-0000-00003B4B0000}"/>
    <cellStyle name="Input 16 2" xfId="13494" xr:uid="{00000000-0005-0000-0000-00003C4B0000}"/>
    <cellStyle name="Input 16 2 10" xfId="29244" xr:uid="{00000000-0005-0000-0000-00003D4B0000}"/>
    <cellStyle name="Input 16 2 2" xfId="13495" xr:uid="{00000000-0005-0000-0000-00003E4B0000}"/>
    <cellStyle name="Input 16 2 2 2" xfId="13496" xr:uid="{00000000-0005-0000-0000-00003F4B0000}"/>
    <cellStyle name="Input 16 2 2 3" xfId="29245" xr:uid="{00000000-0005-0000-0000-0000404B0000}"/>
    <cellStyle name="Input 16 2 2 4" xfId="29246" xr:uid="{00000000-0005-0000-0000-0000414B0000}"/>
    <cellStyle name="Input 16 2 3" xfId="13497" xr:uid="{00000000-0005-0000-0000-0000424B0000}"/>
    <cellStyle name="Input 16 2 3 2" xfId="13498" xr:uid="{00000000-0005-0000-0000-0000434B0000}"/>
    <cellStyle name="Input 16 2 3 3" xfId="29247" xr:uid="{00000000-0005-0000-0000-0000444B0000}"/>
    <cellStyle name="Input 16 2 3 4" xfId="29248" xr:uid="{00000000-0005-0000-0000-0000454B0000}"/>
    <cellStyle name="Input 16 2 4" xfId="13499" xr:uid="{00000000-0005-0000-0000-0000464B0000}"/>
    <cellStyle name="Input 16 2 4 2" xfId="13500" xr:uid="{00000000-0005-0000-0000-0000474B0000}"/>
    <cellStyle name="Input 16 2 4 3" xfId="29249" xr:uid="{00000000-0005-0000-0000-0000484B0000}"/>
    <cellStyle name="Input 16 2 4 4" xfId="29250" xr:uid="{00000000-0005-0000-0000-0000494B0000}"/>
    <cellStyle name="Input 16 2 5" xfId="13501" xr:uid="{00000000-0005-0000-0000-00004A4B0000}"/>
    <cellStyle name="Input 16 2 5 2" xfId="13502" xr:uid="{00000000-0005-0000-0000-00004B4B0000}"/>
    <cellStyle name="Input 16 2 5 3" xfId="29251" xr:uid="{00000000-0005-0000-0000-00004C4B0000}"/>
    <cellStyle name="Input 16 2 5 4" xfId="29252" xr:uid="{00000000-0005-0000-0000-00004D4B0000}"/>
    <cellStyle name="Input 16 2 6" xfId="13503" xr:uid="{00000000-0005-0000-0000-00004E4B0000}"/>
    <cellStyle name="Input 16 2 6 2" xfId="13504" xr:uid="{00000000-0005-0000-0000-00004F4B0000}"/>
    <cellStyle name="Input 16 2 6 3" xfId="29253" xr:uid="{00000000-0005-0000-0000-0000504B0000}"/>
    <cellStyle name="Input 16 2 6 4" xfId="29254" xr:uid="{00000000-0005-0000-0000-0000514B0000}"/>
    <cellStyle name="Input 16 2 7" xfId="13505" xr:uid="{00000000-0005-0000-0000-0000524B0000}"/>
    <cellStyle name="Input 16 2 7 2" xfId="13506" xr:uid="{00000000-0005-0000-0000-0000534B0000}"/>
    <cellStyle name="Input 16 2 7 3" xfId="29255" xr:uid="{00000000-0005-0000-0000-0000544B0000}"/>
    <cellStyle name="Input 16 2 7 4" xfId="29256" xr:uid="{00000000-0005-0000-0000-0000554B0000}"/>
    <cellStyle name="Input 16 2 8" xfId="13507" xr:uid="{00000000-0005-0000-0000-0000564B0000}"/>
    <cellStyle name="Input 16 2 9" xfId="29257" xr:uid="{00000000-0005-0000-0000-0000574B0000}"/>
    <cellStyle name="Input 16 3" xfId="13508" xr:uid="{00000000-0005-0000-0000-0000584B0000}"/>
    <cellStyle name="Input 16 3 10" xfId="29258" xr:uid="{00000000-0005-0000-0000-0000594B0000}"/>
    <cellStyle name="Input 16 3 2" xfId="13509" xr:uid="{00000000-0005-0000-0000-00005A4B0000}"/>
    <cellStyle name="Input 16 3 2 2" xfId="13510" xr:uid="{00000000-0005-0000-0000-00005B4B0000}"/>
    <cellStyle name="Input 16 3 2 3" xfId="29259" xr:uid="{00000000-0005-0000-0000-00005C4B0000}"/>
    <cellStyle name="Input 16 3 2 4" xfId="29260" xr:uid="{00000000-0005-0000-0000-00005D4B0000}"/>
    <cellStyle name="Input 16 3 3" xfId="13511" xr:uid="{00000000-0005-0000-0000-00005E4B0000}"/>
    <cellStyle name="Input 16 3 3 2" xfId="13512" xr:uid="{00000000-0005-0000-0000-00005F4B0000}"/>
    <cellStyle name="Input 16 3 3 3" xfId="29261" xr:uid="{00000000-0005-0000-0000-0000604B0000}"/>
    <cellStyle name="Input 16 3 3 4" xfId="29262" xr:uid="{00000000-0005-0000-0000-0000614B0000}"/>
    <cellStyle name="Input 16 3 4" xfId="13513" xr:uid="{00000000-0005-0000-0000-0000624B0000}"/>
    <cellStyle name="Input 16 3 4 2" xfId="13514" xr:uid="{00000000-0005-0000-0000-0000634B0000}"/>
    <cellStyle name="Input 16 3 4 3" xfId="29263" xr:uid="{00000000-0005-0000-0000-0000644B0000}"/>
    <cellStyle name="Input 16 3 4 4" xfId="29264" xr:uid="{00000000-0005-0000-0000-0000654B0000}"/>
    <cellStyle name="Input 16 3 5" xfId="13515" xr:uid="{00000000-0005-0000-0000-0000664B0000}"/>
    <cellStyle name="Input 16 3 5 2" xfId="13516" xr:uid="{00000000-0005-0000-0000-0000674B0000}"/>
    <cellStyle name="Input 16 3 5 3" xfId="29265" xr:uid="{00000000-0005-0000-0000-0000684B0000}"/>
    <cellStyle name="Input 16 3 5 4" xfId="29266" xr:uid="{00000000-0005-0000-0000-0000694B0000}"/>
    <cellStyle name="Input 16 3 6" xfId="13517" xr:uid="{00000000-0005-0000-0000-00006A4B0000}"/>
    <cellStyle name="Input 16 3 6 2" xfId="13518" xr:uid="{00000000-0005-0000-0000-00006B4B0000}"/>
    <cellStyle name="Input 16 3 6 3" xfId="29267" xr:uid="{00000000-0005-0000-0000-00006C4B0000}"/>
    <cellStyle name="Input 16 3 6 4" xfId="29268" xr:uid="{00000000-0005-0000-0000-00006D4B0000}"/>
    <cellStyle name="Input 16 3 7" xfId="13519" xr:uid="{00000000-0005-0000-0000-00006E4B0000}"/>
    <cellStyle name="Input 16 3 7 2" xfId="13520" xr:uid="{00000000-0005-0000-0000-00006F4B0000}"/>
    <cellStyle name="Input 16 3 7 3" xfId="29269" xr:uid="{00000000-0005-0000-0000-0000704B0000}"/>
    <cellStyle name="Input 16 3 7 4" xfId="29270" xr:uid="{00000000-0005-0000-0000-0000714B0000}"/>
    <cellStyle name="Input 16 3 8" xfId="13521" xr:uid="{00000000-0005-0000-0000-0000724B0000}"/>
    <cellStyle name="Input 16 3 9" xfId="29271" xr:uid="{00000000-0005-0000-0000-0000734B0000}"/>
    <cellStyle name="Input 16 4" xfId="13522" xr:uid="{00000000-0005-0000-0000-0000744B0000}"/>
    <cellStyle name="Input 16 4 10" xfId="29272" xr:uid="{00000000-0005-0000-0000-0000754B0000}"/>
    <cellStyle name="Input 16 4 2" xfId="13523" xr:uid="{00000000-0005-0000-0000-0000764B0000}"/>
    <cellStyle name="Input 16 4 2 2" xfId="13524" xr:uid="{00000000-0005-0000-0000-0000774B0000}"/>
    <cellStyle name="Input 16 4 2 3" xfId="29273" xr:uid="{00000000-0005-0000-0000-0000784B0000}"/>
    <cellStyle name="Input 16 4 2 4" xfId="29274" xr:uid="{00000000-0005-0000-0000-0000794B0000}"/>
    <cellStyle name="Input 16 4 3" xfId="13525" xr:uid="{00000000-0005-0000-0000-00007A4B0000}"/>
    <cellStyle name="Input 16 4 3 2" xfId="13526" xr:uid="{00000000-0005-0000-0000-00007B4B0000}"/>
    <cellStyle name="Input 16 4 3 3" xfId="29275" xr:uid="{00000000-0005-0000-0000-00007C4B0000}"/>
    <cellStyle name="Input 16 4 3 4" xfId="29276" xr:uid="{00000000-0005-0000-0000-00007D4B0000}"/>
    <cellStyle name="Input 16 4 4" xfId="13527" xr:uid="{00000000-0005-0000-0000-00007E4B0000}"/>
    <cellStyle name="Input 16 4 4 2" xfId="13528" xr:uid="{00000000-0005-0000-0000-00007F4B0000}"/>
    <cellStyle name="Input 16 4 4 3" xfId="29277" xr:uid="{00000000-0005-0000-0000-0000804B0000}"/>
    <cellStyle name="Input 16 4 4 4" xfId="29278" xr:uid="{00000000-0005-0000-0000-0000814B0000}"/>
    <cellStyle name="Input 16 4 5" xfId="13529" xr:uid="{00000000-0005-0000-0000-0000824B0000}"/>
    <cellStyle name="Input 16 4 5 2" xfId="13530" xr:uid="{00000000-0005-0000-0000-0000834B0000}"/>
    <cellStyle name="Input 16 4 5 3" xfId="29279" xr:uid="{00000000-0005-0000-0000-0000844B0000}"/>
    <cellStyle name="Input 16 4 5 4" xfId="29280" xr:uid="{00000000-0005-0000-0000-0000854B0000}"/>
    <cellStyle name="Input 16 4 6" xfId="13531" xr:uid="{00000000-0005-0000-0000-0000864B0000}"/>
    <cellStyle name="Input 16 4 6 2" xfId="13532" xr:uid="{00000000-0005-0000-0000-0000874B0000}"/>
    <cellStyle name="Input 16 4 6 3" xfId="29281" xr:uid="{00000000-0005-0000-0000-0000884B0000}"/>
    <cellStyle name="Input 16 4 6 4" xfId="29282" xr:uid="{00000000-0005-0000-0000-0000894B0000}"/>
    <cellStyle name="Input 16 4 7" xfId="13533" xr:uid="{00000000-0005-0000-0000-00008A4B0000}"/>
    <cellStyle name="Input 16 4 7 2" xfId="13534" xr:uid="{00000000-0005-0000-0000-00008B4B0000}"/>
    <cellStyle name="Input 16 4 7 3" xfId="29283" xr:uid="{00000000-0005-0000-0000-00008C4B0000}"/>
    <cellStyle name="Input 16 4 7 4" xfId="29284" xr:uid="{00000000-0005-0000-0000-00008D4B0000}"/>
    <cellStyle name="Input 16 4 8" xfId="13535" xr:uid="{00000000-0005-0000-0000-00008E4B0000}"/>
    <cellStyle name="Input 16 4 9" xfId="29285" xr:uid="{00000000-0005-0000-0000-00008F4B0000}"/>
    <cellStyle name="Input 16 5" xfId="13536" xr:uid="{00000000-0005-0000-0000-0000904B0000}"/>
    <cellStyle name="Input 16 5 10" xfId="29286" xr:uid="{00000000-0005-0000-0000-0000914B0000}"/>
    <cellStyle name="Input 16 5 2" xfId="13537" xr:uid="{00000000-0005-0000-0000-0000924B0000}"/>
    <cellStyle name="Input 16 5 2 2" xfId="13538" xr:uid="{00000000-0005-0000-0000-0000934B0000}"/>
    <cellStyle name="Input 16 5 2 3" xfId="29287" xr:uid="{00000000-0005-0000-0000-0000944B0000}"/>
    <cellStyle name="Input 16 5 2 4" xfId="29288" xr:uid="{00000000-0005-0000-0000-0000954B0000}"/>
    <cellStyle name="Input 16 5 3" xfId="13539" xr:uid="{00000000-0005-0000-0000-0000964B0000}"/>
    <cellStyle name="Input 16 5 3 2" xfId="13540" xr:uid="{00000000-0005-0000-0000-0000974B0000}"/>
    <cellStyle name="Input 16 5 3 3" xfId="29289" xr:uid="{00000000-0005-0000-0000-0000984B0000}"/>
    <cellStyle name="Input 16 5 3 4" xfId="29290" xr:uid="{00000000-0005-0000-0000-0000994B0000}"/>
    <cellStyle name="Input 16 5 4" xfId="13541" xr:uid="{00000000-0005-0000-0000-00009A4B0000}"/>
    <cellStyle name="Input 16 5 4 2" xfId="13542" xr:uid="{00000000-0005-0000-0000-00009B4B0000}"/>
    <cellStyle name="Input 16 5 4 3" xfId="29291" xr:uid="{00000000-0005-0000-0000-00009C4B0000}"/>
    <cellStyle name="Input 16 5 4 4" xfId="29292" xr:uid="{00000000-0005-0000-0000-00009D4B0000}"/>
    <cellStyle name="Input 16 5 5" xfId="13543" xr:uid="{00000000-0005-0000-0000-00009E4B0000}"/>
    <cellStyle name="Input 16 5 5 2" xfId="13544" xr:uid="{00000000-0005-0000-0000-00009F4B0000}"/>
    <cellStyle name="Input 16 5 5 3" xfId="29293" xr:uid="{00000000-0005-0000-0000-0000A04B0000}"/>
    <cellStyle name="Input 16 5 5 4" xfId="29294" xr:uid="{00000000-0005-0000-0000-0000A14B0000}"/>
    <cellStyle name="Input 16 5 6" xfId="13545" xr:uid="{00000000-0005-0000-0000-0000A24B0000}"/>
    <cellStyle name="Input 16 5 6 2" xfId="13546" xr:uid="{00000000-0005-0000-0000-0000A34B0000}"/>
    <cellStyle name="Input 16 5 6 3" xfId="29295" xr:uid="{00000000-0005-0000-0000-0000A44B0000}"/>
    <cellStyle name="Input 16 5 6 4" xfId="29296" xr:uid="{00000000-0005-0000-0000-0000A54B0000}"/>
    <cellStyle name="Input 16 5 7" xfId="13547" xr:uid="{00000000-0005-0000-0000-0000A64B0000}"/>
    <cellStyle name="Input 16 5 7 2" xfId="13548" xr:uid="{00000000-0005-0000-0000-0000A74B0000}"/>
    <cellStyle name="Input 16 5 7 3" xfId="29297" xr:uid="{00000000-0005-0000-0000-0000A84B0000}"/>
    <cellStyle name="Input 16 5 7 4" xfId="29298" xr:uid="{00000000-0005-0000-0000-0000A94B0000}"/>
    <cellStyle name="Input 16 5 8" xfId="13549" xr:uid="{00000000-0005-0000-0000-0000AA4B0000}"/>
    <cellStyle name="Input 16 5 9" xfId="29299" xr:uid="{00000000-0005-0000-0000-0000AB4B0000}"/>
    <cellStyle name="Input 16 6" xfId="13550" xr:uid="{00000000-0005-0000-0000-0000AC4B0000}"/>
    <cellStyle name="Input 16 6 2" xfId="13551" xr:uid="{00000000-0005-0000-0000-0000AD4B0000}"/>
    <cellStyle name="Input 16 6 3" xfId="29300" xr:uid="{00000000-0005-0000-0000-0000AE4B0000}"/>
    <cellStyle name="Input 16 6 4" xfId="29301" xr:uid="{00000000-0005-0000-0000-0000AF4B0000}"/>
    <cellStyle name="Input 16 7" xfId="13552" xr:uid="{00000000-0005-0000-0000-0000B04B0000}"/>
    <cellStyle name="Input 16 7 2" xfId="13553" xr:uid="{00000000-0005-0000-0000-0000B14B0000}"/>
    <cellStyle name="Input 16 7 3" xfId="29302" xr:uid="{00000000-0005-0000-0000-0000B24B0000}"/>
    <cellStyle name="Input 16 7 4" xfId="29303" xr:uid="{00000000-0005-0000-0000-0000B34B0000}"/>
    <cellStyle name="Input 16 8" xfId="13554" xr:uid="{00000000-0005-0000-0000-0000B44B0000}"/>
    <cellStyle name="Input 16 8 2" xfId="13555" xr:uid="{00000000-0005-0000-0000-0000B54B0000}"/>
    <cellStyle name="Input 16 8 3" xfId="29304" xr:uid="{00000000-0005-0000-0000-0000B64B0000}"/>
    <cellStyle name="Input 16 8 4" xfId="29305" xr:uid="{00000000-0005-0000-0000-0000B74B0000}"/>
    <cellStyle name="Input 16 9" xfId="13556" xr:uid="{00000000-0005-0000-0000-0000B84B0000}"/>
    <cellStyle name="Input 16 9 2" xfId="13557" xr:uid="{00000000-0005-0000-0000-0000B94B0000}"/>
    <cellStyle name="Input 16 9 3" xfId="29306" xr:uid="{00000000-0005-0000-0000-0000BA4B0000}"/>
    <cellStyle name="Input 16 9 4" xfId="29307" xr:uid="{00000000-0005-0000-0000-0000BB4B0000}"/>
    <cellStyle name="Input 17" xfId="13558" xr:uid="{00000000-0005-0000-0000-0000BC4B0000}"/>
    <cellStyle name="Input 17 10" xfId="13559" xr:uid="{00000000-0005-0000-0000-0000BD4B0000}"/>
    <cellStyle name="Input 17 10 2" xfId="13560" xr:uid="{00000000-0005-0000-0000-0000BE4B0000}"/>
    <cellStyle name="Input 17 10 3" xfId="29308" xr:uid="{00000000-0005-0000-0000-0000BF4B0000}"/>
    <cellStyle name="Input 17 10 4" xfId="29309" xr:uid="{00000000-0005-0000-0000-0000C04B0000}"/>
    <cellStyle name="Input 17 11" xfId="13561" xr:uid="{00000000-0005-0000-0000-0000C14B0000}"/>
    <cellStyle name="Input 17 11 2" xfId="13562" xr:uid="{00000000-0005-0000-0000-0000C24B0000}"/>
    <cellStyle name="Input 17 11 3" xfId="29310" xr:uid="{00000000-0005-0000-0000-0000C34B0000}"/>
    <cellStyle name="Input 17 11 4" xfId="29311" xr:uid="{00000000-0005-0000-0000-0000C44B0000}"/>
    <cellStyle name="Input 17 12" xfId="13563" xr:uid="{00000000-0005-0000-0000-0000C54B0000}"/>
    <cellStyle name="Input 17 13" xfId="29312" xr:uid="{00000000-0005-0000-0000-0000C64B0000}"/>
    <cellStyle name="Input 17 14" xfId="29313" xr:uid="{00000000-0005-0000-0000-0000C74B0000}"/>
    <cellStyle name="Input 17 2" xfId="13564" xr:uid="{00000000-0005-0000-0000-0000C84B0000}"/>
    <cellStyle name="Input 17 2 10" xfId="29314" xr:uid="{00000000-0005-0000-0000-0000C94B0000}"/>
    <cellStyle name="Input 17 2 2" xfId="13565" xr:uid="{00000000-0005-0000-0000-0000CA4B0000}"/>
    <cellStyle name="Input 17 2 2 2" xfId="13566" xr:uid="{00000000-0005-0000-0000-0000CB4B0000}"/>
    <cellStyle name="Input 17 2 2 3" xfId="29315" xr:uid="{00000000-0005-0000-0000-0000CC4B0000}"/>
    <cellStyle name="Input 17 2 2 4" xfId="29316" xr:uid="{00000000-0005-0000-0000-0000CD4B0000}"/>
    <cellStyle name="Input 17 2 3" xfId="13567" xr:uid="{00000000-0005-0000-0000-0000CE4B0000}"/>
    <cellStyle name="Input 17 2 3 2" xfId="13568" xr:uid="{00000000-0005-0000-0000-0000CF4B0000}"/>
    <cellStyle name="Input 17 2 3 3" xfId="29317" xr:uid="{00000000-0005-0000-0000-0000D04B0000}"/>
    <cellStyle name="Input 17 2 3 4" xfId="29318" xr:uid="{00000000-0005-0000-0000-0000D14B0000}"/>
    <cellStyle name="Input 17 2 4" xfId="13569" xr:uid="{00000000-0005-0000-0000-0000D24B0000}"/>
    <cellStyle name="Input 17 2 4 2" xfId="13570" xr:uid="{00000000-0005-0000-0000-0000D34B0000}"/>
    <cellStyle name="Input 17 2 4 3" xfId="29319" xr:uid="{00000000-0005-0000-0000-0000D44B0000}"/>
    <cellStyle name="Input 17 2 4 4" xfId="29320" xr:uid="{00000000-0005-0000-0000-0000D54B0000}"/>
    <cellStyle name="Input 17 2 5" xfId="13571" xr:uid="{00000000-0005-0000-0000-0000D64B0000}"/>
    <cellStyle name="Input 17 2 5 2" xfId="13572" xr:uid="{00000000-0005-0000-0000-0000D74B0000}"/>
    <cellStyle name="Input 17 2 5 3" xfId="29321" xr:uid="{00000000-0005-0000-0000-0000D84B0000}"/>
    <cellStyle name="Input 17 2 5 4" xfId="29322" xr:uid="{00000000-0005-0000-0000-0000D94B0000}"/>
    <cellStyle name="Input 17 2 6" xfId="13573" xr:uid="{00000000-0005-0000-0000-0000DA4B0000}"/>
    <cellStyle name="Input 17 2 6 2" xfId="13574" xr:uid="{00000000-0005-0000-0000-0000DB4B0000}"/>
    <cellStyle name="Input 17 2 6 3" xfId="29323" xr:uid="{00000000-0005-0000-0000-0000DC4B0000}"/>
    <cellStyle name="Input 17 2 6 4" xfId="29324" xr:uid="{00000000-0005-0000-0000-0000DD4B0000}"/>
    <cellStyle name="Input 17 2 7" xfId="13575" xr:uid="{00000000-0005-0000-0000-0000DE4B0000}"/>
    <cellStyle name="Input 17 2 7 2" xfId="13576" xr:uid="{00000000-0005-0000-0000-0000DF4B0000}"/>
    <cellStyle name="Input 17 2 7 3" xfId="29325" xr:uid="{00000000-0005-0000-0000-0000E04B0000}"/>
    <cellStyle name="Input 17 2 7 4" xfId="29326" xr:uid="{00000000-0005-0000-0000-0000E14B0000}"/>
    <cellStyle name="Input 17 2 8" xfId="13577" xr:uid="{00000000-0005-0000-0000-0000E24B0000}"/>
    <cellStyle name="Input 17 2 9" xfId="29327" xr:uid="{00000000-0005-0000-0000-0000E34B0000}"/>
    <cellStyle name="Input 17 3" xfId="13578" xr:uid="{00000000-0005-0000-0000-0000E44B0000}"/>
    <cellStyle name="Input 17 3 10" xfId="29328" xr:uid="{00000000-0005-0000-0000-0000E54B0000}"/>
    <cellStyle name="Input 17 3 2" xfId="13579" xr:uid="{00000000-0005-0000-0000-0000E64B0000}"/>
    <cellStyle name="Input 17 3 2 2" xfId="13580" xr:uid="{00000000-0005-0000-0000-0000E74B0000}"/>
    <cellStyle name="Input 17 3 2 3" xfId="29329" xr:uid="{00000000-0005-0000-0000-0000E84B0000}"/>
    <cellStyle name="Input 17 3 2 4" xfId="29330" xr:uid="{00000000-0005-0000-0000-0000E94B0000}"/>
    <cellStyle name="Input 17 3 3" xfId="13581" xr:uid="{00000000-0005-0000-0000-0000EA4B0000}"/>
    <cellStyle name="Input 17 3 3 2" xfId="13582" xr:uid="{00000000-0005-0000-0000-0000EB4B0000}"/>
    <cellStyle name="Input 17 3 3 3" xfId="29331" xr:uid="{00000000-0005-0000-0000-0000EC4B0000}"/>
    <cellStyle name="Input 17 3 3 4" xfId="29332" xr:uid="{00000000-0005-0000-0000-0000ED4B0000}"/>
    <cellStyle name="Input 17 3 4" xfId="13583" xr:uid="{00000000-0005-0000-0000-0000EE4B0000}"/>
    <cellStyle name="Input 17 3 4 2" xfId="13584" xr:uid="{00000000-0005-0000-0000-0000EF4B0000}"/>
    <cellStyle name="Input 17 3 4 3" xfId="29333" xr:uid="{00000000-0005-0000-0000-0000F04B0000}"/>
    <cellStyle name="Input 17 3 4 4" xfId="29334" xr:uid="{00000000-0005-0000-0000-0000F14B0000}"/>
    <cellStyle name="Input 17 3 5" xfId="13585" xr:uid="{00000000-0005-0000-0000-0000F24B0000}"/>
    <cellStyle name="Input 17 3 5 2" xfId="13586" xr:uid="{00000000-0005-0000-0000-0000F34B0000}"/>
    <cellStyle name="Input 17 3 5 3" xfId="29335" xr:uid="{00000000-0005-0000-0000-0000F44B0000}"/>
    <cellStyle name="Input 17 3 5 4" xfId="29336" xr:uid="{00000000-0005-0000-0000-0000F54B0000}"/>
    <cellStyle name="Input 17 3 6" xfId="13587" xr:uid="{00000000-0005-0000-0000-0000F64B0000}"/>
    <cellStyle name="Input 17 3 6 2" xfId="13588" xr:uid="{00000000-0005-0000-0000-0000F74B0000}"/>
    <cellStyle name="Input 17 3 6 3" xfId="29337" xr:uid="{00000000-0005-0000-0000-0000F84B0000}"/>
    <cellStyle name="Input 17 3 6 4" xfId="29338" xr:uid="{00000000-0005-0000-0000-0000F94B0000}"/>
    <cellStyle name="Input 17 3 7" xfId="13589" xr:uid="{00000000-0005-0000-0000-0000FA4B0000}"/>
    <cellStyle name="Input 17 3 7 2" xfId="13590" xr:uid="{00000000-0005-0000-0000-0000FB4B0000}"/>
    <cellStyle name="Input 17 3 7 3" xfId="29339" xr:uid="{00000000-0005-0000-0000-0000FC4B0000}"/>
    <cellStyle name="Input 17 3 7 4" xfId="29340" xr:uid="{00000000-0005-0000-0000-0000FD4B0000}"/>
    <cellStyle name="Input 17 3 8" xfId="13591" xr:uid="{00000000-0005-0000-0000-0000FE4B0000}"/>
    <cellStyle name="Input 17 3 9" xfId="29341" xr:uid="{00000000-0005-0000-0000-0000FF4B0000}"/>
    <cellStyle name="Input 17 4" xfId="13592" xr:uid="{00000000-0005-0000-0000-0000004C0000}"/>
    <cellStyle name="Input 17 4 10" xfId="29342" xr:uid="{00000000-0005-0000-0000-0000014C0000}"/>
    <cellStyle name="Input 17 4 2" xfId="13593" xr:uid="{00000000-0005-0000-0000-0000024C0000}"/>
    <cellStyle name="Input 17 4 2 2" xfId="13594" xr:uid="{00000000-0005-0000-0000-0000034C0000}"/>
    <cellStyle name="Input 17 4 2 3" xfId="29343" xr:uid="{00000000-0005-0000-0000-0000044C0000}"/>
    <cellStyle name="Input 17 4 2 4" xfId="29344" xr:uid="{00000000-0005-0000-0000-0000054C0000}"/>
    <cellStyle name="Input 17 4 3" xfId="13595" xr:uid="{00000000-0005-0000-0000-0000064C0000}"/>
    <cellStyle name="Input 17 4 3 2" xfId="13596" xr:uid="{00000000-0005-0000-0000-0000074C0000}"/>
    <cellStyle name="Input 17 4 3 3" xfId="29345" xr:uid="{00000000-0005-0000-0000-0000084C0000}"/>
    <cellStyle name="Input 17 4 3 4" xfId="29346" xr:uid="{00000000-0005-0000-0000-0000094C0000}"/>
    <cellStyle name="Input 17 4 4" xfId="13597" xr:uid="{00000000-0005-0000-0000-00000A4C0000}"/>
    <cellStyle name="Input 17 4 4 2" xfId="13598" xr:uid="{00000000-0005-0000-0000-00000B4C0000}"/>
    <cellStyle name="Input 17 4 4 3" xfId="29347" xr:uid="{00000000-0005-0000-0000-00000C4C0000}"/>
    <cellStyle name="Input 17 4 4 4" xfId="29348" xr:uid="{00000000-0005-0000-0000-00000D4C0000}"/>
    <cellStyle name="Input 17 4 5" xfId="13599" xr:uid="{00000000-0005-0000-0000-00000E4C0000}"/>
    <cellStyle name="Input 17 4 5 2" xfId="13600" xr:uid="{00000000-0005-0000-0000-00000F4C0000}"/>
    <cellStyle name="Input 17 4 5 3" xfId="29349" xr:uid="{00000000-0005-0000-0000-0000104C0000}"/>
    <cellStyle name="Input 17 4 5 4" xfId="29350" xr:uid="{00000000-0005-0000-0000-0000114C0000}"/>
    <cellStyle name="Input 17 4 6" xfId="13601" xr:uid="{00000000-0005-0000-0000-0000124C0000}"/>
    <cellStyle name="Input 17 4 6 2" xfId="13602" xr:uid="{00000000-0005-0000-0000-0000134C0000}"/>
    <cellStyle name="Input 17 4 6 3" xfId="29351" xr:uid="{00000000-0005-0000-0000-0000144C0000}"/>
    <cellStyle name="Input 17 4 6 4" xfId="29352" xr:uid="{00000000-0005-0000-0000-0000154C0000}"/>
    <cellStyle name="Input 17 4 7" xfId="13603" xr:uid="{00000000-0005-0000-0000-0000164C0000}"/>
    <cellStyle name="Input 17 4 7 2" xfId="13604" xr:uid="{00000000-0005-0000-0000-0000174C0000}"/>
    <cellStyle name="Input 17 4 7 3" xfId="29353" xr:uid="{00000000-0005-0000-0000-0000184C0000}"/>
    <cellStyle name="Input 17 4 7 4" xfId="29354" xr:uid="{00000000-0005-0000-0000-0000194C0000}"/>
    <cellStyle name="Input 17 4 8" xfId="13605" xr:uid="{00000000-0005-0000-0000-00001A4C0000}"/>
    <cellStyle name="Input 17 4 9" xfId="29355" xr:uid="{00000000-0005-0000-0000-00001B4C0000}"/>
    <cellStyle name="Input 17 5" xfId="13606" xr:uid="{00000000-0005-0000-0000-00001C4C0000}"/>
    <cellStyle name="Input 17 5 10" xfId="29356" xr:uid="{00000000-0005-0000-0000-00001D4C0000}"/>
    <cellStyle name="Input 17 5 2" xfId="13607" xr:uid="{00000000-0005-0000-0000-00001E4C0000}"/>
    <cellStyle name="Input 17 5 2 2" xfId="13608" xr:uid="{00000000-0005-0000-0000-00001F4C0000}"/>
    <cellStyle name="Input 17 5 2 3" xfId="29357" xr:uid="{00000000-0005-0000-0000-0000204C0000}"/>
    <cellStyle name="Input 17 5 2 4" xfId="29358" xr:uid="{00000000-0005-0000-0000-0000214C0000}"/>
    <cellStyle name="Input 17 5 3" xfId="13609" xr:uid="{00000000-0005-0000-0000-0000224C0000}"/>
    <cellStyle name="Input 17 5 3 2" xfId="13610" xr:uid="{00000000-0005-0000-0000-0000234C0000}"/>
    <cellStyle name="Input 17 5 3 3" xfId="29359" xr:uid="{00000000-0005-0000-0000-0000244C0000}"/>
    <cellStyle name="Input 17 5 3 4" xfId="29360" xr:uid="{00000000-0005-0000-0000-0000254C0000}"/>
    <cellStyle name="Input 17 5 4" xfId="13611" xr:uid="{00000000-0005-0000-0000-0000264C0000}"/>
    <cellStyle name="Input 17 5 4 2" xfId="13612" xr:uid="{00000000-0005-0000-0000-0000274C0000}"/>
    <cellStyle name="Input 17 5 4 3" xfId="29361" xr:uid="{00000000-0005-0000-0000-0000284C0000}"/>
    <cellStyle name="Input 17 5 4 4" xfId="29362" xr:uid="{00000000-0005-0000-0000-0000294C0000}"/>
    <cellStyle name="Input 17 5 5" xfId="13613" xr:uid="{00000000-0005-0000-0000-00002A4C0000}"/>
    <cellStyle name="Input 17 5 5 2" xfId="13614" xr:uid="{00000000-0005-0000-0000-00002B4C0000}"/>
    <cellStyle name="Input 17 5 5 3" xfId="29363" xr:uid="{00000000-0005-0000-0000-00002C4C0000}"/>
    <cellStyle name="Input 17 5 5 4" xfId="29364" xr:uid="{00000000-0005-0000-0000-00002D4C0000}"/>
    <cellStyle name="Input 17 5 6" xfId="13615" xr:uid="{00000000-0005-0000-0000-00002E4C0000}"/>
    <cellStyle name="Input 17 5 6 2" xfId="13616" xr:uid="{00000000-0005-0000-0000-00002F4C0000}"/>
    <cellStyle name="Input 17 5 6 3" xfId="29365" xr:uid="{00000000-0005-0000-0000-0000304C0000}"/>
    <cellStyle name="Input 17 5 6 4" xfId="29366" xr:uid="{00000000-0005-0000-0000-0000314C0000}"/>
    <cellStyle name="Input 17 5 7" xfId="13617" xr:uid="{00000000-0005-0000-0000-0000324C0000}"/>
    <cellStyle name="Input 17 5 7 2" xfId="13618" xr:uid="{00000000-0005-0000-0000-0000334C0000}"/>
    <cellStyle name="Input 17 5 7 3" xfId="29367" xr:uid="{00000000-0005-0000-0000-0000344C0000}"/>
    <cellStyle name="Input 17 5 7 4" xfId="29368" xr:uid="{00000000-0005-0000-0000-0000354C0000}"/>
    <cellStyle name="Input 17 5 8" xfId="13619" xr:uid="{00000000-0005-0000-0000-0000364C0000}"/>
    <cellStyle name="Input 17 5 9" xfId="29369" xr:uid="{00000000-0005-0000-0000-0000374C0000}"/>
    <cellStyle name="Input 17 6" xfId="13620" xr:uid="{00000000-0005-0000-0000-0000384C0000}"/>
    <cellStyle name="Input 17 6 2" xfId="13621" xr:uid="{00000000-0005-0000-0000-0000394C0000}"/>
    <cellStyle name="Input 17 6 3" xfId="29370" xr:uid="{00000000-0005-0000-0000-00003A4C0000}"/>
    <cellStyle name="Input 17 6 4" xfId="29371" xr:uid="{00000000-0005-0000-0000-00003B4C0000}"/>
    <cellStyle name="Input 17 7" xfId="13622" xr:uid="{00000000-0005-0000-0000-00003C4C0000}"/>
    <cellStyle name="Input 17 7 2" xfId="13623" xr:uid="{00000000-0005-0000-0000-00003D4C0000}"/>
    <cellStyle name="Input 17 7 3" xfId="29372" xr:uid="{00000000-0005-0000-0000-00003E4C0000}"/>
    <cellStyle name="Input 17 7 4" xfId="29373" xr:uid="{00000000-0005-0000-0000-00003F4C0000}"/>
    <cellStyle name="Input 17 8" xfId="13624" xr:uid="{00000000-0005-0000-0000-0000404C0000}"/>
    <cellStyle name="Input 17 8 2" xfId="13625" xr:uid="{00000000-0005-0000-0000-0000414C0000}"/>
    <cellStyle name="Input 17 8 3" xfId="29374" xr:uid="{00000000-0005-0000-0000-0000424C0000}"/>
    <cellStyle name="Input 17 8 4" xfId="29375" xr:uid="{00000000-0005-0000-0000-0000434C0000}"/>
    <cellStyle name="Input 17 9" xfId="13626" xr:uid="{00000000-0005-0000-0000-0000444C0000}"/>
    <cellStyle name="Input 17 9 2" xfId="13627" xr:uid="{00000000-0005-0000-0000-0000454C0000}"/>
    <cellStyle name="Input 17 9 3" xfId="29376" xr:uid="{00000000-0005-0000-0000-0000464C0000}"/>
    <cellStyle name="Input 17 9 4" xfId="29377" xr:uid="{00000000-0005-0000-0000-0000474C0000}"/>
    <cellStyle name="Input 18" xfId="13628" xr:uid="{00000000-0005-0000-0000-0000484C0000}"/>
    <cellStyle name="Input 18 10" xfId="13629" xr:uid="{00000000-0005-0000-0000-0000494C0000}"/>
    <cellStyle name="Input 18 10 2" xfId="13630" xr:uid="{00000000-0005-0000-0000-00004A4C0000}"/>
    <cellStyle name="Input 18 10 3" xfId="29378" xr:uid="{00000000-0005-0000-0000-00004B4C0000}"/>
    <cellStyle name="Input 18 10 4" xfId="29379" xr:uid="{00000000-0005-0000-0000-00004C4C0000}"/>
    <cellStyle name="Input 18 11" xfId="13631" xr:uid="{00000000-0005-0000-0000-00004D4C0000}"/>
    <cellStyle name="Input 18 11 2" xfId="13632" xr:uid="{00000000-0005-0000-0000-00004E4C0000}"/>
    <cellStyle name="Input 18 11 3" xfId="29380" xr:uid="{00000000-0005-0000-0000-00004F4C0000}"/>
    <cellStyle name="Input 18 11 4" xfId="29381" xr:uid="{00000000-0005-0000-0000-0000504C0000}"/>
    <cellStyle name="Input 18 12" xfId="13633" xr:uid="{00000000-0005-0000-0000-0000514C0000}"/>
    <cellStyle name="Input 18 13" xfId="29382" xr:uid="{00000000-0005-0000-0000-0000524C0000}"/>
    <cellStyle name="Input 18 14" xfId="29383" xr:uid="{00000000-0005-0000-0000-0000534C0000}"/>
    <cellStyle name="Input 18 2" xfId="13634" xr:uid="{00000000-0005-0000-0000-0000544C0000}"/>
    <cellStyle name="Input 18 2 10" xfId="29384" xr:uid="{00000000-0005-0000-0000-0000554C0000}"/>
    <cellStyle name="Input 18 2 2" xfId="13635" xr:uid="{00000000-0005-0000-0000-0000564C0000}"/>
    <cellStyle name="Input 18 2 2 2" xfId="13636" xr:uid="{00000000-0005-0000-0000-0000574C0000}"/>
    <cellStyle name="Input 18 2 2 3" xfId="29385" xr:uid="{00000000-0005-0000-0000-0000584C0000}"/>
    <cellStyle name="Input 18 2 2 4" xfId="29386" xr:uid="{00000000-0005-0000-0000-0000594C0000}"/>
    <cellStyle name="Input 18 2 3" xfId="13637" xr:uid="{00000000-0005-0000-0000-00005A4C0000}"/>
    <cellStyle name="Input 18 2 3 2" xfId="13638" xr:uid="{00000000-0005-0000-0000-00005B4C0000}"/>
    <cellStyle name="Input 18 2 3 3" xfId="29387" xr:uid="{00000000-0005-0000-0000-00005C4C0000}"/>
    <cellStyle name="Input 18 2 3 4" xfId="29388" xr:uid="{00000000-0005-0000-0000-00005D4C0000}"/>
    <cellStyle name="Input 18 2 4" xfId="13639" xr:uid="{00000000-0005-0000-0000-00005E4C0000}"/>
    <cellStyle name="Input 18 2 4 2" xfId="13640" xr:uid="{00000000-0005-0000-0000-00005F4C0000}"/>
    <cellStyle name="Input 18 2 4 3" xfId="29389" xr:uid="{00000000-0005-0000-0000-0000604C0000}"/>
    <cellStyle name="Input 18 2 4 4" xfId="29390" xr:uid="{00000000-0005-0000-0000-0000614C0000}"/>
    <cellStyle name="Input 18 2 5" xfId="13641" xr:uid="{00000000-0005-0000-0000-0000624C0000}"/>
    <cellStyle name="Input 18 2 5 2" xfId="13642" xr:uid="{00000000-0005-0000-0000-0000634C0000}"/>
    <cellStyle name="Input 18 2 5 3" xfId="29391" xr:uid="{00000000-0005-0000-0000-0000644C0000}"/>
    <cellStyle name="Input 18 2 5 4" xfId="29392" xr:uid="{00000000-0005-0000-0000-0000654C0000}"/>
    <cellStyle name="Input 18 2 6" xfId="13643" xr:uid="{00000000-0005-0000-0000-0000664C0000}"/>
    <cellStyle name="Input 18 2 6 2" xfId="13644" xr:uid="{00000000-0005-0000-0000-0000674C0000}"/>
    <cellStyle name="Input 18 2 6 3" xfId="29393" xr:uid="{00000000-0005-0000-0000-0000684C0000}"/>
    <cellStyle name="Input 18 2 6 4" xfId="29394" xr:uid="{00000000-0005-0000-0000-0000694C0000}"/>
    <cellStyle name="Input 18 2 7" xfId="13645" xr:uid="{00000000-0005-0000-0000-00006A4C0000}"/>
    <cellStyle name="Input 18 2 7 2" xfId="13646" xr:uid="{00000000-0005-0000-0000-00006B4C0000}"/>
    <cellStyle name="Input 18 2 7 3" xfId="29395" xr:uid="{00000000-0005-0000-0000-00006C4C0000}"/>
    <cellStyle name="Input 18 2 7 4" xfId="29396" xr:uid="{00000000-0005-0000-0000-00006D4C0000}"/>
    <cellStyle name="Input 18 2 8" xfId="13647" xr:uid="{00000000-0005-0000-0000-00006E4C0000}"/>
    <cellStyle name="Input 18 2 9" xfId="29397" xr:uid="{00000000-0005-0000-0000-00006F4C0000}"/>
    <cellStyle name="Input 18 3" xfId="13648" xr:uid="{00000000-0005-0000-0000-0000704C0000}"/>
    <cellStyle name="Input 18 3 10" xfId="29398" xr:uid="{00000000-0005-0000-0000-0000714C0000}"/>
    <cellStyle name="Input 18 3 2" xfId="13649" xr:uid="{00000000-0005-0000-0000-0000724C0000}"/>
    <cellStyle name="Input 18 3 2 2" xfId="13650" xr:uid="{00000000-0005-0000-0000-0000734C0000}"/>
    <cellStyle name="Input 18 3 2 3" xfId="29399" xr:uid="{00000000-0005-0000-0000-0000744C0000}"/>
    <cellStyle name="Input 18 3 2 4" xfId="29400" xr:uid="{00000000-0005-0000-0000-0000754C0000}"/>
    <cellStyle name="Input 18 3 3" xfId="13651" xr:uid="{00000000-0005-0000-0000-0000764C0000}"/>
    <cellStyle name="Input 18 3 3 2" xfId="13652" xr:uid="{00000000-0005-0000-0000-0000774C0000}"/>
    <cellStyle name="Input 18 3 3 3" xfId="29401" xr:uid="{00000000-0005-0000-0000-0000784C0000}"/>
    <cellStyle name="Input 18 3 3 4" xfId="29402" xr:uid="{00000000-0005-0000-0000-0000794C0000}"/>
    <cellStyle name="Input 18 3 4" xfId="13653" xr:uid="{00000000-0005-0000-0000-00007A4C0000}"/>
    <cellStyle name="Input 18 3 4 2" xfId="13654" xr:uid="{00000000-0005-0000-0000-00007B4C0000}"/>
    <cellStyle name="Input 18 3 4 3" xfId="29403" xr:uid="{00000000-0005-0000-0000-00007C4C0000}"/>
    <cellStyle name="Input 18 3 4 4" xfId="29404" xr:uid="{00000000-0005-0000-0000-00007D4C0000}"/>
    <cellStyle name="Input 18 3 5" xfId="13655" xr:uid="{00000000-0005-0000-0000-00007E4C0000}"/>
    <cellStyle name="Input 18 3 5 2" xfId="13656" xr:uid="{00000000-0005-0000-0000-00007F4C0000}"/>
    <cellStyle name="Input 18 3 5 3" xfId="29405" xr:uid="{00000000-0005-0000-0000-0000804C0000}"/>
    <cellStyle name="Input 18 3 5 4" xfId="29406" xr:uid="{00000000-0005-0000-0000-0000814C0000}"/>
    <cellStyle name="Input 18 3 6" xfId="13657" xr:uid="{00000000-0005-0000-0000-0000824C0000}"/>
    <cellStyle name="Input 18 3 6 2" xfId="13658" xr:uid="{00000000-0005-0000-0000-0000834C0000}"/>
    <cellStyle name="Input 18 3 6 3" xfId="29407" xr:uid="{00000000-0005-0000-0000-0000844C0000}"/>
    <cellStyle name="Input 18 3 6 4" xfId="29408" xr:uid="{00000000-0005-0000-0000-0000854C0000}"/>
    <cellStyle name="Input 18 3 7" xfId="13659" xr:uid="{00000000-0005-0000-0000-0000864C0000}"/>
    <cellStyle name="Input 18 3 7 2" xfId="13660" xr:uid="{00000000-0005-0000-0000-0000874C0000}"/>
    <cellStyle name="Input 18 3 7 3" xfId="29409" xr:uid="{00000000-0005-0000-0000-0000884C0000}"/>
    <cellStyle name="Input 18 3 7 4" xfId="29410" xr:uid="{00000000-0005-0000-0000-0000894C0000}"/>
    <cellStyle name="Input 18 3 8" xfId="13661" xr:uid="{00000000-0005-0000-0000-00008A4C0000}"/>
    <cellStyle name="Input 18 3 9" xfId="29411" xr:uid="{00000000-0005-0000-0000-00008B4C0000}"/>
    <cellStyle name="Input 18 4" xfId="13662" xr:uid="{00000000-0005-0000-0000-00008C4C0000}"/>
    <cellStyle name="Input 18 4 10" xfId="29412" xr:uid="{00000000-0005-0000-0000-00008D4C0000}"/>
    <cellStyle name="Input 18 4 2" xfId="13663" xr:uid="{00000000-0005-0000-0000-00008E4C0000}"/>
    <cellStyle name="Input 18 4 2 2" xfId="13664" xr:uid="{00000000-0005-0000-0000-00008F4C0000}"/>
    <cellStyle name="Input 18 4 2 3" xfId="29413" xr:uid="{00000000-0005-0000-0000-0000904C0000}"/>
    <cellStyle name="Input 18 4 2 4" xfId="29414" xr:uid="{00000000-0005-0000-0000-0000914C0000}"/>
    <cellStyle name="Input 18 4 3" xfId="13665" xr:uid="{00000000-0005-0000-0000-0000924C0000}"/>
    <cellStyle name="Input 18 4 3 2" xfId="13666" xr:uid="{00000000-0005-0000-0000-0000934C0000}"/>
    <cellStyle name="Input 18 4 3 3" xfId="29415" xr:uid="{00000000-0005-0000-0000-0000944C0000}"/>
    <cellStyle name="Input 18 4 3 4" xfId="29416" xr:uid="{00000000-0005-0000-0000-0000954C0000}"/>
    <cellStyle name="Input 18 4 4" xfId="13667" xr:uid="{00000000-0005-0000-0000-0000964C0000}"/>
    <cellStyle name="Input 18 4 4 2" xfId="13668" xr:uid="{00000000-0005-0000-0000-0000974C0000}"/>
    <cellStyle name="Input 18 4 4 3" xfId="29417" xr:uid="{00000000-0005-0000-0000-0000984C0000}"/>
    <cellStyle name="Input 18 4 4 4" xfId="29418" xr:uid="{00000000-0005-0000-0000-0000994C0000}"/>
    <cellStyle name="Input 18 4 5" xfId="13669" xr:uid="{00000000-0005-0000-0000-00009A4C0000}"/>
    <cellStyle name="Input 18 4 5 2" xfId="13670" xr:uid="{00000000-0005-0000-0000-00009B4C0000}"/>
    <cellStyle name="Input 18 4 5 3" xfId="29419" xr:uid="{00000000-0005-0000-0000-00009C4C0000}"/>
    <cellStyle name="Input 18 4 5 4" xfId="29420" xr:uid="{00000000-0005-0000-0000-00009D4C0000}"/>
    <cellStyle name="Input 18 4 6" xfId="13671" xr:uid="{00000000-0005-0000-0000-00009E4C0000}"/>
    <cellStyle name="Input 18 4 6 2" xfId="13672" xr:uid="{00000000-0005-0000-0000-00009F4C0000}"/>
    <cellStyle name="Input 18 4 6 3" xfId="29421" xr:uid="{00000000-0005-0000-0000-0000A04C0000}"/>
    <cellStyle name="Input 18 4 6 4" xfId="29422" xr:uid="{00000000-0005-0000-0000-0000A14C0000}"/>
    <cellStyle name="Input 18 4 7" xfId="13673" xr:uid="{00000000-0005-0000-0000-0000A24C0000}"/>
    <cellStyle name="Input 18 4 7 2" xfId="13674" xr:uid="{00000000-0005-0000-0000-0000A34C0000}"/>
    <cellStyle name="Input 18 4 7 3" xfId="29423" xr:uid="{00000000-0005-0000-0000-0000A44C0000}"/>
    <cellStyle name="Input 18 4 7 4" xfId="29424" xr:uid="{00000000-0005-0000-0000-0000A54C0000}"/>
    <cellStyle name="Input 18 4 8" xfId="13675" xr:uid="{00000000-0005-0000-0000-0000A64C0000}"/>
    <cellStyle name="Input 18 4 9" xfId="29425" xr:uid="{00000000-0005-0000-0000-0000A74C0000}"/>
    <cellStyle name="Input 18 5" xfId="13676" xr:uid="{00000000-0005-0000-0000-0000A84C0000}"/>
    <cellStyle name="Input 18 5 10" xfId="29426" xr:uid="{00000000-0005-0000-0000-0000A94C0000}"/>
    <cellStyle name="Input 18 5 2" xfId="13677" xr:uid="{00000000-0005-0000-0000-0000AA4C0000}"/>
    <cellStyle name="Input 18 5 2 2" xfId="13678" xr:uid="{00000000-0005-0000-0000-0000AB4C0000}"/>
    <cellStyle name="Input 18 5 2 3" xfId="29427" xr:uid="{00000000-0005-0000-0000-0000AC4C0000}"/>
    <cellStyle name="Input 18 5 2 4" xfId="29428" xr:uid="{00000000-0005-0000-0000-0000AD4C0000}"/>
    <cellStyle name="Input 18 5 3" xfId="13679" xr:uid="{00000000-0005-0000-0000-0000AE4C0000}"/>
    <cellStyle name="Input 18 5 3 2" xfId="13680" xr:uid="{00000000-0005-0000-0000-0000AF4C0000}"/>
    <cellStyle name="Input 18 5 3 3" xfId="29429" xr:uid="{00000000-0005-0000-0000-0000B04C0000}"/>
    <cellStyle name="Input 18 5 3 4" xfId="29430" xr:uid="{00000000-0005-0000-0000-0000B14C0000}"/>
    <cellStyle name="Input 18 5 4" xfId="13681" xr:uid="{00000000-0005-0000-0000-0000B24C0000}"/>
    <cellStyle name="Input 18 5 4 2" xfId="13682" xr:uid="{00000000-0005-0000-0000-0000B34C0000}"/>
    <cellStyle name="Input 18 5 4 3" xfId="29431" xr:uid="{00000000-0005-0000-0000-0000B44C0000}"/>
    <cellStyle name="Input 18 5 4 4" xfId="29432" xr:uid="{00000000-0005-0000-0000-0000B54C0000}"/>
    <cellStyle name="Input 18 5 5" xfId="13683" xr:uid="{00000000-0005-0000-0000-0000B64C0000}"/>
    <cellStyle name="Input 18 5 5 2" xfId="13684" xr:uid="{00000000-0005-0000-0000-0000B74C0000}"/>
    <cellStyle name="Input 18 5 5 3" xfId="29433" xr:uid="{00000000-0005-0000-0000-0000B84C0000}"/>
    <cellStyle name="Input 18 5 5 4" xfId="29434" xr:uid="{00000000-0005-0000-0000-0000B94C0000}"/>
    <cellStyle name="Input 18 5 6" xfId="13685" xr:uid="{00000000-0005-0000-0000-0000BA4C0000}"/>
    <cellStyle name="Input 18 5 6 2" xfId="13686" xr:uid="{00000000-0005-0000-0000-0000BB4C0000}"/>
    <cellStyle name="Input 18 5 6 3" xfId="29435" xr:uid="{00000000-0005-0000-0000-0000BC4C0000}"/>
    <cellStyle name="Input 18 5 6 4" xfId="29436" xr:uid="{00000000-0005-0000-0000-0000BD4C0000}"/>
    <cellStyle name="Input 18 5 7" xfId="13687" xr:uid="{00000000-0005-0000-0000-0000BE4C0000}"/>
    <cellStyle name="Input 18 5 7 2" xfId="13688" xr:uid="{00000000-0005-0000-0000-0000BF4C0000}"/>
    <cellStyle name="Input 18 5 7 3" xfId="29437" xr:uid="{00000000-0005-0000-0000-0000C04C0000}"/>
    <cellStyle name="Input 18 5 7 4" xfId="29438" xr:uid="{00000000-0005-0000-0000-0000C14C0000}"/>
    <cellStyle name="Input 18 5 8" xfId="13689" xr:uid="{00000000-0005-0000-0000-0000C24C0000}"/>
    <cellStyle name="Input 18 5 9" xfId="29439" xr:uid="{00000000-0005-0000-0000-0000C34C0000}"/>
    <cellStyle name="Input 18 6" xfId="13690" xr:uid="{00000000-0005-0000-0000-0000C44C0000}"/>
    <cellStyle name="Input 18 6 2" xfId="13691" xr:uid="{00000000-0005-0000-0000-0000C54C0000}"/>
    <cellStyle name="Input 18 6 3" xfId="29440" xr:uid="{00000000-0005-0000-0000-0000C64C0000}"/>
    <cellStyle name="Input 18 6 4" xfId="29441" xr:uid="{00000000-0005-0000-0000-0000C74C0000}"/>
    <cellStyle name="Input 18 7" xfId="13692" xr:uid="{00000000-0005-0000-0000-0000C84C0000}"/>
    <cellStyle name="Input 18 7 2" xfId="13693" xr:uid="{00000000-0005-0000-0000-0000C94C0000}"/>
    <cellStyle name="Input 18 7 3" xfId="29442" xr:uid="{00000000-0005-0000-0000-0000CA4C0000}"/>
    <cellStyle name="Input 18 7 4" xfId="29443" xr:uid="{00000000-0005-0000-0000-0000CB4C0000}"/>
    <cellStyle name="Input 18 8" xfId="13694" xr:uid="{00000000-0005-0000-0000-0000CC4C0000}"/>
    <cellStyle name="Input 18 8 2" xfId="13695" xr:uid="{00000000-0005-0000-0000-0000CD4C0000}"/>
    <cellStyle name="Input 18 8 3" xfId="29444" xr:uid="{00000000-0005-0000-0000-0000CE4C0000}"/>
    <cellStyle name="Input 18 8 4" xfId="29445" xr:uid="{00000000-0005-0000-0000-0000CF4C0000}"/>
    <cellStyle name="Input 18 9" xfId="13696" xr:uid="{00000000-0005-0000-0000-0000D04C0000}"/>
    <cellStyle name="Input 18 9 2" xfId="13697" xr:uid="{00000000-0005-0000-0000-0000D14C0000}"/>
    <cellStyle name="Input 18 9 3" xfId="29446" xr:uid="{00000000-0005-0000-0000-0000D24C0000}"/>
    <cellStyle name="Input 18 9 4" xfId="29447" xr:uid="{00000000-0005-0000-0000-0000D34C0000}"/>
    <cellStyle name="Input 19" xfId="13698" xr:uid="{00000000-0005-0000-0000-0000D44C0000}"/>
    <cellStyle name="Input 19 10" xfId="13699" xr:uid="{00000000-0005-0000-0000-0000D54C0000}"/>
    <cellStyle name="Input 19 10 2" xfId="13700" xr:uid="{00000000-0005-0000-0000-0000D64C0000}"/>
    <cellStyle name="Input 19 10 3" xfId="29448" xr:uid="{00000000-0005-0000-0000-0000D74C0000}"/>
    <cellStyle name="Input 19 10 4" xfId="29449" xr:uid="{00000000-0005-0000-0000-0000D84C0000}"/>
    <cellStyle name="Input 19 11" xfId="13701" xr:uid="{00000000-0005-0000-0000-0000D94C0000}"/>
    <cellStyle name="Input 19 11 2" xfId="13702" xr:uid="{00000000-0005-0000-0000-0000DA4C0000}"/>
    <cellStyle name="Input 19 11 3" xfId="29450" xr:uid="{00000000-0005-0000-0000-0000DB4C0000}"/>
    <cellStyle name="Input 19 11 4" xfId="29451" xr:uid="{00000000-0005-0000-0000-0000DC4C0000}"/>
    <cellStyle name="Input 19 12" xfId="13703" xr:uid="{00000000-0005-0000-0000-0000DD4C0000}"/>
    <cellStyle name="Input 19 13" xfId="29452" xr:uid="{00000000-0005-0000-0000-0000DE4C0000}"/>
    <cellStyle name="Input 19 14" xfId="29453" xr:uid="{00000000-0005-0000-0000-0000DF4C0000}"/>
    <cellStyle name="Input 19 2" xfId="13704" xr:uid="{00000000-0005-0000-0000-0000E04C0000}"/>
    <cellStyle name="Input 19 2 10" xfId="29454" xr:uid="{00000000-0005-0000-0000-0000E14C0000}"/>
    <cellStyle name="Input 19 2 2" xfId="13705" xr:uid="{00000000-0005-0000-0000-0000E24C0000}"/>
    <cellStyle name="Input 19 2 2 2" xfId="13706" xr:uid="{00000000-0005-0000-0000-0000E34C0000}"/>
    <cellStyle name="Input 19 2 2 3" xfId="29455" xr:uid="{00000000-0005-0000-0000-0000E44C0000}"/>
    <cellStyle name="Input 19 2 2 4" xfId="29456" xr:uid="{00000000-0005-0000-0000-0000E54C0000}"/>
    <cellStyle name="Input 19 2 3" xfId="13707" xr:uid="{00000000-0005-0000-0000-0000E64C0000}"/>
    <cellStyle name="Input 19 2 3 2" xfId="13708" xr:uid="{00000000-0005-0000-0000-0000E74C0000}"/>
    <cellStyle name="Input 19 2 3 3" xfId="29457" xr:uid="{00000000-0005-0000-0000-0000E84C0000}"/>
    <cellStyle name="Input 19 2 3 4" xfId="29458" xr:uid="{00000000-0005-0000-0000-0000E94C0000}"/>
    <cellStyle name="Input 19 2 4" xfId="13709" xr:uid="{00000000-0005-0000-0000-0000EA4C0000}"/>
    <cellStyle name="Input 19 2 4 2" xfId="13710" xr:uid="{00000000-0005-0000-0000-0000EB4C0000}"/>
    <cellStyle name="Input 19 2 4 3" xfId="29459" xr:uid="{00000000-0005-0000-0000-0000EC4C0000}"/>
    <cellStyle name="Input 19 2 4 4" xfId="29460" xr:uid="{00000000-0005-0000-0000-0000ED4C0000}"/>
    <cellStyle name="Input 19 2 5" xfId="13711" xr:uid="{00000000-0005-0000-0000-0000EE4C0000}"/>
    <cellStyle name="Input 19 2 5 2" xfId="13712" xr:uid="{00000000-0005-0000-0000-0000EF4C0000}"/>
    <cellStyle name="Input 19 2 5 3" xfId="29461" xr:uid="{00000000-0005-0000-0000-0000F04C0000}"/>
    <cellStyle name="Input 19 2 5 4" xfId="29462" xr:uid="{00000000-0005-0000-0000-0000F14C0000}"/>
    <cellStyle name="Input 19 2 6" xfId="13713" xr:uid="{00000000-0005-0000-0000-0000F24C0000}"/>
    <cellStyle name="Input 19 2 6 2" xfId="13714" xr:uid="{00000000-0005-0000-0000-0000F34C0000}"/>
    <cellStyle name="Input 19 2 6 3" xfId="29463" xr:uid="{00000000-0005-0000-0000-0000F44C0000}"/>
    <cellStyle name="Input 19 2 6 4" xfId="29464" xr:uid="{00000000-0005-0000-0000-0000F54C0000}"/>
    <cellStyle name="Input 19 2 7" xfId="13715" xr:uid="{00000000-0005-0000-0000-0000F64C0000}"/>
    <cellStyle name="Input 19 2 7 2" xfId="13716" xr:uid="{00000000-0005-0000-0000-0000F74C0000}"/>
    <cellStyle name="Input 19 2 7 3" xfId="29465" xr:uid="{00000000-0005-0000-0000-0000F84C0000}"/>
    <cellStyle name="Input 19 2 7 4" xfId="29466" xr:uid="{00000000-0005-0000-0000-0000F94C0000}"/>
    <cellStyle name="Input 19 2 8" xfId="13717" xr:uid="{00000000-0005-0000-0000-0000FA4C0000}"/>
    <cellStyle name="Input 19 2 9" xfId="29467" xr:uid="{00000000-0005-0000-0000-0000FB4C0000}"/>
    <cellStyle name="Input 19 3" xfId="13718" xr:uid="{00000000-0005-0000-0000-0000FC4C0000}"/>
    <cellStyle name="Input 19 3 10" xfId="29468" xr:uid="{00000000-0005-0000-0000-0000FD4C0000}"/>
    <cellStyle name="Input 19 3 2" xfId="13719" xr:uid="{00000000-0005-0000-0000-0000FE4C0000}"/>
    <cellStyle name="Input 19 3 2 2" xfId="13720" xr:uid="{00000000-0005-0000-0000-0000FF4C0000}"/>
    <cellStyle name="Input 19 3 2 3" xfId="29469" xr:uid="{00000000-0005-0000-0000-0000004D0000}"/>
    <cellStyle name="Input 19 3 2 4" xfId="29470" xr:uid="{00000000-0005-0000-0000-0000014D0000}"/>
    <cellStyle name="Input 19 3 3" xfId="13721" xr:uid="{00000000-0005-0000-0000-0000024D0000}"/>
    <cellStyle name="Input 19 3 3 2" xfId="13722" xr:uid="{00000000-0005-0000-0000-0000034D0000}"/>
    <cellStyle name="Input 19 3 3 3" xfId="29471" xr:uid="{00000000-0005-0000-0000-0000044D0000}"/>
    <cellStyle name="Input 19 3 3 4" xfId="29472" xr:uid="{00000000-0005-0000-0000-0000054D0000}"/>
    <cellStyle name="Input 19 3 4" xfId="13723" xr:uid="{00000000-0005-0000-0000-0000064D0000}"/>
    <cellStyle name="Input 19 3 4 2" xfId="13724" xr:uid="{00000000-0005-0000-0000-0000074D0000}"/>
    <cellStyle name="Input 19 3 4 3" xfId="29473" xr:uid="{00000000-0005-0000-0000-0000084D0000}"/>
    <cellStyle name="Input 19 3 4 4" xfId="29474" xr:uid="{00000000-0005-0000-0000-0000094D0000}"/>
    <cellStyle name="Input 19 3 5" xfId="13725" xr:uid="{00000000-0005-0000-0000-00000A4D0000}"/>
    <cellStyle name="Input 19 3 5 2" xfId="13726" xr:uid="{00000000-0005-0000-0000-00000B4D0000}"/>
    <cellStyle name="Input 19 3 5 3" xfId="29475" xr:uid="{00000000-0005-0000-0000-00000C4D0000}"/>
    <cellStyle name="Input 19 3 5 4" xfId="29476" xr:uid="{00000000-0005-0000-0000-00000D4D0000}"/>
    <cellStyle name="Input 19 3 6" xfId="13727" xr:uid="{00000000-0005-0000-0000-00000E4D0000}"/>
    <cellStyle name="Input 19 3 6 2" xfId="13728" xr:uid="{00000000-0005-0000-0000-00000F4D0000}"/>
    <cellStyle name="Input 19 3 6 3" xfId="29477" xr:uid="{00000000-0005-0000-0000-0000104D0000}"/>
    <cellStyle name="Input 19 3 6 4" xfId="29478" xr:uid="{00000000-0005-0000-0000-0000114D0000}"/>
    <cellStyle name="Input 19 3 7" xfId="13729" xr:uid="{00000000-0005-0000-0000-0000124D0000}"/>
    <cellStyle name="Input 19 3 7 2" xfId="13730" xr:uid="{00000000-0005-0000-0000-0000134D0000}"/>
    <cellStyle name="Input 19 3 7 3" xfId="29479" xr:uid="{00000000-0005-0000-0000-0000144D0000}"/>
    <cellStyle name="Input 19 3 7 4" xfId="29480" xr:uid="{00000000-0005-0000-0000-0000154D0000}"/>
    <cellStyle name="Input 19 3 8" xfId="13731" xr:uid="{00000000-0005-0000-0000-0000164D0000}"/>
    <cellStyle name="Input 19 3 9" xfId="29481" xr:uid="{00000000-0005-0000-0000-0000174D0000}"/>
    <cellStyle name="Input 19 4" xfId="13732" xr:uid="{00000000-0005-0000-0000-0000184D0000}"/>
    <cellStyle name="Input 19 4 10" xfId="29482" xr:uid="{00000000-0005-0000-0000-0000194D0000}"/>
    <cellStyle name="Input 19 4 2" xfId="13733" xr:uid="{00000000-0005-0000-0000-00001A4D0000}"/>
    <cellStyle name="Input 19 4 2 2" xfId="13734" xr:uid="{00000000-0005-0000-0000-00001B4D0000}"/>
    <cellStyle name="Input 19 4 2 3" xfId="29483" xr:uid="{00000000-0005-0000-0000-00001C4D0000}"/>
    <cellStyle name="Input 19 4 2 4" xfId="29484" xr:uid="{00000000-0005-0000-0000-00001D4D0000}"/>
    <cellStyle name="Input 19 4 3" xfId="13735" xr:uid="{00000000-0005-0000-0000-00001E4D0000}"/>
    <cellStyle name="Input 19 4 3 2" xfId="13736" xr:uid="{00000000-0005-0000-0000-00001F4D0000}"/>
    <cellStyle name="Input 19 4 3 3" xfId="29485" xr:uid="{00000000-0005-0000-0000-0000204D0000}"/>
    <cellStyle name="Input 19 4 3 4" xfId="29486" xr:uid="{00000000-0005-0000-0000-0000214D0000}"/>
    <cellStyle name="Input 19 4 4" xfId="13737" xr:uid="{00000000-0005-0000-0000-0000224D0000}"/>
    <cellStyle name="Input 19 4 4 2" xfId="13738" xr:uid="{00000000-0005-0000-0000-0000234D0000}"/>
    <cellStyle name="Input 19 4 4 3" xfId="29487" xr:uid="{00000000-0005-0000-0000-0000244D0000}"/>
    <cellStyle name="Input 19 4 4 4" xfId="29488" xr:uid="{00000000-0005-0000-0000-0000254D0000}"/>
    <cellStyle name="Input 19 4 5" xfId="13739" xr:uid="{00000000-0005-0000-0000-0000264D0000}"/>
    <cellStyle name="Input 19 4 5 2" xfId="13740" xr:uid="{00000000-0005-0000-0000-0000274D0000}"/>
    <cellStyle name="Input 19 4 5 3" xfId="29489" xr:uid="{00000000-0005-0000-0000-0000284D0000}"/>
    <cellStyle name="Input 19 4 5 4" xfId="29490" xr:uid="{00000000-0005-0000-0000-0000294D0000}"/>
    <cellStyle name="Input 19 4 6" xfId="13741" xr:uid="{00000000-0005-0000-0000-00002A4D0000}"/>
    <cellStyle name="Input 19 4 6 2" xfId="13742" xr:uid="{00000000-0005-0000-0000-00002B4D0000}"/>
    <cellStyle name="Input 19 4 6 3" xfId="29491" xr:uid="{00000000-0005-0000-0000-00002C4D0000}"/>
    <cellStyle name="Input 19 4 6 4" xfId="29492" xr:uid="{00000000-0005-0000-0000-00002D4D0000}"/>
    <cellStyle name="Input 19 4 7" xfId="13743" xr:uid="{00000000-0005-0000-0000-00002E4D0000}"/>
    <cellStyle name="Input 19 4 7 2" xfId="13744" xr:uid="{00000000-0005-0000-0000-00002F4D0000}"/>
    <cellStyle name="Input 19 4 7 3" xfId="29493" xr:uid="{00000000-0005-0000-0000-0000304D0000}"/>
    <cellStyle name="Input 19 4 7 4" xfId="29494" xr:uid="{00000000-0005-0000-0000-0000314D0000}"/>
    <cellStyle name="Input 19 4 8" xfId="13745" xr:uid="{00000000-0005-0000-0000-0000324D0000}"/>
    <cellStyle name="Input 19 4 9" xfId="29495" xr:uid="{00000000-0005-0000-0000-0000334D0000}"/>
    <cellStyle name="Input 19 5" xfId="13746" xr:uid="{00000000-0005-0000-0000-0000344D0000}"/>
    <cellStyle name="Input 19 5 10" xfId="29496" xr:uid="{00000000-0005-0000-0000-0000354D0000}"/>
    <cellStyle name="Input 19 5 2" xfId="13747" xr:uid="{00000000-0005-0000-0000-0000364D0000}"/>
    <cellStyle name="Input 19 5 2 2" xfId="13748" xr:uid="{00000000-0005-0000-0000-0000374D0000}"/>
    <cellStyle name="Input 19 5 2 3" xfId="29497" xr:uid="{00000000-0005-0000-0000-0000384D0000}"/>
    <cellStyle name="Input 19 5 2 4" xfId="29498" xr:uid="{00000000-0005-0000-0000-0000394D0000}"/>
    <cellStyle name="Input 19 5 3" xfId="13749" xr:uid="{00000000-0005-0000-0000-00003A4D0000}"/>
    <cellStyle name="Input 19 5 3 2" xfId="13750" xr:uid="{00000000-0005-0000-0000-00003B4D0000}"/>
    <cellStyle name="Input 19 5 3 3" xfId="29499" xr:uid="{00000000-0005-0000-0000-00003C4D0000}"/>
    <cellStyle name="Input 19 5 3 4" xfId="29500" xr:uid="{00000000-0005-0000-0000-00003D4D0000}"/>
    <cellStyle name="Input 19 5 4" xfId="13751" xr:uid="{00000000-0005-0000-0000-00003E4D0000}"/>
    <cellStyle name="Input 19 5 4 2" xfId="13752" xr:uid="{00000000-0005-0000-0000-00003F4D0000}"/>
    <cellStyle name="Input 19 5 4 3" xfId="29501" xr:uid="{00000000-0005-0000-0000-0000404D0000}"/>
    <cellStyle name="Input 19 5 4 4" xfId="29502" xr:uid="{00000000-0005-0000-0000-0000414D0000}"/>
    <cellStyle name="Input 19 5 5" xfId="13753" xr:uid="{00000000-0005-0000-0000-0000424D0000}"/>
    <cellStyle name="Input 19 5 5 2" xfId="13754" xr:uid="{00000000-0005-0000-0000-0000434D0000}"/>
    <cellStyle name="Input 19 5 5 3" xfId="29503" xr:uid="{00000000-0005-0000-0000-0000444D0000}"/>
    <cellStyle name="Input 19 5 5 4" xfId="29504" xr:uid="{00000000-0005-0000-0000-0000454D0000}"/>
    <cellStyle name="Input 19 5 6" xfId="13755" xr:uid="{00000000-0005-0000-0000-0000464D0000}"/>
    <cellStyle name="Input 19 5 6 2" xfId="13756" xr:uid="{00000000-0005-0000-0000-0000474D0000}"/>
    <cellStyle name="Input 19 5 6 3" xfId="29505" xr:uid="{00000000-0005-0000-0000-0000484D0000}"/>
    <cellStyle name="Input 19 5 6 4" xfId="29506" xr:uid="{00000000-0005-0000-0000-0000494D0000}"/>
    <cellStyle name="Input 19 5 7" xfId="13757" xr:uid="{00000000-0005-0000-0000-00004A4D0000}"/>
    <cellStyle name="Input 19 5 7 2" xfId="13758" xr:uid="{00000000-0005-0000-0000-00004B4D0000}"/>
    <cellStyle name="Input 19 5 7 3" xfId="29507" xr:uid="{00000000-0005-0000-0000-00004C4D0000}"/>
    <cellStyle name="Input 19 5 7 4" xfId="29508" xr:uid="{00000000-0005-0000-0000-00004D4D0000}"/>
    <cellStyle name="Input 19 5 8" xfId="13759" xr:uid="{00000000-0005-0000-0000-00004E4D0000}"/>
    <cellStyle name="Input 19 5 9" xfId="29509" xr:uid="{00000000-0005-0000-0000-00004F4D0000}"/>
    <cellStyle name="Input 19 6" xfId="13760" xr:uid="{00000000-0005-0000-0000-0000504D0000}"/>
    <cellStyle name="Input 19 6 2" xfId="13761" xr:uid="{00000000-0005-0000-0000-0000514D0000}"/>
    <cellStyle name="Input 19 6 3" xfId="29510" xr:uid="{00000000-0005-0000-0000-0000524D0000}"/>
    <cellStyle name="Input 19 6 4" xfId="29511" xr:uid="{00000000-0005-0000-0000-0000534D0000}"/>
    <cellStyle name="Input 19 7" xfId="13762" xr:uid="{00000000-0005-0000-0000-0000544D0000}"/>
    <cellStyle name="Input 19 7 2" xfId="13763" xr:uid="{00000000-0005-0000-0000-0000554D0000}"/>
    <cellStyle name="Input 19 7 3" xfId="29512" xr:uid="{00000000-0005-0000-0000-0000564D0000}"/>
    <cellStyle name="Input 19 7 4" xfId="29513" xr:uid="{00000000-0005-0000-0000-0000574D0000}"/>
    <cellStyle name="Input 19 8" xfId="13764" xr:uid="{00000000-0005-0000-0000-0000584D0000}"/>
    <cellStyle name="Input 19 8 2" xfId="13765" xr:uid="{00000000-0005-0000-0000-0000594D0000}"/>
    <cellStyle name="Input 19 8 3" xfId="29514" xr:uid="{00000000-0005-0000-0000-00005A4D0000}"/>
    <cellStyle name="Input 19 8 4" xfId="29515" xr:uid="{00000000-0005-0000-0000-00005B4D0000}"/>
    <cellStyle name="Input 19 9" xfId="13766" xr:uid="{00000000-0005-0000-0000-00005C4D0000}"/>
    <cellStyle name="Input 19 9 2" xfId="13767" xr:uid="{00000000-0005-0000-0000-00005D4D0000}"/>
    <cellStyle name="Input 19 9 3" xfId="29516" xr:uid="{00000000-0005-0000-0000-00005E4D0000}"/>
    <cellStyle name="Input 19 9 4" xfId="29517" xr:uid="{00000000-0005-0000-0000-00005F4D0000}"/>
    <cellStyle name="Input 2" xfId="13768" xr:uid="{00000000-0005-0000-0000-0000604D0000}"/>
    <cellStyle name="Input 2 10" xfId="13769" xr:uid="{00000000-0005-0000-0000-0000614D0000}"/>
    <cellStyle name="Input 2 10 2" xfId="13770" xr:uid="{00000000-0005-0000-0000-0000624D0000}"/>
    <cellStyle name="Input 2 10 3" xfId="29518" xr:uid="{00000000-0005-0000-0000-0000634D0000}"/>
    <cellStyle name="Input 2 10 4" xfId="29519" xr:uid="{00000000-0005-0000-0000-0000644D0000}"/>
    <cellStyle name="Input 2 11" xfId="13771" xr:uid="{00000000-0005-0000-0000-0000654D0000}"/>
    <cellStyle name="Input 2 11 2" xfId="13772" xr:uid="{00000000-0005-0000-0000-0000664D0000}"/>
    <cellStyle name="Input 2 11 3" xfId="29520" xr:uid="{00000000-0005-0000-0000-0000674D0000}"/>
    <cellStyle name="Input 2 11 4" xfId="29521" xr:uid="{00000000-0005-0000-0000-0000684D0000}"/>
    <cellStyle name="Input 2 12" xfId="13773" xr:uid="{00000000-0005-0000-0000-0000694D0000}"/>
    <cellStyle name="Input 2 12 2" xfId="13774" xr:uid="{00000000-0005-0000-0000-00006A4D0000}"/>
    <cellStyle name="Input 2 12 3" xfId="29522" xr:uid="{00000000-0005-0000-0000-00006B4D0000}"/>
    <cellStyle name="Input 2 13" xfId="13775" xr:uid="{00000000-0005-0000-0000-00006C4D0000}"/>
    <cellStyle name="Input 2 14" xfId="29523" xr:uid="{00000000-0005-0000-0000-00006D4D0000}"/>
    <cellStyle name="Input 2 15" xfId="29524" xr:uid="{00000000-0005-0000-0000-00006E4D0000}"/>
    <cellStyle name="Input 2 16" xfId="29525" xr:uid="{00000000-0005-0000-0000-00006F4D0000}"/>
    <cellStyle name="Input 2 2" xfId="13776" xr:uid="{00000000-0005-0000-0000-0000704D0000}"/>
    <cellStyle name="Input 2 2 10" xfId="29526" xr:uid="{00000000-0005-0000-0000-0000714D0000}"/>
    <cellStyle name="Input 2 2 2" xfId="13777" xr:uid="{00000000-0005-0000-0000-0000724D0000}"/>
    <cellStyle name="Input 2 2 2 2" xfId="13778" xr:uid="{00000000-0005-0000-0000-0000734D0000}"/>
    <cellStyle name="Input 2 2 2 3" xfId="29527" xr:uid="{00000000-0005-0000-0000-0000744D0000}"/>
    <cellStyle name="Input 2 2 2 4" xfId="29528" xr:uid="{00000000-0005-0000-0000-0000754D0000}"/>
    <cellStyle name="Input 2 2 3" xfId="13779" xr:uid="{00000000-0005-0000-0000-0000764D0000}"/>
    <cellStyle name="Input 2 2 3 2" xfId="13780" xr:uid="{00000000-0005-0000-0000-0000774D0000}"/>
    <cellStyle name="Input 2 2 3 3" xfId="29529" xr:uid="{00000000-0005-0000-0000-0000784D0000}"/>
    <cellStyle name="Input 2 2 3 4" xfId="29530" xr:uid="{00000000-0005-0000-0000-0000794D0000}"/>
    <cellStyle name="Input 2 2 4" xfId="13781" xr:uid="{00000000-0005-0000-0000-00007A4D0000}"/>
    <cellStyle name="Input 2 2 4 2" xfId="13782" xr:uid="{00000000-0005-0000-0000-00007B4D0000}"/>
    <cellStyle name="Input 2 2 4 3" xfId="29531" xr:uid="{00000000-0005-0000-0000-00007C4D0000}"/>
    <cellStyle name="Input 2 2 4 4" xfId="29532" xr:uid="{00000000-0005-0000-0000-00007D4D0000}"/>
    <cellStyle name="Input 2 2 5" xfId="13783" xr:uid="{00000000-0005-0000-0000-00007E4D0000}"/>
    <cellStyle name="Input 2 2 5 2" xfId="13784" xr:uid="{00000000-0005-0000-0000-00007F4D0000}"/>
    <cellStyle name="Input 2 2 5 3" xfId="29533" xr:uid="{00000000-0005-0000-0000-0000804D0000}"/>
    <cellStyle name="Input 2 2 5 4" xfId="29534" xr:uid="{00000000-0005-0000-0000-0000814D0000}"/>
    <cellStyle name="Input 2 2 6" xfId="13785" xr:uid="{00000000-0005-0000-0000-0000824D0000}"/>
    <cellStyle name="Input 2 2 6 2" xfId="13786" xr:uid="{00000000-0005-0000-0000-0000834D0000}"/>
    <cellStyle name="Input 2 2 6 3" xfId="29535" xr:uid="{00000000-0005-0000-0000-0000844D0000}"/>
    <cellStyle name="Input 2 2 6 4" xfId="29536" xr:uid="{00000000-0005-0000-0000-0000854D0000}"/>
    <cellStyle name="Input 2 2 7" xfId="13787" xr:uid="{00000000-0005-0000-0000-0000864D0000}"/>
    <cellStyle name="Input 2 2 7 2" xfId="13788" xr:uid="{00000000-0005-0000-0000-0000874D0000}"/>
    <cellStyle name="Input 2 2 7 3" xfId="29537" xr:uid="{00000000-0005-0000-0000-0000884D0000}"/>
    <cellStyle name="Input 2 2 7 4" xfId="29538" xr:uid="{00000000-0005-0000-0000-0000894D0000}"/>
    <cellStyle name="Input 2 2 8" xfId="13789" xr:uid="{00000000-0005-0000-0000-00008A4D0000}"/>
    <cellStyle name="Input 2 2 9" xfId="29539" xr:uid="{00000000-0005-0000-0000-00008B4D0000}"/>
    <cellStyle name="Input 2 3" xfId="13790" xr:uid="{00000000-0005-0000-0000-00008C4D0000}"/>
    <cellStyle name="Input 2 3 10" xfId="29540" xr:uid="{00000000-0005-0000-0000-00008D4D0000}"/>
    <cellStyle name="Input 2 3 2" xfId="13791" xr:uid="{00000000-0005-0000-0000-00008E4D0000}"/>
    <cellStyle name="Input 2 3 2 2" xfId="13792" xr:uid="{00000000-0005-0000-0000-00008F4D0000}"/>
    <cellStyle name="Input 2 3 2 3" xfId="29541" xr:uid="{00000000-0005-0000-0000-0000904D0000}"/>
    <cellStyle name="Input 2 3 2 4" xfId="29542" xr:uid="{00000000-0005-0000-0000-0000914D0000}"/>
    <cellStyle name="Input 2 3 3" xfId="13793" xr:uid="{00000000-0005-0000-0000-0000924D0000}"/>
    <cellStyle name="Input 2 3 3 2" xfId="13794" xr:uid="{00000000-0005-0000-0000-0000934D0000}"/>
    <cellStyle name="Input 2 3 3 3" xfId="29543" xr:uid="{00000000-0005-0000-0000-0000944D0000}"/>
    <cellStyle name="Input 2 3 3 4" xfId="29544" xr:uid="{00000000-0005-0000-0000-0000954D0000}"/>
    <cellStyle name="Input 2 3 4" xfId="13795" xr:uid="{00000000-0005-0000-0000-0000964D0000}"/>
    <cellStyle name="Input 2 3 4 2" xfId="13796" xr:uid="{00000000-0005-0000-0000-0000974D0000}"/>
    <cellStyle name="Input 2 3 4 3" xfId="29545" xr:uid="{00000000-0005-0000-0000-0000984D0000}"/>
    <cellStyle name="Input 2 3 4 4" xfId="29546" xr:uid="{00000000-0005-0000-0000-0000994D0000}"/>
    <cellStyle name="Input 2 3 5" xfId="13797" xr:uid="{00000000-0005-0000-0000-00009A4D0000}"/>
    <cellStyle name="Input 2 3 5 2" xfId="13798" xr:uid="{00000000-0005-0000-0000-00009B4D0000}"/>
    <cellStyle name="Input 2 3 5 3" xfId="29547" xr:uid="{00000000-0005-0000-0000-00009C4D0000}"/>
    <cellStyle name="Input 2 3 5 4" xfId="29548" xr:uid="{00000000-0005-0000-0000-00009D4D0000}"/>
    <cellStyle name="Input 2 3 6" xfId="13799" xr:uid="{00000000-0005-0000-0000-00009E4D0000}"/>
    <cellStyle name="Input 2 3 6 2" xfId="13800" xr:uid="{00000000-0005-0000-0000-00009F4D0000}"/>
    <cellStyle name="Input 2 3 6 3" xfId="29549" xr:uid="{00000000-0005-0000-0000-0000A04D0000}"/>
    <cellStyle name="Input 2 3 6 4" xfId="29550" xr:uid="{00000000-0005-0000-0000-0000A14D0000}"/>
    <cellStyle name="Input 2 3 7" xfId="13801" xr:uid="{00000000-0005-0000-0000-0000A24D0000}"/>
    <cellStyle name="Input 2 3 7 2" xfId="13802" xr:uid="{00000000-0005-0000-0000-0000A34D0000}"/>
    <cellStyle name="Input 2 3 7 3" xfId="29551" xr:uid="{00000000-0005-0000-0000-0000A44D0000}"/>
    <cellStyle name="Input 2 3 7 4" xfId="29552" xr:uid="{00000000-0005-0000-0000-0000A54D0000}"/>
    <cellStyle name="Input 2 3 8" xfId="13803" xr:uid="{00000000-0005-0000-0000-0000A64D0000}"/>
    <cellStyle name="Input 2 3 9" xfId="29553" xr:uid="{00000000-0005-0000-0000-0000A74D0000}"/>
    <cellStyle name="Input 2 4" xfId="13804" xr:uid="{00000000-0005-0000-0000-0000A84D0000}"/>
    <cellStyle name="Input 2 4 10" xfId="29554" xr:uid="{00000000-0005-0000-0000-0000A94D0000}"/>
    <cellStyle name="Input 2 4 2" xfId="13805" xr:uid="{00000000-0005-0000-0000-0000AA4D0000}"/>
    <cellStyle name="Input 2 4 2 2" xfId="13806" xr:uid="{00000000-0005-0000-0000-0000AB4D0000}"/>
    <cellStyle name="Input 2 4 2 3" xfId="29555" xr:uid="{00000000-0005-0000-0000-0000AC4D0000}"/>
    <cellStyle name="Input 2 4 2 4" xfId="29556" xr:uid="{00000000-0005-0000-0000-0000AD4D0000}"/>
    <cellStyle name="Input 2 4 3" xfId="13807" xr:uid="{00000000-0005-0000-0000-0000AE4D0000}"/>
    <cellStyle name="Input 2 4 3 2" xfId="13808" xr:uid="{00000000-0005-0000-0000-0000AF4D0000}"/>
    <cellStyle name="Input 2 4 3 3" xfId="29557" xr:uid="{00000000-0005-0000-0000-0000B04D0000}"/>
    <cellStyle name="Input 2 4 3 4" xfId="29558" xr:uid="{00000000-0005-0000-0000-0000B14D0000}"/>
    <cellStyle name="Input 2 4 4" xfId="13809" xr:uid="{00000000-0005-0000-0000-0000B24D0000}"/>
    <cellStyle name="Input 2 4 4 2" xfId="13810" xr:uid="{00000000-0005-0000-0000-0000B34D0000}"/>
    <cellStyle name="Input 2 4 4 3" xfId="29559" xr:uid="{00000000-0005-0000-0000-0000B44D0000}"/>
    <cellStyle name="Input 2 4 4 4" xfId="29560" xr:uid="{00000000-0005-0000-0000-0000B54D0000}"/>
    <cellStyle name="Input 2 4 5" xfId="13811" xr:uid="{00000000-0005-0000-0000-0000B64D0000}"/>
    <cellStyle name="Input 2 4 5 2" xfId="13812" xr:uid="{00000000-0005-0000-0000-0000B74D0000}"/>
    <cellStyle name="Input 2 4 5 3" xfId="29561" xr:uid="{00000000-0005-0000-0000-0000B84D0000}"/>
    <cellStyle name="Input 2 4 5 4" xfId="29562" xr:uid="{00000000-0005-0000-0000-0000B94D0000}"/>
    <cellStyle name="Input 2 4 6" xfId="13813" xr:uid="{00000000-0005-0000-0000-0000BA4D0000}"/>
    <cellStyle name="Input 2 4 6 2" xfId="13814" xr:uid="{00000000-0005-0000-0000-0000BB4D0000}"/>
    <cellStyle name="Input 2 4 6 3" xfId="29563" xr:uid="{00000000-0005-0000-0000-0000BC4D0000}"/>
    <cellStyle name="Input 2 4 6 4" xfId="29564" xr:uid="{00000000-0005-0000-0000-0000BD4D0000}"/>
    <cellStyle name="Input 2 4 7" xfId="13815" xr:uid="{00000000-0005-0000-0000-0000BE4D0000}"/>
    <cellStyle name="Input 2 4 7 2" xfId="13816" xr:uid="{00000000-0005-0000-0000-0000BF4D0000}"/>
    <cellStyle name="Input 2 4 7 3" xfId="29565" xr:uid="{00000000-0005-0000-0000-0000C04D0000}"/>
    <cellStyle name="Input 2 4 7 4" xfId="29566" xr:uid="{00000000-0005-0000-0000-0000C14D0000}"/>
    <cellStyle name="Input 2 4 8" xfId="13817" xr:uid="{00000000-0005-0000-0000-0000C24D0000}"/>
    <cellStyle name="Input 2 4 9" xfId="29567" xr:uid="{00000000-0005-0000-0000-0000C34D0000}"/>
    <cellStyle name="Input 2 5" xfId="13818" xr:uid="{00000000-0005-0000-0000-0000C44D0000}"/>
    <cellStyle name="Input 2 5 10" xfId="29568" xr:uid="{00000000-0005-0000-0000-0000C54D0000}"/>
    <cellStyle name="Input 2 5 2" xfId="13819" xr:uid="{00000000-0005-0000-0000-0000C64D0000}"/>
    <cellStyle name="Input 2 5 2 2" xfId="13820" xr:uid="{00000000-0005-0000-0000-0000C74D0000}"/>
    <cellStyle name="Input 2 5 2 3" xfId="29569" xr:uid="{00000000-0005-0000-0000-0000C84D0000}"/>
    <cellStyle name="Input 2 5 2 4" xfId="29570" xr:uid="{00000000-0005-0000-0000-0000C94D0000}"/>
    <cellStyle name="Input 2 5 3" xfId="13821" xr:uid="{00000000-0005-0000-0000-0000CA4D0000}"/>
    <cellStyle name="Input 2 5 3 2" xfId="13822" xr:uid="{00000000-0005-0000-0000-0000CB4D0000}"/>
    <cellStyle name="Input 2 5 3 3" xfId="29571" xr:uid="{00000000-0005-0000-0000-0000CC4D0000}"/>
    <cellStyle name="Input 2 5 3 4" xfId="29572" xr:uid="{00000000-0005-0000-0000-0000CD4D0000}"/>
    <cellStyle name="Input 2 5 4" xfId="13823" xr:uid="{00000000-0005-0000-0000-0000CE4D0000}"/>
    <cellStyle name="Input 2 5 4 2" xfId="13824" xr:uid="{00000000-0005-0000-0000-0000CF4D0000}"/>
    <cellStyle name="Input 2 5 4 3" xfId="29573" xr:uid="{00000000-0005-0000-0000-0000D04D0000}"/>
    <cellStyle name="Input 2 5 4 4" xfId="29574" xr:uid="{00000000-0005-0000-0000-0000D14D0000}"/>
    <cellStyle name="Input 2 5 5" xfId="13825" xr:uid="{00000000-0005-0000-0000-0000D24D0000}"/>
    <cellStyle name="Input 2 5 5 2" xfId="13826" xr:uid="{00000000-0005-0000-0000-0000D34D0000}"/>
    <cellStyle name="Input 2 5 5 3" xfId="29575" xr:uid="{00000000-0005-0000-0000-0000D44D0000}"/>
    <cellStyle name="Input 2 5 5 4" xfId="29576" xr:uid="{00000000-0005-0000-0000-0000D54D0000}"/>
    <cellStyle name="Input 2 5 6" xfId="13827" xr:uid="{00000000-0005-0000-0000-0000D64D0000}"/>
    <cellStyle name="Input 2 5 6 2" xfId="13828" xr:uid="{00000000-0005-0000-0000-0000D74D0000}"/>
    <cellStyle name="Input 2 5 6 3" xfId="29577" xr:uid="{00000000-0005-0000-0000-0000D84D0000}"/>
    <cellStyle name="Input 2 5 6 4" xfId="29578" xr:uid="{00000000-0005-0000-0000-0000D94D0000}"/>
    <cellStyle name="Input 2 5 7" xfId="13829" xr:uid="{00000000-0005-0000-0000-0000DA4D0000}"/>
    <cellStyle name="Input 2 5 7 2" xfId="13830" xr:uid="{00000000-0005-0000-0000-0000DB4D0000}"/>
    <cellStyle name="Input 2 5 7 3" xfId="29579" xr:uid="{00000000-0005-0000-0000-0000DC4D0000}"/>
    <cellStyle name="Input 2 5 7 4" xfId="29580" xr:uid="{00000000-0005-0000-0000-0000DD4D0000}"/>
    <cellStyle name="Input 2 5 8" xfId="13831" xr:uid="{00000000-0005-0000-0000-0000DE4D0000}"/>
    <cellStyle name="Input 2 5 9" xfId="29581" xr:uid="{00000000-0005-0000-0000-0000DF4D0000}"/>
    <cellStyle name="Input 2 6" xfId="13832" xr:uid="{00000000-0005-0000-0000-0000E04D0000}"/>
    <cellStyle name="Input 2 6 2" xfId="13833" xr:uid="{00000000-0005-0000-0000-0000E14D0000}"/>
    <cellStyle name="Input 2 6 3" xfId="29582" xr:uid="{00000000-0005-0000-0000-0000E24D0000}"/>
    <cellStyle name="Input 2 6 4" xfId="29583" xr:uid="{00000000-0005-0000-0000-0000E34D0000}"/>
    <cellStyle name="Input 2 7" xfId="13834" xr:uid="{00000000-0005-0000-0000-0000E44D0000}"/>
    <cellStyle name="Input 2 7 2" xfId="13835" xr:uid="{00000000-0005-0000-0000-0000E54D0000}"/>
    <cellStyle name="Input 2 7 3" xfId="29584" xr:uid="{00000000-0005-0000-0000-0000E64D0000}"/>
    <cellStyle name="Input 2 7 4" xfId="29585" xr:uid="{00000000-0005-0000-0000-0000E74D0000}"/>
    <cellStyle name="Input 2 8" xfId="13836" xr:uid="{00000000-0005-0000-0000-0000E84D0000}"/>
    <cellStyle name="Input 2 8 2" xfId="13837" xr:uid="{00000000-0005-0000-0000-0000E94D0000}"/>
    <cellStyle name="Input 2 8 3" xfId="29586" xr:uid="{00000000-0005-0000-0000-0000EA4D0000}"/>
    <cellStyle name="Input 2 8 4" xfId="29587" xr:uid="{00000000-0005-0000-0000-0000EB4D0000}"/>
    <cellStyle name="Input 2 9" xfId="13838" xr:uid="{00000000-0005-0000-0000-0000EC4D0000}"/>
    <cellStyle name="Input 2 9 2" xfId="13839" xr:uid="{00000000-0005-0000-0000-0000ED4D0000}"/>
    <cellStyle name="Input 2 9 3" xfId="29588" xr:uid="{00000000-0005-0000-0000-0000EE4D0000}"/>
    <cellStyle name="Input 2 9 4" xfId="29589" xr:uid="{00000000-0005-0000-0000-0000EF4D0000}"/>
    <cellStyle name="Input 20" xfId="13840" xr:uid="{00000000-0005-0000-0000-0000F04D0000}"/>
    <cellStyle name="Input 20 10" xfId="13841" xr:uid="{00000000-0005-0000-0000-0000F14D0000}"/>
    <cellStyle name="Input 20 10 2" xfId="13842" xr:uid="{00000000-0005-0000-0000-0000F24D0000}"/>
    <cellStyle name="Input 20 10 3" xfId="29590" xr:uid="{00000000-0005-0000-0000-0000F34D0000}"/>
    <cellStyle name="Input 20 10 4" xfId="29591" xr:uid="{00000000-0005-0000-0000-0000F44D0000}"/>
    <cellStyle name="Input 20 11" xfId="13843" xr:uid="{00000000-0005-0000-0000-0000F54D0000}"/>
    <cellStyle name="Input 20 11 2" xfId="13844" xr:uid="{00000000-0005-0000-0000-0000F64D0000}"/>
    <cellStyle name="Input 20 11 3" xfId="29592" xr:uid="{00000000-0005-0000-0000-0000F74D0000}"/>
    <cellStyle name="Input 20 11 4" xfId="29593" xr:uid="{00000000-0005-0000-0000-0000F84D0000}"/>
    <cellStyle name="Input 20 12" xfId="13845" xr:uid="{00000000-0005-0000-0000-0000F94D0000}"/>
    <cellStyle name="Input 20 13" xfId="29594" xr:uid="{00000000-0005-0000-0000-0000FA4D0000}"/>
    <cellStyle name="Input 20 14" xfId="29595" xr:uid="{00000000-0005-0000-0000-0000FB4D0000}"/>
    <cellStyle name="Input 20 2" xfId="13846" xr:uid="{00000000-0005-0000-0000-0000FC4D0000}"/>
    <cellStyle name="Input 20 2 10" xfId="29596" xr:uid="{00000000-0005-0000-0000-0000FD4D0000}"/>
    <cellStyle name="Input 20 2 2" xfId="13847" xr:uid="{00000000-0005-0000-0000-0000FE4D0000}"/>
    <cellStyle name="Input 20 2 2 2" xfId="13848" xr:uid="{00000000-0005-0000-0000-0000FF4D0000}"/>
    <cellStyle name="Input 20 2 2 3" xfId="29597" xr:uid="{00000000-0005-0000-0000-0000004E0000}"/>
    <cellStyle name="Input 20 2 2 4" xfId="29598" xr:uid="{00000000-0005-0000-0000-0000014E0000}"/>
    <cellStyle name="Input 20 2 3" xfId="13849" xr:uid="{00000000-0005-0000-0000-0000024E0000}"/>
    <cellStyle name="Input 20 2 3 2" xfId="13850" xr:uid="{00000000-0005-0000-0000-0000034E0000}"/>
    <cellStyle name="Input 20 2 3 3" xfId="29599" xr:uid="{00000000-0005-0000-0000-0000044E0000}"/>
    <cellStyle name="Input 20 2 3 4" xfId="29600" xr:uid="{00000000-0005-0000-0000-0000054E0000}"/>
    <cellStyle name="Input 20 2 4" xfId="13851" xr:uid="{00000000-0005-0000-0000-0000064E0000}"/>
    <cellStyle name="Input 20 2 4 2" xfId="13852" xr:uid="{00000000-0005-0000-0000-0000074E0000}"/>
    <cellStyle name="Input 20 2 4 3" xfId="29601" xr:uid="{00000000-0005-0000-0000-0000084E0000}"/>
    <cellStyle name="Input 20 2 4 4" xfId="29602" xr:uid="{00000000-0005-0000-0000-0000094E0000}"/>
    <cellStyle name="Input 20 2 5" xfId="13853" xr:uid="{00000000-0005-0000-0000-00000A4E0000}"/>
    <cellStyle name="Input 20 2 5 2" xfId="13854" xr:uid="{00000000-0005-0000-0000-00000B4E0000}"/>
    <cellStyle name="Input 20 2 5 3" xfId="29603" xr:uid="{00000000-0005-0000-0000-00000C4E0000}"/>
    <cellStyle name="Input 20 2 5 4" xfId="29604" xr:uid="{00000000-0005-0000-0000-00000D4E0000}"/>
    <cellStyle name="Input 20 2 6" xfId="13855" xr:uid="{00000000-0005-0000-0000-00000E4E0000}"/>
    <cellStyle name="Input 20 2 6 2" xfId="13856" xr:uid="{00000000-0005-0000-0000-00000F4E0000}"/>
    <cellStyle name="Input 20 2 6 3" xfId="29605" xr:uid="{00000000-0005-0000-0000-0000104E0000}"/>
    <cellStyle name="Input 20 2 6 4" xfId="29606" xr:uid="{00000000-0005-0000-0000-0000114E0000}"/>
    <cellStyle name="Input 20 2 7" xfId="13857" xr:uid="{00000000-0005-0000-0000-0000124E0000}"/>
    <cellStyle name="Input 20 2 7 2" xfId="13858" xr:uid="{00000000-0005-0000-0000-0000134E0000}"/>
    <cellStyle name="Input 20 2 7 3" xfId="29607" xr:uid="{00000000-0005-0000-0000-0000144E0000}"/>
    <cellStyle name="Input 20 2 7 4" xfId="29608" xr:uid="{00000000-0005-0000-0000-0000154E0000}"/>
    <cellStyle name="Input 20 2 8" xfId="13859" xr:uid="{00000000-0005-0000-0000-0000164E0000}"/>
    <cellStyle name="Input 20 2 9" xfId="29609" xr:uid="{00000000-0005-0000-0000-0000174E0000}"/>
    <cellStyle name="Input 20 3" xfId="13860" xr:uid="{00000000-0005-0000-0000-0000184E0000}"/>
    <cellStyle name="Input 20 3 10" xfId="29610" xr:uid="{00000000-0005-0000-0000-0000194E0000}"/>
    <cellStyle name="Input 20 3 2" xfId="13861" xr:uid="{00000000-0005-0000-0000-00001A4E0000}"/>
    <cellStyle name="Input 20 3 2 2" xfId="13862" xr:uid="{00000000-0005-0000-0000-00001B4E0000}"/>
    <cellStyle name="Input 20 3 2 3" xfId="29611" xr:uid="{00000000-0005-0000-0000-00001C4E0000}"/>
    <cellStyle name="Input 20 3 2 4" xfId="29612" xr:uid="{00000000-0005-0000-0000-00001D4E0000}"/>
    <cellStyle name="Input 20 3 3" xfId="13863" xr:uid="{00000000-0005-0000-0000-00001E4E0000}"/>
    <cellStyle name="Input 20 3 3 2" xfId="13864" xr:uid="{00000000-0005-0000-0000-00001F4E0000}"/>
    <cellStyle name="Input 20 3 3 3" xfId="29613" xr:uid="{00000000-0005-0000-0000-0000204E0000}"/>
    <cellStyle name="Input 20 3 3 4" xfId="29614" xr:uid="{00000000-0005-0000-0000-0000214E0000}"/>
    <cellStyle name="Input 20 3 4" xfId="13865" xr:uid="{00000000-0005-0000-0000-0000224E0000}"/>
    <cellStyle name="Input 20 3 4 2" xfId="13866" xr:uid="{00000000-0005-0000-0000-0000234E0000}"/>
    <cellStyle name="Input 20 3 4 3" xfId="29615" xr:uid="{00000000-0005-0000-0000-0000244E0000}"/>
    <cellStyle name="Input 20 3 4 4" xfId="29616" xr:uid="{00000000-0005-0000-0000-0000254E0000}"/>
    <cellStyle name="Input 20 3 5" xfId="13867" xr:uid="{00000000-0005-0000-0000-0000264E0000}"/>
    <cellStyle name="Input 20 3 5 2" xfId="13868" xr:uid="{00000000-0005-0000-0000-0000274E0000}"/>
    <cellStyle name="Input 20 3 5 3" xfId="29617" xr:uid="{00000000-0005-0000-0000-0000284E0000}"/>
    <cellStyle name="Input 20 3 5 4" xfId="29618" xr:uid="{00000000-0005-0000-0000-0000294E0000}"/>
    <cellStyle name="Input 20 3 6" xfId="13869" xr:uid="{00000000-0005-0000-0000-00002A4E0000}"/>
    <cellStyle name="Input 20 3 6 2" xfId="13870" xr:uid="{00000000-0005-0000-0000-00002B4E0000}"/>
    <cellStyle name="Input 20 3 6 3" xfId="29619" xr:uid="{00000000-0005-0000-0000-00002C4E0000}"/>
    <cellStyle name="Input 20 3 6 4" xfId="29620" xr:uid="{00000000-0005-0000-0000-00002D4E0000}"/>
    <cellStyle name="Input 20 3 7" xfId="13871" xr:uid="{00000000-0005-0000-0000-00002E4E0000}"/>
    <cellStyle name="Input 20 3 7 2" xfId="13872" xr:uid="{00000000-0005-0000-0000-00002F4E0000}"/>
    <cellStyle name="Input 20 3 7 3" xfId="29621" xr:uid="{00000000-0005-0000-0000-0000304E0000}"/>
    <cellStyle name="Input 20 3 7 4" xfId="29622" xr:uid="{00000000-0005-0000-0000-0000314E0000}"/>
    <cellStyle name="Input 20 3 8" xfId="13873" xr:uid="{00000000-0005-0000-0000-0000324E0000}"/>
    <cellStyle name="Input 20 3 9" xfId="29623" xr:uid="{00000000-0005-0000-0000-0000334E0000}"/>
    <cellStyle name="Input 20 4" xfId="13874" xr:uid="{00000000-0005-0000-0000-0000344E0000}"/>
    <cellStyle name="Input 20 4 10" xfId="29624" xr:uid="{00000000-0005-0000-0000-0000354E0000}"/>
    <cellStyle name="Input 20 4 2" xfId="13875" xr:uid="{00000000-0005-0000-0000-0000364E0000}"/>
    <cellStyle name="Input 20 4 2 2" xfId="13876" xr:uid="{00000000-0005-0000-0000-0000374E0000}"/>
    <cellStyle name="Input 20 4 2 3" xfId="29625" xr:uid="{00000000-0005-0000-0000-0000384E0000}"/>
    <cellStyle name="Input 20 4 2 4" xfId="29626" xr:uid="{00000000-0005-0000-0000-0000394E0000}"/>
    <cellStyle name="Input 20 4 3" xfId="13877" xr:uid="{00000000-0005-0000-0000-00003A4E0000}"/>
    <cellStyle name="Input 20 4 3 2" xfId="13878" xr:uid="{00000000-0005-0000-0000-00003B4E0000}"/>
    <cellStyle name="Input 20 4 3 3" xfId="29627" xr:uid="{00000000-0005-0000-0000-00003C4E0000}"/>
    <cellStyle name="Input 20 4 3 4" xfId="29628" xr:uid="{00000000-0005-0000-0000-00003D4E0000}"/>
    <cellStyle name="Input 20 4 4" xfId="13879" xr:uid="{00000000-0005-0000-0000-00003E4E0000}"/>
    <cellStyle name="Input 20 4 4 2" xfId="13880" xr:uid="{00000000-0005-0000-0000-00003F4E0000}"/>
    <cellStyle name="Input 20 4 4 3" xfId="29629" xr:uid="{00000000-0005-0000-0000-0000404E0000}"/>
    <cellStyle name="Input 20 4 4 4" xfId="29630" xr:uid="{00000000-0005-0000-0000-0000414E0000}"/>
    <cellStyle name="Input 20 4 5" xfId="13881" xr:uid="{00000000-0005-0000-0000-0000424E0000}"/>
    <cellStyle name="Input 20 4 5 2" xfId="13882" xr:uid="{00000000-0005-0000-0000-0000434E0000}"/>
    <cellStyle name="Input 20 4 5 3" xfId="29631" xr:uid="{00000000-0005-0000-0000-0000444E0000}"/>
    <cellStyle name="Input 20 4 5 4" xfId="29632" xr:uid="{00000000-0005-0000-0000-0000454E0000}"/>
    <cellStyle name="Input 20 4 6" xfId="13883" xr:uid="{00000000-0005-0000-0000-0000464E0000}"/>
    <cellStyle name="Input 20 4 6 2" xfId="13884" xr:uid="{00000000-0005-0000-0000-0000474E0000}"/>
    <cellStyle name="Input 20 4 6 3" xfId="29633" xr:uid="{00000000-0005-0000-0000-0000484E0000}"/>
    <cellStyle name="Input 20 4 6 4" xfId="29634" xr:uid="{00000000-0005-0000-0000-0000494E0000}"/>
    <cellStyle name="Input 20 4 7" xfId="13885" xr:uid="{00000000-0005-0000-0000-00004A4E0000}"/>
    <cellStyle name="Input 20 4 7 2" xfId="13886" xr:uid="{00000000-0005-0000-0000-00004B4E0000}"/>
    <cellStyle name="Input 20 4 7 3" xfId="29635" xr:uid="{00000000-0005-0000-0000-00004C4E0000}"/>
    <cellStyle name="Input 20 4 7 4" xfId="29636" xr:uid="{00000000-0005-0000-0000-00004D4E0000}"/>
    <cellStyle name="Input 20 4 8" xfId="13887" xr:uid="{00000000-0005-0000-0000-00004E4E0000}"/>
    <cellStyle name="Input 20 4 9" xfId="29637" xr:uid="{00000000-0005-0000-0000-00004F4E0000}"/>
    <cellStyle name="Input 20 5" xfId="13888" xr:uid="{00000000-0005-0000-0000-0000504E0000}"/>
    <cellStyle name="Input 20 5 10" xfId="29638" xr:uid="{00000000-0005-0000-0000-0000514E0000}"/>
    <cellStyle name="Input 20 5 2" xfId="13889" xr:uid="{00000000-0005-0000-0000-0000524E0000}"/>
    <cellStyle name="Input 20 5 2 2" xfId="13890" xr:uid="{00000000-0005-0000-0000-0000534E0000}"/>
    <cellStyle name="Input 20 5 2 3" xfId="29639" xr:uid="{00000000-0005-0000-0000-0000544E0000}"/>
    <cellStyle name="Input 20 5 2 4" xfId="29640" xr:uid="{00000000-0005-0000-0000-0000554E0000}"/>
    <cellStyle name="Input 20 5 3" xfId="13891" xr:uid="{00000000-0005-0000-0000-0000564E0000}"/>
    <cellStyle name="Input 20 5 3 2" xfId="13892" xr:uid="{00000000-0005-0000-0000-0000574E0000}"/>
    <cellStyle name="Input 20 5 3 3" xfId="29641" xr:uid="{00000000-0005-0000-0000-0000584E0000}"/>
    <cellStyle name="Input 20 5 3 4" xfId="29642" xr:uid="{00000000-0005-0000-0000-0000594E0000}"/>
    <cellStyle name="Input 20 5 4" xfId="13893" xr:uid="{00000000-0005-0000-0000-00005A4E0000}"/>
    <cellStyle name="Input 20 5 4 2" xfId="13894" xr:uid="{00000000-0005-0000-0000-00005B4E0000}"/>
    <cellStyle name="Input 20 5 4 3" xfId="29643" xr:uid="{00000000-0005-0000-0000-00005C4E0000}"/>
    <cellStyle name="Input 20 5 4 4" xfId="29644" xr:uid="{00000000-0005-0000-0000-00005D4E0000}"/>
    <cellStyle name="Input 20 5 5" xfId="13895" xr:uid="{00000000-0005-0000-0000-00005E4E0000}"/>
    <cellStyle name="Input 20 5 5 2" xfId="13896" xr:uid="{00000000-0005-0000-0000-00005F4E0000}"/>
    <cellStyle name="Input 20 5 5 3" xfId="29645" xr:uid="{00000000-0005-0000-0000-0000604E0000}"/>
    <cellStyle name="Input 20 5 5 4" xfId="29646" xr:uid="{00000000-0005-0000-0000-0000614E0000}"/>
    <cellStyle name="Input 20 5 6" xfId="13897" xr:uid="{00000000-0005-0000-0000-0000624E0000}"/>
    <cellStyle name="Input 20 5 6 2" xfId="13898" xr:uid="{00000000-0005-0000-0000-0000634E0000}"/>
    <cellStyle name="Input 20 5 6 3" xfId="29647" xr:uid="{00000000-0005-0000-0000-0000644E0000}"/>
    <cellStyle name="Input 20 5 6 4" xfId="29648" xr:uid="{00000000-0005-0000-0000-0000654E0000}"/>
    <cellStyle name="Input 20 5 7" xfId="13899" xr:uid="{00000000-0005-0000-0000-0000664E0000}"/>
    <cellStyle name="Input 20 5 7 2" xfId="13900" xr:uid="{00000000-0005-0000-0000-0000674E0000}"/>
    <cellStyle name="Input 20 5 7 3" xfId="29649" xr:uid="{00000000-0005-0000-0000-0000684E0000}"/>
    <cellStyle name="Input 20 5 7 4" xfId="29650" xr:uid="{00000000-0005-0000-0000-0000694E0000}"/>
    <cellStyle name="Input 20 5 8" xfId="13901" xr:uid="{00000000-0005-0000-0000-00006A4E0000}"/>
    <cellStyle name="Input 20 5 9" xfId="29651" xr:uid="{00000000-0005-0000-0000-00006B4E0000}"/>
    <cellStyle name="Input 20 6" xfId="13902" xr:uid="{00000000-0005-0000-0000-00006C4E0000}"/>
    <cellStyle name="Input 20 6 2" xfId="13903" xr:uid="{00000000-0005-0000-0000-00006D4E0000}"/>
    <cellStyle name="Input 20 6 3" xfId="29652" xr:uid="{00000000-0005-0000-0000-00006E4E0000}"/>
    <cellStyle name="Input 20 6 4" xfId="29653" xr:uid="{00000000-0005-0000-0000-00006F4E0000}"/>
    <cellStyle name="Input 20 7" xfId="13904" xr:uid="{00000000-0005-0000-0000-0000704E0000}"/>
    <cellStyle name="Input 20 7 2" xfId="13905" xr:uid="{00000000-0005-0000-0000-0000714E0000}"/>
    <cellStyle name="Input 20 7 3" xfId="29654" xr:uid="{00000000-0005-0000-0000-0000724E0000}"/>
    <cellStyle name="Input 20 7 4" xfId="29655" xr:uid="{00000000-0005-0000-0000-0000734E0000}"/>
    <cellStyle name="Input 20 8" xfId="13906" xr:uid="{00000000-0005-0000-0000-0000744E0000}"/>
    <cellStyle name="Input 20 8 2" xfId="13907" xr:uid="{00000000-0005-0000-0000-0000754E0000}"/>
    <cellStyle name="Input 20 8 3" xfId="29656" xr:uid="{00000000-0005-0000-0000-0000764E0000}"/>
    <cellStyle name="Input 20 8 4" xfId="29657" xr:uid="{00000000-0005-0000-0000-0000774E0000}"/>
    <cellStyle name="Input 20 9" xfId="13908" xr:uid="{00000000-0005-0000-0000-0000784E0000}"/>
    <cellStyle name="Input 20 9 2" xfId="13909" xr:uid="{00000000-0005-0000-0000-0000794E0000}"/>
    <cellStyle name="Input 20 9 3" xfId="29658" xr:uid="{00000000-0005-0000-0000-00007A4E0000}"/>
    <cellStyle name="Input 20 9 4" xfId="29659" xr:uid="{00000000-0005-0000-0000-00007B4E0000}"/>
    <cellStyle name="Input 21" xfId="13910" xr:uid="{00000000-0005-0000-0000-00007C4E0000}"/>
    <cellStyle name="Input 21 10" xfId="13911" xr:uid="{00000000-0005-0000-0000-00007D4E0000}"/>
    <cellStyle name="Input 21 10 2" xfId="13912" xr:uid="{00000000-0005-0000-0000-00007E4E0000}"/>
    <cellStyle name="Input 21 10 3" xfId="29660" xr:uid="{00000000-0005-0000-0000-00007F4E0000}"/>
    <cellStyle name="Input 21 10 4" xfId="29661" xr:uid="{00000000-0005-0000-0000-0000804E0000}"/>
    <cellStyle name="Input 21 11" xfId="13913" xr:uid="{00000000-0005-0000-0000-0000814E0000}"/>
    <cellStyle name="Input 21 11 2" xfId="13914" xr:uid="{00000000-0005-0000-0000-0000824E0000}"/>
    <cellStyle name="Input 21 11 3" xfId="29662" xr:uid="{00000000-0005-0000-0000-0000834E0000}"/>
    <cellStyle name="Input 21 11 4" xfId="29663" xr:uid="{00000000-0005-0000-0000-0000844E0000}"/>
    <cellStyle name="Input 21 12" xfId="13915" xr:uid="{00000000-0005-0000-0000-0000854E0000}"/>
    <cellStyle name="Input 21 13" xfId="29664" xr:uid="{00000000-0005-0000-0000-0000864E0000}"/>
    <cellStyle name="Input 21 14" xfId="29665" xr:uid="{00000000-0005-0000-0000-0000874E0000}"/>
    <cellStyle name="Input 21 2" xfId="13916" xr:uid="{00000000-0005-0000-0000-0000884E0000}"/>
    <cellStyle name="Input 21 2 10" xfId="29666" xr:uid="{00000000-0005-0000-0000-0000894E0000}"/>
    <cellStyle name="Input 21 2 2" xfId="13917" xr:uid="{00000000-0005-0000-0000-00008A4E0000}"/>
    <cellStyle name="Input 21 2 2 2" xfId="13918" xr:uid="{00000000-0005-0000-0000-00008B4E0000}"/>
    <cellStyle name="Input 21 2 2 3" xfId="29667" xr:uid="{00000000-0005-0000-0000-00008C4E0000}"/>
    <cellStyle name="Input 21 2 2 4" xfId="29668" xr:uid="{00000000-0005-0000-0000-00008D4E0000}"/>
    <cellStyle name="Input 21 2 3" xfId="13919" xr:uid="{00000000-0005-0000-0000-00008E4E0000}"/>
    <cellStyle name="Input 21 2 3 2" xfId="13920" xr:uid="{00000000-0005-0000-0000-00008F4E0000}"/>
    <cellStyle name="Input 21 2 3 3" xfId="29669" xr:uid="{00000000-0005-0000-0000-0000904E0000}"/>
    <cellStyle name="Input 21 2 3 4" xfId="29670" xr:uid="{00000000-0005-0000-0000-0000914E0000}"/>
    <cellStyle name="Input 21 2 4" xfId="13921" xr:uid="{00000000-0005-0000-0000-0000924E0000}"/>
    <cellStyle name="Input 21 2 4 2" xfId="13922" xr:uid="{00000000-0005-0000-0000-0000934E0000}"/>
    <cellStyle name="Input 21 2 4 3" xfId="29671" xr:uid="{00000000-0005-0000-0000-0000944E0000}"/>
    <cellStyle name="Input 21 2 4 4" xfId="29672" xr:uid="{00000000-0005-0000-0000-0000954E0000}"/>
    <cellStyle name="Input 21 2 5" xfId="13923" xr:uid="{00000000-0005-0000-0000-0000964E0000}"/>
    <cellStyle name="Input 21 2 5 2" xfId="13924" xr:uid="{00000000-0005-0000-0000-0000974E0000}"/>
    <cellStyle name="Input 21 2 5 3" xfId="29673" xr:uid="{00000000-0005-0000-0000-0000984E0000}"/>
    <cellStyle name="Input 21 2 5 4" xfId="29674" xr:uid="{00000000-0005-0000-0000-0000994E0000}"/>
    <cellStyle name="Input 21 2 6" xfId="13925" xr:uid="{00000000-0005-0000-0000-00009A4E0000}"/>
    <cellStyle name="Input 21 2 6 2" xfId="13926" xr:uid="{00000000-0005-0000-0000-00009B4E0000}"/>
    <cellStyle name="Input 21 2 6 3" xfId="29675" xr:uid="{00000000-0005-0000-0000-00009C4E0000}"/>
    <cellStyle name="Input 21 2 6 4" xfId="29676" xr:uid="{00000000-0005-0000-0000-00009D4E0000}"/>
    <cellStyle name="Input 21 2 7" xfId="13927" xr:uid="{00000000-0005-0000-0000-00009E4E0000}"/>
    <cellStyle name="Input 21 2 7 2" xfId="13928" xr:uid="{00000000-0005-0000-0000-00009F4E0000}"/>
    <cellStyle name="Input 21 2 7 3" xfId="29677" xr:uid="{00000000-0005-0000-0000-0000A04E0000}"/>
    <cellStyle name="Input 21 2 7 4" xfId="29678" xr:uid="{00000000-0005-0000-0000-0000A14E0000}"/>
    <cellStyle name="Input 21 2 8" xfId="13929" xr:uid="{00000000-0005-0000-0000-0000A24E0000}"/>
    <cellStyle name="Input 21 2 9" xfId="29679" xr:uid="{00000000-0005-0000-0000-0000A34E0000}"/>
    <cellStyle name="Input 21 3" xfId="13930" xr:uid="{00000000-0005-0000-0000-0000A44E0000}"/>
    <cellStyle name="Input 21 3 10" xfId="29680" xr:uid="{00000000-0005-0000-0000-0000A54E0000}"/>
    <cellStyle name="Input 21 3 2" xfId="13931" xr:uid="{00000000-0005-0000-0000-0000A64E0000}"/>
    <cellStyle name="Input 21 3 2 2" xfId="13932" xr:uid="{00000000-0005-0000-0000-0000A74E0000}"/>
    <cellStyle name="Input 21 3 2 3" xfId="29681" xr:uid="{00000000-0005-0000-0000-0000A84E0000}"/>
    <cellStyle name="Input 21 3 2 4" xfId="29682" xr:uid="{00000000-0005-0000-0000-0000A94E0000}"/>
    <cellStyle name="Input 21 3 3" xfId="13933" xr:uid="{00000000-0005-0000-0000-0000AA4E0000}"/>
    <cellStyle name="Input 21 3 3 2" xfId="13934" xr:uid="{00000000-0005-0000-0000-0000AB4E0000}"/>
    <cellStyle name="Input 21 3 3 3" xfId="29683" xr:uid="{00000000-0005-0000-0000-0000AC4E0000}"/>
    <cellStyle name="Input 21 3 3 4" xfId="29684" xr:uid="{00000000-0005-0000-0000-0000AD4E0000}"/>
    <cellStyle name="Input 21 3 4" xfId="13935" xr:uid="{00000000-0005-0000-0000-0000AE4E0000}"/>
    <cellStyle name="Input 21 3 4 2" xfId="13936" xr:uid="{00000000-0005-0000-0000-0000AF4E0000}"/>
    <cellStyle name="Input 21 3 4 3" xfId="29685" xr:uid="{00000000-0005-0000-0000-0000B04E0000}"/>
    <cellStyle name="Input 21 3 4 4" xfId="29686" xr:uid="{00000000-0005-0000-0000-0000B14E0000}"/>
    <cellStyle name="Input 21 3 5" xfId="13937" xr:uid="{00000000-0005-0000-0000-0000B24E0000}"/>
    <cellStyle name="Input 21 3 5 2" xfId="13938" xr:uid="{00000000-0005-0000-0000-0000B34E0000}"/>
    <cellStyle name="Input 21 3 5 3" xfId="29687" xr:uid="{00000000-0005-0000-0000-0000B44E0000}"/>
    <cellStyle name="Input 21 3 5 4" xfId="29688" xr:uid="{00000000-0005-0000-0000-0000B54E0000}"/>
    <cellStyle name="Input 21 3 6" xfId="13939" xr:uid="{00000000-0005-0000-0000-0000B64E0000}"/>
    <cellStyle name="Input 21 3 6 2" xfId="13940" xr:uid="{00000000-0005-0000-0000-0000B74E0000}"/>
    <cellStyle name="Input 21 3 6 3" xfId="29689" xr:uid="{00000000-0005-0000-0000-0000B84E0000}"/>
    <cellStyle name="Input 21 3 6 4" xfId="29690" xr:uid="{00000000-0005-0000-0000-0000B94E0000}"/>
    <cellStyle name="Input 21 3 7" xfId="13941" xr:uid="{00000000-0005-0000-0000-0000BA4E0000}"/>
    <cellStyle name="Input 21 3 7 2" xfId="13942" xr:uid="{00000000-0005-0000-0000-0000BB4E0000}"/>
    <cellStyle name="Input 21 3 7 3" xfId="29691" xr:uid="{00000000-0005-0000-0000-0000BC4E0000}"/>
    <cellStyle name="Input 21 3 7 4" xfId="29692" xr:uid="{00000000-0005-0000-0000-0000BD4E0000}"/>
    <cellStyle name="Input 21 3 8" xfId="13943" xr:uid="{00000000-0005-0000-0000-0000BE4E0000}"/>
    <cellStyle name="Input 21 3 9" xfId="29693" xr:uid="{00000000-0005-0000-0000-0000BF4E0000}"/>
    <cellStyle name="Input 21 4" xfId="13944" xr:uid="{00000000-0005-0000-0000-0000C04E0000}"/>
    <cellStyle name="Input 21 4 10" xfId="29694" xr:uid="{00000000-0005-0000-0000-0000C14E0000}"/>
    <cellStyle name="Input 21 4 2" xfId="13945" xr:uid="{00000000-0005-0000-0000-0000C24E0000}"/>
    <cellStyle name="Input 21 4 2 2" xfId="13946" xr:uid="{00000000-0005-0000-0000-0000C34E0000}"/>
    <cellStyle name="Input 21 4 2 3" xfId="29695" xr:uid="{00000000-0005-0000-0000-0000C44E0000}"/>
    <cellStyle name="Input 21 4 2 4" xfId="29696" xr:uid="{00000000-0005-0000-0000-0000C54E0000}"/>
    <cellStyle name="Input 21 4 3" xfId="13947" xr:uid="{00000000-0005-0000-0000-0000C64E0000}"/>
    <cellStyle name="Input 21 4 3 2" xfId="13948" xr:uid="{00000000-0005-0000-0000-0000C74E0000}"/>
    <cellStyle name="Input 21 4 3 3" xfId="29697" xr:uid="{00000000-0005-0000-0000-0000C84E0000}"/>
    <cellStyle name="Input 21 4 3 4" xfId="29698" xr:uid="{00000000-0005-0000-0000-0000C94E0000}"/>
    <cellStyle name="Input 21 4 4" xfId="13949" xr:uid="{00000000-0005-0000-0000-0000CA4E0000}"/>
    <cellStyle name="Input 21 4 4 2" xfId="13950" xr:uid="{00000000-0005-0000-0000-0000CB4E0000}"/>
    <cellStyle name="Input 21 4 4 3" xfId="29699" xr:uid="{00000000-0005-0000-0000-0000CC4E0000}"/>
    <cellStyle name="Input 21 4 4 4" xfId="29700" xr:uid="{00000000-0005-0000-0000-0000CD4E0000}"/>
    <cellStyle name="Input 21 4 5" xfId="13951" xr:uid="{00000000-0005-0000-0000-0000CE4E0000}"/>
    <cellStyle name="Input 21 4 5 2" xfId="13952" xr:uid="{00000000-0005-0000-0000-0000CF4E0000}"/>
    <cellStyle name="Input 21 4 5 3" xfId="29701" xr:uid="{00000000-0005-0000-0000-0000D04E0000}"/>
    <cellStyle name="Input 21 4 5 4" xfId="29702" xr:uid="{00000000-0005-0000-0000-0000D14E0000}"/>
    <cellStyle name="Input 21 4 6" xfId="13953" xr:uid="{00000000-0005-0000-0000-0000D24E0000}"/>
    <cellStyle name="Input 21 4 6 2" xfId="13954" xr:uid="{00000000-0005-0000-0000-0000D34E0000}"/>
    <cellStyle name="Input 21 4 6 3" xfId="29703" xr:uid="{00000000-0005-0000-0000-0000D44E0000}"/>
    <cellStyle name="Input 21 4 6 4" xfId="29704" xr:uid="{00000000-0005-0000-0000-0000D54E0000}"/>
    <cellStyle name="Input 21 4 7" xfId="13955" xr:uid="{00000000-0005-0000-0000-0000D64E0000}"/>
    <cellStyle name="Input 21 4 7 2" xfId="13956" xr:uid="{00000000-0005-0000-0000-0000D74E0000}"/>
    <cellStyle name="Input 21 4 7 3" xfId="29705" xr:uid="{00000000-0005-0000-0000-0000D84E0000}"/>
    <cellStyle name="Input 21 4 7 4" xfId="29706" xr:uid="{00000000-0005-0000-0000-0000D94E0000}"/>
    <cellStyle name="Input 21 4 8" xfId="13957" xr:uid="{00000000-0005-0000-0000-0000DA4E0000}"/>
    <cellStyle name="Input 21 4 9" xfId="29707" xr:uid="{00000000-0005-0000-0000-0000DB4E0000}"/>
    <cellStyle name="Input 21 5" xfId="13958" xr:uid="{00000000-0005-0000-0000-0000DC4E0000}"/>
    <cellStyle name="Input 21 5 10" xfId="29708" xr:uid="{00000000-0005-0000-0000-0000DD4E0000}"/>
    <cellStyle name="Input 21 5 2" xfId="13959" xr:uid="{00000000-0005-0000-0000-0000DE4E0000}"/>
    <cellStyle name="Input 21 5 2 2" xfId="13960" xr:uid="{00000000-0005-0000-0000-0000DF4E0000}"/>
    <cellStyle name="Input 21 5 2 3" xfId="29709" xr:uid="{00000000-0005-0000-0000-0000E04E0000}"/>
    <cellStyle name="Input 21 5 2 4" xfId="29710" xr:uid="{00000000-0005-0000-0000-0000E14E0000}"/>
    <cellStyle name="Input 21 5 3" xfId="13961" xr:uid="{00000000-0005-0000-0000-0000E24E0000}"/>
    <cellStyle name="Input 21 5 3 2" xfId="13962" xr:uid="{00000000-0005-0000-0000-0000E34E0000}"/>
    <cellStyle name="Input 21 5 3 3" xfId="29711" xr:uid="{00000000-0005-0000-0000-0000E44E0000}"/>
    <cellStyle name="Input 21 5 3 4" xfId="29712" xr:uid="{00000000-0005-0000-0000-0000E54E0000}"/>
    <cellStyle name="Input 21 5 4" xfId="13963" xr:uid="{00000000-0005-0000-0000-0000E64E0000}"/>
    <cellStyle name="Input 21 5 4 2" xfId="13964" xr:uid="{00000000-0005-0000-0000-0000E74E0000}"/>
    <cellStyle name="Input 21 5 4 3" xfId="29713" xr:uid="{00000000-0005-0000-0000-0000E84E0000}"/>
    <cellStyle name="Input 21 5 4 4" xfId="29714" xr:uid="{00000000-0005-0000-0000-0000E94E0000}"/>
    <cellStyle name="Input 21 5 5" xfId="13965" xr:uid="{00000000-0005-0000-0000-0000EA4E0000}"/>
    <cellStyle name="Input 21 5 5 2" xfId="13966" xr:uid="{00000000-0005-0000-0000-0000EB4E0000}"/>
    <cellStyle name="Input 21 5 5 3" xfId="29715" xr:uid="{00000000-0005-0000-0000-0000EC4E0000}"/>
    <cellStyle name="Input 21 5 5 4" xfId="29716" xr:uid="{00000000-0005-0000-0000-0000ED4E0000}"/>
    <cellStyle name="Input 21 5 6" xfId="13967" xr:uid="{00000000-0005-0000-0000-0000EE4E0000}"/>
    <cellStyle name="Input 21 5 6 2" xfId="13968" xr:uid="{00000000-0005-0000-0000-0000EF4E0000}"/>
    <cellStyle name="Input 21 5 6 3" xfId="29717" xr:uid="{00000000-0005-0000-0000-0000F04E0000}"/>
    <cellStyle name="Input 21 5 6 4" xfId="29718" xr:uid="{00000000-0005-0000-0000-0000F14E0000}"/>
    <cellStyle name="Input 21 5 7" xfId="13969" xr:uid="{00000000-0005-0000-0000-0000F24E0000}"/>
    <cellStyle name="Input 21 5 7 2" xfId="13970" xr:uid="{00000000-0005-0000-0000-0000F34E0000}"/>
    <cellStyle name="Input 21 5 7 3" xfId="29719" xr:uid="{00000000-0005-0000-0000-0000F44E0000}"/>
    <cellStyle name="Input 21 5 7 4" xfId="29720" xr:uid="{00000000-0005-0000-0000-0000F54E0000}"/>
    <cellStyle name="Input 21 5 8" xfId="13971" xr:uid="{00000000-0005-0000-0000-0000F64E0000}"/>
    <cellStyle name="Input 21 5 9" xfId="29721" xr:uid="{00000000-0005-0000-0000-0000F74E0000}"/>
    <cellStyle name="Input 21 6" xfId="13972" xr:uid="{00000000-0005-0000-0000-0000F84E0000}"/>
    <cellStyle name="Input 21 6 2" xfId="13973" xr:uid="{00000000-0005-0000-0000-0000F94E0000}"/>
    <cellStyle name="Input 21 6 3" xfId="29722" xr:uid="{00000000-0005-0000-0000-0000FA4E0000}"/>
    <cellStyle name="Input 21 6 4" xfId="29723" xr:uid="{00000000-0005-0000-0000-0000FB4E0000}"/>
    <cellStyle name="Input 21 7" xfId="13974" xr:uid="{00000000-0005-0000-0000-0000FC4E0000}"/>
    <cellStyle name="Input 21 7 2" xfId="13975" xr:uid="{00000000-0005-0000-0000-0000FD4E0000}"/>
    <cellStyle name="Input 21 7 3" xfId="29724" xr:uid="{00000000-0005-0000-0000-0000FE4E0000}"/>
    <cellStyle name="Input 21 7 4" xfId="29725" xr:uid="{00000000-0005-0000-0000-0000FF4E0000}"/>
    <cellStyle name="Input 21 8" xfId="13976" xr:uid="{00000000-0005-0000-0000-0000004F0000}"/>
    <cellStyle name="Input 21 8 2" xfId="13977" xr:uid="{00000000-0005-0000-0000-0000014F0000}"/>
    <cellStyle name="Input 21 8 3" xfId="29726" xr:uid="{00000000-0005-0000-0000-0000024F0000}"/>
    <cellStyle name="Input 21 8 4" xfId="29727" xr:uid="{00000000-0005-0000-0000-0000034F0000}"/>
    <cellStyle name="Input 21 9" xfId="13978" xr:uid="{00000000-0005-0000-0000-0000044F0000}"/>
    <cellStyle name="Input 21 9 2" xfId="13979" xr:uid="{00000000-0005-0000-0000-0000054F0000}"/>
    <cellStyle name="Input 21 9 3" xfId="29728" xr:uid="{00000000-0005-0000-0000-0000064F0000}"/>
    <cellStyle name="Input 21 9 4" xfId="29729" xr:uid="{00000000-0005-0000-0000-0000074F0000}"/>
    <cellStyle name="Input 22" xfId="13980" xr:uid="{00000000-0005-0000-0000-0000084F0000}"/>
    <cellStyle name="Input 22 10" xfId="13981" xr:uid="{00000000-0005-0000-0000-0000094F0000}"/>
    <cellStyle name="Input 22 10 2" xfId="13982" xr:uid="{00000000-0005-0000-0000-00000A4F0000}"/>
    <cellStyle name="Input 22 10 3" xfId="29730" xr:uid="{00000000-0005-0000-0000-00000B4F0000}"/>
    <cellStyle name="Input 22 10 4" xfId="29731" xr:uid="{00000000-0005-0000-0000-00000C4F0000}"/>
    <cellStyle name="Input 22 11" xfId="13983" xr:uid="{00000000-0005-0000-0000-00000D4F0000}"/>
    <cellStyle name="Input 22 11 2" xfId="13984" xr:uid="{00000000-0005-0000-0000-00000E4F0000}"/>
    <cellStyle name="Input 22 11 3" xfId="29732" xr:uid="{00000000-0005-0000-0000-00000F4F0000}"/>
    <cellStyle name="Input 22 11 4" xfId="29733" xr:uid="{00000000-0005-0000-0000-0000104F0000}"/>
    <cellStyle name="Input 22 12" xfId="13985" xr:uid="{00000000-0005-0000-0000-0000114F0000}"/>
    <cellStyle name="Input 22 13" xfId="29734" xr:uid="{00000000-0005-0000-0000-0000124F0000}"/>
    <cellStyle name="Input 22 14" xfId="29735" xr:uid="{00000000-0005-0000-0000-0000134F0000}"/>
    <cellStyle name="Input 22 2" xfId="13986" xr:uid="{00000000-0005-0000-0000-0000144F0000}"/>
    <cellStyle name="Input 22 2 10" xfId="29736" xr:uid="{00000000-0005-0000-0000-0000154F0000}"/>
    <cellStyle name="Input 22 2 2" xfId="13987" xr:uid="{00000000-0005-0000-0000-0000164F0000}"/>
    <cellStyle name="Input 22 2 2 2" xfId="13988" xr:uid="{00000000-0005-0000-0000-0000174F0000}"/>
    <cellStyle name="Input 22 2 2 3" xfId="29737" xr:uid="{00000000-0005-0000-0000-0000184F0000}"/>
    <cellStyle name="Input 22 2 2 4" xfId="29738" xr:uid="{00000000-0005-0000-0000-0000194F0000}"/>
    <cellStyle name="Input 22 2 3" xfId="13989" xr:uid="{00000000-0005-0000-0000-00001A4F0000}"/>
    <cellStyle name="Input 22 2 3 2" xfId="13990" xr:uid="{00000000-0005-0000-0000-00001B4F0000}"/>
    <cellStyle name="Input 22 2 3 3" xfId="29739" xr:uid="{00000000-0005-0000-0000-00001C4F0000}"/>
    <cellStyle name="Input 22 2 3 4" xfId="29740" xr:uid="{00000000-0005-0000-0000-00001D4F0000}"/>
    <cellStyle name="Input 22 2 4" xfId="13991" xr:uid="{00000000-0005-0000-0000-00001E4F0000}"/>
    <cellStyle name="Input 22 2 4 2" xfId="13992" xr:uid="{00000000-0005-0000-0000-00001F4F0000}"/>
    <cellStyle name="Input 22 2 4 3" xfId="29741" xr:uid="{00000000-0005-0000-0000-0000204F0000}"/>
    <cellStyle name="Input 22 2 4 4" xfId="29742" xr:uid="{00000000-0005-0000-0000-0000214F0000}"/>
    <cellStyle name="Input 22 2 5" xfId="13993" xr:uid="{00000000-0005-0000-0000-0000224F0000}"/>
    <cellStyle name="Input 22 2 5 2" xfId="13994" xr:uid="{00000000-0005-0000-0000-0000234F0000}"/>
    <cellStyle name="Input 22 2 5 3" xfId="29743" xr:uid="{00000000-0005-0000-0000-0000244F0000}"/>
    <cellStyle name="Input 22 2 5 4" xfId="29744" xr:uid="{00000000-0005-0000-0000-0000254F0000}"/>
    <cellStyle name="Input 22 2 6" xfId="13995" xr:uid="{00000000-0005-0000-0000-0000264F0000}"/>
    <cellStyle name="Input 22 2 6 2" xfId="13996" xr:uid="{00000000-0005-0000-0000-0000274F0000}"/>
    <cellStyle name="Input 22 2 6 3" xfId="29745" xr:uid="{00000000-0005-0000-0000-0000284F0000}"/>
    <cellStyle name="Input 22 2 6 4" xfId="29746" xr:uid="{00000000-0005-0000-0000-0000294F0000}"/>
    <cellStyle name="Input 22 2 7" xfId="13997" xr:uid="{00000000-0005-0000-0000-00002A4F0000}"/>
    <cellStyle name="Input 22 2 7 2" xfId="13998" xr:uid="{00000000-0005-0000-0000-00002B4F0000}"/>
    <cellStyle name="Input 22 2 7 3" xfId="29747" xr:uid="{00000000-0005-0000-0000-00002C4F0000}"/>
    <cellStyle name="Input 22 2 7 4" xfId="29748" xr:uid="{00000000-0005-0000-0000-00002D4F0000}"/>
    <cellStyle name="Input 22 2 8" xfId="13999" xr:uid="{00000000-0005-0000-0000-00002E4F0000}"/>
    <cellStyle name="Input 22 2 9" xfId="29749" xr:uid="{00000000-0005-0000-0000-00002F4F0000}"/>
    <cellStyle name="Input 22 3" xfId="14000" xr:uid="{00000000-0005-0000-0000-0000304F0000}"/>
    <cellStyle name="Input 22 3 10" xfId="29750" xr:uid="{00000000-0005-0000-0000-0000314F0000}"/>
    <cellStyle name="Input 22 3 2" xfId="14001" xr:uid="{00000000-0005-0000-0000-0000324F0000}"/>
    <cellStyle name="Input 22 3 2 2" xfId="14002" xr:uid="{00000000-0005-0000-0000-0000334F0000}"/>
    <cellStyle name="Input 22 3 2 3" xfId="29751" xr:uid="{00000000-0005-0000-0000-0000344F0000}"/>
    <cellStyle name="Input 22 3 2 4" xfId="29752" xr:uid="{00000000-0005-0000-0000-0000354F0000}"/>
    <cellStyle name="Input 22 3 3" xfId="14003" xr:uid="{00000000-0005-0000-0000-0000364F0000}"/>
    <cellStyle name="Input 22 3 3 2" xfId="14004" xr:uid="{00000000-0005-0000-0000-0000374F0000}"/>
    <cellStyle name="Input 22 3 3 3" xfId="29753" xr:uid="{00000000-0005-0000-0000-0000384F0000}"/>
    <cellStyle name="Input 22 3 3 4" xfId="29754" xr:uid="{00000000-0005-0000-0000-0000394F0000}"/>
    <cellStyle name="Input 22 3 4" xfId="14005" xr:uid="{00000000-0005-0000-0000-00003A4F0000}"/>
    <cellStyle name="Input 22 3 4 2" xfId="14006" xr:uid="{00000000-0005-0000-0000-00003B4F0000}"/>
    <cellStyle name="Input 22 3 4 3" xfId="29755" xr:uid="{00000000-0005-0000-0000-00003C4F0000}"/>
    <cellStyle name="Input 22 3 4 4" xfId="29756" xr:uid="{00000000-0005-0000-0000-00003D4F0000}"/>
    <cellStyle name="Input 22 3 5" xfId="14007" xr:uid="{00000000-0005-0000-0000-00003E4F0000}"/>
    <cellStyle name="Input 22 3 5 2" xfId="14008" xr:uid="{00000000-0005-0000-0000-00003F4F0000}"/>
    <cellStyle name="Input 22 3 5 3" xfId="29757" xr:uid="{00000000-0005-0000-0000-0000404F0000}"/>
    <cellStyle name="Input 22 3 5 4" xfId="29758" xr:uid="{00000000-0005-0000-0000-0000414F0000}"/>
    <cellStyle name="Input 22 3 6" xfId="14009" xr:uid="{00000000-0005-0000-0000-0000424F0000}"/>
    <cellStyle name="Input 22 3 6 2" xfId="14010" xr:uid="{00000000-0005-0000-0000-0000434F0000}"/>
    <cellStyle name="Input 22 3 6 3" xfId="29759" xr:uid="{00000000-0005-0000-0000-0000444F0000}"/>
    <cellStyle name="Input 22 3 6 4" xfId="29760" xr:uid="{00000000-0005-0000-0000-0000454F0000}"/>
    <cellStyle name="Input 22 3 7" xfId="14011" xr:uid="{00000000-0005-0000-0000-0000464F0000}"/>
    <cellStyle name="Input 22 3 7 2" xfId="14012" xr:uid="{00000000-0005-0000-0000-0000474F0000}"/>
    <cellStyle name="Input 22 3 7 3" xfId="29761" xr:uid="{00000000-0005-0000-0000-0000484F0000}"/>
    <cellStyle name="Input 22 3 7 4" xfId="29762" xr:uid="{00000000-0005-0000-0000-0000494F0000}"/>
    <cellStyle name="Input 22 3 8" xfId="14013" xr:uid="{00000000-0005-0000-0000-00004A4F0000}"/>
    <cellStyle name="Input 22 3 9" xfId="29763" xr:uid="{00000000-0005-0000-0000-00004B4F0000}"/>
    <cellStyle name="Input 22 4" xfId="14014" xr:uid="{00000000-0005-0000-0000-00004C4F0000}"/>
    <cellStyle name="Input 22 4 10" xfId="29764" xr:uid="{00000000-0005-0000-0000-00004D4F0000}"/>
    <cellStyle name="Input 22 4 2" xfId="14015" xr:uid="{00000000-0005-0000-0000-00004E4F0000}"/>
    <cellStyle name="Input 22 4 2 2" xfId="14016" xr:uid="{00000000-0005-0000-0000-00004F4F0000}"/>
    <cellStyle name="Input 22 4 2 3" xfId="29765" xr:uid="{00000000-0005-0000-0000-0000504F0000}"/>
    <cellStyle name="Input 22 4 2 4" xfId="29766" xr:uid="{00000000-0005-0000-0000-0000514F0000}"/>
    <cellStyle name="Input 22 4 3" xfId="14017" xr:uid="{00000000-0005-0000-0000-0000524F0000}"/>
    <cellStyle name="Input 22 4 3 2" xfId="14018" xr:uid="{00000000-0005-0000-0000-0000534F0000}"/>
    <cellStyle name="Input 22 4 3 3" xfId="29767" xr:uid="{00000000-0005-0000-0000-0000544F0000}"/>
    <cellStyle name="Input 22 4 3 4" xfId="29768" xr:uid="{00000000-0005-0000-0000-0000554F0000}"/>
    <cellStyle name="Input 22 4 4" xfId="14019" xr:uid="{00000000-0005-0000-0000-0000564F0000}"/>
    <cellStyle name="Input 22 4 4 2" xfId="14020" xr:uid="{00000000-0005-0000-0000-0000574F0000}"/>
    <cellStyle name="Input 22 4 4 3" xfId="29769" xr:uid="{00000000-0005-0000-0000-0000584F0000}"/>
    <cellStyle name="Input 22 4 4 4" xfId="29770" xr:uid="{00000000-0005-0000-0000-0000594F0000}"/>
    <cellStyle name="Input 22 4 5" xfId="14021" xr:uid="{00000000-0005-0000-0000-00005A4F0000}"/>
    <cellStyle name="Input 22 4 5 2" xfId="14022" xr:uid="{00000000-0005-0000-0000-00005B4F0000}"/>
    <cellStyle name="Input 22 4 5 3" xfId="29771" xr:uid="{00000000-0005-0000-0000-00005C4F0000}"/>
    <cellStyle name="Input 22 4 5 4" xfId="29772" xr:uid="{00000000-0005-0000-0000-00005D4F0000}"/>
    <cellStyle name="Input 22 4 6" xfId="14023" xr:uid="{00000000-0005-0000-0000-00005E4F0000}"/>
    <cellStyle name="Input 22 4 6 2" xfId="14024" xr:uid="{00000000-0005-0000-0000-00005F4F0000}"/>
    <cellStyle name="Input 22 4 6 3" xfId="29773" xr:uid="{00000000-0005-0000-0000-0000604F0000}"/>
    <cellStyle name="Input 22 4 6 4" xfId="29774" xr:uid="{00000000-0005-0000-0000-0000614F0000}"/>
    <cellStyle name="Input 22 4 7" xfId="14025" xr:uid="{00000000-0005-0000-0000-0000624F0000}"/>
    <cellStyle name="Input 22 4 7 2" xfId="14026" xr:uid="{00000000-0005-0000-0000-0000634F0000}"/>
    <cellStyle name="Input 22 4 7 3" xfId="29775" xr:uid="{00000000-0005-0000-0000-0000644F0000}"/>
    <cellStyle name="Input 22 4 7 4" xfId="29776" xr:uid="{00000000-0005-0000-0000-0000654F0000}"/>
    <cellStyle name="Input 22 4 8" xfId="14027" xr:uid="{00000000-0005-0000-0000-0000664F0000}"/>
    <cellStyle name="Input 22 4 9" xfId="29777" xr:uid="{00000000-0005-0000-0000-0000674F0000}"/>
    <cellStyle name="Input 22 5" xfId="14028" xr:uid="{00000000-0005-0000-0000-0000684F0000}"/>
    <cellStyle name="Input 22 5 10" xfId="29778" xr:uid="{00000000-0005-0000-0000-0000694F0000}"/>
    <cellStyle name="Input 22 5 2" xfId="14029" xr:uid="{00000000-0005-0000-0000-00006A4F0000}"/>
    <cellStyle name="Input 22 5 2 2" xfId="14030" xr:uid="{00000000-0005-0000-0000-00006B4F0000}"/>
    <cellStyle name="Input 22 5 2 3" xfId="29779" xr:uid="{00000000-0005-0000-0000-00006C4F0000}"/>
    <cellStyle name="Input 22 5 2 4" xfId="29780" xr:uid="{00000000-0005-0000-0000-00006D4F0000}"/>
    <cellStyle name="Input 22 5 3" xfId="14031" xr:uid="{00000000-0005-0000-0000-00006E4F0000}"/>
    <cellStyle name="Input 22 5 3 2" xfId="14032" xr:uid="{00000000-0005-0000-0000-00006F4F0000}"/>
    <cellStyle name="Input 22 5 3 3" xfId="29781" xr:uid="{00000000-0005-0000-0000-0000704F0000}"/>
    <cellStyle name="Input 22 5 3 4" xfId="29782" xr:uid="{00000000-0005-0000-0000-0000714F0000}"/>
    <cellStyle name="Input 22 5 4" xfId="14033" xr:uid="{00000000-0005-0000-0000-0000724F0000}"/>
    <cellStyle name="Input 22 5 4 2" xfId="14034" xr:uid="{00000000-0005-0000-0000-0000734F0000}"/>
    <cellStyle name="Input 22 5 4 3" xfId="29783" xr:uid="{00000000-0005-0000-0000-0000744F0000}"/>
    <cellStyle name="Input 22 5 4 4" xfId="29784" xr:uid="{00000000-0005-0000-0000-0000754F0000}"/>
    <cellStyle name="Input 22 5 5" xfId="14035" xr:uid="{00000000-0005-0000-0000-0000764F0000}"/>
    <cellStyle name="Input 22 5 5 2" xfId="14036" xr:uid="{00000000-0005-0000-0000-0000774F0000}"/>
    <cellStyle name="Input 22 5 5 3" xfId="29785" xr:uid="{00000000-0005-0000-0000-0000784F0000}"/>
    <cellStyle name="Input 22 5 5 4" xfId="29786" xr:uid="{00000000-0005-0000-0000-0000794F0000}"/>
    <cellStyle name="Input 22 5 6" xfId="14037" xr:uid="{00000000-0005-0000-0000-00007A4F0000}"/>
    <cellStyle name="Input 22 5 6 2" xfId="14038" xr:uid="{00000000-0005-0000-0000-00007B4F0000}"/>
    <cellStyle name="Input 22 5 6 3" xfId="29787" xr:uid="{00000000-0005-0000-0000-00007C4F0000}"/>
    <cellStyle name="Input 22 5 6 4" xfId="29788" xr:uid="{00000000-0005-0000-0000-00007D4F0000}"/>
    <cellStyle name="Input 22 5 7" xfId="14039" xr:uid="{00000000-0005-0000-0000-00007E4F0000}"/>
    <cellStyle name="Input 22 5 7 2" xfId="14040" xr:uid="{00000000-0005-0000-0000-00007F4F0000}"/>
    <cellStyle name="Input 22 5 7 3" xfId="29789" xr:uid="{00000000-0005-0000-0000-0000804F0000}"/>
    <cellStyle name="Input 22 5 7 4" xfId="29790" xr:uid="{00000000-0005-0000-0000-0000814F0000}"/>
    <cellStyle name="Input 22 5 8" xfId="14041" xr:uid="{00000000-0005-0000-0000-0000824F0000}"/>
    <cellStyle name="Input 22 5 9" xfId="29791" xr:uid="{00000000-0005-0000-0000-0000834F0000}"/>
    <cellStyle name="Input 22 6" xfId="14042" xr:uid="{00000000-0005-0000-0000-0000844F0000}"/>
    <cellStyle name="Input 22 6 2" xfId="14043" xr:uid="{00000000-0005-0000-0000-0000854F0000}"/>
    <cellStyle name="Input 22 6 3" xfId="29792" xr:uid="{00000000-0005-0000-0000-0000864F0000}"/>
    <cellStyle name="Input 22 6 4" xfId="29793" xr:uid="{00000000-0005-0000-0000-0000874F0000}"/>
    <cellStyle name="Input 22 7" xfId="14044" xr:uid="{00000000-0005-0000-0000-0000884F0000}"/>
    <cellStyle name="Input 22 7 2" xfId="14045" xr:uid="{00000000-0005-0000-0000-0000894F0000}"/>
    <cellStyle name="Input 22 7 3" xfId="29794" xr:uid="{00000000-0005-0000-0000-00008A4F0000}"/>
    <cellStyle name="Input 22 7 4" xfId="29795" xr:uid="{00000000-0005-0000-0000-00008B4F0000}"/>
    <cellStyle name="Input 22 8" xfId="14046" xr:uid="{00000000-0005-0000-0000-00008C4F0000}"/>
    <cellStyle name="Input 22 8 2" xfId="14047" xr:uid="{00000000-0005-0000-0000-00008D4F0000}"/>
    <cellStyle name="Input 22 8 3" xfId="29796" xr:uid="{00000000-0005-0000-0000-00008E4F0000}"/>
    <cellStyle name="Input 22 8 4" xfId="29797" xr:uid="{00000000-0005-0000-0000-00008F4F0000}"/>
    <cellStyle name="Input 22 9" xfId="14048" xr:uid="{00000000-0005-0000-0000-0000904F0000}"/>
    <cellStyle name="Input 22 9 2" xfId="14049" xr:uid="{00000000-0005-0000-0000-0000914F0000}"/>
    <cellStyle name="Input 22 9 3" xfId="29798" xr:uid="{00000000-0005-0000-0000-0000924F0000}"/>
    <cellStyle name="Input 22 9 4" xfId="29799" xr:uid="{00000000-0005-0000-0000-0000934F0000}"/>
    <cellStyle name="Input 23" xfId="14050" xr:uid="{00000000-0005-0000-0000-0000944F0000}"/>
    <cellStyle name="Input 23 10" xfId="29800" xr:uid="{00000000-0005-0000-0000-0000954F0000}"/>
    <cellStyle name="Input 23 2" xfId="14051" xr:uid="{00000000-0005-0000-0000-0000964F0000}"/>
    <cellStyle name="Input 23 2 2" xfId="14052" xr:uid="{00000000-0005-0000-0000-0000974F0000}"/>
    <cellStyle name="Input 23 2 3" xfId="29801" xr:uid="{00000000-0005-0000-0000-0000984F0000}"/>
    <cellStyle name="Input 23 2 4" xfId="29802" xr:uid="{00000000-0005-0000-0000-0000994F0000}"/>
    <cellStyle name="Input 23 3" xfId="14053" xr:uid="{00000000-0005-0000-0000-00009A4F0000}"/>
    <cellStyle name="Input 23 3 2" xfId="14054" xr:uid="{00000000-0005-0000-0000-00009B4F0000}"/>
    <cellStyle name="Input 23 3 3" xfId="29803" xr:uid="{00000000-0005-0000-0000-00009C4F0000}"/>
    <cellStyle name="Input 23 3 4" xfId="29804" xr:uid="{00000000-0005-0000-0000-00009D4F0000}"/>
    <cellStyle name="Input 23 4" xfId="14055" xr:uid="{00000000-0005-0000-0000-00009E4F0000}"/>
    <cellStyle name="Input 23 4 2" xfId="14056" xr:uid="{00000000-0005-0000-0000-00009F4F0000}"/>
    <cellStyle name="Input 23 4 3" xfId="29805" xr:uid="{00000000-0005-0000-0000-0000A04F0000}"/>
    <cellStyle name="Input 23 4 4" xfId="29806" xr:uid="{00000000-0005-0000-0000-0000A14F0000}"/>
    <cellStyle name="Input 23 5" xfId="14057" xr:uid="{00000000-0005-0000-0000-0000A24F0000}"/>
    <cellStyle name="Input 23 5 2" xfId="14058" xr:uid="{00000000-0005-0000-0000-0000A34F0000}"/>
    <cellStyle name="Input 23 5 3" xfId="29807" xr:uid="{00000000-0005-0000-0000-0000A44F0000}"/>
    <cellStyle name="Input 23 5 4" xfId="29808" xr:uid="{00000000-0005-0000-0000-0000A54F0000}"/>
    <cellStyle name="Input 23 6" xfId="14059" xr:uid="{00000000-0005-0000-0000-0000A64F0000}"/>
    <cellStyle name="Input 23 6 2" xfId="14060" xr:uid="{00000000-0005-0000-0000-0000A74F0000}"/>
    <cellStyle name="Input 23 6 3" xfId="29809" xr:uid="{00000000-0005-0000-0000-0000A84F0000}"/>
    <cellStyle name="Input 23 6 4" xfId="29810" xr:uid="{00000000-0005-0000-0000-0000A94F0000}"/>
    <cellStyle name="Input 23 7" xfId="14061" xr:uid="{00000000-0005-0000-0000-0000AA4F0000}"/>
    <cellStyle name="Input 23 7 2" xfId="14062" xr:uid="{00000000-0005-0000-0000-0000AB4F0000}"/>
    <cellStyle name="Input 23 7 3" xfId="29811" xr:uid="{00000000-0005-0000-0000-0000AC4F0000}"/>
    <cellStyle name="Input 23 7 4" xfId="29812" xr:uid="{00000000-0005-0000-0000-0000AD4F0000}"/>
    <cellStyle name="Input 23 8" xfId="14063" xr:uid="{00000000-0005-0000-0000-0000AE4F0000}"/>
    <cellStyle name="Input 23 9" xfId="29813" xr:uid="{00000000-0005-0000-0000-0000AF4F0000}"/>
    <cellStyle name="Input 24" xfId="14064" xr:uid="{00000000-0005-0000-0000-0000B04F0000}"/>
    <cellStyle name="Input 24 10" xfId="29814" xr:uid="{00000000-0005-0000-0000-0000B14F0000}"/>
    <cellStyle name="Input 24 2" xfId="14065" xr:uid="{00000000-0005-0000-0000-0000B24F0000}"/>
    <cellStyle name="Input 24 2 2" xfId="14066" xr:uid="{00000000-0005-0000-0000-0000B34F0000}"/>
    <cellStyle name="Input 24 2 3" xfId="29815" xr:uid="{00000000-0005-0000-0000-0000B44F0000}"/>
    <cellStyle name="Input 24 2 4" xfId="29816" xr:uid="{00000000-0005-0000-0000-0000B54F0000}"/>
    <cellStyle name="Input 24 3" xfId="14067" xr:uid="{00000000-0005-0000-0000-0000B64F0000}"/>
    <cellStyle name="Input 24 3 2" xfId="14068" xr:uid="{00000000-0005-0000-0000-0000B74F0000}"/>
    <cellStyle name="Input 24 3 3" xfId="29817" xr:uid="{00000000-0005-0000-0000-0000B84F0000}"/>
    <cellStyle name="Input 24 3 4" xfId="29818" xr:uid="{00000000-0005-0000-0000-0000B94F0000}"/>
    <cellStyle name="Input 24 4" xfId="14069" xr:uid="{00000000-0005-0000-0000-0000BA4F0000}"/>
    <cellStyle name="Input 24 4 2" xfId="14070" xr:uid="{00000000-0005-0000-0000-0000BB4F0000}"/>
    <cellStyle name="Input 24 4 3" xfId="29819" xr:uid="{00000000-0005-0000-0000-0000BC4F0000}"/>
    <cellStyle name="Input 24 4 4" xfId="29820" xr:uid="{00000000-0005-0000-0000-0000BD4F0000}"/>
    <cellStyle name="Input 24 5" xfId="14071" xr:uid="{00000000-0005-0000-0000-0000BE4F0000}"/>
    <cellStyle name="Input 24 5 2" xfId="14072" xr:uid="{00000000-0005-0000-0000-0000BF4F0000}"/>
    <cellStyle name="Input 24 5 3" xfId="29821" xr:uid="{00000000-0005-0000-0000-0000C04F0000}"/>
    <cellStyle name="Input 24 5 4" xfId="29822" xr:uid="{00000000-0005-0000-0000-0000C14F0000}"/>
    <cellStyle name="Input 24 6" xfId="14073" xr:uid="{00000000-0005-0000-0000-0000C24F0000}"/>
    <cellStyle name="Input 24 6 2" xfId="14074" xr:uid="{00000000-0005-0000-0000-0000C34F0000}"/>
    <cellStyle name="Input 24 6 3" xfId="29823" xr:uid="{00000000-0005-0000-0000-0000C44F0000}"/>
    <cellStyle name="Input 24 6 4" xfId="29824" xr:uid="{00000000-0005-0000-0000-0000C54F0000}"/>
    <cellStyle name="Input 24 7" xfId="14075" xr:uid="{00000000-0005-0000-0000-0000C64F0000}"/>
    <cellStyle name="Input 24 7 2" xfId="14076" xr:uid="{00000000-0005-0000-0000-0000C74F0000}"/>
    <cellStyle name="Input 24 7 3" xfId="29825" xr:uid="{00000000-0005-0000-0000-0000C84F0000}"/>
    <cellStyle name="Input 24 7 4" xfId="29826" xr:uid="{00000000-0005-0000-0000-0000C94F0000}"/>
    <cellStyle name="Input 24 8" xfId="14077" xr:uid="{00000000-0005-0000-0000-0000CA4F0000}"/>
    <cellStyle name="Input 24 9" xfId="29827" xr:uid="{00000000-0005-0000-0000-0000CB4F0000}"/>
    <cellStyle name="Input 25" xfId="14078" xr:uid="{00000000-0005-0000-0000-0000CC4F0000}"/>
    <cellStyle name="Input 25 10" xfId="29828" xr:uid="{00000000-0005-0000-0000-0000CD4F0000}"/>
    <cellStyle name="Input 25 2" xfId="14079" xr:uid="{00000000-0005-0000-0000-0000CE4F0000}"/>
    <cellStyle name="Input 25 2 2" xfId="14080" xr:uid="{00000000-0005-0000-0000-0000CF4F0000}"/>
    <cellStyle name="Input 25 2 3" xfId="29829" xr:uid="{00000000-0005-0000-0000-0000D04F0000}"/>
    <cellStyle name="Input 25 2 4" xfId="29830" xr:uid="{00000000-0005-0000-0000-0000D14F0000}"/>
    <cellStyle name="Input 25 3" xfId="14081" xr:uid="{00000000-0005-0000-0000-0000D24F0000}"/>
    <cellStyle name="Input 25 3 2" xfId="14082" xr:uid="{00000000-0005-0000-0000-0000D34F0000}"/>
    <cellStyle name="Input 25 3 3" xfId="29831" xr:uid="{00000000-0005-0000-0000-0000D44F0000}"/>
    <cellStyle name="Input 25 3 4" xfId="29832" xr:uid="{00000000-0005-0000-0000-0000D54F0000}"/>
    <cellStyle name="Input 25 4" xfId="14083" xr:uid="{00000000-0005-0000-0000-0000D64F0000}"/>
    <cellStyle name="Input 25 4 2" xfId="14084" xr:uid="{00000000-0005-0000-0000-0000D74F0000}"/>
    <cellStyle name="Input 25 4 3" xfId="29833" xr:uid="{00000000-0005-0000-0000-0000D84F0000}"/>
    <cellStyle name="Input 25 4 4" xfId="29834" xr:uid="{00000000-0005-0000-0000-0000D94F0000}"/>
    <cellStyle name="Input 25 5" xfId="14085" xr:uid="{00000000-0005-0000-0000-0000DA4F0000}"/>
    <cellStyle name="Input 25 5 2" xfId="14086" xr:uid="{00000000-0005-0000-0000-0000DB4F0000}"/>
    <cellStyle name="Input 25 5 3" xfId="29835" xr:uid="{00000000-0005-0000-0000-0000DC4F0000}"/>
    <cellStyle name="Input 25 5 4" xfId="29836" xr:uid="{00000000-0005-0000-0000-0000DD4F0000}"/>
    <cellStyle name="Input 25 6" xfId="14087" xr:uid="{00000000-0005-0000-0000-0000DE4F0000}"/>
    <cellStyle name="Input 25 6 2" xfId="14088" xr:uid="{00000000-0005-0000-0000-0000DF4F0000}"/>
    <cellStyle name="Input 25 6 3" xfId="29837" xr:uid="{00000000-0005-0000-0000-0000E04F0000}"/>
    <cellStyle name="Input 25 6 4" xfId="29838" xr:uid="{00000000-0005-0000-0000-0000E14F0000}"/>
    <cellStyle name="Input 25 7" xfId="14089" xr:uid="{00000000-0005-0000-0000-0000E24F0000}"/>
    <cellStyle name="Input 25 7 2" xfId="14090" xr:uid="{00000000-0005-0000-0000-0000E34F0000}"/>
    <cellStyle name="Input 25 7 3" xfId="29839" xr:uid="{00000000-0005-0000-0000-0000E44F0000}"/>
    <cellStyle name="Input 25 7 4" xfId="29840" xr:uid="{00000000-0005-0000-0000-0000E54F0000}"/>
    <cellStyle name="Input 25 8" xfId="14091" xr:uid="{00000000-0005-0000-0000-0000E64F0000}"/>
    <cellStyle name="Input 25 9" xfId="29841" xr:uid="{00000000-0005-0000-0000-0000E74F0000}"/>
    <cellStyle name="Input 26" xfId="14092" xr:uid="{00000000-0005-0000-0000-0000E84F0000}"/>
    <cellStyle name="Input 26 10" xfId="29842" xr:uid="{00000000-0005-0000-0000-0000E94F0000}"/>
    <cellStyle name="Input 26 2" xfId="14093" xr:uid="{00000000-0005-0000-0000-0000EA4F0000}"/>
    <cellStyle name="Input 26 2 2" xfId="14094" xr:uid="{00000000-0005-0000-0000-0000EB4F0000}"/>
    <cellStyle name="Input 26 2 3" xfId="29843" xr:uid="{00000000-0005-0000-0000-0000EC4F0000}"/>
    <cellStyle name="Input 26 2 4" xfId="29844" xr:uid="{00000000-0005-0000-0000-0000ED4F0000}"/>
    <cellStyle name="Input 26 3" xfId="14095" xr:uid="{00000000-0005-0000-0000-0000EE4F0000}"/>
    <cellStyle name="Input 26 3 2" xfId="14096" xr:uid="{00000000-0005-0000-0000-0000EF4F0000}"/>
    <cellStyle name="Input 26 3 3" xfId="29845" xr:uid="{00000000-0005-0000-0000-0000F04F0000}"/>
    <cellStyle name="Input 26 3 4" xfId="29846" xr:uid="{00000000-0005-0000-0000-0000F14F0000}"/>
    <cellStyle name="Input 26 4" xfId="14097" xr:uid="{00000000-0005-0000-0000-0000F24F0000}"/>
    <cellStyle name="Input 26 4 2" xfId="14098" xr:uid="{00000000-0005-0000-0000-0000F34F0000}"/>
    <cellStyle name="Input 26 4 3" xfId="29847" xr:uid="{00000000-0005-0000-0000-0000F44F0000}"/>
    <cellStyle name="Input 26 4 4" xfId="29848" xr:uid="{00000000-0005-0000-0000-0000F54F0000}"/>
    <cellStyle name="Input 26 5" xfId="14099" xr:uid="{00000000-0005-0000-0000-0000F64F0000}"/>
    <cellStyle name="Input 26 5 2" xfId="14100" xr:uid="{00000000-0005-0000-0000-0000F74F0000}"/>
    <cellStyle name="Input 26 5 3" xfId="29849" xr:uid="{00000000-0005-0000-0000-0000F84F0000}"/>
    <cellStyle name="Input 26 5 4" xfId="29850" xr:uid="{00000000-0005-0000-0000-0000F94F0000}"/>
    <cellStyle name="Input 26 6" xfId="14101" xr:uid="{00000000-0005-0000-0000-0000FA4F0000}"/>
    <cellStyle name="Input 26 6 2" xfId="14102" xr:uid="{00000000-0005-0000-0000-0000FB4F0000}"/>
    <cellStyle name="Input 26 6 3" xfId="29851" xr:uid="{00000000-0005-0000-0000-0000FC4F0000}"/>
    <cellStyle name="Input 26 6 4" xfId="29852" xr:uid="{00000000-0005-0000-0000-0000FD4F0000}"/>
    <cellStyle name="Input 26 7" xfId="14103" xr:uid="{00000000-0005-0000-0000-0000FE4F0000}"/>
    <cellStyle name="Input 26 7 2" xfId="14104" xr:uid="{00000000-0005-0000-0000-0000FF4F0000}"/>
    <cellStyle name="Input 26 7 3" xfId="29853" xr:uid="{00000000-0005-0000-0000-000000500000}"/>
    <cellStyle name="Input 26 7 4" xfId="29854" xr:uid="{00000000-0005-0000-0000-000001500000}"/>
    <cellStyle name="Input 26 8" xfId="14105" xr:uid="{00000000-0005-0000-0000-000002500000}"/>
    <cellStyle name="Input 26 9" xfId="29855" xr:uid="{00000000-0005-0000-0000-000003500000}"/>
    <cellStyle name="Input 3" xfId="14106" xr:uid="{00000000-0005-0000-0000-000004500000}"/>
    <cellStyle name="Input 3 10" xfId="14107" xr:uid="{00000000-0005-0000-0000-000005500000}"/>
    <cellStyle name="Input 3 10 2" xfId="14108" xr:uid="{00000000-0005-0000-0000-000006500000}"/>
    <cellStyle name="Input 3 10 3" xfId="29856" xr:uid="{00000000-0005-0000-0000-000007500000}"/>
    <cellStyle name="Input 3 10 4" xfId="29857" xr:uid="{00000000-0005-0000-0000-000008500000}"/>
    <cellStyle name="Input 3 11" xfId="14109" xr:uid="{00000000-0005-0000-0000-000009500000}"/>
    <cellStyle name="Input 3 11 2" xfId="14110" xr:uid="{00000000-0005-0000-0000-00000A500000}"/>
    <cellStyle name="Input 3 11 3" xfId="29858" xr:uid="{00000000-0005-0000-0000-00000B500000}"/>
    <cellStyle name="Input 3 11 4" xfId="29859" xr:uid="{00000000-0005-0000-0000-00000C500000}"/>
    <cellStyle name="Input 3 12" xfId="14111" xr:uid="{00000000-0005-0000-0000-00000D500000}"/>
    <cellStyle name="Input 3 13" xfId="29860" xr:uid="{00000000-0005-0000-0000-00000E500000}"/>
    <cellStyle name="Input 3 14" xfId="29861" xr:uid="{00000000-0005-0000-0000-00000F500000}"/>
    <cellStyle name="Input 3 2" xfId="14112" xr:uid="{00000000-0005-0000-0000-000010500000}"/>
    <cellStyle name="Input 3 2 10" xfId="29862" xr:uid="{00000000-0005-0000-0000-000011500000}"/>
    <cellStyle name="Input 3 2 2" xfId="14113" xr:uid="{00000000-0005-0000-0000-000012500000}"/>
    <cellStyle name="Input 3 2 2 2" xfId="14114" xr:uid="{00000000-0005-0000-0000-000013500000}"/>
    <cellStyle name="Input 3 2 2 3" xfId="29863" xr:uid="{00000000-0005-0000-0000-000014500000}"/>
    <cellStyle name="Input 3 2 2 4" xfId="29864" xr:uid="{00000000-0005-0000-0000-000015500000}"/>
    <cellStyle name="Input 3 2 3" xfId="14115" xr:uid="{00000000-0005-0000-0000-000016500000}"/>
    <cellStyle name="Input 3 2 3 2" xfId="14116" xr:uid="{00000000-0005-0000-0000-000017500000}"/>
    <cellStyle name="Input 3 2 3 3" xfId="29865" xr:uid="{00000000-0005-0000-0000-000018500000}"/>
    <cellStyle name="Input 3 2 3 4" xfId="29866" xr:uid="{00000000-0005-0000-0000-000019500000}"/>
    <cellStyle name="Input 3 2 4" xfId="14117" xr:uid="{00000000-0005-0000-0000-00001A500000}"/>
    <cellStyle name="Input 3 2 4 2" xfId="14118" xr:uid="{00000000-0005-0000-0000-00001B500000}"/>
    <cellStyle name="Input 3 2 4 3" xfId="29867" xr:uid="{00000000-0005-0000-0000-00001C500000}"/>
    <cellStyle name="Input 3 2 4 4" xfId="29868" xr:uid="{00000000-0005-0000-0000-00001D500000}"/>
    <cellStyle name="Input 3 2 5" xfId="14119" xr:uid="{00000000-0005-0000-0000-00001E500000}"/>
    <cellStyle name="Input 3 2 5 2" xfId="14120" xr:uid="{00000000-0005-0000-0000-00001F500000}"/>
    <cellStyle name="Input 3 2 5 3" xfId="29869" xr:uid="{00000000-0005-0000-0000-000020500000}"/>
    <cellStyle name="Input 3 2 5 4" xfId="29870" xr:uid="{00000000-0005-0000-0000-000021500000}"/>
    <cellStyle name="Input 3 2 6" xfId="14121" xr:uid="{00000000-0005-0000-0000-000022500000}"/>
    <cellStyle name="Input 3 2 6 2" xfId="14122" xr:uid="{00000000-0005-0000-0000-000023500000}"/>
    <cellStyle name="Input 3 2 6 3" xfId="29871" xr:uid="{00000000-0005-0000-0000-000024500000}"/>
    <cellStyle name="Input 3 2 6 4" xfId="29872" xr:uid="{00000000-0005-0000-0000-000025500000}"/>
    <cellStyle name="Input 3 2 7" xfId="14123" xr:uid="{00000000-0005-0000-0000-000026500000}"/>
    <cellStyle name="Input 3 2 7 2" xfId="14124" xr:uid="{00000000-0005-0000-0000-000027500000}"/>
    <cellStyle name="Input 3 2 7 3" xfId="29873" xr:uid="{00000000-0005-0000-0000-000028500000}"/>
    <cellStyle name="Input 3 2 7 4" xfId="29874" xr:uid="{00000000-0005-0000-0000-000029500000}"/>
    <cellStyle name="Input 3 2 8" xfId="14125" xr:uid="{00000000-0005-0000-0000-00002A500000}"/>
    <cellStyle name="Input 3 2 9" xfId="29875" xr:uid="{00000000-0005-0000-0000-00002B500000}"/>
    <cellStyle name="Input 3 3" xfId="14126" xr:uid="{00000000-0005-0000-0000-00002C500000}"/>
    <cellStyle name="Input 3 3 10" xfId="29876" xr:uid="{00000000-0005-0000-0000-00002D500000}"/>
    <cellStyle name="Input 3 3 2" xfId="14127" xr:uid="{00000000-0005-0000-0000-00002E500000}"/>
    <cellStyle name="Input 3 3 2 2" xfId="14128" xr:uid="{00000000-0005-0000-0000-00002F500000}"/>
    <cellStyle name="Input 3 3 2 3" xfId="29877" xr:uid="{00000000-0005-0000-0000-000030500000}"/>
    <cellStyle name="Input 3 3 2 4" xfId="29878" xr:uid="{00000000-0005-0000-0000-000031500000}"/>
    <cellStyle name="Input 3 3 3" xfId="14129" xr:uid="{00000000-0005-0000-0000-000032500000}"/>
    <cellStyle name="Input 3 3 3 2" xfId="14130" xr:uid="{00000000-0005-0000-0000-000033500000}"/>
    <cellStyle name="Input 3 3 3 3" xfId="29879" xr:uid="{00000000-0005-0000-0000-000034500000}"/>
    <cellStyle name="Input 3 3 3 4" xfId="29880" xr:uid="{00000000-0005-0000-0000-000035500000}"/>
    <cellStyle name="Input 3 3 4" xfId="14131" xr:uid="{00000000-0005-0000-0000-000036500000}"/>
    <cellStyle name="Input 3 3 4 2" xfId="14132" xr:uid="{00000000-0005-0000-0000-000037500000}"/>
    <cellStyle name="Input 3 3 4 3" xfId="29881" xr:uid="{00000000-0005-0000-0000-000038500000}"/>
    <cellStyle name="Input 3 3 4 4" xfId="29882" xr:uid="{00000000-0005-0000-0000-000039500000}"/>
    <cellStyle name="Input 3 3 5" xfId="14133" xr:uid="{00000000-0005-0000-0000-00003A500000}"/>
    <cellStyle name="Input 3 3 5 2" xfId="14134" xr:uid="{00000000-0005-0000-0000-00003B500000}"/>
    <cellStyle name="Input 3 3 5 3" xfId="29883" xr:uid="{00000000-0005-0000-0000-00003C500000}"/>
    <cellStyle name="Input 3 3 5 4" xfId="29884" xr:uid="{00000000-0005-0000-0000-00003D500000}"/>
    <cellStyle name="Input 3 3 6" xfId="14135" xr:uid="{00000000-0005-0000-0000-00003E500000}"/>
    <cellStyle name="Input 3 3 6 2" xfId="14136" xr:uid="{00000000-0005-0000-0000-00003F500000}"/>
    <cellStyle name="Input 3 3 6 3" xfId="29885" xr:uid="{00000000-0005-0000-0000-000040500000}"/>
    <cellStyle name="Input 3 3 6 4" xfId="29886" xr:uid="{00000000-0005-0000-0000-000041500000}"/>
    <cellStyle name="Input 3 3 7" xfId="14137" xr:uid="{00000000-0005-0000-0000-000042500000}"/>
    <cellStyle name="Input 3 3 7 2" xfId="14138" xr:uid="{00000000-0005-0000-0000-000043500000}"/>
    <cellStyle name="Input 3 3 7 3" xfId="29887" xr:uid="{00000000-0005-0000-0000-000044500000}"/>
    <cellStyle name="Input 3 3 7 4" xfId="29888" xr:uid="{00000000-0005-0000-0000-000045500000}"/>
    <cellStyle name="Input 3 3 8" xfId="14139" xr:uid="{00000000-0005-0000-0000-000046500000}"/>
    <cellStyle name="Input 3 3 9" xfId="29889" xr:uid="{00000000-0005-0000-0000-000047500000}"/>
    <cellStyle name="Input 3 4" xfId="14140" xr:uid="{00000000-0005-0000-0000-000048500000}"/>
    <cellStyle name="Input 3 4 10" xfId="29890" xr:uid="{00000000-0005-0000-0000-000049500000}"/>
    <cellStyle name="Input 3 4 2" xfId="14141" xr:uid="{00000000-0005-0000-0000-00004A500000}"/>
    <cellStyle name="Input 3 4 2 2" xfId="14142" xr:uid="{00000000-0005-0000-0000-00004B500000}"/>
    <cellStyle name="Input 3 4 2 3" xfId="29891" xr:uid="{00000000-0005-0000-0000-00004C500000}"/>
    <cellStyle name="Input 3 4 2 4" xfId="29892" xr:uid="{00000000-0005-0000-0000-00004D500000}"/>
    <cellStyle name="Input 3 4 3" xfId="14143" xr:uid="{00000000-0005-0000-0000-00004E500000}"/>
    <cellStyle name="Input 3 4 3 2" xfId="14144" xr:uid="{00000000-0005-0000-0000-00004F500000}"/>
    <cellStyle name="Input 3 4 3 3" xfId="29893" xr:uid="{00000000-0005-0000-0000-000050500000}"/>
    <cellStyle name="Input 3 4 3 4" xfId="29894" xr:uid="{00000000-0005-0000-0000-000051500000}"/>
    <cellStyle name="Input 3 4 4" xfId="14145" xr:uid="{00000000-0005-0000-0000-000052500000}"/>
    <cellStyle name="Input 3 4 4 2" xfId="14146" xr:uid="{00000000-0005-0000-0000-000053500000}"/>
    <cellStyle name="Input 3 4 4 3" xfId="29895" xr:uid="{00000000-0005-0000-0000-000054500000}"/>
    <cellStyle name="Input 3 4 4 4" xfId="29896" xr:uid="{00000000-0005-0000-0000-000055500000}"/>
    <cellStyle name="Input 3 4 5" xfId="14147" xr:uid="{00000000-0005-0000-0000-000056500000}"/>
    <cellStyle name="Input 3 4 5 2" xfId="14148" xr:uid="{00000000-0005-0000-0000-000057500000}"/>
    <cellStyle name="Input 3 4 5 3" xfId="29897" xr:uid="{00000000-0005-0000-0000-000058500000}"/>
    <cellStyle name="Input 3 4 5 4" xfId="29898" xr:uid="{00000000-0005-0000-0000-000059500000}"/>
    <cellStyle name="Input 3 4 6" xfId="14149" xr:uid="{00000000-0005-0000-0000-00005A500000}"/>
    <cellStyle name="Input 3 4 6 2" xfId="14150" xr:uid="{00000000-0005-0000-0000-00005B500000}"/>
    <cellStyle name="Input 3 4 6 3" xfId="29899" xr:uid="{00000000-0005-0000-0000-00005C500000}"/>
    <cellStyle name="Input 3 4 6 4" xfId="29900" xr:uid="{00000000-0005-0000-0000-00005D500000}"/>
    <cellStyle name="Input 3 4 7" xfId="14151" xr:uid="{00000000-0005-0000-0000-00005E500000}"/>
    <cellStyle name="Input 3 4 7 2" xfId="14152" xr:uid="{00000000-0005-0000-0000-00005F500000}"/>
    <cellStyle name="Input 3 4 7 3" xfId="29901" xr:uid="{00000000-0005-0000-0000-000060500000}"/>
    <cellStyle name="Input 3 4 7 4" xfId="29902" xr:uid="{00000000-0005-0000-0000-000061500000}"/>
    <cellStyle name="Input 3 4 8" xfId="14153" xr:uid="{00000000-0005-0000-0000-000062500000}"/>
    <cellStyle name="Input 3 4 9" xfId="29903" xr:uid="{00000000-0005-0000-0000-000063500000}"/>
    <cellStyle name="Input 3 5" xfId="14154" xr:uid="{00000000-0005-0000-0000-000064500000}"/>
    <cellStyle name="Input 3 5 10" xfId="29904" xr:uid="{00000000-0005-0000-0000-000065500000}"/>
    <cellStyle name="Input 3 5 2" xfId="14155" xr:uid="{00000000-0005-0000-0000-000066500000}"/>
    <cellStyle name="Input 3 5 2 2" xfId="14156" xr:uid="{00000000-0005-0000-0000-000067500000}"/>
    <cellStyle name="Input 3 5 2 3" xfId="29905" xr:uid="{00000000-0005-0000-0000-000068500000}"/>
    <cellStyle name="Input 3 5 2 4" xfId="29906" xr:uid="{00000000-0005-0000-0000-000069500000}"/>
    <cellStyle name="Input 3 5 3" xfId="14157" xr:uid="{00000000-0005-0000-0000-00006A500000}"/>
    <cellStyle name="Input 3 5 3 2" xfId="14158" xr:uid="{00000000-0005-0000-0000-00006B500000}"/>
    <cellStyle name="Input 3 5 3 3" xfId="29907" xr:uid="{00000000-0005-0000-0000-00006C500000}"/>
    <cellStyle name="Input 3 5 3 4" xfId="29908" xr:uid="{00000000-0005-0000-0000-00006D500000}"/>
    <cellStyle name="Input 3 5 4" xfId="14159" xr:uid="{00000000-0005-0000-0000-00006E500000}"/>
    <cellStyle name="Input 3 5 4 2" xfId="14160" xr:uid="{00000000-0005-0000-0000-00006F500000}"/>
    <cellStyle name="Input 3 5 4 3" xfId="29909" xr:uid="{00000000-0005-0000-0000-000070500000}"/>
    <cellStyle name="Input 3 5 4 4" xfId="29910" xr:uid="{00000000-0005-0000-0000-000071500000}"/>
    <cellStyle name="Input 3 5 5" xfId="14161" xr:uid="{00000000-0005-0000-0000-000072500000}"/>
    <cellStyle name="Input 3 5 5 2" xfId="14162" xr:uid="{00000000-0005-0000-0000-000073500000}"/>
    <cellStyle name="Input 3 5 5 3" xfId="29911" xr:uid="{00000000-0005-0000-0000-000074500000}"/>
    <cellStyle name="Input 3 5 5 4" xfId="29912" xr:uid="{00000000-0005-0000-0000-000075500000}"/>
    <cellStyle name="Input 3 5 6" xfId="14163" xr:uid="{00000000-0005-0000-0000-000076500000}"/>
    <cellStyle name="Input 3 5 6 2" xfId="14164" xr:uid="{00000000-0005-0000-0000-000077500000}"/>
    <cellStyle name="Input 3 5 6 3" xfId="29913" xr:uid="{00000000-0005-0000-0000-000078500000}"/>
    <cellStyle name="Input 3 5 6 4" xfId="29914" xr:uid="{00000000-0005-0000-0000-000079500000}"/>
    <cellStyle name="Input 3 5 7" xfId="14165" xr:uid="{00000000-0005-0000-0000-00007A500000}"/>
    <cellStyle name="Input 3 5 7 2" xfId="14166" xr:uid="{00000000-0005-0000-0000-00007B500000}"/>
    <cellStyle name="Input 3 5 7 3" xfId="29915" xr:uid="{00000000-0005-0000-0000-00007C500000}"/>
    <cellStyle name="Input 3 5 7 4" xfId="29916" xr:uid="{00000000-0005-0000-0000-00007D500000}"/>
    <cellStyle name="Input 3 5 8" xfId="14167" xr:uid="{00000000-0005-0000-0000-00007E500000}"/>
    <cellStyle name="Input 3 5 9" xfId="29917" xr:uid="{00000000-0005-0000-0000-00007F500000}"/>
    <cellStyle name="Input 3 6" xfId="14168" xr:uid="{00000000-0005-0000-0000-000080500000}"/>
    <cellStyle name="Input 3 6 2" xfId="14169" xr:uid="{00000000-0005-0000-0000-000081500000}"/>
    <cellStyle name="Input 3 6 3" xfId="29918" xr:uid="{00000000-0005-0000-0000-000082500000}"/>
    <cellStyle name="Input 3 6 4" xfId="29919" xr:uid="{00000000-0005-0000-0000-000083500000}"/>
    <cellStyle name="Input 3 7" xfId="14170" xr:uid="{00000000-0005-0000-0000-000084500000}"/>
    <cellStyle name="Input 3 7 2" xfId="14171" xr:uid="{00000000-0005-0000-0000-000085500000}"/>
    <cellStyle name="Input 3 7 3" xfId="29920" xr:uid="{00000000-0005-0000-0000-000086500000}"/>
    <cellStyle name="Input 3 7 4" xfId="29921" xr:uid="{00000000-0005-0000-0000-000087500000}"/>
    <cellStyle name="Input 3 8" xfId="14172" xr:uid="{00000000-0005-0000-0000-000088500000}"/>
    <cellStyle name="Input 3 8 2" xfId="14173" xr:uid="{00000000-0005-0000-0000-000089500000}"/>
    <cellStyle name="Input 3 8 3" xfId="29922" xr:uid="{00000000-0005-0000-0000-00008A500000}"/>
    <cellStyle name="Input 3 8 4" xfId="29923" xr:uid="{00000000-0005-0000-0000-00008B500000}"/>
    <cellStyle name="Input 3 9" xfId="14174" xr:uid="{00000000-0005-0000-0000-00008C500000}"/>
    <cellStyle name="Input 3 9 2" xfId="14175" xr:uid="{00000000-0005-0000-0000-00008D500000}"/>
    <cellStyle name="Input 3 9 3" xfId="29924" xr:uid="{00000000-0005-0000-0000-00008E500000}"/>
    <cellStyle name="Input 3 9 4" xfId="29925" xr:uid="{00000000-0005-0000-0000-00008F500000}"/>
    <cellStyle name="Input 4" xfId="14176" xr:uid="{00000000-0005-0000-0000-000090500000}"/>
    <cellStyle name="Input 4 10" xfId="14177" xr:uid="{00000000-0005-0000-0000-000091500000}"/>
    <cellStyle name="Input 4 10 2" xfId="14178" xr:uid="{00000000-0005-0000-0000-000092500000}"/>
    <cellStyle name="Input 4 10 3" xfId="29926" xr:uid="{00000000-0005-0000-0000-000093500000}"/>
    <cellStyle name="Input 4 10 4" xfId="29927" xr:uid="{00000000-0005-0000-0000-000094500000}"/>
    <cellStyle name="Input 4 11" xfId="14179" xr:uid="{00000000-0005-0000-0000-000095500000}"/>
    <cellStyle name="Input 4 11 2" xfId="14180" xr:uid="{00000000-0005-0000-0000-000096500000}"/>
    <cellStyle name="Input 4 11 3" xfId="29928" xr:uid="{00000000-0005-0000-0000-000097500000}"/>
    <cellStyle name="Input 4 11 4" xfId="29929" xr:uid="{00000000-0005-0000-0000-000098500000}"/>
    <cellStyle name="Input 4 12" xfId="14181" xr:uid="{00000000-0005-0000-0000-000099500000}"/>
    <cellStyle name="Input 4 13" xfId="29930" xr:uid="{00000000-0005-0000-0000-00009A500000}"/>
    <cellStyle name="Input 4 14" xfId="29931" xr:uid="{00000000-0005-0000-0000-00009B500000}"/>
    <cellStyle name="Input 4 2" xfId="14182" xr:uid="{00000000-0005-0000-0000-00009C500000}"/>
    <cellStyle name="Input 4 2 10" xfId="29932" xr:uid="{00000000-0005-0000-0000-00009D500000}"/>
    <cellStyle name="Input 4 2 2" xfId="14183" xr:uid="{00000000-0005-0000-0000-00009E500000}"/>
    <cellStyle name="Input 4 2 2 2" xfId="14184" xr:uid="{00000000-0005-0000-0000-00009F500000}"/>
    <cellStyle name="Input 4 2 2 3" xfId="29933" xr:uid="{00000000-0005-0000-0000-0000A0500000}"/>
    <cellStyle name="Input 4 2 2 4" xfId="29934" xr:uid="{00000000-0005-0000-0000-0000A1500000}"/>
    <cellStyle name="Input 4 2 3" xfId="14185" xr:uid="{00000000-0005-0000-0000-0000A2500000}"/>
    <cellStyle name="Input 4 2 3 2" xfId="14186" xr:uid="{00000000-0005-0000-0000-0000A3500000}"/>
    <cellStyle name="Input 4 2 3 3" xfId="29935" xr:uid="{00000000-0005-0000-0000-0000A4500000}"/>
    <cellStyle name="Input 4 2 3 4" xfId="29936" xr:uid="{00000000-0005-0000-0000-0000A5500000}"/>
    <cellStyle name="Input 4 2 4" xfId="14187" xr:uid="{00000000-0005-0000-0000-0000A6500000}"/>
    <cellStyle name="Input 4 2 4 2" xfId="14188" xr:uid="{00000000-0005-0000-0000-0000A7500000}"/>
    <cellStyle name="Input 4 2 4 3" xfId="29937" xr:uid="{00000000-0005-0000-0000-0000A8500000}"/>
    <cellStyle name="Input 4 2 4 4" xfId="29938" xr:uid="{00000000-0005-0000-0000-0000A9500000}"/>
    <cellStyle name="Input 4 2 5" xfId="14189" xr:uid="{00000000-0005-0000-0000-0000AA500000}"/>
    <cellStyle name="Input 4 2 5 2" xfId="14190" xr:uid="{00000000-0005-0000-0000-0000AB500000}"/>
    <cellStyle name="Input 4 2 5 3" xfId="29939" xr:uid="{00000000-0005-0000-0000-0000AC500000}"/>
    <cellStyle name="Input 4 2 5 4" xfId="29940" xr:uid="{00000000-0005-0000-0000-0000AD500000}"/>
    <cellStyle name="Input 4 2 6" xfId="14191" xr:uid="{00000000-0005-0000-0000-0000AE500000}"/>
    <cellStyle name="Input 4 2 6 2" xfId="14192" xr:uid="{00000000-0005-0000-0000-0000AF500000}"/>
    <cellStyle name="Input 4 2 6 3" xfId="29941" xr:uid="{00000000-0005-0000-0000-0000B0500000}"/>
    <cellStyle name="Input 4 2 6 4" xfId="29942" xr:uid="{00000000-0005-0000-0000-0000B1500000}"/>
    <cellStyle name="Input 4 2 7" xfId="14193" xr:uid="{00000000-0005-0000-0000-0000B2500000}"/>
    <cellStyle name="Input 4 2 7 2" xfId="14194" xr:uid="{00000000-0005-0000-0000-0000B3500000}"/>
    <cellStyle name="Input 4 2 7 3" xfId="29943" xr:uid="{00000000-0005-0000-0000-0000B4500000}"/>
    <cellStyle name="Input 4 2 7 4" xfId="29944" xr:uid="{00000000-0005-0000-0000-0000B5500000}"/>
    <cellStyle name="Input 4 2 8" xfId="14195" xr:uid="{00000000-0005-0000-0000-0000B6500000}"/>
    <cellStyle name="Input 4 2 9" xfId="29945" xr:uid="{00000000-0005-0000-0000-0000B7500000}"/>
    <cellStyle name="Input 4 3" xfId="14196" xr:uid="{00000000-0005-0000-0000-0000B8500000}"/>
    <cellStyle name="Input 4 3 10" xfId="29946" xr:uid="{00000000-0005-0000-0000-0000B9500000}"/>
    <cellStyle name="Input 4 3 2" xfId="14197" xr:uid="{00000000-0005-0000-0000-0000BA500000}"/>
    <cellStyle name="Input 4 3 2 2" xfId="14198" xr:uid="{00000000-0005-0000-0000-0000BB500000}"/>
    <cellStyle name="Input 4 3 2 3" xfId="29947" xr:uid="{00000000-0005-0000-0000-0000BC500000}"/>
    <cellStyle name="Input 4 3 2 4" xfId="29948" xr:uid="{00000000-0005-0000-0000-0000BD500000}"/>
    <cellStyle name="Input 4 3 3" xfId="14199" xr:uid="{00000000-0005-0000-0000-0000BE500000}"/>
    <cellStyle name="Input 4 3 3 2" xfId="14200" xr:uid="{00000000-0005-0000-0000-0000BF500000}"/>
    <cellStyle name="Input 4 3 3 3" xfId="29949" xr:uid="{00000000-0005-0000-0000-0000C0500000}"/>
    <cellStyle name="Input 4 3 3 4" xfId="29950" xr:uid="{00000000-0005-0000-0000-0000C1500000}"/>
    <cellStyle name="Input 4 3 4" xfId="14201" xr:uid="{00000000-0005-0000-0000-0000C2500000}"/>
    <cellStyle name="Input 4 3 4 2" xfId="14202" xr:uid="{00000000-0005-0000-0000-0000C3500000}"/>
    <cellStyle name="Input 4 3 4 3" xfId="29951" xr:uid="{00000000-0005-0000-0000-0000C4500000}"/>
    <cellStyle name="Input 4 3 4 4" xfId="29952" xr:uid="{00000000-0005-0000-0000-0000C5500000}"/>
    <cellStyle name="Input 4 3 5" xfId="14203" xr:uid="{00000000-0005-0000-0000-0000C6500000}"/>
    <cellStyle name="Input 4 3 5 2" xfId="14204" xr:uid="{00000000-0005-0000-0000-0000C7500000}"/>
    <cellStyle name="Input 4 3 5 3" xfId="29953" xr:uid="{00000000-0005-0000-0000-0000C8500000}"/>
    <cellStyle name="Input 4 3 5 4" xfId="29954" xr:uid="{00000000-0005-0000-0000-0000C9500000}"/>
    <cellStyle name="Input 4 3 6" xfId="14205" xr:uid="{00000000-0005-0000-0000-0000CA500000}"/>
    <cellStyle name="Input 4 3 6 2" xfId="14206" xr:uid="{00000000-0005-0000-0000-0000CB500000}"/>
    <cellStyle name="Input 4 3 6 3" xfId="29955" xr:uid="{00000000-0005-0000-0000-0000CC500000}"/>
    <cellStyle name="Input 4 3 6 4" xfId="29956" xr:uid="{00000000-0005-0000-0000-0000CD500000}"/>
    <cellStyle name="Input 4 3 7" xfId="14207" xr:uid="{00000000-0005-0000-0000-0000CE500000}"/>
    <cellStyle name="Input 4 3 7 2" xfId="14208" xr:uid="{00000000-0005-0000-0000-0000CF500000}"/>
    <cellStyle name="Input 4 3 7 3" xfId="29957" xr:uid="{00000000-0005-0000-0000-0000D0500000}"/>
    <cellStyle name="Input 4 3 7 4" xfId="29958" xr:uid="{00000000-0005-0000-0000-0000D1500000}"/>
    <cellStyle name="Input 4 3 8" xfId="14209" xr:uid="{00000000-0005-0000-0000-0000D2500000}"/>
    <cellStyle name="Input 4 3 9" xfId="29959" xr:uid="{00000000-0005-0000-0000-0000D3500000}"/>
    <cellStyle name="Input 4 4" xfId="14210" xr:uid="{00000000-0005-0000-0000-0000D4500000}"/>
    <cellStyle name="Input 4 4 10" xfId="29960" xr:uid="{00000000-0005-0000-0000-0000D5500000}"/>
    <cellStyle name="Input 4 4 2" xfId="14211" xr:uid="{00000000-0005-0000-0000-0000D6500000}"/>
    <cellStyle name="Input 4 4 2 2" xfId="14212" xr:uid="{00000000-0005-0000-0000-0000D7500000}"/>
    <cellStyle name="Input 4 4 2 3" xfId="29961" xr:uid="{00000000-0005-0000-0000-0000D8500000}"/>
    <cellStyle name="Input 4 4 2 4" xfId="29962" xr:uid="{00000000-0005-0000-0000-0000D9500000}"/>
    <cellStyle name="Input 4 4 3" xfId="14213" xr:uid="{00000000-0005-0000-0000-0000DA500000}"/>
    <cellStyle name="Input 4 4 3 2" xfId="14214" xr:uid="{00000000-0005-0000-0000-0000DB500000}"/>
    <cellStyle name="Input 4 4 3 3" xfId="29963" xr:uid="{00000000-0005-0000-0000-0000DC500000}"/>
    <cellStyle name="Input 4 4 3 4" xfId="29964" xr:uid="{00000000-0005-0000-0000-0000DD500000}"/>
    <cellStyle name="Input 4 4 4" xfId="14215" xr:uid="{00000000-0005-0000-0000-0000DE500000}"/>
    <cellStyle name="Input 4 4 4 2" xfId="14216" xr:uid="{00000000-0005-0000-0000-0000DF500000}"/>
    <cellStyle name="Input 4 4 4 3" xfId="29965" xr:uid="{00000000-0005-0000-0000-0000E0500000}"/>
    <cellStyle name="Input 4 4 4 4" xfId="29966" xr:uid="{00000000-0005-0000-0000-0000E1500000}"/>
    <cellStyle name="Input 4 4 5" xfId="14217" xr:uid="{00000000-0005-0000-0000-0000E2500000}"/>
    <cellStyle name="Input 4 4 5 2" xfId="14218" xr:uid="{00000000-0005-0000-0000-0000E3500000}"/>
    <cellStyle name="Input 4 4 5 3" xfId="29967" xr:uid="{00000000-0005-0000-0000-0000E4500000}"/>
    <cellStyle name="Input 4 4 5 4" xfId="29968" xr:uid="{00000000-0005-0000-0000-0000E5500000}"/>
    <cellStyle name="Input 4 4 6" xfId="14219" xr:uid="{00000000-0005-0000-0000-0000E6500000}"/>
    <cellStyle name="Input 4 4 6 2" xfId="14220" xr:uid="{00000000-0005-0000-0000-0000E7500000}"/>
    <cellStyle name="Input 4 4 6 3" xfId="29969" xr:uid="{00000000-0005-0000-0000-0000E8500000}"/>
    <cellStyle name="Input 4 4 6 4" xfId="29970" xr:uid="{00000000-0005-0000-0000-0000E9500000}"/>
    <cellStyle name="Input 4 4 7" xfId="14221" xr:uid="{00000000-0005-0000-0000-0000EA500000}"/>
    <cellStyle name="Input 4 4 7 2" xfId="14222" xr:uid="{00000000-0005-0000-0000-0000EB500000}"/>
    <cellStyle name="Input 4 4 7 3" xfId="29971" xr:uid="{00000000-0005-0000-0000-0000EC500000}"/>
    <cellStyle name="Input 4 4 7 4" xfId="29972" xr:uid="{00000000-0005-0000-0000-0000ED500000}"/>
    <cellStyle name="Input 4 4 8" xfId="14223" xr:uid="{00000000-0005-0000-0000-0000EE500000}"/>
    <cellStyle name="Input 4 4 9" xfId="29973" xr:uid="{00000000-0005-0000-0000-0000EF500000}"/>
    <cellStyle name="Input 4 5" xfId="14224" xr:uid="{00000000-0005-0000-0000-0000F0500000}"/>
    <cellStyle name="Input 4 5 10" xfId="29974" xr:uid="{00000000-0005-0000-0000-0000F1500000}"/>
    <cellStyle name="Input 4 5 2" xfId="14225" xr:uid="{00000000-0005-0000-0000-0000F2500000}"/>
    <cellStyle name="Input 4 5 2 2" xfId="14226" xr:uid="{00000000-0005-0000-0000-0000F3500000}"/>
    <cellStyle name="Input 4 5 2 3" xfId="29975" xr:uid="{00000000-0005-0000-0000-0000F4500000}"/>
    <cellStyle name="Input 4 5 2 4" xfId="29976" xr:uid="{00000000-0005-0000-0000-0000F5500000}"/>
    <cellStyle name="Input 4 5 3" xfId="14227" xr:uid="{00000000-0005-0000-0000-0000F6500000}"/>
    <cellStyle name="Input 4 5 3 2" xfId="14228" xr:uid="{00000000-0005-0000-0000-0000F7500000}"/>
    <cellStyle name="Input 4 5 3 3" xfId="29977" xr:uid="{00000000-0005-0000-0000-0000F8500000}"/>
    <cellStyle name="Input 4 5 3 4" xfId="29978" xr:uid="{00000000-0005-0000-0000-0000F9500000}"/>
    <cellStyle name="Input 4 5 4" xfId="14229" xr:uid="{00000000-0005-0000-0000-0000FA500000}"/>
    <cellStyle name="Input 4 5 4 2" xfId="14230" xr:uid="{00000000-0005-0000-0000-0000FB500000}"/>
    <cellStyle name="Input 4 5 4 3" xfId="29979" xr:uid="{00000000-0005-0000-0000-0000FC500000}"/>
    <cellStyle name="Input 4 5 4 4" xfId="29980" xr:uid="{00000000-0005-0000-0000-0000FD500000}"/>
    <cellStyle name="Input 4 5 5" xfId="14231" xr:uid="{00000000-0005-0000-0000-0000FE500000}"/>
    <cellStyle name="Input 4 5 5 2" xfId="14232" xr:uid="{00000000-0005-0000-0000-0000FF500000}"/>
    <cellStyle name="Input 4 5 5 3" xfId="29981" xr:uid="{00000000-0005-0000-0000-000000510000}"/>
    <cellStyle name="Input 4 5 5 4" xfId="29982" xr:uid="{00000000-0005-0000-0000-000001510000}"/>
    <cellStyle name="Input 4 5 6" xfId="14233" xr:uid="{00000000-0005-0000-0000-000002510000}"/>
    <cellStyle name="Input 4 5 6 2" xfId="14234" xr:uid="{00000000-0005-0000-0000-000003510000}"/>
    <cellStyle name="Input 4 5 6 3" xfId="29983" xr:uid="{00000000-0005-0000-0000-000004510000}"/>
    <cellStyle name="Input 4 5 6 4" xfId="29984" xr:uid="{00000000-0005-0000-0000-000005510000}"/>
    <cellStyle name="Input 4 5 7" xfId="14235" xr:uid="{00000000-0005-0000-0000-000006510000}"/>
    <cellStyle name="Input 4 5 7 2" xfId="14236" xr:uid="{00000000-0005-0000-0000-000007510000}"/>
    <cellStyle name="Input 4 5 7 3" xfId="29985" xr:uid="{00000000-0005-0000-0000-000008510000}"/>
    <cellStyle name="Input 4 5 7 4" xfId="29986" xr:uid="{00000000-0005-0000-0000-000009510000}"/>
    <cellStyle name="Input 4 5 8" xfId="14237" xr:uid="{00000000-0005-0000-0000-00000A510000}"/>
    <cellStyle name="Input 4 5 9" xfId="29987" xr:uid="{00000000-0005-0000-0000-00000B510000}"/>
    <cellStyle name="Input 4 6" xfId="14238" xr:uid="{00000000-0005-0000-0000-00000C510000}"/>
    <cellStyle name="Input 4 6 2" xfId="14239" xr:uid="{00000000-0005-0000-0000-00000D510000}"/>
    <cellStyle name="Input 4 6 3" xfId="29988" xr:uid="{00000000-0005-0000-0000-00000E510000}"/>
    <cellStyle name="Input 4 6 4" xfId="29989" xr:uid="{00000000-0005-0000-0000-00000F510000}"/>
    <cellStyle name="Input 4 7" xfId="14240" xr:uid="{00000000-0005-0000-0000-000010510000}"/>
    <cellStyle name="Input 4 7 2" xfId="14241" xr:uid="{00000000-0005-0000-0000-000011510000}"/>
    <cellStyle name="Input 4 7 3" xfId="29990" xr:uid="{00000000-0005-0000-0000-000012510000}"/>
    <cellStyle name="Input 4 7 4" xfId="29991" xr:uid="{00000000-0005-0000-0000-000013510000}"/>
    <cellStyle name="Input 4 8" xfId="14242" xr:uid="{00000000-0005-0000-0000-000014510000}"/>
    <cellStyle name="Input 4 8 2" xfId="14243" xr:uid="{00000000-0005-0000-0000-000015510000}"/>
    <cellStyle name="Input 4 8 3" xfId="29992" xr:uid="{00000000-0005-0000-0000-000016510000}"/>
    <cellStyle name="Input 4 8 4" xfId="29993" xr:uid="{00000000-0005-0000-0000-000017510000}"/>
    <cellStyle name="Input 4 9" xfId="14244" xr:uid="{00000000-0005-0000-0000-000018510000}"/>
    <cellStyle name="Input 4 9 2" xfId="14245" xr:uid="{00000000-0005-0000-0000-000019510000}"/>
    <cellStyle name="Input 4 9 3" xfId="29994" xr:uid="{00000000-0005-0000-0000-00001A510000}"/>
    <cellStyle name="Input 4 9 4" xfId="29995" xr:uid="{00000000-0005-0000-0000-00001B510000}"/>
    <cellStyle name="Input 5" xfId="14246" xr:uid="{00000000-0005-0000-0000-00001C510000}"/>
    <cellStyle name="Input 5 10" xfId="14247" xr:uid="{00000000-0005-0000-0000-00001D510000}"/>
    <cellStyle name="Input 5 10 2" xfId="14248" xr:uid="{00000000-0005-0000-0000-00001E510000}"/>
    <cellStyle name="Input 5 10 3" xfId="29996" xr:uid="{00000000-0005-0000-0000-00001F510000}"/>
    <cellStyle name="Input 5 10 4" xfId="29997" xr:uid="{00000000-0005-0000-0000-000020510000}"/>
    <cellStyle name="Input 5 11" xfId="14249" xr:uid="{00000000-0005-0000-0000-000021510000}"/>
    <cellStyle name="Input 5 11 2" xfId="14250" xr:uid="{00000000-0005-0000-0000-000022510000}"/>
    <cellStyle name="Input 5 11 3" xfId="29998" xr:uid="{00000000-0005-0000-0000-000023510000}"/>
    <cellStyle name="Input 5 11 4" xfId="29999" xr:uid="{00000000-0005-0000-0000-000024510000}"/>
    <cellStyle name="Input 5 12" xfId="14251" xr:uid="{00000000-0005-0000-0000-000025510000}"/>
    <cellStyle name="Input 5 13" xfId="30000" xr:uid="{00000000-0005-0000-0000-000026510000}"/>
    <cellStyle name="Input 5 14" xfId="30001" xr:uid="{00000000-0005-0000-0000-000027510000}"/>
    <cellStyle name="Input 5 2" xfId="14252" xr:uid="{00000000-0005-0000-0000-000028510000}"/>
    <cellStyle name="Input 5 2 10" xfId="30002" xr:uid="{00000000-0005-0000-0000-000029510000}"/>
    <cellStyle name="Input 5 2 2" xfId="14253" xr:uid="{00000000-0005-0000-0000-00002A510000}"/>
    <cellStyle name="Input 5 2 2 2" xfId="14254" xr:uid="{00000000-0005-0000-0000-00002B510000}"/>
    <cellStyle name="Input 5 2 2 3" xfId="30003" xr:uid="{00000000-0005-0000-0000-00002C510000}"/>
    <cellStyle name="Input 5 2 2 4" xfId="30004" xr:uid="{00000000-0005-0000-0000-00002D510000}"/>
    <cellStyle name="Input 5 2 3" xfId="14255" xr:uid="{00000000-0005-0000-0000-00002E510000}"/>
    <cellStyle name="Input 5 2 3 2" xfId="14256" xr:uid="{00000000-0005-0000-0000-00002F510000}"/>
    <cellStyle name="Input 5 2 3 3" xfId="30005" xr:uid="{00000000-0005-0000-0000-000030510000}"/>
    <cellStyle name="Input 5 2 3 4" xfId="30006" xr:uid="{00000000-0005-0000-0000-000031510000}"/>
    <cellStyle name="Input 5 2 4" xfId="14257" xr:uid="{00000000-0005-0000-0000-000032510000}"/>
    <cellStyle name="Input 5 2 4 2" xfId="14258" xr:uid="{00000000-0005-0000-0000-000033510000}"/>
    <cellStyle name="Input 5 2 4 3" xfId="30007" xr:uid="{00000000-0005-0000-0000-000034510000}"/>
    <cellStyle name="Input 5 2 4 4" xfId="30008" xr:uid="{00000000-0005-0000-0000-000035510000}"/>
    <cellStyle name="Input 5 2 5" xfId="14259" xr:uid="{00000000-0005-0000-0000-000036510000}"/>
    <cellStyle name="Input 5 2 5 2" xfId="14260" xr:uid="{00000000-0005-0000-0000-000037510000}"/>
    <cellStyle name="Input 5 2 5 3" xfId="30009" xr:uid="{00000000-0005-0000-0000-000038510000}"/>
    <cellStyle name="Input 5 2 5 4" xfId="30010" xr:uid="{00000000-0005-0000-0000-000039510000}"/>
    <cellStyle name="Input 5 2 6" xfId="14261" xr:uid="{00000000-0005-0000-0000-00003A510000}"/>
    <cellStyle name="Input 5 2 6 2" xfId="14262" xr:uid="{00000000-0005-0000-0000-00003B510000}"/>
    <cellStyle name="Input 5 2 6 3" xfId="30011" xr:uid="{00000000-0005-0000-0000-00003C510000}"/>
    <cellStyle name="Input 5 2 6 4" xfId="30012" xr:uid="{00000000-0005-0000-0000-00003D510000}"/>
    <cellStyle name="Input 5 2 7" xfId="14263" xr:uid="{00000000-0005-0000-0000-00003E510000}"/>
    <cellStyle name="Input 5 2 7 2" xfId="14264" xr:uid="{00000000-0005-0000-0000-00003F510000}"/>
    <cellStyle name="Input 5 2 7 3" xfId="30013" xr:uid="{00000000-0005-0000-0000-000040510000}"/>
    <cellStyle name="Input 5 2 7 4" xfId="30014" xr:uid="{00000000-0005-0000-0000-000041510000}"/>
    <cellStyle name="Input 5 2 8" xfId="14265" xr:uid="{00000000-0005-0000-0000-000042510000}"/>
    <cellStyle name="Input 5 2 9" xfId="30015" xr:uid="{00000000-0005-0000-0000-000043510000}"/>
    <cellStyle name="Input 5 3" xfId="14266" xr:uid="{00000000-0005-0000-0000-000044510000}"/>
    <cellStyle name="Input 5 3 10" xfId="30016" xr:uid="{00000000-0005-0000-0000-000045510000}"/>
    <cellStyle name="Input 5 3 2" xfId="14267" xr:uid="{00000000-0005-0000-0000-000046510000}"/>
    <cellStyle name="Input 5 3 2 2" xfId="14268" xr:uid="{00000000-0005-0000-0000-000047510000}"/>
    <cellStyle name="Input 5 3 2 3" xfId="30017" xr:uid="{00000000-0005-0000-0000-000048510000}"/>
    <cellStyle name="Input 5 3 2 4" xfId="30018" xr:uid="{00000000-0005-0000-0000-000049510000}"/>
    <cellStyle name="Input 5 3 3" xfId="14269" xr:uid="{00000000-0005-0000-0000-00004A510000}"/>
    <cellStyle name="Input 5 3 3 2" xfId="14270" xr:uid="{00000000-0005-0000-0000-00004B510000}"/>
    <cellStyle name="Input 5 3 3 3" xfId="30019" xr:uid="{00000000-0005-0000-0000-00004C510000}"/>
    <cellStyle name="Input 5 3 3 4" xfId="30020" xr:uid="{00000000-0005-0000-0000-00004D510000}"/>
    <cellStyle name="Input 5 3 4" xfId="14271" xr:uid="{00000000-0005-0000-0000-00004E510000}"/>
    <cellStyle name="Input 5 3 4 2" xfId="14272" xr:uid="{00000000-0005-0000-0000-00004F510000}"/>
    <cellStyle name="Input 5 3 4 3" xfId="30021" xr:uid="{00000000-0005-0000-0000-000050510000}"/>
    <cellStyle name="Input 5 3 4 4" xfId="30022" xr:uid="{00000000-0005-0000-0000-000051510000}"/>
    <cellStyle name="Input 5 3 5" xfId="14273" xr:uid="{00000000-0005-0000-0000-000052510000}"/>
    <cellStyle name="Input 5 3 5 2" xfId="14274" xr:uid="{00000000-0005-0000-0000-000053510000}"/>
    <cellStyle name="Input 5 3 5 3" xfId="30023" xr:uid="{00000000-0005-0000-0000-000054510000}"/>
    <cellStyle name="Input 5 3 5 4" xfId="30024" xr:uid="{00000000-0005-0000-0000-000055510000}"/>
    <cellStyle name="Input 5 3 6" xfId="14275" xr:uid="{00000000-0005-0000-0000-000056510000}"/>
    <cellStyle name="Input 5 3 6 2" xfId="14276" xr:uid="{00000000-0005-0000-0000-000057510000}"/>
    <cellStyle name="Input 5 3 6 3" xfId="30025" xr:uid="{00000000-0005-0000-0000-000058510000}"/>
    <cellStyle name="Input 5 3 6 4" xfId="30026" xr:uid="{00000000-0005-0000-0000-000059510000}"/>
    <cellStyle name="Input 5 3 7" xfId="14277" xr:uid="{00000000-0005-0000-0000-00005A510000}"/>
    <cellStyle name="Input 5 3 7 2" xfId="14278" xr:uid="{00000000-0005-0000-0000-00005B510000}"/>
    <cellStyle name="Input 5 3 7 3" xfId="30027" xr:uid="{00000000-0005-0000-0000-00005C510000}"/>
    <cellStyle name="Input 5 3 7 4" xfId="30028" xr:uid="{00000000-0005-0000-0000-00005D510000}"/>
    <cellStyle name="Input 5 3 8" xfId="14279" xr:uid="{00000000-0005-0000-0000-00005E510000}"/>
    <cellStyle name="Input 5 3 9" xfId="30029" xr:uid="{00000000-0005-0000-0000-00005F510000}"/>
    <cellStyle name="Input 5 4" xfId="14280" xr:uid="{00000000-0005-0000-0000-000060510000}"/>
    <cellStyle name="Input 5 4 10" xfId="30030" xr:uid="{00000000-0005-0000-0000-000061510000}"/>
    <cellStyle name="Input 5 4 2" xfId="14281" xr:uid="{00000000-0005-0000-0000-000062510000}"/>
    <cellStyle name="Input 5 4 2 2" xfId="14282" xr:uid="{00000000-0005-0000-0000-000063510000}"/>
    <cellStyle name="Input 5 4 2 3" xfId="30031" xr:uid="{00000000-0005-0000-0000-000064510000}"/>
    <cellStyle name="Input 5 4 2 4" xfId="30032" xr:uid="{00000000-0005-0000-0000-000065510000}"/>
    <cellStyle name="Input 5 4 3" xfId="14283" xr:uid="{00000000-0005-0000-0000-000066510000}"/>
    <cellStyle name="Input 5 4 3 2" xfId="14284" xr:uid="{00000000-0005-0000-0000-000067510000}"/>
    <cellStyle name="Input 5 4 3 3" xfId="30033" xr:uid="{00000000-0005-0000-0000-000068510000}"/>
    <cellStyle name="Input 5 4 3 4" xfId="30034" xr:uid="{00000000-0005-0000-0000-000069510000}"/>
    <cellStyle name="Input 5 4 4" xfId="14285" xr:uid="{00000000-0005-0000-0000-00006A510000}"/>
    <cellStyle name="Input 5 4 4 2" xfId="14286" xr:uid="{00000000-0005-0000-0000-00006B510000}"/>
    <cellStyle name="Input 5 4 4 3" xfId="30035" xr:uid="{00000000-0005-0000-0000-00006C510000}"/>
    <cellStyle name="Input 5 4 4 4" xfId="30036" xr:uid="{00000000-0005-0000-0000-00006D510000}"/>
    <cellStyle name="Input 5 4 5" xfId="14287" xr:uid="{00000000-0005-0000-0000-00006E510000}"/>
    <cellStyle name="Input 5 4 5 2" xfId="14288" xr:uid="{00000000-0005-0000-0000-00006F510000}"/>
    <cellStyle name="Input 5 4 5 3" xfId="30037" xr:uid="{00000000-0005-0000-0000-000070510000}"/>
    <cellStyle name="Input 5 4 5 4" xfId="30038" xr:uid="{00000000-0005-0000-0000-000071510000}"/>
    <cellStyle name="Input 5 4 6" xfId="14289" xr:uid="{00000000-0005-0000-0000-000072510000}"/>
    <cellStyle name="Input 5 4 6 2" xfId="14290" xr:uid="{00000000-0005-0000-0000-000073510000}"/>
    <cellStyle name="Input 5 4 6 3" xfId="30039" xr:uid="{00000000-0005-0000-0000-000074510000}"/>
    <cellStyle name="Input 5 4 6 4" xfId="30040" xr:uid="{00000000-0005-0000-0000-000075510000}"/>
    <cellStyle name="Input 5 4 7" xfId="14291" xr:uid="{00000000-0005-0000-0000-000076510000}"/>
    <cellStyle name="Input 5 4 7 2" xfId="14292" xr:uid="{00000000-0005-0000-0000-000077510000}"/>
    <cellStyle name="Input 5 4 7 3" xfId="30041" xr:uid="{00000000-0005-0000-0000-000078510000}"/>
    <cellStyle name="Input 5 4 7 4" xfId="30042" xr:uid="{00000000-0005-0000-0000-000079510000}"/>
    <cellStyle name="Input 5 4 8" xfId="14293" xr:uid="{00000000-0005-0000-0000-00007A510000}"/>
    <cellStyle name="Input 5 4 9" xfId="30043" xr:uid="{00000000-0005-0000-0000-00007B510000}"/>
    <cellStyle name="Input 5 5" xfId="14294" xr:uid="{00000000-0005-0000-0000-00007C510000}"/>
    <cellStyle name="Input 5 5 10" xfId="30044" xr:uid="{00000000-0005-0000-0000-00007D510000}"/>
    <cellStyle name="Input 5 5 2" xfId="14295" xr:uid="{00000000-0005-0000-0000-00007E510000}"/>
    <cellStyle name="Input 5 5 2 2" xfId="14296" xr:uid="{00000000-0005-0000-0000-00007F510000}"/>
    <cellStyle name="Input 5 5 2 3" xfId="30045" xr:uid="{00000000-0005-0000-0000-000080510000}"/>
    <cellStyle name="Input 5 5 2 4" xfId="30046" xr:uid="{00000000-0005-0000-0000-000081510000}"/>
    <cellStyle name="Input 5 5 3" xfId="14297" xr:uid="{00000000-0005-0000-0000-000082510000}"/>
    <cellStyle name="Input 5 5 3 2" xfId="14298" xr:uid="{00000000-0005-0000-0000-000083510000}"/>
    <cellStyle name="Input 5 5 3 3" xfId="30047" xr:uid="{00000000-0005-0000-0000-000084510000}"/>
    <cellStyle name="Input 5 5 3 4" xfId="30048" xr:uid="{00000000-0005-0000-0000-000085510000}"/>
    <cellStyle name="Input 5 5 4" xfId="14299" xr:uid="{00000000-0005-0000-0000-000086510000}"/>
    <cellStyle name="Input 5 5 4 2" xfId="14300" xr:uid="{00000000-0005-0000-0000-000087510000}"/>
    <cellStyle name="Input 5 5 4 3" xfId="30049" xr:uid="{00000000-0005-0000-0000-000088510000}"/>
    <cellStyle name="Input 5 5 4 4" xfId="30050" xr:uid="{00000000-0005-0000-0000-000089510000}"/>
    <cellStyle name="Input 5 5 5" xfId="14301" xr:uid="{00000000-0005-0000-0000-00008A510000}"/>
    <cellStyle name="Input 5 5 5 2" xfId="14302" xr:uid="{00000000-0005-0000-0000-00008B510000}"/>
    <cellStyle name="Input 5 5 5 3" xfId="30051" xr:uid="{00000000-0005-0000-0000-00008C510000}"/>
    <cellStyle name="Input 5 5 5 4" xfId="30052" xr:uid="{00000000-0005-0000-0000-00008D510000}"/>
    <cellStyle name="Input 5 5 6" xfId="14303" xr:uid="{00000000-0005-0000-0000-00008E510000}"/>
    <cellStyle name="Input 5 5 6 2" xfId="14304" xr:uid="{00000000-0005-0000-0000-00008F510000}"/>
    <cellStyle name="Input 5 5 6 3" xfId="30053" xr:uid="{00000000-0005-0000-0000-000090510000}"/>
    <cellStyle name="Input 5 5 6 4" xfId="30054" xr:uid="{00000000-0005-0000-0000-000091510000}"/>
    <cellStyle name="Input 5 5 7" xfId="14305" xr:uid="{00000000-0005-0000-0000-000092510000}"/>
    <cellStyle name="Input 5 5 7 2" xfId="14306" xr:uid="{00000000-0005-0000-0000-000093510000}"/>
    <cellStyle name="Input 5 5 7 3" xfId="30055" xr:uid="{00000000-0005-0000-0000-000094510000}"/>
    <cellStyle name="Input 5 5 7 4" xfId="30056" xr:uid="{00000000-0005-0000-0000-000095510000}"/>
    <cellStyle name="Input 5 5 8" xfId="14307" xr:uid="{00000000-0005-0000-0000-000096510000}"/>
    <cellStyle name="Input 5 5 9" xfId="30057" xr:uid="{00000000-0005-0000-0000-000097510000}"/>
    <cellStyle name="Input 5 6" xfId="14308" xr:uid="{00000000-0005-0000-0000-000098510000}"/>
    <cellStyle name="Input 5 6 2" xfId="14309" xr:uid="{00000000-0005-0000-0000-000099510000}"/>
    <cellStyle name="Input 5 6 3" xfId="30058" xr:uid="{00000000-0005-0000-0000-00009A510000}"/>
    <cellStyle name="Input 5 6 4" xfId="30059" xr:uid="{00000000-0005-0000-0000-00009B510000}"/>
    <cellStyle name="Input 5 7" xfId="14310" xr:uid="{00000000-0005-0000-0000-00009C510000}"/>
    <cellStyle name="Input 5 7 2" xfId="14311" xr:uid="{00000000-0005-0000-0000-00009D510000}"/>
    <cellStyle name="Input 5 7 3" xfId="30060" xr:uid="{00000000-0005-0000-0000-00009E510000}"/>
    <cellStyle name="Input 5 7 4" xfId="30061" xr:uid="{00000000-0005-0000-0000-00009F510000}"/>
    <cellStyle name="Input 5 8" xfId="14312" xr:uid="{00000000-0005-0000-0000-0000A0510000}"/>
    <cellStyle name="Input 5 8 2" xfId="14313" xr:uid="{00000000-0005-0000-0000-0000A1510000}"/>
    <cellStyle name="Input 5 8 3" xfId="30062" xr:uid="{00000000-0005-0000-0000-0000A2510000}"/>
    <cellStyle name="Input 5 8 4" xfId="30063" xr:uid="{00000000-0005-0000-0000-0000A3510000}"/>
    <cellStyle name="Input 5 9" xfId="14314" xr:uid="{00000000-0005-0000-0000-0000A4510000}"/>
    <cellStyle name="Input 5 9 2" xfId="14315" xr:uid="{00000000-0005-0000-0000-0000A5510000}"/>
    <cellStyle name="Input 5 9 3" xfId="30064" xr:uid="{00000000-0005-0000-0000-0000A6510000}"/>
    <cellStyle name="Input 5 9 4" xfId="30065" xr:uid="{00000000-0005-0000-0000-0000A7510000}"/>
    <cellStyle name="Input 6" xfId="14316" xr:uid="{00000000-0005-0000-0000-0000A8510000}"/>
    <cellStyle name="Input 6 10" xfId="14317" xr:uid="{00000000-0005-0000-0000-0000A9510000}"/>
    <cellStyle name="Input 6 10 2" xfId="14318" xr:uid="{00000000-0005-0000-0000-0000AA510000}"/>
    <cellStyle name="Input 6 10 3" xfId="30066" xr:uid="{00000000-0005-0000-0000-0000AB510000}"/>
    <cellStyle name="Input 6 10 4" xfId="30067" xr:uid="{00000000-0005-0000-0000-0000AC510000}"/>
    <cellStyle name="Input 6 11" xfId="14319" xr:uid="{00000000-0005-0000-0000-0000AD510000}"/>
    <cellStyle name="Input 6 11 2" xfId="14320" xr:uid="{00000000-0005-0000-0000-0000AE510000}"/>
    <cellStyle name="Input 6 11 3" xfId="30068" xr:uid="{00000000-0005-0000-0000-0000AF510000}"/>
    <cellStyle name="Input 6 11 4" xfId="30069" xr:uid="{00000000-0005-0000-0000-0000B0510000}"/>
    <cellStyle name="Input 6 12" xfId="14321" xr:uid="{00000000-0005-0000-0000-0000B1510000}"/>
    <cellStyle name="Input 6 13" xfId="30070" xr:uid="{00000000-0005-0000-0000-0000B2510000}"/>
    <cellStyle name="Input 6 14" xfId="30071" xr:uid="{00000000-0005-0000-0000-0000B3510000}"/>
    <cellStyle name="Input 6 2" xfId="14322" xr:uid="{00000000-0005-0000-0000-0000B4510000}"/>
    <cellStyle name="Input 6 2 10" xfId="30072" xr:uid="{00000000-0005-0000-0000-0000B5510000}"/>
    <cellStyle name="Input 6 2 2" xfId="14323" xr:uid="{00000000-0005-0000-0000-0000B6510000}"/>
    <cellStyle name="Input 6 2 2 2" xfId="14324" xr:uid="{00000000-0005-0000-0000-0000B7510000}"/>
    <cellStyle name="Input 6 2 2 3" xfId="30073" xr:uid="{00000000-0005-0000-0000-0000B8510000}"/>
    <cellStyle name="Input 6 2 2 4" xfId="30074" xr:uid="{00000000-0005-0000-0000-0000B9510000}"/>
    <cellStyle name="Input 6 2 3" xfId="14325" xr:uid="{00000000-0005-0000-0000-0000BA510000}"/>
    <cellStyle name="Input 6 2 3 2" xfId="14326" xr:uid="{00000000-0005-0000-0000-0000BB510000}"/>
    <cellStyle name="Input 6 2 3 3" xfId="30075" xr:uid="{00000000-0005-0000-0000-0000BC510000}"/>
    <cellStyle name="Input 6 2 3 4" xfId="30076" xr:uid="{00000000-0005-0000-0000-0000BD510000}"/>
    <cellStyle name="Input 6 2 4" xfId="14327" xr:uid="{00000000-0005-0000-0000-0000BE510000}"/>
    <cellStyle name="Input 6 2 4 2" xfId="14328" xr:uid="{00000000-0005-0000-0000-0000BF510000}"/>
    <cellStyle name="Input 6 2 4 3" xfId="30077" xr:uid="{00000000-0005-0000-0000-0000C0510000}"/>
    <cellStyle name="Input 6 2 4 4" xfId="30078" xr:uid="{00000000-0005-0000-0000-0000C1510000}"/>
    <cellStyle name="Input 6 2 5" xfId="14329" xr:uid="{00000000-0005-0000-0000-0000C2510000}"/>
    <cellStyle name="Input 6 2 5 2" xfId="14330" xr:uid="{00000000-0005-0000-0000-0000C3510000}"/>
    <cellStyle name="Input 6 2 5 3" xfId="30079" xr:uid="{00000000-0005-0000-0000-0000C4510000}"/>
    <cellStyle name="Input 6 2 5 4" xfId="30080" xr:uid="{00000000-0005-0000-0000-0000C5510000}"/>
    <cellStyle name="Input 6 2 6" xfId="14331" xr:uid="{00000000-0005-0000-0000-0000C6510000}"/>
    <cellStyle name="Input 6 2 6 2" xfId="14332" xr:uid="{00000000-0005-0000-0000-0000C7510000}"/>
    <cellStyle name="Input 6 2 6 3" xfId="30081" xr:uid="{00000000-0005-0000-0000-0000C8510000}"/>
    <cellStyle name="Input 6 2 6 4" xfId="30082" xr:uid="{00000000-0005-0000-0000-0000C9510000}"/>
    <cellStyle name="Input 6 2 7" xfId="14333" xr:uid="{00000000-0005-0000-0000-0000CA510000}"/>
    <cellStyle name="Input 6 2 7 2" xfId="14334" xr:uid="{00000000-0005-0000-0000-0000CB510000}"/>
    <cellStyle name="Input 6 2 7 3" xfId="30083" xr:uid="{00000000-0005-0000-0000-0000CC510000}"/>
    <cellStyle name="Input 6 2 7 4" xfId="30084" xr:uid="{00000000-0005-0000-0000-0000CD510000}"/>
    <cellStyle name="Input 6 2 8" xfId="14335" xr:uid="{00000000-0005-0000-0000-0000CE510000}"/>
    <cellStyle name="Input 6 2 9" xfId="30085" xr:uid="{00000000-0005-0000-0000-0000CF510000}"/>
    <cellStyle name="Input 6 3" xfId="14336" xr:uid="{00000000-0005-0000-0000-0000D0510000}"/>
    <cellStyle name="Input 6 3 10" xfId="30086" xr:uid="{00000000-0005-0000-0000-0000D1510000}"/>
    <cellStyle name="Input 6 3 2" xfId="14337" xr:uid="{00000000-0005-0000-0000-0000D2510000}"/>
    <cellStyle name="Input 6 3 2 2" xfId="14338" xr:uid="{00000000-0005-0000-0000-0000D3510000}"/>
    <cellStyle name="Input 6 3 2 3" xfId="30087" xr:uid="{00000000-0005-0000-0000-0000D4510000}"/>
    <cellStyle name="Input 6 3 2 4" xfId="30088" xr:uid="{00000000-0005-0000-0000-0000D5510000}"/>
    <cellStyle name="Input 6 3 3" xfId="14339" xr:uid="{00000000-0005-0000-0000-0000D6510000}"/>
    <cellStyle name="Input 6 3 3 2" xfId="14340" xr:uid="{00000000-0005-0000-0000-0000D7510000}"/>
    <cellStyle name="Input 6 3 3 3" xfId="30089" xr:uid="{00000000-0005-0000-0000-0000D8510000}"/>
    <cellStyle name="Input 6 3 3 4" xfId="30090" xr:uid="{00000000-0005-0000-0000-0000D9510000}"/>
    <cellStyle name="Input 6 3 4" xfId="14341" xr:uid="{00000000-0005-0000-0000-0000DA510000}"/>
    <cellStyle name="Input 6 3 4 2" xfId="14342" xr:uid="{00000000-0005-0000-0000-0000DB510000}"/>
    <cellStyle name="Input 6 3 4 3" xfId="30091" xr:uid="{00000000-0005-0000-0000-0000DC510000}"/>
    <cellStyle name="Input 6 3 4 4" xfId="30092" xr:uid="{00000000-0005-0000-0000-0000DD510000}"/>
    <cellStyle name="Input 6 3 5" xfId="14343" xr:uid="{00000000-0005-0000-0000-0000DE510000}"/>
    <cellStyle name="Input 6 3 5 2" xfId="14344" xr:uid="{00000000-0005-0000-0000-0000DF510000}"/>
    <cellStyle name="Input 6 3 5 3" xfId="30093" xr:uid="{00000000-0005-0000-0000-0000E0510000}"/>
    <cellStyle name="Input 6 3 5 4" xfId="30094" xr:uid="{00000000-0005-0000-0000-0000E1510000}"/>
    <cellStyle name="Input 6 3 6" xfId="14345" xr:uid="{00000000-0005-0000-0000-0000E2510000}"/>
    <cellStyle name="Input 6 3 6 2" xfId="14346" xr:uid="{00000000-0005-0000-0000-0000E3510000}"/>
    <cellStyle name="Input 6 3 6 3" xfId="30095" xr:uid="{00000000-0005-0000-0000-0000E4510000}"/>
    <cellStyle name="Input 6 3 6 4" xfId="30096" xr:uid="{00000000-0005-0000-0000-0000E5510000}"/>
    <cellStyle name="Input 6 3 7" xfId="14347" xr:uid="{00000000-0005-0000-0000-0000E6510000}"/>
    <cellStyle name="Input 6 3 7 2" xfId="14348" xr:uid="{00000000-0005-0000-0000-0000E7510000}"/>
    <cellStyle name="Input 6 3 7 3" xfId="30097" xr:uid="{00000000-0005-0000-0000-0000E8510000}"/>
    <cellStyle name="Input 6 3 7 4" xfId="30098" xr:uid="{00000000-0005-0000-0000-0000E9510000}"/>
    <cellStyle name="Input 6 3 8" xfId="14349" xr:uid="{00000000-0005-0000-0000-0000EA510000}"/>
    <cellStyle name="Input 6 3 9" xfId="30099" xr:uid="{00000000-0005-0000-0000-0000EB510000}"/>
    <cellStyle name="Input 6 4" xfId="14350" xr:uid="{00000000-0005-0000-0000-0000EC510000}"/>
    <cellStyle name="Input 6 4 10" xfId="30100" xr:uid="{00000000-0005-0000-0000-0000ED510000}"/>
    <cellStyle name="Input 6 4 2" xfId="14351" xr:uid="{00000000-0005-0000-0000-0000EE510000}"/>
    <cellStyle name="Input 6 4 2 2" xfId="14352" xr:uid="{00000000-0005-0000-0000-0000EF510000}"/>
    <cellStyle name="Input 6 4 2 3" xfId="30101" xr:uid="{00000000-0005-0000-0000-0000F0510000}"/>
    <cellStyle name="Input 6 4 2 4" xfId="30102" xr:uid="{00000000-0005-0000-0000-0000F1510000}"/>
    <cellStyle name="Input 6 4 3" xfId="14353" xr:uid="{00000000-0005-0000-0000-0000F2510000}"/>
    <cellStyle name="Input 6 4 3 2" xfId="14354" xr:uid="{00000000-0005-0000-0000-0000F3510000}"/>
    <cellStyle name="Input 6 4 3 3" xfId="30103" xr:uid="{00000000-0005-0000-0000-0000F4510000}"/>
    <cellStyle name="Input 6 4 3 4" xfId="30104" xr:uid="{00000000-0005-0000-0000-0000F5510000}"/>
    <cellStyle name="Input 6 4 4" xfId="14355" xr:uid="{00000000-0005-0000-0000-0000F6510000}"/>
    <cellStyle name="Input 6 4 4 2" xfId="14356" xr:uid="{00000000-0005-0000-0000-0000F7510000}"/>
    <cellStyle name="Input 6 4 4 3" xfId="30105" xr:uid="{00000000-0005-0000-0000-0000F8510000}"/>
    <cellStyle name="Input 6 4 4 4" xfId="30106" xr:uid="{00000000-0005-0000-0000-0000F9510000}"/>
    <cellStyle name="Input 6 4 5" xfId="14357" xr:uid="{00000000-0005-0000-0000-0000FA510000}"/>
    <cellStyle name="Input 6 4 5 2" xfId="14358" xr:uid="{00000000-0005-0000-0000-0000FB510000}"/>
    <cellStyle name="Input 6 4 5 3" xfId="30107" xr:uid="{00000000-0005-0000-0000-0000FC510000}"/>
    <cellStyle name="Input 6 4 5 4" xfId="30108" xr:uid="{00000000-0005-0000-0000-0000FD510000}"/>
    <cellStyle name="Input 6 4 6" xfId="14359" xr:uid="{00000000-0005-0000-0000-0000FE510000}"/>
    <cellStyle name="Input 6 4 6 2" xfId="14360" xr:uid="{00000000-0005-0000-0000-0000FF510000}"/>
    <cellStyle name="Input 6 4 6 3" xfId="30109" xr:uid="{00000000-0005-0000-0000-000000520000}"/>
    <cellStyle name="Input 6 4 6 4" xfId="30110" xr:uid="{00000000-0005-0000-0000-000001520000}"/>
    <cellStyle name="Input 6 4 7" xfId="14361" xr:uid="{00000000-0005-0000-0000-000002520000}"/>
    <cellStyle name="Input 6 4 7 2" xfId="14362" xr:uid="{00000000-0005-0000-0000-000003520000}"/>
    <cellStyle name="Input 6 4 7 3" xfId="30111" xr:uid="{00000000-0005-0000-0000-000004520000}"/>
    <cellStyle name="Input 6 4 7 4" xfId="30112" xr:uid="{00000000-0005-0000-0000-000005520000}"/>
    <cellStyle name="Input 6 4 8" xfId="14363" xr:uid="{00000000-0005-0000-0000-000006520000}"/>
    <cellStyle name="Input 6 4 9" xfId="30113" xr:uid="{00000000-0005-0000-0000-000007520000}"/>
    <cellStyle name="Input 6 5" xfId="14364" xr:uid="{00000000-0005-0000-0000-000008520000}"/>
    <cellStyle name="Input 6 5 10" xfId="30114" xr:uid="{00000000-0005-0000-0000-000009520000}"/>
    <cellStyle name="Input 6 5 2" xfId="14365" xr:uid="{00000000-0005-0000-0000-00000A520000}"/>
    <cellStyle name="Input 6 5 2 2" xfId="14366" xr:uid="{00000000-0005-0000-0000-00000B520000}"/>
    <cellStyle name="Input 6 5 2 3" xfId="30115" xr:uid="{00000000-0005-0000-0000-00000C520000}"/>
    <cellStyle name="Input 6 5 2 4" xfId="30116" xr:uid="{00000000-0005-0000-0000-00000D520000}"/>
    <cellStyle name="Input 6 5 3" xfId="14367" xr:uid="{00000000-0005-0000-0000-00000E520000}"/>
    <cellStyle name="Input 6 5 3 2" xfId="14368" xr:uid="{00000000-0005-0000-0000-00000F520000}"/>
    <cellStyle name="Input 6 5 3 3" xfId="30117" xr:uid="{00000000-0005-0000-0000-000010520000}"/>
    <cellStyle name="Input 6 5 3 4" xfId="30118" xr:uid="{00000000-0005-0000-0000-000011520000}"/>
    <cellStyle name="Input 6 5 4" xfId="14369" xr:uid="{00000000-0005-0000-0000-000012520000}"/>
    <cellStyle name="Input 6 5 4 2" xfId="14370" xr:uid="{00000000-0005-0000-0000-000013520000}"/>
    <cellStyle name="Input 6 5 4 3" xfId="30119" xr:uid="{00000000-0005-0000-0000-000014520000}"/>
    <cellStyle name="Input 6 5 4 4" xfId="30120" xr:uid="{00000000-0005-0000-0000-000015520000}"/>
    <cellStyle name="Input 6 5 5" xfId="14371" xr:uid="{00000000-0005-0000-0000-000016520000}"/>
    <cellStyle name="Input 6 5 5 2" xfId="14372" xr:uid="{00000000-0005-0000-0000-000017520000}"/>
    <cellStyle name="Input 6 5 5 3" xfId="30121" xr:uid="{00000000-0005-0000-0000-000018520000}"/>
    <cellStyle name="Input 6 5 5 4" xfId="30122" xr:uid="{00000000-0005-0000-0000-000019520000}"/>
    <cellStyle name="Input 6 5 6" xfId="14373" xr:uid="{00000000-0005-0000-0000-00001A520000}"/>
    <cellStyle name="Input 6 5 6 2" xfId="14374" xr:uid="{00000000-0005-0000-0000-00001B520000}"/>
    <cellStyle name="Input 6 5 6 3" xfId="30123" xr:uid="{00000000-0005-0000-0000-00001C520000}"/>
    <cellStyle name="Input 6 5 6 4" xfId="30124" xr:uid="{00000000-0005-0000-0000-00001D520000}"/>
    <cellStyle name="Input 6 5 7" xfId="14375" xr:uid="{00000000-0005-0000-0000-00001E520000}"/>
    <cellStyle name="Input 6 5 7 2" xfId="14376" xr:uid="{00000000-0005-0000-0000-00001F520000}"/>
    <cellStyle name="Input 6 5 7 3" xfId="30125" xr:uid="{00000000-0005-0000-0000-000020520000}"/>
    <cellStyle name="Input 6 5 7 4" xfId="30126" xr:uid="{00000000-0005-0000-0000-000021520000}"/>
    <cellStyle name="Input 6 5 8" xfId="14377" xr:uid="{00000000-0005-0000-0000-000022520000}"/>
    <cellStyle name="Input 6 5 9" xfId="30127" xr:uid="{00000000-0005-0000-0000-000023520000}"/>
    <cellStyle name="Input 6 6" xfId="14378" xr:uid="{00000000-0005-0000-0000-000024520000}"/>
    <cellStyle name="Input 6 6 2" xfId="14379" xr:uid="{00000000-0005-0000-0000-000025520000}"/>
    <cellStyle name="Input 6 6 3" xfId="30128" xr:uid="{00000000-0005-0000-0000-000026520000}"/>
    <cellStyle name="Input 6 6 4" xfId="30129" xr:uid="{00000000-0005-0000-0000-000027520000}"/>
    <cellStyle name="Input 6 7" xfId="14380" xr:uid="{00000000-0005-0000-0000-000028520000}"/>
    <cellStyle name="Input 6 7 2" xfId="14381" xr:uid="{00000000-0005-0000-0000-000029520000}"/>
    <cellStyle name="Input 6 7 3" xfId="30130" xr:uid="{00000000-0005-0000-0000-00002A520000}"/>
    <cellStyle name="Input 6 7 4" xfId="30131" xr:uid="{00000000-0005-0000-0000-00002B520000}"/>
    <cellStyle name="Input 6 8" xfId="14382" xr:uid="{00000000-0005-0000-0000-00002C520000}"/>
    <cellStyle name="Input 6 8 2" xfId="14383" xr:uid="{00000000-0005-0000-0000-00002D520000}"/>
    <cellStyle name="Input 6 8 3" xfId="30132" xr:uid="{00000000-0005-0000-0000-00002E520000}"/>
    <cellStyle name="Input 6 8 4" xfId="30133" xr:uid="{00000000-0005-0000-0000-00002F520000}"/>
    <cellStyle name="Input 6 9" xfId="14384" xr:uid="{00000000-0005-0000-0000-000030520000}"/>
    <cellStyle name="Input 6 9 2" xfId="14385" xr:uid="{00000000-0005-0000-0000-000031520000}"/>
    <cellStyle name="Input 6 9 3" xfId="30134" xr:uid="{00000000-0005-0000-0000-000032520000}"/>
    <cellStyle name="Input 6 9 4" xfId="30135" xr:uid="{00000000-0005-0000-0000-000033520000}"/>
    <cellStyle name="Input 7" xfId="14386" xr:uid="{00000000-0005-0000-0000-000034520000}"/>
    <cellStyle name="Input 7 10" xfId="14387" xr:uid="{00000000-0005-0000-0000-000035520000}"/>
    <cellStyle name="Input 7 10 2" xfId="14388" xr:uid="{00000000-0005-0000-0000-000036520000}"/>
    <cellStyle name="Input 7 10 3" xfId="30136" xr:uid="{00000000-0005-0000-0000-000037520000}"/>
    <cellStyle name="Input 7 10 4" xfId="30137" xr:uid="{00000000-0005-0000-0000-000038520000}"/>
    <cellStyle name="Input 7 11" xfId="14389" xr:uid="{00000000-0005-0000-0000-000039520000}"/>
    <cellStyle name="Input 7 11 2" xfId="14390" xr:uid="{00000000-0005-0000-0000-00003A520000}"/>
    <cellStyle name="Input 7 11 3" xfId="30138" xr:uid="{00000000-0005-0000-0000-00003B520000}"/>
    <cellStyle name="Input 7 11 4" xfId="30139" xr:uid="{00000000-0005-0000-0000-00003C520000}"/>
    <cellStyle name="Input 7 12" xfId="14391" xr:uid="{00000000-0005-0000-0000-00003D520000}"/>
    <cellStyle name="Input 7 13" xfId="30140" xr:uid="{00000000-0005-0000-0000-00003E520000}"/>
    <cellStyle name="Input 7 14" xfId="30141" xr:uid="{00000000-0005-0000-0000-00003F520000}"/>
    <cellStyle name="Input 7 2" xfId="14392" xr:uid="{00000000-0005-0000-0000-000040520000}"/>
    <cellStyle name="Input 7 2 10" xfId="30142" xr:uid="{00000000-0005-0000-0000-000041520000}"/>
    <cellStyle name="Input 7 2 2" xfId="14393" xr:uid="{00000000-0005-0000-0000-000042520000}"/>
    <cellStyle name="Input 7 2 2 2" xfId="14394" xr:uid="{00000000-0005-0000-0000-000043520000}"/>
    <cellStyle name="Input 7 2 2 3" xfId="30143" xr:uid="{00000000-0005-0000-0000-000044520000}"/>
    <cellStyle name="Input 7 2 2 4" xfId="30144" xr:uid="{00000000-0005-0000-0000-000045520000}"/>
    <cellStyle name="Input 7 2 3" xfId="14395" xr:uid="{00000000-0005-0000-0000-000046520000}"/>
    <cellStyle name="Input 7 2 3 2" xfId="14396" xr:uid="{00000000-0005-0000-0000-000047520000}"/>
    <cellStyle name="Input 7 2 3 3" xfId="30145" xr:uid="{00000000-0005-0000-0000-000048520000}"/>
    <cellStyle name="Input 7 2 3 4" xfId="30146" xr:uid="{00000000-0005-0000-0000-000049520000}"/>
    <cellStyle name="Input 7 2 4" xfId="14397" xr:uid="{00000000-0005-0000-0000-00004A520000}"/>
    <cellStyle name="Input 7 2 4 2" xfId="14398" xr:uid="{00000000-0005-0000-0000-00004B520000}"/>
    <cellStyle name="Input 7 2 4 3" xfId="30147" xr:uid="{00000000-0005-0000-0000-00004C520000}"/>
    <cellStyle name="Input 7 2 4 4" xfId="30148" xr:uid="{00000000-0005-0000-0000-00004D520000}"/>
    <cellStyle name="Input 7 2 5" xfId="14399" xr:uid="{00000000-0005-0000-0000-00004E520000}"/>
    <cellStyle name="Input 7 2 5 2" xfId="14400" xr:uid="{00000000-0005-0000-0000-00004F520000}"/>
    <cellStyle name="Input 7 2 5 3" xfId="30149" xr:uid="{00000000-0005-0000-0000-000050520000}"/>
    <cellStyle name="Input 7 2 5 4" xfId="30150" xr:uid="{00000000-0005-0000-0000-000051520000}"/>
    <cellStyle name="Input 7 2 6" xfId="14401" xr:uid="{00000000-0005-0000-0000-000052520000}"/>
    <cellStyle name="Input 7 2 6 2" xfId="14402" xr:uid="{00000000-0005-0000-0000-000053520000}"/>
    <cellStyle name="Input 7 2 6 3" xfId="30151" xr:uid="{00000000-0005-0000-0000-000054520000}"/>
    <cellStyle name="Input 7 2 6 4" xfId="30152" xr:uid="{00000000-0005-0000-0000-000055520000}"/>
    <cellStyle name="Input 7 2 7" xfId="14403" xr:uid="{00000000-0005-0000-0000-000056520000}"/>
    <cellStyle name="Input 7 2 7 2" xfId="14404" xr:uid="{00000000-0005-0000-0000-000057520000}"/>
    <cellStyle name="Input 7 2 7 3" xfId="30153" xr:uid="{00000000-0005-0000-0000-000058520000}"/>
    <cellStyle name="Input 7 2 7 4" xfId="30154" xr:uid="{00000000-0005-0000-0000-000059520000}"/>
    <cellStyle name="Input 7 2 8" xfId="14405" xr:uid="{00000000-0005-0000-0000-00005A520000}"/>
    <cellStyle name="Input 7 2 9" xfId="30155" xr:uid="{00000000-0005-0000-0000-00005B520000}"/>
    <cellStyle name="Input 7 3" xfId="14406" xr:uid="{00000000-0005-0000-0000-00005C520000}"/>
    <cellStyle name="Input 7 3 10" xfId="30156" xr:uid="{00000000-0005-0000-0000-00005D520000}"/>
    <cellStyle name="Input 7 3 2" xfId="14407" xr:uid="{00000000-0005-0000-0000-00005E520000}"/>
    <cellStyle name="Input 7 3 2 2" xfId="14408" xr:uid="{00000000-0005-0000-0000-00005F520000}"/>
    <cellStyle name="Input 7 3 2 3" xfId="30157" xr:uid="{00000000-0005-0000-0000-000060520000}"/>
    <cellStyle name="Input 7 3 2 4" xfId="30158" xr:uid="{00000000-0005-0000-0000-000061520000}"/>
    <cellStyle name="Input 7 3 3" xfId="14409" xr:uid="{00000000-0005-0000-0000-000062520000}"/>
    <cellStyle name="Input 7 3 3 2" xfId="14410" xr:uid="{00000000-0005-0000-0000-000063520000}"/>
    <cellStyle name="Input 7 3 3 3" xfId="30159" xr:uid="{00000000-0005-0000-0000-000064520000}"/>
    <cellStyle name="Input 7 3 3 4" xfId="30160" xr:uid="{00000000-0005-0000-0000-000065520000}"/>
    <cellStyle name="Input 7 3 4" xfId="14411" xr:uid="{00000000-0005-0000-0000-000066520000}"/>
    <cellStyle name="Input 7 3 4 2" xfId="14412" xr:uid="{00000000-0005-0000-0000-000067520000}"/>
    <cellStyle name="Input 7 3 4 3" xfId="30161" xr:uid="{00000000-0005-0000-0000-000068520000}"/>
    <cellStyle name="Input 7 3 4 4" xfId="30162" xr:uid="{00000000-0005-0000-0000-000069520000}"/>
    <cellStyle name="Input 7 3 5" xfId="14413" xr:uid="{00000000-0005-0000-0000-00006A520000}"/>
    <cellStyle name="Input 7 3 5 2" xfId="14414" xr:uid="{00000000-0005-0000-0000-00006B520000}"/>
    <cellStyle name="Input 7 3 5 3" xfId="30163" xr:uid="{00000000-0005-0000-0000-00006C520000}"/>
    <cellStyle name="Input 7 3 5 4" xfId="30164" xr:uid="{00000000-0005-0000-0000-00006D520000}"/>
    <cellStyle name="Input 7 3 6" xfId="14415" xr:uid="{00000000-0005-0000-0000-00006E520000}"/>
    <cellStyle name="Input 7 3 6 2" xfId="14416" xr:uid="{00000000-0005-0000-0000-00006F520000}"/>
    <cellStyle name="Input 7 3 6 3" xfId="30165" xr:uid="{00000000-0005-0000-0000-000070520000}"/>
    <cellStyle name="Input 7 3 6 4" xfId="30166" xr:uid="{00000000-0005-0000-0000-000071520000}"/>
    <cellStyle name="Input 7 3 7" xfId="14417" xr:uid="{00000000-0005-0000-0000-000072520000}"/>
    <cellStyle name="Input 7 3 7 2" xfId="14418" xr:uid="{00000000-0005-0000-0000-000073520000}"/>
    <cellStyle name="Input 7 3 7 3" xfId="30167" xr:uid="{00000000-0005-0000-0000-000074520000}"/>
    <cellStyle name="Input 7 3 7 4" xfId="30168" xr:uid="{00000000-0005-0000-0000-000075520000}"/>
    <cellStyle name="Input 7 3 8" xfId="14419" xr:uid="{00000000-0005-0000-0000-000076520000}"/>
    <cellStyle name="Input 7 3 9" xfId="30169" xr:uid="{00000000-0005-0000-0000-000077520000}"/>
    <cellStyle name="Input 7 4" xfId="14420" xr:uid="{00000000-0005-0000-0000-000078520000}"/>
    <cellStyle name="Input 7 4 10" xfId="30170" xr:uid="{00000000-0005-0000-0000-000079520000}"/>
    <cellStyle name="Input 7 4 2" xfId="14421" xr:uid="{00000000-0005-0000-0000-00007A520000}"/>
    <cellStyle name="Input 7 4 2 2" xfId="14422" xr:uid="{00000000-0005-0000-0000-00007B520000}"/>
    <cellStyle name="Input 7 4 2 3" xfId="30171" xr:uid="{00000000-0005-0000-0000-00007C520000}"/>
    <cellStyle name="Input 7 4 2 4" xfId="30172" xr:uid="{00000000-0005-0000-0000-00007D520000}"/>
    <cellStyle name="Input 7 4 3" xfId="14423" xr:uid="{00000000-0005-0000-0000-00007E520000}"/>
    <cellStyle name="Input 7 4 3 2" xfId="14424" xr:uid="{00000000-0005-0000-0000-00007F520000}"/>
    <cellStyle name="Input 7 4 3 3" xfId="30173" xr:uid="{00000000-0005-0000-0000-000080520000}"/>
    <cellStyle name="Input 7 4 3 4" xfId="30174" xr:uid="{00000000-0005-0000-0000-000081520000}"/>
    <cellStyle name="Input 7 4 4" xfId="14425" xr:uid="{00000000-0005-0000-0000-000082520000}"/>
    <cellStyle name="Input 7 4 4 2" xfId="14426" xr:uid="{00000000-0005-0000-0000-000083520000}"/>
    <cellStyle name="Input 7 4 4 3" xfId="30175" xr:uid="{00000000-0005-0000-0000-000084520000}"/>
    <cellStyle name="Input 7 4 4 4" xfId="30176" xr:uid="{00000000-0005-0000-0000-000085520000}"/>
    <cellStyle name="Input 7 4 5" xfId="14427" xr:uid="{00000000-0005-0000-0000-000086520000}"/>
    <cellStyle name="Input 7 4 5 2" xfId="14428" xr:uid="{00000000-0005-0000-0000-000087520000}"/>
    <cellStyle name="Input 7 4 5 3" xfId="30177" xr:uid="{00000000-0005-0000-0000-000088520000}"/>
    <cellStyle name="Input 7 4 5 4" xfId="30178" xr:uid="{00000000-0005-0000-0000-000089520000}"/>
    <cellStyle name="Input 7 4 6" xfId="14429" xr:uid="{00000000-0005-0000-0000-00008A520000}"/>
    <cellStyle name="Input 7 4 6 2" xfId="14430" xr:uid="{00000000-0005-0000-0000-00008B520000}"/>
    <cellStyle name="Input 7 4 6 3" xfId="30179" xr:uid="{00000000-0005-0000-0000-00008C520000}"/>
    <cellStyle name="Input 7 4 6 4" xfId="30180" xr:uid="{00000000-0005-0000-0000-00008D520000}"/>
    <cellStyle name="Input 7 4 7" xfId="14431" xr:uid="{00000000-0005-0000-0000-00008E520000}"/>
    <cellStyle name="Input 7 4 7 2" xfId="14432" xr:uid="{00000000-0005-0000-0000-00008F520000}"/>
    <cellStyle name="Input 7 4 7 3" xfId="30181" xr:uid="{00000000-0005-0000-0000-000090520000}"/>
    <cellStyle name="Input 7 4 7 4" xfId="30182" xr:uid="{00000000-0005-0000-0000-000091520000}"/>
    <cellStyle name="Input 7 4 8" xfId="14433" xr:uid="{00000000-0005-0000-0000-000092520000}"/>
    <cellStyle name="Input 7 4 9" xfId="30183" xr:uid="{00000000-0005-0000-0000-000093520000}"/>
    <cellStyle name="Input 7 5" xfId="14434" xr:uid="{00000000-0005-0000-0000-000094520000}"/>
    <cellStyle name="Input 7 5 10" xfId="30184" xr:uid="{00000000-0005-0000-0000-000095520000}"/>
    <cellStyle name="Input 7 5 2" xfId="14435" xr:uid="{00000000-0005-0000-0000-000096520000}"/>
    <cellStyle name="Input 7 5 2 2" xfId="14436" xr:uid="{00000000-0005-0000-0000-000097520000}"/>
    <cellStyle name="Input 7 5 2 3" xfId="30185" xr:uid="{00000000-0005-0000-0000-000098520000}"/>
    <cellStyle name="Input 7 5 2 4" xfId="30186" xr:uid="{00000000-0005-0000-0000-000099520000}"/>
    <cellStyle name="Input 7 5 3" xfId="14437" xr:uid="{00000000-0005-0000-0000-00009A520000}"/>
    <cellStyle name="Input 7 5 3 2" xfId="14438" xr:uid="{00000000-0005-0000-0000-00009B520000}"/>
    <cellStyle name="Input 7 5 3 3" xfId="30187" xr:uid="{00000000-0005-0000-0000-00009C520000}"/>
    <cellStyle name="Input 7 5 3 4" xfId="30188" xr:uid="{00000000-0005-0000-0000-00009D520000}"/>
    <cellStyle name="Input 7 5 4" xfId="14439" xr:uid="{00000000-0005-0000-0000-00009E520000}"/>
    <cellStyle name="Input 7 5 4 2" xfId="14440" xr:uid="{00000000-0005-0000-0000-00009F520000}"/>
    <cellStyle name="Input 7 5 4 3" xfId="30189" xr:uid="{00000000-0005-0000-0000-0000A0520000}"/>
    <cellStyle name="Input 7 5 4 4" xfId="30190" xr:uid="{00000000-0005-0000-0000-0000A1520000}"/>
    <cellStyle name="Input 7 5 5" xfId="14441" xr:uid="{00000000-0005-0000-0000-0000A2520000}"/>
    <cellStyle name="Input 7 5 5 2" xfId="14442" xr:uid="{00000000-0005-0000-0000-0000A3520000}"/>
    <cellStyle name="Input 7 5 5 3" xfId="30191" xr:uid="{00000000-0005-0000-0000-0000A4520000}"/>
    <cellStyle name="Input 7 5 5 4" xfId="30192" xr:uid="{00000000-0005-0000-0000-0000A5520000}"/>
    <cellStyle name="Input 7 5 6" xfId="14443" xr:uid="{00000000-0005-0000-0000-0000A6520000}"/>
    <cellStyle name="Input 7 5 6 2" xfId="14444" xr:uid="{00000000-0005-0000-0000-0000A7520000}"/>
    <cellStyle name="Input 7 5 6 3" xfId="30193" xr:uid="{00000000-0005-0000-0000-0000A8520000}"/>
    <cellStyle name="Input 7 5 6 4" xfId="30194" xr:uid="{00000000-0005-0000-0000-0000A9520000}"/>
    <cellStyle name="Input 7 5 7" xfId="14445" xr:uid="{00000000-0005-0000-0000-0000AA520000}"/>
    <cellStyle name="Input 7 5 7 2" xfId="14446" xr:uid="{00000000-0005-0000-0000-0000AB520000}"/>
    <cellStyle name="Input 7 5 7 3" xfId="30195" xr:uid="{00000000-0005-0000-0000-0000AC520000}"/>
    <cellStyle name="Input 7 5 7 4" xfId="30196" xr:uid="{00000000-0005-0000-0000-0000AD520000}"/>
    <cellStyle name="Input 7 5 8" xfId="14447" xr:uid="{00000000-0005-0000-0000-0000AE520000}"/>
    <cellStyle name="Input 7 5 9" xfId="30197" xr:uid="{00000000-0005-0000-0000-0000AF520000}"/>
    <cellStyle name="Input 7 6" xfId="14448" xr:uid="{00000000-0005-0000-0000-0000B0520000}"/>
    <cellStyle name="Input 7 6 2" xfId="14449" xr:uid="{00000000-0005-0000-0000-0000B1520000}"/>
    <cellStyle name="Input 7 6 3" xfId="30198" xr:uid="{00000000-0005-0000-0000-0000B2520000}"/>
    <cellStyle name="Input 7 6 4" xfId="30199" xr:uid="{00000000-0005-0000-0000-0000B3520000}"/>
    <cellStyle name="Input 7 7" xfId="14450" xr:uid="{00000000-0005-0000-0000-0000B4520000}"/>
    <cellStyle name="Input 7 7 2" xfId="14451" xr:uid="{00000000-0005-0000-0000-0000B5520000}"/>
    <cellStyle name="Input 7 7 3" xfId="30200" xr:uid="{00000000-0005-0000-0000-0000B6520000}"/>
    <cellStyle name="Input 7 7 4" xfId="30201" xr:uid="{00000000-0005-0000-0000-0000B7520000}"/>
    <cellStyle name="Input 7 8" xfId="14452" xr:uid="{00000000-0005-0000-0000-0000B8520000}"/>
    <cellStyle name="Input 7 8 2" xfId="14453" xr:uid="{00000000-0005-0000-0000-0000B9520000}"/>
    <cellStyle name="Input 7 8 3" xfId="30202" xr:uid="{00000000-0005-0000-0000-0000BA520000}"/>
    <cellStyle name="Input 7 8 4" xfId="30203" xr:uid="{00000000-0005-0000-0000-0000BB520000}"/>
    <cellStyle name="Input 7 9" xfId="14454" xr:uid="{00000000-0005-0000-0000-0000BC520000}"/>
    <cellStyle name="Input 7 9 2" xfId="14455" xr:uid="{00000000-0005-0000-0000-0000BD520000}"/>
    <cellStyle name="Input 7 9 3" xfId="30204" xr:uid="{00000000-0005-0000-0000-0000BE520000}"/>
    <cellStyle name="Input 7 9 4" xfId="30205" xr:uid="{00000000-0005-0000-0000-0000BF520000}"/>
    <cellStyle name="Input 8" xfId="14456" xr:uid="{00000000-0005-0000-0000-0000C0520000}"/>
    <cellStyle name="Input 8 10" xfId="14457" xr:uid="{00000000-0005-0000-0000-0000C1520000}"/>
    <cellStyle name="Input 8 10 2" xfId="14458" xr:uid="{00000000-0005-0000-0000-0000C2520000}"/>
    <cellStyle name="Input 8 10 3" xfId="30206" xr:uid="{00000000-0005-0000-0000-0000C3520000}"/>
    <cellStyle name="Input 8 10 4" xfId="30207" xr:uid="{00000000-0005-0000-0000-0000C4520000}"/>
    <cellStyle name="Input 8 11" xfId="14459" xr:uid="{00000000-0005-0000-0000-0000C5520000}"/>
    <cellStyle name="Input 8 11 2" xfId="14460" xr:uid="{00000000-0005-0000-0000-0000C6520000}"/>
    <cellStyle name="Input 8 11 3" xfId="30208" xr:uid="{00000000-0005-0000-0000-0000C7520000}"/>
    <cellStyle name="Input 8 11 4" xfId="30209" xr:uid="{00000000-0005-0000-0000-0000C8520000}"/>
    <cellStyle name="Input 8 12" xfId="14461" xr:uid="{00000000-0005-0000-0000-0000C9520000}"/>
    <cellStyle name="Input 8 13" xfId="30210" xr:uid="{00000000-0005-0000-0000-0000CA520000}"/>
    <cellStyle name="Input 8 14" xfId="30211" xr:uid="{00000000-0005-0000-0000-0000CB520000}"/>
    <cellStyle name="Input 8 2" xfId="14462" xr:uid="{00000000-0005-0000-0000-0000CC520000}"/>
    <cellStyle name="Input 8 2 10" xfId="30212" xr:uid="{00000000-0005-0000-0000-0000CD520000}"/>
    <cellStyle name="Input 8 2 2" xfId="14463" xr:uid="{00000000-0005-0000-0000-0000CE520000}"/>
    <cellStyle name="Input 8 2 2 2" xfId="14464" xr:uid="{00000000-0005-0000-0000-0000CF520000}"/>
    <cellStyle name="Input 8 2 2 3" xfId="30213" xr:uid="{00000000-0005-0000-0000-0000D0520000}"/>
    <cellStyle name="Input 8 2 2 4" xfId="30214" xr:uid="{00000000-0005-0000-0000-0000D1520000}"/>
    <cellStyle name="Input 8 2 3" xfId="14465" xr:uid="{00000000-0005-0000-0000-0000D2520000}"/>
    <cellStyle name="Input 8 2 3 2" xfId="14466" xr:uid="{00000000-0005-0000-0000-0000D3520000}"/>
    <cellStyle name="Input 8 2 3 3" xfId="30215" xr:uid="{00000000-0005-0000-0000-0000D4520000}"/>
    <cellStyle name="Input 8 2 3 4" xfId="30216" xr:uid="{00000000-0005-0000-0000-0000D5520000}"/>
    <cellStyle name="Input 8 2 4" xfId="14467" xr:uid="{00000000-0005-0000-0000-0000D6520000}"/>
    <cellStyle name="Input 8 2 4 2" xfId="14468" xr:uid="{00000000-0005-0000-0000-0000D7520000}"/>
    <cellStyle name="Input 8 2 4 3" xfId="30217" xr:uid="{00000000-0005-0000-0000-0000D8520000}"/>
    <cellStyle name="Input 8 2 4 4" xfId="30218" xr:uid="{00000000-0005-0000-0000-0000D9520000}"/>
    <cellStyle name="Input 8 2 5" xfId="14469" xr:uid="{00000000-0005-0000-0000-0000DA520000}"/>
    <cellStyle name="Input 8 2 5 2" xfId="14470" xr:uid="{00000000-0005-0000-0000-0000DB520000}"/>
    <cellStyle name="Input 8 2 5 3" xfId="30219" xr:uid="{00000000-0005-0000-0000-0000DC520000}"/>
    <cellStyle name="Input 8 2 5 4" xfId="30220" xr:uid="{00000000-0005-0000-0000-0000DD520000}"/>
    <cellStyle name="Input 8 2 6" xfId="14471" xr:uid="{00000000-0005-0000-0000-0000DE520000}"/>
    <cellStyle name="Input 8 2 6 2" xfId="14472" xr:uid="{00000000-0005-0000-0000-0000DF520000}"/>
    <cellStyle name="Input 8 2 6 3" xfId="30221" xr:uid="{00000000-0005-0000-0000-0000E0520000}"/>
    <cellStyle name="Input 8 2 6 4" xfId="30222" xr:uid="{00000000-0005-0000-0000-0000E1520000}"/>
    <cellStyle name="Input 8 2 7" xfId="14473" xr:uid="{00000000-0005-0000-0000-0000E2520000}"/>
    <cellStyle name="Input 8 2 7 2" xfId="14474" xr:uid="{00000000-0005-0000-0000-0000E3520000}"/>
    <cellStyle name="Input 8 2 7 3" xfId="30223" xr:uid="{00000000-0005-0000-0000-0000E4520000}"/>
    <cellStyle name="Input 8 2 7 4" xfId="30224" xr:uid="{00000000-0005-0000-0000-0000E5520000}"/>
    <cellStyle name="Input 8 2 8" xfId="14475" xr:uid="{00000000-0005-0000-0000-0000E6520000}"/>
    <cellStyle name="Input 8 2 9" xfId="30225" xr:uid="{00000000-0005-0000-0000-0000E7520000}"/>
    <cellStyle name="Input 8 3" xfId="14476" xr:uid="{00000000-0005-0000-0000-0000E8520000}"/>
    <cellStyle name="Input 8 3 10" xfId="30226" xr:uid="{00000000-0005-0000-0000-0000E9520000}"/>
    <cellStyle name="Input 8 3 2" xfId="14477" xr:uid="{00000000-0005-0000-0000-0000EA520000}"/>
    <cellStyle name="Input 8 3 2 2" xfId="14478" xr:uid="{00000000-0005-0000-0000-0000EB520000}"/>
    <cellStyle name="Input 8 3 2 3" xfId="30227" xr:uid="{00000000-0005-0000-0000-0000EC520000}"/>
    <cellStyle name="Input 8 3 2 4" xfId="30228" xr:uid="{00000000-0005-0000-0000-0000ED520000}"/>
    <cellStyle name="Input 8 3 3" xfId="14479" xr:uid="{00000000-0005-0000-0000-0000EE520000}"/>
    <cellStyle name="Input 8 3 3 2" xfId="14480" xr:uid="{00000000-0005-0000-0000-0000EF520000}"/>
    <cellStyle name="Input 8 3 3 3" xfId="30229" xr:uid="{00000000-0005-0000-0000-0000F0520000}"/>
    <cellStyle name="Input 8 3 3 4" xfId="30230" xr:uid="{00000000-0005-0000-0000-0000F1520000}"/>
    <cellStyle name="Input 8 3 4" xfId="14481" xr:uid="{00000000-0005-0000-0000-0000F2520000}"/>
    <cellStyle name="Input 8 3 4 2" xfId="14482" xr:uid="{00000000-0005-0000-0000-0000F3520000}"/>
    <cellStyle name="Input 8 3 4 3" xfId="30231" xr:uid="{00000000-0005-0000-0000-0000F4520000}"/>
    <cellStyle name="Input 8 3 4 4" xfId="30232" xr:uid="{00000000-0005-0000-0000-0000F5520000}"/>
    <cellStyle name="Input 8 3 5" xfId="14483" xr:uid="{00000000-0005-0000-0000-0000F6520000}"/>
    <cellStyle name="Input 8 3 5 2" xfId="14484" xr:uid="{00000000-0005-0000-0000-0000F7520000}"/>
    <cellStyle name="Input 8 3 5 3" xfId="30233" xr:uid="{00000000-0005-0000-0000-0000F8520000}"/>
    <cellStyle name="Input 8 3 5 4" xfId="30234" xr:uid="{00000000-0005-0000-0000-0000F9520000}"/>
    <cellStyle name="Input 8 3 6" xfId="14485" xr:uid="{00000000-0005-0000-0000-0000FA520000}"/>
    <cellStyle name="Input 8 3 6 2" xfId="14486" xr:uid="{00000000-0005-0000-0000-0000FB520000}"/>
    <cellStyle name="Input 8 3 6 3" xfId="30235" xr:uid="{00000000-0005-0000-0000-0000FC520000}"/>
    <cellStyle name="Input 8 3 6 4" xfId="30236" xr:uid="{00000000-0005-0000-0000-0000FD520000}"/>
    <cellStyle name="Input 8 3 7" xfId="14487" xr:uid="{00000000-0005-0000-0000-0000FE520000}"/>
    <cellStyle name="Input 8 3 7 2" xfId="14488" xr:uid="{00000000-0005-0000-0000-0000FF520000}"/>
    <cellStyle name="Input 8 3 7 3" xfId="30237" xr:uid="{00000000-0005-0000-0000-000000530000}"/>
    <cellStyle name="Input 8 3 7 4" xfId="30238" xr:uid="{00000000-0005-0000-0000-000001530000}"/>
    <cellStyle name="Input 8 3 8" xfId="14489" xr:uid="{00000000-0005-0000-0000-000002530000}"/>
    <cellStyle name="Input 8 3 9" xfId="30239" xr:uid="{00000000-0005-0000-0000-000003530000}"/>
    <cellStyle name="Input 8 4" xfId="14490" xr:uid="{00000000-0005-0000-0000-000004530000}"/>
    <cellStyle name="Input 8 4 10" xfId="30240" xr:uid="{00000000-0005-0000-0000-000005530000}"/>
    <cellStyle name="Input 8 4 2" xfId="14491" xr:uid="{00000000-0005-0000-0000-000006530000}"/>
    <cellStyle name="Input 8 4 2 2" xfId="14492" xr:uid="{00000000-0005-0000-0000-000007530000}"/>
    <cellStyle name="Input 8 4 2 3" xfId="30241" xr:uid="{00000000-0005-0000-0000-000008530000}"/>
    <cellStyle name="Input 8 4 2 4" xfId="30242" xr:uid="{00000000-0005-0000-0000-000009530000}"/>
    <cellStyle name="Input 8 4 3" xfId="14493" xr:uid="{00000000-0005-0000-0000-00000A530000}"/>
    <cellStyle name="Input 8 4 3 2" xfId="14494" xr:uid="{00000000-0005-0000-0000-00000B530000}"/>
    <cellStyle name="Input 8 4 3 3" xfId="30243" xr:uid="{00000000-0005-0000-0000-00000C530000}"/>
    <cellStyle name="Input 8 4 3 4" xfId="30244" xr:uid="{00000000-0005-0000-0000-00000D530000}"/>
    <cellStyle name="Input 8 4 4" xfId="14495" xr:uid="{00000000-0005-0000-0000-00000E530000}"/>
    <cellStyle name="Input 8 4 4 2" xfId="14496" xr:uid="{00000000-0005-0000-0000-00000F530000}"/>
    <cellStyle name="Input 8 4 4 3" xfId="30245" xr:uid="{00000000-0005-0000-0000-000010530000}"/>
    <cellStyle name="Input 8 4 4 4" xfId="30246" xr:uid="{00000000-0005-0000-0000-000011530000}"/>
    <cellStyle name="Input 8 4 5" xfId="14497" xr:uid="{00000000-0005-0000-0000-000012530000}"/>
    <cellStyle name="Input 8 4 5 2" xfId="14498" xr:uid="{00000000-0005-0000-0000-000013530000}"/>
    <cellStyle name="Input 8 4 5 3" xfId="30247" xr:uid="{00000000-0005-0000-0000-000014530000}"/>
    <cellStyle name="Input 8 4 5 4" xfId="30248" xr:uid="{00000000-0005-0000-0000-000015530000}"/>
    <cellStyle name="Input 8 4 6" xfId="14499" xr:uid="{00000000-0005-0000-0000-000016530000}"/>
    <cellStyle name="Input 8 4 6 2" xfId="14500" xr:uid="{00000000-0005-0000-0000-000017530000}"/>
    <cellStyle name="Input 8 4 6 3" xfId="30249" xr:uid="{00000000-0005-0000-0000-000018530000}"/>
    <cellStyle name="Input 8 4 6 4" xfId="30250" xr:uid="{00000000-0005-0000-0000-000019530000}"/>
    <cellStyle name="Input 8 4 7" xfId="14501" xr:uid="{00000000-0005-0000-0000-00001A530000}"/>
    <cellStyle name="Input 8 4 7 2" xfId="14502" xr:uid="{00000000-0005-0000-0000-00001B530000}"/>
    <cellStyle name="Input 8 4 7 3" xfId="30251" xr:uid="{00000000-0005-0000-0000-00001C530000}"/>
    <cellStyle name="Input 8 4 7 4" xfId="30252" xr:uid="{00000000-0005-0000-0000-00001D530000}"/>
    <cellStyle name="Input 8 4 8" xfId="14503" xr:uid="{00000000-0005-0000-0000-00001E530000}"/>
    <cellStyle name="Input 8 4 9" xfId="30253" xr:uid="{00000000-0005-0000-0000-00001F530000}"/>
    <cellStyle name="Input 8 5" xfId="14504" xr:uid="{00000000-0005-0000-0000-000020530000}"/>
    <cellStyle name="Input 8 5 10" xfId="30254" xr:uid="{00000000-0005-0000-0000-000021530000}"/>
    <cellStyle name="Input 8 5 2" xfId="14505" xr:uid="{00000000-0005-0000-0000-000022530000}"/>
    <cellStyle name="Input 8 5 2 2" xfId="14506" xr:uid="{00000000-0005-0000-0000-000023530000}"/>
    <cellStyle name="Input 8 5 2 3" xfId="30255" xr:uid="{00000000-0005-0000-0000-000024530000}"/>
    <cellStyle name="Input 8 5 2 4" xfId="30256" xr:uid="{00000000-0005-0000-0000-000025530000}"/>
    <cellStyle name="Input 8 5 3" xfId="14507" xr:uid="{00000000-0005-0000-0000-000026530000}"/>
    <cellStyle name="Input 8 5 3 2" xfId="14508" xr:uid="{00000000-0005-0000-0000-000027530000}"/>
    <cellStyle name="Input 8 5 3 3" xfId="30257" xr:uid="{00000000-0005-0000-0000-000028530000}"/>
    <cellStyle name="Input 8 5 3 4" xfId="30258" xr:uid="{00000000-0005-0000-0000-000029530000}"/>
    <cellStyle name="Input 8 5 4" xfId="14509" xr:uid="{00000000-0005-0000-0000-00002A530000}"/>
    <cellStyle name="Input 8 5 4 2" xfId="14510" xr:uid="{00000000-0005-0000-0000-00002B530000}"/>
    <cellStyle name="Input 8 5 4 3" xfId="30259" xr:uid="{00000000-0005-0000-0000-00002C530000}"/>
    <cellStyle name="Input 8 5 4 4" xfId="30260" xr:uid="{00000000-0005-0000-0000-00002D530000}"/>
    <cellStyle name="Input 8 5 5" xfId="14511" xr:uid="{00000000-0005-0000-0000-00002E530000}"/>
    <cellStyle name="Input 8 5 5 2" xfId="14512" xr:uid="{00000000-0005-0000-0000-00002F530000}"/>
    <cellStyle name="Input 8 5 5 3" xfId="30261" xr:uid="{00000000-0005-0000-0000-000030530000}"/>
    <cellStyle name="Input 8 5 5 4" xfId="30262" xr:uid="{00000000-0005-0000-0000-000031530000}"/>
    <cellStyle name="Input 8 5 6" xfId="14513" xr:uid="{00000000-0005-0000-0000-000032530000}"/>
    <cellStyle name="Input 8 5 6 2" xfId="14514" xr:uid="{00000000-0005-0000-0000-000033530000}"/>
    <cellStyle name="Input 8 5 6 3" xfId="30263" xr:uid="{00000000-0005-0000-0000-000034530000}"/>
    <cellStyle name="Input 8 5 6 4" xfId="30264" xr:uid="{00000000-0005-0000-0000-000035530000}"/>
    <cellStyle name="Input 8 5 7" xfId="14515" xr:uid="{00000000-0005-0000-0000-000036530000}"/>
    <cellStyle name="Input 8 5 7 2" xfId="14516" xr:uid="{00000000-0005-0000-0000-000037530000}"/>
    <cellStyle name="Input 8 5 7 3" xfId="30265" xr:uid="{00000000-0005-0000-0000-000038530000}"/>
    <cellStyle name="Input 8 5 7 4" xfId="30266" xr:uid="{00000000-0005-0000-0000-000039530000}"/>
    <cellStyle name="Input 8 5 8" xfId="14517" xr:uid="{00000000-0005-0000-0000-00003A530000}"/>
    <cellStyle name="Input 8 5 9" xfId="30267" xr:uid="{00000000-0005-0000-0000-00003B530000}"/>
    <cellStyle name="Input 8 6" xfId="14518" xr:uid="{00000000-0005-0000-0000-00003C530000}"/>
    <cellStyle name="Input 8 6 2" xfId="14519" xr:uid="{00000000-0005-0000-0000-00003D530000}"/>
    <cellStyle name="Input 8 6 3" xfId="30268" xr:uid="{00000000-0005-0000-0000-00003E530000}"/>
    <cellStyle name="Input 8 6 4" xfId="30269" xr:uid="{00000000-0005-0000-0000-00003F530000}"/>
    <cellStyle name="Input 8 7" xfId="14520" xr:uid="{00000000-0005-0000-0000-000040530000}"/>
    <cellStyle name="Input 8 7 2" xfId="14521" xr:uid="{00000000-0005-0000-0000-000041530000}"/>
    <cellStyle name="Input 8 7 3" xfId="30270" xr:uid="{00000000-0005-0000-0000-000042530000}"/>
    <cellStyle name="Input 8 7 4" xfId="30271" xr:uid="{00000000-0005-0000-0000-000043530000}"/>
    <cellStyle name="Input 8 8" xfId="14522" xr:uid="{00000000-0005-0000-0000-000044530000}"/>
    <cellStyle name="Input 8 8 2" xfId="14523" xr:uid="{00000000-0005-0000-0000-000045530000}"/>
    <cellStyle name="Input 8 8 3" xfId="30272" xr:uid="{00000000-0005-0000-0000-000046530000}"/>
    <cellStyle name="Input 8 8 4" xfId="30273" xr:uid="{00000000-0005-0000-0000-000047530000}"/>
    <cellStyle name="Input 8 9" xfId="14524" xr:uid="{00000000-0005-0000-0000-000048530000}"/>
    <cellStyle name="Input 8 9 2" xfId="14525" xr:uid="{00000000-0005-0000-0000-000049530000}"/>
    <cellStyle name="Input 8 9 3" xfId="30274" xr:uid="{00000000-0005-0000-0000-00004A530000}"/>
    <cellStyle name="Input 8 9 4" xfId="30275" xr:uid="{00000000-0005-0000-0000-00004B530000}"/>
    <cellStyle name="Input 9" xfId="14526" xr:uid="{00000000-0005-0000-0000-00004C530000}"/>
    <cellStyle name="Input 9 10" xfId="14527" xr:uid="{00000000-0005-0000-0000-00004D530000}"/>
    <cellStyle name="Input 9 10 2" xfId="14528" xr:uid="{00000000-0005-0000-0000-00004E530000}"/>
    <cellStyle name="Input 9 10 3" xfId="30276" xr:uid="{00000000-0005-0000-0000-00004F530000}"/>
    <cellStyle name="Input 9 10 4" xfId="30277" xr:uid="{00000000-0005-0000-0000-000050530000}"/>
    <cellStyle name="Input 9 11" xfId="14529" xr:uid="{00000000-0005-0000-0000-000051530000}"/>
    <cellStyle name="Input 9 11 2" xfId="14530" xr:uid="{00000000-0005-0000-0000-000052530000}"/>
    <cellStyle name="Input 9 11 3" xfId="30278" xr:uid="{00000000-0005-0000-0000-000053530000}"/>
    <cellStyle name="Input 9 11 4" xfId="30279" xr:uid="{00000000-0005-0000-0000-000054530000}"/>
    <cellStyle name="Input 9 12" xfId="14531" xr:uid="{00000000-0005-0000-0000-000055530000}"/>
    <cellStyle name="Input 9 13" xfId="30280" xr:uid="{00000000-0005-0000-0000-000056530000}"/>
    <cellStyle name="Input 9 14" xfId="30281" xr:uid="{00000000-0005-0000-0000-000057530000}"/>
    <cellStyle name="Input 9 2" xfId="14532" xr:uid="{00000000-0005-0000-0000-000058530000}"/>
    <cellStyle name="Input 9 2 10" xfId="30282" xr:uid="{00000000-0005-0000-0000-000059530000}"/>
    <cellStyle name="Input 9 2 2" xfId="14533" xr:uid="{00000000-0005-0000-0000-00005A530000}"/>
    <cellStyle name="Input 9 2 2 2" xfId="14534" xr:uid="{00000000-0005-0000-0000-00005B530000}"/>
    <cellStyle name="Input 9 2 2 3" xfId="30283" xr:uid="{00000000-0005-0000-0000-00005C530000}"/>
    <cellStyle name="Input 9 2 2 4" xfId="30284" xr:uid="{00000000-0005-0000-0000-00005D530000}"/>
    <cellStyle name="Input 9 2 3" xfId="14535" xr:uid="{00000000-0005-0000-0000-00005E530000}"/>
    <cellStyle name="Input 9 2 3 2" xfId="14536" xr:uid="{00000000-0005-0000-0000-00005F530000}"/>
    <cellStyle name="Input 9 2 3 3" xfId="30285" xr:uid="{00000000-0005-0000-0000-000060530000}"/>
    <cellStyle name="Input 9 2 3 4" xfId="30286" xr:uid="{00000000-0005-0000-0000-000061530000}"/>
    <cellStyle name="Input 9 2 4" xfId="14537" xr:uid="{00000000-0005-0000-0000-000062530000}"/>
    <cellStyle name="Input 9 2 4 2" xfId="14538" xr:uid="{00000000-0005-0000-0000-000063530000}"/>
    <cellStyle name="Input 9 2 4 3" xfId="30287" xr:uid="{00000000-0005-0000-0000-000064530000}"/>
    <cellStyle name="Input 9 2 4 4" xfId="30288" xr:uid="{00000000-0005-0000-0000-000065530000}"/>
    <cellStyle name="Input 9 2 5" xfId="14539" xr:uid="{00000000-0005-0000-0000-000066530000}"/>
    <cellStyle name="Input 9 2 5 2" xfId="14540" xr:uid="{00000000-0005-0000-0000-000067530000}"/>
    <cellStyle name="Input 9 2 5 3" xfId="30289" xr:uid="{00000000-0005-0000-0000-000068530000}"/>
    <cellStyle name="Input 9 2 5 4" xfId="30290" xr:uid="{00000000-0005-0000-0000-000069530000}"/>
    <cellStyle name="Input 9 2 6" xfId="14541" xr:uid="{00000000-0005-0000-0000-00006A530000}"/>
    <cellStyle name="Input 9 2 6 2" xfId="14542" xr:uid="{00000000-0005-0000-0000-00006B530000}"/>
    <cellStyle name="Input 9 2 6 3" xfId="30291" xr:uid="{00000000-0005-0000-0000-00006C530000}"/>
    <cellStyle name="Input 9 2 6 4" xfId="30292" xr:uid="{00000000-0005-0000-0000-00006D530000}"/>
    <cellStyle name="Input 9 2 7" xfId="14543" xr:uid="{00000000-0005-0000-0000-00006E530000}"/>
    <cellStyle name="Input 9 2 7 2" xfId="14544" xr:uid="{00000000-0005-0000-0000-00006F530000}"/>
    <cellStyle name="Input 9 2 7 3" xfId="30293" xr:uid="{00000000-0005-0000-0000-000070530000}"/>
    <cellStyle name="Input 9 2 7 4" xfId="30294" xr:uid="{00000000-0005-0000-0000-000071530000}"/>
    <cellStyle name="Input 9 2 8" xfId="14545" xr:uid="{00000000-0005-0000-0000-000072530000}"/>
    <cellStyle name="Input 9 2 9" xfId="30295" xr:uid="{00000000-0005-0000-0000-000073530000}"/>
    <cellStyle name="Input 9 3" xfId="14546" xr:uid="{00000000-0005-0000-0000-000074530000}"/>
    <cellStyle name="Input 9 3 10" xfId="30296" xr:uid="{00000000-0005-0000-0000-000075530000}"/>
    <cellStyle name="Input 9 3 2" xfId="14547" xr:uid="{00000000-0005-0000-0000-000076530000}"/>
    <cellStyle name="Input 9 3 2 2" xfId="14548" xr:uid="{00000000-0005-0000-0000-000077530000}"/>
    <cellStyle name="Input 9 3 2 3" xfId="30297" xr:uid="{00000000-0005-0000-0000-000078530000}"/>
    <cellStyle name="Input 9 3 2 4" xfId="30298" xr:uid="{00000000-0005-0000-0000-000079530000}"/>
    <cellStyle name="Input 9 3 3" xfId="14549" xr:uid="{00000000-0005-0000-0000-00007A530000}"/>
    <cellStyle name="Input 9 3 3 2" xfId="14550" xr:uid="{00000000-0005-0000-0000-00007B530000}"/>
    <cellStyle name="Input 9 3 3 3" xfId="30299" xr:uid="{00000000-0005-0000-0000-00007C530000}"/>
    <cellStyle name="Input 9 3 3 4" xfId="30300" xr:uid="{00000000-0005-0000-0000-00007D530000}"/>
    <cellStyle name="Input 9 3 4" xfId="14551" xr:uid="{00000000-0005-0000-0000-00007E530000}"/>
    <cellStyle name="Input 9 3 4 2" xfId="14552" xr:uid="{00000000-0005-0000-0000-00007F530000}"/>
    <cellStyle name="Input 9 3 4 3" xfId="30301" xr:uid="{00000000-0005-0000-0000-000080530000}"/>
    <cellStyle name="Input 9 3 4 4" xfId="30302" xr:uid="{00000000-0005-0000-0000-000081530000}"/>
    <cellStyle name="Input 9 3 5" xfId="14553" xr:uid="{00000000-0005-0000-0000-000082530000}"/>
    <cellStyle name="Input 9 3 5 2" xfId="14554" xr:uid="{00000000-0005-0000-0000-000083530000}"/>
    <cellStyle name="Input 9 3 5 3" xfId="30303" xr:uid="{00000000-0005-0000-0000-000084530000}"/>
    <cellStyle name="Input 9 3 5 4" xfId="30304" xr:uid="{00000000-0005-0000-0000-000085530000}"/>
    <cellStyle name="Input 9 3 6" xfId="14555" xr:uid="{00000000-0005-0000-0000-000086530000}"/>
    <cellStyle name="Input 9 3 6 2" xfId="14556" xr:uid="{00000000-0005-0000-0000-000087530000}"/>
    <cellStyle name="Input 9 3 6 3" xfId="30305" xr:uid="{00000000-0005-0000-0000-000088530000}"/>
    <cellStyle name="Input 9 3 6 4" xfId="30306" xr:uid="{00000000-0005-0000-0000-000089530000}"/>
    <cellStyle name="Input 9 3 7" xfId="14557" xr:uid="{00000000-0005-0000-0000-00008A530000}"/>
    <cellStyle name="Input 9 3 7 2" xfId="14558" xr:uid="{00000000-0005-0000-0000-00008B530000}"/>
    <cellStyle name="Input 9 3 7 3" xfId="30307" xr:uid="{00000000-0005-0000-0000-00008C530000}"/>
    <cellStyle name="Input 9 3 7 4" xfId="30308" xr:uid="{00000000-0005-0000-0000-00008D530000}"/>
    <cellStyle name="Input 9 3 8" xfId="14559" xr:uid="{00000000-0005-0000-0000-00008E530000}"/>
    <cellStyle name="Input 9 3 9" xfId="30309" xr:uid="{00000000-0005-0000-0000-00008F530000}"/>
    <cellStyle name="Input 9 4" xfId="14560" xr:uid="{00000000-0005-0000-0000-000090530000}"/>
    <cellStyle name="Input 9 4 10" xfId="30310" xr:uid="{00000000-0005-0000-0000-000091530000}"/>
    <cellStyle name="Input 9 4 2" xfId="14561" xr:uid="{00000000-0005-0000-0000-000092530000}"/>
    <cellStyle name="Input 9 4 2 2" xfId="14562" xr:uid="{00000000-0005-0000-0000-000093530000}"/>
    <cellStyle name="Input 9 4 2 3" xfId="30311" xr:uid="{00000000-0005-0000-0000-000094530000}"/>
    <cellStyle name="Input 9 4 2 4" xfId="30312" xr:uid="{00000000-0005-0000-0000-000095530000}"/>
    <cellStyle name="Input 9 4 3" xfId="14563" xr:uid="{00000000-0005-0000-0000-000096530000}"/>
    <cellStyle name="Input 9 4 3 2" xfId="14564" xr:uid="{00000000-0005-0000-0000-000097530000}"/>
    <cellStyle name="Input 9 4 3 3" xfId="30313" xr:uid="{00000000-0005-0000-0000-000098530000}"/>
    <cellStyle name="Input 9 4 3 4" xfId="30314" xr:uid="{00000000-0005-0000-0000-000099530000}"/>
    <cellStyle name="Input 9 4 4" xfId="14565" xr:uid="{00000000-0005-0000-0000-00009A530000}"/>
    <cellStyle name="Input 9 4 4 2" xfId="14566" xr:uid="{00000000-0005-0000-0000-00009B530000}"/>
    <cellStyle name="Input 9 4 4 3" xfId="30315" xr:uid="{00000000-0005-0000-0000-00009C530000}"/>
    <cellStyle name="Input 9 4 4 4" xfId="30316" xr:uid="{00000000-0005-0000-0000-00009D530000}"/>
    <cellStyle name="Input 9 4 5" xfId="14567" xr:uid="{00000000-0005-0000-0000-00009E530000}"/>
    <cellStyle name="Input 9 4 5 2" xfId="14568" xr:uid="{00000000-0005-0000-0000-00009F530000}"/>
    <cellStyle name="Input 9 4 5 3" xfId="30317" xr:uid="{00000000-0005-0000-0000-0000A0530000}"/>
    <cellStyle name="Input 9 4 5 4" xfId="30318" xr:uid="{00000000-0005-0000-0000-0000A1530000}"/>
    <cellStyle name="Input 9 4 6" xfId="14569" xr:uid="{00000000-0005-0000-0000-0000A2530000}"/>
    <cellStyle name="Input 9 4 6 2" xfId="14570" xr:uid="{00000000-0005-0000-0000-0000A3530000}"/>
    <cellStyle name="Input 9 4 6 3" xfId="30319" xr:uid="{00000000-0005-0000-0000-0000A4530000}"/>
    <cellStyle name="Input 9 4 6 4" xfId="30320" xr:uid="{00000000-0005-0000-0000-0000A5530000}"/>
    <cellStyle name="Input 9 4 7" xfId="14571" xr:uid="{00000000-0005-0000-0000-0000A6530000}"/>
    <cellStyle name="Input 9 4 7 2" xfId="14572" xr:uid="{00000000-0005-0000-0000-0000A7530000}"/>
    <cellStyle name="Input 9 4 7 3" xfId="30321" xr:uid="{00000000-0005-0000-0000-0000A8530000}"/>
    <cellStyle name="Input 9 4 7 4" xfId="30322" xr:uid="{00000000-0005-0000-0000-0000A9530000}"/>
    <cellStyle name="Input 9 4 8" xfId="14573" xr:uid="{00000000-0005-0000-0000-0000AA530000}"/>
    <cellStyle name="Input 9 4 9" xfId="30323" xr:uid="{00000000-0005-0000-0000-0000AB530000}"/>
    <cellStyle name="Input 9 5" xfId="14574" xr:uid="{00000000-0005-0000-0000-0000AC530000}"/>
    <cellStyle name="Input 9 5 10" xfId="30324" xr:uid="{00000000-0005-0000-0000-0000AD530000}"/>
    <cellStyle name="Input 9 5 2" xfId="14575" xr:uid="{00000000-0005-0000-0000-0000AE530000}"/>
    <cellStyle name="Input 9 5 2 2" xfId="14576" xr:uid="{00000000-0005-0000-0000-0000AF530000}"/>
    <cellStyle name="Input 9 5 2 3" xfId="30325" xr:uid="{00000000-0005-0000-0000-0000B0530000}"/>
    <cellStyle name="Input 9 5 2 4" xfId="30326" xr:uid="{00000000-0005-0000-0000-0000B1530000}"/>
    <cellStyle name="Input 9 5 3" xfId="14577" xr:uid="{00000000-0005-0000-0000-0000B2530000}"/>
    <cellStyle name="Input 9 5 3 2" xfId="14578" xr:uid="{00000000-0005-0000-0000-0000B3530000}"/>
    <cellStyle name="Input 9 5 3 3" xfId="30327" xr:uid="{00000000-0005-0000-0000-0000B4530000}"/>
    <cellStyle name="Input 9 5 3 4" xfId="30328" xr:uid="{00000000-0005-0000-0000-0000B5530000}"/>
    <cellStyle name="Input 9 5 4" xfId="14579" xr:uid="{00000000-0005-0000-0000-0000B6530000}"/>
    <cellStyle name="Input 9 5 4 2" xfId="14580" xr:uid="{00000000-0005-0000-0000-0000B7530000}"/>
    <cellStyle name="Input 9 5 4 3" xfId="30329" xr:uid="{00000000-0005-0000-0000-0000B8530000}"/>
    <cellStyle name="Input 9 5 4 4" xfId="30330" xr:uid="{00000000-0005-0000-0000-0000B9530000}"/>
    <cellStyle name="Input 9 5 5" xfId="14581" xr:uid="{00000000-0005-0000-0000-0000BA530000}"/>
    <cellStyle name="Input 9 5 5 2" xfId="14582" xr:uid="{00000000-0005-0000-0000-0000BB530000}"/>
    <cellStyle name="Input 9 5 5 3" xfId="30331" xr:uid="{00000000-0005-0000-0000-0000BC530000}"/>
    <cellStyle name="Input 9 5 5 4" xfId="30332" xr:uid="{00000000-0005-0000-0000-0000BD530000}"/>
    <cellStyle name="Input 9 5 6" xfId="14583" xr:uid="{00000000-0005-0000-0000-0000BE530000}"/>
    <cellStyle name="Input 9 5 6 2" xfId="14584" xr:uid="{00000000-0005-0000-0000-0000BF530000}"/>
    <cellStyle name="Input 9 5 6 3" xfId="30333" xr:uid="{00000000-0005-0000-0000-0000C0530000}"/>
    <cellStyle name="Input 9 5 6 4" xfId="30334" xr:uid="{00000000-0005-0000-0000-0000C1530000}"/>
    <cellStyle name="Input 9 5 7" xfId="14585" xr:uid="{00000000-0005-0000-0000-0000C2530000}"/>
    <cellStyle name="Input 9 5 7 2" xfId="14586" xr:uid="{00000000-0005-0000-0000-0000C3530000}"/>
    <cellStyle name="Input 9 5 7 3" xfId="30335" xr:uid="{00000000-0005-0000-0000-0000C4530000}"/>
    <cellStyle name="Input 9 5 7 4" xfId="30336" xr:uid="{00000000-0005-0000-0000-0000C5530000}"/>
    <cellStyle name="Input 9 5 8" xfId="14587" xr:uid="{00000000-0005-0000-0000-0000C6530000}"/>
    <cellStyle name="Input 9 5 9" xfId="30337" xr:uid="{00000000-0005-0000-0000-0000C7530000}"/>
    <cellStyle name="Input 9 6" xfId="14588" xr:uid="{00000000-0005-0000-0000-0000C8530000}"/>
    <cellStyle name="Input 9 6 2" xfId="14589" xr:uid="{00000000-0005-0000-0000-0000C9530000}"/>
    <cellStyle name="Input 9 6 3" xfId="30338" xr:uid="{00000000-0005-0000-0000-0000CA530000}"/>
    <cellStyle name="Input 9 6 4" xfId="30339" xr:uid="{00000000-0005-0000-0000-0000CB530000}"/>
    <cellStyle name="Input 9 7" xfId="14590" xr:uid="{00000000-0005-0000-0000-0000CC530000}"/>
    <cellStyle name="Input 9 7 2" xfId="14591" xr:uid="{00000000-0005-0000-0000-0000CD530000}"/>
    <cellStyle name="Input 9 7 3" xfId="30340" xr:uid="{00000000-0005-0000-0000-0000CE530000}"/>
    <cellStyle name="Input 9 7 4" xfId="30341" xr:uid="{00000000-0005-0000-0000-0000CF530000}"/>
    <cellStyle name="Input 9 8" xfId="14592" xr:uid="{00000000-0005-0000-0000-0000D0530000}"/>
    <cellStyle name="Input 9 8 2" xfId="14593" xr:uid="{00000000-0005-0000-0000-0000D1530000}"/>
    <cellStyle name="Input 9 8 3" xfId="30342" xr:uid="{00000000-0005-0000-0000-0000D2530000}"/>
    <cellStyle name="Input 9 8 4" xfId="30343" xr:uid="{00000000-0005-0000-0000-0000D3530000}"/>
    <cellStyle name="Input 9 9" xfId="14594" xr:uid="{00000000-0005-0000-0000-0000D4530000}"/>
    <cellStyle name="Input 9 9 2" xfId="14595" xr:uid="{00000000-0005-0000-0000-0000D5530000}"/>
    <cellStyle name="Input 9 9 3" xfId="30344" xr:uid="{00000000-0005-0000-0000-0000D6530000}"/>
    <cellStyle name="Input 9 9 4" xfId="30345" xr:uid="{00000000-0005-0000-0000-0000D7530000}"/>
    <cellStyle name="Linked Cell 10" xfId="14596" xr:uid="{00000000-0005-0000-0000-0000D8530000}"/>
    <cellStyle name="Linked Cell 11" xfId="14597" xr:uid="{00000000-0005-0000-0000-0000D9530000}"/>
    <cellStyle name="Linked Cell 12" xfId="14598" xr:uid="{00000000-0005-0000-0000-0000DA530000}"/>
    <cellStyle name="Linked Cell 13" xfId="14599" xr:uid="{00000000-0005-0000-0000-0000DB530000}"/>
    <cellStyle name="Linked Cell 14" xfId="14600" xr:uid="{00000000-0005-0000-0000-0000DC530000}"/>
    <cellStyle name="Linked Cell 15" xfId="14601" xr:uid="{00000000-0005-0000-0000-0000DD530000}"/>
    <cellStyle name="Linked Cell 16" xfId="14602" xr:uid="{00000000-0005-0000-0000-0000DE530000}"/>
    <cellStyle name="Linked Cell 17" xfId="14603" xr:uid="{00000000-0005-0000-0000-0000DF530000}"/>
    <cellStyle name="Linked Cell 17 2" xfId="14604" xr:uid="{00000000-0005-0000-0000-0000E0530000}"/>
    <cellStyle name="Linked Cell 17 3" xfId="14605" xr:uid="{00000000-0005-0000-0000-0000E1530000}"/>
    <cellStyle name="Linked Cell 17 4" xfId="14606" xr:uid="{00000000-0005-0000-0000-0000E2530000}"/>
    <cellStyle name="Linked Cell 17 5" xfId="14607" xr:uid="{00000000-0005-0000-0000-0000E3530000}"/>
    <cellStyle name="Linked Cell 18" xfId="14608" xr:uid="{00000000-0005-0000-0000-0000E4530000}"/>
    <cellStyle name="Linked Cell 18 2" xfId="14609" xr:uid="{00000000-0005-0000-0000-0000E5530000}"/>
    <cellStyle name="Linked Cell 18 3" xfId="14610" xr:uid="{00000000-0005-0000-0000-0000E6530000}"/>
    <cellStyle name="Linked Cell 18 4" xfId="14611" xr:uid="{00000000-0005-0000-0000-0000E7530000}"/>
    <cellStyle name="Linked Cell 18 5" xfId="14612" xr:uid="{00000000-0005-0000-0000-0000E8530000}"/>
    <cellStyle name="Linked Cell 19" xfId="14613" xr:uid="{00000000-0005-0000-0000-0000E9530000}"/>
    <cellStyle name="Linked Cell 19 2" xfId="14614" xr:uid="{00000000-0005-0000-0000-0000EA530000}"/>
    <cellStyle name="Linked Cell 19 3" xfId="14615" xr:uid="{00000000-0005-0000-0000-0000EB530000}"/>
    <cellStyle name="Linked Cell 19 4" xfId="14616" xr:uid="{00000000-0005-0000-0000-0000EC530000}"/>
    <cellStyle name="Linked Cell 19 5" xfId="14617" xr:uid="{00000000-0005-0000-0000-0000ED530000}"/>
    <cellStyle name="Linked Cell 2" xfId="14618" xr:uid="{00000000-0005-0000-0000-0000EE530000}"/>
    <cellStyle name="Linked Cell 2 2" xfId="14619" xr:uid="{00000000-0005-0000-0000-0000EF530000}"/>
    <cellStyle name="Linked Cell 2 3" xfId="30346" xr:uid="{00000000-0005-0000-0000-0000F0530000}"/>
    <cellStyle name="Linked Cell 20" xfId="14620" xr:uid="{00000000-0005-0000-0000-0000F1530000}"/>
    <cellStyle name="Linked Cell 20 2" xfId="14621" xr:uid="{00000000-0005-0000-0000-0000F2530000}"/>
    <cellStyle name="Linked Cell 20 3" xfId="14622" xr:uid="{00000000-0005-0000-0000-0000F3530000}"/>
    <cellStyle name="Linked Cell 20 4" xfId="14623" xr:uid="{00000000-0005-0000-0000-0000F4530000}"/>
    <cellStyle name="Linked Cell 20 5" xfId="14624" xr:uid="{00000000-0005-0000-0000-0000F5530000}"/>
    <cellStyle name="Linked Cell 21" xfId="14625" xr:uid="{00000000-0005-0000-0000-0000F6530000}"/>
    <cellStyle name="Linked Cell 21 2" xfId="14626" xr:uid="{00000000-0005-0000-0000-0000F7530000}"/>
    <cellStyle name="Linked Cell 21 3" xfId="14627" xr:uid="{00000000-0005-0000-0000-0000F8530000}"/>
    <cellStyle name="Linked Cell 21 4" xfId="14628" xr:uid="{00000000-0005-0000-0000-0000F9530000}"/>
    <cellStyle name="Linked Cell 21 5" xfId="14629" xr:uid="{00000000-0005-0000-0000-0000FA530000}"/>
    <cellStyle name="Linked Cell 22" xfId="14630" xr:uid="{00000000-0005-0000-0000-0000FB530000}"/>
    <cellStyle name="Linked Cell 22 2" xfId="14631" xr:uid="{00000000-0005-0000-0000-0000FC530000}"/>
    <cellStyle name="Linked Cell 22 3" xfId="14632" xr:uid="{00000000-0005-0000-0000-0000FD530000}"/>
    <cellStyle name="Linked Cell 22 4" xfId="14633" xr:uid="{00000000-0005-0000-0000-0000FE530000}"/>
    <cellStyle name="Linked Cell 22 5" xfId="14634" xr:uid="{00000000-0005-0000-0000-0000FF530000}"/>
    <cellStyle name="Linked Cell 23" xfId="14635" xr:uid="{00000000-0005-0000-0000-000000540000}"/>
    <cellStyle name="Linked Cell 24" xfId="14636" xr:uid="{00000000-0005-0000-0000-000001540000}"/>
    <cellStyle name="Linked Cell 25" xfId="14637" xr:uid="{00000000-0005-0000-0000-000002540000}"/>
    <cellStyle name="Linked Cell 26" xfId="14638" xr:uid="{00000000-0005-0000-0000-000003540000}"/>
    <cellStyle name="Linked Cell 3" xfId="14639" xr:uid="{00000000-0005-0000-0000-000004540000}"/>
    <cellStyle name="Linked Cell 4" xfId="14640" xr:uid="{00000000-0005-0000-0000-000005540000}"/>
    <cellStyle name="Linked Cell 5" xfId="14641" xr:uid="{00000000-0005-0000-0000-000006540000}"/>
    <cellStyle name="Linked Cell 6" xfId="14642" xr:uid="{00000000-0005-0000-0000-000007540000}"/>
    <cellStyle name="Linked Cell 7" xfId="14643" xr:uid="{00000000-0005-0000-0000-000008540000}"/>
    <cellStyle name="Linked Cell 8" xfId="14644" xr:uid="{00000000-0005-0000-0000-000009540000}"/>
    <cellStyle name="Linked Cell 9" xfId="14645" xr:uid="{00000000-0005-0000-0000-00000A540000}"/>
    <cellStyle name="Neutral 10" xfId="14646" xr:uid="{00000000-0005-0000-0000-00000B540000}"/>
    <cellStyle name="Neutral 11" xfId="14647" xr:uid="{00000000-0005-0000-0000-00000C540000}"/>
    <cellStyle name="Neutral 12" xfId="14648" xr:uid="{00000000-0005-0000-0000-00000D540000}"/>
    <cellStyle name="Neutral 13" xfId="14649" xr:uid="{00000000-0005-0000-0000-00000E540000}"/>
    <cellStyle name="Neutral 14" xfId="14650" xr:uid="{00000000-0005-0000-0000-00000F540000}"/>
    <cellStyle name="Neutral 15" xfId="14651" xr:uid="{00000000-0005-0000-0000-000010540000}"/>
    <cellStyle name="Neutral 16" xfId="14652" xr:uid="{00000000-0005-0000-0000-000011540000}"/>
    <cellStyle name="Neutral 17" xfId="14653" xr:uid="{00000000-0005-0000-0000-000012540000}"/>
    <cellStyle name="Neutral 17 2" xfId="14654" xr:uid="{00000000-0005-0000-0000-000013540000}"/>
    <cellStyle name="Neutral 17 3" xfId="14655" xr:uid="{00000000-0005-0000-0000-000014540000}"/>
    <cellStyle name="Neutral 17 4" xfId="14656" xr:uid="{00000000-0005-0000-0000-000015540000}"/>
    <cellStyle name="Neutral 17 5" xfId="14657" xr:uid="{00000000-0005-0000-0000-000016540000}"/>
    <cellStyle name="Neutral 18" xfId="14658" xr:uid="{00000000-0005-0000-0000-000017540000}"/>
    <cellStyle name="Neutral 18 2" xfId="14659" xr:uid="{00000000-0005-0000-0000-000018540000}"/>
    <cellStyle name="Neutral 18 3" xfId="14660" xr:uid="{00000000-0005-0000-0000-000019540000}"/>
    <cellStyle name="Neutral 18 4" xfId="14661" xr:uid="{00000000-0005-0000-0000-00001A540000}"/>
    <cellStyle name="Neutral 18 5" xfId="14662" xr:uid="{00000000-0005-0000-0000-00001B540000}"/>
    <cellStyle name="Neutral 19" xfId="14663" xr:uid="{00000000-0005-0000-0000-00001C540000}"/>
    <cellStyle name="Neutral 19 2" xfId="14664" xr:uid="{00000000-0005-0000-0000-00001D540000}"/>
    <cellStyle name="Neutral 19 3" xfId="14665" xr:uid="{00000000-0005-0000-0000-00001E540000}"/>
    <cellStyle name="Neutral 19 4" xfId="14666" xr:uid="{00000000-0005-0000-0000-00001F540000}"/>
    <cellStyle name="Neutral 19 5" xfId="14667" xr:uid="{00000000-0005-0000-0000-000020540000}"/>
    <cellStyle name="Neutral 2" xfId="14668" xr:uid="{00000000-0005-0000-0000-000021540000}"/>
    <cellStyle name="Neutral 2 2" xfId="14669" xr:uid="{00000000-0005-0000-0000-000022540000}"/>
    <cellStyle name="Neutral 2 3" xfId="30347" xr:uid="{00000000-0005-0000-0000-000023540000}"/>
    <cellStyle name="Neutral 20" xfId="14670" xr:uid="{00000000-0005-0000-0000-000024540000}"/>
    <cellStyle name="Neutral 20 2" xfId="14671" xr:uid="{00000000-0005-0000-0000-000025540000}"/>
    <cellStyle name="Neutral 20 3" xfId="14672" xr:uid="{00000000-0005-0000-0000-000026540000}"/>
    <cellStyle name="Neutral 20 4" xfId="14673" xr:uid="{00000000-0005-0000-0000-000027540000}"/>
    <cellStyle name="Neutral 20 5" xfId="14674" xr:uid="{00000000-0005-0000-0000-000028540000}"/>
    <cellStyle name="Neutral 21" xfId="14675" xr:uid="{00000000-0005-0000-0000-000029540000}"/>
    <cellStyle name="Neutral 21 2" xfId="14676" xr:uid="{00000000-0005-0000-0000-00002A540000}"/>
    <cellStyle name="Neutral 21 3" xfId="14677" xr:uid="{00000000-0005-0000-0000-00002B540000}"/>
    <cellStyle name="Neutral 21 4" xfId="14678" xr:uid="{00000000-0005-0000-0000-00002C540000}"/>
    <cellStyle name="Neutral 21 5" xfId="14679" xr:uid="{00000000-0005-0000-0000-00002D540000}"/>
    <cellStyle name="Neutral 22" xfId="14680" xr:uid="{00000000-0005-0000-0000-00002E540000}"/>
    <cellStyle name="Neutral 22 2" xfId="14681" xr:uid="{00000000-0005-0000-0000-00002F540000}"/>
    <cellStyle name="Neutral 22 3" xfId="14682" xr:uid="{00000000-0005-0000-0000-000030540000}"/>
    <cellStyle name="Neutral 22 4" xfId="14683" xr:uid="{00000000-0005-0000-0000-000031540000}"/>
    <cellStyle name="Neutral 22 5" xfId="14684" xr:uid="{00000000-0005-0000-0000-000032540000}"/>
    <cellStyle name="Neutral 23" xfId="14685" xr:uid="{00000000-0005-0000-0000-000033540000}"/>
    <cellStyle name="Neutral 24" xfId="14686" xr:uid="{00000000-0005-0000-0000-000034540000}"/>
    <cellStyle name="Neutral 25" xfId="14687" xr:uid="{00000000-0005-0000-0000-000035540000}"/>
    <cellStyle name="Neutral 26" xfId="14688" xr:uid="{00000000-0005-0000-0000-000036540000}"/>
    <cellStyle name="Neutral 3" xfId="14689" xr:uid="{00000000-0005-0000-0000-000037540000}"/>
    <cellStyle name="Neutral 4" xfId="14690" xr:uid="{00000000-0005-0000-0000-000038540000}"/>
    <cellStyle name="Neutral 5" xfId="14691" xr:uid="{00000000-0005-0000-0000-000039540000}"/>
    <cellStyle name="Neutral 6" xfId="14692" xr:uid="{00000000-0005-0000-0000-00003A540000}"/>
    <cellStyle name="Neutral 7" xfId="14693" xr:uid="{00000000-0005-0000-0000-00003B540000}"/>
    <cellStyle name="Neutral 8" xfId="14694" xr:uid="{00000000-0005-0000-0000-00003C540000}"/>
    <cellStyle name="Neutral 9" xfId="14695" xr:uid="{00000000-0005-0000-0000-00003D540000}"/>
    <cellStyle name="Normal" xfId="0" builtinId="0"/>
    <cellStyle name="Normal - Style1" xfId="14696" xr:uid="{00000000-0005-0000-0000-00003F540000}"/>
    <cellStyle name="Normal 10" xfId="17" xr:uid="{00000000-0005-0000-0000-000040540000}"/>
    <cellStyle name="Normal 10 10" xfId="30348" xr:uid="{00000000-0005-0000-0000-000041540000}"/>
    <cellStyle name="Normal 10 2" xfId="14697" xr:uid="{00000000-0005-0000-0000-000042540000}"/>
    <cellStyle name="Normal 10 2 2" xfId="14698" xr:uid="{00000000-0005-0000-0000-000043540000}"/>
    <cellStyle name="Normal 10 2 2 2" xfId="14699" xr:uid="{00000000-0005-0000-0000-000044540000}"/>
    <cellStyle name="Normal 10 2 2 3" xfId="14700" xr:uid="{00000000-0005-0000-0000-000045540000}"/>
    <cellStyle name="Normal 10 2 3" xfId="14701" xr:uid="{00000000-0005-0000-0000-000046540000}"/>
    <cellStyle name="Normal 10 2 4" xfId="14702" xr:uid="{00000000-0005-0000-0000-000047540000}"/>
    <cellStyle name="Normal 10 2 5" xfId="14703" xr:uid="{00000000-0005-0000-0000-000048540000}"/>
    <cellStyle name="Normal 10 2 6" xfId="30349" xr:uid="{00000000-0005-0000-0000-000049540000}"/>
    <cellStyle name="Normal 10 3" xfId="14704" xr:uid="{00000000-0005-0000-0000-00004A540000}"/>
    <cellStyle name="Normal 10 3 2" xfId="14705" xr:uid="{00000000-0005-0000-0000-00004B540000}"/>
    <cellStyle name="Normal 10 3 3" xfId="14706" xr:uid="{00000000-0005-0000-0000-00004C540000}"/>
    <cellStyle name="Normal 10 3 4" xfId="14707" xr:uid="{00000000-0005-0000-0000-00004D540000}"/>
    <cellStyle name="Normal 10 4" xfId="14708" xr:uid="{00000000-0005-0000-0000-00004E540000}"/>
    <cellStyle name="Normal 10 4 2" xfId="14709" xr:uid="{00000000-0005-0000-0000-00004F540000}"/>
    <cellStyle name="Normal 10 4 3" xfId="14710" xr:uid="{00000000-0005-0000-0000-000050540000}"/>
    <cellStyle name="Normal 10 5" xfId="14711" xr:uid="{00000000-0005-0000-0000-000051540000}"/>
    <cellStyle name="Normal 10 6" xfId="14712" xr:uid="{00000000-0005-0000-0000-000052540000}"/>
    <cellStyle name="Normal 10 7" xfId="14713" xr:uid="{00000000-0005-0000-0000-000053540000}"/>
    <cellStyle name="Normal 10 8" xfId="14714" xr:uid="{00000000-0005-0000-0000-000054540000}"/>
    <cellStyle name="Normal 10 9" xfId="14715" xr:uid="{00000000-0005-0000-0000-000055540000}"/>
    <cellStyle name="Normal 11" xfId="14716" xr:uid="{00000000-0005-0000-0000-000056540000}"/>
    <cellStyle name="Normal 11 2" xfId="14717" xr:uid="{00000000-0005-0000-0000-000057540000}"/>
    <cellStyle name="Normal 11 2 2" xfId="14718" xr:uid="{00000000-0005-0000-0000-000058540000}"/>
    <cellStyle name="Normal 11 3" xfId="14719" xr:uid="{00000000-0005-0000-0000-000059540000}"/>
    <cellStyle name="Normal 11 3 2" xfId="14720" xr:uid="{00000000-0005-0000-0000-00005A540000}"/>
    <cellStyle name="Normal 11 4" xfId="14721" xr:uid="{00000000-0005-0000-0000-00005B540000}"/>
    <cellStyle name="Normal 11 5" xfId="14722" xr:uid="{00000000-0005-0000-0000-00005C540000}"/>
    <cellStyle name="Normal 11 6" xfId="25" xr:uid="{00000000-0005-0000-0000-00005D540000}"/>
    <cellStyle name="Normal 11 7" xfId="14723" xr:uid="{00000000-0005-0000-0000-00005E540000}"/>
    <cellStyle name="Normal 114" xfId="37572" xr:uid="{00000000-0005-0000-0000-00005F540000}"/>
    <cellStyle name="Normal 12" xfId="14724" xr:uid="{00000000-0005-0000-0000-000060540000}"/>
    <cellStyle name="Normal 12 2" xfId="14725" xr:uid="{00000000-0005-0000-0000-000061540000}"/>
    <cellStyle name="Normal 12 2 2" xfId="14726" xr:uid="{00000000-0005-0000-0000-000062540000}"/>
    <cellStyle name="Normal 12 2 3" xfId="14727" xr:uid="{00000000-0005-0000-0000-000063540000}"/>
    <cellStyle name="Normal 12 2 4" xfId="14728" xr:uid="{00000000-0005-0000-0000-000064540000}"/>
    <cellStyle name="Normal 12 3" xfId="14729" xr:uid="{00000000-0005-0000-0000-000065540000}"/>
    <cellStyle name="Normal 12 3 2" xfId="14730" xr:uid="{00000000-0005-0000-0000-000066540000}"/>
    <cellStyle name="Normal 12 3 3" xfId="14731" xr:uid="{00000000-0005-0000-0000-000067540000}"/>
    <cellStyle name="Normal 12 4" xfId="14732" xr:uid="{00000000-0005-0000-0000-000068540000}"/>
    <cellStyle name="Normal 12 4 2" xfId="14733" xr:uid="{00000000-0005-0000-0000-000069540000}"/>
    <cellStyle name="Normal 12 4 3" xfId="14734" xr:uid="{00000000-0005-0000-0000-00006A540000}"/>
    <cellStyle name="Normal 12 5" xfId="14735" xr:uid="{00000000-0005-0000-0000-00006B540000}"/>
    <cellStyle name="Normal 12 6" xfId="14736" xr:uid="{00000000-0005-0000-0000-00006C540000}"/>
    <cellStyle name="Normal 12 7" xfId="14737" xr:uid="{00000000-0005-0000-0000-00006D540000}"/>
    <cellStyle name="Normal 12 8" xfId="30350" xr:uid="{00000000-0005-0000-0000-00006E540000}"/>
    <cellStyle name="Normal 13" xfId="14738" xr:uid="{00000000-0005-0000-0000-00006F540000}"/>
    <cellStyle name="Normal 13 2" xfId="14739" xr:uid="{00000000-0005-0000-0000-000070540000}"/>
    <cellStyle name="Normal 13 2 2" xfId="14740" xr:uid="{00000000-0005-0000-0000-000071540000}"/>
    <cellStyle name="Normal 13 3" xfId="14741" xr:uid="{00000000-0005-0000-0000-000072540000}"/>
    <cellStyle name="Normal 13 3 2" xfId="14742" xr:uid="{00000000-0005-0000-0000-000073540000}"/>
    <cellStyle name="Normal 13 4" xfId="14743" xr:uid="{00000000-0005-0000-0000-000074540000}"/>
    <cellStyle name="Normal 14" xfId="14744" xr:uid="{00000000-0005-0000-0000-000075540000}"/>
    <cellStyle name="Normal 14 2" xfId="14745" xr:uid="{00000000-0005-0000-0000-000076540000}"/>
    <cellStyle name="Normal 14 2 2" xfId="14746" xr:uid="{00000000-0005-0000-0000-000077540000}"/>
    <cellStyle name="Normal 14 3" xfId="14747" xr:uid="{00000000-0005-0000-0000-000078540000}"/>
    <cellStyle name="Normal 14 4" xfId="14748" xr:uid="{00000000-0005-0000-0000-000079540000}"/>
    <cellStyle name="Normal 14 5" xfId="14749" xr:uid="{00000000-0005-0000-0000-00007A540000}"/>
    <cellStyle name="Normal 14 6" xfId="14750" xr:uid="{00000000-0005-0000-0000-00007B540000}"/>
    <cellStyle name="Normal 15" xfId="14751" xr:uid="{00000000-0005-0000-0000-00007C540000}"/>
    <cellStyle name="Normal 15 10" xfId="14752" xr:uid="{00000000-0005-0000-0000-00007D540000}"/>
    <cellStyle name="Normal 15 11" xfId="14753" xr:uid="{00000000-0005-0000-0000-00007E540000}"/>
    <cellStyle name="Normal 15 12" xfId="14754" xr:uid="{00000000-0005-0000-0000-00007F540000}"/>
    <cellStyle name="Normal 15 2" xfId="14755" xr:uid="{00000000-0005-0000-0000-000080540000}"/>
    <cellStyle name="Normal 15 3" xfId="14756" xr:uid="{00000000-0005-0000-0000-000081540000}"/>
    <cellStyle name="Normal 15 4" xfId="14757" xr:uid="{00000000-0005-0000-0000-000082540000}"/>
    <cellStyle name="Normal 15 5" xfId="14758" xr:uid="{00000000-0005-0000-0000-000083540000}"/>
    <cellStyle name="Normal 15 6" xfId="14759" xr:uid="{00000000-0005-0000-0000-000084540000}"/>
    <cellStyle name="Normal 15 7" xfId="14760" xr:uid="{00000000-0005-0000-0000-000085540000}"/>
    <cellStyle name="Normal 15 8" xfId="14761" xr:uid="{00000000-0005-0000-0000-000086540000}"/>
    <cellStyle name="Normal 15 9" xfId="14762" xr:uid="{00000000-0005-0000-0000-000087540000}"/>
    <cellStyle name="Normal 16" xfId="14763" xr:uid="{00000000-0005-0000-0000-000088540000}"/>
    <cellStyle name="Normal 16 2" xfId="14764" xr:uid="{00000000-0005-0000-0000-000089540000}"/>
    <cellStyle name="Normal 16 3" xfId="14765" xr:uid="{00000000-0005-0000-0000-00008A540000}"/>
    <cellStyle name="Normal 16 4" xfId="14766" xr:uid="{00000000-0005-0000-0000-00008B540000}"/>
    <cellStyle name="Normal 16 5" xfId="14767" xr:uid="{00000000-0005-0000-0000-00008C540000}"/>
    <cellStyle name="Normal 16 6" xfId="14768" xr:uid="{00000000-0005-0000-0000-00008D540000}"/>
    <cellStyle name="Normal 17" xfId="14769" xr:uid="{00000000-0005-0000-0000-00008E540000}"/>
    <cellStyle name="Normal 17 2" xfId="14770" xr:uid="{00000000-0005-0000-0000-00008F540000}"/>
    <cellStyle name="Normal 17 3" xfId="14771" xr:uid="{00000000-0005-0000-0000-000090540000}"/>
    <cellStyle name="Normal 17 4" xfId="14772" xr:uid="{00000000-0005-0000-0000-000091540000}"/>
    <cellStyle name="Normal 17 5" xfId="14773" xr:uid="{00000000-0005-0000-0000-000092540000}"/>
    <cellStyle name="Normal 17 6" xfId="14774" xr:uid="{00000000-0005-0000-0000-000093540000}"/>
    <cellStyle name="Normal 18" xfId="14775" xr:uid="{00000000-0005-0000-0000-000094540000}"/>
    <cellStyle name="Normal 18 2" xfId="14776" xr:uid="{00000000-0005-0000-0000-000095540000}"/>
    <cellStyle name="Normal 18 3" xfId="14777" xr:uid="{00000000-0005-0000-0000-000096540000}"/>
    <cellStyle name="Normal 18 4" xfId="14778" xr:uid="{00000000-0005-0000-0000-000097540000}"/>
    <cellStyle name="Normal 18 5" xfId="14779" xr:uid="{00000000-0005-0000-0000-000098540000}"/>
    <cellStyle name="Normal 19" xfId="14780" xr:uid="{00000000-0005-0000-0000-000099540000}"/>
    <cellStyle name="Normal 19 2" xfId="14781" xr:uid="{00000000-0005-0000-0000-00009A540000}"/>
    <cellStyle name="Normal 19 3" xfId="14782" xr:uid="{00000000-0005-0000-0000-00009B540000}"/>
    <cellStyle name="Normal 19 4" xfId="14783" xr:uid="{00000000-0005-0000-0000-00009C540000}"/>
    <cellStyle name="Normal 19 5" xfId="14784" xr:uid="{00000000-0005-0000-0000-00009D540000}"/>
    <cellStyle name="Normal 19 6" xfId="14785" xr:uid="{00000000-0005-0000-0000-00009E540000}"/>
    <cellStyle name="Normal 2" xfId="15" xr:uid="{00000000-0005-0000-0000-00009F540000}"/>
    <cellStyle name="Normal 2 10" xfId="14786" xr:uid="{00000000-0005-0000-0000-0000A0540000}"/>
    <cellStyle name="Normal 2 11" xfId="14787" xr:uid="{00000000-0005-0000-0000-0000A1540000}"/>
    <cellStyle name="Normal 2 12" xfId="14788" xr:uid="{00000000-0005-0000-0000-0000A2540000}"/>
    <cellStyle name="Normal 2 13" xfId="14789" xr:uid="{00000000-0005-0000-0000-0000A3540000}"/>
    <cellStyle name="Normal 2 14" xfId="14790" xr:uid="{00000000-0005-0000-0000-0000A4540000}"/>
    <cellStyle name="Normal 2 15" xfId="14791" xr:uid="{00000000-0005-0000-0000-0000A5540000}"/>
    <cellStyle name="Normal 2 16" xfId="14792" xr:uid="{00000000-0005-0000-0000-0000A6540000}"/>
    <cellStyle name="Normal 2 17" xfId="14793" xr:uid="{00000000-0005-0000-0000-0000A7540000}"/>
    <cellStyle name="Normal 2 18" xfId="14794" xr:uid="{00000000-0005-0000-0000-0000A8540000}"/>
    <cellStyle name="Normal 2 19" xfId="14795" xr:uid="{00000000-0005-0000-0000-0000A9540000}"/>
    <cellStyle name="Normal 2 2" xfId="26" xr:uid="{00000000-0005-0000-0000-0000AA540000}"/>
    <cellStyle name="Normal 2 2 10" xfId="14796" xr:uid="{00000000-0005-0000-0000-0000AB540000}"/>
    <cellStyle name="Normal 2 2 10 2" xfId="14797" xr:uid="{00000000-0005-0000-0000-0000AC540000}"/>
    <cellStyle name="Normal 2 2 100" xfId="14798" xr:uid="{00000000-0005-0000-0000-0000AD540000}"/>
    <cellStyle name="Normal 2 2 101" xfId="14799" xr:uid="{00000000-0005-0000-0000-0000AE540000}"/>
    <cellStyle name="Normal 2 2 102" xfId="14800" xr:uid="{00000000-0005-0000-0000-0000AF540000}"/>
    <cellStyle name="Normal 2 2 103" xfId="14801" xr:uid="{00000000-0005-0000-0000-0000B0540000}"/>
    <cellStyle name="Normal 2 2 104" xfId="14802" xr:uid="{00000000-0005-0000-0000-0000B1540000}"/>
    <cellStyle name="Normal 2 2 105" xfId="14803" xr:uid="{00000000-0005-0000-0000-0000B2540000}"/>
    <cellStyle name="Normal 2 2 106" xfId="14804" xr:uid="{00000000-0005-0000-0000-0000B3540000}"/>
    <cellStyle name="Normal 2 2 107" xfId="14805" xr:uid="{00000000-0005-0000-0000-0000B4540000}"/>
    <cellStyle name="Normal 2 2 108" xfId="14806" xr:uid="{00000000-0005-0000-0000-0000B5540000}"/>
    <cellStyle name="Normal 2 2 109" xfId="14807" xr:uid="{00000000-0005-0000-0000-0000B6540000}"/>
    <cellStyle name="Normal 2 2 11" xfId="14808" xr:uid="{00000000-0005-0000-0000-0000B7540000}"/>
    <cellStyle name="Normal 2 2 12" xfId="14809" xr:uid="{00000000-0005-0000-0000-0000B8540000}"/>
    <cellStyle name="Normal 2 2 13" xfId="14810" xr:uid="{00000000-0005-0000-0000-0000B9540000}"/>
    <cellStyle name="Normal 2 2 14" xfId="14811" xr:uid="{00000000-0005-0000-0000-0000BA540000}"/>
    <cellStyle name="Normal 2 2 15" xfId="14812" xr:uid="{00000000-0005-0000-0000-0000BB540000}"/>
    <cellStyle name="Normal 2 2 16" xfId="14813" xr:uid="{00000000-0005-0000-0000-0000BC540000}"/>
    <cellStyle name="Normal 2 2 17" xfId="14814" xr:uid="{00000000-0005-0000-0000-0000BD540000}"/>
    <cellStyle name="Normal 2 2 18" xfId="14815" xr:uid="{00000000-0005-0000-0000-0000BE540000}"/>
    <cellStyle name="Normal 2 2 19" xfId="14816" xr:uid="{00000000-0005-0000-0000-0000BF540000}"/>
    <cellStyle name="Normal 2 2 2" xfId="14817" xr:uid="{00000000-0005-0000-0000-0000C0540000}"/>
    <cellStyle name="Normal 2 2 2 10" xfId="14818" xr:uid="{00000000-0005-0000-0000-0000C1540000}"/>
    <cellStyle name="Normal 2 2 2 11" xfId="14819" xr:uid="{00000000-0005-0000-0000-0000C2540000}"/>
    <cellStyle name="Normal 2 2 2 12" xfId="14820" xr:uid="{00000000-0005-0000-0000-0000C3540000}"/>
    <cellStyle name="Normal 2 2 2 13" xfId="14821" xr:uid="{00000000-0005-0000-0000-0000C4540000}"/>
    <cellStyle name="Normal 2 2 2 13 2" xfId="14822" xr:uid="{00000000-0005-0000-0000-0000C5540000}"/>
    <cellStyle name="Normal 2 2 2 13 3" xfId="14823" xr:uid="{00000000-0005-0000-0000-0000C6540000}"/>
    <cellStyle name="Normal 2 2 2 13 4" xfId="14824" xr:uid="{00000000-0005-0000-0000-0000C7540000}"/>
    <cellStyle name="Normal 2 2 2 13 5" xfId="14825" xr:uid="{00000000-0005-0000-0000-0000C8540000}"/>
    <cellStyle name="Normal 2 2 2 13 6" xfId="14826" xr:uid="{00000000-0005-0000-0000-0000C9540000}"/>
    <cellStyle name="Normal 2 2 2 13 7" xfId="14827" xr:uid="{00000000-0005-0000-0000-0000CA540000}"/>
    <cellStyle name="Normal 2 2 2 14" xfId="14828" xr:uid="{00000000-0005-0000-0000-0000CB540000}"/>
    <cellStyle name="Normal 2 2 2 15" xfId="14829" xr:uid="{00000000-0005-0000-0000-0000CC540000}"/>
    <cellStyle name="Normal 2 2 2 16" xfId="14830" xr:uid="{00000000-0005-0000-0000-0000CD540000}"/>
    <cellStyle name="Normal 2 2 2 17" xfId="14831" xr:uid="{00000000-0005-0000-0000-0000CE540000}"/>
    <cellStyle name="Normal 2 2 2 18" xfId="14832" xr:uid="{00000000-0005-0000-0000-0000CF540000}"/>
    <cellStyle name="Normal 2 2 2 19" xfId="14833" xr:uid="{00000000-0005-0000-0000-0000D0540000}"/>
    <cellStyle name="Normal 2 2 2 19 2" xfId="14834" xr:uid="{00000000-0005-0000-0000-0000D1540000}"/>
    <cellStyle name="Normal 2 2 2 19 3" xfId="14835" xr:uid="{00000000-0005-0000-0000-0000D2540000}"/>
    <cellStyle name="Normal 2 2 2 2" xfId="14836" xr:uid="{00000000-0005-0000-0000-0000D3540000}"/>
    <cellStyle name="Normal 2 2 2 2 10" xfId="14837" xr:uid="{00000000-0005-0000-0000-0000D4540000}"/>
    <cellStyle name="Normal 2 2 2 2 2" xfId="14838" xr:uid="{00000000-0005-0000-0000-0000D5540000}"/>
    <cellStyle name="Normal 2 2 2 2 2 2" xfId="14839" xr:uid="{00000000-0005-0000-0000-0000D6540000}"/>
    <cellStyle name="Normal 2 2 2 2 2 2 2" xfId="14840" xr:uid="{00000000-0005-0000-0000-0000D7540000}"/>
    <cellStyle name="Normal 2 2 2 2 2 2 2 2" xfId="14841" xr:uid="{00000000-0005-0000-0000-0000D8540000}"/>
    <cellStyle name="Normal 2 2 2 2 2 2 2 2 2" xfId="14842" xr:uid="{00000000-0005-0000-0000-0000D9540000}"/>
    <cellStyle name="Normal 2 2 2 2 2 2 2 2 3" xfId="14843" xr:uid="{00000000-0005-0000-0000-0000DA540000}"/>
    <cellStyle name="Normal 2 2 2 2 2 2 2 3" xfId="14844" xr:uid="{00000000-0005-0000-0000-0000DB540000}"/>
    <cellStyle name="Normal 2 2 2 2 2 2 2 4" xfId="14845" xr:uid="{00000000-0005-0000-0000-0000DC540000}"/>
    <cellStyle name="Normal 2 2 2 2 2 2 3" xfId="14846" xr:uid="{00000000-0005-0000-0000-0000DD540000}"/>
    <cellStyle name="Normal 2 2 2 2 2 2 4" xfId="14847" xr:uid="{00000000-0005-0000-0000-0000DE540000}"/>
    <cellStyle name="Normal 2 2 2 2 2 2 5" xfId="14848" xr:uid="{00000000-0005-0000-0000-0000DF540000}"/>
    <cellStyle name="Normal 2 2 2 2 2 2 6" xfId="14849" xr:uid="{00000000-0005-0000-0000-0000E0540000}"/>
    <cellStyle name="Normal 2 2 2 2 2 2 7" xfId="14850" xr:uid="{00000000-0005-0000-0000-0000E1540000}"/>
    <cellStyle name="Normal 2 2 2 2 2 2 8" xfId="14851" xr:uid="{00000000-0005-0000-0000-0000E2540000}"/>
    <cellStyle name="Normal 2 2 2 2 2 2 8 2" xfId="14852" xr:uid="{00000000-0005-0000-0000-0000E3540000}"/>
    <cellStyle name="Normal 2 2 2 2 2 2 8 3" xfId="14853" xr:uid="{00000000-0005-0000-0000-0000E4540000}"/>
    <cellStyle name="Normal 2 2 2 2 2 2 9" xfId="14854" xr:uid="{00000000-0005-0000-0000-0000E5540000}"/>
    <cellStyle name="Normal 2 2 2 2 2 3" xfId="14855" xr:uid="{00000000-0005-0000-0000-0000E6540000}"/>
    <cellStyle name="Normal 2 2 2 2 2 4" xfId="14856" xr:uid="{00000000-0005-0000-0000-0000E7540000}"/>
    <cellStyle name="Normal 2 2 2 2 2 5" xfId="14857" xr:uid="{00000000-0005-0000-0000-0000E8540000}"/>
    <cellStyle name="Normal 2 2 2 2 2 6" xfId="14858" xr:uid="{00000000-0005-0000-0000-0000E9540000}"/>
    <cellStyle name="Normal 2 2 2 2 2 7" xfId="14859" xr:uid="{00000000-0005-0000-0000-0000EA540000}"/>
    <cellStyle name="Normal 2 2 2 2 2 8" xfId="14860" xr:uid="{00000000-0005-0000-0000-0000EB540000}"/>
    <cellStyle name="Normal 2 2 2 2 2 8 2" xfId="14861" xr:uid="{00000000-0005-0000-0000-0000EC540000}"/>
    <cellStyle name="Normal 2 2 2 2 2 8 3" xfId="14862" xr:uid="{00000000-0005-0000-0000-0000ED540000}"/>
    <cellStyle name="Normal 2 2 2 2 2 9" xfId="14863" xr:uid="{00000000-0005-0000-0000-0000EE540000}"/>
    <cellStyle name="Normal 2 2 2 2 3" xfId="14864" xr:uid="{00000000-0005-0000-0000-0000EF540000}"/>
    <cellStyle name="Normal 2 2 2 2 4" xfId="14865" xr:uid="{00000000-0005-0000-0000-0000F0540000}"/>
    <cellStyle name="Normal 2 2 2 2 5" xfId="14866" xr:uid="{00000000-0005-0000-0000-0000F1540000}"/>
    <cellStyle name="Normal 2 2 2 2 6" xfId="14867" xr:uid="{00000000-0005-0000-0000-0000F2540000}"/>
    <cellStyle name="Normal 2 2 2 2 7" xfId="14868" xr:uid="{00000000-0005-0000-0000-0000F3540000}"/>
    <cellStyle name="Normal 2 2 2 2 8" xfId="14869" xr:uid="{00000000-0005-0000-0000-0000F4540000}"/>
    <cellStyle name="Normal 2 2 2 2 9" xfId="14870" xr:uid="{00000000-0005-0000-0000-0000F5540000}"/>
    <cellStyle name="Normal 2 2 2 2 9 2" xfId="14871" xr:uid="{00000000-0005-0000-0000-0000F6540000}"/>
    <cellStyle name="Normal 2 2 2 2 9 3" xfId="14872" xr:uid="{00000000-0005-0000-0000-0000F7540000}"/>
    <cellStyle name="Normal 2 2 2 20" xfId="14873" xr:uid="{00000000-0005-0000-0000-0000F8540000}"/>
    <cellStyle name="Normal 2 2 2 21" xfId="14874" xr:uid="{00000000-0005-0000-0000-0000F9540000}"/>
    <cellStyle name="Normal 2 2 2 3" xfId="14875" xr:uid="{00000000-0005-0000-0000-0000FA540000}"/>
    <cellStyle name="Normal 2 2 2 4" xfId="14876" xr:uid="{00000000-0005-0000-0000-0000FB540000}"/>
    <cellStyle name="Normal 2 2 2 5" xfId="14877" xr:uid="{00000000-0005-0000-0000-0000FC540000}"/>
    <cellStyle name="Normal 2 2 2 6" xfId="14878" xr:uid="{00000000-0005-0000-0000-0000FD540000}"/>
    <cellStyle name="Normal 2 2 2 7" xfId="14879" xr:uid="{00000000-0005-0000-0000-0000FE540000}"/>
    <cellStyle name="Normal 2 2 2 8" xfId="14880" xr:uid="{00000000-0005-0000-0000-0000FF540000}"/>
    <cellStyle name="Normal 2 2 2 9" xfId="14881" xr:uid="{00000000-0005-0000-0000-000000550000}"/>
    <cellStyle name="Normal 2 2 20" xfId="14882" xr:uid="{00000000-0005-0000-0000-000001550000}"/>
    <cellStyle name="Normal 2 2 21" xfId="14883" xr:uid="{00000000-0005-0000-0000-000002550000}"/>
    <cellStyle name="Normal 2 2 22" xfId="14884" xr:uid="{00000000-0005-0000-0000-000003550000}"/>
    <cellStyle name="Normal 2 2 23" xfId="14885" xr:uid="{00000000-0005-0000-0000-000004550000}"/>
    <cellStyle name="Normal 2 2 23 2" xfId="14886" xr:uid="{00000000-0005-0000-0000-000005550000}"/>
    <cellStyle name="Normal 2 2 23 2 2" xfId="14887" xr:uid="{00000000-0005-0000-0000-000006550000}"/>
    <cellStyle name="Normal 2 2 23 2 2 2" xfId="14888" xr:uid="{00000000-0005-0000-0000-000007550000}"/>
    <cellStyle name="Normal 2 2 23 2 2 3" xfId="14889" xr:uid="{00000000-0005-0000-0000-000008550000}"/>
    <cellStyle name="Normal 2 2 23 2 2 4" xfId="14890" xr:uid="{00000000-0005-0000-0000-000009550000}"/>
    <cellStyle name="Normal 2 2 23 2 2 5" xfId="14891" xr:uid="{00000000-0005-0000-0000-00000A550000}"/>
    <cellStyle name="Normal 2 2 23 2 2 6" xfId="14892" xr:uid="{00000000-0005-0000-0000-00000B550000}"/>
    <cellStyle name="Normal 2 2 23 2 2 7" xfId="14893" xr:uid="{00000000-0005-0000-0000-00000C550000}"/>
    <cellStyle name="Normal 2 2 23 2 3" xfId="14894" xr:uid="{00000000-0005-0000-0000-00000D550000}"/>
    <cellStyle name="Normal 2 2 23 2 4" xfId="14895" xr:uid="{00000000-0005-0000-0000-00000E550000}"/>
    <cellStyle name="Normal 2 2 23 2 5" xfId="14896" xr:uid="{00000000-0005-0000-0000-00000F550000}"/>
    <cellStyle name="Normal 2 2 23 2 6" xfId="14897" xr:uid="{00000000-0005-0000-0000-000010550000}"/>
    <cellStyle name="Normal 2 2 23 2 7" xfId="14898" xr:uid="{00000000-0005-0000-0000-000011550000}"/>
    <cellStyle name="Normal 2 2 23 3" xfId="14899" xr:uid="{00000000-0005-0000-0000-000012550000}"/>
    <cellStyle name="Normal 2 2 23 4" xfId="14900" xr:uid="{00000000-0005-0000-0000-000013550000}"/>
    <cellStyle name="Normal 2 2 23 5" xfId="14901" xr:uid="{00000000-0005-0000-0000-000014550000}"/>
    <cellStyle name="Normal 2 2 23 6" xfId="14902" xr:uid="{00000000-0005-0000-0000-000015550000}"/>
    <cellStyle name="Normal 2 2 23 7" xfId="14903" xr:uid="{00000000-0005-0000-0000-000016550000}"/>
    <cellStyle name="Normal 2 2 23 8" xfId="14904" xr:uid="{00000000-0005-0000-0000-000017550000}"/>
    <cellStyle name="Normal 2 2 24" xfId="14905" xr:uid="{00000000-0005-0000-0000-000018550000}"/>
    <cellStyle name="Normal 2 2 25" xfId="14906" xr:uid="{00000000-0005-0000-0000-000019550000}"/>
    <cellStyle name="Normal 2 2 26" xfId="14907" xr:uid="{00000000-0005-0000-0000-00001A550000}"/>
    <cellStyle name="Normal 2 2 27" xfId="14908" xr:uid="{00000000-0005-0000-0000-00001B550000}"/>
    <cellStyle name="Normal 2 2 28" xfId="14909" xr:uid="{00000000-0005-0000-0000-00001C550000}"/>
    <cellStyle name="Normal 2 2 29" xfId="14910" xr:uid="{00000000-0005-0000-0000-00001D550000}"/>
    <cellStyle name="Normal 2 2 3" xfId="14911" xr:uid="{00000000-0005-0000-0000-00001E550000}"/>
    <cellStyle name="Normal 2 2 3 2" xfId="14912" xr:uid="{00000000-0005-0000-0000-00001F550000}"/>
    <cellStyle name="Normal 2 2 3 2 2" xfId="14913" xr:uid="{00000000-0005-0000-0000-000020550000}"/>
    <cellStyle name="Normal 2 2 3 2 3" xfId="14914" xr:uid="{00000000-0005-0000-0000-000021550000}"/>
    <cellStyle name="Normal 2 2 3 2 4" xfId="14915" xr:uid="{00000000-0005-0000-0000-000022550000}"/>
    <cellStyle name="Normal 2 2 3 2 5" xfId="14916" xr:uid="{00000000-0005-0000-0000-000023550000}"/>
    <cellStyle name="Normal 2 2 3 3" xfId="14917" xr:uid="{00000000-0005-0000-0000-000024550000}"/>
    <cellStyle name="Normal 2 2 3 4" xfId="14918" xr:uid="{00000000-0005-0000-0000-000025550000}"/>
    <cellStyle name="Normal 2 2 3 5" xfId="14919" xr:uid="{00000000-0005-0000-0000-000026550000}"/>
    <cellStyle name="Normal 2 2 3 6" xfId="14920" xr:uid="{00000000-0005-0000-0000-000027550000}"/>
    <cellStyle name="Normal 2 2 30" xfId="14921" xr:uid="{00000000-0005-0000-0000-000028550000}"/>
    <cellStyle name="Normal 2 2 31" xfId="14922" xr:uid="{00000000-0005-0000-0000-000029550000}"/>
    <cellStyle name="Normal 2 2 32" xfId="14923" xr:uid="{00000000-0005-0000-0000-00002A550000}"/>
    <cellStyle name="Normal 2 2 33" xfId="14924" xr:uid="{00000000-0005-0000-0000-00002B550000}"/>
    <cellStyle name="Normal 2 2 33 2" xfId="14925" xr:uid="{00000000-0005-0000-0000-00002C550000}"/>
    <cellStyle name="Normal 2 2 33 3" xfId="14926" xr:uid="{00000000-0005-0000-0000-00002D550000}"/>
    <cellStyle name="Normal 2 2 33 4" xfId="14927" xr:uid="{00000000-0005-0000-0000-00002E550000}"/>
    <cellStyle name="Normal 2 2 33 5" xfId="14928" xr:uid="{00000000-0005-0000-0000-00002F550000}"/>
    <cellStyle name="Normal 2 2 33 6" xfId="14929" xr:uid="{00000000-0005-0000-0000-000030550000}"/>
    <cellStyle name="Normal 2 2 33 7" xfId="14930" xr:uid="{00000000-0005-0000-0000-000031550000}"/>
    <cellStyle name="Normal 2 2 34" xfId="14931" xr:uid="{00000000-0005-0000-0000-000032550000}"/>
    <cellStyle name="Normal 2 2 35" xfId="14932" xr:uid="{00000000-0005-0000-0000-000033550000}"/>
    <cellStyle name="Normal 2 2 36" xfId="14933" xr:uid="{00000000-0005-0000-0000-000034550000}"/>
    <cellStyle name="Normal 2 2 37" xfId="14934" xr:uid="{00000000-0005-0000-0000-000035550000}"/>
    <cellStyle name="Normal 2 2 38" xfId="14935" xr:uid="{00000000-0005-0000-0000-000036550000}"/>
    <cellStyle name="Normal 2 2 39" xfId="14936" xr:uid="{00000000-0005-0000-0000-000037550000}"/>
    <cellStyle name="Normal 2 2 4" xfId="14937" xr:uid="{00000000-0005-0000-0000-000038550000}"/>
    <cellStyle name="Normal 2 2 40" xfId="14938" xr:uid="{00000000-0005-0000-0000-000039550000}"/>
    <cellStyle name="Normal 2 2 41" xfId="14939" xr:uid="{00000000-0005-0000-0000-00003A550000}"/>
    <cellStyle name="Normal 2 2 42" xfId="14940" xr:uid="{00000000-0005-0000-0000-00003B550000}"/>
    <cellStyle name="Normal 2 2 43" xfId="14941" xr:uid="{00000000-0005-0000-0000-00003C550000}"/>
    <cellStyle name="Normal 2 2 44" xfId="14942" xr:uid="{00000000-0005-0000-0000-00003D550000}"/>
    <cellStyle name="Normal 2 2 45" xfId="14943" xr:uid="{00000000-0005-0000-0000-00003E550000}"/>
    <cellStyle name="Normal 2 2 46" xfId="14944" xr:uid="{00000000-0005-0000-0000-00003F550000}"/>
    <cellStyle name="Normal 2 2 46 2" xfId="14945" xr:uid="{00000000-0005-0000-0000-000040550000}"/>
    <cellStyle name="Normal 2 2 46 3" xfId="14946" xr:uid="{00000000-0005-0000-0000-000041550000}"/>
    <cellStyle name="Normal 2 2 47" xfId="14947" xr:uid="{00000000-0005-0000-0000-000042550000}"/>
    <cellStyle name="Normal 2 2 48" xfId="14948" xr:uid="{00000000-0005-0000-0000-000043550000}"/>
    <cellStyle name="Normal 2 2 48 2" xfId="14949" xr:uid="{00000000-0005-0000-0000-000044550000}"/>
    <cellStyle name="Normal 2 2 49" xfId="14950" xr:uid="{00000000-0005-0000-0000-000045550000}"/>
    <cellStyle name="Normal 2 2 5" xfId="14951" xr:uid="{00000000-0005-0000-0000-000046550000}"/>
    <cellStyle name="Normal 2 2 50" xfId="14952" xr:uid="{00000000-0005-0000-0000-000047550000}"/>
    <cellStyle name="Normal 2 2 51" xfId="14953" xr:uid="{00000000-0005-0000-0000-000048550000}"/>
    <cellStyle name="Normal 2 2 52" xfId="14954" xr:uid="{00000000-0005-0000-0000-000049550000}"/>
    <cellStyle name="Normal 2 2 53" xfId="14955" xr:uid="{00000000-0005-0000-0000-00004A550000}"/>
    <cellStyle name="Normal 2 2 54" xfId="14956" xr:uid="{00000000-0005-0000-0000-00004B550000}"/>
    <cellStyle name="Normal 2 2 55" xfId="14957" xr:uid="{00000000-0005-0000-0000-00004C550000}"/>
    <cellStyle name="Normal 2 2 56" xfId="14958" xr:uid="{00000000-0005-0000-0000-00004D550000}"/>
    <cellStyle name="Normal 2 2 57" xfId="14959" xr:uid="{00000000-0005-0000-0000-00004E550000}"/>
    <cellStyle name="Normal 2 2 58" xfId="14960" xr:uid="{00000000-0005-0000-0000-00004F550000}"/>
    <cellStyle name="Normal 2 2 59" xfId="14961" xr:uid="{00000000-0005-0000-0000-000050550000}"/>
    <cellStyle name="Normal 2 2 6" xfId="14962" xr:uid="{00000000-0005-0000-0000-000051550000}"/>
    <cellStyle name="Normal 2 2 60" xfId="14963" xr:uid="{00000000-0005-0000-0000-000052550000}"/>
    <cellStyle name="Normal 2 2 61" xfId="14964" xr:uid="{00000000-0005-0000-0000-000053550000}"/>
    <cellStyle name="Normal 2 2 62" xfId="14965" xr:uid="{00000000-0005-0000-0000-000054550000}"/>
    <cellStyle name="Normal 2 2 63" xfId="14966" xr:uid="{00000000-0005-0000-0000-000055550000}"/>
    <cellStyle name="Normal 2 2 64" xfId="14967" xr:uid="{00000000-0005-0000-0000-000056550000}"/>
    <cellStyle name="Normal 2 2 65" xfId="14968" xr:uid="{00000000-0005-0000-0000-000057550000}"/>
    <cellStyle name="Normal 2 2 66" xfId="14969" xr:uid="{00000000-0005-0000-0000-000058550000}"/>
    <cellStyle name="Normal 2 2 67" xfId="14970" xr:uid="{00000000-0005-0000-0000-000059550000}"/>
    <cellStyle name="Normal 2 2 68" xfId="14971" xr:uid="{00000000-0005-0000-0000-00005A550000}"/>
    <cellStyle name="Normal 2 2 69" xfId="14972" xr:uid="{00000000-0005-0000-0000-00005B550000}"/>
    <cellStyle name="Normal 2 2 7" xfId="14973" xr:uid="{00000000-0005-0000-0000-00005C550000}"/>
    <cellStyle name="Normal 2 2 70" xfId="14974" xr:uid="{00000000-0005-0000-0000-00005D550000}"/>
    <cellStyle name="Normal 2 2 71" xfId="14975" xr:uid="{00000000-0005-0000-0000-00005E550000}"/>
    <cellStyle name="Normal 2 2 72" xfId="14976" xr:uid="{00000000-0005-0000-0000-00005F550000}"/>
    <cellStyle name="Normal 2 2 73" xfId="14977" xr:uid="{00000000-0005-0000-0000-000060550000}"/>
    <cellStyle name="Normal 2 2 74" xfId="14978" xr:uid="{00000000-0005-0000-0000-000061550000}"/>
    <cellStyle name="Normal 2 2 75" xfId="14979" xr:uid="{00000000-0005-0000-0000-000062550000}"/>
    <cellStyle name="Normal 2 2 76" xfId="14980" xr:uid="{00000000-0005-0000-0000-000063550000}"/>
    <cellStyle name="Normal 2 2 77" xfId="14981" xr:uid="{00000000-0005-0000-0000-000064550000}"/>
    <cellStyle name="Normal 2 2 78" xfId="14982" xr:uid="{00000000-0005-0000-0000-000065550000}"/>
    <cellStyle name="Normal 2 2 79" xfId="14983" xr:uid="{00000000-0005-0000-0000-000066550000}"/>
    <cellStyle name="Normal 2 2 8" xfId="14984" xr:uid="{00000000-0005-0000-0000-000067550000}"/>
    <cellStyle name="Normal 2 2 8 2" xfId="14985" xr:uid="{00000000-0005-0000-0000-000068550000}"/>
    <cellStyle name="Normal 2 2 8 3" xfId="14986" xr:uid="{00000000-0005-0000-0000-000069550000}"/>
    <cellStyle name="Normal 2 2 8 4" xfId="14987" xr:uid="{00000000-0005-0000-0000-00006A550000}"/>
    <cellStyle name="Normal 2 2 80" xfId="14988" xr:uid="{00000000-0005-0000-0000-00006B550000}"/>
    <cellStyle name="Normal 2 2 81" xfId="14989" xr:uid="{00000000-0005-0000-0000-00006C550000}"/>
    <cellStyle name="Normal 2 2 82" xfId="14990" xr:uid="{00000000-0005-0000-0000-00006D550000}"/>
    <cellStyle name="Normal 2 2 83" xfId="14991" xr:uid="{00000000-0005-0000-0000-00006E550000}"/>
    <cellStyle name="Normal 2 2 84" xfId="14992" xr:uid="{00000000-0005-0000-0000-00006F550000}"/>
    <cellStyle name="Normal 2 2 85" xfId="14993" xr:uid="{00000000-0005-0000-0000-000070550000}"/>
    <cellStyle name="Normal 2 2 86" xfId="14994" xr:uid="{00000000-0005-0000-0000-000071550000}"/>
    <cellStyle name="Normal 2 2 87" xfId="14995" xr:uid="{00000000-0005-0000-0000-000072550000}"/>
    <cellStyle name="Normal 2 2 88" xfId="14996" xr:uid="{00000000-0005-0000-0000-000073550000}"/>
    <cellStyle name="Normal 2 2 89" xfId="14997" xr:uid="{00000000-0005-0000-0000-000074550000}"/>
    <cellStyle name="Normal 2 2 9" xfId="14998" xr:uid="{00000000-0005-0000-0000-000075550000}"/>
    <cellStyle name="Normal 2 2 90" xfId="14999" xr:uid="{00000000-0005-0000-0000-000076550000}"/>
    <cellStyle name="Normal 2 2 91" xfId="15000" xr:uid="{00000000-0005-0000-0000-000077550000}"/>
    <cellStyle name="Normal 2 2 92" xfId="15001" xr:uid="{00000000-0005-0000-0000-000078550000}"/>
    <cellStyle name="Normal 2 2 93" xfId="15002" xr:uid="{00000000-0005-0000-0000-000079550000}"/>
    <cellStyle name="Normal 2 2 94" xfId="15003" xr:uid="{00000000-0005-0000-0000-00007A550000}"/>
    <cellStyle name="Normal 2 2 95" xfId="15004" xr:uid="{00000000-0005-0000-0000-00007B550000}"/>
    <cellStyle name="Normal 2 2 96" xfId="15005" xr:uid="{00000000-0005-0000-0000-00007C550000}"/>
    <cellStyle name="Normal 2 2 97" xfId="15006" xr:uid="{00000000-0005-0000-0000-00007D550000}"/>
    <cellStyle name="Normal 2 2 98" xfId="15007" xr:uid="{00000000-0005-0000-0000-00007E550000}"/>
    <cellStyle name="Normal 2 2 99" xfId="15008" xr:uid="{00000000-0005-0000-0000-00007F550000}"/>
    <cellStyle name="Normal 2 2_Xl0000010" xfId="15009" xr:uid="{00000000-0005-0000-0000-000080550000}"/>
    <cellStyle name="Normal 2 20" xfId="15010" xr:uid="{00000000-0005-0000-0000-000081550000}"/>
    <cellStyle name="Normal 2 21" xfId="15011" xr:uid="{00000000-0005-0000-0000-000082550000}"/>
    <cellStyle name="Normal 2 22" xfId="15012" xr:uid="{00000000-0005-0000-0000-000083550000}"/>
    <cellStyle name="Normal 2 23" xfId="15013" xr:uid="{00000000-0005-0000-0000-000084550000}"/>
    <cellStyle name="Normal 2 24" xfId="15014" xr:uid="{00000000-0005-0000-0000-000085550000}"/>
    <cellStyle name="Normal 2 25" xfId="15015" xr:uid="{00000000-0005-0000-0000-000086550000}"/>
    <cellStyle name="Normal 2 26" xfId="15016" xr:uid="{00000000-0005-0000-0000-000087550000}"/>
    <cellStyle name="Normal 2 27" xfId="15017" xr:uid="{00000000-0005-0000-0000-000088550000}"/>
    <cellStyle name="Normal 2 28" xfId="15018" xr:uid="{00000000-0005-0000-0000-000089550000}"/>
    <cellStyle name="Normal 2 29" xfId="15019" xr:uid="{00000000-0005-0000-0000-00008A550000}"/>
    <cellStyle name="Normal 2 3" xfId="27" xr:uid="{00000000-0005-0000-0000-00008B550000}"/>
    <cellStyle name="Normal 2 3 10" xfId="15020" xr:uid="{00000000-0005-0000-0000-00008C550000}"/>
    <cellStyle name="Normal 2 3 11" xfId="15021" xr:uid="{00000000-0005-0000-0000-00008D550000}"/>
    <cellStyle name="Normal 2 3 12" xfId="15022" xr:uid="{00000000-0005-0000-0000-00008E550000}"/>
    <cellStyle name="Normal 2 3 13" xfId="15023" xr:uid="{00000000-0005-0000-0000-00008F550000}"/>
    <cellStyle name="Normal 2 3 14" xfId="15024" xr:uid="{00000000-0005-0000-0000-000090550000}"/>
    <cellStyle name="Normal 2 3 15" xfId="15025" xr:uid="{00000000-0005-0000-0000-000091550000}"/>
    <cellStyle name="Normal 2 3 16" xfId="15026" xr:uid="{00000000-0005-0000-0000-000092550000}"/>
    <cellStyle name="Normal 2 3 17" xfId="15027" xr:uid="{00000000-0005-0000-0000-000093550000}"/>
    <cellStyle name="Normal 2 3 18" xfId="15028" xr:uid="{00000000-0005-0000-0000-000094550000}"/>
    <cellStyle name="Normal 2 3 19" xfId="15029" xr:uid="{00000000-0005-0000-0000-000095550000}"/>
    <cellStyle name="Normal 2 3 2" xfId="15030" xr:uid="{00000000-0005-0000-0000-000096550000}"/>
    <cellStyle name="Normal 2 3 2 2" xfId="15031" xr:uid="{00000000-0005-0000-0000-000097550000}"/>
    <cellStyle name="Normal 2 3 2 2 2" xfId="15032" xr:uid="{00000000-0005-0000-0000-000098550000}"/>
    <cellStyle name="Normal 2 3 2 2 3" xfId="15033" xr:uid="{00000000-0005-0000-0000-000099550000}"/>
    <cellStyle name="Normal 2 3 2 2 4" xfId="15034" xr:uid="{00000000-0005-0000-0000-00009A550000}"/>
    <cellStyle name="Normal 2 3 2 2 5" xfId="15035" xr:uid="{00000000-0005-0000-0000-00009B550000}"/>
    <cellStyle name="Normal 2 3 2 3" xfId="15036" xr:uid="{00000000-0005-0000-0000-00009C550000}"/>
    <cellStyle name="Normal 2 3 2 4" xfId="15037" xr:uid="{00000000-0005-0000-0000-00009D550000}"/>
    <cellStyle name="Normal 2 3 2 5" xfId="15038" xr:uid="{00000000-0005-0000-0000-00009E550000}"/>
    <cellStyle name="Normal 2 3 2 6" xfId="15039" xr:uid="{00000000-0005-0000-0000-00009F550000}"/>
    <cellStyle name="Normal 2 3 20" xfId="15040" xr:uid="{00000000-0005-0000-0000-0000A0550000}"/>
    <cellStyle name="Normal 2 3 21" xfId="15041" xr:uid="{00000000-0005-0000-0000-0000A1550000}"/>
    <cellStyle name="Normal 2 3 22" xfId="15042" xr:uid="{00000000-0005-0000-0000-0000A2550000}"/>
    <cellStyle name="Normal 2 3 23" xfId="15043" xr:uid="{00000000-0005-0000-0000-0000A3550000}"/>
    <cellStyle name="Normal 2 3 24" xfId="15044" xr:uid="{00000000-0005-0000-0000-0000A4550000}"/>
    <cellStyle name="Normal 2 3 25" xfId="15045" xr:uid="{00000000-0005-0000-0000-0000A5550000}"/>
    <cellStyle name="Normal 2 3 26" xfId="15046" xr:uid="{00000000-0005-0000-0000-0000A6550000}"/>
    <cellStyle name="Normal 2 3 27" xfId="15047" xr:uid="{00000000-0005-0000-0000-0000A7550000}"/>
    <cellStyle name="Normal 2 3 28" xfId="15048" xr:uid="{00000000-0005-0000-0000-0000A8550000}"/>
    <cellStyle name="Normal 2 3 29" xfId="15049" xr:uid="{00000000-0005-0000-0000-0000A9550000}"/>
    <cellStyle name="Normal 2 3 3" xfId="15050" xr:uid="{00000000-0005-0000-0000-0000AA550000}"/>
    <cellStyle name="Normal 2 3 30" xfId="15051" xr:uid="{00000000-0005-0000-0000-0000AB550000}"/>
    <cellStyle name="Normal 2 3 31" xfId="15052" xr:uid="{00000000-0005-0000-0000-0000AC550000}"/>
    <cellStyle name="Normal 2 3 32" xfId="15053" xr:uid="{00000000-0005-0000-0000-0000AD550000}"/>
    <cellStyle name="Normal 2 3 33" xfId="15054" xr:uid="{00000000-0005-0000-0000-0000AE550000}"/>
    <cellStyle name="Normal 2 3 34" xfId="15055" xr:uid="{00000000-0005-0000-0000-0000AF550000}"/>
    <cellStyle name="Normal 2 3 35" xfId="15056" xr:uid="{00000000-0005-0000-0000-0000B0550000}"/>
    <cellStyle name="Normal 2 3 36" xfId="15057" xr:uid="{00000000-0005-0000-0000-0000B1550000}"/>
    <cellStyle name="Normal 2 3 37" xfId="15058" xr:uid="{00000000-0005-0000-0000-0000B2550000}"/>
    <cellStyle name="Normal 2 3 38" xfId="15059" xr:uid="{00000000-0005-0000-0000-0000B3550000}"/>
    <cellStyle name="Normal 2 3 39" xfId="15060" xr:uid="{00000000-0005-0000-0000-0000B4550000}"/>
    <cellStyle name="Normal 2 3 4" xfId="15061" xr:uid="{00000000-0005-0000-0000-0000B5550000}"/>
    <cellStyle name="Normal 2 3 40" xfId="15062" xr:uid="{00000000-0005-0000-0000-0000B6550000}"/>
    <cellStyle name="Normal 2 3 41" xfId="15063" xr:uid="{00000000-0005-0000-0000-0000B7550000}"/>
    <cellStyle name="Normal 2 3 42" xfId="15064" xr:uid="{00000000-0005-0000-0000-0000B8550000}"/>
    <cellStyle name="Normal 2 3 43" xfId="15065" xr:uid="{00000000-0005-0000-0000-0000B9550000}"/>
    <cellStyle name="Normal 2 3 44" xfId="15066" xr:uid="{00000000-0005-0000-0000-0000BA550000}"/>
    <cellStyle name="Normal 2 3 45" xfId="15067" xr:uid="{00000000-0005-0000-0000-0000BB550000}"/>
    <cellStyle name="Normal 2 3 46" xfId="15068" xr:uid="{00000000-0005-0000-0000-0000BC550000}"/>
    <cellStyle name="Normal 2 3 47" xfId="15069" xr:uid="{00000000-0005-0000-0000-0000BD550000}"/>
    <cellStyle name="Normal 2 3 48" xfId="15070" xr:uid="{00000000-0005-0000-0000-0000BE550000}"/>
    <cellStyle name="Normal 2 3 49" xfId="15071" xr:uid="{00000000-0005-0000-0000-0000BF550000}"/>
    <cellStyle name="Normal 2 3 5" xfId="15072" xr:uid="{00000000-0005-0000-0000-0000C0550000}"/>
    <cellStyle name="Normal 2 3 50" xfId="15073" xr:uid="{00000000-0005-0000-0000-0000C1550000}"/>
    <cellStyle name="Normal 2 3 51" xfId="15074" xr:uid="{00000000-0005-0000-0000-0000C2550000}"/>
    <cellStyle name="Normal 2 3 52" xfId="15075" xr:uid="{00000000-0005-0000-0000-0000C3550000}"/>
    <cellStyle name="Normal 2 3 53" xfId="15076" xr:uid="{00000000-0005-0000-0000-0000C4550000}"/>
    <cellStyle name="Normal 2 3 54" xfId="15077" xr:uid="{00000000-0005-0000-0000-0000C5550000}"/>
    <cellStyle name="Normal 2 3 55" xfId="15078" xr:uid="{00000000-0005-0000-0000-0000C6550000}"/>
    <cellStyle name="Normal 2 3 56" xfId="15079" xr:uid="{00000000-0005-0000-0000-0000C7550000}"/>
    <cellStyle name="Normal 2 3 57" xfId="15080" xr:uid="{00000000-0005-0000-0000-0000C8550000}"/>
    <cellStyle name="Normal 2 3 58" xfId="15081" xr:uid="{00000000-0005-0000-0000-0000C9550000}"/>
    <cellStyle name="Normal 2 3 59" xfId="15082" xr:uid="{00000000-0005-0000-0000-0000CA550000}"/>
    <cellStyle name="Normal 2 3 6" xfId="15083" xr:uid="{00000000-0005-0000-0000-0000CB550000}"/>
    <cellStyle name="Normal 2 3 60" xfId="15084" xr:uid="{00000000-0005-0000-0000-0000CC550000}"/>
    <cellStyle name="Normal 2 3 61" xfId="15085" xr:uid="{00000000-0005-0000-0000-0000CD550000}"/>
    <cellStyle name="Normal 2 3 62" xfId="15086" xr:uid="{00000000-0005-0000-0000-0000CE550000}"/>
    <cellStyle name="Normal 2 3 63" xfId="15087" xr:uid="{00000000-0005-0000-0000-0000CF550000}"/>
    <cellStyle name="Normal 2 3 64" xfId="15088" xr:uid="{00000000-0005-0000-0000-0000D0550000}"/>
    <cellStyle name="Normal 2 3 65" xfId="15089" xr:uid="{00000000-0005-0000-0000-0000D1550000}"/>
    <cellStyle name="Normal 2 3 66" xfId="15090" xr:uid="{00000000-0005-0000-0000-0000D2550000}"/>
    <cellStyle name="Normal 2 3 67" xfId="15091" xr:uid="{00000000-0005-0000-0000-0000D3550000}"/>
    <cellStyle name="Normal 2 3 68" xfId="15092" xr:uid="{00000000-0005-0000-0000-0000D4550000}"/>
    <cellStyle name="Normal 2 3 69" xfId="15093" xr:uid="{00000000-0005-0000-0000-0000D5550000}"/>
    <cellStyle name="Normal 2 3 7" xfId="15094" xr:uid="{00000000-0005-0000-0000-0000D6550000}"/>
    <cellStyle name="Normal 2 3 70" xfId="15095" xr:uid="{00000000-0005-0000-0000-0000D7550000}"/>
    <cellStyle name="Normal 2 3 71" xfId="15096" xr:uid="{00000000-0005-0000-0000-0000D8550000}"/>
    <cellStyle name="Normal 2 3 72" xfId="15097" xr:uid="{00000000-0005-0000-0000-0000D9550000}"/>
    <cellStyle name="Normal 2 3 73" xfId="15098" xr:uid="{00000000-0005-0000-0000-0000DA550000}"/>
    <cellStyle name="Normal 2 3 74" xfId="15099" xr:uid="{00000000-0005-0000-0000-0000DB550000}"/>
    <cellStyle name="Normal 2 3 75" xfId="15100" xr:uid="{00000000-0005-0000-0000-0000DC550000}"/>
    <cellStyle name="Normal 2 3 76" xfId="15101" xr:uid="{00000000-0005-0000-0000-0000DD550000}"/>
    <cellStyle name="Normal 2 3 77" xfId="15102" xr:uid="{00000000-0005-0000-0000-0000DE550000}"/>
    <cellStyle name="Normal 2 3 8" xfId="15103" xr:uid="{00000000-0005-0000-0000-0000DF550000}"/>
    <cellStyle name="Normal 2 3 9" xfId="15104" xr:uid="{00000000-0005-0000-0000-0000E0550000}"/>
    <cellStyle name="Normal 2 30" xfId="15105" xr:uid="{00000000-0005-0000-0000-0000E1550000}"/>
    <cellStyle name="Normal 2 31" xfId="15106" xr:uid="{00000000-0005-0000-0000-0000E2550000}"/>
    <cellStyle name="Normal 2 32" xfId="15107" xr:uid="{00000000-0005-0000-0000-0000E3550000}"/>
    <cellStyle name="Normal 2 33" xfId="15108" xr:uid="{00000000-0005-0000-0000-0000E4550000}"/>
    <cellStyle name="Normal 2 4" xfId="28" xr:uid="{00000000-0005-0000-0000-0000E5550000}"/>
    <cellStyle name="Normal 2 4 2" xfId="15109" xr:uid="{00000000-0005-0000-0000-0000E6550000}"/>
    <cellStyle name="Normal 2 4 2 2" xfId="15110" xr:uid="{00000000-0005-0000-0000-0000E7550000}"/>
    <cellStyle name="Normal 2 4 2 3" xfId="15111" xr:uid="{00000000-0005-0000-0000-0000E8550000}"/>
    <cellStyle name="Normal 2 4 2 4" xfId="15112" xr:uid="{00000000-0005-0000-0000-0000E9550000}"/>
    <cellStyle name="Normal 2 4 2 5" xfId="15113" xr:uid="{00000000-0005-0000-0000-0000EA550000}"/>
    <cellStyle name="Normal 2 4 3" xfId="15114" xr:uid="{00000000-0005-0000-0000-0000EB550000}"/>
    <cellStyle name="Normal 2 4 4" xfId="15115" xr:uid="{00000000-0005-0000-0000-0000EC550000}"/>
    <cellStyle name="Normal 2 4 5" xfId="15116" xr:uid="{00000000-0005-0000-0000-0000ED550000}"/>
    <cellStyle name="Normal 2 4 6" xfId="15117" xr:uid="{00000000-0005-0000-0000-0000EE550000}"/>
    <cellStyle name="Normal 2 4 7" xfId="15118" xr:uid="{00000000-0005-0000-0000-0000EF550000}"/>
    <cellStyle name="Normal 2 4 8" xfId="15119" xr:uid="{00000000-0005-0000-0000-0000F0550000}"/>
    <cellStyle name="Normal 2 5" xfId="15120" xr:uid="{00000000-0005-0000-0000-0000F1550000}"/>
    <cellStyle name="Normal 2 5 2" xfId="15121" xr:uid="{00000000-0005-0000-0000-0000F2550000}"/>
    <cellStyle name="Normal 2 6" xfId="15122" xr:uid="{00000000-0005-0000-0000-0000F3550000}"/>
    <cellStyle name="Normal 2 7" xfId="15123" xr:uid="{00000000-0005-0000-0000-0000F4550000}"/>
    <cellStyle name="Normal 2 8" xfId="15124" xr:uid="{00000000-0005-0000-0000-0000F5550000}"/>
    <cellStyle name="Normal 2 9" xfId="15125" xr:uid="{00000000-0005-0000-0000-0000F6550000}"/>
    <cellStyle name="Normal 2_Claims - Q1 - IBSL (2)" xfId="30351" xr:uid="{00000000-0005-0000-0000-0000F7550000}"/>
    <cellStyle name="Normal 20" xfId="15126" xr:uid="{00000000-0005-0000-0000-0000F8550000}"/>
    <cellStyle name="Normal 20 2" xfId="15127" xr:uid="{00000000-0005-0000-0000-0000F9550000}"/>
    <cellStyle name="Normal 20 3" xfId="15128" xr:uid="{00000000-0005-0000-0000-0000FA550000}"/>
    <cellStyle name="Normal 20 4" xfId="15129" xr:uid="{00000000-0005-0000-0000-0000FB550000}"/>
    <cellStyle name="Normal 20 5" xfId="15130" xr:uid="{00000000-0005-0000-0000-0000FC550000}"/>
    <cellStyle name="Normal 20 6" xfId="15131" xr:uid="{00000000-0005-0000-0000-0000FD550000}"/>
    <cellStyle name="Normal 21" xfId="15132" xr:uid="{00000000-0005-0000-0000-0000FE550000}"/>
    <cellStyle name="Normal 21 2" xfId="15133" xr:uid="{00000000-0005-0000-0000-0000FF550000}"/>
    <cellStyle name="Normal 21 3" xfId="15134" xr:uid="{00000000-0005-0000-0000-000000560000}"/>
    <cellStyle name="Normal 21 4" xfId="15135" xr:uid="{00000000-0005-0000-0000-000001560000}"/>
    <cellStyle name="Normal 22" xfId="15136" xr:uid="{00000000-0005-0000-0000-000002560000}"/>
    <cellStyle name="Normal 22 2" xfId="15137" xr:uid="{00000000-0005-0000-0000-000003560000}"/>
    <cellStyle name="Normal 22 3" xfId="15138" xr:uid="{00000000-0005-0000-0000-000004560000}"/>
    <cellStyle name="Normal 23" xfId="15139" xr:uid="{00000000-0005-0000-0000-000005560000}"/>
    <cellStyle name="Normal 23 2" xfId="15140" xr:uid="{00000000-0005-0000-0000-000006560000}"/>
    <cellStyle name="Normal 23 3" xfId="15141" xr:uid="{00000000-0005-0000-0000-000007560000}"/>
    <cellStyle name="Normal 23 4" xfId="15142" xr:uid="{00000000-0005-0000-0000-000008560000}"/>
    <cellStyle name="Normal 24" xfId="15143" xr:uid="{00000000-0005-0000-0000-000009560000}"/>
    <cellStyle name="Normal 25" xfId="15144" xr:uid="{00000000-0005-0000-0000-00000A560000}"/>
    <cellStyle name="Normal 26" xfId="15145" xr:uid="{00000000-0005-0000-0000-00000B560000}"/>
    <cellStyle name="Normal 27" xfId="15146" xr:uid="{00000000-0005-0000-0000-00000C560000}"/>
    <cellStyle name="Normal 28" xfId="15147" xr:uid="{00000000-0005-0000-0000-00000D560000}"/>
    <cellStyle name="Normal 29" xfId="15148" xr:uid="{00000000-0005-0000-0000-00000E560000}"/>
    <cellStyle name="Normal 3" xfId="21" xr:uid="{00000000-0005-0000-0000-00000F560000}"/>
    <cellStyle name="Normal 3 10" xfId="15149" xr:uid="{00000000-0005-0000-0000-000010560000}"/>
    <cellStyle name="Normal 3 11" xfId="15150" xr:uid="{00000000-0005-0000-0000-000011560000}"/>
    <cellStyle name="Normal 3 12" xfId="15151" xr:uid="{00000000-0005-0000-0000-000012560000}"/>
    <cellStyle name="Normal 3 13" xfId="15152" xr:uid="{00000000-0005-0000-0000-000013560000}"/>
    <cellStyle name="Normal 3 14" xfId="15153" xr:uid="{00000000-0005-0000-0000-000014560000}"/>
    <cellStyle name="Normal 3 15" xfId="15154" xr:uid="{00000000-0005-0000-0000-000015560000}"/>
    <cellStyle name="Normal 3 16" xfId="15155" xr:uid="{00000000-0005-0000-0000-000016560000}"/>
    <cellStyle name="Normal 3 17" xfId="15156" xr:uid="{00000000-0005-0000-0000-000017560000}"/>
    <cellStyle name="Normal 3 18" xfId="15157" xr:uid="{00000000-0005-0000-0000-000018560000}"/>
    <cellStyle name="Normal 3 19" xfId="15158" xr:uid="{00000000-0005-0000-0000-000019560000}"/>
    <cellStyle name="Normal 3 2" xfId="15159" xr:uid="{00000000-0005-0000-0000-00001A560000}"/>
    <cellStyle name="Normal 3 2 10" xfId="15160" xr:uid="{00000000-0005-0000-0000-00001B560000}"/>
    <cellStyle name="Normal 3 2 11" xfId="15161" xr:uid="{00000000-0005-0000-0000-00001C560000}"/>
    <cellStyle name="Normal 3 2 12" xfId="15162" xr:uid="{00000000-0005-0000-0000-00001D560000}"/>
    <cellStyle name="Normal 3 2 13" xfId="15163" xr:uid="{00000000-0005-0000-0000-00001E560000}"/>
    <cellStyle name="Normal 3 2 14" xfId="15164" xr:uid="{00000000-0005-0000-0000-00001F560000}"/>
    <cellStyle name="Normal 3 2 15" xfId="15165" xr:uid="{00000000-0005-0000-0000-000020560000}"/>
    <cellStyle name="Normal 3 2 16" xfId="15166" xr:uid="{00000000-0005-0000-0000-000021560000}"/>
    <cellStyle name="Normal 3 2 17" xfId="15167" xr:uid="{00000000-0005-0000-0000-000022560000}"/>
    <cellStyle name="Normal 3 2 18" xfId="15168" xr:uid="{00000000-0005-0000-0000-000023560000}"/>
    <cellStyle name="Normal 3 2 19" xfId="15169" xr:uid="{00000000-0005-0000-0000-000024560000}"/>
    <cellStyle name="Normal 3 2 2" xfId="15170" xr:uid="{00000000-0005-0000-0000-000025560000}"/>
    <cellStyle name="Normal 3 2 2 10" xfId="15171" xr:uid="{00000000-0005-0000-0000-000026560000}"/>
    <cellStyle name="Normal 3 2 2 11" xfId="15172" xr:uid="{00000000-0005-0000-0000-000027560000}"/>
    <cellStyle name="Normal 3 2 2 12" xfId="15173" xr:uid="{00000000-0005-0000-0000-000028560000}"/>
    <cellStyle name="Normal 3 2 2 13" xfId="37578" xr:uid="{00000000-0005-0000-0000-000029560000}"/>
    <cellStyle name="Normal 3 2 2 2" xfId="15174" xr:uid="{00000000-0005-0000-0000-00002A560000}"/>
    <cellStyle name="Normal 3 2 2 2 2" xfId="15175" xr:uid="{00000000-0005-0000-0000-00002B560000}"/>
    <cellStyle name="Normal 3 2 2 2 3" xfId="15176" xr:uid="{00000000-0005-0000-0000-00002C560000}"/>
    <cellStyle name="Normal 3 2 2 2 4" xfId="15177" xr:uid="{00000000-0005-0000-0000-00002D560000}"/>
    <cellStyle name="Normal 3 2 2 2 5" xfId="15178" xr:uid="{00000000-0005-0000-0000-00002E560000}"/>
    <cellStyle name="Normal 3 2 2 2 6" xfId="15179" xr:uid="{00000000-0005-0000-0000-00002F560000}"/>
    <cellStyle name="Normal 3 2 2 2 7" xfId="15180" xr:uid="{00000000-0005-0000-0000-000030560000}"/>
    <cellStyle name="Normal 3 2 2 2 8" xfId="15181" xr:uid="{00000000-0005-0000-0000-000031560000}"/>
    <cellStyle name="Normal 3 2 2 2 9" xfId="15182" xr:uid="{00000000-0005-0000-0000-000032560000}"/>
    <cellStyle name="Normal 3 2 2 3" xfId="15183" xr:uid="{00000000-0005-0000-0000-000033560000}"/>
    <cellStyle name="Normal 3 2 2 3 2" xfId="15184" xr:uid="{00000000-0005-0000-0000-000034560000}"/>
    <cellStyle name="Normal 3 2 2 3 3" xfId="15185" xr:uid="{00000000-0005-0000-0000-000035560000}"/>
    <cellStyle name="Normal 3 2 2 4" xfId="15186" xr:uid="{00000000-0005-0000-0000-000036560000}"/>
    <cellStyle name="Normal 3 2 2 5" xfId="15187" xr:uid="{00000000-0005-0000-0000-000037560000}"/>
    <cellStyle name="Normal 3 2 2 6" xfId="15188" xr:uid="{00000000-0005-0000-0000-000038560000}"/>
    <cellStyle name="Normal 3 2 2 7" xfId="15189" xr:uid="{00000000-0005-0000-0000-000039560000}"/>
    <cellStyle name="Normal 3 2 2 7 2" xfId="15190" xr:uid="{00000000-0005-0000-0000-00003A560000}"/>
    <cellStyle name="Normal 3 2 2 8" xfId="15191" xr:uid="{00000000-0005-0000-0000-00003B560000}"/>
    <cellStyle name="Normal 3 2 2 9" xfId="15192" xr:uid="{00000000-0005-0000-0000-00003C560000}"/>
    <cellStyle name="Normal 3 2 20" xfId="15193" xr:uid="{00000000-0005-0000-0000-00003D560000}"/>
    <cellStyle name="Normal 3 2 21" xfId="15194" xr:uid="{00000000-0005-0000-0000-00003E560000}"/>
    <cellStyle name="Normal 3 2 22" xfId="15195" xr:uid="{00000000-0005-0000-0000-00003F560000}"/>
    <cellStyle name="Normal 3 2 23" xfId="15196" xr:uid="{00000000-0005-0000-0000-000040560000}"/>
    <cellStyle name="Normal 3 2 24" xfId="15197" xr:uid="{00000000-0005-0000-0000-000041560000}"/>
    <cellStyle name="Normal 3 2 24 2" xfId="15198" xr:uid="{00000000-0005-0000-0000-000042560000}"/>
    <cellStyle name="Normal 3 2 25" xfId="15199" xr:uid="{00000000-0005-0000-0000-000043560000}"/>
    <cellStyle name="Normal 3 2 26" xfId="15200" xr:uid="{00000000-0005-0000-0000-000044560000}"/>
    <cellStyle name="Normal 3 2 27" xfId="15201" xr:uid="{00000000-0005-0000-0000-000045560000}"/>
    <cellStyle name="Normal 3 2 28" xfId="15202" xr:uid="{00000000-0005-0000-0000-000046560000}"/>
    <cellStyle name="Normal 3 2 29" xfId="15203" xr:uid="{00000000-0005-0000-0000-000047560000}"/>
    <cellStyle name="Normal 3 2 3" xfId="15204" xr:uid="{00000000-0005-0000-0000-000048560000}"/>
    <cellStyle name="Normal 3 2 3 2" xfId="15205" xr:uid="{00000000-0005-0000-0000-000049560000}"/>
    <cellStyle name="Normal 3 2 3 3" xfId="15206" xr:uid="{00000000-0005-0000-0000-00004A560000}"/>
    <cellStyle name="Normal 3 2 3 4" xfId="15207" xr:uid="{00000000-0005-0000-0000-00004B560000}"/>
    <cellStyle name="Normal 3 2 4" xfId="19" xr:uid="{00000000-0005-0000-0000-00004C560000}"/>
    <cellStyle name="Normal 3 2 4 2" xfId="15208" xr:uid="{00000000-0005-0000-0000-00004D560000}"/>
    <cellStyle name="Normal 3 2 4 3" xfId="15209" xr:uid="{00000000-0005-0000-0000-00004E560000}"/>
    <cellStyle name="Normal 3 2 4 4" xfId="15210" xr:uid="{00000000-0005-0000-0000-00004F560000}"/>
    <cellStyle name="Normal 3 2 5" xfId="15211" xr:uid="{00000000-0005-0000-0000-000050560000}"/>
    <cellStyle name="Normal 3 2 5 2" xfId="15212" xr:uid="{00000000-0005-0000-0000-000051560000}"/>
    <cellStyle name="Normal 3 2 5 3" xfId="15213" xr:uid="{00000000-0005-0000-0000-000052560000}"/>
    <cellStyle name="Normal 3 2 6" xfId="15214" xr:uid="{00000000-0005-0000-0000-000053560000}"/>
    <cellStyle name="Normal 3 2 6 2" xfId="15215" xr:uid="{00000000-0005-0000-0000-000054560000}"/>
    <cellStyle name="Normal 3 2 6 3" xfId="15216" xr:uid="{00000000-0005-0000-0000-000055560000}"/>
    <cellStyle name="Normal 3 2 7" xfId="15217" xr:uid="{00000000-0005-0000-0000-000056560000}"/>
    <cellStyle name="Normal 3 2 8" xfId="15218" xr:uid="{00000000-0005-0000-0000-000057560000}"/>
    <cellStyle name="Normal 3 2 9" xfId="15219" xr:uid="{00000000-0005-0000-0000-000058560000}"/>
    <cellStyle name="Normal 3 20" xfId="15220" xr:uid="{00000000-0005-0000-0000-000059560000}"/>
    <cellStyle name="Normal 3 21" xfId="15221" xr:uid="{00000000-0005-0000-0000-00005A560000}"/>
    <cellStyle name="Normal 3 22" xfId="15222" xr:uid="{00000000-0005-0000-0000-00005B560000}"/>
    <cellStyle name="Normal 3 23" xfId="15223" xr:uid="{00000000-0005-0000-0000-00005C560000}"/>
    <cellStyle name="Normal 3 24" xfId="15224" xr:uid="{00000000-0005-0000-0000-00005D560000}"/>
    <cellStyle name="Normal 3 25" xfId="15225" xr:uid="{00000000-0005-0000-0000-00005E560000}"/>
    <cellStyle name="Normal 3 26" xfId="15226" xr:uid="{00000000-0005-0000-0000-00005F560000}"/>
    <cellStyle name="Normal 3 27" xfId="15227" xr:uid="{00000000-0005-0000-0000-000060560000}"/>
    <cellStyle name="Normal 3 27 2" xfId="15228" xr:uid="{00000000-0005-0000-0000-000061560000}"/>
    <cellStyle name="Normal 3 28" xfId="15229" xr:uid="{00000000-0005-0000-0000-000062560000}"/>
    <cellStyle name="Normal 3 29" xfId="15230" xr:uid="{00000000-0005-0000-0000-000063560000}"/>
    <cellStyle name="Normal 3 3" xfId="15231" xr:uid="{00000000-0005-0000-0000-000064560000}"/>
    <cellStyle name="Normal 3 3 2" xfId="15232" xr:uid="{00000000-0005-0000-0000-000065560000}"/>
    <cellStyle name="Normal 3 3 2 2" xfId="15233" xr:uid="{00000000-0005-0000-0000-000066560000}"/>
    <cellStyle name="Normal 3 3 2 2 2" xfId="15234" xr:uid="{00000000-0005-0000-0000-000067560000}"/>
    <cellStyle name="Normal 3 3 2 2 3" xfId="15235" xr:uid="{00000000-0005-0000-0000-000068560000}"/>
    <cellStyle name="Normal 3 3 2 3" xfId="15236" xr:uid="{00000000-0005-0000-0000-000069560000}"/>
    <cellStyle name="Normal 3 3 2 4" xfId="15237" xr:uid="{00000000-0005-0000-0000-00006A560000}"/>
    <cellStyle name="Normal 3 3 2 5" xfId="15238" xr:uid="{00000000-0005-0000-0000-00006B560000}"/>
    <cellStyle name="Normal 3 3 3" xfId="15239" xr:uid="{00000000-0005-0000-0000-00006C560000}"/>
    <cellStyle name="Normal 3 3 3 2" xfId="15240" xr:uid="{00000000-0005-0000-0000-00006D560000}"/>
    <cellStyle name="Normal 3 3 3 3" xfId="15241" xr:uid="{00000000-0005-0000-0000-00006E560000}"/>
    <cellStyle name="Normal 3 3 4" xfId="15242" xr:uid="{00000000-0005-0000-0000-00006F560000}"/>
    <cellStyle name="Normal 3 3 4 2" xfId="15243" xr:uid="{00000000-0005-0000-0000-000070560000}"/>
    <cellStyle name="Normal 3 3 4 3" xfId="15244" xr:uid="{00000000-0005-0000-0000-000071560000}"/>
    <cellStyle name="Normal 3 3 5" xfId="15245" xr:uid="{00000000-0005-0000-0000-000072560000}"/>
    <cellStyle name="Normal 3 3 5 2" xfId="15246" xr:uid="{00000000-0005-0000-0000-000073560000}"/>
    <cellStyle name="Normal 3 3 5 3" xfId="15247" xr:uid="{00000000-0005-0000-0000-000074560000}"/>
    <cellStyle name="Normal 3 3 6" xfId="15248" xr:uid="{00000000-0005-0000-0000-000075560000}"/>
    <cellStyle name="Normal 3 3 6 2" xfId="15249" xr:uid="{00000000-0005-0000-0000-000076560000}"/>
    <cellStyle name="Normal 3 3 6 3" xfId="15250" xr:uid="{00000000-0005-0000-0000-000077560000}"/>
    <cellStyle name="Normal 3 3 7" xfId="15251" xr:uid="{00000000-0005-0000-0000-000078560000}"/>
    <cellStyle name="Normal 3 3 8" xfId="15252" xr:uid="{00000000-0005-0000-0000-000079560000}"/>
    <cellStyle name="Normal 3 3 9" xfId="15253" xr:uid="{00000000-0005-0000-0000-00007A560000}"/>
    <cellStyle name="Normal 3 30" xfId="15254" xr:uid="{00000000-0005-0000-0000-00007B560000}"/>
    <cellStyle name="Normal 3 31" xfId="15255" xr:uid="{00000000-0005-0000-0000-00007C560000}"/>
    <cellStyle name="Normal 3 4" xfId="15256" xr:uid="{00000000-0005-0000-0000-00007D560000}"/>
    <cellStyle name="Normal 3 4 2" xfId="15257" xr:uid="{00000000-0005-0000-0000-00007E560000}"/>
    <cellStyle name="Normal 3 4 3" xfId="15258" xr:uid="{00000000-0005-0000-0000-00007F560000}"/>
    <cellStyle name="Normal 3 4 4" xfId="15259" xr:uid="{00000000-0005-0000-0000-000080560000}"/>
    <cellStyle name="Normal 3 4 5" xfId="37580" xr:uid="{00000000-0005-0000-0000-000081560000}"/>
    <cellStyle name="Normal 3 5" xfId="15260" xr:uid="{00000000-0005-0000-0000-000082560000}"/>
    <cellStyle name="Normal 3 5 2" xfId="15261" xr:uid="{00000000-0005-0000-0000-000083560000}"/>
    <cellStyle name="Normal 3 5 3" xfId="15262" xr:uid="{00000000-0005-0000-0000-000084560000}"/>
    <cellStyle name="Normal 3 5 4" xfId="15263" xr:uid="{00000000-0005-0000-0000-000085560000}"/>
    <cellStyle name="Normal 3 6" xfId="15264" xr:uid="{00000000-0005-0000-0000-000086560000}"/>
    <cellStyle name="Normal 3 6 2" xfId="15265" xr:uid="{00000000-0005-0000-0000-000087560000}"/>
    <cellStyle name="Normal 3 6 3" xfId="15266" xr:uid="{00000000-0005-0000-0000-000088560000}"/>
    <cellStyle name="Normal 3 7" xfId="15267" xr:uid="{00000000-0005-0000-0000-000089560000}"/>
    <cellStyle name="Normal 3 7 2" xfId="15268" xr:uid="{00000000-0005-0000-0000-00008A560000}"/>
    <cellStyle name="Normal 3 7 3" xfId="15269" xr:uid="{00000000-0005-0000-0000-00008B560000}"/>
    <cellStyle name="Normal 3 8" xfId="15270" xr:uid="{00000000-0005-0000-0000-00008C560000}"/>
    <cellStyle name="Normal 3 9" xfId="15271" xr:uid="{00000000-0005-0000-0000-00008D560000}"/>
    <cellStyle name="Normal 3_PROD_DETAILS" xfId="15272" xr:uid="{00000000-0005-0000-0000-00008E560000}"/>
    <cellStyle name="Normal 30" xfId="15273" xr:uid="{00000000-0005-0000-0000-00008F560000}"/>
    <cellStyle name="Normal 31" xfId="15274" xr:uid="{00000000-0005-0000-0000-000090560000}"/>
    <cellStyle name="Normal 32" xfId="15275" xr:uid="{00000000-0005-0000-0000-000091560000}"/>
    <cellStyle name="Normal 33" xfId="15276" xr:uid="{00000000-0005-0000-0000-000092560000}"/>
    <cellStyle name="Normal 34" xfId="15277" xr:uid="{00000000-0005-0000-0000-000093560000}"/>
    <cellStyle name="Normal 34 2" xfId="30352" xr:uid="{00000000-0005-0000-0000-000094560000}"/>
    <cellStyle name="Normal 35" xfId="15278" xr:uid="{00000000-0005-0000-0000-000095560000}"/>
    <cellStyle name="Normal 35 2" xfId="30353" xr:uid="{00000000-0005-0000-0000-000096560000}"/>
    <cellStyle name="Normal 36" xfId="15279" xr:uid="{00000000-0005-0000-0000-000097560000}"/>
    <cellStyle name="Normal 36 2" xfId="30354" xr:uid="{00000000-0005-0000-0000-000098560000}"/>
    <cellStyle name="Normal 37" xfId="15280" xr:uid="{00000000-0005-0000-0000-000099560000}"/>
    <cellStyle name="Normal 37 2" xfId="30355" xr:uid="{00000000-0005-0000-0000-00009A560000}"/>
    <cellStyle name="Normal 38" xfId="15281" xr:uid="{00000000-0005-0000-0000-00009B560000}"/>
    <cellStyle name="Normal 38 2" xfId="30356" xr:uid="{00000000-0005-0000-0000-00009C560000}"/>
    <cellStyle name="Normal 39" xfId="15282" xr:uid="{00000000-0005-0000-0000-00009D560000}"/>
    <cellStyle name="Normal 39 2" xfId="30357" xr:uid="{00000000-0005-0000-0000-00009E560000}"/>
    <cellStyle name="Normal 4" xfId="29" xr:uid="{00000000-0005-0000-0000-00009F560000}"/>
    <cellStyle name="Normal 4 10" xfId="15283" xr:uid="{00000000-0005-0000-0000-0000A0560000}"/>
    <cellStyle name="Normal 4 11" xfId="15284" xr:uid="{00000000-0005-0000-0000-0000A1560000}"/>
    <cellStyle name="Normal 4 12" xfId="15285" xr:uid="{00000000-0005-0000-0000-0000A2560000}"/>
    <cellStyle name="Normal 4 13" xfId="15286" xr:uid="{00000000-0005-0000-0000-0000A3560000}"/>
    <cellStyle name="Normal 4 14" xfId="15287" xr:uid="{00000000-0005-0000-0000-0000A4560000}"/>
    <cellStyle name="Normal 4 15" xfId="15288" xr:uid="{00000000-0005-0000-0000-0000A5560000}"/>
    <cellStyle name="Normal 4 16" xfId="15289" xr:uid="{00000000-0005-0000-0000-0000A6560000}"/>
    <cellStyle name="Normal 4 17" xfId="15290" xr:uid="{00000000-0005-0000-0000-0000A7560000}"/>
    <cellStyle name="Normal 4 18" xfId="15291" xr:uid="{00000000-0005-0000-0000-0000A8560000}"/>
    <cellStyle name="Normal 4 19" xfId="15292" xr:uid="{00000000-0005-0000-0000-0000A9560000}"/>
    <cellStyle name="Normal 4 2" xfId="15293" xr:uid="{00000000-0005-0000-0000-0000AA560000}"/>
    <cellStyle name="Normal 4 2 2" xfId="15294" xr:uid="{00000000-0005-0000-0000-0000AB560000}"/>
    <cellStyle name="Normal 4 2 2 2" xfId="15295" xr:uid="{00000000-0005-0000-0000-0000AC560000}"/>
    <cellStyle name="Normal 4 2 2 2 2" xfId="15296" xr:uid="{00000000-0005-0000-0000-0000AD560000}"/>
    <cellStyle name="Normal 4 2 2 2 3" xfId="15297" xr:uid="{00000000-0005-0000-0000-0000AE560000}"/>
    <cellStyle name="Normal 4 2 2 3" xfId="15298" xr:uid="{00000000-0005-0000-0000-0000AF560000}"/>
    <cellStyle name="Normal 4 2 2 4" xfId="15299" xr:uid="{00000000-0005-0000-0000-0000B0560000}"/>
    <cellStyle name="Normal 4 2 2 5" xfId="15300" xr:uid="{00000000-0005-0000-0000-0000B1560000}"/>
    <cellStyle name="Normal 4 2 3" xfId="15301" xr:uid="{00000000-0005-0000-0000-0000B2560000}"/>
    <cellStyle name="Normal 4 2 4" xfId="15302" xr:uid="{00000000-0005-0000-0000-0000B3560000}"/>
    <cellStyle name="Normal 4 2 5" xfId="15303" xr:uid="{00000000-0005-0000-0000-0000B4560000}"/>
    <cellStyle name="Normal 4 2 5 2" xfId="15304" xr:uid="{00000000-0005-0000-0000-0000B5560000}"/>
    <cellStyle name="Normal 4 2 5 3" xfId="15305" xr:uid="{00000000-0005-0000-0000-0000B6560000}"/>
    <cellStyle name="Normal 4 2 6" xfId="15306" xr:uid="{00000000-0005-0000-0000-0000B7560000}"/>
    <cellStyle name="Normal 4 2 7" xfId="15307" xr:uid="{00000000-0005-0000-0000-0000B8560000}"/>
    <cellStyle name="Normal 4 2 8" xfId="15308" xr:uid="{00000000-0005-0000-0000-0000B9560000}"/>
    <cellStyle name="Normal 4 20" xfId="15309" xr:uid="{00000000-0005-0000-0000-0000BA560000}"/>
    <cellStyle name="Normal 4 21" xfId="15310" xr:uid="{00000000-0005-0000-0000-0000BB560000}"/>
    <cellStyle name="Normal 4 22" xfId="15311" xr:uid="{00000000-0005-0000-0000-0000BC560000}"/>
    <cellStyle name="Normal 4 23" xfId="15312" xr:uid="{00000000-0005-0000-0000-0000BD560000}"/>
    <cellStyle name="Normal 4 24" xfId="15313" xr:uid="{00000000-0005-0000-0000-0000BE560000}"/>
    <cellStyle name="Normal 4 25" xfId="15314" xr:uid="{00000000-0005-0000-0000-0000BF560000}"/>
    <cellStyle name="Normal 4 26" xfId="15315" xr:uid="{00000000-0005-0000-0000-0000C0560000}"/>
    <cellStyle name="Normal 4 27" xfId="15316" xr:uid="{00000000-0005-0000-0000-0000C1560000}"/>
    <cellStyle name="Normal 4 27 2" xfId="15317" xr:uid="{00000000-0005-0000-0000-0000C2560000}"/>
    <cellStyle name="Normal 4 27 3" xfId="15318" xr:uid="{00000000-0005-0000-0000-0000C3560000}"/>
    <cellStyle name="Normal 4 28" xfId="15319" xr:uid="{00000000-0005-0000-0000-0000C4560000}"/>
    <cellStyle name="Normal 4 29" xfId="15320" xr:uid="{00000000-0005-0000-0000-0000C5560000}"/>
    <cellStyle name="Normal 4 3" xfId="15321" xr:uid="{00000000-0005-0000-0000-0000C6560000}"/>
    <cellStyle name="Normal 4 3 2" xfId="37582" xr:uid="{00000000-0005-0000-0000-0000C7560000}"/>
    <cellStyle name="Normal 4 30" xfId="15322" xr:uid="{00000000-0005-0000-0000-0000C8560000}"/>
    <cellStyle name="Normal 4 31" xfId="30358" xr:uid="{00000000-0005-0000-0000-0000C9560000}"/>
    <cellStyle name="Normal 4 4" xfId="15323" xr:uid="{00000000-0005-0000-0000-0000CA560000}"/>
    <cellStyle name="Normal 4 5" xfId="15324" xr:uid="{00000000-0005-0000-0000-0000CB560000}"/>
    <cellStyle name="Normal 4 6" xfId="15325" xr:uid="{00000000-0005-0000-0000-0000CC560000}"/>
    <cellStyle name="Normal 4 7" xfId="15326" xr:uid="{00000000-0005-0000-0000-0000CD560000}"/>
    <cellStyle name="Normal 4 8" xfId="15327" xr:uid="{00000000-0005-0000-0000-0000CE560000}"/>
    <cellStyle name="Normal 4 9" xfId="15328" xr:uid="{00000000-0005-0000-0000-0000CF560000}"/>
    <cellStyle name="Normal 40" xfId="15329" xr:uid="{00000000-0005-0000-0000-0000D0560000}"/>
    <cellStyle name="Normal 40 2" xfId="30359" xr:uid="{00000000-0005-0000-0000-0000D1560000}"/>
    <cellStyle name="Normal 41" xfId="15330" xr:uid="{00000000-0005-0000-0000-0000D2560000}"/>
    <cellStyle name="Normal 41 2" xfId="30360" xr:uid="{00000000-0005-0000-0000-0000D3560000}"/>
    <cellStyle name="Normal 42" xfId="15331" xr:uid="{00000000-0005-0000-0000-0000D4560000}"/>
    <cellStyle name="Normal 42 2" xfId="30361" xr:uid="{00000000-0005-0000-0000-0000D5560000}"/>
    <cellStyle name="Normal 43" xfId="15332" xr:uid="{00000000-0005-0000-0000-0000D6560000}"/>
    <cellStyle name="Normal 43 2" xfId="30362" xr:uid="{00000000-0005-0000-0000-0000D7560000}"/>
    <cellStyle name="Normal 44" xfId="15333" xr:uid="{00000000-0005-0000-0000-0000D8560000}"/>
    <cellStyle name="Normal 44 2" xfId="30363" xr:uid="{00000000-0005-0000-0000-0000D9560000}"/>
    <cellStyle name="Normal 45" xfId="15334" xr:uid="{00000000-0005-0000-0000-0000DA560000}"/>
    <cellStyle name="Normal 45 2" xfId="30364" xr:uid="{00000000-0005-0000-0000-0000DB560000}"/>
    <cellStyle name="Normal 46" xfId="15335" xr:uid="{00000000-0005-0000-0000-0000DC560000}"/>
    <cellStyle name="Normal 46 2" xfId="30365" xr:uid="{00000000-0005-0000-0000-0000DD560000}"/>
    <cellStyle name="Normal 47" xfId="15336" xr:uid="{00000000-0005-0000-0000-0000DE560000}"/>
    <cellStyle name="Normal 47 2" xfId="30366" xr:uid="{00000000-0005-0000-0000-0000DF560000}"/>
    <cellStyle name="Normal 48" xfId="15337" xr:uid="{00000000-0005-0000-0000-0000E0560000}"/>
    <cellStyle name="Normal 48 2" xfId="30367" xr:uid="{00000000-0005-0000-0000-0000E1560000}"/>
    <cellStyle name="Normal 49" xfId="15338" xr:uid="{00000000-0005-0000-0000-0000E2560000}"/>
    <cellStyle name="Normal 49 2" xfId="30368" xr:uid="{00000000-0005-0000-0000-0000E3560000}"/>
    <cellStyle name="Normal 5" xfId="15339" xr:uid="{00000000-0005-0000-0000-0000E4560000}"/>
    <cellStyle name="Normal 5 10" xfId="15340" xr:uid="{00000000-0005-0000-0000-0000E5560000}"/>
    <cellStyle name="Normal 5 11" xfId="15341" xr:uid="{00000000-0005-0000-0000-0000E6560000}"/>
    <cellStyle name="Normal 5 12" xfId="15342" xr:uid="{00000000-0005-0000-0000-0000E7560000}"/>
    <cellStyle name="Normal 5 13" xfId="15343" xr:uid="{00000000-0005-0000-0000-0000E8560000}"/>
    <cellStyle name="Normal 5 14" xfId="15344" xr:uid="{00000000-0005-0000-0000-0000E9560000}"/>
    <cellStyle name="Normal 5 15" xfId="15345" xr:uid="{00000000-0005-0000-0000-0000EA560000}"/>
    <cellStyle name="Normal 5 16" xfId="15346" xr:uid="{00000000-0005-0000-0000-0000EB560000}"/>
    <cellStyle name="Normal 5 17" xfId="15347" xr:uid="{00000000-0005-0000-0000-0000EC560000}"/>
    <cellStyle name="Normal 5 18" xfId="15348" xr:uid="{00000000-0005-0000-0000-0000ED560000}"/>
    <cellStyle name="Normal 5 19" xfId="15349" xr:uid="{00000000-0005-0000-0000-0000EE560000}"/>
    <cellStyle name="Normal 5 2" xfId="15350" xr:uid="{00000000-0005-0000-0000-0000EF560000}"/>
    <cellStyle name="Normal 5 2 2" xfId="15351" xr:uid="{00000000-0005-0000-0000-0000F0560000}"/>
    <cellStyle name="Normal 5 2 2 2" xfId="15352" xr:uid="{00000000-0005-0000-0000-0000F1560000}"/>
    <cellStyle name="Normal 5 2 2 2 2" xfId="15353" xr:uid="{00000000-0005-0000-0000-0000F2560000}"/>
    <cellStyle name="Normal 5 2 2 2 3" xfId="15354" xr:uid="{00000000-0005-0000-0000-0000F3560000}"/>
    <cellStyle name="Normal 5 2 2 3" xfId="15355" xr:uid="{00000000-0005-0000-0000-0000F4560000}"/>
    <cellStyle name="Normal 5 2 2 4" xfId="15356" xr:uid="{00000000-0005-0000-0000-0000F5560000}"/>
    <cellStyle name="Normal 5 2 2 5" xfId="15357" xr:uid="{00000000-0005-0000-0000-0000F6560000}"/>
    <cellStyle name="Normal 5 2 3" xfId="15358" xr:uid="{00000000-0005-0000-0000-0000F7560000}"/>
    <cellStyle name="Normal 5 2 4" xfId="15359" xr:uid="{00000000-0005-0000-0000-0000F8560000}"/>
    <cellStyle name="Normal 5 2 5" xfId="15360" xr:uid="{00000000-0005-0000-0000-0000F9560000}"/>
    <cellStyle name="Normal 5 2 5 2" xfId="15361" xr:uid="{00000000-0005-0000-0000-0000FA560000}"/>
    <cellStyle name="Normal 5 2 5 3" xfId="15362" xr:uid="{00000000-0005-0000-0000-0000FB560000}"/>
    <cellStyle name="Normal 5 2 6" xfId="15363" xr:uid="{00000000-0005-0000-0000-0000FC560000}"/>
    <cellStyle name="Normal 5 20" xfId="15364" xr:uid="{00000000-0005-0000-0000-0000FD560000}"/>
    <cellStyle name="Normal 5 21" xfId="15365" xr:uid="{00000000-0005-0000-0000-0000FE560000}"/>
    <cellStyle name="Normal 5 22" xfId="15366" xr:uid="{00000000-0005-0000-0000-0000FF560000}"/>
    <cellStyle name="Normal 5 23" xfId="15367" xr:uid="{00000000-0005-0000-0000-000000570000}"/>
    <cellStyle name="Normal 5 24" xfId="15368" xr:uid="{00000000-0005-0000-0000-000001570000}"/>
    <cellStyle name="Normal 5 25" xfId="15369" xr:uid="{00000000-0005-0000-0000-000002570000}"/>
    <cellStyle name="Normal 5 26" xfId="15370" xr:uid="{00000000-0005-0000-0000-000003570000}"/>
    <cellStyle name="Normal 5 27" xfId="15371" xr:uid="{00000000-0005-0000-0000-000004570000}"/>
    <cellStyle name="Normal 5 27 2" xfId="15372" xr:uid="{00000000-0005-0000-0000-000005570000}"/>
    <cellStyle name="Normal 5 27 3" xfId="15373" xr:uid="{00000000-0005-0000-0000-000006570000}"/>
    <cellStyle name="Normal 5 28" xfId="15374" xr:uid="{00000000-0005-0000-0000-000007570000}"/>
    <cellStyle name="Normal 5 29" xfId="15375" xr:uid="{00000000-0005-0000-0000-000008570000}"/>
    <cellStyle name="Normal 5 3" xfId="15376" xr:uid="{00000000-0005-0000-0000-000009570000}"/>
    <cellStyle name="Normal 5 3 2" xfId="37583" xr:uid="{00000000-0005-0000-0000-00000A570000}"/>
    <cellStyle name="Normal 5 30" xfId="15377" xr:uid="{00000000-0005-0000-0000-00000B570000}"/>
    <cellStyle name="Normal 5 31" xfId="30369" xr:uid="{00000000-0005-0000-0000-00000C570000}"/>
    <cellStyle name="Normal 5 4" xfId="15378" xr:uid="{00000000-0005-0000-0000-00000D570000}"/>
    <cellStyle name="Normal 5 5" xfId="15379" xr:uid="{00000000-0005-0000-0000-00000E570000}"/>
    <cellStyle name="Normal 5 6" xfId="15380" xr:uid="{00000000-0005-0000-0000-00000F570000}"/>
    <cellStyle name="Normal 5 7" xfId="15381" xr:uid="{00000000-0005-0000-0000-000010570000}"/>
    <cellStyle name="Normal 5 8" xfId="15382" xr:uid="{00000000-0005-0000-0000-000011570000}"/>
    <cellStyle name="Normal 5 9" xfId="15383" xr:uid="{00000000-0005-0000-0000-000012570000}"/>
    <cellStyle name="Normal 5_PROD_DETAILS" xfId="15384" xr:uid="{00000000-0005-0000-0000-000013570000}"/>
    <cellStyle name="Normal 50" xfId="15385" xr:uid="{00000000-0005-0000-0000-000014570000}"/>
    <cellStyle name="Normal 50 2" xfId="30370" xr:uid="{00000000-0005-0000-0000-000015570000}"/>
    <cellStyle name="Normal 51" xfId="15386" xr:uid="{00000000-0005-0000-0000-000016570000}"/>
    <cellStyle name="Normal 51 2" xfId="30371" xr:uid="{00000000-0005-0000-0000-000017570000}"/>
    <cellStyle name="Normal 52" xfId="15387" xr:uid="{00000000-0005-0000-0000-000018570000}"/>
    <cellStyle name="Normal 52 2" xfId="30372" xr:uid="{00000000-0005-0000-0000-000019570000}"/>
    <cellStyle name="Normal 53" xfId="15388" xr:uid="{00000000-0005-0000-0000-00001A570000}"/>
    <cellStyle name="Normal 53 2" xfId="30373" xr:uid="{00000000-0005-0000-0000-00001B570000}"/>
    <cellStyle name="Normal 54" xfId="15389" xr:uid="{00000000-0005-0000-0000-00001C570000}"/>
    <cellStyle name="Normal 54 2" xfId="30374" xr:uid="{00000000-0005-0000-0000-00001D570000}"/>
    <cellStyle name="Normal 55" xfId="15390" xr:uid="{00000000-0005-0000-0000-00001E570000}"/>
    <cellStyle name="Normal 55 2" xfId="30375" xr:uid="{00000000-0005-0000-0000-00001F570000}"/>
    <cellStyle name="Normal 56" xfId="15391" xr:uid="{00000000-0005-0000-0000-000020570000}"/>
    <cellStyle name="Normal 56 2" xfId="30376" xr:uid="{00000000-0005-0000-0000-000021570000}"/>
    <cellStyle name="Normal 57" xfId="15392" xr:uid="{00000000-0005-0000-0000-000022570000}"/>
    <cellStyle name="Normal 57 2" xfId="30377" xr:uid="{00000000-0005-0000-0000-000023570000}"/>
    <cellStyle name="Normal 58" xfId="15393" xr:uid="{00000000-0005-0000-0000-000024570000}"/>
    <cellStyle name="Normal 58 2" xfId="30378" xr:uid="{00000000-0005-0000-0000-000025570000}"/>
    <cellStyle name="Normal 59" xfId="15394" xr:uid="{00000000-0005-0000-0000-000026570000}"/>
    <cellStyle name="Normal 59 2" xfId="30379" xr:uid="{00000000-0005-0000-0000-000027570000}"/>
    <cellStyle name="Normal 6" xfId="15395" xr:uid="{00000000-0005-0000-0000-000028570000}"/>
    <cellStyle name="Normal 6 10" xfId="15396" xr:uid="{00000000-0005-0000-0000-000029570000}"/>
    <cellStyle name="Normal 6 11" xfId="15397" xr:uid="{00000000-0005-0000-0000-00002A570000}"/>
    <cellStyle name="Normal 6 12" xfId="15398" xr:uid="{00000000-0005-0000-0000-00002B570000}"/>
    <cellStyle name="Normal 6 13" xfId="15399" xr:uid="{00000000-0005-0000-0000-00002C570000}"/>
    <cellStyle name="Normal 6 14" xfId="15400" xr:uid="{00000000-0005-0000-0000-00002D570000}"/>
    <cellStyle name="Normal 6 15" xfId="15401" xr:uid="{00000000-0005-0000-0000-00002E570000}"/>
    <cellStyle name="Normal 6 16" xfId="15402" xr:uid="{00000000-0005-0000-0000-00002F570000}"/>
    <cellStyle name="Normal 6 17" xfId="15403" xr:uid="{00000000-0005-0000-0000-000030570000}"/>
    <cellStyle name="Normal 6 18" xfId="30380" xr:uid="{00000000-0005-0000-0000-000031570000}"/>
    <cellStyle name="Normal 6 2" xfId="15404" xr:uid="{00000000-0005-0000-0000-000032570000}"/>
    <cellStyle name="Normal 6 2 2" xfId="15405" xr:uid="{00000000-0005-0000-0000-000033570000}"/>
    <cellStyle name="Normal 6 2 2 2" xfId="15406" xr:uid="{00000000-0005-0000-0000-000034570000}"/>
    <cellStyle name="Normal 6 2 2 3" xfId="15407" xr:uid="{00000000-0005-0000-0000-000035570000}"/>
    <cellStyle name="Normal 6 2 2 4" xfId="15408" xr:uid="{00000000-0005-0000-0000-000036570000}"/>
    <cellStyle name="Normal 6 2 2 5" xfId="15409" xr:uid="{00000000-0005-0000-0000-000037570000}"/>
    <cellStyle name="Normal 6 2 3" xfId="15410" xr:uid="{00000000-0005-0000-0000-000038570000}"/>
    <cellStyle name="Normal 6 2 4" xfId="15411" xr:uid="{00000000-0005-0000-0000-000039570000}"/>
    <cellStyle name="Normal 6 2 5" xfId="15412" xr:uid="{00000000-0005-0000-0000-00003A570000}"/>
    <cellStyle name="Normal 6 2 6" xfId="15413" xr:uid="{00000000-0005-0000-0000-00003B570000}"/>
    <cellStyle name="Normal 6 2 7" xfId="30381" xr:uid="{00000000-0005-0000-0000-00003C570000}"/>
    <cellStyle name="Normal 6 3" xfId="15414" xr:uid="{00000000-0005-0000-0000-00003D570000}"/>
    <cellStyle name="Normal 6 4" xfId="15415" xr:uid="{00000000-0005-0000-0000-00003E570000}"/>
    <cellStyle name="Normal 6 5" xfId="15416" xr:uid="{00000000-0005-0000-0000-00003F570000}"/>
    <cellStyle name="Normal 6 6" xfId="15417" xr:uid="{00000000-0005-0000-0000-000040570000}"/>
    <cellStyle name="Normal 6 7" xfId="15418" xr:uid="{00000000-0005-0000-0000-000041570000}"/>
    <cellStyle name="Normal 6 8" xfId="15419" xr:uid="{00000000-0005-0000-0000-000042570000}"/>
    <cellStyle name="Normal 6 9" xfId="15420" xr:uid="{00000000-0005-0000-0000-000043570000}"/>
    <cellStyle name="Normal 60" xfId="15421" xr:uid="{00000000-0005-0000-0000-000044570000}"/>
    <cellStyle name="Normal 61" xfId="15422" xr:uid="{00000000-0005-0000-0000-000045570000}"/>
    <cellStyle name="Normal 61 2" xfId="30382" xr:uid="{00000000-0005-0000-0000-000046570000}"/>
    <cellStyle name="Normal 62" xfId="30383" xr:uid="{00000000-0005-0000-0000-000047570000}"/>
    <cellStyle name="Normal 63" xfId="30384" xr:uid="{00000000-0005-0000-0000-000048570000}"/>
    <cellStyle name="Normal 64" xfId="30385" xr:uid="{00000000-0005-0000-0000-000049570000}"/>
    <cellStyle name="Normal 65" xfId="30386" xr:uid="{00000000-0005-0000-0000-00004A570000}"/>
    <cellStyle name="Normal 66" xfId="37544" xr:uid="{00000000-0005-0000-0000-00004B570000}"/>
    <cellStyle name="Normal 67" xfId="37553" xr:uid="{00000000-0005-0000-0000-00004C570000}"/>
    <cellStyle name="Normal 68" xfId="37555" xr:uid="{00000000-0005-0000-0000-00004D570000}"/>
    <cellStyle name="Normal 69" xfId="37556" xr:uid="{00000000-0005-0000-0000-00004E570000}"/>
    <cellStyle name="Normal 7" xfId="15423" xr:uid="{00000000-0005-0000-0000-00004F570000}"/>
    <cellStyle name="Normal 7 10" xfId="15424" xr:uid="{00000000-0005-0000-0000-000050570000}"/>
    <cellStyle name="Normal 7 11" xfId="15425" xr:uid="{00000000-0005-0000-0000-000051570000}"/>
    <cellStyle name="Normal 7 12" xfId="30387" xr:uid="{00000000-0005-0000-0000-000052570000}"/>
    <cellStyle name="Normal 7 2" xfId="15426" xr:uid="{00000000-0005-0000-0000-000053570000}"/>
    <cellStyle name="Normal 7 2 2" xfId="15427" xr:uid="{00000000-0005-0000-0000-000054570000}"/>
    <cellStyle name="Normal 7 2 2 2" xfId="15428" xr:uid="{00000000-0005-0000-0000-000055570000}"/>
    <cellStyle name="Normal 7 2 2 3" xfId="15429" xr:uid="{00000000-0005-0000-0000-000056570000}"/>
    <cellStyle name="Normal 7 2 2 4" xfId="15430" xr:uid="{00000000-0005-0000-0000-000057570000}"/>
    <cellStyle name="Normal 7 2 2 5" xfId="15431" xr:uid="{00000000-0005-0000-0000-000058570000}"/>
    <cellStyle name="Normal 7 2 2 6" xfId="15432" xr:uid="{00000000-0005-0000-0000-000059570000}"/>
    <cellStyle name="Normal 7 2 3" xfId="15433" xr:uid="{00000000-0005-0000-0000-00005A570000}"/>
    <cellStyle name="Normal 7 2 3 2" xfId="15434" xr:uid="{00000000-0005-0000-0000-00005B570000}"/>
    <cellStyle name="Normal 7 2 3 3" xfId="15435" xr:uid="{00000000-0005-0000-0000-00005C570000}"/>
    <cellStyle name="Normal 7 2 4" xfId="15436" xr:uid="{00000000-0005-0000-0000-00005D570000}"/>
    <cellStyle name="Normal 7 2 4 2" xfId="15437" xr:uid="{00000000-0005-0000-0000-00005E570000}"/>
    <cellStyle name="Normal 7 2 4 3" xfId="15438" xr:uid="{00000000-0005-0000-0000-00005F570000}"/>
    <cellStyle name="Normal 7 2 5" xfId="15439" xr:uid="{00000000-0005-0000-0000-000060570000}"/>
    <cellStyle name="Normal 7 2 5 2" xfId="15440" xr:uid="{00000000-0005-0000-0000-000061570000}"/>
    <cellStyle name="Normal 7 2 5 3" xfId="15441" xr:uid="{00000000-0005-0000-0000-000062570000}"/>
    <cellStyle name="Normal 7 2 6" xfId="15442" xr:uid="{00000000-0005-0000-0000-000063570000}"/>
    <cellStyle name="Normal 7 2 7" xfId="15443" xr:uid="{00000000-0005-0000-0000-000064570000}"/>
    <cellStyle name="Normal 7 2 8" xfId="15444" xr:uid="{00000000-0005-0000-0000-000065570000}"/>
    <cellStyle name="Normal 7 2 9" xfId="30388" xr:uid="{00000000-0005-0000-0000-000066570000}"/>
    <cellStyle name="Normal 7 3" xfId="15445" xr:uid="{00000000-0005-0000-0000-000067570000}"/>
    <cellStyle name="Normal 7 3 2" xfId="15446" xr:uid="{00000000-0005-0000-0000-000068570000}"/>
    <cellStyle name="Normal 7 3 3" xfId="15447" xr:uid="{00000000-0005-0000-0000-000069570000}"/>
    <cellStyle name="Normal 7 3 4" xfId="15448" xr:uid="{00000000-0005-0000-0000-00006A570000}"/>
    <cellStyle name="Normal 7 4" xfId="15449" xr:uid="{00000000-0005-0000-0000-00006B570000}"/>
    <cellStyle name="Normal 7 4 2" xfId="15450" xr:uid="{00000000-0005-0000-0000-00006C570000}"/>
    <cellStyle name="Normal 7 4 3" xfId="15451" xr:uid="{00000000-0005-0000-0000-00006D570000}"/>
    <cellStyle name="Normal 7 4 4" xfId="15452" xr:uid="{00000000-0005-0000-0000-00006E570000}"/>
    <cellStyle name="Normal 7 5" xfId="15453" xr:uid="{00000000-0005-0000-0000-00006F570000}"/>
    <cellStyle name="Normal 7 5 2" xfId="15454" xr:uid="{00000000-0005-0000-0000-000070570000}"/>
    <cellStyle name="Normal 7 5 3" xfId="15455" xr:uid="{00000000-0005-0000-0000-000071570000}"/>
    <cellStyle name="Normal 7 6" xfId="15456" xr:uid="{00000000-0005-0000-0000-000072570000}"/>
    <cellStyle name="Normal 7 6 2" xfId="15457" xr:uid="{00000000-0005-0000-0000-000073570000}"/>
    <cellStyle name="Normal 7 6 3" xfId="15458" xr:uid="{00000000-0005-0000-0000-000074570000}"/>
    <cellStyle name="Normal 7 7" xfId="15459" xr:uid="{00000000-0005-0000-0000-000075570000}"/>
    <cellStyle name="Normal 7 8" xfId="15460" xr:uid="{00000000-0005-0000-0000-000076570000}"/>
    <cellStyle name="Normal 7 9" xfId="15461" xr:uid="{00000000-0005-0000-0000-000077570000}"/>
    <cellStyle name="Normal 70" xfId="37558" xr:uid="{00000000-0005-0000-0000-000078570000}"/>
    <cellStyle name="Normal 71" xfId="37559" xr:uid="{00000000-0005-0000-0000-000079570000}"/>
    <cellStyle name="Normal 72" xfId="37561" xr:uid="{00000000-0005-0000-0000-00007A570000}"/>
    <cellStyle name="Normal 73" xfId="37562" xr:uid="{00000000-0005-0000-0000-00007B570000}"/>
    <cellStyle name="Normal 74" xfId="37557" xr:uid="{00000000-0005-0000-0000-00007C570000}"/>
    <cellStyle name="Normal 75" xfId="37554" xr:uid="{00000000-0005-0000-0000-00007D570000}"/>
    <cellStyle name="Normal 76" xfId="37563" xr:uid="{00000000-0005-0000-0000-00007E570000}"/>
    <cellStyle name="Normal 77" xfId="37565" xr:uid="{00000000-0005-0000-0000-00007F570000}"/>
    <cellStyle name="Normal 78" xfId="37567" xr:uid="{00000000-0005-0000-0000-000080570000}"/>
    <cellStyle name="Normal 79" xfId="37569" xr:uid="{00000000-0005-0000-0000-000081570000}"/>
    <cellStyle name="Normal 8" xfId="12" xr:uid="{00000000-0005-0000-0000-000082570000}"/>
    <cellStyle name="Normal 8 10" xfId="15462" xr:uid="{00000000-0005-0000-0000-000083570000}"/>
    <cellStyle name="Normal 8 11" xfId="15463" xr:uid="{00000000-0005-0000-0000-000084570000}"/>
    <cellStyle name="Normal 8 12" xfId="15464" xr:uid="{00000000-0005-0000-0000-000085570000}"/>
    <cellStyle name="Normal 8 13" xfId="15465" xr:uid="{00000000-0005-0000-0000-000086570000}"/>
    <cellStyle name="Normal 8 14" xfId="15466" xr:uid="{00000000-0005-0000-0000-000087570000}"/>
    <cellStyle name="Normal 8 15" xfId="15467" xr:uid="{00000000-0005-0000-0000-000088570000}"/>
    <cellStyle name="Normal 8 16" xfId="15468" xr:uid="{00000000-0005-0000-0000-000089570000}"/>
    <cellStyle name="Normal 8 17" xfId="15469" xr:uid="{00000000-0005-0000-0000-00008A570000}"/>
    <cellStyle name="Normal 8 18" xfId="15470" xr:uid="{00000000-0005-0000-0000-00008B570000}"/>
    <cellStyle name="Normal 8 19" xfId="15471" xr:uid="{00000000-0005-0000-0000-00008C570000}"/>
    <cellStyle name="Normal 8 2" xfId="15472" xr:uid="{00000000-0005-0000-0000-00008D570000}"/>
    <cellStyle name="Normal 8 2 2" xfId="15473" xr:uid="{00000000-0005-0000-0000-00008E570000}"/>
    <cellStyle name="Normal 8 2 2 2" xfId="15474" xr:uid="{00000000-0005-0000-0000-00008F570000}"/>
    <cellStyle name="Normal 8 2 2 3" xfId="15475" xr:uid="{00000000-0005-0000-0000-000090570000}"/>
    <cellStyle name="Normal 8 2 2 4" xfId="15476" xr:uid="{00000000-0005-0000-0000-000091570000}"/>
    <cellStyle name="Normal 8 2 3" xfId="15477" xr:uid="{00000000-0005-0000-0000-000092570000}"/>
    <cellStyle name="Normal 8 2 3 2" xfId="15478" xr:uid="{00000000-0005-0000-0000-000093570000}"/>
    <cellStyle name="Normal 8 2 3 3" xfId="15479" xr:uid="{00000000-0005-0000-0000-000094570000}"/>
    <cellStyle name="Normal 8 2 4" xfId="15480" xr:uid="{00000000-0005-0000-0000-000095570000}"/>
    <cellStyle name="Normal 8 2 4 2" xfId="15481" xr:uid="{00000000-0005-0000-0000-000096570000}"/>
    <cellStyle name="Normal 8 2 4 3" xfId="15482" xr:uid="{00000000-0005-0000-0000-000097570000}"/>
    <cellStyle name="Normal 8 2 5" xfId="15483" xr:uid="{00000000-0005-0000-0000-000098570000}"/>
    <cellStyle name="Normal 8 2 5 2" xfId="15484" xr:uid="{00000000-0005-0000-0000-000099570000}"/>
    <cellStyle name="Normal 8 2 5 3" xfId="15485" xr:uid="{00000000-0005-0000-0000-00009A570000}"/>
    <cellStyle name="Normal 8 2 6" xfId="15486" xr:uid="{00000000-0005-0000-0000-00009B570000}"/>
    <cellStyle name="Normal 8 2 7" xfId="15487" xr:uid="{00000000-0005-0000-0000-00009C570000}"/>
    <cellStyle name="Normal 8 2 8" xfId="15488" xr:uid="{00000000-0005-0000-0000-00009D570000}"/>
    <cellStyle name="Normal 8 20" xfId="15489" xr:uid="{00000000-0005-0000-0000-00009E570000}"/>
    <cellStyle name="Normal 8 21" xfId="15490" xr:uid="{00000000-0005-0000-0000-00009F570000}"/>
    <cellStyle name="Normal 8 22" xfId="15491" xr:uid="{00000000-0005-0000-0000-0000A0570000}"/>
    <cellStyle name="Normal 8 23" xfId="15492" xr:uid="{00000000-0005-0000-0000-0000A1570000}"/>
    <cellStyle name="Normal 8 24" xfId="15493" xr:uid="{00000000-0005-0000-0000-0000A2570000}"/>
    <cellStyle name="Normal 8 25" xfId="15494" xr:uid="{00000000-0005-0000-0000-0000A3570000}"/>
    <cellStyle name="Normal 8 26" xfId="15495" xr:uid="{00000000-0005-0000-0000-0000A4570000}"/>
    <cellStyle name="Normal 8 27" xfId="30389" xr:uid="{00000000-0005-0000-0000-0000A5570000}"/>
    <cellStyle name="Normal 8 3" xfId="15496" xr:uid="{00000000-0005-0000-0000-0000A6570000}"/>
    <cellStyle name="Normal 8 3 2" xfId="15497" xr:uid="{00000000-0005-0000-0000-0000A7570000}"/>
    <cellStyle name="Normal 8 3 3" xfId="15498" xr:uid="{00000000-0005-0000-0000-0000A8570000}"/>
    <cellStyle name="Normal 8 3 4" xfId="15499" xr:uid="{00000000-0005-0000-0000-0000A9570000}"/>
    <cellStyle name="Normal 8 4" xfId="15500" xr:uid="{00000000-0005-0000-0000-0000AA570000}"/>
    <cellStyle name="Normal 8 4 2" xfId="15501" xr:uid="{00000000-0005-0000-0000-0000AB570000}"/>
    <cellStyle name="Normal 8 4 3" xfId="15502" xr:uid="{00000000-0005-0000-0000-0000AC570000}"/>
    <cellStyle name="Normal 8 4 4" xfId="15503" xr:uid="{00000000-0005-0000-0000-0000AD570000}"/>
    <cellStyle name="Normal 8 5" xfId="15504" xr:uid="{00000000-0005-0000-0000-0000AE570000}"/>
    <cellStyle name="Normal 8 5 2" xfId="15505" xr:uid="{00000000-0005-0000-0000-0000AF570000}"/>
    <cellStyle name="Normal 8 5 3" xfId="15506" xr:uid="{00000000-0005-0000-0000-0000B0570000}"/>
    <cellStyle name="Normal 8 6" xfId="15507" xr:uid="{00000000-0005-0000-0000-0000B1570000}"/>
    <cellStyle name="Normal 8 6 2" xfId="15508" xr:uid="{00000000-0005-0000-0000-0000B2570000}"/>
    <cellStyle name="Normal 8 6 3" xfId="15509" xr:uid="{00000000-0005-0000-0000-0000B3570000}"/>
    <cellStyle name="Normal 8 7" xfId="15510" xr:uid="{00000000-0005-0000-0000-0000B4570000}"/>
    <cellStyle name="Normal 8 8" xfId="15511" xr:uid="{00000000-0005-0000-0000-0000B5570000}"/>
    <cellStyle name="Normal 8 9" xfId="15512" xr:uid="{00000000-0005-0000-0000-0000B6570000}"/>
    <cellStyle name="Normal 9" xfId="15513" xr:uid="{00000000-0005-0000-0000-0000B7570000}"/>
    <cellStyle name="Normal 9 10" xfId="15514" xr:uid="{00000000-0005-0000-0000-0000B8570000}"/>
    <cellStyle name="Normal 9 11" xfId="15515" xr:uid="{00000000-0005-0000-0000-0000B9570000}"/>
    <cellStyle name="Normal 9 12" xfId="15516" xr:uid="{00000000-0005-0000-0000-0000BA570000}"/>
    <cellStyle name="Normal 9 13" xfId="15517" xr:uid="{00000000-0005-0000-0000-0000BB570000}"/>
    <cellStyle name="Normal 9 14" xfId="15518" xr:uid="{00000000-0005-0000-0000-0000BC570000}"/>
    <cellStyle name="Normal 9 15" xfId="15519" xr:uid="{00000000-0005-0000-0000-0000BD570000}"/>
    <cellStyle name="Normal 9 16" xfId="15520" xr:uid="{00000000-0005-0000-0000-0000BE570000}"/>
    <cellStyle name="Normal 9 17" xfId="15521" xr:uid="{00000000-0005-0000-0000-0000BF570000}"/>
    <cellStyle name="Normal 9 18" xfId="15522" xr:uid="{00000000-0005-0000-0000-0000C0570000}"/>
    <cellStyle name="Normal 9 19" xfId="15523" xr:uid="{00000000-0005-0000-0000-0000C1570000}"/>
    <cellStyle name="Normal 9 2" xfId="15524" xr:uid="{00000000-0005-0000-0000-0000C2570000}"/>
    <cellStyle name="Normal 9 2 2" xfId="15525" xr:uid="{00000000-0005-0000-0000-0000C3570000}"/>
    <cellStyle name="Normal 9 2 3" xfId="15526" xr:uid="{00000000-0005-0000-0000-0000C4570000}"/>
    <cellStyle name="Normal 9 2 4" xfId="15527" xr:uid="{00000000-0005-0000-0000-0000C5570000}"/>
    <cellStyle name="Normal 9 2 5" xfId="15528" xr:uid="{00000000-0005-0000-0000-0000C6570000}"/>
    <cellStyle name="Normal 9 2 6" xfId="15529" xr:uid="{00000000-0005-0000-0000-0000C7570000}"/>
    <cellStyle name="Normal 9 20" xfId="15530" xr:uid="{00000000-0005-0000-0000-0000C8570000}"/>
    <cellStyle name="Normal 9 21" xfId="15531" xr:uid="{00000000-0005-0000-0000-0000C9570000}"/>
    <cellStyle name="Normal 9 22" xfId="15532" xr:uid="{00000000-0005-0000-0000-0000CA570000}"/>
    <cellStyle name="Normal 9 23" xfId="15533" xr:uid="{00000000-0005-0000-0000-0000CB570000}"/>
    <cellStyle name="Normal 9 24" xfId="15534" xr:uid="{00000000-0005-0000-0000-0000CC570000}"/>
    <cellStyle name="Normal 9 25" xfId="15535" xr:uid="{00000000-0005-0000-0000-0000CD570000}"/>
    <cellStyle name="Normal 9 26" xfId="15536" xr:uid="{00000000-0005-0000-0000-0000CE570000}"/>
    <cellStyle name="Normal 9 27" xfId="15537" xr:uid="{00000000-0005-0000-0000-0000CF570000}"/>
    <cellStyle name="Normal 9 28" xfId="15538" xr:uid="{00000000-0005-0000-0000-0000D0570000}"/>
    <cellStyle name="Normal 9 29" xfId="15539" xr:uid="{00000000-0005-0000-0000-0000D1570000}"/>
    <cellStyle name="Normal 9 3" xfId="15540" xr:uid="{00000000-0005-0000-0000-0000D2570000}"/>
    <cellStyle name="Normal 9 30" xfId="15541" xr:uid="{00000000-0005-0000-0000-0000D3570000}"/>
    <cellStyle name="Normal 9 31" xfId="15542" xr:uid="{00000000-0005-0000-0000-0000D4570000}"/>
    <cellStyle name="Normal 9 32" xfId="15543" xr:uid="{00000000-0005-0000-0000-0000D5570000}"/>
    <cellStyle name="Normal 9 33" xfId="15544" xr:uid="{00000000-0005-0000-0000-0000D6570000}"/>
    <cellStyle name="Normal 9 34" xfId="15545" xr:uid="{00000000-0005-0000-0000-0000D7570000}"/>
    <cellStyle name="Normal 9 35" xfId="15546" xr:uid="{00000000-0005-0000-0000-0000D8570000}"/>
    <cellStyle name="Normal 9 36" xfId="15547" xr:uid="{00000000-0005-0000-0000-0000D9570000}"/>
    <cellStyle name="Normal 9 37" xfId="15548" xr:uid="{00000000-0005-0000-0000-0000DA570000}"/>
    <cellStyle name="Normal 9 38" xfId="15549" xr:uid="{00000000-0005-0000-0000-0000DB570000}"/>
    <cellStyle name="Normal 9 39" xfId="15550" xr:uid="{00000000-0005-0000-0000-0000DC570000}"/>
    <cellStyle name="Normal 9 4" xfId="15551" xr:uid="{00000000-0005-0000-0000-0000DD570000}"/>
    <cellStyle name="Normal 9 40" xfId="15552" xr:uid="{00000000-0005-0000-0000-0000DE570000}"/>
    <cellStyle name="Normal 9 41" xfId="15553" xr:uid="{00000000-0005-0000-0000-0000DF570000}"/>
    <cellStyle name="Normal 9 42" xfId="15554" xr:uid="{00000000-0005-0000-0000-0000E0570000}"/>
    <cellStyle name="Normal 9 43" xfId="15555" xr:uid="{00000000-0005-0000-0000-0000E1570000}"/>
    <cellStyle name="Normal 9 44" xfId="15556" xr:uid="{00000000-0005-0000-0000-0000E2570000}"/>
    <cellStyle name="Normal 9 45" xfId="15557" xr:uid="{00000000-0005-0000-0000-0000E3570000}"/>
    <cellStyle name="Normal 9 46" xfId="15558" xr:uid="{00000000-0005-0000-0000-0000E4570000}"/>
    <cellStyle name="Normal 9 47" xfId="15559" xr:uid="{00000000-0005-0000-0000-0000E5570000}"/>
    <cellStyle name="Normal 9 48" xfId="15560" xr:uid="{00000000-0005-0000-0000-0000E6570000}"/>
    <cellStyle name="Normal 9 49" xfId="15561" xr:uid="{00000000-0005-0000-0000-0000E7570000}"/>
    <cellStyle name="Normal 9 5" xfId="15562" xr:uid="{00000000-0005-0000-0000-0000E8570000}"/>
    <cellStyle name="Normal 9 50" xfId="15563" xr:uid="{00000000-0005-0000-0000-0000E9570000}"/>
    <cellStyle name="Normal 9 51" xfId="15564" xr:uid="{00000000-0005-0000-0000-0000EA570000}"/>
    <cellStyle name="Normal 9 52" xfId="15565" xr:uid="{00000000-0005-0000-0000-0000EB570000}"/>
    <cellStyle name="Normal 9 53" xfId="15566" xr:uid="{00000000-0005-0000-0000-0000EC570000}"/>
    <cellStyle name="Normal 9 54" xfId="15567" xr:uid="{00000000-0005-0000-0000-0000ED570000}"/>
    <cellStyle name="Normal 9 55" xfId="15568" xr:uid="{00000000-0005-0000-0000-0000EE570000}"/>
    <cellStyle name="Normal 9 56" xfId="15569" xr:uid="{00000000-0005-0000-0000-0000EF570000}"/>
    <cellStyle name="Normal 9 57" xfId="15570" xr:uid="{00000000-0005-0000-0000-0000F0570000}"/>
    <cellStyle name="Normal 9 58" xfId="15571" xr:uid="{00000000-0005-0000-0000-0000F1570000}"/>
    <cellStyle name="Normal 9 59" xfId="15572" xr:uid="{00000000-0005-0000-0000-0000F2570000}"/>
    <cellStyle name="Normal 9 6" xfId="15573" xr:uid="{00000000-0005-0000-0000-0000F3570000}"/>
    <cellStyle name="Normal 9 60" xfId="15574" xr:uid="{00000000-0005-0000-0000-0000F4570000}"/>
    <cellStyle name="Normal 9 61" xfId="15575" xr:uid="{00000000-0005-0000-0000-0000F5570000}"/>
    <cellStyle name="Normal 9 62" xfId="15576" xr:uid="{00000000-0005-0000-0000-0000F6570000}"/>
    <cellStyle name="Normal 9 63" xfId="15577" xr:uid="{00000000-0005-0000-0000-0000F7570000}"/>
    <cellStyle name="Normal 9 64" xfId="15578" xr:uid="{00000000-0005-0000-0000-0000F8570000}"/>
    <cellStyle name="Normal 9 65" xfId="15579" xr:uid="{00000000-0005-0000-0000-0000F9570000}"/>
    <cellStyle name="Normal 9 66" xfId="15580" xr:uid="{00000000-0005-0000-0000-0000FA570000}"/>
    <cellStyle name="Normal 9 67" xfId="15581" xr:uid="{00000000-0005-0000-0000-0000FB570000}"/>
    <cellStyle name="Normal 9 68" xfId="15582" xr:uid="{00000000-0005-0000-0000-0000FC570000}"/>
    <cellStyle name="Normal 9 69" xfId="15583" xr:uid="{00000000-0005-0000-0000-0000FD570000}"/>
    <cellStyle name="Normal 9 7" xfId="15584" xr:uid="{00000000-0005-0000-0000-0000FE570000}"/>
    <cellStyle name="Normal 9 70" xfId="15585" xr:uid="{00000000-0005-0000-0000-0000FF570000}"/>
    <cellStyle name="Normal 9 71" xfId="15586" xr:uid="{00000000-0005-0000-0000-000000580000}"/>
    <cellStyle name="Normal 9 72" xfId="15587" xr:uid="{00000000-0005-0000-0000-000001580000}"/>
    <cellStyle name="Normal 9 73" xfId="15588" xr:uid="{00000000-0005-0000-0000-000002580000}"/>
    <cellStyle name="Normal 9 74" xfId="15589" xr:uid="{00000000-0005-0000-0000-000003580000}"/>
    <cellStyle name="Normal 9 75" xfId="15590" xr:uid="{00000000-0005-0000-0000-000004580000}"/>
    <cellStyle name="Normal 9 76" xfId="15591" xr:uid="{00000000-0005-0000-0000-000005580000}"/>
    <cellStyle name="Normal 9 77" xfId="15592" xr:uid="{00000000-0005-0000-0000-000006580000}"/>
    <cellStyle name="Normal 9 78" xfId="30390" xr:uid="{00000000-0005-0000-0000-000007580000}"/>
    <cellStyle name="Normal 9 8" xfId="15593" xr:uid="{00000000-0005-0000-0000-000008580000}"/>
    <cellStyle name="Normal 9 9" xfId="15594" xr:uid="{00000000-0005-0000-0000-000009580000}"/>
    <cellStyle name="Note 10" xfId="15595" xr:uid="{00000000-0005-0000-0000-00000A580000}"/>
    <cellStyle name="Note 10 10" xfId="15596" xr:uid="{00000000-0005-0000-0000-00000B580000}"/>
    <cellStyle name="Note 10 10 2" xfId="15597" xr:uid="{00000000-0005-0000-0000-00000C580000}"/>
    <cellStyle name="Note 10 10 3" xfId="30391" xr:uid="{00000000-0005-0000-0000-00000D580000}"/>
    <cellStyle name="Note 10 10 4" xfId="30392" xr:uid="{00000000-0005-0000-0000-00000E580000}"/>
    <cellStyle name="Note 10 11" xfId="15598" xr:uid="{00000000-0005-0000-0000-00000F580000}"/>
    <cellStyle name="Note 10 11 2" xfId="15599" xr:uid="{00000000-0005-0000-0000-000010580000}"/>
    <cellStyle name="Note 10 11 3" xfId="30393" xr:uid="{00000000-0005-0000-0000-000011580000}"/>
    <cellStyle name="Note 10 11 4" xfId="30394" xr:uid="{00000000-0005-0000-0000-000012580000}"/>
    <cellStyle name="Note 10 12" xfId="15600" xr:uid="{00000000-0005-0000-0000-000013580000}"/>
    <cellStyle name="Note 10 13" xfId="30395" xr:uid="{00000000-0005-0000-0000-000014580000}"/>
    <cellStyle name="Note 10 14" xfId="30396" xr:uid="{00000000-0005-0000-0000-000015580000}"/>
    <cellStyle name="Note 10 2" xfId="15601" xr:uid="{00000000-0005-0000-0000-000016580000}"/>
    <cellStyle name="Note 10 2 10" xfId="30397" xr:uid="{00000000-0005-0000-0000-000017580000}"/>
    <cellStyle name="Note 10 2 2" xfId="15602" xr:uid="{00000000-0005-0000-0000-000018580000}"/>
    <cellStyle name="Note 10 2 2 2" xfId="15603" xr:uid="{00000000-0005-0000-0000-000019580000}"/>
    <cellStyle name="Note 10 2 2 3" xfId="30398" xr:uid="{00000000-0005-0000-0000-00001A580000}"/>
    <cellStyle name="Note 10 2 2 4" xfId="30399" xr:uid="{00000000-0005-0000-0000-00001B580000}"/>
    <cellStyle name="Note 10 2 3" xfId="15604" xr:uid="{00000000-0005-0000-0000-00001C580000}"/>
    <cellStyle name="Note 10 2 3 2" xfId="15605" xr:uid="{00000000-0005-0000-0000-00001D580000}"/>
    <cellStyle name="Note 10 2 3 3" xfId="30400" xr:uid="{00000000-0005-0000-0000-00001E580000}"/>
    <cellStyle name="Note 10 2 3 4" xfId="30401" xr:uid="{00000000-0005-0000-0000-00001F580000}"/>
    <cellStyle name="Note 10 2 4" xfId="15606" xr:uid="{00000000-0005-0000-0000-000020580000}"/>
    <cellStyle name="Note 10 2 4 2" xfId="15607" xr:uid="{00000000-0005-0000-0000-000021580000}"/>
    <cellStyle name="Note 10 2 4 3" xfId="30402" xr:uid="{00000000-0005-0000-0000-000022580000}"/>
    <cellStyle name="Note 10 2 4 4" xfId="30403" xr:uid="{00000000-0005-0000-0000-000023580000}"/>
    <cellStyle name="Note 10 2 5" xfId="15608" xr:uid="{00000000-0005-0000-0000-000024580000}"/>
    <cellStyle name="Note 10 2 5 2" xfId="15609" xr:uid="{00000000-0005-0000-0000-000025580000}"/>
    <cellStyle name="Note 10 2 5 3" xfId="30404" xr:uid="{00000000-0005-0000-0000-000026580000}"/>
    <cellStyle name="Note 10 2 5 4" xfId="30405" xr:uid="{00000000-0005-0000-0000-000027580000}"/>
    <cellStyle name="Note 10 2 6" xfId="15610" xr:uid="{00000000-0005-0000-0000-000028580000}"/>
    <cellStyle name="Note 10 2 6 2" xfId="15611" xr:uid="{00000000-0005-0000-0000-000029580000}"/>
    <cellStyle name="Note 10 2 6 3" xfId="30406" xr:uid="{00000000-0005-0000-0000-00002A580000}"/>
    <cellStyle name="Note 10 2 6 4" xfId="30407" xr:uid="{00000000-0005-0000-0000-00002B580000}"/>
    <cellStyle name="Note 10 2 7" xfId="15612" xr:uid="{00000000-0005-0000-0000-00002C580000}"/>
    <cellStyle name="Note 10 2 7 2" xfId="15613" xr:uid="{00000000-0005-0000-0000-00002D580000}"/>
    <cellStyle name="Note 10 2 7 3" xfId="30408" xr:uid="{00000000-0005-0000-0000-00002E580000}"/>
    <cellStyle name="Note 10 2 7 4" xfId="30409" xr:uid="{00000000-0005-0000-0000-00002F580000}"/>
    <cellStyle name="Note 10 2 8" xfId="15614" xr:uid="{00000000-0005-0000-0000-000030580000}"/>
    <cellStyle name="Note 10 2 9" xfId="30410" xr:uid="{00000000-0005-0000-0000-000031580000}"/>
    <cellStyle name="Note 10 3" xfId="15615" xr:uid="{00000000-0005-0000-0000-000032580000}"/>
    <cellStyle name="Note 10 3 10" xfId="30411" xr:uid="{00000000-0005-0000-0000-000033580000}"/>
    <cellStyle name="Note 10 3 2" xfId="15616" xr:uid="{00000000-0005-0000-0000-000034580000}"/>
    <cellStyle name="Note 10 3 2 2" xfId="15617" xr:uid="{00000000-0005-0000-0000-000035580000}"/>
    <cellStyle name="Note 10 3 2 3" xfId="30412" xr:uid="{00000000-0005-0000-0000-000036580000}"/>
    <cellStyle name="Note 10 3 2 4" xfId="30413" xr:uid="{00000000-0005-0000-0000-000037580000}"/>
    <cellStyle name="Note 10 3 3" xfId="15618" xr:uid="{00000000-0005-0000-0000-000038580000}"/>
    <cellStyle name="Note 10 3 3 2" xfId="15619" xr:uid="{00000000-0005-0000-0000-000039580000}"/>
    <cellStyle name="Note 10 3 3 3" xfId="30414" xr:uid="{00000000-0005-0000-0000-00003A580000}"/>
    <cellStyle name="Note 10 3 3 4" xfId="30415" xr:uid="{00000000-0005-0000-0000-00003B580000}"/>
    <cellStyle name="Note 10 3 4" xfId="15620" xr:uid="{00000000-0005-0000-0000-00003C580000}"/>
    <cellStyle name="Note 10 3 4 2" xfId="15621" xr:uid="{00000000-0005-0000-0000-00003D580000}"/>
    <cellStyle name="Note 10 3 4 3" xfId="30416" xr:uid="{00000000-0005-0000-0000-00003E580000}"/>
    <cellStyle name="Note 10 3 4 4" xfId="30417" xr:uid="{00000000-0005-0000-0000-00003F580000}"/>
    <cellStyle name="Note 10 3 5" xfId="15622" xr:uid="{00000000-0005-0000-0000-000040580000}"/>
    <cellStyle name="Note 10 3 5 2" xfId="15623" xr:uid="{00000000-0005-0000-0000-000041580000}"/>
    <cellStyle name="Note 10 3 5 3" xfId="30418" xr:uid="{00000000-0005-0000-0000-000042580000}"/>
    <cellStyle name="Note 10 3 5 4" xfId="30419" xr:uid="{00000000-0005-0000-0000-000043580000}"/>
    <cellStyle name="Note 10 3 6" xfId="15624" xr:uid="{00000000-0005-0000-0000-000044580000}"/>
    <cellStyle name="Note 10 3 6 2" xfId="15625" xr:uid="{00000000-0005-0000-0000-000045580000}"/>
    <cellStyle name="Note 10 3 6 3" xfId="30420" xr:uid="{00000000-0005-0000-0000-000046580000}"/>
    <cellStyle name="Note 10 3 6 4" xfId="30421" xr:uid="{00000000-0005-0000-0000-000047580000}"/>
    <cellStyle name="Note 10 3 7" xfId="15626" xr:uid="{00000000-0005-0000-0000-000048580000}"/>
    <cellStyle name="Note 10 3 7 2" xfId="15627" xr:uid="{00000000-0005-0000-0000-000049580000}"/>
    <cellStyle name="Note 10 3 7 3" xfId="30422" xr:uid="{00000000-0005-0000-0000-00004A580000}"/>
    <cellStyle name="Note 10 3 7 4" xfId="30423" xr:uid="{00000000-0005-0000-0000-00004B580000}"/>
    <cellStyle name="Note 10 3 8" xfId="15628" xr:uid="{00000000-0005-0000-0000-00004C580000}"/>
    <cellStyle name="Note 10 3 9" xfId="30424" xr:uid="{00000000-0005-0000-0000-00004D580000}"/>
    <cellStyle name="Note 10 4" xfId="15629" xr:uid="{00000000-0005-0000-0000-00004E580000}"/>
    <cellStyle name="Note 10 4 10" xfId="30425" xr:uid="{00000000-0005-0000-0000-00004F580000}"/>
    <cellStyle name="Note 10 4 2" xfId="15630" xr:uid="{00000000-0005-0000-0000-000050580000}"/>
    <cellStyle name="Note 10 4 2 2" xfId="15631" xr:uid="{00000000-0005-0000-0000-000051580000}"/>
    <cellStyle name="Note 10 4 2 3" xfId="30426" xr:uid="{00000000-0005-0000-0000-000052580000}"/>
    <cellStyle name="Note 10 4 2 4" xfId="30427" xr:uid="{00000000-0005-0000-0000-000053580000}"/>
    <cellStyle name="Note 10 4 3" xfId="15632" xr:uid="{00000000-0005-0000-0000-000054580000}"/>
    <cellStyle name="Note 10 4 3 2" xfId="15633" xr:uid="{00000000-0005-0000-0000-000055580000}"/>
    <cellStyle name="Note 10 4 3 3" xfId="30428" xr:uid="{00000000-0005-0000-0000-000056580000}"/>
    <cellStyle name="Note 10 4 3 4" xfId="30429" xr:uid="{00000000-0005-0000-0000-000057580000}"/>
    <cellStyle name="Note 10 4 4" xfId="15634" xr:uid="{00000000-0005-0000-0000-000058580000}"/>
    <cellStyle name="Note 10 4 4 2" xfId="15635" xr:uid="{00000000-0005-0000-0000-000059580000}"/>
    <cellStyle name="Note 10 4 4 3" xfId="30430" xr:uid="{00000000-0005-0000-0000-00005A580000}"/>
    <cellStyle name="Note 10 4 4 4" xfId="30431" xr:uid="{00000000-0005-0000-0000-00005B580000}"/>
    <cellStyle name="Note 10 4 5" xfId="15636" xr:uid="{00000000-0005-0000-0000-00005C580000}"/>
    <cellStyle name="Note 10 4 5 2" xfId="15637" xr:uid="{00000000-0005-0000-0000-00005D580000}"/>
    <cellStyle name="Note 10 4 5 3" xfId="30432" xr:uid="{00000000-0005-0000-0000-00005E580000}"/>
    <cellStyle name="Note 10 4 5 4" xfId="30433" xr:uid="{00000000-0005-0000-0000-00005F580000}"/>
    <cellStyle name="Note 10 4 6" xfId="15638" xr:uid="{00000000-0005-0000-0000-000060580000}"/>
    <cellStyle name="Note 10 4 6 2" xfId="15639" xr:uid="{00000000-0005-0000-0000-000061580000}"/>
    <cellStyle name="Note 10 4 6 3" xfId="30434" xr:uid="{00000000-0005-0000-0000-000062580000}"/>
    <cellStyle name="Note 10 4 6 4" xfId="30435" xr:uid="{00000000-0005-0000-0000-000063580000}"/>
    <cellStyle name="Note 10 4 7" xfId="15640" xr:uid="{00000000-0005-0000-0000-000064580000}"/>
    <cellStyle name="Note 10 4 7 2" xfId="15641" xr:uid="{00000000-0005-0000-0000-000065580000}"/>
    <cellStyle name="Note 10 4 7 3" xfId="30436" xr:uid="{00000000-0005-0000-0000-000066580000}"/>
    <cellStyle name="Note 10 4 7 4" xfId="30437" xr:uid="{00000000-0005-0000-0000-000067580000}"/>
    <cellStyle name="Note 10 4 8" xfId="15642" xr:uid="{00000000-0005-0000-0000-000068580000}"/>
    <cellStyle name="Note 10 4 9" xfId="30438" xr:uid="{00000000-0005-0000-0000-000069580000}"/>
    <cellStyle name="Note 10 5" xfId="15643" xr:uid="{00000000-0005-0000-0000-00006A580000}"/>
    <cellStyle name="Note 10 5 10" xfId="30439" xr:uid="{00000000-0005-0000-0000-00006B580000}"/>
    <cellStyle name="Note 10 5 2" xfId="15644" xr:uid="{00000000-0005-0000-0000-00006C580000}"/>
    <cellStyle name="Note 10 5 2 2" xfId="15645" xr:uid="{00000000-0005-0000-0000-00006D580000}"/>
    <cellStyle name="Note 10 5 2 3" xfId="30440" xr:uid="{00000000-0005-0000-0000-00006E580000}"/>
    <cellStyle name="Note 10 5 2 4" xfId="30441" xr:uid="{00000000-0005-0000-0000-00006F580000}"/>
    <cellStyle name="Note 10 5 3" xfId="15646" xr:uid="{00000000-0005-0000-0000-000070580000}"/>
    <cellStyle name="Note 10 5 3 2" xfId="15647" xr:uid="{00000000-0005-0000-0000-000071580000}"/>
    <cellStyle name="Note 10 5 3 3" xfId="30442" xr:uid="{00000000-0005-0000-0000-000072580000}"/>
    <cellStyle name="Note 10 5 3 4" xfId="30443" xr:uid="{00000000-0005-0000-0000-000073580000}"/>
    <cellStyle name="Note 10 5 4" xfId="15648" xr:uid="{00000000-0005-0000-0000-000074580000}"/>
    <cellStyle name="Note 10 5 4 2" xfId="15649" xr:uid="{00000000-0005-0000-0000-000075580000}"/>
    <cellStyle name="Note 10 5 4 3" xfId="30444" xr:uid="{00000000-0005-0000-0000-000076580000}"/>
    <cellStyle name="Note 10 5 4 4" xfId="30445" xr:uid="{00000000-0005-0000-0000-000077580000}"/>
    <cellStyle name="Note 10 5 5" xfId="15650" xr:uid="{00000000-0005-0000-0000-000078580000}"/>
    <cellStyle name="Note 10 5 5 2" xfId="15651" xr:uid="{00000000-0005-0000-0000-000079580000}"/>
    <cellStyle name="Note 10 5 5 3" xfId="30446" xr:uid="{00000000-0005-0000-0000-00007A580000}"/>
    <cellStyle name="Note 10 5 5 4" xfId="30447" xr:uid="{00000000-0005-0000-0000-00007B580000}"/>
    <cellStyle name="Note 10 5 6" xfId="15652" xr:uid="{00000000-0005-0000-0000-00007C580000}"/>
    <cellStyle name="Note 10 5 6 2" xfId="15653" xr:uid="{00000000-0005-0000-0000-00007D580000}"/>
    <cellStyle name="Note 10 5 6 3" xfId="30448" xr:uid="{00000000-0005-0000-0000-00007E580000}"/>
    <cellStyle name="Note 10 5 6 4" xfId="30449" xr:uid="{00000000-0005-0000-0000-00007F580000}"/>
    <cellStyle name="Note 10 5 7" xfId="15654" xr:uid="{00000000-0005-0000-0000-000080580000}"/>
    <cellStyle name="Note 10 5 7 2" xfId="15655" xr:uid="{00000000-0005-0000-0000-000081580000}"/>
    <cellStyle name="Note 10 5 7 3" xfId="30450" xr:uid="{00000000-0005-0000-0000-000082580000}"/>
    <cellStyle name="Note 10 5 7 4" xfId="30451" xr:uid="{00000000-0005-0000-0000-000083580000}"/>
    <cellStyle name="Note 10 5 8" xfId="15656" xr:uid="{00000000-0005-0000-0000-000084580000}"/>
    <cellStyle name="Note 10 5 9" xfId="30452" xr:uid="{00000000-0005-0000-0000-000085580000}"/>
    <cellStyle name="Note 10 6" xfId="15657" xr:uid="{00000000-0005-0000-0000-000086580000}"/>
    <cellStyle name="Note 10 6 2" xfId="15658" xr:uid="{00000000-0005-0000-0000-000087580000}"/>
    <cellStyle name="Note 10 6 3" xfId="30453" xr:uid="{00000000-0005-0000-0000-000088580000}"/>
    <cellStyle name="Note 10 6 4" xfId="30454" xr:uid="{00000000-0005-0000-0000-000089580000}"/>
    <cellStyle name="Note 10 7" xfId="15659" xr:uid="{00000000-0005-0000-0000-00008A580000}"/>
    <cellStyle name="Note 10 7 2" xfId="15660" xr:uid="{00000000-0005-0000-0000-00008B580000}"/>
    <cellStyle name="Note 10 7 3" xfId="30455" xr:uid="{00000000-0005-0000-0000-00008C580000}"/>
    <cellStyle name="Note 10 7 4" xfId="30456" xr:uid="{00000000-0005-0000-0000-00008D580000}"/>
    <cellStyle name="Note 10 8" xfId="15661" xr:uid="{00000000-0005-0000-0000-00008E580000}"/>
    <cellStyle name="Note 10 8 2" xfId="15662" xr:uid="{00000000-0005-0000-0000-00008F580000}"/>
    <cellStyle name="Note 10 8 3" xfId="30457" xr:uid="{00000000-0005-0000-0000-000090580000}"/>
    <cellStyle name="Note 10 8 4" xfId="30458" xr:uid="{00000000-0005-0000-0000-000091580000}"/>
    <cellStyle name="Note 10 9" xfId="15663" xr:uid="{00000000-0005-0000-0000-000092580000}"/>
    <cellStyle name="Note 10 9 2" xfId="15664" xr:uid="{00000000-0005-0000-0000-000093580000}"/>
    <cellStyle name="Note 10 9 3" xfId="30459" xr:uid="{00000000-0005-0000-0000-000094580000}"/>
    <cellStyle name="Note 10 9 4" xfId="30460" xr:uid="{00000000-0005-0000-0000-000095580000}"/>
    <cellStyle name="Note 11" xfId="15665" xr:uid="{00000000-0005-0000-0000-000096580000}"/>
    <cellStyle name="Note 11 10" xfId="15666" xr:uid="{00000000-0005-0000-0000-000097580000}"/>
    <cellStyle name="Note 11 10 2" xfId="15667" xr:uid="{00000000-0005-0000-0000-000098580000}"/>
    <cellStyle name="Note 11 10 3" xfId="30461" xr:uid="{00000000-0005-0000-0000-000099580000}"/>
    <cellStyle name="Note 11 10 4" xfId="30462" xr:uid="{00000000-0005-0000-0000-00009A580000}"/>
    <cellStyle name="Note 11 11" xfId="15668" xr:uid="{00000000-0005-0000-0000-00009B580000}"/>
    <cellStyle name="Note 11 11 2" xfId="15669" xr:uid="{00000000-0005-0000-0000-00009C580000}"/>
    <cellStyle name="Note 11 11 3" xfId="30463" xr:uid="{00000000-0005-0000-0000-00009D580000}"/>
    <cellStyle name="Note 11 11 4" xfId="30464" xr:uid="{00000000-0005-0000-0000-00009E580000}"/>
    <cellStyle name="Note 11 12" xfId="15670" xr:uid="{00000000-0005-0000-0000-00009F580000}"/>
    <cellStyle name="Note 11 13" xfId="30465" xr:uid="{00000000-0005-0000-0000-0000A0580000}"/>
    <cellStyle name="Note 11 14" xfId="30466" xr:uid="{00000000-0005-0000-0000-0000A1580000}"/>
    <cellStyle name="Note 11 2" xfId="15671" xr:uid="{00000000-0005-0000-0000-0000A2580000}"/>
    <cellStyle name="Note 11 2 10" xfId="30467" xr:uid="{00000000-0005-0000-0000-0000A3580000}"/>
    <cellStyle name="Note 11 2 2" xfId="15672" xr:uid="{00000000-0005-0000-0000-0000A4580000}"/>
    <cellStyle name="Note 11 2 2 2" xfId="15673" xr:uid="{00000000-0005-0000-0000-0000A5580000}"/>
    <cellStyle name="Note 11 2 2 3" xfId="30468" xr:uid="{00000000-0005-0000-0000-0000A6580000}"/>
    <cellStyle name="Note 11 2 2 4" xfId="30469" xr:uid="{00000000-0005-0000-0000-0000A7580000}"/>
    <cellStyle name="Note 11 2 3" xfId="15674" xr:uid="{00000000-0005-0000-0000-0000A8580000}"/>
    <cellStyle name="Note 11 2 3 2" xfId="15675" xr:uid="{00000000-0005-0000-0000-0000A9580000}"/>
    <cellStyle name="Note 11 2 3 3" xfId="30470" xr:uid="{00000000-0005-0000-0000-0000AA580000}"/>
    <cellStyle name="Note 11 2 3 4" xfId="30471" xr:uid="{00000000-0005-0000-0000-0000AB580000}"/>
    <cellStyle name="Note 11 2 4" xfId="15676" xr:uid="{00000000-0005-0000-0000-0000AC580000}"/>
    <cellStyle name="Note 11 2 4 2" xfId="15677" xr:uid="{00000000-0005-0000-0000-0000AD580000}"/>
    <cellStyle name="Note 11 2 4 3" xfId="30472" xr:uid="{00000000-0005-0000-0000-0000AE580000}"/>
    <cellStyle name="Note 11 2 4 4" xfId="30473" xr:uid="{00000000-0005-0000-0000-0000AF580000}"/>
    <cellStyle name="Note 11 2 5" xfId="15678" xr:uid="{00000000-0005-0000-0000-0000B0580000}"/>
    <cellStyle name="Note 11 2 5 2" xfId="15679" xr:uid="{00000000-0005-0000-0000-0000B1580000}"/>
    <cellStyle name="Note 11 2 5 3" xfId="30474" xr:uid="{00000000-0005-0000-0000-0000B2580000}"/>
    <cellStyle name="Note 11 2 5 4" xfId="30475" xr:uid="{00000000-0005-0000-0000-0000B3580000}"/>
    <cellStyle name="Note 11 2 6" xfId="15680" xr:uid="{00000000-0005-0000-0000-0000B4580000}"/>
    <cellStyle name="Note 11 2 6 2" xfId="15681" xr:uid="{00000000-0005-0000-0000-0000B5580000}"/>
    <cellStyle name="Note 11 2 6 3" xfId="30476" xr:uid="{00000000-0005-0000-0000-0000B6580000}"/>
    <cellStyle name="Note 11 2 6 4" xfId="30477" xr:uid="{00000000-0005-0000-0000-0000B7580000}"/>
    <cellStyle name="Note 11 2 7" xfId="15682" xr:uid="{00000000-0005-0000-0000-0000B8580000}"/>
    <cellStyle name="Note 11 2 7 2" xfId="15683" xr:uid="{00000000-0005-0000-0000-0000B9580000}"/>
    <cellStyle name="Note 11 2 7 3" xfId="30478" xr:uid="{00000000-0005-0000-0000-0000BA580000}"/>
    <cellStyle name="Note 11 2 7 4" xfId="30479" xr:uid="{00000000-0005-0000-0000-0000BB580000}"/>
    <cellStyle name="Note 11 2 8" xfId="15684" xr:uid="{00000000-0005-0000-0000-0000BC580000}"/>
    <cellStyle name="Note 11 2 9" xfId="30480" xr:uid="{00000000-0005-0000-0000-0000BD580000}"/>
    <cellStyle name="Note 11 3" xfId="15685" xr:uid="{00000000-0005-0000-0000-0000BE580000}"/>
    <cellStyle name="Note 11 3 10" xfId="30481" xr:uid="{00000000-0005-0000-0000-0000BF580000}"/>
    <cellStyle name="Note 11 3 2" xfId="15686" xr:uid="{00000000-0005-0000-0000-0000C0580000}"/>
    <cellStyle name="Note 11 3 2 2" xfId="15687" xr:uid="{00000000-0005-0000-0000-0000C1580000}"/>
    <cellStyle name="Note 11 3 2 3" xfId="30482" xr:uid="{00000000-0005-0000-0000-0000C2580000}"/>
    <cellStyle name="Note 11 3 2 4" xfId="30483" xr:uid="{00000000-0005-0000-0000-0000C3580000}"/>
    <cellStyle name="Note 11 3 3" xfId="15688" xr:uid="{00000000-0005-0000-0000-0000C4580000}"/>
    <cellStyle name="Note 11 3 3 2" xfId="15689" xr:uid="{00000000-0005-0000-0000-0000C5580000}"/>
    <cellStyle name="Note 11 3 3 3" xfId="30484" xr:uid="{00000000-0005-0000-0000-0000C6580000}"/>
    <cellStyle name="Note 11 3 3 4" xfId="30485" xr:uid="{00000000-0005-0000-0000-0000C7580000}"/>
    <cellStyle name="Note 11 3 4" xfId="15690" xr:uid="{00000000-0005-0000-0000-0000C8580000}"/>
    <cellStyle name="Note 11 3 4 2" xfId="15691" xr:uid="{00000000-0005-0000-0000-0000C9580000}"/>
    <cellStyle name="Note 11 3 4 3" xfId="30486" xr:uid="{00000000-0005-0000-0000-0000CA580000}"/>
    <cellStyle name="Note 11 3 4 4" xfId="30487" xr:uid="{00000000-0005-0000-0000-0000CB580000}"/>
    <cellStyle name="Note 11 3 5" xfId="15692" xr:uid="{00000000-0005-0000-0000-0000CC580000}"/>
    <cellStyle name="Note 11 3 5 2" xfId="15693" xr:uid="{00000000-0005-0000-0000-0000CD580000}"/>
    <cellStyle name="Note 11 3 5 3" xfId="30488" xr:uid="{00000000-0005-0000-0000-0000CE580000}"/>
    <cellStyle name="Note 11 3 5 4" xfId="30489" xr:uid="{00000000-0005-0000-0000-0000CF580000}"/>
    <cellStyle name="Note 11 3 6" xfId="15694" xr:uid="{00000000-0005-0000-0000-0000D0580000}"/>
    <cellStyle name="Note 11 3 6 2" xfId="15695" xr:uid="{00000000-0005-0000-0000-0000D1580000}"/>
    <cellStyle name="Note 11 3 6 3" xfId="30490" xr:uid="{00000000-0005-0000-0000-0000D2580000}"/>
    <cellStyle name="Note 11 3 6 4" xfId="30491" xr:uid="{00000000-0005-0000-0000-0000D3580000}"/>
    <cellStyle name="Note 11 3 7" xfId="15696" xr:uid="{00000000-0005-0000-0000-0000D4580000}"/>
    <cellStyle name="Note 11 3 7 2" xfId="15697" xr:uid="{00000000-0005-0000-0000-0000D5580000}"/>
    <cellStyle name="Note 11 3 7 3" xfId="30492" xr:uid="{00000000-0005-0000-0000-0000D6580000}"/>
    <cellStyle name="Note 11 3 7 4" xfId="30493" xr:uid="{00000000-0005-0000-0000-0000D7580000}"/>
    <cellStyle name="Note 11 3 8" xfId="15698" xr:uid="{00000000-0005-0000-0000-0000D8580000}"/>
    <cellStyle name="Note 11 3 9" xfId="30494" xr:uid="{00000000-0005-0000-0000-0000D9580000}"/>
    <cellStyle name="Note 11 4" xfId="15699" xr:uid="{00000000-0005-0000-0000-0000DA580000}"/>
    <cellStyle name="Note 11 4 10" xfId="30495" xr:uid="{00000000-0005-0000-0000-0000DB580000}"/>
    <cellStyle name="Note 11 4 2" xfId="15700" xr:uid="{00000000-0005-0000-0000-0000DC580000}"/>
    <cellStyle name="Note 11 4 2 2" xfId="15701" xr:uid="{00000000-0005-0000-0000-0000DD580000}"/>
    <cellStyle name="Note 11 4 2 3" xfId="30496" xr:uid="{00000000-0005-0000-0000-0000DE580000}"/>
    <cellStyle name="Note 11 4 2 4" xfId="30497" xr:uid="{00000000-0005-0000-0000-0000DF580000}"/>
    <cellStyle name="Note 11 4 3" xfId="15702" xr:uid="{00000000-0005-0000-0000-0000E0580000}"/>
    <cellStyle name="Note 11 4 3 2" xfId="15703" xr:uid="{00000000-0005-0000-0000-0000E1580000}"/>
    <cellStyle name="Note 11 4 3 3" xfId="30498" xr:uid="{00000000-0005-0000-0000-0000E2580000}"/>
    <cellStyle name="Note 11 4 3 4" xfId="30499" xr:uid="{00000000-0005-0000-0000-0000E3580000}"/>
    <cellStyle name="Note 11 4 4" xfId="15704" xr:uid="{00000000-0005-0000-0000-0000E4580000}"/>
    <cellStyle name="Note 11 4 4 2" xfId="15705" xr:uid="{00000000-0005-0000-0000-0000E5580000}"/>
    <cellStyle name="Note 11 4 4 3" xfId="30500" xr:uid="{00000000-0005-0000-0000-0000E6580000}"/>
    <cellStyle name="Note 11 4 4 4" xfId="30501" xr:uid="{00000000-0005-0000-0000-0000E7580000}"/>
    <cellStyle name="Note 11 4 5" xfId="15706" xr:uid="{00000000-0005-0000-0000-0000E8580000}"/>
    <cellStyle name="Note 11 4 5 2" xfId="15707" xr:uid="{00000000-0005-0000-0000-0000E9580000}"/>
    <cellStyle name="Note 11 4 5 3" xfId="30502" xr:uid="{00000000-0005-0000-0000-0000EA580000}"/>
    <cellStyle name="Note 11 4 5 4" xfId="30503" xr:uid="{00000000-0005-0000-0000-0000EB580000}"/>
    <cellStyle name="Note 11 4 6" xfId="15708" xr:uid="{00000000-0005-0000-0000-0000EC580000}"/>
    <cellStyle name="Note 11 4 6 2" xfId="15709" xr:uid="{00000000-0005-0000-0000-0000ED580000}"/>
    <cellStyle name="Note 11 4 6 3" xfId="30504" xr:uid="{00000000-0005-0000-0000-0000EE580000}"/>
    <cellStyle name="Note 11 4 6 4" xfId="30505" xr:uid="{00000000-0005-0000-0000-0000EF580000}"/>
    <cellStyle name="Note 11 4 7" xfId="15710" xr:uid="{00000000-0005-0000-0000-0000F0580000}"/>
    <cellStyle name="Note 11 4 7 2" xfId="15711" xr:uid="{00000000-0005-0000-0000-0000F1580000}"/>
    <cellStyle name="Note 11 4 7 3" xfId="30506" xr:uid="{00000000-0005-0000-0000-0000F2580000}"/>
    <cellStyle name="Note 11 4 7 4" xfId="30507" xr:uid="{00000000-0005-0000-0000-0000F3580000}"/>
    <cellStyle name="Note 11 4 8" xfId="15712" xr:uid="{00000000-0005-0000-0000-0000F4580000}"/>
    <cellStyle name="Note 11 4 9" xfId="30508" xr:uid="{00000000-0005-0000-0000-0000F5580000}"/>
    <cellStyle name="Note 11 5" xfId="15713" xr:uid="{00000000-0005-0000-0000-0000F6580000}"/>
    <cellStyle name="Note 11 5 10" xfId="30509" xr:uid="{00000000-0005-0000-0000-0000F7580000}"/>
    <cellStyle name="Note 11 5 2" xfId="15714" xr:uid="{00000000-0005-0000-0000-0000F8580000}"/>
    <cellStyle name="Note 11 5 2 2" xfId="15715" xr:uid="{00000000-0005-0000-0000-0000F9580000}"/>
    <cellStyle name="Note 11 5 2 3" xfId="30510" xr:uid="{00000000-0005-0000-0000-0000FA580000}"/>
    <cellStyle name="Note 11 5 2 4" xfId="30511" xr:uid="{00000000-0005-0000-0000-0000FB580000}"/>
    <cellStyle name="Note 11 5 3" xfId="15716" xr:uid="{00000000-0005-0000-0000-0000FC580000}"/>
    <cellStyle name="Note 11 5 3 2" xfId="15717" xr:uid="{00000000-0005-0000-0000-0000FD580000}"/>
    <cellStyle name="Note 11 5 3 3" xfId="30512" xr:uid="{00000000-0005-0000-0000-0000FE580000}"/>
    <cellStyle name="Note 11 5 3 4" xfId="30513" xr:uid="{00000000-0005-0000-0000-0000FF580000}"/>
    <cellStyle name="Note 11 5 4" xfId="15718" xr:uid="{00000000-0005-0000-0000-000000590000}"/>
    <cellStyle name="Note 11 5 4 2" xfId="15719" xr:uid="{00000000-0005-0000-0000-000001590000}"/>
    <cellStyle name="Note 11 5 4 3" xfId="30514" xr:uid="{00000000-0005-0000-0000-000002590000}"/>
    <cellStyle name="Note 11 5 4 4" xfId="30515" xr:uid="{00000000-0005-0000-0000-000003590000}"/>
    <cellStyle name="Note 11 5 5" xfId="15720" xr:uid="{00000000-0005-0000-0000-000004590000}"/>
    <cellStyle name="Note 11 5 5 2" xfId="15721" xr:uid="{00000000-0005-0000-0000-000005590000}"/>
    <cellStyle name="Note 11 5 5 3" xfId="30516" xr:uid="{00000000-0005-0000-0000-000006590000}"/>
    <cellStyle name="Note 11 5 5 4" xfId="30517" xr:uid="{00000000-0005-0000-0000-000007590000}"/>
    <cellStyle name="Note 11 5 6" xfId="15722" xr:uid="{00000000-0005-0000-0000-000008590000}"/>
    <cellStyle name="Note 11 5 6 2" xfId="15723" xr:uid="{00000000-0005-0000-0000-000009590000}"/>
    <cellStyle name="Note 11 5 6 3" xfId="30518" xr:uid="{00000000-0005-0000-0000-00000A590000}"/>
    <cellStyle name="Note 11 5 6 4" xfId="30519" xr:uid="{00000000-0005-0000-0000-00000B590000}"/>
    <cellStyle name="Note 11 5 7" xfId="15724" xr:uid="{00000000-0005-0000-0000-00000C590000}"/>
    <cellStyle name="Note 11 5 7 2" xfId="15725" xr:uid="{00000000-0005-0000-0000-00000D590000}"/>
    <cellStyle name="Note 11 5 7 3" xfId="30520" xr:uid="{00000000-0005-0000-0000-00000E590000}"/>
    <cellStyle name="Note 11 5 7 4" xfId="30521" xr:uid="{00000000-0005-0000-0000-00000F590000}"/>
    <cellStyle name="Note 11 5 8" xfId="15726" xr:uid="{00000000-0005-0000-0000-000010590000}"/>
    <cellStyle name="Note 11 5 9" xfId="30522" xr:uid="{00000000-0005-0000-0000-000011590000}"/>
    <cellStyle name="Note 11 6" xfId="15727" xr:uid="{00000000-0005-0000-0000-000012590000}"/>
    <cellStyle name="Note 11 6 2" xfId="15728" xr:uid="{00000000-0005-0000-0000-000013590000}"/>
    <cellStyle name="Note 11 6 3" xfId="30523" xr:uid="{00000000-0005-0000-0000-000014590000}"/>
    <cellStyle name="Note 11 6 4" xfId="30524" xr:uid="{00000000-0005-0000-0000-000015590000}"/>
    <cellStyle name="Note 11 7" xfId="15729" xr:uid="{00000000-0005-0000-0000-000016590000}"/>
    <cellStyle name="Note 11 7 2" xfId="15730" xr:uid="{00000000-0005-0000-0000-000017590000}"/>
    <cellStyle name="Note 11 7 3" xfId="30525" xr:uid="{00000000-0005-0000-0000-000018590000}"/>
    <cellStyle name="Note 11 7 4" xfId="30526" xr:uid="{00000000-0005-0000-0000-000019590000}"/>
    <cellStyle name="Note 11 8" xfId="15731" xr:uid="{00000000-0005-0000-0000-00001A590000}"/>
    <cellStyle name="Note 11 8 2" xfId="15732" xr:uid="{00000000-0005-0000-0000-00001B590000}"/>
    <cellStyle name="Note 11 8 3" xfId="30527" xr:uid="{00000000-0005-0000-0000-00001C590000}"/>
    <cellStyle name="Note 11 8 4" xfId="30528" xr:uid="{00000000-0005-0000-0000-00001D590000}"/>
    <cellStyle name="Note 11 9" xfId="15733" xr:uid="{00000000-0005-0000-0000-00001E590000}"/>
    <cellStyle name="Note 11 9 2" xfId="15734" xr:uid="{00000000-0005-0000-0000-00001F590000}"/>
    <cellStyle name="Note 11 9 3" xfId="30529" xr:uid="{00000000-0005-0000-0000-000020590000}"/>
    <cellStyle name="Note 11 9 4" xfId="30530" xr:uid="{00000000-0005-0000-0000-000021590000}"/>
    <cellStyle name="Note 12" xfId="15735" xr:uid="{00000000-0005-0000-0000-000022590000}"/>
    <cellStyle name="Note 12 10" xfId="15736" xr:uid="{00000000-0005-0000-0000-000023590000}"/>
    <cellStyle name="Note 12 10 2" xfId="15737" xr:uid="{00000000-0005-0000-0000-000024590000}"/>
    <cellStyle name="Note 12 10 3" xfId="30531" xr:uid="{00000000-0005-0000-0000-000025590000}"/>
    <cellStyle name="Note 12 10 4" xfId="30532" xr:uid="{00000000-0005-0000-0000-000026590000}"/>
    <cellStyle name="Note 12 11" xfId="15738" xr:uid="{00000000-0005-0000-0000-000027590000}"/>
    <cellStyle name="Note 12 11 2" xfId="15739" xr:uid="{00000000-0005-0000-0000-000028590000}"/>
    <cellStyle name="Note 12 11 3" xfId="30533" xr:uid="{00000000-0005-0000-0000-000029590000}"/>
    <cellStyle name="Note 12 11 4" xfId="30534" xr:uid="{00000000-0005-0000-0000-00002A590000}"/>
    <cellStyle name="Note 12 12" xfId="15740" xr:uid="{00000000-0005-0000-0000-00002B590000}"/>
    <cellStyle name="Note 12 13" xfId="30535" xr:uid="{00000000-0005-0000-0000-00002C590000}"/>
    <cellStyle name="Note 12 14" xfId="30536" xr:uid="{00000000-0005-0000-0000-00002D590000}"/>
    <cellStyle name="Note 12 2" xfId="15741" xr:uid="{00000000-0005-0000-0000-00002E590000}"/>
    <cellStyle name="Note 12 2 10" xfId="30537" xr:uid="{00000000-0005-0000-0000-00002F590000}"/>
    <cellStyle name="Note 12 2 2" xfId="15742" xr:uid="{00000000-0005-0000-0000-000030590000}"/>
    <cellStyle name="Note 12 2 2 2" xfId="15743" xr:uid="{00000000-0005-0000-0000-000031590000}"/>
    <cellStyle name="Note 12 2 2 3" xfId="30538" xr:uid="{00000000-0005-0000-0000-000032590000}"/>
    <cellStyle name="Note 12 2 2 4" xfId="30539" xr:uid="{00000000-0005-0000-0000-000033590000}"/>
    <cellStyle name="Note 12 2 3" xfId="15744" xr:uid="{00000000-0005-0000-0000-000034590000}"/>
    <cellStyle name="Note 12 2 3 2" xfId="15745" xr:uid="{00000000-0005-0000-0000-000035590000}"/>
    <cellStyle name="Note 12 2 3 3" xfId="30540" xr:uid="{00000000-0005-0000-0000-000036590000}"/>
    <cellStyle name="Note 12 2 3 4" xfId="30541" xr:uid="{00000000-0005-0000-0000-000037590000}"/>
    <cellStyle name="Note 12 2 4" xfId="15746" xr:uid="{00000000-0005-0000-0000-000038590000}"/>
    <cellStyle name="Note 12 2 4 2" xfId="15747" xr:uid="{00000000-0005-0000-0000-000039590000}"/>
    <cellStyle name="Note 12 2 4 3" xfId="30542" xr:uid="{00000000-0005-0000-0000-00003A590000}"/>
    <cellStyle name="Note 12 2 4 4" xfId="30543" xr:uid="{00000000-0005-0000-0000-00003B590000}"/>
    <cellStyle name="Note 12 2 5" xfId="15748" xr:uid="{00000000-0005-0000-0000-00003C590000}"/>
    <cellStyle name="Note 12 2 5 2" xfId="15749" xr:uid="{00000000-0005-0000-0000-00003D590000}"/>
    <cellStyle name="Note 12 2 5 3" xfId="30544" xr:uid="{00000000-0005-0000-0000-00003E590000}"/>
    <cellStyle name="Note 12 2 5 4" xfId="30545" xr:uid="{00000000-0005-0000-0000-00003F590000}"/>
    <cellStyle name="Note 12 2 6" xfId="15750" xr:uid="{00000000-0005-0000-0000-000040590000}"/>
    <cellStyle name="Note 12 2 6 2" xfId="15751" xr:uid="{00000000-0005-0000-0000-000041590000}"/>
    <cellStyle name="Note 12 2 6 3" xfId="30546" xr:uid="{00000000-0005-0000-0000-000042590000}"/>
    <cellStyle name="Note 12 2 6 4" xfId="30547" xr:uid="{00000000-0005-0000-0000-000043590000}"/>
    <cellStyle name="Note 12 2 7" xfId="15752" xr:uid="{00000000-0005-0000-0000-000044590000}"/>
    <cellStyle name="Note 12 2 7 2" xfId="15753" xr:uid="{00000000-0005-0000-0000-000045590000}"/>
    <cellStyle name="Note 12 2 7 3" xfId="30548" xr:uid="{00000000-0005-0000-0000-000046590000}"/>
    <cellStyle name="Note 12 2 7 4" xfId="30549" xr:uid="{00000000-0005-0000-0000-000047590000}"/>
    <cellStyle name="Note 12 2 8" xfId="15754" xr:uid="{00000000-0005-0000-0000-000048590000}"/>
    <cellStyle name="Note 12 2 9" xfId="30550" xr:uid="{00000000-0005-0000-0000-000049590000}"/>
    <cellStyle name="Note 12 3" xfId="15755" xr:uid="{00000000-0005-0000-0000-00004A590000}"/>
    <cellStyle name="Note 12 3 10" xfId="30551" xr:uid="{00000000-0005-0000-0000-00004B590000}"/>
    <cellStyle name="Note 12 3 2" xfId="15756" xr:uid="{00000000-0005-0000-0000-00004C590000}"/>
    <cellStyle name="Note 12 3 2 2" xfId="15757" xr:uid="{00000000-0005-0000-0000-00004D590000}"/>
    <cellStyle name="Note 12 3 2 3" xfId="30552" xr:uid="{00000000-0005-0000-0000-00004E590000}"/>
    <cellStyle name="Note 12 3 2 4" xfId="30553" xr:uid="{00000000-0005-0000-0000-00004F590000}"/>
    <cellStyle name="Note 12 3 3" xfId="15758" xr:uid="{00000000-0005-0000-0000-000050590000}"/>
    <cellStyle name="Note 12 3 3 2" xfId="15759" xr:uid="{00000000-0005-0000-0000-000051590000}"/>
    <cellStyle name="Note 12 3 3 3" xfId="30554" xr:uid="{00000000-0005-0000-0000-000052590000}"/>
    <cellStyle name="Note 12 3 3 4" xfId="30555" xr:uid="{00000000-0005-0000-0000-000053590000}"/>
    <cellStyle name="Note 12 3 4" xfId="15760" xr:uid="{00000000-0005-0000-0000-000054590000}"/>
    <cellStyle name="Note 12 3 4 2" xfId="15761" xr:uid="{00000000-0005-0000-0000-000055590000}"/>
    <cellStyle name="Note 12 3 4 3" xfId="30556" xr:uid="{00000000-0005-0000-0000-000056590000}"/>
    <cellStyle name="Note 12 3 4 4" xfId="30557" xr:uid="{00000000-0005-0000-0000-000057590000}"/>
    <cellStyle name="Note 12 3 5" xfId="15762" xr:uid="{00000000-0005-0000-0000-000058590000}"/>
    <cellStyle name="Note 12 3 5 2" xfId="15763" xr:uid="{00000000-0005-0000-0000-000059590000}"/>
    <cellStyle name="Note 12 3 5 3" xfId="30558" xr:uid="{00000000-0005-0000-0000-00005A590000}"/>
    <cellStyle name="Note 12 3 5 4" xfId="30559" xr:uid="{00000000-0005-0000-0000-00005B590000}"/>
    <cellStyle name="Note 12 3 6" xfId="15764" xr:uid="{00000000-0005-0000-0000-00005C590000}"/>
    <cellStyle name="Note 12 3 6 2" xfId="15765" xr:uid="{00000000-0005-0000-0000-00005D590000}"/>
    <cellStyle name="Note 12 3 6 3" xfId="30560" xr:uid="{00000000-0005-0000-0000-00005E590000}"/>
    <cellStyle name="Note 12 3 6 4" xfId="30561" xr:uid="{00000000-0005-0000-0000-00005F590000}"/>
    <cellStyle name="Note 12 3 7" xfId="15766" xr:uid="{00000000-0005-0000-0000-000060590000}"/>
    <cellStyle name="Note 12 3 7 2" xfId="15767" xr:uid="{00000000-0005-0000-0000-000061590000}"/>
    <cellStyle name="Note 12 3 7 3" xfId="30562" xr:uid="{00000000-0005-0000-0000-000062590000}"/>
    <cellStyle name="Note 12 3 7 4" xfId="30563" xr:uid="{00000000-0005-0000-0000-000063590000}"/>
    <cellStyle name="Note 12 3 8" xfId="15768" xr:uid="{00000000-0005-0000-0000-000064590000}"/>
    <cellStyle name="Note 12 3 9" xfId="30564" xr:uid="{00000000-0005-0000-0000-000065590000}"/>
    <cellStyle name="Note 12 4" xfId="15769" xr:uid="{00000000-0005-0000-0000-000066590000}"/>
    <cellStyle name="Note 12 4 10" xfId="30565" xr:uid="{00000000-0005-0000-0000-000067590000}"/>
    <cellStyle name="Note 12 4 2" xfId="15770" xr:uid="{00000000-0005-0000-0000-000068590000}"/>
    <cellStyle name="Note 12 4 2 2" xfId="15771" xr:uid="{00000000-0005-0000-0000-000069590000}"/>
    <cellStyle name="Note 12 4 2 3" xfId="30566" xr:uid="{00000000-0005-0000-0000-00006A590000}"/>
    <cellStyle name="Note 12 4 2 4" xfId="30567" xr:uid="{00000000-0005-0000-0000-00006B590000}"/>
    <cellStyle name="Note 12 4 3" xfId="15772" xr:uid="{00000000-0005-0000-0000-00006C590000}"/>
    <cellStyle name="Note 12 4 3 2" xfId="15773" xr:uid="{00000000-0005-0000-0000-00006D590000}"/>
    <cellStyle name="Note 12 4 3 3" xfId="30568" xr:uid="{00000000-0005-0000-0000-00006E590000}"/>
    <cellStyle name="Note 12 4 3 4" xfId="30569" xr:uid="{00000000-0005-0000-0000-00006F590000}"/>
    <cellStyle name="Note 12 4 4" xfId="15774" xr:uid="{00000000-0005-0000-0000-000070590000}"/>
    <cellStyle name="Note 12 4 4 2" xfId="15775" xr:uid="{00000000-0005-0000-0000-000071590000}"/>
    <cellStyle name="Note 12 4 4 3" xfId="30570" xr:uid="{00000000-0005-0000-0000-000072590000}"/>
    <cellStyle name="Note 12 4 4 4" xfId="30571" xr:uid="{00000000-0005-0000-0000-000073590000}"/>
    <cellStyle name="Note 12 4 5" xfId="15776" xr:uid="{00000000-0005-0000-0000-000074590000}"/>
    <cellStyle name="Note 12 4 5 2" xfId="15777" xr:uid="{00000000-0005-0000-0000-000075590000}"/>
    <cellStyle name="Note 12 4 5 3" xfId="30572" xr:uid="{00000000-0005-0000-0000-000076590000}"/>
    <cellStyle name="Note 12 4 5 4" xfId="30573" xr:uid="{00000000-0005-0000-0000-000077590000}"/>
    <cellStyle name="Note 12 4 6" xfId="15778" xr:uid="{00000000-0005-0000-0000-000078590000}"/>
    <cellStyle name="Note 12 4 6 2" xfId="15779" xr:uid="{00000000-0005-0000-0000-000079590000}"/>
    <cellStyle name="Note 12 4 6 3" xfId="30574" xr:uid="{00000000-0005-0000-0000-00007A590000}"/>
    <cellStyle name="Note 12 4 6 4" xfId="30575" xr:uid="{00000000-0005-0000-0000-00007B590000}"/>
    <cellStyle name="Note 12 4 7" xfId="15780" xr:uid="{00000000-0005-0000-0000-00007C590000}"/>
    <cellStyle name="Note 12 4 7 2" xfId="15781" xr:uid="{00000000-0005-0000-0000-00007D590000}"/>
    <cellStyle name="Note 12 4 7 3" xfId="30576" xr:uid="{00000000-0005-0000-0000-00007E590000}"/>
    <cellStyle name="Note 12 4 7 4" xfId="30577" xr:uid="{00000000-0005-0000-0000-00007F590000}"/>
    <cellStyle name="Note 12 4 8" xfId="15782" xr:uid="{00000000-0005-0000-0000-000080590000}"/>
    <cellStyle name="Note 12 4 9" xfId="30578" xr:uid="{00000000-0005-0000-0000-000081590000}"/>
    <cellStyle name="Note 12 5" xfId="15783" xr:uid="{00000000-0005-0000-0000-000082590000}"/>
    <cellStyle name="Note 12 5 10" xfId="30579" xr:uid="{00000000-0005-0000-0000-000083590000}"/>
    <cellStyle name="Note 12 5 2" xfId="15784" xr:uid="{00000000-0005-0000-0000-000084590000}"/>
    <cellStyle name="Note 12 5 2 2" xfId="15785" xr:uid="{00000000-0005-0000-0000-000085590000}"/>
    <cellStyle name="Note 12 5 2 3" xfId="30580" xr:uid="{00000000-0005-0000-0000-000086590000}"/>
    <cellStyle name="Note 12 5 2 4" xfId="30581" xr:uid="{00000000-0005-0000-0000-000087590000}"/>
    <cellStyle name="Note 12 5 3" xfId="15786" xr:uid="{00000000-0005-0000-0000-000088590000}"/>
    <cellStyle name="Note 12 5 3 2" xfId="15787" xr:uid="{00000000-0005-0000-0000-000089590000}"/>
    <cellStyle name="Note 12 5 3 3" xfId="30582" xr:uid="{00000000-0005-0000-0000-00008A590000}"/>
    <cellStyle name="Note 12 5 3 4" xfId="30583" xr:uid="{00000000-0005-0000-0000-00008B590000}"/>
    <cellStyle name="Note 12 5 4" xfId="15788" xr:uid="{00000000-0005-0000-0000-00008C590000}"/>
    <cellStyle name="Note 12 5 4 2" xfId="15789" xr:uid="{00000000-0005-0000-0000-00008D590000}"/>
    <cellStyle name="Note 12 5 4 3" xfId="30584" xr:uid="{00000000-0005-0000-0000-00008E590000}"/>
    <cellStyle name="Note 12 5 4 4" xfId="30585" xr:uid="{00000000-0005-0000-0000-00008F590000}"/>
    <cellStyle name="Note 12 5 5" xfId="15790" xr:uid="{00000000-0005-0000-0000-000090590000}"/>
    <cellStyle name="Note 12 5 5 2" xfId="15791" xr:uid="{00000000-0005-0000-0000-000091590000}"/>
    <cellStyle name="Note 12 5 5 3" xfId="30586" xr:uid="{00000000-0005-0000-0000-000092590000}"/>
    <cellStyle name="Note 12 5 5 4" xfId="30587" xr:uid="{00000000-0005-0000-0000-000093590000}"/>
    <cellStyle name="Note 12 5 6" xfId="15792" xr:uid="{00000000-0005-0000-0000-000094590000}"/>
    <cellStyle name="Note 12 5 6 2" xfId="15793" xr:uid="{00000000-0005-0000-0000-000095590000}"/>
    <cellStyle name="Note 12 5 6 3" xfId="30588" xr:uid="{00000000-0005-0000-0000-000096590000}"/>
    <cellStyle name="Note 12 5 6 4" xfId="30589" xr:uid="{00000000-0005-0000-0000-000097590000}"/>
    <cellStyle name="Note 12 5 7" xfId="15794" xr:uid="{00000000-0005-0000-0000-000098590000}"/>
    <cellStyle name="Note 12 5 7 2" xfId="15795" xr:uid="{00000000-0005-0000-0000-000099590000}"/>
    <cellStyle name="Note 12 5 7 3" xfId="30590" xr:uid="{00000000-0005-0000-0000-00009A590000}"/>
    <cellStyle name="Note 12 5 7 4" xfId="30591" xr:uid="{00000000-0005-0000-0000-00009B590000}"/>
    <cellStyle name="Note 12 5 8" xfId="15796" xr:uid="{00000000-0005-0000-0000-00009C590000}"/>
    <cellStyle name="Note 12 5 9" xfId="30592" xr:uid="{00000000-0005-0000-0000-00009D590000}"/>
    <cellStyle name="Note 12 6" xfId="15797" xr:uid="{00000000-0005-0000-0000-00009E590000}"/>
    <cellStyle name="Note 12 6 2" xfId="15798" xr:uid="{00000000-0005-0000-0000-00009F590000}"/>
    <cellStyle name="Note 12 6 3" xfId="30593" xr:uid="{00000000-0005-0000-0000-0000A0590000}"/>
    <cellStyle name="Note 12 6 4" xfId="30594" xr:uid="{00000000-0005-0000-0000-0000A1590000}"/>
    <cellStyle name="Note 12 7" xfId="15799" xr:uid="{00000000-0005-0000-0000-0000A2590000}"/>
    <cellStyle name="Note 12 7 2" xfId="15800" xr:uid="{00000000-0005-0000-0000-0000A3590000}"/>
    <cellStyle name="Note 12 7 3" xfId="30595" xr:uid="{00000000-0005-0000-0000-0000A4590000}"/>
    <cellStyle name="Note 12 7 4" xfId="30596" xr:uid="{00000000-0005-0000-0000-0000A5590000}"/>
    <cellStyle name="Note 12 8" xfId="15801" xr:uid="{00000000-0005-0000-0000-0000A6590000}"/>
    <cellStyle name="Note 12 8 2" xfId="15802" xr:uid="{00000000-0005-0000-0000-0000A7590000}"/>
    <cellStyle name="Note 12 8 3" xfId="30597" xr:uid="{00000000-0005-0000-0000-0000A8590000}"/>
    <cellStyle name="Note 12 8 4" xfId="30598" xr:uid="{00000000-0005-0000-0000-0000A9590000}"/>
    <cellStyle name="Note 12 9" xfId="15803" xr:uid="{00000000-0005-0000-0000-0000AA590000}"/>
    <cellStyle name="Note 12 9 2" xfId="15804" xr:uid="{00000000-0005-0000-0000-0000AB590000}"/>
    <cellStyle name="Note 12 9 3" xfId="30599" xr:uid="{00000000-0005-0000-0000-0000AC590000}"/>
    <cellStyle name="Note 12 9 4" xfId="30600" xr:uid="{00000000-0005-0000-0000-0000AD590000}"/>
    <cellStyle name="Note 13" xfId="15805" xr:uid="{00000000-0005-0000-0000-0000AE590000}"/>
    <cellStyle name="Note 13 10" xfId="15806" xr:uid="{00000000-0005-0000-0000-0000AF590000}"/>
    <cellStyle name="Note 13 10 2" xfId="15807" xr:uid="{00000000-0005-0000-0000-0000B0590000}"/>
    <cellStyle name="Note 13 10 3" xfId="30601" xr:uid="{00000000-0005-0000-0000-0000B1590000}"/>
    <cellStyle name="Note 13 10 4" xfId="30602" xr:uid="{00000000-0005-0000-0000-0000B2590000}"/>
    <cellStyle name="Note 13 11" xfId="15808" xr:uid="{00000000-0005-0000-0000-0000B3590000}"/>
    <cellStyle name="Note 13 11 2" xfId="15809" xr:uid="{00000000-0005-0000-0000-0000B4590000}"/>
    <cellStyle name="Note 13 11 3" xfId="30603" xr:uid="{00000000-0005-0000-0000-0000B5590000}"/>
    <cellStyle name="Note 13 11 4" xfId="30604" xr:uid="{00000000-0005-0000-0000-0000B6590000}"/>
    <cellStyle name="Note 13 12" xfId="15810" xr:uid="{00000000-0005-0000-0000-0000B7590000}"/>
    <cellStyle name="Note 13 13" xfId="30605" xr:uid="{00000000-0005-0000-0000-0000B8590000}"/>
    <cellStyle name="Note 13 14" xfId="30606" xr:uid="{00000000-0005-0000-0000-0000B9590000}"/>
    <cellStyle name="Note 13 2" xfId="15811" xr:uid="{00000000-0005-0000-0000-0000BA590000}"/>
    <cellStyle name="Note 13 2 10" xfId="30607" xr:uid="{00000000-0005-0000-0000-0000BB590000}"/>
    <cellStyle name="Note 13 2 2" xfId="15812" xr:uid="{00000000-0005-0000-0000-0000BC590000}"/>
    <cellStyle name="Note 13 2 2 2" xfId="15813" xr:uid="{00000000-0005-0000-0000-0000BD590000}"/>
    <cellStyle name="Note 13 2 2 3" xfId="30608" xr:uid="{00000000-0005-0000-0000-0000BE590000}"/>
    <cellStyle name="Note 13 2 2 4" xfId="30609" xr:uid="{00000000-0005-0000-0000-0000BF590000}"/>
    <cellStyle name="Note 13 2 3" xfId="15814" xr:uid="{00000000-0005-0000-0000-0000C0590000}"/>
    <cellStyle name="Note 13 2 3 2" xfId="15815" xr:uid="{00000000-0005-0000-0000-0000C1590000}"/>
    <cellStyle name="Note 13 2 3 3" xfId="30610" xr:uid="{00000000-0005-0000-0000-0000C2590000}"/>
    <cellStyle name="Note 13 2 3 4" xfId="30611" xr:uid="{00000000-0005-0000-0000-0000C3590000}"/>
    <cellStyle name="Note 13 2 4" xfId="15816" xr:uid="{00000000-0005-0000-0000-0000C4590000}"/>
    <cellStyle name="Note 13 2 4 2" xfId="15817" xr:uid="{00000000-0005-0000-0000-0000C5590000}"/>
    <cellStyle name="Note 13 2 4 3" xfId="30612" xr:uid="{00000000-0005-0000-0000-0000C6590000}"/>
    <cellStyle name="Note 13 2 4 4" xfId="30613" xr:uid="{00000000-0005-0000-0000-0000C7590000}"/>
    <cellStyle name="Note 13 2 5" xfId="15818" xr:uid="{00000000-0005-0000-0000-0000C8590000}"/>
    <cellStyle name="Note 13 2 5 2" xfId="15819" xr:uid="{00000000-0005-0000-0000-0000C9590000}"/>
    <cellStyle name="Note 13 2 5 3" xfId="30614" xr:uid="{00000000-0005-0000-0000-0000CA590000}"/>
    <cellStyle name="Note 13 2 5 4" xfId="30615" xr:uid="{00000000-0005-0000-0000-0000CB590000}"/>
    <cellStyle name="Note 13 2 6" xfId="15820" xr:uid="{00000000-0005-0000-0000-0000CC590000}"/>
    <cellStyle name="Note 13 2 6 2" xfId="15821" xr:uid="{00000000-0005-0000-0000-0000CD590000}"/>
    <cellStyle name="Note 13 2 6 3" xfId="30616" xr:uid="{00000000-0005-0000-0000-0000CE590000}"/>
    <cellStyle name="Note 13 2 6 4" xfId="30617" xr:uid="{00000000-0005-0000-0000-0000CF590000}"/>
    <cellStyle name="Note 13 2 7" xfId="15822" xr:uid="{00000000-0005-0000-0000-0000D0590000}"/>
    <cellStyle name="Note 13 2 7 2" xfId="15823" xr:uid="{00000000-0005-0000-0000-0000D1590000}"/>
    <cellStyle name="Note 13 2 7 3" xfId="30618" xr:uid="{00000000-0005-0000-0000-0000D2590000}"/>
    <cellStyle name="Note 13 2 7 4" xfId="30619" xr:uid="{00000000-0005-0000-0000-0000D3590000}"/>
    <cellStyle name="Note 13 2 8" xfId="15824" xr:uid="{00000000-0005-0000-0000-0000D4590000}"/>
    <cellStyle name="Note 13 2 9" xfId="30620" xr:uid="{00000000-0005-0000-0000-0000D5590000}"/>
    <cellStyle name="Note 13 3" xfId="15825" xr:uid="{00000000-0005-0000-0000-0000D6590000}"/>
    <cellStyle name="Note 13 3 10" xfId="30621" xr:uid="{00000000-0005-0000-0000-0000D7590000}"/>
    <cellStyle name="Note 13 3 2" xfId="15826" xr:uid="{00000000-0005-0000-0000-0000D8590000}"/>
    <cellStyle name="Note 13 3 2 2" xfId="15827" xr:uid="{00000000-0005-0000-0000-0000D9590000}"/>
    <cellStyle name="Note 13 3 2 3" xfId="30622" xr:uid="{00000000-0005-0000-0000-0000DA590000}"/>
    <cellStyle name="Note 13 3 2 4" xfId="30623" xr:uid="{00000000-0005-0000-0000-0000DB590000}"/>
    <cellStyle name="Note 13 3 3" xfId="15828" xr:uid="{00000000-0005-0000-0000-0000DC590000}"/>
    <cellStyle name="Note 13 3 3 2" xfId="15829" xr:uid="{00000000-0005-0000-0000-0000DD590000}"/>
    <cellStyle name="Note 13 3 3 3" xfId="30624" xr:uid="{00000000-0005-0000-0000-0000DE590000}"/>
    <cellStyle name="Note 13 3 3 4" xfId="30625" xr:uid="{00000000-0005-0000-0000-0000DF590000}"/>
    <cellStyle name="Note 13 3 4" xfId="15830" xr:uid="{00000000-0005-0000-0000-0000E0590000}"/>
    <cellStyle name="Note 13 3 4 2" xfId="15831" xr:uid="{00000000-0005-0000-0000-0000E1590000}"/>
    <cellStyle name="Note 13 3 4 3" xfId="30626" xr:uid="{00000000-0005-0000-0000-0000E2590000}"/>
    <cellStyle name="Note 13 3 4 4" xfId="30627" xr:uid="{00000000-0005-0000-0000-0000E3590000}"/>
    <cellStyle name="Note 13 3 5" xfId="15832" xr:uid="{00000000-0005-0000-0000-0000E4590000}"/>
    <cellStyle name="Note 13 3 5 2" xfId="15833" xr:uid="{00000000-0005-0000-0000-0000E5590000}"/>
    <cellStyle name="Note 13 3 5 3" xfId="30628" xr:uid="{00000000-0005-0000-0000-0000E6590000}"/>
    <cellStyle name="Note 13 3 5 4" xfId="30629" xr:uid="{00000000-0005-0000-0000-0000E7590000}"/>
    <cellStyle name="Note 13 3 6" xfId="15834" xr:uid="{00000000-0005-0000-0000-0000E8590000}"/>
    <cellStyle name="Note 13 3 6 2" xfId="15835" xr:uid="{00000000-0005-0000-0000-0000E9590000}"/>
    <cellStyle name="Note 13 3 6 3" xfId="30630" xr:uid="{00000000-0005-0000-0000-0000EA590000}"/>
    <cellStyle name="Note 13 3 6 4" xfId="30631" xr:uid="{00000000-0005-0000-0000-0000EB590000}"/>
    <cellStyle name="Note 13 3 7" xfId="15836" xr:uid="{00000000-0005-0000-0000-0000EC590000}"/>
    <cellStyle name="Note 13 3 7 2" xfId="15837" xr:uid="{00000000-0005-0000-0000-0000ED590000}"/>
    <cellStyle name="Note 13 3 7 3" xfId="30632" xr:uid="{00000000-0005-0000-0000-0000EE590000}"/>
    <cellStyle name="Note 13 3 7 4" xfId="30633" xr:uid="{00000000-0005-0000-0000-0000EF590000}"/>
    <cellStyle name="Note 13 3 8" xfId="15838" xr:uid="{00000000-0005-0000-0000-0000F0590000}"/>
    <cellStyle name="Note 13 3 9" xfId="30634" xr:uid="{00000000-0005-0000-0000-0000F1590000}"/>
    <cellStyle name="Note 13 4" xfId="15839" xr:uid="{00000000-0005-0000-0000-0000F2590000}"/>
    <cellStyle name="Note 13 4 10" xfId="30635" xr:uid="{00000000-0005-0000-0000-0000F3590000}"/>
    <cellStyle name="Note 13 4 2" xfId="15840" xr:uid="{00000000-0005-0000-0000-0000F4590000}"/>
    <cellStyle name="Note 13 4 2 2" xfId="15841" xr:uid="{00000000-0005-0000-0000-0000F5590000}"/>
    <cellStyle name="Note 13 4 2 3" xfId="30636" xr:uid="{00000000-0005-0000-0000-0000F6590000}"/>
    <cellStyle name="Note 13 4 2 4" xfId="30637" xr:uid="{00000000-0005-0000-0000-0000F7590000}"/>
    <cellStyle name="Note 13 4 3" xfId="15842" xr:uid="{00000000-0005-0000-0000-0000F8590000}"/>
    <cellStyle name="Note 13 4 3 2" xfId="15843" xr:uid="{00000000-0005-0000-0000-0000F9590000}"/>
    <cellStyle name="Note 13 4 3 3" xfId="30638" xr:uid="{00000000-0005-0000-0000-0000FA590000}"/>
    <cellStyle name="Note 13 4 3 4" xfId="30639" xr:uid="{00000000-0005-0000-0000-0000FB590000}"/>
    <cellStyle name="Note 13 4 4" xfId="15844" xr:uid="{00000000-0005-0000-0000-0000FC590000}"/>
    <cellStyle name="Note 13 4 4 2" xfId="15845" xr:uid="{00000000-0005-0000-0000-0000FD590000}"/>
    <cellStyle name="Note 13 4 4 3" xfId="30640" xr:uid="{00000000-0005-0000-0000-0000FE590000}"/>
    <cellStyle name="Note 13 4 4 4" xfId="30641" xr:uid="{00000000-0005-0000-0000-0000FF590000}"/>
    <cellStyle name="Note 13 4 5" xfId="15846" xr:uid="{00000000-0005-0000-0000-0000005A0000}"/>
    <cellStyle name="Note 13 4 5 2" xfId="15847" xr:uid="{00000000-0005-0000-0000-0000015A0000}"/>
    <cellStyle name="Note 13 4 5 3" xfId="30642" xr:uid="{00000000-0005-0000-0000-0000025A0000}"/>
    <cellStyle name="Note 13 4 5 4" xfId="30643" xr:uid="{00000000-0005-0000-0000-0000035A0000}"/>
    <cellStyle name="Note 13 4 6" xfId="15848" xr:uid="{00000000-0005-0000-0000-0000045A0000}"/>
    <cellStyle name="Note 13 4 6 2" xfId="15849" xr:uid="{00000000-0005-0000-0000-0000055A0000}"/>
    <cellStyle name="Note 13 4 6 3" xfId="30644" xr:uid="{00000000-0005-0000-0000-0000065A0000}"/>
    <cellStyle name="Note 13 4 6 4" xfId="30645" xr:uid="{00000000-0005-0000-0000-0000075A0000}"/>
    <cellStyle name="Note 13 4 7" xfId="15850" xr:uid="{00000000-0005-0000-0000-0000085A0000}"/>
    <cellStyle name="Note 13 4 7 2" xfId="15851" xr:uid="{00000000-0005-0000-0000-0000095A0000}"/>
    <cellStyle name="Note 13 4 7 3" xfId="30646" xr:uid="{00000000-0005-0000-0000-00000A5A0000}"/>
    <cellStyle name="Note 13 4 7 4" xfId="30647" xr:uid="{00000000-0005-0000-0000-00000B5A0000}"/>
    <cellStyle name="Note 13 4 8" xfId="15852" xr:uid="{00000000-0005-0000-0000-00000C5A0000}"/>
    <cellStyle name="Note 13 4 9" xfId="30648" xr:uid="{00000000-0005-0000-0000-00000D5A0000}"/>
    <cellStyle name="Note 13 5" xfId="15853" xr:uid="{00000000-0005-0000-0000-00000E5A0000}"/>
    <cellStyle name="Note 13 5 10" xfId="30649" xr:uid="{00000000-0005-0000-0000-00000F5A0000}"/>
    <cellStyle name="Note 13 5 2" xfId="15854" xr:uid="{00000000-0005-0000-0000-0000105A0000}"/>
    <cellStyle name="Note 13 5 2 2" xfId="15855" xr:uid="{00000000-0005-0000-0000-0000115A0000}"/>
    <cellStyle name="Note 13 5 2 3" xfId="30650" xr:uid="{00000000-0005-0000-0000-0000125A0000}"/>
    <cellStyle name="Note 13 5 2 4" xfId="30651" xr:uid="{00000000-0005-0000-0000-0000135A0000}"/>
    <cellStyle name="Note 13 5 3" xfId="15856" xr:uid="{00000000-0005-0000-0000-0000145A0000}"/>
    <cellStyle name="Note 13 5 3 2" xfId="15857" xr:uid="{00000000-0005-0000-0000-0000155A0000}"/>
    <cellStyle name="Note 13 5 3 3" xfId="30652" xr:uid="{00000000-0005-0000-0000-0000165A0000}"/>
    <cellStyle name="Note 13 5 3 4" xfId="30653" xr:uid="{00000000-0005-0000-0000-0000175A0000}"/>
    <cellStyle name="Note 13 5 4" xfId="15858" xr:uid="{00000000-0005-0000-0000-0000185A0000}"/>
    <cellStyle name="Note 13 5 4 2" xfId="15859" xr:uid="{00000000-0005-0000-0000-0000195A0000}"/>
    <cellStyle name="Note 13 5 4 3" xfId="30654" xr:uid="{00000000-0005-0000-0000-00001A5A0000}"/>
    <cellStyle name="Note 13 5 4 4" xfId="30655" xr:uid="{00000000-0005-0000-0000-00001B5A0000}"/>
    <cellStyle name="Note 13 5 5" xfId="15860" xr:uid="{00000000-0005-0000-0000-00001C5A0000}"/>
    <cellStyle name="Note 13 5 5 2" xfId="15861" xr:uid="{00000000-0005-0000-0000-00001D5A0000}"/>
    <cellStyle name="Note 13 5 5 3" xfId="30656" xr:uid="{00000000-0005-0000-0000-00001E5A0000}"/>
    <cellStyle name="Note 13 5 5 4" xfId="30657" xr:uid="{00000000-0005-0000-0000-00001F5A0000}"/>
    <cellStyle name="Note 13 5 6" xfId="15862" xr:uid="{00000000-0005-0000-0000-0000205A0000}"/>
    <cellStyle name="Note 13 5 6 2" xfId="15863" xr:uid="{00000000-0005-0000-0000-0000215A0000}"/>
    <cellStyle name="Note 13 5 6 3" xfId="30658" xr:uid="{00000000-0005-0000-0000-0000225A0000}"/>
    <cellStyle name="Note 13 5 6 4" xfId="30659" xr:uid="{00000000-0005-0000-0000-0000235A0000}"/>
    <cellStyle name="Note 13 5 7" xfId="15864" xr:uid="{00000000-0005-0000-0000-0000245A0000}"/>
    <cellStyle name="Note 13 5 7 2" xfId="15865" xr:uid="{00000000-0005-0000-0000-0000255A0000}"/>
    <cellStyle name="Note 13 5 7 3" xfId="30660" xr:uid="{00000000-0005-0000-0000-0000265A0000}"/>
    <cellStyle name="Note 13 5 7 4" xfId="30661" xr:uid="{00000000-0005-0000-0000-0000275A0000}"/>
    <cellStyle name="Note 13 5 8" xfId="15866" xr:uid="{00000000-0005-0000-0000-0000285A0000}"/>
    <cellStyle name="Note 13 5 9" xfId="30662" xr:uid="{00000000-0005-0000-0000-0000295A0000}"/>
    <cellStyle name="Note 13 6" xfId="15867" xr:uid="{00000000-0005-0000-0000-00002A5A0000}"/>
    <cellStyle name="Note 13 6 2" xfId="15868" xr:uid="{00000000-0005-0000-0000-00002B5A0000}"/>
    <cellStyle name="Note 13 6 3" xfId="30663" xr:uid="{00000000-0005-0000-0000-00002C5A0000}"/>
    <cellStyle name="Note 13 6 4" xfId="30664" xr:uid="{00000000-0005-0000-0000-00002D5A0000}"/>
    <cellStyle name="Note 13 7" xfId="15869" xr:uid="{00000000-0005-0000-0000-00002E5A0000}"/>
    <cellStyle name="Note 13 7 2" xfId="15870" xr:uid="{00000000-0005-0000-0000-00002F5A0000}"/>
    <cellStyle name="Note 13 7 3" xfId="30665" xr:uid="{00000000-0005-0000-0000-0000305A0000}"/>
    <cellStyle name="Note 13 7 4" xfId="30666" xr:uid="{00000000-0005-0000-0000-0000315A0000}"/>
    <cellStyle name="Note 13 8" xfId="15871" xr:uid="{00000000-0005-0000-0000-0000325A0000}"/>
    <cellStyle name="Note 13 8 2" xfId="15872" xr:uid="{00000000-0005-0000-0000-0000335A0000}"/>
    <cellStyle name="Note 13 8 3" xfId="30667" xr:uid="{00000000-0005-0000-0000-0000345A0000}"/>
    <cellStyle name="Note 13 8 4" xfId="30668" xr:uid="{00000000-0005-0000-0000-0000355A0000}"/>
    <cellStyle name="Note 13 9" xfId="15873" xr:uid="{00000000-0005-0000-0000-0000365A0000}"/>
    <cellStyle name="Note 13 9 2" xfId="15874" xr:uid="{00000000-0005-0000-0000-0000375A0000}"/>
    <cellStyle name="Note 13 9 3" xfId="30669" xr:uid="{00000000-0005-0000-0000-0000385A0000}"/>
    <cellStyle name="Note 13 9 4" xfId="30670" xr:uid="{00000000-0005-0000-0000-0000395A0000}"/>
    <cellStyle name="Note 14" xfId="15875" xr:uid="{00000000-0005-0000-0000-00003A5A0000}"/>
    <cellStyle name="Note 14 10" xfId="15876" xr:uid="{00000000-0005-0000-0000-00003B5A0000}"/>
    <cellStyle name="Note 14 10 2" xfId="15877" xr:uid="{00000000-0005-0000-0000-00003C5A0000}"/>
    <cellStyle name="Note 14 10 3" xfId="30671" xr:uid="{00000000-0005-0000-0000-00003D5A0000}"/>
    <cellStyle name="Note 14 10 4" xfId="30672" xr:uid="{00000000-0005-0000-0000-00003E5A0000}"/>
    <cellStyle name="Note 14 11" xfId="15878" xr:uid="{00000000-0005-0000-0000-00003F5A0000}"/>
    <cellStyle name="Note 14 11 2" xfId="15879" xr:uid="{00000000-0005-0000-0000-0000405A0000}"/>
    <cellStyle name="Note 14 11 3" xfId="30673" xr:uid="{00000000-0005-0000-0000-0000415A0000}"/>
    <cellStyle name="Note 14 11 4" xfId="30674" xr:uid="{00000000-0005-0000-0000-0000425A0000}"/>
    <cellStyle name="Note 14 12" xfId="15880" xr:uid="{00000000-0005-0000-0000-0000435A0000}"/>
    <cellStyle name="Note 14 13" xfId="30675" xr:uid="{00000000-0005-0000-0000-0000445A0000}"/>
    <cellStyle name="Note 14 14" xfId="30676" xr:uid="{00000000-0005-0000-0000-0000455A0000}"/>
    <cellStyle name="Note 14 2" xfId="15881" xr:uid="{00000000-0005-0000-0000-0000465A0000}"/>
    <cellStyle name="Note 14 2 10" xfId="30677" xr:uid="{00000000-0005-0000-0000-0000475A0000}"/>
    <cellStyle name="Note 14 2 2" xfId="15882" xr:uid="{00000000-0005-0000-0000-0000485A0000}"/>
    <cellStyle name="Note 14 2 2 2" xfId="15883" xr:uid="{00000000-0005-0000-0000-0000495A0000}"/>
    <cellStyle name="Note 14 2 2 3" xfId="30678" xr:uid="{00000000-0005-0000-0000-00004A5A0000}"/>
    <cellStyle name="Note 14 2 2 4" xfId="30679" xr:uid="{00000000-0005-0000-0000-00004B5A0000}"/>
    <cellStyle name="Note 14 2 3" xfId="15884" xr:uid="{00000000-0005-0000-0000-00004C5A0000}"/>
    <cellStyle name="Note 14 2 3 2" xfId="15885" xr:uid="{00000000-0005-0000-0000-00004D5A0000}"/>
    <cellStyle name="Note 14 2 3 3" xfId="30680" xr:uid="{00000000-0005-0000-0000-00004E5A0000}"/>
    <cellStyle name="Note 14 2 3 4" xfId="30681" xr:uid="{00000000-0005-0000-0000-00004F5A0000}"/>
    <cellStyle name="Note 14 2 4" xfId="15886" xr:uid="{00000000-0005-0000-0000-0000505A0000}"/>
    <cellStyle name="Note 14 2 4 2" xfId="15887" xr:uid="{00000000-0005-0000-0000-0000515A0000}"/>
    <cellStyle name="Note 14 2 4 3" xfId="30682" xr:uid="{00000000-0005-0000-0000-0000525A0000}"/>
    <cellStyle name="Note 14 2 4 4" xfId="30683" xr:uid="{00000000-0005-0000-0000-0000535A0000}"/>
    <cellStyle name="Note 14 2 5" xfId="15888" xr:uid="{00000000-0005-0000-0000-0000545A0000}"/>
    <cellStyle name="Note 14 2 5 2" xfId="15889" xr:uid="{00000000-0005-0000-0000-0000555A0000}"/>
    <cellStyle name="Note 14 2 5 3" xfId="30684" xr:uid="{00000000-0005-0000-0000-0000565A0000}"/>
    <cellStyle name="Note 14 2 5 4" xfId="30685" xr:uid="{00000000-0005-0000-0000-0000575A0000}"/>
    <cellStyle name="Note 14 2 6" xfId="15890" xr:uid="{00000000-0005-0000-0000-0000585A0000}"/>
    <cellStyle name="Note 14 2 6 2" xfId="15891" xr:uid="{00000000-0005-0000-0000-0000595A0000}"/>
    <cellStyle name="Note 14 2 6 3" xfId="30686" xr:uid="{00000000-0005-0000-0000-00005A5A0000}"/>
    <cellStyle name="Note 14 2 6 4" xfId="30687" xr:uid="{00000000-0005-0000-0000-00005B5A0000}"/>
    <cellStyle name="Note 14 2 7" xfId="15892" xr:uid="{00000000-0005-0000-0000-00005C5A0000}"/>
    <cellStyle name="Note 14 2 7 2" xfId="15893" xr:uid="{00000000-0005-0000-0000-00005D5A0000}"/>
    <cellStyle name="Note 14 2 7 3" xfId="30688" xr:uid="{00000000-0005-0000-0000-00005E5A0000}"/>
    <cellStyle name="Note 14 2 7 4" xfId="30689" xr:uid="{00000000-0005-0000-0000-00005F5A0000}"/>
    <cellStyle name="Note 14 2 8" xfId="15894" xr:uid="{00000000-0005-0000-0000-0000605A0000}"/>
    <cellStyle name="Note 14 2 9" xfId="30690" xr:uid="{00000000-0005-0000-0000-0000615A0000}"/>
    <cellStyle name="Note 14 3" xfId="15895" xr:uid="{00000000-0005-0000-0000-0000625A0000}"/>
    <cellStyle name="Note 14 3 10" xfId="30691" xr:uid="{00000000-0005-0000-0000-0000635A0000}"/>
    <cellStyle name="Note 14 3 2" xfId="15896" xr:uid="{00000000-0005-0000-0000-0000645A0000}"/>
    <cellStyle name="Note 14 3 2 2" xfId="15897" xr:uid="{00000000-0005-0000-0000-0000655A0000}"/>
    <cellStyle name="Note 14 3 2 3" xfId="30692" xr:uid="{00000000-0005-0000-0000-0000665A0000}"/>
    <cellStyle name="Note 14 3 2 4" xfId="30693" xr:uid="{00000000-0005-0000-0000-0000675A0000}"/>
    <cellStyle name="Note 14 3 3" xfId="15898" xr:uid="{00000000-0005-0000-0000-0000685A0000}"/>
    <cellStyle name="Note 14 3 3 2" xfId="15899" xr:uid="{00000000-0005-0000-0000-0000695A0000}"/>
    <cellStyle name="Note 14 3 3 3" xfId="30694" xr:uid="{00000000-0005-0000-0000-00006A5A0000}"/>
    <cellStyle name="Note 14 3 3 4" xfId="30695" xr:uid="{00000000-0005-0000-0000-00006B5A0000}"/>
    <cellStyle name="Note 14 3 4" xfId="15900" xr:uid="{00000000-0005-0000-0000-00006C5A0000}"/>
    <cellStyle name="Note 14 3 4 2" xfId="15901" xr:uid="{00000000-0005-0000-0000-00006D5A0000}"/>
    <cellStyle name="Note 14 3 4 3" xfId="30696" xr:uid="{00000000-0005-0000-0000-00006E5A0000}"/>
    <cellStyle name="Note 14 3 4 4" xfId="30697" xr:uid="{00000000-0005-0000-0000-00006F5A0000}"/>
    <cellStyle name="Note 14 3 5" xfId="15902" xr:uid="{00000000-0005-0000-0000-0000705A0000}"/>
    <cellStyle name="Note 14 3 5 2" xfId="15903" xr:uid="{00000000-0005-0000-0000-0000715A0000}"/>
    <cellStyle name="Note 14 3 5 3" xfId="30698" xr:uid="{00000000-0005-0000-0000-0000725A0000}"/>
    <cellStyle name="Note 14 3 5 4" xfId="30699" xr:uid="{00000000-0005-0000-0000-0000735A0000}"/>
    <cellStyle name="Note 14 3 6" xfId="15904" xr:uid="{00000000-0005-0000-0000-0000745A0000}"/>
    <cellStyle name="Note 14 3 6 2" xfId="15905" xr:uid="{00000000-0005-0000-0000-0000755A0000}"/>
    <cellStyle name="Note 14 3 6 3" xfId="30700" xr:uid="{00000000-0005-0000-0000-0000765A0000}"/>
    <cellStyle name="Note 14 3 6 4" xfId="30701" xr:uid="{00000000-0005-0000-0000-0000775A0000}"/>
    <cellStyle name="Note 14 3 7" xfId="15906" xr:uid="{00000000-0005-0000-0000-0000785A0000}"/>
    <cellStyle name="Note 14 3 7 2" xfId="15907" xr:uid="{00000000-0005-0000-0000-0000795A0000}"/>
    <cellStyle name="Note 14 3 7 3" xfId="30702" xr:uid="{00000000-0005-0000-0000-00007A5A0000}"/>
    <cellStyle name="Note 14 3 7 4" xfId="30703" xr:uid="{00000000-0005-0000-0000-00007B5A0000}"/>
    <cellStyle name="Note 14 3 8" xfId="15908" xr:uid="{00000000-0005-0000-0000-00007C5A0000}"/>
    <cellStyle name="Note 14 3 9" xfId="30704" xr:uid="{00000000-0005-0000-0000-00007D5A0000}"/>
    <cellStyle name="Note 14 4" xfId="15909" xr:uid="{00000000-0005-0000-0000-00007E5A0000}"/>
    <cellStyle name="Note 14 4 10" xfId="30705" xr:uid="{00000000-0005-0000-0000-00007F5A0000}"/>
    <cellStyle name="Note 14 4 2" xfId="15910" xr:uid="{00000000-0005-0000-0000-0000805A0000}"/>
    <cellStyle name="Note 14 4 2 2" xfId="15911" xr:uid="{00000000-0005-0000-0000-0000815A0000}"/>
    <cellStyle name="Note 14 4 2 3" xfId="30706" xr:uid="{00000000-0005-0000-0000-0000825A0000}"/>
    <cellStyle name="Note 14 4 2 4" xfId="30707" xr:uid="{00000000-0005-0000-0000-0000835A0000}"/>
    <cellStyle name="Note 14 4 3" xfId="15912" xr:uid="{00000000-0005-0000-0000-0000845A0000}"/>
    <cellStyle name="Note 14 4 3 2" xfId="15913" xr:uid="{00000000-0005-0000-0000-0000855A0000}"/>
    <cellStyle name="Note 14 4 3 3" xfId="30708" xr:uid="{00000000-0005-0000-0000-0000865A0000}"/>
    <cellStyle name="Note 14 4 3 4" xfId="30709" xr:uid="{00000000-0005-0000-0000-0000875A0000}"/>
    <cellStyle name="Note 14 4 4" xfId="15914" xr:uid="{00000000-0005-0000-0000-0000885A0000}"/>
    <cellStyle name="Note 14 4 4 2" xfId="15915" xr:uid="{00000000-0005-0000-0000-0000895A0000}"/>
    <cellStyle name="Note 14 4 4 3" xfId="30710" xr:uid="{00000000-0005-0000-0000-00008A5A0000}"/>
    <cellStyle name="Note 14 4 4 4" xfId="30711" xr:uid="{00000000-0005-0000-0000-00008B5A0000}"/>
    <cellStyle name="Note 14 4 5" xfId="15916" xr:uid="{00000000-0005-0000-0000-00008C5A0000}"/>
    <cellStyle name="Note 14 4 5 2" xfId="15917" xr:uid="{00000000-0005-0000-0000-00008D5A0000}"/>
    <cellStyle name="Note 14 4 5 3" xfId="30712" xr:uid="{00000000-0005-0000-0000-00008E5A0000}"/>
    <cellStyle name="Note 14 4 5 4" xfId="30713" xr:uid="{00000000-0005-0000-0000-00008F5A0000}"/>
    <cellStyle name="Note 14 4 6" xfId="15918" xr:uid="{00000000-0005-0000-0000-0000905A0000}"/>
    <cellStyle name="Note 14 4 6 2" xfId="15919" xr:uid="{00000000-0005-0000-0000-0000915A0000}"/>
    <cellStyle name="Note 14 4 6 3" xfId="30714" xr:uid="{00000000-0005-0000-0000-0000925A0000}"/>
    <cellStyle name="Note 14 4 6 4" xfId="30715" xr:uid="{00000000-0005-0000-0000-0000935A0000}"/>
    <cellStyle name="Note 14 4 7" xfId="15920" xr:uid="{00000000-0005-0000-0000-0000945A0000}"/>
    <cellStyle name="Note 14 4 7 2" xfId="15921" xr:uid="{00000000-0005-0000-0000-0000955A0000}"/>
    <cellStyle name="Note 14 4 7 3" xfId="30716" xr:uid="{00000000-0005-0000-0000-0000965A0000}"/>
    <cellStyle name="Note 14 4 7 4" xfId="30717" xr:uid="{00000000-0005-0000-0000-0000975A0000}"/>
    <cellStyle name="Note 14 4 8" xfId="15922" xr:uid="{00000000-0005-0000-0000-0000985A0000}"/>
    <cellStyle name="Note 14 4 9" xfId="30718" xr:uid="{00000000-0005-0000-0000-0000995A0000}"/>
    <cellStyle name="Note 14 5" xfId="15923" xr:uid="{00000000-0005-0000-0000-00009A5A0000}"/>
    <cellStyle name="Note 14 5 10" xfId="30719" xr:uid="{00000000-0005-0000-0000-00009B5A0000}"/>
    <cellStyle name="Note 14 5 2" xfId="15924" xr:uid="{00000000-0005-0000-0000-00009C5A0000}"/>
    <cellStyle name="Note 14 5 2 2" xfId="15925" xr:uid="{00000000-0005-0000-0000-00009D5A0000}"/>
    <cellStyle name="Note 14 5 2 3" xfId="30720" xr:uid="{00000000-0005-0000-0000-00009E5A0000}"/>
    <cellStyle name="Note 14 5 2 4" xfId="30721" xr:uid="{00000000-0005-0000-0000-00009F5A0000}"/>
    <cellStyle name="Note 14 5 3" xfId="15926" xr:uid="{00000000-0005-0000-0000-0000A05A0000}"/>
    <cellStyle name="Note 14 5 3 2" xfId="15927" xr:uid="{00000000-0005-0000-0000-0000A15A0000}"/>
    <cellStyle name="Note 14 5 3 3" xfId="30722" xr:uid="{00000000-0005-0000-0000-0000A25A0000}"/>
    <cellStyle name="Note 14 5 3 4" xfId="30723" xr:uid="{00000000-0005-0000-0000-0000A35A0000}"/>
    <cellStyle name="Note 14 5 4" xfId="15928" xr:uid="{00000000-0005-0000-0000-0000A45A0000}"/>
    <cellStyle name="Note 14 5 4 2" xfId="15929" xr:uid="{00000000-0005-0000-0000-0000A55A0000}"/>
    <cellStyle name="Note 14 5 4 3" xfId="30724" xr:uid="{00000000-0005-0000-0000-0000A65A0000}"/>
    <cellStyle name="Note 14 5 4 4" xfId="30725" xr:uid="{00000000-0005-0000-0000-0000A75A0000}"/>
    <cellStyle name="Note 14 5 5" xfId="15930" xr:uid="{00000000-0005-0000-0000-0000A85A0000}"/>
    <cellStyle name="Note 14 5 5 2" xfId="15931" xr:uid="{00000000-0005-0000-0000-0000A95A0000}"/>
    <cellStyle name="Note 14 5 5 3" xfId="30726" xr:uid="{00000000-0005-0000-0000-0000AA5A0000}"/>
    <cellStyle name="Note 14 5 5 4" xfId="30727" xr:uid="{00000000-0005-0000-0000-0000AB5A0000}"/>
    <cellStyle name="Note 14 5 6" xfId="15932" xr:uid="{00000000-0005-0000-0000-0000AC5A0000}"/>
    <cellStyle name="Note 14 5 6 2" xfId="15933" xr:uid="{00000000-0005-0000-0000-0000AD5A0000}"/>
    <cellStyle name="Note 14 5 6 3" xfId="30728" xr:uid="{00000000-0005-0000-0000-0000AE5A0000}"/>
    <cellStyle name="Note 14 5 6 4" xfId="30729" xr:uid="{00000000-0005-0000-0000-0000AF5A0000}"/>
    <cellStyle name="Note 14 5 7" xfId="15934" xr:uid="{00000000-0005-0000-0000-0000B05A0000}"/>
    <cellStyle name="Note 14 5 7 2" xfId="15935" xr:uid="{00000000-0005-0000-0000-0000B15A0000}"/>
    <cellStyle name="Note 14 5 7 3" xfId="30730" xr:uid="{00000000-0005-0000-0000-0000B25A0000}"/>
    <cellStyle name="Note 14 5 7 4" xfId="30731" xr:uid="{00000000-0005-0000-0000-0000B35A0000}"/>
    <cellStyle name="Note 14 5 8" xfId="15936" xr:uid="{00000000-0005-0000-0000-0000B45A0000}"/>
    <cellStyle name="Note 14 5 9" xfId="30732" xr:uid="{00000000-0005-0000-0000-0000B55A0000}"/>
    <cellStyle name="Note 14 6" xfId="15937" xr:uid="{00000000-0005-0000-0000-0000B65A0000}"/>
    <cellStyle name="Note 14 6 2" xfId="15938" xr:uid="{00000000-0005-0000-0000-0000B75A0000}"/>
    <cellStyle name="Note 14 6 3" xfId="30733" xr:uid="{00000000-0005-0000-0000-0000B85A0000}"/>
    <cellStyle name="Note 14 6 4" xfId="30734" xr:uid="{00000000-0005-0000-0000-0000B95A0000}"/>
    <cellStyle name="Note 14 7" xfId="15939" xr:uid="{00000000-0005-0000-0000-0000BA5A0000}"/>
    <cellStyle name="Note 14 7 2" xfId="15940" xr:uid="{00000000-0005-0000-0000-0000BB5A0000}"/>
    <cellStyle name="Note 14 7 3" xfId="30735" xr:uid="{00000000-0005-0000-0000-0000BC5A0000}"/>
    <cellStyle name="Note 14 7 4" xfId="30736" xr:uid="{00000000-0005-0000-0000-0000BD5A0000}"/>
    <cellStyle name="Note 14 8" xfId="15941" xr:uid="{00000000-0005-0000-0000-0000BE5A0000}"/>
    <cellStyle name="Note 14 8 2" xfId="15942" xr:uid="{00000000-0005-0000-0000-0000BF5A0000}"/>
    <cellStyle name="Note 14 8 3" xfId="30737" xr:uid="{00000000-0005-0000-0000-0000C05A0000}"/>
    <cellStyle name="Note 14 8 4" xfId="30738" xr:uid="{00000000-0005-0000-0000-0000C15A0000}"/>
    <cellStyle name="Note 14 9" xfId="15943" xr:uid="{00000000-0005-0000-0000-0000C25A0000}"/>
    <cellStyle name="Note 14 9 2" xfId="15944" xr:uid="{00000000-0005-0000-0000-0000C35A0000}"/>
    <cellStyle name="Note 14 9 3" xfId="30739" xr:uid="{00000000-0005-0000-0000-0000C45A0000}"/>
    <cellStyle name="Note 14 9 4" xfId="30740" xr:uid="{00000000-0005-0000-0000-0000C55A0000}"/>
    <cellStyle name="Note 15" xfId="15945" xr:uid="{00000000-0005-0000-0000-0000C65A0000}"/>
    <cellStyle name="Note 15 10" xfId="15946" xr:uid="{00000000-0005-0000-0000-0000C75A0000}"/>
    <cellStyle name="Note 15 10 2" xfId="15947" xr:uid="{00000000-0005-0000-0000-0000C85A0000}"/>
    <cellStyle name="Note 15 10 3" xfId="30741" xr:uid="{00000000-0005-0000-0000-0000C95A0000}"/>
    <cellStyle name="Note 15 10 4" xfId="30742" xr:uid="{00000000-0005-0000-0000-0000CA5A0000}"/>
    <cellStyle name="Note 15 11" xfId="15948" xr:uid="{00000000-0005-0000-0000-0000CB5A0000}"/>
    <cellStyle name="Note 15 11 2" xfId="15949" xr:uid="{00000000-0005-0000-0000-0000CC5A0000}"/>
    <cellStyle name="Note 15 11 3" xfId="30743" xr:uid="{00000000-0005-0000-0000-0000CD5A0000}"/>
    <cellStyle name="Note 15 11 4" xfId="30744" xr:uid="{00000000-0005-0000-0000-0000CE5A0000}"/>
    <cellStyle name="Note 15 12" xfId="15950" xr:uid="{00000000-0005-0000-0000-0000CF5A0000}"/>
    <cellStyle name="Note 15 13" xfId="30745" xr:uid="{00000000-0005-0000-0000-0000D05A0000}"/>
    <cellStyle name="Note 15 14" xfId="30746" xr:uid="{00000000-0005-0000-0000-0000D15A0000}"/>
    <cellStyle name="Note 15 2" xfId="15951" xr:uid="{00000000-0005-0000-0000-0000D25A0000}"/>
    <cellStyle name="Note 15 2 10" xfId="30747" xr:uid="{00000000-0005-0000-0000-0000D35A0000}"/>
    <cellStyle name="Note 15 2 2" xfId="15952" xr:uid="{00000000-0005-0000-0000-0000D45A0000}"/>
    <cellStyle name="Note 15 2 2 2" xfId="15953" xr:uid="{00000000-0005-0000-0000-0000D55A0000}"/>
    <cellStyle name="Note 15 2 2 3" xfId="30748" xr:uid="{00000000-0005-0000-0000-0000D65A0000}"/>
    <cellStyle name="Note 15 2 2 4" xfId="30749" xr:uid="{00000000-0005-0000-0000-0000D75A0000}"/>
    <cellStyle name="Note 15 2 3" xfId="15954" xr:uid="{00000000-0005-0000-0000-0000D85A0000}"/>
    <cellStyle name="Note 15 2 3 2" xfId="15955" xr:uid="{00000000-0005-0000-0000-0000D95A0000}"/>
    <cellStyle name="Note 15 2 3 3" xfId="30750" xr:uid="{00000000-0005-0000-0000-0000DA5A0000}"/>
    <cellStyle name="Note 15 2 3 4" xfId="30751" xr:uid="{00000000-0005-0000-0000-0000DB5A0000}"/>
    <cellStyle name="Note 15 2 4" xfId="15956" xr:uid="{00000000-0005-0000-0000-0000DC5A0000}"/>
    <cellStyle name="Note 15 2 4 2" xfId="15957" xr:uid="{00000000-0005-0000-0000-0000DD5A0000}"/>
    <cellStyle name="Note 15 2 4 3" xfId="30752" xr:uid="{00000000-0005-0000-0000-0000DE5A0000}"/>
    <cellStyle name="Note 15 2 4 4" xfId="30753" xr:uid="{00000000-0005-0000-0000-0000DF5A0000}"/>
    <cellStyle name="Note 15 2 5" xfId="15958" xr:uid="{00000000-0005-0000-0000-0000E05A0000}"/>
    <cellStyle name="Note 15 2 5 2" xfId="15959" xr:uid="{00000000-0005-0000-0000-0000E15A0000}"/>
    <cellStyle name="Note 15 2 5 3" xfId="30754" xr:uid="{00000000-0005-0000-0000-0000E25A0000}"/>
    <cellStyle name="Note 15 2 5 4" xfId="30755" xr:uid="{00000000-0005-0000-0000-0000E35A0000}"/>
    <cellStyle name="Note 15 2 6" xfId="15960" xr:uid="{00000000-0005-0000-0000-0000E45A0000}"/>
    <cellStyle name="Note 15 2 6 2" xfId="15961" xr:uid="{00000000-0005-0000-0000-0000E55A0000}"/>
    <cellStyle name="Note 15 2 6 3" xfId="30756" xr:uid="{00000000-0005-0000-0000-0000E65A0000}"/>
    <cellStyle name="Note 15 2 6 4" xfId="30757" xr:uid="{00000000-0005-0000-0000-0000E75A0000}"/>
    <cellStyle name="Note 15 2 7" xfId="15962" xr:uid="{00000000-0005-0000-0000-0000E85A0000}"/>
    <cellStyle name="Note 15 2 7 2" xfId="15963" xr:uid="{00000000-0005-0000-0000-0000E95A0000}"/>
    <cellStyle name="Note 15 2 7 3" xfId="30758" xr:uid="{00000000-0005-0000-0000-0000EA5A0000}"/>
    <cellStyle name="Note 15 2 7 4" xfId="30759" xr:uid="{00000000-0005-0000-0000-0000EB5A0000}"/>
    <cellStyle name="Note 15 2 8" xfId="15964" xr:uid="{00000000-0005-0000-0000-0000EC5A0000}"/>
    <cellStyle name="Note 15 2 9" xfId="30760" xr:uid="{00000000-0005-0000-0000-0000ED5A0000}"/>
    <cellStyle name="Note 15 3" xfId="15965" xr:uid="{00000000-0005-0000-0000-0000EE5A0000}"/>
    <cellStyle name="Note 15 3 10" xfId="30761" xr:uid="{00000000-0005-0000-0000-0000EF5A0000}"/>
    <cellStyle name="Note 15 3 2" xfId="15966" xr:uid="{00000000-0005-0000-0000-0000F05A0000}"/>
    <cellStyle name="Note 15 3 2 2" xfId="15967" xr:uid="{00000000-0005-0000-0000-0000F15A0000}"/>
    <cellStyle name="Note 15 3 2 3" xfId="30762" xr:uid="{00000000-0005-0000-0000-0000F25A0000}"/>
    <cellStyle name="Note 15 3 2 4" xfId="30763" xr:uid="{00000000-0005-0000-0000-0000F35A0000}"/>
    <cellStyle name="Note 15 3 3" xfId="15968" xr:uid="{00000000-0005-0000-0000-0000F45A0000}"/>
    <cellStyle name="Note 15 3 3 2" xfId="15969" xr:uid="{00000000-0005-0000-0000-0000F55A0000}"/>
    <cellStyle name="Note 15 3 3 3" xfId="30764" xr:uid="{00000000-0005-0000-0000-0000F65A0000}"/>
    <cellStyle name="Note 15 3 3 4" xfId="30765" xr:uid="{00000000-0005-0000-0000-0000F75A0000}"/>
    <cellStyle name="Note 15 3 4" xfId="15970" xr:uid="{00000000-0005-0000-0000-0000F85A0000}"/>
    <cellStyle name="Note 15 3 4 2" xfId="15971" xr:uid="{00000000-0005-0000-0000-0000F95A0000}"/>
    <cellStyle name="Note 15 3 4 3" xfId="30766" xr:uid="{00000000-0005-0000-0000-0000FA5A0000}"/>
    <cellStyle name="Note 15 3 4 4" xfId="30767" xr:uid="{00000000-0005-0000-0000-0000FB5A0000}"/>
    <cellStyle name="Note 15 3 5" xfId="15972" xr:uid="{00000000-0005-0000-0000-0000FC5A0000}"/>
    <cellStyle name="Note 15 3 5 2" xfId="15973" xr:uid="{00000000-0005-0000-0000-0000FD5A0000}"/>
    <cellStyle name="Note 15 3 5 3" xfId="30768" xr:uid="{00000000-0005-0000-0000-0000FE5A0000}"/>
    <cellStyle name="Note 15 3 5 4" xfId="30769" xr:uid="{00000000-0005-0000-0000-0000FF5A0000}"/>
    <cellStyle name="Note 15 3 6" xfId="15974" xr:uid="{00000000-0005-0000-0000-0000005B0000}"/>
    <cellStyle name="Note 15 3 6 2" xfId="15975" xr:uid="{00000000-0005-0000-0000-0000015B0000}"/>
    <cellStyle name="Note 15 3 6 3" xfId="30770" xr:uid="{00000000-0005-0000-0000-0000025B0000}"/>
    <cellStyle name="Note 15 3 6 4" xfId="30771" xr:uid="{00000000-0005-0000-0000-0000035B0000}"/>
    <cellStyle name="Note 15 3 7" xfId="15976" xr:uid="{00000000-0005-0000-0000-0000045B0000}"/>
    <cellStyle name="Note 15 3 7 2" xfId="15977" xr:uid="{00000000-0005-0000-0000-0000055B0000}"/>
    <cellStyle name="Note 15 3 7 3" xfId="30772" xr:uid="{00000000-0005-0000-0000-0000065B0000}"/>
    <cellStyle name="Note 15 3 7 4" xfId="30773" xr:uid="{00000000-0005-0000-0000-0000075B0000}"/>
    <cellStyle name="Note 15 3 8" xfId="15978" xr:uid="{00000000-0005-0000-0000-0000085B0000}"/>
    <cellStyle name="Note 15 3 9" xfId="30774" xr:uid="{00000000-0005-0000-0000-0000095B0000}"/>
    <cellStyle name="Note 15 4" xfId="15979" xr:uid="{00000000-0005-0000-0000-00000A5B0000}"/>
    <cellStyle name="Note 15 4 10" xfId="30775" xr:uid="{00000000-0005-0000-0000-00000B5B0000}"/>
    <cellStyle name="Note 15 4 2" xfId="15980" xr:uid="{00000000-0005-0000-0000-00000C5B0000}"/>
    <cellStyle name="Note 15 4 2 2" xfId="15981" xr:uid="{00000000-0005-0000-0000-00000D5B0000}"/>
    <cellStyle name="Note 15 4 2 3" xfId="30776" xr:uid="{00000000-0005-0000-0000-00000E5B0000}"/>
    <cellStyle name="Note 15 4 2 4" xfId="30777" xr:uid="{00000000-0005-0000-0000-00000F5B0000}"/>
    <cellStyle name="Note 15 4 3" xfId="15982" xr:uid="{00000000-0005-0000-0000-0000105B0000}"/>
    <cellStyle name="Note 15 4 3 2" xfId="15983" xr:uid="{00000000-0005-0000-0000-0000115B0000}"/>
    <cellStyle name="Note 15 4 3 3" xfId="30778" xr:uid="{00000000-0005-0000-0000-0000125B0000}"/>
    <cellStyle name="Note 15 4 3 4" xfId="30779" xr:uid="{00000000-0005-0000-0000-0000135B0000}"/>
    <cellStyle name="Note 15 4 4" xfId="15984" xr:uid="{00000000-0005-0000-0000-0000145B0000}"/>
    <cellStyle name="Note 15 4 4 2" xfId="15985" xr:uid="{00000000-0005-0000-0000-0000155B0000}"/>
    <cellStyle name="Note 15 4 4 3" xfId="30780" xr:uid="{00000000-0005-0000-0000-0000165B0000}"/>
    <cellStyle name="Note 15 4 4 4" xfId="30781" xr:uid="{00000000-0005-0000-0000-0000175B0000}"/>
    <cellStyle name="Note 15 4 5" xfId="15986" xr:uid="{00000000-0005-0000-0000-0000185B0000}"/>
    <cellStyle name="Note 15 4 5 2" xfId="15987" xr:uid="{00000000-0005-0000-0000-0000195B0000}"/>
    <cellStyle name="Note 15 4 5 3" xfId="30782" xr:uid="{00000000-0005-0000-0000-00001A5B0000}"/>
    <cellStyle name="Note 15 4 5 4" xfId="30783" xr:uid="{00000000-0005-0000-0000-00001B5B0000}"/>
    <cellStyle name="Note 15 4 6" xfId="15988" xr:uid="{00000000-0005-0000-0000-00001C5B0000}"/>
    <cellStyle name="Note 15 4 6 2" xfId="15989" xr:uid="{00000000-0005-0000-0000-00001D5B0000}"/>
    <cellStyle name="Note 15 4 6 3" xfId="30784" xr:uid="{00000000-0005-0000-0000-00001E5B0000}"/>
    <cellStyle name="Note 15 4 6 4" xfId="30785" xr:uid="{00000000-0005-0000-0000-00001F5B0000}"/>
    <cellStyle name="Note 15 4 7" xfId="15990" xr:uid="{00000000-0005-0000-0000-0000205B0000}"/>
    <cellStyle name="Note 15 4 7 2" xfId="15991" xr:uid="{00000000-0005-0000-0000-0000215B0000}"/>
    <cellStyle name="Note 15 4 7 3" xfId="30786" xr:uid="{00000000-0005-0000-0000-0000225B0000}"/>
    <cellStyle name="Note 15 4 7 4" xfId="30787" xr:uid="{00000000-0005-0000-0000-0000235B0000}"/>
    <cellStyle name="Note 15 4 8" xfId="15992" xr:uid="{00000000-0005-0000-0000-0000245B0000}"/>
    <cellStyle name="Note 15 4 9" xfId="30788" xr:uid="{00000000-0005-0000-0000-0000255B0000}"/>
    <cellStyle name="Note 15 5" xfId="15993" xr:uid="{00000000-0005-0000-0000-0000265B0000}"/>
    <cellStyle name="Note 15 5 10" xfId="30789" xr:uid="{00000000-0005-0000-0000-0000275B0000}"/>
    <cellStyle name="Note 15 5 2" xfId="15994" xr:uid="{00000000-0005-0000-0000-0000285B0000}"/>
    <cellStyle name="Note 15 5 2 2" xfId="15995" xr:uid="{00000000-0005-0000-0000-0000295B0000}"/>
    <cellStyle name="Note 15 5 2 3" xfId="30790" xr:uid="{00000000-0005-0000-0000-00002A5B0000}"/>
    <cellStyle name="Note 15 5 2 4" xfId="30791" xr:uid="{00000000-0005-0000-0000-00002B5B0000}"/>
    <cellStyle name="Note 15 5 3" xfId="15996" xr:uid="{00000000-0005-0000-0000-00002C5B0000}"/>
    <cellStyle name="Note 15 5 3 2" xfId="15997" xr:uid="{00000000-0005-0000-0000-00002D5B0000}"/>
    <cellStyle name="Note 15 5 3 3" xfId="30792" xr:uid="{00000000-0005-0000-0000-00002E5B0000}"/>
    <cellStyle name="Note 15 5 3 4" xfId="30793" xr:uid="{00000000-0005-0000-0000-00002F5B0000}"/>
    <cellStyle name="Note 15 5 4" xfId="15998" xr:uid="{00000000-0005-0000-0000-0000305B0000}"/>
    <cellStyle name="Note 15 5 4 2" xfId="15999" xr:uid="{00000000-0005-0000-0000-0000315B0000}"/>
    <cellStyle name="Note 15 5 4 3" xfId="30794" xr:uid="{00000000-0005-0000-0000-0000325B0000}"/>
    <cellStyle name="Note 15 5 4 4" xfId="30795" xr:uid="{00000000-0005-0000-0000-0000335B0000}"/>
    <cellStyle name="Note 15 5 5" xfId="16000" xr:uid="{00000000-0005-0000-0000-0000345B0000}"/>
    <cellStyle name="Note 15 5 5 2" xfId="16001" xr:uid="{00000000-0005-0000-0000-0000355B0000}"/>
    <cellStyle name="Note 15 5 5 3" xfId="30796" xr:uid="{00000000-0005-0000-0000-0000365B0000}"/>
    <cellStyle name="Note 15 5 5 4" xfId="30797" xr:uid="{00000000-0005-0000-0000-0000375B0000}"/>
    <cellStyle name="Note 15 5 6" xfId="16002" xr:uid="{00000000-0005-0000-0000-0000385B0000}"/>
    <cellStyle name="Note 15 5 6 2" xfId="16003" xr:uid="{00000000-0005-0000-0000-0000395B0000}"/>
    <cellStyle name="Note 15 5 6 3" xfId="30798" xr:uid="{00000000-0005-0000-0000-00003A5B0000}"/>
    <cellStyle name="Note 15 5 6 4" xfId="30799" xr:uid="{00000000-0005-0000-0000-00003B5B0000}"/>
    <cellStyle name="Note 15 5 7" xfId="16004" xr:uid="{00000000-0005-0000-0000-00003C5B0000}"/>
    <cellStyle name="Note 15 5 7 2" xfId="16005" xr:uid="{00000000-0005-0000-0000-00003D5B0000}"/>
    <cellStyle name="Note 15 5 7 3" xfId="30800" xr:uid="{00000000-0005-0000-0000-00003E5B0000}"/>
    <cellStyle name="Note 15 5 7 4" xfId="30801" xr:uid="{00000000-0005-0000-0000-00003F5B0000}"/>
    <cellStyle name="Note 15 5 8" xfId="16006" xr:uid="{00000000-0005-0000-0000-0000405B0000}"/>
    <cellStyle name="Note 15 5 9" xfId="30802" xr:uid="{00000000-0005-0000-0000-0000415B0000}"/>
    <cellStyle name="Note 15 6" xfId="16007" xr:uid="{00000000-0005-0000-0000-0000425B0000}"/>
    <cellStyle name="Note 15 6 2" xfId="16008" xr:uid="{00000000-0005-0000-0000-0000435B0000}"/>
    <cellStyle name="Note 15 6 3" xfId="30803" xr:uid="{00000000-0005-0000-0000-0000445B0000}"/>
    <cellStyle name="Note 15 6 4" xfId="30804" xr:uid="{00000000-0005-0000-0000-0000455B0000}"/>
    <cellStyle name="Note 15 7" xfId="16009" xr:uid="{00000000-0005-0000-0000-0000465B0000}"/>
    <cellStyle name="Note 15 7 2" xfId="16010" xr:uid="{00000000-0005-0000-0000-0000475B0000}"/>
    <cellStyle name="Note 15 7 3" xfId="30805" xr:uid="{00000000-0005-0000-0000-0000485B0000}"/>
    <cellStyle name="Note 15 7 4" xfId="30806" xr:uid="{00000000-0005-0000-0000-0000495B0000}"/>
    <cellStyle name="Note 15 8" xfId="16011" xr:uid="{00000000-0005-0000-0000-00004A5B0000}"/>
    <cellStyle name="Note 15 8 2" xfId="16012" xr:uid="{00000000-0005-0000-0000-00004B5B0000}"/>
    <cellStyle name="Note 15 8 3" xfId="30807" xr:uid="{00000000-0005-0000-0000-00004C5B0000}"/>
    <cellStyle name="Note 15 8 4" xfId="30808" xr:uid="{00000000-0005-0000-0000-00004D5B0000}"/>
    <cellStyle name="Note 15 9" xfId="16013" xr:uid="{00000000-0005-0000-0000-00004E5B0000}"/>
    <cellStyle name="Note 15 9 2" xfId="16014" xr:uid="{00000000-0005-0000-0000-00004F5B0000}"/>
    <cellStyle name="Note 15 9 3" xfId="30809" xr:uid="{00000000-0005-0000-0000-0000505B0000}"/>
    <cellStyle name="Note 15 9 4" xfId="30810" xr:uid="{00000000-0005-0000-0000-0000515B0000}"/>
    <cellStyle name="Note 16" xfId="16015" xr:uid="{00000000-0005-0000-0000-0000525B0000}"/>
    <cellStyle name="Note 16 10" xfId="16016" xr:uid="{00000000-0005-0000-0000-0000535B0000}"/>
    <cellStyle name="Note 16 10 2" xfId="16017" xr:uid="{00000000-0005-0000-0000-0000545B0000}"/>
    <cellStyle name="Note 16 10 3" xfId="30811" xr:uid="{00000000-0005-0000-0000-0000555B0000}"/>
    <cellStyle name="Note 16 10 4" xfId="30812" xr:uid="{00000000-0005-0000-0000-0000565B0000}"/>
    <cellStyle name="Note 16 11" xfId="16018" xr:uid="{00000000-0005-0000-0000-0000575B0000}"/>
    <cellStyle name="Note 16 11 2" xfId="16019" xr:uid="{00000000-0005-0000-0000-0000585B0000}"/>
    <cellStyle name="Note 16 11 3" xfId="30813" xr:uid="{00000000-0005-0000-0000-0000595B0000}"/>
    <cellStyle name="Note 16 11 4" xfId="30814" xr:uid="{00000000-0005-0000-0000-00005A5B0000}"/>
    <cellStyle name="Note 16 12" xfId="16020" xr:uid="{00000000-0005-0000-0000-00005B5B0000}"/>
    <cellStyle name="Note 16 13" xfId="30815" xr:uid="{00000000-0005-0000-0000-00005C5B0000}"/>
    <cellStyle name="Note 16 14" xfId="30816" xr:uid="{00000000-0005-0000-0000-00005D5B0000}"/>
    <cellStyle name="Note 16 2" xfId="16021" xr:uid="{00000000-0005-0000-0000-00005E5B0000}"/>
    <cellStyle name="Note 16 2 10" xfId="30817" xr:uid="{00000000-0005-0000-0000-00005F5B0000}"/>
    <cellStyle name="Note 16 2 2" xfId="16022" xr:uid="{00000000-0005-0000-0000-0000605B0000}"/>
    <cellStyle name="Note 16 2 2 2" xfId="16023" xr:uid="{00000000-0005-0000-0000-0000615B0000}"/>
    <cellStyle name="Note 16 2 2 3" xfId="30818" xr:uid="{00000000-0005-0000-0000-0000625B0000}"/>
    <cellStyle name="Note 16 2 2 4" xfId="30819" xr:uid="{00000000-0005-0000-0000-0000635B0000}"/>
    <cellStyle name="Note 16 2 3" xfId="16024" xr:uid="{00000000-0005-0000-0000-0000645B0000}"/>
    <cellStyle name="Note 16 2 3 2" xfId="16025" xr:uid="{00000000-0005-0000-0000-0000655B0000}"/>
    <cellStyle name="Note 16 2 3 3" xfId="30820" xr:uid="{00000000-0005-0000-0000-0000665B0000}"/>
    <cellStyle name="Note 16 2 3 4" xfId="30821" xr:uid="{00000000-0005-0000-0000-0000675B0000}"/>
    <cellStyle name="Note 16 2 4" xfId="16026" xr:uid="{00000000-0005-0000-0000-0000685B0000}"/>
    <cellStyle name="Note 16 2 4 2" xfId="16027" xr:uid="{00000000-0005-0000-0000-0000695B0000}"/>
    <cellStyle name="Note 16 2 4 3" xfId="30822" xr:uid="{00000000-0005-0000-0000-00006A5B0000}"/>
    <cellStyle name="Note 16 2 4 4" xfId="30823" xr:uid="{00000000-0005-0000-0000-00006B5B0000}"/>
    <cellStyle name="Note 16 2 5" xfId="16028" xr:uid="{00000000-0005-0000-0000-00006C5B0000}"/>
    <cellStyle name="Note 16 2 5 2" xfId="16029" xr:uid="{00000000-0005-0000-0000-00006D5B0000}"/>
    <cellStyle name="Note 16 2 5 3" xfId="30824" xr:uid="{00000000-0005-0000-0000-00006E5B0000}"/>
    <cellStyle name="Note 16 2 5 4" xfId="30825" xr:uid="{00000000-0005-0000-0000-00006F5B0000}"/>
    <cellStyle name="Note 16 2 6" xfId="16030" xr:uid="{00000000-0005-0000-0000-0000705B0000}"/>
    <cellStyle name="Note 16 2 6 2" xfId="16031" xr:uid="{00000000-0005-0000-0000-0000715B0000}"/>
    <cellStyle name="Note 16 2 6 3" xfId="30826" xr:uid="{00000000-0005-0000-0000-0000725B0000}"/>
    <cellStyle name="Note 16 2 6 4" xfId="30827" xr:uid="{00000000-0005-0000-0000-0000735B0000}"/>
    <cellStyle name="Note 16 2 7" xfId="16032" xr:uid="{00000000-0005-0000-0000-0000745B0000}"/>
    <cellStyle name="Note 16 2 7 2" xfId="16033" xr:uid="{00000000-0005-0000-0000-0000755B0000}"/>
    <cellStyle name="Note 16 2 7 3" xfId="30828" xr:uid="{00000000-0005-0000-0000-0000765B0000}"/>
    <cellStyle name="Note 16 2 7 4" xfId="30829" xr:uid="{00000000-0005-0000-0000-0000775B0000}"/>
    <cellStyle name="Note 16 2 8" xfId="16034" xr:uid="{00000000-0005-0000-0000-0000785B0000}"/>
    <cellStyle name="Note 16 2 9" xfId="30830" xr:uid="{00000000-0005-0000-0000-0000795B0000}"/>
    <cellStyle name="Note 16 3" xfId="16035" xr:uid="{00000000-0005-0000-0000-00007A5B0000}"/>
    <cellStyle name="Note 16 3 10" xfId="30831" xr:uid="{00000000-0005-0000-0000-00007B5B0000}"/>
    <cellStyle name="Note 16 3 2" xfId="16036" xr:uid="{00000000-0005-0000-0000-00007C5B0000}"/>
    <cellStyle name="Note 16 3 2 2" xfId="16037" xr:uid="{00000000-0005-0000-0000-00007D5B0000}"/>
    <cellStyle name="Note 16 3 2 3" xfId="30832" xr:uid="{00000000-0005-0000-0000-00007E5B0000}"/>
    <cellStyle name="Note 16 3 2 4" xfId="30833" xr:uid="{00000000-0005-0000-0000-00007F5B0000}"/>
    <cellStyle name="Note 16 3 3" xfId="16038" xr:uid="{00000000-0005-0000-0000-0000805B0000}"/>
    <cellStyle name="Note 16 3 3 2" xfId="16039" xr:uid="{00000000-0005-0000-0000-0000815B0000}"/>
    <cellStyle name="Note 16 3 3 3" xfId="30834" xr:uid="{00000000-0005-0000-0000-0000825B0000}"/>
    <cellStyle name="Note 16 3 3 4" xfId="30835" xr:uid="{00000000-0005-0000-0000-0000835B0000}"/>
    <cellStyle name="Note 16 3 4" xfId="16040" xr:uid="{00000000-0005-0000-0000-0000845B0000}"/>
    <cellStyle name="Note 16 3 4 2" xfId="16041" xr:uid="{00000000-0005-0000-0000-0000855B0000}"/>
    <cellStyle name="Note 16 3 4 3" xfId="30836" xr:uid="{00000000-0005-0000-0000-0000865B0000}"/>
    <cellStyle name="Note 16 3 4 4" xfId="30837" xr:uid="{00000000-0005-0000-0000-0000875B0000}"/>
    <cellStyle name="Note 16 3 5" xfId="16042" xr:uid="{00000000-0005-0000-0000-0000885B0000}"/>
    <cellStyle name="Note 16 3 5 2" xfId="16043" xr:uid="{00000000-0005-0000-0000-0000895B0000}"/>
    <cellStyle name="Note 16 3 5 3" xfId="30838" xr:uid="{00000000-0005-0000-0000-00008A5B0000}"/>
    <cellStyle name="Note 16 3 5 4" xfId="30839" xr:uid="{00000000-0005-0000-0000-00008B5B0000}"/>
    <cellStyle name="Note 16 3 6" xfId="16044" xr:uid="{00000000-0005-0000-0000-00008C5B0000}"/>
    <cellStyle name="Note 16 3 6 2" xfId="16045" xr:uid="{00000000-0005-0000-0000-00008D5B0000}"/>
    <cellStyle name="Note 16 3 6 3" xfId="30840" xr:uid="{00000000-0005-0000-0000-00008E5B0000}"/>
    <cellStyle name="Note 16 3 6 4" xfId="30841" xr:uid="{00000000-0005-0000-0000-00008F5B0000}"/>
    <cellStyle name="Note 16 3 7" xfId="16046" xr:uid="{00000000-0005-0000-0000-0000905B0000}"/>
    <cellStyle name="Note 16 3 7 2" xfId="16047" xr:uid="{00000000-0005-0000-0000-0000915B0000}"/>
    <cellStyle name="Note 16 3 7 3" xfId="30842" xr:uid="{00000000-0005-0000-0000-0000925B0000}"/>
    <cellStyle name="Note 16 3 7 4" xfId="30843" xr:uid="{00000000-0005-0000-0000-0000935B0000}"/>
    <cellStyle name="Note 16 3 8" xfId="16048" xr:uid="{00000000-0005-0000-0000-0000945B0000}"/>
    <cellStyle name="Note 16 3 9" xfId="30844" xr:uid="{00000000-0005-0000-0000-0000955B0000}"/>
    <cellStyle name="Note 16 4" xfId="16049" xr:uid="{00000000-0005-0000-0000-0000965B0000}"/>
    <cellStyle name="Note 16 4 10" xfId="30845" xr:uid="{00000000-0005-0000-0000-0000975B0000}"/>
    <cellStyle name="Note 16 4 2" xfId="16050" xr:uid="{00000000-0005-0000-0000-0000985B0000}"/>
    <cellStyle name="Note 16 4 2 2" xfId="16051" xr:uid="{00000000-0005-0000-0000-0000995B0000}"/>
    <cellStyle name="Note 16 4 2 3" xfId="30846" xr:uid="{00000000-0005-0000-0000-00009A5B0000}"/>
    <cellStyle name="Note 16 4 2 4" xfId="30847" xr:uid="{00000000-0005-0000-0000-00009B5B0000}"/>
    <cellStyle name="Note 16 4 3" xfId="16052" xr:uid="{00000000-0005-0000-0000-00009C5B0000}"/>
    <cellStyle name="Note 16 4 3 2" xfId="16053" xr:uid="{00000000-0005-0000-0000-00009D5B0000}"/>
    <cellStyle name="Note 16 4 3 3" xfId="30848" xr:uid="{00000000-0005-0000-0000-00009E5B0000}"/>
    <cellStyle name="Note 16 4 3 4" xfId="30849" xr:uid="{00000000-0005-0000-0000-00009F5B0000}"/>
    <cellStyle name="Note 16 4 4" xfId="16054" xr:uid="{00000000-0005-0000-0000-0000A05B0000}"/>
    <cellStyle name="Note 16 4 4 2" xfId="16055" xr:uid="{00000000-0005-0000-0000-0000A15B0000}"/>
    <cellStyle name="Note 16 4 4 3" xfId="30850" xr:uid="{00000000-0005-0000-0000-0000A25B0000}"/>
    <cellStyle name="Note 16 4 4 4" xfId="30851" xr:uid="{00000000-0005-0000-0000-0000A35B0000}"/>
    <cellStyle name="Note 16 4 5" xfId="16056" xr:uid="{00000000-0005-0000-0000-0000A45B0000}"/>
    <cellStyle name="Note 16 4 5 2" xfId="16057" xr:uid="{00000000-0005-0000-0000-0000A55B0000}"/>
    <cellStyle name="Note 16 4 5 3" xfId="30852" xr:uid="{00000000-0005-0000-0000-0000A65B0000}"/>
    <cellStyle name="Note 16 4 5 4" xfId="30853" xr:uid="{00000000-0005-0000-0000-0000A75B0000}"/>
    <cellStyle name="Note 16 4 6" xfId="16058" xr:uid="{00000000-0005-0000-0000-0000A85B0000}"/>
    <cellStyle name="Note 16 4 6 2" xfId="16059" xr:uid="{00000000-0005-0000-0000-0000A95B0000}"/>
    <cellStyle name="Note 16 4 6 3" xfId="30854" xr:uid="{00000000-0005-0000-0000-0000AA5B0000}"/>
    <cellStyle name="Note 16 4 6 4" xfId="30855" xr:uid="{00000000-0005-0000-0000-0000AB5B0000}"/>
    <cellStyle name="Note 16 4 7" xfId="16060" xr:uid="{00000000-0005-0000-0000-0000AC5B0000}"/>
    <cellStyle name="Note 16 4 7 2" xfId="16061" xr:uid="{00000000-0005-0000-0000-0000AD5B0000}"/>
    <cellStyle name="Note 16 4 7 3" xfId="30856" xr:uid="{00000000-0005-0000-0000-0000AE5B0000}"/>
    <cellStyle name="Note 16 4 7 4" xfId="30857" xr:uid="{00000000-0005-0000-0000-0000AF5B0000}"/>
    <cellStyle name="Note 16 4 8" xfId="16062" xr:uid="{00000000-0005-0000-0000-0000B05B0000}"/>
    <cellStyle name="Note 16 4 9" xfId="30858" xr:uid="{00000000-0005-0000-0000-0000B15B0000}"/>
    <cellStyle name="Note 16 5" xfId="16063" xr:uid="{00000000-0005-0000-0000-0000B25B0000}"/>
    <cellStyle name="Note 16 5 10" xfId="30859" xr:uid="{00000000-0005-0000-0000-0000B35B0000}"/>
    <cellStyle name="Note 16 5 2" xfId="16064" xr:uid="{00000000-0005-0000-0000-0000B45B0000}"/>
    <cellStyle name="Note 16 5 2 2" xfId="16065" xr:uid="{00000000-0005-0000-0000-0000B55B0000}"/>
    <cellStyle name="Note 16 5 2 3" xfId="30860" xr:uid="{00000000-0005-0000-0000-0000B65B0000}"/>
    <cellStyle name="Note 16 5 2 4" xfId="30861" xr:uid="{00000000-0005-0000-0000-0000B75B0000}"/>
    <cellStyle name="Note 16 5 3" xfId="16066" xr:uid="{00000000-0005-0000-0000-0000B85B0000}"/>
    <cellStyle name="Note 16 5 3 2" xfId="16067" xr:uid="{00000000-0005-0000-0000-0000B95B0000}"/>
    <cellStyle name="Note 16 5 3 3" xfId="30862" xr:uid="{00000000-0005-0000-0000-0000BA5B0000}"/>
    <cellStyle name="Note 16 5 3 4" xfId="30863" xr:uid="{00000000-0005-0000-0000-0000BB5B0000}"/>
    <cellStyle name="Note 16 5 4" xfId="16068" xr:uid="{00000000-0005-0000-0000-0000BC5B0000}"/>
    <cellStyle name="Note 16 5 4 2" xfId="16069" xr:uid="{00000000-0005-0000-0000-0000BD5B0000}"/>
    <cellStyle name="Note 16 5 4 3" xfId="30864" xr:uid="{00000000-0005-0000-0000-0000BE5B0000}"/>
    <cellStyle name="Note 16 5 4 4" xfId="30865" xr:uid="{00000000-0005-0000-0000-0000BF5B0000}"/>
    <cellStyle name="Note 16 5 5" xfId="16070" xr:uid="{00000000-0005-0000-0000-0000C05B0000}"/>
    <cellStyle name="Note 16 5 5 2" xfId="16071" xr:uid="{00000000-0005-0000-0000-0000C15B0000}"/>
    <cellStyle name="Note 16 5 5 3" xfId="30866" xr:uid="{00000000-0005-0000-0000-0000C25B0000}"/>
    <cellStyle name="Note 16 5 5 4" xfId="30867" xr:uid="{00000000-0005-0000-0000-0000C35B0000}"/>
    <cellStyle name="Note 16 5 6" xfId="16072" xr:uid="{00000000-0005-0000-0000-0000C45B0000}"/>
    <cellStyle name="Note 16 5 6 2" xfId="16073" xr:uid="{00000000-0005-0000-0000-0000C55B0000}"/>
    <cellStyle name="Note 16 5 6 3" xfId="30868" xr:uid="{00000000-0005-0000-0000-0000C65B0000}"/>
    <cellStyle name="Note 16 5 6 4" xfId="30869" xr:uid="{00000000-0005-0000-0000-0000C75B0000}"/>
    <cellStyle name="Note 16 5 7" xfId="16074" xr:uid="{00000000-0005-0000-0000-0000C85B0000}"/>
    <cellStyle name="Note 16 5 7 2" xfId="16075" xr:uid="{00000000-0005-0000-0000-0000C95B0000}"/>
    <cellStyle name="Note 16 5 7 3" xfId="30870" xr:uid="{00000000-0005-0000-0000-0000CA5B0000}"/>
    <cellStyle name="Note 16 5 7 4" xfId="30871" xr:uid="{00000000-0005-0000-0000-0000CB5B0000}"/>
    <cellStyle name="Note 16 5 8" xfId="16076" xr:uid="{00000000-0005-0000-0000-0000CC5B0000}"/>
    <cellStyle name="Note 16 5 9" xfId="30872" xr:uid="{00000000-0005-0000-0000-0000CD5B0000}"/>
    <cellStyle name="Note 16 6" xfId="16077" xr:uid="{00000000-0005-0000-0000-0000CE5B0000}"/>
    <cellStyle name="Note 16 6 2" xfId="16078" xr:uid="{00000000-0005-0000-0000-0000CF5B0000}"/>
    <cellStyle name="Note 16 6 3" xfId="30873" xr:uid="{00000000-0005-0000-0000-0000D05B0000}"/>
    <cellStyle name="Note 16 6 4" xfId="30874" xr:uid="{00000000-0005-0000-0000-0000D15B0000}"/>
    <cellStyle name="Note 16 7" xfId="16079" xr:uid="{00000000-0005-0000-0000-0000D25B0000}"/>
    <cellStyle name="Note 16 7 2" xfId="16080" xr:uid="{00000000-0005-0000-0000-0000D35B0000}"/>
    <cellStyle name="Note 16 7 3" xfId="30875" xr:uid="{00000000-0005-0000-0000-0000D45B0000}"/>
    <cellStyle name="Note 16 7 4" xfId="30876" xr:uid="{00000000-0005-0000-0000-0000D55B0000}"/>
    <cellStyle name="Note 16 8" xfId="16081" xr:uid="{00000000-0005-0000-0000-0000D65B0000}"/>
    <cellStyle name="Note 16 8 2" xfId="16082" xr:uid="{00000000-0005-0000-0000-0000D75B0000}"/>
    <cellStyle name="Note 16 8 3" xfId="30877" xr:uid="{00000000-0005-0000-0000-0000D85B0000}"/>
    <cellStyle name="Note 16 8 4" xfId="30878" xr:uid="{00000000-0005-0000-0000-0000D95B0000}"/>
    <cellStyle name="Note 16 9" xfId="16083" xr:uid="{00000000-0005-0000-0000-0000DA5B0000}"/>
    <cellStyle name="Note 16 9 2" xfId="16084" xr:uid="{00000000-0005-0000-0000-0000DB5B0000}"/>
    <cellStyle name="Note 16 9 3" xfId="30879" xr:uid="{00000000-0005-0000-0000-0000DC5B0000}"/>
    <cellStyle name="Note 16 9 4" xfId="30880" xr:uid="{00000000-0005-0000-0000-0000DD5B0000}"/>
    <cellStyle name="Note 17" xfId="16085" xr:uid="{00000000-0005-0000-0000-0000DE5B0000}"/>
    <cellStyle name="Note 17 10" xfId="16086" xr:uid="{00000000-0005-0000-0000-0000DF5B0000}"/>
    <cellStyle name="Note 17 10 2" xfId="16087" xr:uid="{00000000-0005-0000-0000-0000E05B0000}"/>
    <cellStyle name="Note 17 10 3" xfId="30881" xr:uid="{00000000-0005-0000-0000-0000E15B0000}"/>
    <cellStyle name="Note 17 10 4" xfId="30882" xr:uid="{00000000-0005-0000-0000-0000E25B0000}"/>
    <cellStyle name="Note 17 11" xfId="16088" xr:uid="{00000000-0005-0000-0000-0000E35B0000}"/>
    <cellStyle name="Note 17 11 2" xfId="16089" xr:uid="{00000000-0005-0000-0000-0000E45B0000}"/>
    <cellStyle name="Note 17 11 3" xfId="30883" xr:uid="{00000000-0005-0000-0000-0000E55B0000}"/>
    <cellStyle name="Note 17 11 4" xfId="30884" xr:uid="{00000000-0005-0000-0000-0000E65B0000}"/>
    <cellStyle name="Note 17 12" xfId="16090" xr:uid="{00000000-0005-0000-0000-0000E75B0000}"/>
    <cellStyle name="Note 17 13" xfId="30885" xr:uid="{00000000-0005-0000-0000-0000E85B0000}"/>
    <cellStyle name="Note 17 14" xfId="30886" xr:uid="{00000000-0005-0000-0000-0000E95B0000}"/>
    <cellStyle name="Note 17 2" xfId="16091" xr:uid="{00000000-0005-0000-0000-0000EA5B0000}"/>
    <cellStyle name="Note 17 2 10" xfId="30887" xr:uid="{00000000-0005-0000-0000-0000EB5B0000}"/>
    <cellStyle name="Note 17 2 2" xfId="16092" xr:uid="{00000000-0005-0000-0000-0000EC5B0000}"/>
    <cellStyle name="Note 17 2 2 2" xfId="16093" xr:uid="{00000000-0005-0000-0000-0000ED5B0000}"/>
    <cellStyle name="Note 17 2 2 3" xfId="30888" xr:uid="{00000000-0005-0000-0000-0000EE5B0000}"/>
    <cellStyle name="Note 17 2 2 4" xfId="30889" xr:uid="{00000000-0005-0000-0000-0000EF5B0000}"/>
    <cellStyle name="Note 17 2 3" xfId="16094" xr:uid="{00000000-0005-0000-0000-0000F05B0000}"/>
    <cellStyle name="Note 17 2 3 2" xfId="16095" xr:uid="{00000000-0005-0000-0000-0000F15B0000}"/>
    <cellStyle name="Note 17 2 3 3" xfId="30890" xr:uid="{00000000-0005-0000-0000-0000F25B0000}"/>
    <cellStyle name="Note 17 2 3 4" xfId="30891" xr:uid="{00000000-0005-0000-0000-0000F35B0000}"/>
    <cellStyle name="Note 17 2 4" xfId="16096" xr:uid="{00000000-0005-0000-0000-0000F45B0000}"/>
    <cellStyle name="Note 17 2 4 2" xfId="16097" xr:uid="{00000000-0005-0000-0000-0000F55B0000}"/>
    <cellStyle name="Note 17 2 4 3" xfId="30892" xr:uid="{00000000-0005-0000-0000-0000F65B0000}"/>
    <cellStyle name="Note 17 2 4 4" xfId="30893" xr:uid="{00000000-0005-0000-0000-0000F75B0000}"/>
    <cellStyle name="Note 17 2 5" xfId="16098" xr:uid="{00000000-0005-0000-0000-0000F85B0000}"/>
    <cellStyle name="Note 17 2 5 2" xfId="16099" xr:uid="{00000000-0005-0000-0000-0000F95B0000}"/>
    <cellStyle name="Note 17 2 5 3" xfId="30894" xr:uid="{00000000-0005-0000-0000-0000FA5B0000}"/>
    <cellStyle name="Note 17 2 5 4" xfId="30895" xr:uid="{00000000-0005-0000-0000-0000FB5B0000}"/>
    <cellStyle name="Note 17 2 6" xfId="16100" xr:uid="{00000000-0005-0000-0000-0000FC5B0000}"/>
    <cellStyle name="Note 17 2 6 2" xfId="16101" xr:uid="{00000000-0005-0000-0000-0000FD5B0000}"/>
    <cellStyle name="Note 17 2 6 3" xfId="30896" xr:uid="{00000000-0005-0000-0000-0000FE5B0000}"/>
    <cellStyle name="Note 17 2 6 4" xfId="30897" xr:uid="{00000000-0005-0000-0000-0000FF5B0000}"/>
    <cellStyle name="Note 17 2 7" xfId="16102" xr:uid="{00000000-0005-0000-0000-0000005C0000}"/>
    <cellStyle name="Note 17 2 7 2" xfId="16103" xr:uid="{00000000-0005-0000-0000-0000015C0000}"/>
    <cellStyle name="Note 17 2 7 3" xfId="30898" xr:uid="{00000000-0005-0000-0000-0000025C0000}"/>
    <cellStyle name="Note 17 2 7 4" xfId="30899" xr:uid="{00000000-0005-0000-0000-0000035C0000}"/>
    <cellStyle name="Note 17 2 8" xfId="16104" xr:uid="{00000000-0005-0000-0000-0000045C0000}"/>
    <cellStyle name="Note 17 2 9" xfId="30900" xr:uid="{00000000-0005-0000-0000-0000055C0000}"/>
    <cellStyle name="Note 17 3" xfId="16105" xr:uid="{00000000-0005-0000-0000-0000065C0000}"/>
    <cellStyle name="Note 17 3 10" xfId="30901" xr:uid="{00000000-0005-0000-0000-0000075C0000}"/>
    <cellStyle name="Note 17 3 2" xfId="16106" xr:uid="{00000000-0005-0000-0000-0000085C0000}"/>
    <cellStyle name="Note 17 3 2 2" xfId="16107" xr:uid="{00000000-0005-0000-0000-0000095C0000}"/>
    <cellStyle name="Note 17 3 2 3" xfId="30902" xr:uid="{00000000-0005-0000-0000-00000A5C0000}"/>
    <cellStyle name="Note 17 3 2 4" xfId="30903" xr:uid="{00000000-0005-0000-0000-00000B5C0000}"/>
    <cellStyle name="Note 17 3 3" xfId="16108" xr:uid="{00000000-0005-0000-0000-00000C5C0000}"/>
    <cellStyle name="Note 17 3 3 2" xfId="16109" xr:uid="{00000000-0005-0000-0000-00000D5C0000}"/>
    <cellStyle name="Note 17 3 3 3" xfId="30904" xr:uid="{00000000-0005-0000-0000-00000E5C0000}"/>
    <cellStyle name="Note 17 3 3 4" xfId="30905" xr:uid="{00000000-0005-0000-0000-00000F5C0000}"/>
    <cellStyle name="Note 17 3 4" xfId="16110" xr:uid="{00000000-0005-0000-0000-0000105C0000}"/>
    <cellStyle name="Note 17 3 4 2" xfId="16111" xr:uid="{00000000-0005-0000-0000-0000115C0000}"/>
    <cellStyle name="Note 17 3 4 3" xfId="30906" xr:uid="{00000000-0005-0000-0000-0000125C0000}"/>
    <cellStyle name="Note 17 3 4 4" xfId="30907" xr:uid="{00000000-0005-0000-0000-0000135C0000}"/>
    <cellStyle name="Note 17 3 5" xfId="16112" xr:uid="{00000000-0005-0000-0000-0000145C0000}"/>
    <cellStyle name="Note 17 3 5 2" xfId="16113" xr:uid="{00000000-0005-0000-0000-0000155C0000}"/>
    <cellStyle name="Note 17 3 5 3" xfId="30908" xr:uid="{00000000-0005-0000-0000-0000165C0000}"/>
    <cellStyle name="Note 17 3 5 4" xfId="30909" xr:uid="{00000000-0005-0000-0000-0000175C0000}"/>
    <cellStyle name="Note 17 3 6" xfId="16114" xr:uid="{00000000-0005-0000-0000-0000185C0000}"/>
    <cellStyle name="Note 17 3 6 2" xfId="16115" xr:uid="{00000000-0005-0000-0000-0000195C0000}"/>
    <cellStyle name="Note 17 3 6 3" xfId="30910" xr:uid="{00000000-0005-0000-0000-00001A5C0000}"/>
    <cellStyle name="Note 17 3 6 4" xfId="30911" xr:uid="{00000000-0005-0000-0000-00001B5C0000}"/>
    <cellStyle name="Note 17 3 7" xfId="16116" xr:uid="{00000000-0005-0000-0000-00001C5C0000}"/>
    <cellStyle name="Note 17 3 7 2" xfId="16117" xr:uid="{00000000-0005-0000-0000-00001D5C0000}"/>
    <cellStyle name="Note 17 3 7 3" xfId="30912" xr:uid="{00000000-0005-0000-0000-00001E5C0000}"/>
    <cellStyle name="Note 17 3 7 4" xfId="30913" xr:uid="{00000000-0005-0000-0000-00001F5C0000}"/>
    <cellStyle name="Note 17 3 8" xfId="16118" xr:uid="{00000000-0005-0000-0000-0000205C0000}"/>
    <cellStyle name="Note 17 3 9" xfId="30914" xr:uid="{00000000-0005-0000-0000-0000215C0000}"/>
    <cellStyle name="Note 17 4" xfId="16119" xr:uid="{00000000-0005-0000-0000-0000225C0000}"/>
    <cellStyle name="Note 17 4 10" xfId="30915" xr:uid="{00000000-0005-0000-0000-0000235C0000}"/>
    <cellStyle name="Note 17 4 2" xfId="16120" xr:uid="{00000000-0005-0000-0000-0000245C0000}"/>
    <cellStyle name="Note 17 4 2 2" xfId="16121" xr:uid="{00000000-0005-0000-0000-0000255C0000}"/>
    <cellStyle name="Note 17 4 2 3" xfId="30916" xr:uid="{00000000-0005-0000-0000-0000265C0000}"/>
    <cellStyle name="Note 17 4 2 4" xfId="30917" xr:uid="{00000000-0005-0000-0000-0000275C0000}"/>
    <cellStyle name="Note 17 4 3" xfId="16122" xr:uid="{00000000-0005-0000-0000-0000285C0000}"/>
    <cellStyle name="Note 17 4 3 2" xfId="16123" xr:uid="{00000000-0005-0000-0000-0000295C0000}"/>
    <cellStyle name="Note 17 4 3 3" xfId="30918" xr:uid="{00000000-0005-0000-0000-00002A5C0000}"/>
    <cellStyle name="Note 17 4 3 4" xfId="30919" xr:uid="{00000000-0005-0000-0000-00002B5C0000}"/>
    <cellStyle name="Note 17 4 4" xfId="16124" xr:uid="{00000000-0005-0000-0000-00002C5C0000}"/>
    <cellStyle name="Note 17 4 4 2" xfId="16125" xr:uid="{00000000-0005-0000-0000-00002D5C0000}"/>
    <cellStyle name="Note 17 4 4 3" xfId="30920" xr:uid="{00000000-0005-0000-0000-00002E5C0000}"/>
    <cellStyle name="Note 17 4 4 4" xfId="30921" xr:uid="{00000000-0005-0000-0000-00002F5C0000}"/>
    <cellStyle name="Note 17 4 5" xfId="16126" xr:uid="{00000000-0005-0000-0000-0000305C0000}"/>
    <cellStyle name="Note 17 4 5 2" xfId="16127" xr:uid="{00000000-0005-0000-0000-0000315C0000}"/>
    <cellStyle name="Note 17 4 5 3" xfId="30922" xr:uid="{00000000-0005-0000-0000-0000325C0000}"/>
    <cellStyle name="Note 17 4 5 4" xfId="30923" xr:uid="{00000000-0005-0000-0000-0000335C0000}"/>
    <cellStyle name="Note 17 4 6" xfId="16128" xr:uid="{00000000-0005-0000-0000-0000345C0000}"/>
    <cellStyle name="Note 17 4 6 2" xfId="16129" xr:uid="{00000000-0005-0000-0000-0000355C0000}"/>
    <cellStyle name="Note 17 4 6 3" xfId="30924" xr:uid="{00000000-0005-0000-0000-0000365C0000}"/>
    <cellStyle name="Note 17 4 6 4" xfId="30925" xr:uid="{00000000-0005-0000-0000-0000375C0000}"/>
    <cellStyle name="Note 17 4 7" xfId="16130" xr:uid="{00000000-0005-0000-0000-0000385C0000}"/>
    <cellStyle name="Note 17 4 7 2" xfId="16131" xr:uid="{00000000-0005-0000-0000-0000395C0000}"/>
    <cellStyle name="Note 17 4 7 3" xfId="30926" xr:uid="{00000000-0005-0000-0000-00003A5C0000}"/>
    <cellStyle name="Note 17 4 7 4" xfId="30927" xr:uid="{00000000-0005-0000-0000-00003B5C0000}"/>
    <cellStyle name="Note 17 4 8" xfId="16132" xr:uid="{00000000-0005-0000-0000-00003C5C0000}"/>
    <cellStyle name="Note 17 4 9" xfId="30928" xr:uid="{00000000-0005-0000-0000-00003D5C0000}"/>
    <cellStyle name="Note 17 5" xfId="16133" xr:uid="{00000000-0005-0000-0000-00003E5C0000}"/>
    <cellStyle name="Note 17 5 10" xfId="30929" xr:uid="{00000000-0005-0000-0000-00003F5C0000}"/>
    <cellStyle name="Note 17 5 2" xfId="16134" xr:uid="{00000000-0005-0000-0000-0000405C0000}"/>
    <cellStyle name="Note 17 5 2 2" xfId="16135" xr:uid="{00000000-0005-0000-0000-0000415C0000}"/>
    <cellStyle name="Note 17 5 2 3" xfId="30930" xr:uid="{00000000-0005-0000-0000-0000425C0000}"/>
    <cellStyle name="Note 17 5 2 4" xfId="30931" xr:uid="{00000000-0005-0000-0000-0000435C0000}"/>
    <cellStyle name="Note 17 5 3" xfId="16136" xr:uid="{00000000-0005-0000-0000-0000445C0000}"/>
    <cellStyle name="Note 17 5 3 2" xfId="16137" xr:uid="{00000000-0005-0000-0000-0000455C0000}"/>
    <cellStyle name="Note 17 5 3 3" xfId="30932" xr:uid="{00000000-0005-0000-0000-0000465C0000}"/>
    <cellStyle name="Note 17 5 3 4" xfId="30933" xr:uid="{00000000-0005-0000-0000-0000475C0000}"/>
    <cellStyle name="Note 17 5 4" xfId="16138" xr:uid="{00000000-0005-0000-0000-0000485C0000}"/>
    <cellStyle name="Note 17 5 4 2" xfId="16139" xr:uid="{00000000-0005-0000-0000-0000495C0000}"/>
    <cellStyle name="Note 17 5 4 3" xfId="30934" xr:uid="{00000000-0005-0000-0000-00004A5C0000}"/>
    <cellStyle name="Note 17 5 4 4" xfId="30935" xr:uid="{00000000-0005-0000-0000-00004B5C0000}"/>
    <cellStyle name="Note 17 5 5" xfId="16140" xr:uid="{00000000-0005-0000-0000-00004C5C0000}"/>
    <cellStyle name="Note 17 5 5 2" xfId="16141" xr:uid="{00000000-0005-0000-0000-00004D5C0000}"/>
    <cellStyle name="Note 17 5 5 3" xfId="30936" xr:uid="{00000000-0005-0000-0000-00004E5C0000}"/>
    <cellStyle name="Note 17 5 5 4" xfId="30937" xr:uid="{00000000-0005-0000-0000-00004F5C0000}"/>
    <cellStyle name="Note 17 5 6" xfId="16142" xr:uid="{00000000-0005-0000-0000-0000505C0000}"/>
    <cellStyle name="Note 17 5 6 2" xfId="16143" xr:uid="{00000000-0005-0000-0000-0000515C0000}"/>
    <cellStyle name="Note 17 5 6 3" xfId="30938" xr:uid="{00000000-0005-0000-0000-0000525C0000}"/>
    <cellStyle name="Note 17 5 6 4" xfId="30939" xr:uid="{00000000-0005-0000-0000-0000535C0000}"/>
    <cellStyle name="Note 17 5 7" xfId="16144" xr:uid="{00000000-0005-0000-0000-0000545C0000}"/>
    <cellStyle name="Note 17 5 7 2" xfId="16145" xr:uid="{00000000-0005-0000-0000-0000555C0000}"/>
    <cellStyle name="Note 17 5 7 3" xfId="30940" xr:uid="{00000000-0005-0000-0000-0000565C0000}"/>
    <cellStyle name="Note 17 5 7 4" xfId="30941" xr:uid="{00000000-0005-0000-0000-0000575C0000}"/>
    <cellStyle name="Note 17 5 8" xfId="16146" xr:uid="{00000000-0005-0000-0000-0000585C0000}"/>
    <cellStyle name="Note 17 5 9" xfId="30942" xr:uid="{00000000-0005-0000-0000-0000595C0000}"/>
    <cellStyle name="Note 17 6" xfId="16147" xr:uid="{00000000-0005-0000-0000-00005A5C0000}"/>
    <cellStyle name="Note 17 6 2" xfId="16148" xr:uid="{00000000-0005-0000-0000-00005B5C0000}"/>
    <cellStyle name="Note 17 6 3" xfId="30943" xr:uid="{00000000-0005-0000-0000-00005C5C0000}"/>
    <cellStyle name="Note 17 6 4" xfId="30944" xr:uid="{00000000-0005-0000-0000-00005D5C0000}"/>
    <cellStyle name="Note 17 7" xfId="16149" xr:uid="{00000000-0005-0000-0000-00005E5C0000}"/>
    <cellStyle name="Note 17 7 2" xfId="16150" xr:uid="{00000000-0005-0000-0000-00005F5C0000}"/>
    <cellStyle name="Note 17 7 3" xfId="30945" xr:uid="{00000000-0005-0000-0000-0000605C0000}"/>
    <cellStyle name="Note 17 7 4" xfId="30946" xr:uid="{00000000-0005-0000-0000-0000615C0000}"/>
    <cellStyle name="Note 17 8" xfId="16151" xr:uid="{00000000-0005-0000-0000-0000625C0000}"/>
    <cellStyle name="Note 17 8 2" xfId="16152" xr:uid="{00000000-0005-0000-0000-0000635C0000}"/>
    <cellStyle name="Note 17 8 3" xfId="30947" xr:uid="{00000000-0005-0000-0000-0000645C0000}"/>
    <cellStyle name="Note 17 8 4" xfId="30948" xr:uid="{00000000-0005-0000-0000-0000655C0000}"/>
    <cellStyle name="Note 17 9" xfId="16153" xr:uid="{00000000-0005-0000-0000-0000665C0000}"/>
    <cellStyle name="Note 17 9 2" xfId="16154" xr:uid="{00000000-0005-0000-0000-0000675C0000}"/>
    <cellStyle name="Note 17 9 3" xfId="30949" xr:uid="{00000000-0005-0000-0000-0000685C0000}"/>
    <cellStyle name="Note 17 9 4" xfId="30950" xr:uid="{00000000-0005-0000-0000-0000695C0000}"/>
    <cellStyle name="Note 18" xfId="16155" xr:uid="{00000000-0005-0000-0000-00006A5C0000}"/>
    <cellStyle name="Note 18 10" xfId="16156" xr:uid="{00000000-0005-0000-0000-00006B5C0000}"/>
    <cellStyle name="Note 18 10 2" xfId="16157" xr:uid="{00000000-0005-0000-0000-00006C5C0000}"/>
    <cellStyle name="Note 18 10 3" xfId="30951" xr:uid="{00000000-0005-0000-0000-00006D5C0000}"/>
    <cellStyle name="Note 18 10 4" xfId="30952" xr:uid="{00000000-0005-0000-0000-00006E5C0000}"/>
    <cellStyle name="Note 18 11" xfId="16158" xr:uid="{00000000-0005-0000-0000-00006F5C0000}"/>
    <cellStyle name="Note 18 11 2" xfId="16159" xr:uid="{00000000-0005-0000-0000-0000705C0000}"/>
    <cellStyle name="Note 18 11 3" xfId="30953" xr:uid="{00000000-0005-0000-0000-0000715C0000}"/>
    <cellStyle name="Note 18 11 4" xfId="30954" xr:uid="{00000000-0005-0000-0000-0000725C0000}"/>
    <cellStyle name="Note 18 12" xfId="16160" xr:uid="{00000000-0005-0000-0000-0000735C0000}"/>
    <cellStyle name="Note 18 13" xfId="30955" xr:uid="{00000000-0005-0000-0000-0000745C0000}"/>
    <cellStyle name="Note 18 14" xfId="30956" xr:uid="{00000000-0005-0000-0000-0000755C0000}"/>
    <cellStyle name="Note 18 2" xfId="16161" xr:uid="{00000000-0005-0000-0000-0000765C0000}"/>
    <cellStyle name="Note 18 2 10" xfId="30957" xr:uid="{00000000-0005-0000-0000-0000775C0000}"/>
    <cellStyle name="Note 18 2 2" xfId="16162" xr:uid="{00000000-0005-0000-0000-0000785C0000}"/>
    <cellStyle name="Note 18 2 2 2" xfId="16163" xr:uid="{00000000-0005-0000-0000-0000795C0000}"/>
    <cellStyle name="Note 18 2 2 3" xfId="30958" xr:uid="{00000000-0005-0000-0000-00007A5C0000}"/>
    <cellStyle name="Note 18 2 2 4" xfId="30959" xr:uid="{00000000-0005-0000-0000-00007B5C0000}"/>
    <cellStyle name="Note 18 2 3" xfId="16164" xr:uid="{00000000-0005-0000-0000-00007C5C0000}"/>
    <cellStyle name="Note 18 2 3 2" xfId="16165" xr:uid="{00000000-0005-0000-0000-00007D5C0000}"/>
    <cellStyle name="Note 18 2 3 3" xfId="30960" xr:uid="{00000000-0005-0000-0000-00007E5C0000}"/>
    <cellStyle name="Note 18 2 3 4" xfId="30961" xr:uid="{00000000-0005-0000-0000-00007F5C0000}"/>
    <cellStyle name="Note 18 2 4" xfId="16166" xr:uid="{00000000-0005-0000-0000-0000805C0000}"/>
    <cellStyle name="Note 18 2 4 2" xfId="16167" xr:uid="{00000000-0005-0000-0000-0000815C0000}"/>
    <cellStyle name="Note 18 2 4 3" xfId="30962" xr:uid="{00000000-0005-0000-0000-0000825C0000}"/>
    <cellStyle name="Note 18 2 4 4" xfId="30963" xr:uid="{00000000-0005-0000-0000-0000835C0000}"/>
    <cellStyle name="Note 18 2 5" xfId="16168" xr:uid="{00000000-0005-0000-0000-0000845C0000}"/>
    <cellStyle name="Note 18 2 5 2" xfId="16169" xr:uid="{00000000-0005-0000-0000-0000855C0000}"/>
    <cellStyle name="Note 18 2 5 3" xfId="30964" xr:uid="{00000000-0005-0000-0000-0000865C0000}"/>
    <cellStyle name="Note 18 2 5 4" xfId="30965" xr:uid="{00000000-0005-0000-0000-0000875C0000}"/>
    <cellStyle name="Note 18 2 6" xfId="16170" xr:uid="{00000000-0005-0000-0000-0000885C0000}"/>
    <cellStyle name="Note 18 2 6 2" xfId="16171" xr:uid="{00000000-0005-0000-0000-0000895C0000}"/>
    <cellStyle name="Note 18 2 6 3" xfId="30966" xr:uid="{00000000-0005-0000-0000-00008A5C0000}"/>
    <cellStyle name="Note 18 2 6 4" xfId="30967" xr:uid="{00000000-0005-0000-0000-00008B5C0000}"/>
    <cellStyle name="Note 18 2 7" xfId="16172" xr:uid="{00000000-0005-0000-0000-00008C5C0000}"/>
    <cellStyle name="Note 18 2 7 2" xfId="16173" xr:uid="{00000000-0005-0000-0000-00008D5C0000}"/>
    <cellStyle name="Note 18 2 7 3" xfId="30968" xr:uid="{00000000-0005-0000-0000-00008E5C0000}"/>
    <cellStyle name="Note 18 2 7 4" xfId="30969" xr:uid="{00000000-0005-0000-0000-00008F5C0000}"/>
    <cellStyle name="Note 18 2 8" xfId="16174" xr:uid="{00000000-0005-0000-0000-0000905C0000}"/>
    <cellStyle name="Note 18 2 9" xfId="30970" xr:uid="{00000000-0005-0000-0000-0000915C0000}"/>
    <cellStyle name="Note 18 3" xfId="16175" xr:uid="{00000000-0005-0000-0000-0000925C0000}"/>
    <cellStyle name="Note 18 3 10" xfId="30971" xr:uid="{00000000-0005-0000-0000-0000935C0000}"/>
    <cellStyle name="Note 18 3 2" xfId="16176" xr:uid="{00000000-0005-0000-0000-0000945C0000}"/>
    <cellStyle name="Note 18 3 2 2" xfId="16177" xr:uid="{00000000-0005-0000-0000-0000955C0000}"/>
    <cellStyle name="Note 18 3 2 3" xfId="30972" xr:uid="{00000000-0005-0000-0000-0000965C0000}"/>
    <cellStyle name="Note 18 3 2 4" xfId="30973" xr:uid="{00000000-0005-0000-0000-0000975C0000}"/>
    <cellStyle name="Note 18 3 3" xfId="16178" xr:uid="{00000000-0005-0000-0000-0000985C0000}"/>
    <cellStyle name="Note 18 3 3 2" xfId="16179" xr:uid="{00000000-0005-0000-0000-0000995C0000}"/>
    <cellStyle name="Note 18 3 3 3" xfId="30974" xr:uid="{00000000-0005-0000-0000-00009A5C0000}"/>
    <cellStyle name="Note 18 3 3 4" xfId="30975" xr:uid="{00000000-0005-0000-0000-00009B5C0000}"/>
    <cellStyle name="Note 18 3 4" xfId="16180" xr:uid="{00000000-0005-0000-0000-00009C5C0000}"/>
    <cellStyle name="Note 18 3 4 2" xfId="16181" xr:uid="{00000000-0005-0000-0000-00009D5C0000}"/>
    <cellStyle name="Note 18 3 4 3" xfId="30976" xr:uid="{00000000-0005-0000-0000-00009E5C0000}"/>
    <cellStyle name="Note 18 3 4 4" xfId="30977" xr:uid="{00000000-0005-0000-0000-00009F5C0000}"/>
    <cellStyle name="Note 18 3 5" xfId="16182" xr:uid="{00000000-0005-0000-0000-0000A05C0000}"/>
    <cellStyle name="Note 18 3 5 2" xfId="16183" xr:uid="{00000000-0005-0000-0000-0000A15C0000}"/>
    <cellStyle name="Note 18 3 5 3" xfId="30978" xr:uid="{00000000-0005-0000-0000-0000A25C0000}"/>
    <cellStyle name="Note 18 3 5 4" xfId="30979" xr:uid="{00000000-0005-0000-0000-0000A35C0000}"/>
    <cellStyle name="Note 18 3 6" xfId="16184" xr:uid="{00000000-0005-0000-0000-0000A45C0000}"/>
    <cellStyle name="Note 18 3 6 2" xfId="16185" xr:uid="{00000000-0005-0000-0000-0000A55C0000}"/>
    <cellStyle name="Note 18 3 6 3" xfId="30980" xr:uid="{00000000-0005-0000-0000-0000A65C0000}"/>
    <cellStyle name="Note 18 3 6 4" xfId="30981" xr:uid="{00000000-0005-0000-0000-0000A75C0000}"/>
    <cellStyle name="Note 18 3 7" xfId="16186" xr:uid="{00000000-0005-0000-0000-0000A85C0000}"/>
    <cellStyle name="Note 18 3 7 2" xfId="16187" xr:uid="{00000000-0005-0000-0000-0000A95C0000}"/>
    <cellStyle name="Note 18 3 7 3" xfId="30982" xr:uid="{00000000-0005-0000-0000-0000AA5C0000}"/>
    <cellStyle name="Note 18 3 7 4" xfId="30983" xr:uid="{00000000-0005-0000-0000-0000AB5C0000}"/>
    <cellStyle name="Note 18 3 8" xfId="16188" xr:uid="{00000000-0005-0000-0000-0000AC5C0000}"/>
    <cellStyle name="Note 18 3 9" xfId="30984" xr:uid="{00000000-0005-0000-0000-0000AD5C0000}"/>
    <cellStyle name="Note 18 4" xfId="16189" xr:uid="{00000000-0005-0000-0000-0000AE5C0000}"/>
    <cellStyle name="Note 18 4 10" xfId="30985" xr:uid="{00000000-0005-0000-0000-0000AF5C0000}"/>
    <cellStyle name="Note 18 4 2" xfId="16190" xr:uid="{00000000-0005-0000-0000-0000B05C0000}"/>
    <cellStyle name="Note 18 4 2 2" xfId="16191" xr:uid="{00000000-0005-0000-0000-0000B15C0000}"/>
    <cellStyle name="Note 18 4 2 3" xfId="30986" xr:uid="{00000000-0005-0000-0000-0000B25C0000}"/>
    <cellStyle name="Note 18 4 2 4" xfId="30987" xr:uid="{00000000-0005-0000-0000-0000B35C0000}"/>
    <cellStyle name="Note 18 4 3" xfId="16192" xr:uid="{00000000-0005-0000-0000-0000B45C0000}"/>
    <cellStyle name="Note 18 4 3 2" xfId="16193" xr:uid="{00000000-0005-0000-0000-0000B55C0000}"/>
    <cellStyle name="Note 18 4 3 3" xfId="30988" xr:uid="{00000000-0005-0000-0000-0000B65C0000}"/>
    <cellStyle name="Note 18 4 3 4" xfId="30989" xr:uid="{00000000-0005-0000-0000-0000B75C0000}"/>
    <cellStyle name="Note 18 4 4" xfId="16194" xr:uid="{00000000-0005-0000-0000-0000B85C0000}"/>
    <cellStyle name="Note 18 4 4 2" xfId="16195" xr:uid="{00000000-0005-0000-0000-0000B95C0000}"/>
    <cellStyle name="Note 18 4 4 3" xfId="30990" xr:uid="{00000000-0005-0000-0000-0000BA5C0000}"/>
    <cellStyle name="Note 18 4 4 4" xfId="30991" xr:uid="{00000000-0005-0000-0000-0000BB5C0000}"/>
    <cellStyle name="Note 18 4 5" xfId="16196" xr:uid="{00000000-0005-0000-0000-0000BC5C0000}"/>
    <cellStyle name="Note 18 4 5 2" xfId="16197" xr:uid="{00000000-0005-0000-0000-0000BD5C0000}"/>
    <cellStyle name="Note 18 4 5 3" xfId="30992" xr:uid="{00000000-0005-0000-0000-0000BE5C0000}"/>
    <cellStyle name="Note 18 4 5 4" xfId="30993" xr:uid="{00000000-0005-0000-0000-0000BF5C0000}"/>
    <cellStyle name="Note 18 4 6" xfId="16198" xr:uid="{00000000-0005-0000-0000-0000C05C0000}"/>
    <cellStyle name="Note 18 4 6 2" xfId="16199" xr:uid="{00000000-0005-0000-0000-0000C15C0000}"/>
    <cellStyle name="Note 18 4 6 3" xfId="30994" xr:uid="{00000000-0005-0000-0000-0000C25C0000}"/>
    <cellStyle name="Note 18 4 6 4" xfId="30995" xr:uid="{00000000-0005-0000-0000-0000C35C0000}"/>
    <cellStyle name="Note 18 4 7" xfId="16200" xr:uid="{00000000-0005-0000-0000-0000C45C0000}"/>
    <cellStyle name="Note 18 4 7 2" xfId="16201" xr:uid="{00000000-0005-0000-0000-0000C55C0000}"/>
    <cellStyle name="Note 18 4 7 3" xfId="30996" xr:uid="{00000000-0005-0000-0000-0000C65C0000}"/>
    <cellStyle name="Note 18 4 7 4" xfId="30997" xr:uid="{00000000-0005-0000-0000-0000C75C0000}"/>
    <cellStyle name="Note 18 4 8" xfId="16202" xr:uid="{00000000-0005-0000-0000-0000C85C0000}"/>
    <cellStyle name="Note 18 4 9" xfId="30998" xr:uid="{00000000-0005-0000-0000-0000C95C0000}"/>
    <cellStyle name="Note 18 5" xfId="16203" xr:uid="{00000000-0005-0000-0000-0000CA5C0000}"/>
    <cellStyle name="Note 18 5 10" xfId="30999" xr:uid="{00000000-0005-0000-0000-0000CB5C0000}"/>
    <cellStyle name="Note 18 5 2" xfId="16204" xr:uid="{00000000-0005-0000-0000-0000CC5C0000}"/>
    <cellStyle name="Note 18 5 2 2" xfId="16205" xr:uid="{00000000-0005-0000-0000-0000CD5C0000}"/>
    <cellStyle name="Note 18 5 2 3" xfId="31000" xr:uid="{00000000-0005-0000-0000-0000CE5C0000}"/>
    <cellStyle name="Note 18 5 2 4" xfId="31001" xr:uid="{00000000-0005-0000-0000-0000CF5C0000}"/>
    <cellStyle name="Note 18 5 3" xfId="16206" xr:uid="{00000000-0005-0000-0000-0000D05C0000}"/>
    <cellStyle name="Note 18 5 3 2" xfId="16207" xr:uid="{00000000-0005-0000-0000-0000D15C0000}"/>
    <cellStyle name="Note 18 5 3 3" xfId="31002" xr:uid="{00000000-0005-0000-0000-0000D25C0000}"/>
    <cellStyle name="Note 18 5 3 4" xfId="31003" xr:uid="{00000000-0005-0000-0000-0000D35C0000}"/>
    <cellStyle name="Note 18 5 4" xfId="16208" xr:uid="{00000000-0005-0000-0000-0000D45C0000}"/>
    <cellStyle name="Note 18 5 4 2" xfId="16209" xr:uid="{00000000-0005-0000-0000-0000D55C0000}"/>
    <cellStyle name="Note 18 5 4 3" xfId="31004" xr:uid="{00000000-0005-0000-0000-0000D65C0000}"/>
    <cellStyle name="Note 18 5 4 4" xfId="31005" xr:uid="{00000000-0005-0000-0000-0000D75C0000}"/>
    <cellStyle name="Note 18 5 5" xfId="16210" xr:uid="{00000000-0005-0000-0000-0000D85C0000}"/>
    <cellStyle name="Note 18 5 5 2" xfId="16211" xr:uid="{00000000-0005-0000-0000-0000D95C0000}"/>
    <cellStyle name="Note 18 5 5 3" xfId="31006" xr:uid="{00000000-0005-0000-0000-0000DA5C0000}"/>
    <cellStyle name="Note 18 5 5 4" xfId="31007" xr:uid="{00000000-0005-0000-0000-0000DB5C0000}"/>
    <cellStyle name="Note 18 5 6" xfId="16212" xr:uid="{00000000-0005-0000-0000-0000DC5C0000}"/>
    <cellStyle name="Note 18 5 6 2" xfId="16213" xr:uid="{00000000-0005-0000-0000-0000DD5C0000}"/>
    <cellStyle name="Note 18 5 6 3" xfId="31008" xr:uid="{00000000-0005-0000-0000-0000DE5C0000}"/>
    <cellStyle name="Note 18 5 6 4" xfId="31009" xr:uid="{00000000-0005-0000-0000-0000DF5C0000}"/>
    <cellStyle name="Note 18 5 7" xfId="16214" xr:uid="{00000000-0005-0000-0000-0000E05C0000}"/>
    <cellStyle name="Note 18 5 7 2" xfId="16215" xr:uid="{00000000-0005-0000-0000-0000E15C0000}"/>
    <cellStyle name="Note 18 5 7 3" xfId="31010" xr:uid="{00000000-0005-0000-0000-0000E25C0000}"/>
    <cellStyle name="Note 18 5 7 4" xfId="31011" xr:uid="{00000000-0005-0000-0000-0000E35C0000}"/>
    <cellStyle name="Note 18 5 8" xfId="16216" xr:uid="{00000000-0005-0000-0000-0000E45C0000}"/>
    <cellStyle name="Note 18 5 9" xfId="31012" xr:uid="{00000000-0005-0000-0000-0000E55C0000}"/>
    <cellStyle name="Note 18 6" xfId="16217" xr:uid="{00000000-0005-0000-0000-0000E65C0000}"/>
    <cellStyle name="Note 18 6 2" xfId="16218" xr:uid="{00000000-0005-0000-0000-0000E75C0000}"/>
    <cellStyle name="Note 18 6 3" xfId="31013" xr:uid="{00000000-0005-0000-0000-0000E85C0000}"/>
    <cellStyle name="Note 18 6 4" xfId="31014" xr:uid="{00000000-0005-0000-0000-0000E95C0000}"/>
    <cellStyle name="Note 18 7" xfId="16219" xr:uid="{00000000-0005-0000-0000-0000EA5C0000}"/>
    <cellStyle name="Note 18 7 2" xfId="16220" xr:uid="{00000000-0005-0000-0000-0000EB5C0000}"/>
    <cellStyle name="Note 18 7 3" xfId="31015" xr:uid="{00000000-0005-0000-0000-0000EC5C0000}"/>
    <cellStyle name="Note 18 7 4" xfId="31016" xr:uid="{00000000-0005-0000-0000-0000ED5C0000}"/>
    <cellStyle name="Note 18 8" xfId="16221" xr:uid="{00000000-0005-0000-0000-0000EE5C0000}"/>
    <cellStyle name="Note 18 8 2" xfId="16222" xr:uid="{00000000-0005-0000-0000-0000EF5C0000}"/>
    <cellStyle name="Note 18 8 3" xfId="31017" xr:uid="{00000000-0005-0000-0000-0000F05C0000}"/>
    <cellStyle name="Note 18 8 4" xfId="31018" xr:uid="{00000000-0005-0000-0000-0000F15C0000}"/>
    <cellStyle name="Note 18 9" xfId="16223" xr:uid="{00000000-0005-0000-0000-0000F25C0000}"/>
    <cellStyle name="Note 18 9 2" xfId="16224" xr:uid="{00000000-0005-0000-0000-0000F35C0000}"/>
    <cellStyle name="Note 18 9 3" xfId="31019" xr:uid="{00000000-0005-0000-0000-0000F45C0000}"/>
    <cellStyle name="Note 18 9 4" xfId="31020" xr:uid="{00000000-0005-0000-0000-0000F55C0000}"/>
    <cellStyle name="Note 19" xfId="16225" xr:uid="{00000000-0005-0000-0000-0000F65C0000}"/>
    <cellStyle name="Note 19 10" xfId="16226" xr:uid="{00000000-0005-0000-0000-0000F75C0000}"/>
    <cellStyle name="Note 19 10 2" xfId="16227" xr:uid="{00000000-0005-0000-0000-0000F85C0000}"/>
    <cellStyle name="Note 19 10 3" xfId="31021" xr:uid="{00000000-0005-0000-0000-0000F95C0000}"/>
    <cellStyle name="Note 19 10 4" xfId="31022" xr:uid="{00000000-0005-0000-0000-0000FA5C0000}"/>
    <cellStyle name="Note 19 11" xfId="16228" xr:uid="{00000000-0005-0000-0000-0000FB5C0000}"/>
    <cellStyle name="Note 19 11 2" xfId="16229" xr:uid="{00000000-0005-0000-0000-0000FC5C0000}"/>
    <cellStyle name="Note 19 11 3" xfId="31023" xr:uid="{00000000-0005-0000-0000-0000FD5C0000}"/>
    <cellStyle name="Note 19 11 4" xfId="31024" xr:uid="{00000000-0005-0000-0000-0000FE5C0000}"/>
    <cellStyle name="Note 19 12" xfId="16230" xr:uid="{00000000-0005-0000-0000-0000FF5C0000}"/>
    <cellStyle name="Note 19 13" xfId="31025" xr:uid="{00000000-0005-0000-0000-0000005D0000}"/>
    <cellStyle name="Note 19 14" xfId="31026" xr:uid="{00000000-0005-0000-0000-0000015D0000}"/>
    <cellStyle name="Note 19 2" xfId="16231" xr:uid="{00000000-0005-0000-0000-0000025D0000}"/>
    <cellStyle name="Note 19 2 10" xfId="31027" xr:uid="{00000000-0005-0000-0000-0000035D0000}"/>
    <cellStyle name="Note 19 2 2" xfId="16232" xr:uid="{00000000-0005-0000-0000-0000045D0000}"/>
    <cellStyle name="Note 19 2 2 2" xfId="16233" xr:uid="{00000000-0005-0000-0000-0000055D0000}"/>
    <cellStyle name="Note 19 2 2 3" xfId="31028" xr:uid="{00000000-0005-0000-0000-0000065D0000}"/>
    <cellStyle name="Note 19 2 2 4" xfId="31029" xr:uid="{00000000-0005-0000-0000-0000075D0000}"/>
    <cellStyle name="Note 19 2 3" xfId="16234" xr:uid="{00000000-0005-0000-0000-0000085D0000}"/>
    <cellStyle name="Note 19 2 3 2" xfId="16235" xr:uid="{00000000-0005-0000-0000-0000095D0000}"/>
    <cellStyle name="Note 19 2 3 3" xfId="31030" xr:uid="{00000000-0005-0000-0000-00000A5D0000}"/>
    <cellStyle name="Note 19 2 3 4" xfId="31031" xr:uid="{00000000-0005-0000-0000-00000B5D0000}"/>
    <cellStyle name="Note 19 2 4" xfId="16236" xr:uid="{00000000-0005-0000-0000-00000C5D0000}"/>
    <cellStyle name="Note 19 2 4 2" xfId="16237" xr:uid="{00000000-0005-0000-0000-00000D5D0000}"/>
    <cellStyle name="Note 19 2 4 3" xfId="31032" xr:uid="{00000000-0005-0000-0000-00000E5D0000}"/>
    <cellStyle name="Note 19 2 4 4" xfId="31033" xr:uid="{00000000-0005-0000-0000-00000F5D0000}"/>
    <cellStyle name="Note 19 2 5" xfId="16238" xr:uid="{00000000-0005-0000-0000-0000105D0000}"/>
    <cellStyle name="Note 19 2 5 2" xfId="16239" xr:uid="{00000000-0005-0000-0000-0000115D0000}"/>
    <cellStyle name="Note 19 2 5 3" xfId="31034" xr:uid="{00000000-0005-0000-0000-0000125D0000}"/>
    <cellStyle name="Note 19 2 5 4" xfId="31035" xr:uid="{00000000-0005-0000-0000-0000135D0000}"/>
    <cellStyle name="Note 19 2 6" xfId="16240" xr:uid="{00000000-0005-0000-0000-0000145D0000}"/>
    <cellStyle name="Note 19 2 6 2" xfId="16241" xr:uid="{00000000-0005-0000-0000-0000155D0000}"/>
    <cellStyle name="Note 19 2 6 3" xfId="31036" xr:uid="{00000000-0005-0000-0000-0000165D0000}"/>
    <cellStyle name="Note 19 2 6 4" xfId="31037" xr:uid="{00000000-0005-0000-0000-0000175D0000}"/>
    <cellStyle name="Note 19 2 7" xfId="16242" xr:uid="{00000000-0005-0000-0000-0000185D0000}"/>
    <cellStyle name="Note 19 2 7 2" xfId="16243" xr:uid="{00000000-0005-0000-0000-0000195D0000}"/>
    <cellStyle name="Note 19 2 7 3" xfId="31038" xr:uid="{00000000-0005-0000-0000-00001A5D0000}"/>
    <cellStyle name="Note 19 2 7 4" xfId="31039" xr:uid="{00000000-0005-0000-0000-00001B5D0000}"/>
    <cellStyle name="Note 19 2 8" xfId="16244" xr:uid="{00000000-0005-0000-0000-00001C5D0000}"/>
    <cellStyle name="Note 19 2 9" xfId="31040" xr:uid="{00000000-0005-0000-0000-00001D5D0000}"/>
    <cellStyle name="Note 19 3" xfId="16245" xr:uid="{00000000-0005-0000-0000-00001E5D0000}"/>
    <cellStyle name="Note 19 3 10" xfId="31041" xr:uid="{00000000-0005-0000-0000-00001F5D0000}"/>
    <cellStyle name="Note 19 3 2" xfId="16246" xr:uid="{00000000-0005-0000-0000-0000205D0000}"/>
    <cellStyle name="Note 19 3 2 2" xfId="16247" xr:uid="{00000000-0005-0000-0000-0000215D0000}"/>
    <cellStyle name="Note 19 3 2 3" xfId="31042" xr:uid="{00000000-0005-0000-0000-0000225D0000}"/>
    <cellStyle name="Note 19 3 2 4" xfId="31043" xr:uid="{00000000-0005-0000-0000-0000235D0000}"/>
    <cellStyle name="Note 19 3 3" xfId="16248" xr:uid="{00000000-0005-0000-0000-0000245D0000}"/>
    <cellStyle name="Note 19 3 3 2" xfId="16249" xr:uid="{00000000-0005-0000-0000-0000255D0000}"/>
    <cellStyle name="Note 19 3 3 3" xfId="31044" xr:uid="{00000000-0005-0000-0000-0000265D0000}"/>
    <cellStyle name="Note 19 3 3 4" xfId="31045" xr:uid="{00000000-0005-0000-0000-0000275D0000}"/>
    <cellStyle name="Note 19 3 4" xfId="16250" xr:uid="{00000000-0005-0000-0000-0000285D0000}"/>
    <cellStyle name="Note 19 3 4 2" xfId="16251" xr:uid="{00000000-0005-0000-0000-0000295D0000}"/>
    <cellStyle name="Note 19 3 4 3" xfId="31046" xr:uid="{00000000-0005-0000-0000-00002A5D0000}"/>
    <cellStyle name="Note 19 3 4 4" xfId="31047" xr:uid="{00000000-0005-0000-0000-00002B5D0000}"/>
    <cellStyle name="Note 19 3 5" xfId="16252" xr:uid="{00000000-0005-0000-0000-00002C5D0000}"/>
    <cellStyle name="Note 19 3 5 2" xfId="16253" xr:uid="{00000000-0005-0000-0000-00002D5D0000}"/>
    <cellStyle name="Note 19 3 5 3" xfId="31048" xr:uid="{00000000-0005-0000-0000-00002E5D0000}"/>
    <cellStyle name="Note 19 3 5 4" xfId="31049" xr:uid="{00000000-0005-0000-0000-00002F5D0000}"/>
    <cellStyle name="Note 19 3 6" xfId="16254" xr:uid="{00000000-0005-0000-0000-0000305D0000}"/>
    <cellStyle name="Note 19 3 6 2" xfId="16255" xr:uid="{00000000-0005-0000-0000-0000315D0000}"/>
    <cellStyle name="Note 19 3 6 3" xfId="31050" xr:uid="{00000000-0005-0000-0000-0000325D0000}"/>
    <cellStyle name="Note 19 3 6 4" xfId="31051" xr:uid="{00000000-0005-0000-0000-0000335D0000}"/>
    <cellStyle name="Note 19 3 7" xfId="16256" xr:uid="{00000000-0005-0000-0000-0000345D0000}"/>
    <cellStyle name="Note 19 3 7 2" xfId="16257" xr:uid="{00000000-0005-0000-0000-0000355D0000}"/>
    <cellStyle name="Note 19 3 7 3" xfId="31052" xr:uid="{00000000-0005-0000-0000-0000365D0000}"/>
    <cellStyle name="Note 19 3 7 4" xfId="31053" xr:uid="{00000000-0005-0000-0000-0000375D0000}"/>
    <cellStyle name="Note 19 3 8" xfId="16258" xr:uid="{00000000-0005-0000-0000-0000385D0000}"/>
    <cellStyle name="Note 19 3 9" xfId="31054" xr:uid="{00000000-0005-0000-0000-0000395D0000}"/>
    <cellStyle name="Note 19 4" xfId="16259" xr:uid="{00000000-0005-0000-0000-00003A5D0000}"/>
    <cellStyle name="Note 19 4 10" xfId="31055" xr:uid="{00000000-0005-0000-0000-00003B5D0000}"/>
    <cellStyle name="Note 19 4 2" xfId="16260" xr:uid="{00000000-0005-0000-0000-00003C5D0000}"/>
    <cellStyle name="Note 19 4 2 2" xfId="16261" xr:uid="{00000000-0005-0000-0000-00003D5D0000}"/>
    <cellStyle name="Note 19 4 2 3" xfId="31056" xr:uid="{00000000-0005-0000-0000-00003E5D0000}"/>
    <cellStyle name="Note 19 4 2 4" xfId="31057" xr:uid="{00000000-0005-0000-0000-00003F5D0000}"/>
    <cellStyle name="Note 19 4 3" xfId="16262" xr:uid="{00000000-0005-0000-0000-0000405D0000}"/>
    <cellStyle name="Note 19 4 3 2" xfId="16263" xr:uid="{00000000-0005-0000-0000-0000415D0000}"/>
    <cellStyle name="Note 19 4 3 3" xfId="31058" xr:uid="{00000000-0005-0000-0000-0000425D0000}"/>
    <cellStyle name="Note 19 4 3 4" xfId="31059" xr:uid="{00000000-0005-0000-0000-0000435D0000}"/>
    <cellStyle name="Note 19 4 4" xfId="16264" xr:uid="{00000000-0005-0000-0000-0000445D0000}"/>
    <cellStyle name="Note 19 4 4 2" xfId="16265" xr:uid="{00000000-0005-0000-0000-0000455D0000}"/>
    <cellStyle name="Note 19 4 4 3" xfId="31060" xr:uid="{00000000-0005-0000-0000-0000465D0000}"/>
    <cellStyle name="Note 19 4 4 4" xfId="31061" xr:uid="{00000000-0005-0000-0000-0000475D0000}"/>
    <cellStyle name="Note 19 4 5" xfId="16266" xr:uid="{00000000-0005-0000-0000-0000485D0000}"/>
    <cellStyle name="Note 19 4 5 2" xfId="16267" xr:uid="{00000000-0005-0000-0000-0000495D0000}"/>
    <cellStyle name="Note 19 4 5 3" xfId="31062" xr:uid="{00000000-0005-0000-0000-00004A5D0000}"/>
    <cellStyle name="Note 19 4 5 4" xfId="31063" xr:uid="{00000000-0005-0000-0000-00004B5D0000}"/>
    <cellStyle name="Note 19 4 6" xfId="16268" xr:uid="{00000000-0005-0000-0000-00004C5D0000}"/>
    <cellStyle name="Note 19 4 6 2" xfId="16269" xr:uid="{00000000-0005-0000-0000-00004D5D0000}"/>
    <cellStyle name="Note 19 4 6 3" xfId="31064" xr:uid="{00000000-0005-0000-0000-00004E5D0000}"/>
    <cellStyle name="Note 19 4 6 4" xfId="31065" xr:uid="{00000000-0005-0000-0000-00004F5D0000}"/>
    <cellStyle name="Note 19 4 7" xfId="16270" xr:uid="{00000000-0005-0000-0000-0000505D0000}"/>
    <cellStyle name="Note 19 4 7 2" xfId="16271" xr:uid="{00000000-0005-0000-0000-0000515D0000}"/>
    <cellStyle name="Note 19 4 7 3" xfId="31066" xr:uid="{00000000-0005-0000-0000-0000525D0000}"/>
    <cellStyle name="Note 19 4 7 4" xfId="31067" xr:uid="{00000000-0005-0000-0000-0000535D0000}"/>
    <cellStyle name="Note 19 4 8" xfId="16272" xr:uid="{00000000-0005-0000-0000-0000545D0000}"/>
    <cellStyle name="Note 19 4 9" xfId="31068" xr:uid="{00000000-0005-0000-0000-0000555D0000}"/>
    <cellStyle name="Note 19 5" xfId="16273" xr:uid="{00000000-0005-0000-0000-0000565D0000}"/>
    <cellStyle name="Note 19 5 10" xfId="31069" xr:uid="{00000000-0005-0000-0000-0000575D0000}"/>
    <cellStyle name="Note 19 5 2" xfId="16274" xr:uid="{00000000-0005-0000-0000-0000585D0000}"/>
    <cellStyle name="Note 19 5 2 2" xfId="16275" xr:uid="{00000000-0005-0000-0000-0000595D0000}"/>
    <cellStyle name="Note 19 5 2 3" xfId="31070" xr:uid="{00000000-0005-0000-0000-00005A5D0000}"/>
    <cellStyle name="Note 19 5 2 4" xfId="31071" xr:uid="{00000000-0005-0000-0000-00005B5D0000}"/>
    <cellStyle name="Note 19 5 3" xfId="16276" xr:uid="{00000000-0005-0000-0000-00005C5D0000}"/>
    <cellStyle name="Note 19 5 3 2" xfId="16277" xr:uid="{00000000-0005-0000-0000-00005D5D0000}"/>
    <cellStyle name="Note 19 5 3 3" xfId="31072" xr:uid="{00000000-0005-0000-0000-00005E5D0000}"/>
    <cellStyle name="Note 19 5 3 4" xfId="31073" xr:uid="{00000000-0005-0000-0000-00005F5D0000}"/>
    <cellStyle name="Note 19 5 4" xfId="16278" xr:uid="{00000000-0005-0000-0000-0000605D0000}"/>
    <cellStyle name="Note 19 5 4 2" xfId="16279" xr:uid="{00000000-0005-0000-0000-0000615D0000}"/>
    <cellStyle name="Note 19 5 4 3" xfId="31074" xr:uid="{00000000-0005-0000-0000-0000625D0000}"/>
    <cellStyle name="Note 19 5 4 4" xfId="31075" xr:uid="{00000000-0005-0000-0000-0000635D0000}"/>
    <cellStyle name="Note 19 5 5" xfId="16280" xr:uid="{00000000-0005-0000-0000-0000645D0000}"/>
    <cellStyle name="Note 19 5 5 2" xfId="16281" xr:uid="{00000000-0005-0000-0000-0000655D0000}"/>
    <cellStyle name="Note 19 5 5 3" xfId="31076" xr:uid="{00000000-0005-0000-0000-0000665D0000}"/>
    <cellStyle name="Note 19 5 5 4" xfId="31077" xr:uid="{00000000-0005-0000-0000-0000675D0000}"/>
    <cellStyle name="Note 19 5 6" xfId="16282" xr:uid="{00000000-0005-0000-0000-0000685D0000}"/>
    <cellStyle name="Note 19 5 6 2" xfId="16283" xr:uid="{00000000-0005-0000-0000-0000695D0000}"/>
    <cellStyle name="Note 19 5 6 3" xfId="31078" xr:uid="{00000000-0005-0000-0000-00006A5D0000}"/>
    <cellStyle name="Note 19 5 6 4" xfId="31079" xr:uid="{00000000-0005-0000-0000-00006B5D0000}"/>
    <cellStyle name="Note 19 5 7" xfId="16284" xr:uid="{00000000-0005-0000-0000-00006C5D0000}"/>
    <cellStyle name="Note 19 5 7 2" xfId="16285" xr:uid="{00000000-0005-0000-0000-00006D5D0000}"/>
    <cellStyle name="Note 19 5 7 3" xfId="31080" xr:uid="{00000000-0005-0000-0000-00006E5D0000}"/>
    <cellStyle name="Note 19 5 7 4" xfId="31081" xr:uid="{00000000-0005-0000-0000-00006F5D0000}"/>
    <cellStyle name="Note 19 5 8" xfId="16286" xr:uid="{00000000-0005-0000-0000-0000705D0000}"/>
    <cellStyle name="Note 19 5 9" xfId="31082" xr:uid="{00000000-0005-0000-0000-0000715D0000}"/>
    <cellStyle name="Note 19 6" xfId="16287" xr:uid="{00000000-0005-0000-0000-0000725D0000}"/>
    <cellStyle name="Note 19 6 2" xfId="16288" xr:uid="{00000000-0005-0000-0000-0000735D0000}"/>
    <cellStyle name="Note 19 6 3" xfId="31083" xr:uid="{00000000-0005-0000-0000-0000745D0000}"/>
    <cellStyle name="Note 19 6 4" xfId="31084" xr:uid="{00000000-0005-0000-0000-0000755D0000}"/>
    <cellStyle name="Note 19 7" xfId="16289" xr:uid="{00000000-0005-0000-0000-0000765D0000}"/>
    <cellStyle name="Note 19 7 2" xfId="16290" xr:uid="{00000000-0005-0000-0000-0000775D0000}"/>
    <cellStyle name="Note 19 7 3" xfId="31085" xr:uid="{00000000-0005-0000-0000-0000785D0000}"/>
    <cellStyle name="Note 19 7 4" xfId="31086" xr:uid="{00000000-0005-0000-0000-0000795D0000}"/>
    <cellStyle name="Note 19 8" xfId="16291" xr:uid="{00000000-0005-0000-0000-00007A5D0000}"/>
    <cellStyle name="Note 19 8 2" xfId="16292" xr:uid="{00000000-0005-0000-0000-00007B5D0000}"/>
    <cellStyle name="Note 19 8 3" xfId="31087" xr:uid="{00000000-0005-0000-0000-00007C5D0000}"/>
    <cellStyle name="Note 19 8 4" xfId="31088" xr:uid="{00000000-0005-0000-0000-00007D5D0000}"/>
    <cellStyle name="Note 19 9" xfId="16293" xr:uid="{00000000-0005-0000-0000-00007E5D0000}"/>
    <cellStyle name="Note 19 9 2" xfId="16294" xr:uid="{00000000-0005-0000-0000-00007F5D0000}"/>
    <cellStyle name="Note 19 9 3" xfId="31089" xr:uid="{00000000-0005-0000-0000-0000805D0000}"/>
    <cellStyle name="Note 19 9 4" xfId="31090" xr:uid="{00000000-0005-0000-0000-0000815D0000}"/>
    <cellStyle name="Note 2" xfId="16295" xr:uid="{00000000-0005-0000-0000-0000825D0000}"/>
    <cellStyle name="Note 2 10" xfId="16296" xr:uid="{00000000-0005-0000-0000-0000835D0000}"/>
    <cellStyle name="Note 2 10 2" xfId="16297" xr:uid="{00000000-0005-0000-0000-0000845D0000}"/>
    <cellStyle name="Note 2 10 3" xfId="31091" xr:uid="{00000000-0005-0000-0000-0000855D0000}"/>
    <cellStyle name="Note 2 10 4" xfId="31092" xr:uid="{00000000-0005-0000-0000-0000865D0000}"/>
    <cellStyle name="Note 2 11" xfId="16298" xr:uid="{00000000-0005-0000-0000-0000875D0000}"/>
    <cellStyle name="Note 2 11 2" xfId="16299" xr:uid="{00000000-0005-0000-0000-0000885D0000}"/>
    <cellStyle name="Note 2 11 3" xfId="31093" xr:uid="{00000000-0005-0000-0000-0000895D0000}"/>
    <cellStyle name="Note 2 11 4" xfId="31094" xr:uid="{00000000-0005-0000-0000-00008A5D0000}"/>
    <cellStyle name="Note 2 12" xfId="16300" xr:uid="{00000000-0005-0000-0000-00008B5D0000}"/>
    <cellStyle name="Note 2 12 2" xfId="16301" xr:uid="{00000000-0005-0000-0000-00008C5D0000}"/>
    <cellStyle name="Note 2 12 3" xfId="31095" xr:uid="{00000000-0005-0000-0000-00008D5D0000}"/>
    <cellStyle name="Note 2 13" xfId="16302" xr:uid="{00000000-0005-0000-0000-00008E5D0000}"/>
    <cellStyle name="Note 2 14" xfId="31096" xr:uid="{00000000-0005-0000-0000-00008F5D0000}"/>
    <cellStyle name="Note 2 15" xfId="31097" xr:uid="{00000000-0005-0000-0000-0000905D0000}"/>
    <cellStyle name="Note 2 16" xfId="31098" xr:uid="{00000000-0005-0000-0000-0000915D0000}"/>
    <cellStyle name="Note 2 2" xfId="16303" xr:uid="{00000000-0005-0000-0000-0000925D0000}"/>
    <cellStyle name="Note 2 2 10" xfId="31099" xr:uid="{00000000-0005-0000-0000-0000935D0000}"/>
    <cellStyle name="Note 2 2 2" xfId="16304" xr:uid="{00000000-0005-0000-0000-0000945D0000}"/>
    <cellStyle name="Note 2 2 2 2" xfId="16305" xr:uid="{00000000-0005-0000-0000-0000955D0000}"/>
    <cellStyle name="Note 2 2 2 3" xfId="31100" xr:uid="{00000000-0005-0000-0000-0000965D0000}"/>
    <cellStyle name="Note 2 2 2 4" xfId="31101" xr:uid="{00000000-0005-0000-0000-0000975D0000}"/>
    <cellStyle name="Note 2 2 3" xfId="16306" xr:uid="{00000000-0005-0000-0000-0000985D0000}"/>
    <cellStyle name="Note 2 2 3 2" xfId="16307" xr:uid="{00000000-0005-0000-0000-0000995D0000}"/>
    <cellStyle name="Note 2 2 3 3" xfId="31102" xr:uid="{00000000-0005-0000-0000-00009A5D0000}"/>
    <cellStyle name="Note 2 2 3 4" xfId="31103" xr:uid="{00000000-0005-0000-0000-00009B5D0000}"/>
    <cellStyle name="Note 2 2 4" xfId="16308" xr:uid="{00000000-0005-0000-0000-00009C5D0000}"/>
    <cellStyle name="Note 2 2 4 2" xfId="16309" xr:uid="{00000000-0005-0000-0000-00009D5D0000}"/>
    <cellStyle name="Note 2 2 4 3" xfId="31104" xr:uid="{00000000-0005-0000-0000-00009E5D0000}"/>
    <cellStyle name="Note 2 2 4 4" xfId="31105" xr:uid="{00000000-0005-0000-0000-00009F5D0000}"/>
    <cellStyle name="Note 2 2 5" xfId="16310" xr:uid="{00000000-0005-0000-0000-0000A05D0000}"/>
    <cellStyle name="Note 2 2 5 2" xfId="16311" xr:uid="{00000000-0005-0000-0000-0000A15D0000}"/>
    <cellStyle name="Note 2 2 5 3" xfId="31106" xr:uid="{00000000-0005-0000-0000-0000A25D0000}"/>
    <cellStyle name="Note 2 2 5 4" xfId="31107" xr:uid="{00000000-0005-0000-0000-0000A35D0000}"/>
    <cellStyle name="Note 2 2 6" xfId="16312" xr:uid="{00000000-0005-0000-0000-0000A45D0000}"/>
    <cellStyle name="Note 2 2 6 2" xfId="16313" xr:uid="{00000000-0005-0000-0000-0000A55D0000}"/>
    <cellStyle name="Note 2 2 6 3" xfId="31108" xr:uid="{00000000-0005-0000-0000-0000A65D0000}"/>
    <cellStyle name="Note 2 2 6 4" xfId="31109" xr:uid="{00000000-0005-0000-0000-0000A75D0000}"/>
    <cellStyle name="Note 2 2 7" xfId="16314" xr:uid="{00000000-0005-0000-0000-0000A85D0000}"/>
    <cellStyle name="Note 2 2 7 2" xfId="16315" xr:uid="{00000000-0005-0000-0000-0000A95D0000}"/>
    <cellStyle name="Note 2 2 7 3" xfId="31110" xr:uid="{00000000-0005-0000-0000-0000AA5D0000}"/>
    <cellStyle name="Note 2 2 7 4" xfId="31111" xr:uid="{00000000-0005-0000-0000-0000AB5D0000}"/>
    <cellStyle name="Note 2 2 8" xfId="16316" xr:uid="{00000000-0005-0000-0000-0000AC5D0000}"/>
    <cellStyle name="Note 2 2 9" xfId="31112" xr:uid="{00000000-0005-0000-0000-0000AD5D0000}"/>
    <cellStyle name="Note 2 3" xfId="16317" xr:uid="{00000000-0005-0000-0000-0000AE5D0000}"/>
    <cellStyle name="Note 2 3 10" xfId="31113" xr:uid="{00000000-0005-0000-0000-0000AF5D0000}"/>
    <cellStyle name="Note 2 3 2" xfId="16318" xr:uid="{00000000-0005-0000-0000-0000B05D0000}"/>
    <cellStyle name="Note 2 3 2 2" xfId="16319" xr:uid="{00000000-0005-0000-0000-0000B15D0000}"/>
    <cellStyle name="Note 2 3 2 3" xfId="31114" xr:uid="{00000000-0005-0000-0000-0000B25D0000}"/>
    <cellStyle name="Note 2 3 2 4" xfId="31115" xr:uid="{00000000-0005-0000-0000-0000B35D0000}"/>
    <cellStyle name="Note 2 3 3" xfId="16320" xr:uid="{00000000-0005-0000-0000-0000B45D0000}"/>
    <cellStyle name="Note 2 3 3 2" xfId="16321" xr:uid="{00000000-0005-0000-0000-0000B55D0000}"/>
    <cellStyle name="Note 2 3 3 3" xfId="31116" xr:uid="{00000000-0005-0000-0000-0000B65D0000}"/>
    <cellStyle name="Note 2 3 3 4" xfId="31117" xr:uid="{00000000-0005-0000-0000-0000B75D0000}"/>
    <cellStyle name="Note 2 3 4" xfId="16322" xr:uid="{00000000-0005-0000-0000-0000B85D0000}"/>
    <cellStyle name="Note 2 3 4 2" xfId="16323" xr:uid="{00000000-0005-0000-0000-0000B95D0000}"/>
    <cellStyle name="Note 2 3 4 3" xfId="31118" xr:uid="{00000000-0005-0000-0000-0000BA5D0000}"/>
    <cellStyle name="Note 2 3 4 4" xfId="31119" xr:uid="{00000000-0005-0000-0000-0000BB5D0000}"/>
    <cellStyle name="Note 2 3 5" xfId="16324" xr:uid="{00000000-0005-0000-0000-0000BC5D0000}"/>
    <cellStyle name="Note 2 3 5 2" xfId="16325" xr:uid="{00000000-0005-0000-0000-0000BD5D0000}"/>
    <cellStyle name="Note 2 3 5 3" xfId="31120" xr:uid="{00000000-0005-0000-0000-0000BE5D0000}"/>
    <cellStyle name="Note 2 3 5 4" xfId="31121" xr:uid="{00000000-0005-0000-0000-0000BF5D0000}"/>
    <cellStyle name="Note 2 3 6" xfId="16326" xr:uid="{00000000-0005-0000-0000-0000C05D0000}"/>
    <cellStyle name="Note 2 3 6 2" xfId="16327" xr:uid="{00000000-0005-0000-0000-0000C15D0000}"/>
    <cellStyle name="Note 2 3 6 3" xfId="31122" xr:uid="{00000000-0005-0000-0000-0000C25D0000}"/>
    <cellStyle name="Note 2 3 6 4" xfId="31123" xr:uid="{00000000-0005-0000-0000-0000C35D0000}"/>
    <cellStyle name="Note 2 3 7" xfId="16328" xr:uid="{00000000-0005-0000-0000-0000C45D0000}"/>
    <cellStyle name="Note 2 3 7 2" xfId="16329" xr:uid="{00000000-0005-0000-0000-0000C55D0000}"/>
    <cellStyle name="Note 2 3 7 3" xfId="31124" xr:uid="{00000000-0005-0000-0000-0000C65D0000}"/>
    <cellStyle name="Note 2 3 7 4" xfId="31125" xr:uid="{00000000-0005-0000-0000-0000C75D0000}"/>
    <cellStyle name="Note 2 3 8" xfId="16330" xr:uid="{00000000-0005-0000-0000-0000C85D0000}"/>
    <cellStyle name="Note 2 3 9" xfId="31126" xr:uid="{00000000-0005-0000-0000-0000C95D0000}"/>
    <cellStyle name="Note 2 4" xfId="16331" xr:uid="{00000000-0005-0000-0000-0000CA5D0000}"/>
    <cellStyle name="Note 2 4 10" xfId="31127" xr:uid="{00000000-0005-0000-0000-0000CB5D0000}"/>
    <cellStyle name="Note 2 4 2" xfId="16332" xr:uid="{00000000-0005-0000-0000-0000CC5D0000}"/>
    <cellStyle name="Note 2 4 2 2" xfId="16333" xr:uid="{00000000-0005-0000-0000-0000CD5D0000}"/>
    <cellStyle name="Note 2 4 2 3" xfId="31128" xr:uid="{00000000-0005-0000-0000-0000CE5D0000}"/>
    <cellStyle name="Note 2 4 2 4" xfId="31129" xr:uid="{00000000-0005-0000-0000-0000CF5D0000}"/>
    <cellStyle name="Note 2 4 3" xfId="16334" xr:uid="{00000000-0005-0000-0000-0000D05D0000}"/>
    <cellStyle name="Note 2 4 3 2" xfId="16335" xr:uid="{00000000-0005-0000-0000-0000D15D0000}"/>
    <cellStyle name="Note 2 4 3 3" xfId="31130" xr:uid="{00000000-0005-0000-0000-0000D25D0000}"/>
    <cellStyle name="Note 2 4 3 4" xfId="31131" xr:uid="{00000000-0005-0000-0000-0000D35D0000}"/>
    <cellStyle name="Note 2 4 4" xfId="16336" xr:uid="{00000000-0005-0000-0000-0000D45D0000}"/>
    <cellStyle name="Note 2 4 4 2" xfId="16337" xr:uid="{00000000-0005-0000-0000-0000D55D0000}"/>
    <cellStyle name="Note 2 4 4 3" xfId="31132" xr:uid="{00000000-0005-0000-0000-0000D65D0000}"/>
    <cellStyle name="Note 2 4 4 4" xfId="31133" xr:uid="{00000000-0005-0000-0000-0000D75D0000}"/>
    <cellStyle name="Note 2 4 5" xfId="16338" xr:uid="{00000000-0005-0000-0000-0000D85D0000}"/>
    <cellStyle name="Note 2 4 5 2" xfId="16339" xr:uid="{00000000-0005-0000-0000-0000D95D0000}"/>
    <cellStyle name="Note 2 4 5 3" xfId="31134" xr:uid="{00000000-0005-0000-0000-0000DA5D0000}"/>
    <cellStyle name="Note 2 4 5 4" xfId="31135" xr:uid="{00000000-0005-0000-0000-0000DB5D0000}"/>
    <cellStyle name="Note 2 4 6" xfId="16340" xr:uid="{00000000-0005-0000-0000-0000DC5D0000}"/>
    <cellStyle name="Note 2 4 6 2" xfId="16341" xr:uid="{00000000-0005-0000-0000-0000DD5D0000}"/>
    <cellStyle name="Note 2 4 6 3" xfId="31136" xr:uid="{00000000-0005-0000-0000-0000DE5D0000}"/>
    <cellStyle name="Note 2 4 6 4" xfId="31137" xr:uid="{00000000-0005-0000-0000-0000DF5D0000}"/>
    <cellStyle name="Note 2 4 7" xfId="16342" xr:uid="{00000000-0005-0000-0000-0000E05D0000}"/>
    <cellStyle name="Note 2 4 7 2" xfId="16343" xr:uid="{00000000-0005-0000-0000-0000E15D0000}"/>
    <cellStyle name="Note 2 4 7 3" xfId="31138" xr:uid="{00000000-0005-0000-0000-0000E25D0000}"/>
    <cellStyle name="Note 2 4 7 4" xfId="31139" xr:uid="{00000000-0005-0000-0000-0000E35D0000}"/>
    <cellStyle name="Note 2 4 8" xfId="16344" xr:uid="{00000000-0005-0000-0000-0000E45D0000}"/>
    <cellStyle name="Note 2 4 9" xfId="31140" xr:uid="{00000000-0005-0000-0000-0000E55D0000}"/>
    <cellStyle name="Note 2 5" xfId="16345" xr:uid="{00000000-0005-0000-0000-0000E65D0000}"/>
    <cellStyle name="Note 2 5 10" xfId="31141" xr:uid="{00000000-0005-0000-0000-0000E75D0000}"/>
    <cellStyle name="Note 2 5 2" xfId="16346" xr:uid="{00000000-0005-0000-0000-0000E85D0000}"/>
    <cellStyle name="Note 2 5 2 2" xfId="16347" xr:uid="{00000000-0005-0000-0000-0000E95D0000}"/>
    <cellStyle name="Note 2 5 2 3" xfId="31142" xr:uid="{00000000-0005-0000-0000-0000EA5D0000}"/>
    <cellStyle name="Note 2 5 2 4" xfId="31143" xr:uid="{00000000-0005-0000-0000-0000EB5D0000}"/>
    <cellStyle name="Note 2 5 3" xfId="16348" xr:uid="{00000000-0005-0000-0000-0000EC5D0000}"/>
    <cellStyle name="Note 2 5 3 2" xfId="16349" xr:uid="{00000000-0005-0000-0000-0000ED5D0000}"/>
    <cellStyle name="Note 2 5 3 3" xfId="31144" xr:uid="{00000000-0005-0000-0000-0000EE5D0000}"/>
    <cellStyle name="Note 2 5 3 4" xfId="31145" xr:uid="{00000000-0005-0000-0000-0000EF5D0000}"/>
    <cellStyle name="Note 2 5 4" xfId="16350" xr:uid="{00000000-0005-0000-0000-0000F05D0000}"/>
    <cellStyle name="Note 2 5 4 2" xfId="16351" xr:uid="{00000000-0005-0000-0000-0000F15D0000}"/>
    <cellStyle name="Note 2 5 4 3" xfId="31146" xr:uid="{00000000-0005-0000-0000-0000F25D0000}"/>
    <cellStyle name="Note 2 5 4 4" xfId="31147" xr:uid="{00000000-0005-0000-0000-0000F35D0000}"/>
    <cellStyle name="Note 2 5 5" xfId="16352" xr:uid="{00000000-0005-0000-0000-0000F45D0000}"/>
    <cellStyle name="Note 2 5 5 2" xfId="16353" xr:uid="{00000000-0005-0000-0000-0000F55D0000}"/>
    <cellStyle name="Note 2 5 5 3" xfId="31148" xr:uid="{00000000-0005-0000-0000-0000F65D0000}"/>
    <cellStyle name="Note 2 5 5 4" xfId="31149" xr:uid="{00000000-0005-0000-0000-0000F75D0000}"/>
    <cellStyle name="Note 2 5 6" xfId="16354" xr:uid="{00000000-0005-0000-0000-0000F85D0000}"/>
    <cellStyle name="Note 2 5 6 2" xfId="16355" xr:uid="{00000000-0005-0000-0000-0000F95D0000}"/>
    <cellStyle name="Note 2 5 6 3" xfId="31150" xr:uid="{00000000-0005-0000-0000-0000FA5D0000}"/>
    <cellStyle name="Note 2 5 6 4" xfId="31151" xr:uid="{00000000-0005-0000-0000-0000FB5D0000}"/>
    <cellStyle name="Note 2 5 7" xfId="16356" xr:uid="{00000000-0005-0000-0000-0000FC5D0000}"/>
    <cellStyle name="Note 2 5 7 2" xfId="16357" xr:uid="{00000000-0005-0000-0000-0000FD5D0000}"/>
    <cellStyle name="Note 2 5 7 3" xfId="31152" xr:uid="{00000000-0005-0000-0000-0000FE5D0000}"/>
    <cellStyle name="Note 2 5 7 4" xfId="31153" xr:uid="{00000000-0005-0000-0000-0000FF5D0000}"/>
    <cellStyle name="Note 2 5 8" xfId="16358" xr:uid="{00000000-0005-0000-0000-0000005E0000}"/>
    <cellStyle name="Note 2 5 9" xfId="31154" xr:uid="{00000000-0005-0000-0000-0000015E0000}"/>
    <cellStyle name="Note 2 6" xfId="16359" xr:uid="{00000000-0005-0000-0000-0000025E0000}"/>
    <cellStyle name="Note 2 6 2" xfId="16360" xr:uid="{00000000-0005-0000-0000-0000035E0000}"/>
    <cellStyle name="Note 2 6 3" xfId="31155" xr:uid="{00000000-0005-0000-0000-0000045E0000}"/>
    <cellStyle name="Note 2 6 4" xfId="31156" xr:uid="{00000000-0005-0000-0000-0000055E0000}"/>
    <cellStyle name="Note 2 7" xfId="16361" xr:uid="{00000000-0005-0000-0000-0000065E0000}"/>
    <cellStyle name="Note 2 7 2" xfId="16362" xr:uid="{00000000-0005-0000-0000-0000075E0000}"/>
    <cellStyle name="Note 2 7 3" xfId="31157" xr:uid="{00000000-0005-0000-0000-0000085E0000}"/>
    <cellStyle name="Note 2 7 4" xfId="31158" xr:uid="{00000000-0005-0000-0000-0000095E0000}"/>
    <cellStyle name="Note 2 8" xfId="16363" xr:uid="{00000000-0005-0000-0000-00000A5E0000}"/>
    <cellStyle name="Note 2 8 2" xfId="16364" xr:uid="{00000000-0005-0000-0000-00000B5E0000}"/>
    <cellStyle name="Note 2 8 3" xfId="31159" xr:uid="{00000000-0005-0000-0000-00000C5E0000}"/>
    <cellStyle name="Note 2 8 4" xfId="31160" xr:uid="{00000000-0005-0000-0000-00000D5E0000}"/>
    <cellStyle name="Note 2 9" xfId="16365" xr:uid="{00000000-0005-0000-0000-00000E5E0000}"/>
    <cellStyle name="Note 2 9 2" xfId="16366" xr:uid="{00000000-0005-0000-0000-00000F5E0000}"/>
    <cellStyle name="Note 2 9 3" xfId="31161" xr:uid="{00000000-0005-0000-0000-0000105E0000}"/>
    <cellStyle name="Note 2 9 4" xfId="31162" xr:uid="{00000000-0005-0000-0000-0000115E0000}"/>
    <cellStyle name="Note 20" xfId="16367" xr:uid="{00000000-0005-0000-0000-0000125E0000}"/>
    <cellStyle name="Note 20 10" xfId="16368" xr:uid="{00000000-0005-0000-0000-0000135E0000}"/>
    <cellStyle name="Note 20 10 2" xfId="16369" xr:uid="{00000000-0005-0000-0000-0000145E0000}"/>
    <cellStyle name="Note 20 10 3" xfId="31163" xr:uid="{00000000-0005-0000-0000-0000155E0000}"/>
    <cellStyle name="Note 20 10 4" xfId="31164" xr:uid="{00000000-0005-0000-0000-0000165E0000}"/>
    <cellStyle name="Note 20 11" xfId="16370" xr:uid="{00000000-0005-0000-0000-0000175E0000}"/>
    <cellStyle name="Note 20 11 2" xfId="16371" xr:uid="{00000000-0005-0000-0000-0000185E0000}"/>
    <cellStyle name="Note 20 11 3" xfId="31165" xr:uid="{00000000-0005-0000-0000-0000195E0000}"/>
    <cellStyle name="Note 20 11 4" xfId="31166" xr:uid="{00000000-0005-0000-0000-00001A5E0000}"/>
    <cellStyle name="Note 20 12" xfId="16372" xr:uid="{00000000-0005-0000-0000-00001B5E0000}"/>
    <cellStyle name="Note 20 13" xfId="31167" xr:uid="{00000000-0005-0000-0000-00001C5E0000}"/>
    <cellStyle name="Note 20 14" xfId="31168" xr:uid="{00000000-0005-0000-0000-00001D5E0000}"/>
    <cellStyle name="Note 20 2" xfId="16373" xr:uid="{00000000-0005-0000-0000-00001E5E0000}"/>
    <cellStyle name="Note 20 2 10" xfId="31169" xr:uid="{00000000-0005-0000-0000-00001F5E0000}"/>
    <cellStyle name="Note 20 2 2" xfId="16374" xr:uid="{00000000-0005-0000-0000-0000205E0000}"/>
    <cellStyle name="Note 20 2 2 2" xfId="16375" xr:uid="{00000000-0005-0000-0000-0000215E0000}"/>
    <cellStyle name="Note 20 2 2 3" xfId="31170" xr:uid="{00000000-0005-0000-0000-0000225E0000}"/>
    <cellStyle name="Note 20 2 2 4" xfId="31171" xr:uid="{00000000-0005-0000-0000-0000235E0000}"/>
    <cellStyle name="Note 20 2 3" xfId="16376" xr:uid="{00000000-0005-0000-0000-0000245E0000}"/>
    <cellStyle name="Note 20 2 3 2" xfId="16377" xr:uid="{00000000-0005-0000-0000-0000255E0000}"/>
    <cellStyle name="Note 20 2 3 3" xfId="31172" xr:uid="{00000000-0005-0000-0000-0000265E0000}"/>
    <cellStyle name="Note 20 2 3 4" xfId="31173" xr:uid="{00000000-0005-0000-0000-0000275E0000}"/>
    <cellStyle name="Note 20 2 4" xfId="16378" xr:uid="{00000000-0005-0000-0000-0000285E0000}"/>
    <cellStyle name="Note 20 2 4 2" xfId="16379" xr:uid="{00000000-0005-0000-0000-0000295E0000}"/>
    <cellStyle name="Note 20 2 4 3" xfId="31174" xr:uid="{00000000-0005-0000-0000-00002A5E0000}"/>
    <cellStyle name="Note 20 2 4 4" xfId="31175" xr:uid="{00000000-0005-0000-0000-00002B5E0000}"/>
    <cellStyle name="Note 20 2 5" xfId="16380" xr:uid="{00000000-0005-0000-0000-00002C5E0000}"/>
    <cellStyle name="Note 20 2 5 2" xfId="16381" xr:uid="{00000000-0005-0000-0000-00002D5E0000}"/>
    <cellStyle name="Note 20 2 5 3" xfId="31176" xr:uid="{00000000-0005-0000-0000-00002E5E0000}"/>
    <cellStyle name="Note 20 2 5 4" xfId="31177" xr:uid="{00000000-0005-0000-0000-00002F5E0000}"/>
    <cellStyle name="Note 20 2 6" xfId="16382" xr:uid="{00000000-0005-0000-0000-0000305E0000}"/>
    <cellStyle name="Note 20 2 6 2" xfId="16383" xr:uid="{00000000-0005-0000-0000-0000315E0000}"/>
    <cellStyle name="Note 20 2 6 3" xfId="31178" xr:uid="{00000000-0005-0000-0000-0000325E0000}"/>
    <cellStyle name="Note 20 2 6 4" xfId="31179" xr:uid="{00000000-0005-0000-0000-0000335E0000}"/>
    <cellStyle name="Note 20 2 7" xfId="16384" xr:uid="{00000000-0005-0000-0000-0000345E0000}"/>
    <cellStyle name="Note 20 2 7 2" xfId="16385" xr:uid="{00000000-0005-0000-0000-0000355E0000}"/>
    <cellStyle name="Note 20 2 7 3" xfId="31180" xr:uid="{00000000-0005-0000-0000-0000365E0000}"/>
    <cellStyle name="Note 20 2 7 4" xfId="31181" xr:uid="{00000000-0005-0000-0000-0000375E0000}"/>
    <cellStyle name="Note 20 2 8" xfId="16386" xr:uid="{00000000-0005-0000-0000-0000385E0000}"/>
    <cellStyle name="Note 20 2 9" xfId="31182" xr:uid="{00000000-0005-0000-0000-0000395E0000}"/>
    <cellStyle name="Note 20 3" xfId="16387" xr:uid="{00000000-0005-0000-0000-00003A5E0000}"/>
    <cellStyle name="Note 20 3 10" xfId="31183" xr:uid="{00000000-0005-0000-0000-00003B5E0000}"/>
    <cellStyle name="Note 20 3 2" xfId="16388" xr:uid="{00000000-0005-0000-0000-00003C5E0000}"/>
    <cellStyle name="Note 20 3 2 2" xfId="16389" xr:uid="{00000000-0005-0000-0000-00003D5E0000}"/>
    <cellStyle name="Note 20 3 2 3" xfId="31184" xr:uid="{00000000-0005-0000-0000-00003E5E0000}"/>
    <cellStyle name="Note 20 3 2 4" xfId="31185" xr:uid="{00000000-0005-0000-0000-00003F5E0000}"/>
    <cellStyle name="Note 20 3 3" xfId="16390" xr:uid="{00000000-0005-0000-0000-0000405E0000}"/>
    <cellStyle name="Note 20 3 3 2" xfId="16391" xr:uid="{00000000-0005-0000-0000-0000415E0000}"/>
    <cellStyle name="Note 20 3 3 3" xfId="31186" xr:uid="{00000000-0005-0000-0000-0000425E0000}"/>
    <cellStyle name="Note 20 3 3 4" xfId="31187" xr:uid="{00000000-0005-0000-0000-0000435E0000}"/>
    <cellStyle name="Note 20 3 4" xfId="16392" xr:uid="{00000000-0005-0000-0000-0000445E0000}"/>
    <cellStyle name="Note 20 3 4 2" xfId="16393" xr:uid="{00000000-0005-0000-0000-0000455E0000}"/>
    <cellStyle name="Note 20 3 4 3" xfId="31188" xr:uid="{00000000-0005-0000-0000-0000465E0000}"/>
    <cellStyle name="Note 20 3 4 4" xfId="31189" xr:uid="{00000000-0005-0000-0000-0000475E0000}"/>
    <cellStyle name="Note 20 3 5" xfId="16394" xr:uid="{00000000-0005-0000-0000-0000485E0000}"/>
    <cellStyle name="Note 20 3 5 2" xfId="16395" xr:uid="{00000000-0005-0000-0000-0000495E0000}"/>
    <cellStyle name="Note 20 3 5 3" xfId="31190" xr:uid="{00000000-0005-0000-0000-00004A5E0000}"/>
    <cellStyle name="Note 20 3 5 4" xfId="31191" xr:uid="{00000000-0005-0000-0000-00004B5E0000}"/>
    <cellStyle name="Note 20 3 6" xfId="16396" xr:uid="{00000000-0005-0000-0000-00004C5E0000}"/>
    <cellStyle name="Note 20 3 6 2" xfId="16397" xr:uid="{00000000-0005-0000-0000-00004D5E0000}"/>
    <cellStyle name="Note 20 3 6 3" xfId="31192" xr:uid="{00000000-0005-0000-0000-00004E5E0000}"/>
    <cellStyle name="Note 20 3 6 4" xfId="31193" xr:uid="{00000000-0005-0000-0000-00004F5E0000}"/>
    <cellStyle name="Note 20 3 7" xfId="16398" xr:uid="{00000000-0005-0000-0000-0000505E0000}"/>
    <cellStyle name="Note 20 3 7 2" xfId="16399" xr:uid="{00000000-0005-0000-0000-0000515E0000}"/>
    <cellStyle name="Note 20 3 7 3" xfId="31194" xr:uid="{00000000-0005-0000-0000-0000525E0000}"/>
    <cellStyle name="Note 20 3 7 4" xfId="31195" xr:uid="{00000000-0005-0000-0000-0000535E0000}"/>
    <cellStyle name="Note 20 3 8" xfId="16400" xr:uid="{00000000-0005-0000-0000-0000545E0000}"/>
    <cellStyle name="Note 20 3 9" xfId="31196" xr:uid="{00000000-0005-0000-0000-0000555E0000}"/>
    <cellStyle name="Note 20 4" xfId="16401" xr:uid="{00000000-0005-0000-0000-0000565E0000}"/>
    <cellStyle name="Note 20 4 10" xfId="31197" xr:uid="{00000000-0005-0000-0000-0000575E0000}"/>
    <cellStyle name="Note 20 4 2" xfId="16402" xr:uid="{00000000-0005-0000-0000-0000585E0000}"/>
    <cellStyle name="Note 20 4 2 2" xfId="16403" xr:uid="{00000000-0005-0000-0000-0000595E0000}"/>
    <cellStyle name="Note 20 4 2 3" xfId="31198" xr:uid="{00000000-0005-0000-0000-00005A5E0000}"/>
    <cellStyle name="Note 20 4 2 4" xfId="31199" xr:uid="{00000000-0005-0000-0000-00005B5E0000}"/>
    <cellStyle name="Note 20 4 3" xfId="16404" xr:uid="{00000000-0005-0000-0000-00005C5E0000}"/>
    <cellStyle name="Note 20 4 3 2" xfId="16405" xr:uid="{00000000-0005-0000-0000-00005D5E0000}"/>
    <cellStyle name="Note 20 4 3 3" xfId="31200" xr:uid="{00000000-0005-0000-0000-00005E5E0000}"/>
    <cellStyle name="Note 20 4 3 4" xfId="31201" xr:uid="{00000000-0005-0000-0000-00005F5E0000}"/>
    <cellStyle name="Note 20 4 4" xfId="16406" xr:uid="{00000000-0005-0000-0000-0000605E0000}"/>
    <cellStyle name="Note 20 4 4 2" xfId="16407" xr:uid="{00000000-0005-0000-0000-0000615E0000}"/>
    <cellStyle name="Note 20 4 4 3" xfId="31202" xr:uid="{00000000-0005-0000-0000-0000625E0000}"/>
    <cellStyle name="Note 20 4 4 4" xfId="31203" xr:uid="{00000000-0005-0000-0000-0000635E0000}"/>
    <cellStyle name="Note 20 4 5" xfId="16408" xr:uid="{00000000-0005-0000-0000-0000645E0000}"/>
    <cellStyle name="Note 20 4 5 2" xfId="16409" xr:uid="{00000000-0005-0000-0000-0000655E0000}"/>
    <cellStyle name="Note 20 4 5 3" xfId="31204" xr:uid="{00000000-0005-0000-0000-0000665E0000}"/>
    <cellStyle name="Note 20 4 5 4" xfId="31205" xr:uid="{00000000-0005-0000-0000-0000675E0000}"/>
    <cellStyle name="Note 20 4 6" xfId="16410" xr:uid="{00000000-0005-0000-0000-0000685E0000}"/>
    <cellStyle name="Note 20 4 6 2" xfId="16411" xr:uid="{00000000-0005-0000-0000-0000695E0000}"/>
    <cellStyle name="Note 20 4 6 3" xfId="31206" xr:uid="{00000000-0005-0000-0000-00006A5E0000}"/>
    <cellStyle name="Note 20 4 6 4" xfId="31207" xr:uid="{00000000-0005-0000-0000-00006B5E0000}"/>
    <cellStyle name="Note 20 4 7" xfId="16412" xr:uid="{00000000-0005-0000-0000-00006C5E0000}"/>
    <cellStyle name="Note 20 4 7 2" xfId="16413" xr:uid="{00000000-0005-0000-0000-00006D5E0000}"/>
    <cellStyle name="Note 20 4 7 3" xfId="31208" xr:uid="{00000000-0005-0000-0000-00006E5E0000}"/>
    <cellStyle name="Note 20 4 7 4" xfId="31209" xr:uid="{00000000-0005-0000-0000-00006F5E0000}"/>
    <cellStyle name="Note 20 4 8" xfId="16414" xr:uid="{00000000-0005-0000-0000-0000705E0000}"/>
    <cellStyle name="Note 20 4 9" xfId="31210" xr:uid="{00000000-0005-0000-0000-0000715E0000}"/>
    <cellStyle name="Note 20 5" xfId="16415" xr:uid="{00000000-0005-0000-0000-0000725E0000}"/>
    <cellStyle name="Note 20 5 10" xfId="31211" xr:uid="{00000000-0005-0000-0000-0000735E0000}"/>
    <cellStyle name="Note 20 5 2" xfId="16416" xr:uid="{00000000-0005-0000-0000-0000745E0000}"/>
    <cellStyle name="Note 20 5 2 2" xfId="16417" xr:uid="{00000000-0005-0000-0000-0000755E0000}"/>
    <cellStyle name="Note 20 5 2 3" xfId="31212" xr:uid="{00000000-0005-0000-0000-0000765E0000}"/>
    <cellStyle name="Note 20 5 2 4" xfId="31213" xr:uid="{00000000-0005-0000-0000-0000775E0000}"/>
    <cellStyle name="Note 20 5 3" xfId="16418" xr:uid="{00000000-0005-0000-0000-0000785E0000}"/>
    <cellStyle name="Note 20 5 3 2" xfId="16419" xr:uid="{00000000-0005-0000-0000-0000795E0000}"/>
    <cellStyle name="Note 20 5 3 3" xfId="31214" xr:uid="{00000000-0005-0000-0000-00007A5E0000}"/>
    <cellStyle name="Note 20 5 3 4" xfId="31215" xr:uid="{00000000-0005-0000-0000-00007B5E0000}"/>
    <cellStyle name="Note 20 5 4" xfId="16420" xr:uid="{00000000-0005-0000-0000-00007C5E0000}"/>
    <cellStyle name="Note 20 5 4 2" xfId="16421" xr:uid="{00000000-0005-0000-0000-00007D5E0000}"/>
    <cellStyle name="Note 20 5 4 3" xfId="31216" xr:uid="{00000000-0005-0000-0000-00007E5E0000}"/>
    <cellStyle name="Note 20 5 4 4" xfId="31217" xr:uid="{00000000-0005-0000-0000-00007F5E0000}"/>
    <cellStyle name="Note 20 5 5" xfId="16422" xr:uid="{00000000-0005-0000-0000-0000805E0000}"/>
    <cellStyle name="Note 20 5 5 2" xfId="16423" xr:uid="{00000000-0005-0000-0000-0000815E0000}"/>
    <cellStyle name="Note 20 5 5 3" xfId="31218" xr:uid="{00000000-0005-0000-0000-0000825E0000}"/>
    <cellStyle name="Note 20 5 5 4" xfId="31219" xr:uid="{00000000-0005-0000-0000-0000835E0000}"/>
    <cellStyle name="Note 20 5 6" xfId="16424" xr:uid="{00000000-0005-0000-0000-0000845E0000}"/>
    <cellStyle name="Note 20 5 6 2" xfId="16425" xr:uid="{00000000-0005-0000-0000-0000855E0000}"/>
    <cellStyle name="Note 20 5 6 3" xfId="31220" xr:uid="{00000000-0005-0000-0000-0000865E0000}"/>
    <cellStyle name="Note 20 5 6 4" xfId="31221" xr:uid="{00000000-0005-0000-0000-0000875E0000}"/>
    <cellStyle name="Note 20 5 7" xfId="16426" xr:uid="{00000000-0005-0000-0000-0000885E0000}"/>
    <cellStyle name="Note 20 5 7 2" xfId="16427" xr:uid="{00000000-0005-0000-0000-0000895E0000}"/>
    <cellStyle name="Note 20 5 7 3" xfId="31222" xr:uid="{00000000-0005-0000-0000-00008A5E0000}"/>
    <cellStyle name="Note 20 5 7 4" xfId="31223" xr:uid="{00000000-0005-0000-0000-00008B5E0000}"/>
    <cellStyle name="Note 20 5 8" xfId="16428" xr:uid="{00000000-0005-0000-0000-00008C5E0000}"/>
    <cellStyle name="Note 20 5 9" xfId="31224" xr:uid="{00000000-0005-0000-0000-00008D5E0000}"/>
    <cellStyle name="Note 20 6" xfId="16429" xr:uid="{00000000-0005-0000-0000-00008E5E0000}"/>
    <cellStyle name="Note 20 6 2" xfId="16430" xr:uid="{00000000-0005-0000-0000-00008F5E0000}"/>
    <cellStyle name="Note 20 6 3" xfId="31225" xr:uid="{00000000-0005-0000-0000-0000905E0000}"/>
    <cellStyle name="Note 20 6 4" xfId="31226" xr:uid="{00000000-0005-0000-0000-0000915E0000}"/>
    <cellStyle name="Note 20 7" xfId="16431" xr:uid="{00000000-0005-0000-0000-0000925E0000}"/>
    <cellStyle name="Note 20 7 2" xfId="16432" xr:uid="{00000000-0005-0000-0000-0000935E0000}"/>
    <cellStyle name="Note 20 7 3" xfId="31227" xr:uid="{00000000-0005-0000-0000-0000945E0000}"/>
    <cellStyle name="Note 20 7 4" xfId="31228" xr:uid="{00000000-0005-0000-0000-0000955E0000}"/>
    <cellStyle name="Note 20 8" xfId="16433" xr:uid="{00000000-0005-0000-0000-0000965E0000}"/>
    <cellStyle name="Note 20 8 2" xfId="16434" xr:uid="{00000000-0005-0000-0000-0000975E0000}"/>
    <cellStyle name="Note 20 8 3" xfId="31229" xr:uid="{00000000-0005-0000-0000-0000985E0000}"/>
    <cellStyle name="Note 20 8 4" xfId="31230" xr:uid="{00000000-0005-0000-0000-0000995E0000}"/>
    <cellStyle name="Note 20 9" xfId="16435" xr:uid="{00000000-0005-0000-0000-00009A5E0000}"/>
    <cellStyle name="Note 20 9 2" xfId="16436" xr:uid="{00000000-0005-0000-0000-00009B5E0000}"/>
    <cellStyle name="Note 20 9 3" xfId="31231" xr:uid="{00000000-0005-0000-0000-00009C5E0000}"/>
    <cellStyle name="Note 20 9 4" xfId="31232" xr:uid="{00000000-0005-0000-0000-00009D5E0000}"/>
    <cellStyle name="Note 21" xfId="16437" xr:uid="{00000000-0005-0000-0000-00009E5E0000}"/>
    <cellStyle name="Note 21 10" xfId="16438" xr:uid="{00000000-0005-0000-0000-00009F5E0000}"/>
    <cellStyle name="Note 21 10 2" xfId="16439" xr:uid="{00000000-0005-0000-0000-0000A05E0000}"/>
    <cellStyle name="Note 21 10 3" xfId="31233" xr:uid="{00000000-0005-0000-0000-0000A15E0000}"/>
    <cellStyle name="Note 21 10 4" xfId="31234" xr:uid="{00000000-0005-0000-0000-0000A25E0000}"/>
    <cellStyle name="Note 21 11" xfId="16440" xr:uid="{00000000-0005-0000-0000-0000A35E0000}"/>
    <cellStyle name="Note 21 11 2" xfId="16441" xr:uid="{00000000-0005-0000-0000-0000A45E0000}"/>
    <cellStyle name="Note 21 11 3" xfId="31235" xr:uid="{00000000-0005-0000-0000-0000A55E0000}"/>
    <cellStyle name="Note 21 11 4" xfId="31236" xr:uid="{00000000-0005-0000-0000-0000A65E0000}"/>
    <cellStyle name="Note 21 12" xfId="16442" xr:uid="{00000000-0005-0000-0000-0000A75E0000}"/>
    <cellStyle name="Note 21 13" xfId="31237" xr:uid="{00000000-0005-0000-0000-0000A85E0000}"/>
    <cellStyle name="Note 21 14" xfId="31238" xr:uid="{00000000-0005-0000-0000-0000A95E0000}"/>
    <cellStyle name="Note 21 2" xfId="16443" xr:uid="{00000000-0005-0000-0000-0000AA5E0000}"/>
    <cellStyle name="Note 21 2 10" xfId="31239" xr:uid="{00000000-0005-0000-0000-0000AB5E0000}"/>
    <cellStyle name="Note 21 2 2" xfId="16444" xr:uid="{00000000-0005-0000-0000-0000AC5E0000}"/>
    <cellStyle name="Note 21 2 2 2" xfId="16445" xr:uid="{00000000-0005-0000-0000-0000AD5E0000}"/>
    <cellStyle name="Note 21 2 2 3" xfId="31240" xr:uid="{00000000-0005-0000-0000-0000AE5E0000}"/>
    <cellStyle name="Note 21 2 2 4" xfId="31241" xr:uid="{00000000-0005-0000-0000-0000AF5E0000}"/>
    <cellStyle name="Note 21 2 3" xfId="16446" xr:uid="{00000000-0005-0000-0000-0000B05E0000}"/>
    <cellStyle name="Note 21 2 3 2" xfId="16447" xr:uid="{00000000-0005-0000-0000-0000B15E0000}"/>
    <cellStyle name="Note 21 2 3 3" xfId="31242" xr:uid="{00000000-0005-0000-0000-0000B25E0000}"/>
    <cellStyle name="Note 21 2 3 4" xfId="31243" xr:uid="{00000000-0005-0000-0000-0000B35E0000}"/>
    <cellStyle name="Note 21 2 4" xfId="16448" xr:uid="{00000000-0005-0000-0000-0000B45E0000}"/>
    <cellStyle name="Note 21 2 4 2" xfId="16449" xr:uid="{00000000-0005-0000-0000-0000B55E0000}"/>
    <cellStyle name="Note 21 2 4 3" xfId="31244" xr:uid="{00000000-0005-0000-0000-0000B65E0000}"/>
    <cellStyle name="Note 21 2 4 4" xfId="31245" xr:uid="{00000000-0005-0000-0000-0000B75E0000}"/>
    <cellStyle name="Note 21 2 5" xfId="16450" xr:uid="{00000000-0005-0000-0000-0000B85E0000}"/>
    <cellStyle name="Note 21 2 5 2" xfId="16451" xr:uid="{00000000-0005-0000-0000-0000B95E0000}"/>
    <cellStyle name="Note 21 2 5 3" xfId="31246" xr:uid="{00000000-0005-0000-0000-0000BA5E0000}"/>
    <cellStyle name="Note 21 2 5 4" xfId="31247" xr:uid="{00000000-0005-0000-0000-0000BB5E0000}"/>
    <cellStyle name="Note 21 2 6" xfId="16452" xr:uid="{00000000-0005-0000-0000-0000BC5E0000}"/>
    <cellStyle name="Note 21 2 6 2" xfId="16453" xr:uid="{00000000-0005-0000-0000-0000BD5E0000}"/>
    <cellStyle name="Note 21 2 6 3" xfId="31248" xr:uid="{00000000-0005-0000-0000-0000BE5E0000}"/>
    <cellStyle name="Note 21 2 6 4" xfId="31249" xr:uid="{00000000-0005-0000-0000-0000BF5E0000}"/>
    <cellStyle name="Note 21 2 7" xfId="16454" xr:uid="{00000000-0005-0000-0000-0000C05E0000}"/>
    <cellStyle name="Note 21 2 7 2" xfId="16455" xr:uid="{00000000-0005-0000-0000-0000C15E0000}"/>
    <cellStyle name="Note 21 2 7 3" xfId="31250" xr:uid="{00000000-0005-0000-0000-0000C25E0000}"/>
    <cellStyle name="Note 21 2 7 4" xfId="31251" xr:uid="{00000000-0005-0000-0000-0000C35E0000}"/>
    <cellStyle name="Note 21 2 8" xfId="16456" xr:uid="{00000000-0005-0000-0000-0000C45E0000}"/>
    <cellStyle name="Note 21 2 9" xfId="31252" xr:uid="{00000000-0005-0000-0000-0000C55E0000}"/>
    <cellStyle name="Note 21 3" xfId="16457" xr:uid="{00000000-0005-0000-0000-0000C65E0000}"/>
    <cellStyle name="Note 21 3 10" xfId="31253" xr:uid="{00000000-0005-0000-0000-0000C75E0000}"/>
    <cellStyle name="Note 21 3 2" xfId="16458" xr:uid="{00000000-0005-0000-0000-0000C85E0000}"/>
    <cellStyle name="Note 21 3 2 2" xfId="16459" xr:uid="{00000000-0005-0000-0000-0000C95E0000}"/>
    <cellStyle name="Note 21 3 2 3" xfId="31254" xr:uid="{00000000-0005-0000-0000-0000CA5E0000}"/>
    <cellStyle name="Note 21 3 2 4" xfId="31255" xr:uid="{00000000-0005-0000-0000-0000CB5E0000}"/>
    <cellStyle name="Note 21 3 3" xfId="16460" xr:uid="{00000000-0005-0000-0000-0000CC5E0000}"/>
    <cellStyle name="Note 21 3 3 2" xfId="16461" xr:uid="{00000000-0005-0000-0000-0000CD5E0000}"/>
    <cellStyle name="Note 21 3 3 3" xfId="31256" xr:uid="{00000000-0005-0000-0000-0000CE5E0000}"/>
    <cellStyle name="Note 21 3 3 4" xfId="31257" xr:uid="{00000000-0005-0000-0000-0000CF5E0000}"/>
    <cellStyle name="Note 21 3 4" xfId="16462" xr:uid="{00000000-0005-0000-0000-0000D05E0000}"/>
    <cellStyle name="Note 21 3 4 2" xfId="16463" xr:uid="{00000000-0005-0000-0000-0000D15E0000}"/>
    <cellStyle name="Note 21 3 4 3" xfId="31258" xr:uid="{00000000-0005-0000-0000-0000D25E0000}"/>
    <cellStyle name="Note 21 3 4 4" xfId="31259" xr:uid="{00000000-0005-0000-0000-0000D35E0000}"/>
    <cellStyle name="Note 21 3 5" xfId="16464" xr:uid="{00000000-0005-0000-0000-0000D45E0000}"/>
    <cellStyle name="Note 21 3 5 2" xfId="16465" xr:uid="{00000000-0005-0000-0000-0000D55E0000}"/>
    <cellStyle name="Note 21 3 5 3" xfId="31260" xr:uid="{00000000-0005-0000-0000-0000D65E0000}"/>
    <cellStyle name="Note 21 3 5 4" xfId="31261" xr:uid="{00000000-0005-0000-0000-0000D75E0000}"/>
    <cellStyle name="Note 21 3 6" xfId="16466" xr:uid="{00000000-0005-0000-0000-0000D85E0000}"/>
    <cellStyle name="Note 21 3 6 2" xfId="16467" xr:uid="{00000000-0005-0000-0000-0000D95E0000}"/>
    <cellStyle name="Note 21 3 6 3" xfId="31262" xr:uid="{00000000-0005-0000-0000-0000DA5E0000}"/>
    <cellStyle name="Note 21 3 6 4" xfId="31263" xr:uid="{00000000-0005-0000-0000-0000DB5E0000}"/>
    <cellStyle name="Note 21 3 7" xfId="16468" xr:uid="{00000000-0005-0000-0000-0000DC5E0000}"/>
    <cellStyle name="Note 21 3 7 2" xfId="16469" xr:uid="{00000000-0005-0000-0000-0000DD5E0000}"/>
    <cellStyle name="Note 21 3 7 3" xfId="31264" xr:uid="{00000000-0005-0000-0000-0000DE5E0000}"/>
    <cellStyle name="Note 21 3 7 4" xfId="31265" xr:uid="{00000000-0005-0000-0000-0000DF5E0000}"/>
    <cellStyle name="Note 21 3 8" xfId="16470" xr:uid="{00000000-0005-0000-0000-0000E05E0000}"/>
    <cellStyle name="Note 21 3 9" xfId="31266" xr:uid="{00000000-0005-0000-0000-0000E15E0000}"/>
    <cellStyle name="Note 21 4" xfId="16471" xr:uid="{00000000-0005-0000-0000-0000E25E0000}"/>
    <cellStyle name="Note 21 4 10" xfId="31267" xr:uid="{00000000-0005-0000-0000-0000E35E0000}"/>
    <cellStyle name="Note 21 4 2" xfId="16472" xr:uid="{00000000-0005-0000-0000-0000E45E0000}"/>
    <cellStyle name="Note 21 4 2 2" xfId="16473" xr:uid="{00000000-0005-0000-0000-0000E55E0000}"/>
    <cellStyle name="Note 21 4 2 3" xfId="31268" xr:uid="{00000000-0005-0000-0000-0000E65E0000}"/>
    <cellStyle name="Note 21 4 2 4" xfId="31269" xr:uid="{00000000-0005-0000-0000-0000E75E0000}"/>
    <cellStyle name="Note 21 4 3" xfId="16474" xr:uid="{00000000-0005-0000-0000-0000E85E0000}"/>
    <cellStyle name="Note 21 4 3 2" xfId="16475" xr:uid="{00000000-0005-0000-0000-0000E95E0000}"/>
    <cellStyle name="Note 21 4 3 3" xfId="31270" xr:uid="{00000000-0005-0000-0000-0000EA5E0000}"/>
    <cellStyle name="Note 21 4 3 4" xfId="31271" xr:uid="{00000000-0005-0000-0000-0000EB5E0000}"/>
    <cellStyle name="Note 21 4 4" xfId="16476" xr:uid="{00000000-0005-0000-0000-0000EC5E0000}"/>
    <cellStyle name="Note 21 4 4 2" xfId="16477" xr:uid="{00000000-0005-0000-0000-0000ED5E0000}"/>
    <cellStyle name="Note 21 4 4 3" xfId="31272" xr:uid="{00000000-0005-0000-0000-0000EE5E0000}"/>
    <cellStyle name="Note 21 4 4 4" xfId="31273" xr:uid="{00000000-0005-0000-0000-0000EF5E0000}"/>
    <cellStyle name="Note 21 4 5" xfId="16478" xr:uid="{00000000-0005-0000-0000-0000F05E0000}"/>
    <cellStyle name="Note 21 4 5 2" xfId="16479" xr:uid="{00000000-0005-0000-0000-0000F15E0000}"/>
    <cellStyle name="Note 21 4 5 3" xfId="31274" xr:uid="{00000000-0005-0000-0000-0000F25E0000}"/>
    <cellStyle name="Note 21 4 5 4" xfId="31275" xr:uid="{00000000-0005-0000-0000-0000F35E0000}"/>
    <cellStyle name="Note 21 4 6" xfId="16480" xr:uid="{00000000-0005-0000-0000-0000F45E0000}"/>
    <cellStyle name="Note 21 4 6 2" xfId="16481" xr:uid="{00000000-0005-0000-0000-0000F55E0000}"/>
    <cellStyle name="Note 21 4 6 3" xfId="31276" xr:uid="{00000000-0005-0000-0000-0000F65E0000}"/>
    <cellStyle name="Note 21 4 6 4" xfId="31277" xr:uid="{00000000-0005-0000-0000-0000F75E0000}"/>
    <cellStyle name="Note 21 4 7" xfId="16482" xr:uid="{00000000-0005-0000-0000-0000F85E0000}"/>
    <cellStyle name="Note 21 4 7 2" xfId="16483" xr:uid="{00000000-0005-0000-0000-0000F95E0000}"/>
    <cellStyle name="Note 21 4 7 3" xfId="31278" xr:uid="{00000000-0005-0000-0000-0000FA5E0000}"/>
    <cellStyle name="Note 21 4 7 4" xfId="31279" xr:uid="{00000000-0005-0000-0000-0000FB5E0000}"/>
    <cellStyle name="Note 21 4 8" xfId="16484" xr:uid="{00000000-0005-0000-0000-0000FC5E0000}"/>
    <cellStyle name="Note 21 4 9" xfId="31280" xr:uid="{00000000-0005-0000-0000-0000FD5E0000}"/>
    <cellStyle name="Note 21 5" xfId="16485" xr:uid="{00000000-0005-0000-0000-0000FE5E0000}"/>
    <cellStyle name="Note 21 5 10" xfId="31281" xr:uid="{00000000-0005-0000-0000-0000FF5E0000}"/>
    <cellStyle name="Note 21 5 2" xfId="16486" xr:uid="{00000000-0005-0000-0000-0000005F0000}"/>
    <cellStyle name="Note 21 5 2 2" xfId="16487" xr:uid="{00000000-0005-0000-0000-0000015F0000}"/>
    <cellStyle name="Note 21 5 2 3" xfId="31282" xr:uid="{00000000-0005-0000-0000-0000025F0000}"/>
    <cellStyle name="Note 21 5 2 4" xfId="31283" xr:uid="{00000000-0005-0000-0000-0000035F0000}"/>
    <cellStyle name="Note 21 5 3" xfId="16488" xr:uid="{00000000-0005-0000-0000-0000045F0000}"/>
    <cellStyle name="Note 21 5 3 2" xfId="16489" xr:uid="{00000000-0005-0000-0000-0000055F0000}"/>
    <cellStyle name="Note 21 5 3 3" xfId="31284" xr:uid="{00000000-0005-0000-0000-0000065F0000}"/>
    <cellStyle name="Note 21 5 3 4" xfId="31285" xr:uid="{00000000-0005-0000-0000-0000075F0000}"/>
    <cellStyle name="Note 21 5 4" xfId="16490" xr:uid="{00000000-0005-0000-0000-0000085F0000}"/>
    <cellStyle name="Note 21 5 4 2" xfId="16491" xr:uid="{00000000-0005-0000-0000-0000095F0000}"/>
    <cellStyle name="Note 21 5 4 3" xfId="31286" xr:uid="{00000000-0005-0000-0000-00000A5F0000}"/>
    <cellStyle name="Note 21 5 4 4" xfId="31287" xr:uid="{00000000-0005-0000-0000-00000B5F0000}"/>
    <cellStyle name="Note 21 5 5" xfId="16492" xr:uid="{00000000-0005-0000-0000-00000C5F0000}"/>
    <cellStyle name="Note 21 5 5 2" xfId="16493" xr:uid="{00000000-0005-0000-0000-00000D5F0000}"/>
    <cellStyle name="Note 21 5 5 3" xfId="31288" xr:uid="{00000000-0005-0000-0000-00000E5F0000}"/>
    <cellStyle name="Note 21 5 5 4" xfId="31289" xr:uid="{00000000-0005-0000-0000-00000F5F0000}"/>
    <cellStyle name="Note 21 5 6" xfId="16494" xr:uid="{00000000-0005-0000-0000-0000105F0000}"/>
    <cellStyle name="Note 21 5 6 2" xfId="16495" xr:uid="{00000000-0005-0000-0000-0000115F0000}"/>
    <cellStyle name="Note 21 5 6 3" xfId="31290" xr:uid="{00000000-0005-0000-0000-0000125F0000}"/>
    <cellStyle name="Note 21 5 6 4" xfId="31291" xr:uid="{00000000-0005-0000-0000-0000135F0000}"/>
    <cellStyle name="Note 21 5 7" xfId="16496" xr:uid="{00000000-0005-0000-0000-0000145F0000}"/>
    <cellStyle name="Note 21 5 7 2" xfId="16497" xr:uid="{00000000-0005-0000-0000-0000155F0000}"/>
    <cellStyle name="Note 21 5 7 3" xfId="31292" xr:uid="{00000000-0005-0000-0000-0000165F0000}"/>
    <cellStyle name="Note 21 5 7 4" xfId="31293" xr:uid="{00000000-0005-0000-0000-0000175F0000}"/>
    <cellStyle name="Note 21 5 8" xfId="16498" xr:uid="{00000000-0005-0000-0000-0000185F0000}"/>
    <cellStyle name="Note 21 5 9" xfId="31294" xr:uid="{00000000-0005-0000-0000-0000195F0000}"/>
    <cellStyle name="Note 21 6" xfId="16499" xr:uid="{00000000-0005-0000-0000-00001A5F0000}"/>
    <cellStyle name="Note 21 6 2" xfId="16500" xr:uid="{00000000-0005-0000-0000-00001B5F0000}"/>
    <cellStyle name="Note 21 6 3" xfId="31295" xr:uid="{00000000-0005-0000-0000-00001C5F0000}"/>
    <cellStyle name="Note 21 6 4" xfId="31296" xr:uid="{00000000-0005-0000-0000-00001D5F0000}"/>
    <cellStyle name="Note 21 7" xfId="16501" xr:uid="{00000000-0005-0000-0000-00001E5F0000}"/>
    <cellStyle name="Note 21 7 2" xfId="16502" xr:uid="{00000000-0005-0000-0000-00001F5F0000}"/>
    <cellStyle name="Note 21 7 3" xfId="31297" xr:uid="{00000000-0005-0000-0000-0000205F0000}"/>
    <cellStyle name="Note 21 7 4" xfId="31298" xr:uid="{00000000-0005-0000-0000-0000215F0000}"/>
    <cellStyle name="Note 21 8" xfId="16503" xr:uid="{00000000-0005-0000-0000-0000225F0000}"/>
    <cellStyle name="Note 21 8 2" xfId="16504" xr:uid="{00000000-0005-0000-0000-0000235F0000}"/>
    <cellStyle name="Note 21 8 3" xfId="31299" xr:uid="{00000000-0005-0000-0000-0000245F0000}"/>
    <cellStyle name="Note 21 8 4" xfId="31300" xr:uid="{00000000-0005-0000-0000-0000255F0000}"/>
    <cellStyle name="Note 21 9" xfId="16505" xr:uid="{00000000-0005-0000-0000-0000265F0000}"/>
    <cellStyle name="Note 21 9 2" xfId="16506" xr:uid="{00000000-0005-0000-0000-0000275F0000}"/>
    <cellStyle name="Note 21 9 3" xfId="31301" xr:uid="{00000000-0005-0000-0000-0000285F0000}"/>
    <cellStyle name="Note 21 9 4" xfId="31302" xr:uid="{00000000-0005-0000-0000-0000295F0000}"/>
    <cellStyle name="Note 22" xfId="16507" xr:uid="{00000000-0005-0000-0000-00002A5F0000}"/>
    <cellStyle name="Note 22 10" xfId="16508" xr:uid="{00000000-0005-0000-0000-00002B5F0000}"/>
    <cellStyle name="Note 22 10 2" xfId="16509" xr:uid="{00000000-0005-0000-0000-00002C5F0000}"/>
    <cellStyle name="Note 22 10 3" xfId="31303" xr:uid="{00000000-0005-0000-0000-00002D5F0000}"/>
    <cellStyle name="Note 22 10 4" xfId="31304" xr:uid="{00000000-0005-0000-0000-00002E5F0000}"/>
    <cellStyle name="Note 22 11" xfId="16510" xr:uid="{00000000-0005-0000-0000-00002F5F0000}"/>
    <cellStyle name="Note 22 11 2" xfId="16511" xr:uid="{00000000-0005-0000-0000-0000305F0000}"/>
    <cellStyle name="Note 22 11 3" xfId="31305" xr:uid="{00000000-0005-0000-0000-0000315F0000}"/>
    <cellStyle name="Note 22 11 4" xfId="31306" xr:uid="{00000000-0005-0000-0000-0000325F0000}"/>
    <cellStyle name="Note 22 12" xfId="16512" xr:uid="{00000000-0005-0000-0000-0000335F0000}"/>
    <cellStyle name="Note 22 13" xfId="31307" xr:uid="{00000000-0005-0000-0000-0000345F0000}"/>
    <cellStyle name="Note 22 14" xfId="31308" xr:uid="{00000000-0005-0000-0000-0000355F0000}"/>
    <cellStyle name="Note 22 2" xfId="16513" xr:uid="{00000000-0005-0000-0000-0000365F0000}"/>
    <cellStyle name="Note 22 2 10" xfId="31309" xr:uid="{00000000-0005-0000-0000-0000375F0000}"/>
    <cellStyle name="Note 22 2 2" xfId="16514" xr:uid="{00000000-0005-0000-0000-0000385F0000}"/>
    <cellStyle name="Note 22 2 2 2" xfId="16515" xr:uid="{00000000-0005-0000-0000-0000395F0000}"/>
    <cellStyle name="Note 22 2 2 3" xfId="31310" xr:uid="{00000000-0005-0000-0000-00003A5F0000}"/>
    <cellStyle name="Note 22 2 2 4" xfId="31311" xr:uid="{00000000-0005-0000-0000-00003B5F0000}"/>
    <cellStyle name="Note 22 2 3" xfId="16516" xr:uid="{00000000-0005-0000-0000-00003C5F0000}"/>
    <cellStyle name="Note 22 2 3 2" xfId="16517" xr:uid="{00000000-0005-0000-0000-00003D5F0000}"/>
    <cellStyle name="Note 22 2 3 3" xfId="31312" xr:uid="{00000000-0005-0000-0000-00003E5F0000}"/>
    <cellStyle name="Note 22 2 3 4" xfId="31313" xr:uid="{00000000-0005-0000-0000-00003F5F0000}"/>
    <cellStyle name="Note 22 2 4" xfId="16518" xr:uid="{00000000-0005-0000-0000-0000405F0000}"/>
    <cellStyle name="Note 22 2 4 2" xfId="16519" xr:uid="{00000000-0005-0000-0000-0000415F0000}"/>
    <cellStyle name="Note 22 2 4 3" xfId="31314" xr:uid="{00000000-0005-0000-0000-0000425F0000}"/>
    <cellStyle name="Note 22 2 4 4" xfId="31315" xr:uid="{00000000-0005-0000-0000-0000435F0000}"/>
    <cellStyle name="Note 22 2 5" xfId="16520" xr:uid="{00000000-0005-0000-0000-0000445F0000}"/>
    <cellStyle name="Note 22 2 5 2" xfId="16521" xr:uid="{00000000-0005-0000-0000-0000455F0000}"/>
    <cellStyle name="Note 22 2 5 3" xfId="31316" xr:uid="{00000000-0005-0000-0000-0000465F0000}"/>
    <cellStyle name="Note 22 2 5 4" xfId="31317" xr:uid="{00000000-0005-0000-0000-0000475F0000}"/>
    <cellStyle name="Note 22 2 6" xfId="16522" xr:uid="{00000000-0005-0000-0000-0000485F0000}"/>
    <cellStyle name="Note 22 2 6 2" xfId="16523" xr:uid="{00000000-0005-0000-0000-0000495F0000}"/>
    <cellStyle name="Note 22 2 6 3" xfId="31318" xr:uid="{00000000-0005-0000-0000-00004A5F0000}"/>
    <cellStyle name="Note 22 2 6 4" xfId="31319" xr:uid="{00000000-0005-0000-0000-00004B5F0000}"/>
    <cellStyle name="Note 22 2 7" xfId="16524" xr:uid="{00000000-0005-0000-0000-00004C5F0000}"/>
    <cellStyle name="Note 22 2 7 2" xfId="16525" xr:uid="{00000000-0005-0000-0000-00004D5F0000}"/>
    <cellStyle name="Note 22 2 7 3" xfId="31320" xr:uid="{00000000-0005-0000-0000-00004E5F0000}"/>
    <cellStyle name="Note 22 2 7 4" xfId="31321" xr:uid="{00000000-0005-0000-0000-00004F5F0000}"/>
    <cellStyle name="Note 22 2 8" xfId="16526" xr:uid="{00000000-0005-0000-0000-0000505F0000}"/>
    <cellStyle name="Note 22 2 9" xfId="31322" xr:uid="{00000000-0005-0000-0000-0000515F0000}"/>
    <cellStyle name="Note 22 3" xfId="16527" xr:uid="{00000000-0005-0000-0000-0000525F0000}"/>
    <cellStyle name="Note 22 3 10" xfId="31323" xr:uid="{00000000-0005-0000-0000-0000535F0000}"/>
    <cellStyle name="Note 22 3 2" xfId="16528" xr:uid="{00000000-0005-0000-0000-0000545F0000}"/>
    <cellStyle name="Note 22 3 2 2" xfId="16529" xr:uid="{00000000-0005-0000-0000-0000555F0000}"/>
    <cellStyle name="Note 22 3 2 3" xfId="31324" xr:uid="{00000000-0005-0000-0000-0000565F0000}"/>
    <cellStyle name="Note 22 3 2 4" xfId="31325" xr:uid="{00000000-0005-0000-0000-0000575F0000}"/>
    <cellStyle name="Note 22 3 3" xfId="16530" xr:uid="{00000000-0005-0000-0000-0000585F0000}"/>
    <cellStyle name="Note 22 3 3 2" xfId="16531" xr:uid="{00000000-0005-0000-0000-0000595F0000}"/>
    <cellStyle name="Note 22 3 3 3" xfId="31326" xr:uid="{00000000-0005-0000-0000-00005A5F0000}"/>
    <cellStyle name="Note 22 3 3 4" xfId="31327" xr:uid="{00000000-0005-0000-0000-00005B5F0000}"/>
    <cellStyle name="Note 22 3 4" xfId="16532" xr:uid="{00000000-0005-0000-0000-00005C5F0000}"/>
    <cellStyle name="Note 22 3 4 2" xfId="16533" xr:uid="{00000000-0005-0000-0000-00005D5F0000}"/>
    <cellStyle name="Note 22 3 4 3" xfId="31328" xr:uid="{00000000-0005-0000-0000-00005E5F0000}"/>
    <cellStyle name="Note 22 3 4 4" xfId="31329" xr:uid="{00000000-0005-0000-0000-00005F5F0000}"/>
    <cellStyle name="Note 22 3 5" xfId="16534" xr:uid="{00000000-0005-0000-0000-0000605F0000}"/>
    <cellStyle name="Note 22 3 5 2" xfId="16535" xr:uid="{00000000-0005-0000-0000-0000615F0000}"/>
    <cellStyle name="Note 22 3 5 3" xfId="31330" xr:uid="{00000000-0005-0000-0000-0000625F0000}"/>
    <cellStyle name="Note 22 3 5 4" xfId="31331" xr:uid="{00000000-0005-0000-0000-0000635F0000}"/>
    <cellStyle name="Note 22 3 6" xfId="16536" xr:uid="{00000000-0005-0000-0000-0000645F0000}"/>
    <cellStyle name="Note 22 3 6 2" xfId="16537" xr:uid="{00000000-0005-0000-0000-0000655F0000}"/>
    <cellStyle name="Note 22 3 6 3" xfId="31332" xr:uid="{00000000-0005-0000-0000-0000665F0000}"/>
    <cellStyle name="Note 22 3 6 4" xfId="31333" xr:uid="{00000000-0005-0000-0000-0000675F0000}"/>
    <cellStyle name="Note 22 3 7" xfId="16538" xr:uid="{00000000-0005-0000-0000-0000685F0000}"/>
    <cellStyle name="Note 22 3 7 2" xfId="16539" xr:uid="{00000000-0005-0000-0000-0000695F0000}"/>
    <cellStyle name="Note 22 3 7 3" xfId="31334" xr:uid="{00000000-0005-0000-0000-00006A5F0000}"/>
    <cellStyle name="Note 22 3 7 4" xfId="31335" xr:uid="{00000000-0005-0000-0000-00006B5F0000}"/>
    <cellStyle name="Note 22 3 8" xfId="16540" xr:uid="{00000000-0005-0000-0000-00006C5F0000}"/>
    <cellStyle name="Note 22 3 9" xfId="31336" xr:uid="{00000000-0005-0000-0000-00006D5F0000}"/>
    <cellStyle name="Note 22 4" xfId="16541" xr:uid="{00000000-0005-0000-0000-00006E5F0000}"/>
    <cellStyle name="Note 22 4 10" xfId="31337" xr:uid="{00000000-0005-0000-0000-00006F5F0000}"/>
    <cellStyle name="Note 22 4 2" xfId="16542" xr:uid="{00000000-0005-0000-0000-0000705F0000}"/>
    <cellStyle name="Note 22 4 2 2" xfId="16543" xr:uid="{00000000-0005-0000-0000-0000715F0000}"/>
    <cellStyle name="Note 22 4 2 3" xfId="31338" xr:uid="{00000000-0005-0000-0000-0000725F0000}"/>
    <cellStyle name="Note 22 4 2 4" xfId="31339" xr:uid="{00000000-0005-0000-0000-0000735F0000}"/>
    <cellStyle name="Note 22 4 3" xfId="16544" xr:uid="{00000000-0005-0000-0000-0000745F0000}"/>
    <cellStyle name="Note 22 4 3 2" xfId="16545" xr:uid="{00000000-0005-0000-0000-0000755F0000}"/>
    <cellStyle name="Note 22 4 3 3" xfId="31340" xr:uid="{00000000-0005-0000-0000-0000765F0000}"/>
    <cellStyle name="Note 22 4 3 4" xfId="31341" xr:uid="{00000000-0005-0000-0000-0000775F0000}"/>
    <cellStyle name="Note 22 4 4" xfId="16546" xr:uid="{00000000-0005-0000-0000-0000785F0000}"/>
    <cellStyle name="Note 22 4 4 2" xfId="16547" xr:uid="{00000000-0005-0000-0000-0000795F0000}"/>
    <cellStyle name="Note 22 4 4 3" xfId="31342" xr:uid="{00000000-0005-0000-0000-00007A5F0000}"/>
    <cellStyle name="Note 22 4 4 4" xfId="31343" xr:uid="{00000000-0005-0000-0000-00007B5F0000}"/>
    <cellStyle name="Note 22 4 5" xfId="16548" xr:uid="{00000000-0005-0000-0000-00007C5F0000}"/>
    <cellStyle name="Note 22 4 5 2" xfId="16549" xr:uid="{00000000-0005-0000-0000-00007D5F0000}"/>
    <cellStyle name="Note 22 4 5 3" xfId="31344" xr:uid="{00000000-0005-0000-0000-00007E5F0000}"/>
    <cellStyle name="Note 22 4 5 4" xfId="31345" xr:uid="{00000000-0005-0000-0000-00007F5F0000}"/>
    <cellStyle name="Note 22 4 6" xfId="16550" xr:uid="{00000000-0005-0000-0000-0000805F0000}"/>
    <cellStyle name="Note 22 4 6 2" xfId="16551" xr:uid="{00000000-0005-0000-0000-0000815F0000}"/>
    <cellStyle name="Note 22 4 6 3" xfId="31346" xr:uid="{00000000-0005-0000-0000-0000825F0000}"/>
    <cellStyle name="Note 22 4 6 4" xfId="31347" xr:uid="{00000000-0005-0000-0000-0000835F0000}"/>
    <cellStyle name="Note 22 4 7" xfId="16552" xr:uid="{00000000-0005-0000-0000-0000845F0000}"/>
    <cellStyle name="Note 22 4 7 2" xfId="16553" xr:uid="{00000000-0005-0000-0000-0000855F0000}"/>
    <cellStyle name="Note 22 4 7 3" xfId="31348" xr:uid="{00000000-0005-0000-0000-0000865F0000}"/>
    <cellStyle name="Note 22 4 7 4" xfId="31349" xr:uid="{00000000-0005-0000-0000-0000875F0000}"/>
    <cellStyle name="Note 22 4 8" xfId="16554" xr:uid="{00000000-0005-0000-0000-0000885F0000}"/>
    <cellStyle name="Note 22 4 9" xfId="31350" xr:uid="{00000000-0005-0000-0000-0000895F0000}"/>
    <cellStyle name="Note 22 5" xfId="16555" xr:uid="{00000000-0005-0000-0000-00008A5F0000}"/>
    <cellStyle name="Note 22 5 10" xfId="31351" xr:uid="{00000000-0005-0000-0000-00008B5F0000}"/>
    <cellStyle name="Note 22 5 2" xfId="16556" xr:uid="{00000000-0005-0000-0000-00008C5F0000}"/>
    <cellStyle name="Note 22 5 2 2" xfId="16557" xr:uid="{00000000-0005-0000-0000-00008D5F0000}"/>
    <cellStyle name="Note 22 5 2 3" xfId="31352" xr:uid="{00000000-0005-0000-0000-00008E5F0000}"/>
    <cellStyle name="Note 22 5 2 4" xfId="31353" xr:uid="{00000000-0005-0000-0000-00008F5F0000}"/>
    <cellStyle name="Note 22 5 3" xfId="16558" xr:uid="{00000000-0005-0000-0000-0000905F0000}"/>
    <cellStyle name="Note 22 5 3 2" xfId="16559" xr:uid="{00000000-0005-0000-0000-0000915F0000}"/>
    <cellStyle name="Note 22 5 3 3" xfId="31354" xr:uid="{00000000-0005-0000-0000-0000925F0000}"/>
    <cellStyle name="Note 22 5 3 4" xfId="31355" xr:uid="{00000000-0005-0000-0000-0000935F0000}"/>
    <cellStyle name="Note 22 5 4" xfId="16560" xr:uid="{00000000-0005-0000-0000-0000945F0000}"/>
    <cellStyle name="Note 22 5 4 2" xfId="16561" xr:uid="{00000000-0005-0000-0000-0000955F0000}"/>
    <cellStyle name="Note 22 5 4 3" xfId="31356" xr:uid="{00000000-0005-0000-0000-0000965F0000}"/>
    <cellStyle name="Note 22 5 4 4" xfId="31357" xr:uid="{00000000-0005-0000-0000-0000975F0000}"/>
    <cellStyle name="Note 22 5 5" xfId="16562" xr:uid="{00000000-0005-0000-0000-0000985F0000}"/>
    <cellStyle name="Note 22 5 5 2" xfId="16563" xr:uid="{00000000-0005-0000-0000-0000995F0000}"/>
    <cellStyle name="Note 22 5 5 3" xfId="31358" xr:uid="{00000000-0005-0000-0000-00009A5F0000}"/>
    <cellStyle name="Note 22 5 5 4" xfId="31359" xr:uid="{00000000-0005-0000-0000-00009B5F0000}"/>
    <cellStyle name="Note 22 5 6" xfId="16564" xr:uid="{00000000-0005-0000-0000-00009C5F0000}"/>
    <cellStyle name="Note 22 5 6 2" xfId="16565" xr:uid="{00000000-0005-0000-0000-00009D5F0000}"/>
    <cellStyle name="Note 22 5 6 3" xfId="31360" xr:uid="{00000000-0005-0000-0000-00009E5F0000}"/>
    <cellStyle name="Note 22 5 6 4" xfId="31361" xr:uid="{00000000-0005-0000-0000-00009F5F0000}"/>
    <cellStyle name="Note 22 5 7" xfId="16566" xr:uid="{00000000-0005-0000-0000-0000A05F0000}"/>
    <cellStyle name="Note 22 5 7 2" xfId="16567" xr:uid="{00000000-0005-0000-0000-0000A15F0000}"/>
    <cellStyle name="Note 22 5 7 3" xfId="31362" xr:uid="{00000000-0005-0000-0000-0000A25F0000}"/>
    <cellStyle name="Note 22 5 7 4" xfId="31363" xr:uid="{00000000-0005-0000-0000-0000A35F0000}"/>
    <cellStyle name="Note 22 5 8" xfId="16568" xr:uid="{00000000-0005-0000-0000-0000A45F0000}"/>
    <cellStyle name="Note 22 5 9" xfId="31364" xr:uid="{00000000-0005-0000-0000-0000A55F0000}"/>
    <cellStyle name="Note 22 6" xfId="16569" xr:uid="{00000000-0005-0000-0000-0000A65F0000}"/>
    <cellStyle name="Note 22 6 2" xfId="16570" xr:uid="{00000000-0005-0000-0000-0000A75F0000}"/>
    <cellStyle name="Note 22 6 3" xfId="31365" xr:uid="{00000000-0005-0000-0000-0000A85F0000}"/>
    <cellStyle name="Note 22 6 4" xfId="31366" xr:uid="{00000000-0005-0000-0000-0000A95F0000}"/>
    <cellStyle name="Note 22 7" xfId="16571" xr:uid="{00000000-0005-0000-0000-0000AA5F0000}"/>
    <cellStyle name="Note 22 7 2" xfId="16572" xr:uid="{00000000-0005-0000-0000-0000AB5F0000}"/>
    <cellStyle name="Note 22 7 3" xfId="31367" xr:uid="{00000000-0005-0000-0000-0000AC5F0000}"/>
    <cellStyle name="Note 22 7 4" xfId="31368" xr:uid="{00000000-0005-0000-0000-0000AD5F0000}"/>
    <cellStyle name="Note 22 8" xfId="16573" xr:uid="{00000000-0005-0000-0000-0000AE5F0000}"/>
    <cellStyle name="Note 22 8 2" xfId="16574" xr:uid="{00000000-0005-0000-0000-0000AF5F0000}"/>
    <cellStyle name="Note 22 8 3" xfId="31369" xr:uid="{00000000-0005-0000-0000-0000B05F0000}"/>
    <cellStyle name="Note 22 8 4" xfId="31370" xr:uid="{00000000-0005-0000-0000-0000B15F0000}"/>
    <cellStyle name="Note 22 9" xfId="16575" xr:uid="{00000000-0005-0000-0000-0000B25F0000}"/>
    <cellStyle name="Note 22 9 2" xfId="16576" xr:uid="{00000000-0005-0000-0000-0000B35F0000}"/>
    <cellStyle name="Note 22 9 3" xfId="31371" xr:uid="{00000000-0005-0000-0000-0000B45F0000}"/>
    <cellStyle name="Note 22 9 4" xfId="31372" xr:uid="{00000000-0005-0000-0000-0000B55F0000}"/>
    <cellStyle name="Note 23" xfId="16577" xr:uid="{00000000-0005-0000-0000-0000B65F0000}"/>
    <cellStyle name="Note 23 10" xfId="31373" xr:uid="{00000000-0005-0000-0000-0000B75F0000}"/>
    <cellStyle name="Note 23 2" xfId="16578" xr:uid="{00000000-0005-0000-0000-0000B85F0000}"/>
    <cellStyle name="Note 23 2 2" xfId="16579" xr:uid="{00000000-0005-0000-0000-0000B95F0000}"/>
    <cellStyle name="Note 23 2 3" xfId="31374" xr:uid="{00000000-0005-0000-0000-0000BA5F0000}"/>
    <cellStyle name="Note 23 2 4" xfId="31375" xr:uid="{00000000-0005-0000-0000-0000BB5F0000}"/>
    <cellStyle name="Note 23 3" xfId="16580" xr:uid="{00000000-0005-0000-0000-0000BC5F0000}"/>
    <cellStyle name="Note 23 3 2" xfId="16581" xr:uid="{00000000-0005-0000-0000-0000BD5F0000}"/>
    <cellStyle name="Note 23 3 3" xfId="31376" xr:uid="{00000000-0005-0000-0000-0000BE5F0000}"/>
    <cellStyle name="Note 23 3 4" xfId="31377" xr:uid="{00000000-0005-0000-0000-0000BF5F0000}"/>
    <cellStyle name="Note 23 4" xfId="16582" xr:uid="{00000000-0005-0000-0000-0000C05F0000}"/>
    <cellStyle name="Note 23 4 2" xfId="16583" xr:uid="{00000000-0005-0000-0000-0000C15F0000}"/>
    <cellStyle name="Note 23 4 3" xfId="31378" xr:uid="{00000000-0005-0000-0000-0000C25F0000}"/>
    <cellStyle name="Note 23 4 4" xfId="31379" xr:uid="{00000000-0005-0000-0000-0000C35F0000}"/>
    <cellStyle name="Note 23 5" xfId="16584" xr:uid="{00000000-0005-0000-0000-0000C45F0000}"/>
    <cellStyle name="Note 23 5 2" xfId="16585" xr:uid="{00000000-0005-0000-0000-0000C55F0000}"/>
    <cellStyle name="Note 23 5 3" xfId="31380" xr:uid="{00000000-0005-0000-0000-0000C65F0000}"/>
    <cellStyle name="Note 23 5 4" xfId="31381" xr:uid="{00000000-0005-0000-0000-0000C75F0000}"/>
    <cellStyle name="Note 23 6" xfId="16586" xr:uid="{00000000-0005-0000-0000-0000C85F0000}"/>
    <cellStyle name="Note 23 6 2" xfId="16587" xr:uid="{00000000-0005-0000-0000-0000C95F0000}"/>
    <cellStyle name="Note 23 6 3" xfId="31382" xr:uid="{00000000-0005-0000-0000-0000CA5F0000}"/>
    <cellStyle name="Note 23 6 4" xfId="31383" xr:uid="{00000000-0005-0000-0000-0000CB5F0000}"/>
    <cellStyle name="Note 23 7" xfId="16588" xr:uid="{00000000-0005-0000-0000-0000CC5F0000}"/>
    <cellStyle name="Note 23 7 2" xfId="16589" xr:uid="{00000000-0005-0000-0000-0000CD5F0000}"/>
    <cellStyle name="Note 23 7 3" xfId="31384" xr:uid="{00000000-0005-0000-0000-0000CE5F0000}"/>
    <cellStyle name="Note 23 7 4" xfId="31385" xr:uid="{00000000-0005-0000-0000-0000CF5F0000}"/>
    <cellStyle name="Note 23 8" xfId="16590" xr:uid="{00000000-0005-0000-0000-0000D05F0000}"/>
    <cellStyle name="Note 23 9" xfId="31386" xr:uid="{00000000-0005-0000-0000-0000D15F0000}"/>
    <cellStyle name="Note 24" xfId="16591" xr:uid="{00000000-0005-0000-0000-0000D25F0000}"/>
    <cellStyle name="Note 24 10" xfId="31387" xr:uid="{00000000-0005-0000-0000-0000D35F0000}"/>
    <cellStyle name="Note 24 2" xfId="16592" xr:uid="{00000000-0005-0000-0000-0000D45F0000}"/>
    <cellStyle name="Note 24 2 2" xfId="16593" xr:uid="{00000000-0005-0000-0000-0000D55F0000}"/>
    <cellStyle name="Note 24 2 3" xfId="31388" xr:uid="{00000000-0005-0000-0000-0000D65F0000}"/>
    <cellStyle name="Note 24 2 4" xfId="31389" xr:uid="{00000000-0005-0000-0000-0000D75F0000}"/>
    <cellStyle name="Note 24 3" xfId="16594" xr:uid="{00000000-0005-0000-0000-0000D85F0000}"/>
    <cellStyle name="Note 24 3 2" xfId="16595" xr:uid="{00000000-0005-0000-0000-0000D95F0000}"/>
    <cellStyle name="Note 24 3 3" xfId="31390" xr:uid="{00000000-0005-0000-0000-0000DA5F0000}"/>
    <cellStyle name="Note 24 3 4" xfId="31391" xr:uid="{00000000-0005-0000-0000-0000DB5F0000}"/>
    <cellStyle name="Note 24 4" xfId="16596" xr:uid="{00000000-0005-0000-0000-0000DC5F0000}"/>
    <cellStyle name="Note 24 4 2" xfId="16597" xr:uid="{00000000-0005-0000-0000-0000DD5F0000}"/>
    <cellStyle name="Note 24 4 3" xfId="31392" xr:uid="{00000000-0005-0000-0000-0000DE5F0000}"/>
    <cellStyle name="Note 24 4 4" xfId="31393" xr:uid="{00000000-0005-0000-0000-0000DF5F0000}"/>
    <cellStyle name="Note 24 5" xfId="16598" xr:uid="{00000000-0005-0000-0000-0000E05F0000}"/>
    <cellStyle name="Note 24 5 2" xfId="16599" xr:uid="{00000000-0005-0000-0000-0000E15F0000}"/>
    <cellStyle name="Note 24 5 3" xfId="31394" xr:uid="{00000000-0005-0000-0000-0000E25F0000}"/>
    <cellStyle name="Note 24 5 4" xfId="31395" xr:uid="{00000000-0005-0000-0000-0000E35F0000}"/>
    <cellStyle name="Note 24 6" xfId="16600" xr:uid="{00000000-0005-0000-0000-0000E45F0000}"/>
    <cellStyle name="Note 24 6 2" xfId="16601" xr:uid="{00000000-0005-0000-0000-0000E55F0000}"/>
    <cellStyle name="Note 24 6 3" xfId="31396" xr:uid="{00000000-0005-0000-0000-0000E65F0000}"/>
    <cellStyle name="Note 24 6 4" xfId="31397" xr:uid="{00000000-0005-0000-0000-0000E75F0000}"/>
    <cellStyle name="Note 24 7" xfId="16602" xr:uid="{00000000-0005-0000-0000-0000E85F0000}"/>
    <cellStyle name="Note 24 7 2" xfId="16603" xr:uid="{00000000-0005-0000-0000-0000E95F0000}"/>
    <cellStyle name="Note 24 7 3" xfId="31398" xr:uid="{00000000-0005-0000-0000-0000EA5F0000}"/>
    <cellStyle name="Note 24 7 4" xfId="31399" xr:uid="{00000000-0005-0000-0000-0000EB5F0000}"/>
    <cellStyle name="Note 24 8" xfId="16604" xr:uid="{00000000-0005-0000-0000-0000EC5F0000}"/>
    <cellStyle name="Note 24 9" xfId="31400" xr:uid="{00000000-0005-0000-0000-0000ED5F0000}"/>
    <cellStyle name="Note 25" xfId="16605" xr:uid="{00000000-0005-0000-0000-0000EE5F0000}"/>
    <cellStyle name="Note 25 10" xfId="31401" xr:uid="{00000000-0005-0000-0000-0000EF5F0000}"/>
    <cellStyle name="Note 25 2" xfId="16606" xr:uid="{00000000-0005-0000-0000-0000F05F0000}"/>
    <cellStyle name="Note 25 2 2" xfId="16607" xr:uid="{00000000-0005-0000-0000-0000F15F0000}"/>
    <cellStyle name="Note 25 2 3" xfId="31402" xr:uid="{00000000-0005-0000-0000-0000F25F0000}"/>
    <cellStyle name="Note 25 2 4" xfId="31403" xr:uid="{00000000-0005-0000-0000-0000F35F0000}"/>
    <cellStyle name="Note 25 3" xfId="16608" xr:uid="{00000000-0005-0000-0000-0000F45F0000}"/>
    <cellStyle name="Note 25 3 2" xfId="16609" xr:uid="{00000000-0005-0000-0000-0000F55F0000}"/>
    <cellStyle name="Note 25 3 3" xfId="31404" xr:uid="{00000000-0005-0000-0000-0000F65F0000}"/>
    <cellStyle name="Note 25 3 4" xfId="31405" xr:uid="{00000000-0005-0000-0000-0000F75F0000}"/>
    <cellStyle name="Note 25 4" xfId="16610" xr:uid="{00000000-0005-0000-0000-0000F85F0000}"/>
    <cellStyle name="Note 25 4 2" xfId="16611" xr:uid="{00000000-0005-0000-0000-0000F95F0000}"/>
    <cellStyle name="Note 25 4 3" xfId="31406" xr:uid="{00000000-0005-0000-0000-0000FA5F0000}"/>
    <cellStyle name="Note 25 4 4" xfId="31407" xr:uid="{00000000-0005-0000-0000-0000FB5F0000}"/>
    <cellStyle name="Note 25 5" xfId="16612" xr:uid="{00000000-0005-0000-0000-0000FC5F0000}"/>
    <cellStyle name="Note 25 5 2" xfId="16613" xr:uid="{00000000-0005-0000-0000-0000FD5F0000}"/>
    <cellStyle name="Note 25 5 3" xfId="31408" xr:uid="{00000000-0005-0000-0000-0000FE5F0000}"/>
    <cellStyle name="Note 25 5 4" xfId="31409" xr:uid="{00000000-0005-0000-0000-0000FF5F0000}"/>
    <cellStyle name="Note 25 6" xfId="16614" xr:uid="{00000000-0005-0000-0000-000000600000}"/>
    <cellStyle name="Note 25 6 2" xfId="16615" xr:uid="{00000000-0005-0000-0000-000001600000}"/>
    <cellStyle name="Note 25 6 3" xfId="31410" xr:uid="{00000000-0005-0000-0000-000002600000}"/>
    <cellStyle name="Note 25 6 4" xfId="31411" xr:uid="{00000000-0005-0000-0000-000003600000}"/>
    <cellStyle name="Note 25 7" xfId="16616" xr:uid="{00000000-0005-0000-0000-000004600000}"/>
    <cellStyle name="Note 25 7 2" xfId="16617" xr:uid="{00000000-0005-0000-0000-000005600000}"/>
    <cellStyle name="Note 25 7 3" xfId="31412" xr:uid="{00000000-0005-0000-0000-000006600000}"/>
    <cellStyle name="Note 25 7 4" xfId="31413" xr:uid="{00000000-0005-0000-0000-000007600000}"/>
    <cellStyle name="Note 25 8" xfId="16618" xr:uid="{00000000-0005-0000-0000-000008600000}"/>
    <cellStyle name="Note 25 9" xfId="31414" xr:uid="{00000000-0005-0000-0000-000009600000}"/>
    <cellStyle name="Note 26" xfId="16619" xr:uid="{00000000-0005-0000-0000-00000A600000}"/>
    <cellStyle name="Note 26 10" xfId="31415" xr:uid="{00000000-0005-0000-0000-00000B600000}"/>
    <cellStyle name="Note 26 2" xfId="16620" xr:uid="{00000000-0005-0000-0000-00000C600000}"/>
    <cellStyle name="Note 26 2 2" xfId="16621" xr:uid="{00000000-0005-0000-0000-00000D600000}"/>
    <cellStyle name="Note 26 2 3" xfId="31416" xr:uid="{00000000-0005-0000-0000-00000E600000}"/>
    <cellStyle name="Note 26 2 4" xfId="31417" xr:uid="{00000000-0005-0000-0000-00000F600000}"/>
    <cellStyle name="Note 26 3" xfId="16622" xr:uid="{00000000-0005-0000-0000-000010600000}"/>
    <cellStyle name="Note 26 3 2" xfId="16623" xr:uid="{00000000-0005-0000-0000-000011600000}"/>
    <cellStyle name="Note 26 3 3" xfId="31418" xr:uid="{00000000-0005-0000-0000-000012600000}"/>
    <cellStyle name="Note 26 3 4" xfId="31419" xr:uid="{00000000-0005-0000-0000-000013600000}"/>
    <cellStyle name="Note 26 4" xfId="16624" xr:uid="{00000000-0005-0000-0000-000014600000}"/>
    <cellStyle name="Note 26 4 2" xfId="16625" xr:uid="{00000000-0005-0000-0000-000015600000}"/>
    <cellStyle name="Note 26 4 3" xfId="31420" xr:uid="{00000000-0005-0000-0000-000016600000}"/>
    <cellStyle name="Note 26 4 4" xfId="31421" xr:uid="{00000000-0005-0000-0000-000017600000}"/>
    <cellStyle name="Note 26 5" xfId="16626" xr:uid="{00000000-0005-0000-0000-000018600000}"/>
    <cellStyle name="Note 26 5 2" xfId="16627" xr:uid="{00000000-0005-0000-0000-000019600000}"/>
    <cellStyle name="Note 26 5 3" xfId="31422" xr:uid="{00000000-0005-0000-0000-00001A600000}"/>
    <cellStyle name="Note 26 5 4" xfId="31423" xr:uid="{00000000-0005-0000-0000-00001B600000}"/>
    <cellStyle name="Note 26 6" xfId="16628" xr:uid="{00000000-0005-0000-0000-00001C600000}"/>
    <cellStyle name="Note 26 6 2" xfId="16629" xr:uid="{00000000-0005-0000-0000-00001D600000}"/>
    <cellStyle name="Note 26 6 3" xfId="31424" xr:uid="{00000000-0005-0000-0000-00001E600000}"/>
    <cellStyle name="Note 26 6 4" xfId="31425" xr:uid="{00000000-0005-0000-0000-00001F600000}"/>
    <cellStyle name="Note 26 7" xfId="16630" xr:uid="{00000000-0005-0000-0000-000020600000}"/>
    <cellStyle name="Note 26 7 2" xfId="16631" xr:uid="{00000000-0005-0000-0000-000021600000}"/>
    <cellStyle name="Note 26 7 3" xfId="31426" xr:uid="{00000000-0005-0000-0000-000022600000}"/>
    <cellStyle name="Note 26 7 4" xfId="31427" xr:uid="{00000000-0005-0000-0000-000023600000}"/>
    <cellStyle name="Note 26 8" xfId="16632" xr:uid="{00000000-0005-0000-0000-000024600000}"/>
    <cellStyle name="Note 26 9" xfId="31428" xr:uid="{00000000-0005-0000-0000-000025600000}"/>
    <cellStyle name="Note 3" xfId="16633" xr:uid="{00000000-0005-0000-0000-000026600000}"/>
    <cellStyle name="Note 3 10" xfId="16634" xr:uid="{00000000-0005-0000-0000-000027600000}"/>
    <cellStyle name="Note 3 10 2" xfId="16635" xr:uid="{00000000-0005-0000-0000-000028600000}"/>
    <cellStyle name="Note 3 10 3" xfId="31429" xr:uid="{00000000-0005-0000-0000-000029600000}"/>
    <cellStyle name="Note 3 10 4" xfId="31430" xr:uid="{00000000-0005-0000-0000-00002A600000}"/>
    <cellStyle name="Note 3 11" xfId="16636" xr:uid="{00000000-0005-0000-0000-00002B600000}"/>
    <cellStyle name="Note 3 11 2" xfId="16637" xr:uid="{00000000-0005-0000-0000-00002C600000}"/>
    <cellStyle name="Note 3 11 3" xfId="31431" xr:uid="{00000000-0005-0000-0000-00002D600000}"/>
    <cellStyle name="Note 3 11 4" xfId="31432" xr:uid="{00000000-0005-0000-0000-00002E600000}"/>
    <cellStyle name="Note 3 12" xfId="16638" xr:uid="{00000000-0005-0000-0000-00002F600000}"/>
    <cellStyle name="Note 3 13" xfId="31433" xr:uid="{00000000-0005-0000-0000-000030600000}"/>
    <cellStyle name="Note 3 14" xfId="31434" xr:uid="{00000000-0005-0000-0000-000031600000}"/>
    <cellStyle name="Note 3 15" xfId="31435" xr:uid="{00000000-0005-0000-0000-000032600000}"/>
    <cellStyle name="Note 3 2" xfId="16639" xr:uid="{00000000-0005-0000-0000-000033600000}"/>
    <cellStyle name="Note 3 2 10" xfId="31436" xr:uid="{00000000-0005-0000-0000-000034600000}"/>
    <cellStyle name="Note 3 2 2" xfId="16640" xr:uid="{00000000-0005-0000-0000-000035600000}"/>
    <cellStyle name="Note 3 2 2 2" xfId="16641" xr:uid="{00000000-0005-0000-0000-000036600000}"/>
    <cellStyle name="Note 3 2 2 3" xfId="31437" xr:uid="{00000000-0005-0000-0000-000037600000}"/>
    <cellStyle name="Note 3 2 2 4" xfId="31438" xr:uid="{00000000-0005-0000-0000-000038600000}"/>
    <cellStyle name="Note 3 2 3" xfId="16642" xr:uid="{00000000-0005-0000-0000-000039600000}"/>
    <cellStyle name="Note 3 2 3 2" xfId="16643" xr:uid="{00000000-0005-0000-0000-00003A600000}"/>
    <cellStyle name="Note 3 2 3 3" xfId="31439" xr:uid="{00000000-0005-0000-0000-00003B600000}"/>
    <cellStyle name="Note 3 2 3 4" xfId="31440" xr:uid="{00000000-0005-0000-0000-00003C600000}"/>
    <cellStyle name="Note 3 2 4" xfId="16644" xr:uid="{00000000-0005-0000-0000-00003D600000}"/>
    <cellStyle name="Note 3 2 4 2" xfId="16645" xr:uid="{00000000-0005-0000-0000-00003E600000}"/>
    <cellStyle name="Note 3 2 4 3" xfId="31441" xr:uid="{00000000-0005-0000-0000-00003F600000}"/>
    <cellStyle name="Note 3 2 4 4" xfId="31442" xr:uid="{00000000-0005-0000-0000-000040600000}"/>
    <cellStyle name="Note 3 2 5" xfId="16646" xr:uid="{00000000-0005-0000-0000-000041600000}"/>
    <cellStyle name="Note 3 2 5 2" xfId="16647" xr:uid="{00000000-0005-0000-0000-000042600000}"/>
    <cellStyle name="Note 3 2 5 3" xfId="31443" xr:uid="{00000000-0005-0000-0000-000043600000}"/>
    <cellStyle name="Note 3 2 5 4" xfId="31444" xr:uid="{00000000-0005-0000-0000-000044600000}"/>
    <cellStyle name="Note 3 2 6" xfId="16648" xr:uid="{00000000-0005-0000-0000-000045600000}"/>
    <cellStyle name="Note 3 2 6 2" xfId="16649" xr:uid="{00000000-0005-0000-0000-000046600000}"/>
    <cellStyle name="Note 3 2 6 3" xfId="31445" xr:uid="{00000000-0005-0000-0000-000047600000}"/>
    <cellStyle name="Note 3 2 6 4" xfId="31446" xr:uid="{00000000-0005-0000-0000-000048600000}"/>
    <cellStyle name="Note 3 2 7" xfId="16650" xr:uid="{00000000-0005-0000-0000-000049600000}"/>
    <cellStyle name="Note 3 2 7 2" xfId="16651" xr:uid="{00000000-0005-0000-0000-00004A600000}"/>
    <cellStyle name="Note 3 2 7 3" xfId="31447" xr:uid="{00000000-0005-0000-0000-00004B600000}"/>
    <cellStyle name="Note 3 2 7 4" xfId="31448" xr:uid="{00000000-0005-0000-0000-00004C600000}"/>
    <cellStyle name="Note 3 2 8" xfId="16652" xr:uid="{00000000-0005-0000-0000-00004D600000}"/>
    <cellStyle name="Note 3 2 9" xfId="31449" xr:uid="{00000000-0005-0000-0000-00004E600000}"/>
    <cellStyle name="Note 3 3" xfId="16653" xr:uid="{00000000-0005-0000-0000-00004F600000}"/>
    <cellStyle name="Note 3 3 10" xfId="31450" xr:uid="{00000000-0005-0000-0000-000050600000}"/>
    <cellStyle name="Note 3 3 2" xfId="16654" xr:uid="{00000000-0005-0000-0000-000051600000}"/>
    <cellStyle name="Note 3 3 2 2" xfId="16655" xr:uid="{00000000-0005-0000-0000-000052600000}"/>
    <cellStyle name="Note 3 3 2 3" xfId="31451" xr:uid="{00000000-0005-0000-0000-000053600000}"/>
    <cellStyle name="Note 3 3 2 4" xfId="31452" xr:uid="{00000000-0005-0000-0000-000054600000}"/>
    <cellStyle name="Note 3 3 3" xfId="16656" xr:uid="{00000000-0005-0000-0000-000055600000}"/>
    <cellStyle name="Note 3 3 3 2" xfId="16657" xr:uid="{00000000-0005-0000-0000-000056600000}"/>
    <cellStyle name="Note 3 3 3 3" xfId="31453" xr:uid="{00000000-0005-0000-0000-000057600000}"/>
    <cellStyle name="Note 3 3 3 4" xfId="31454" xr:uid="{00000000-0005-0000-0000-000058600000}"/>
    <cellStyle name="Note 3 3 4" xfId="16658" xr:uid="{00000000-0005-0000-0000-000059600000}"/>
    <cellStyle name="Note 3 3 4 2" xfId="16659" xr:uid="{00000000-0005-0000-0000-00005A600000}"/>
    <cellStyle name="Note 3 3 4 3" xfId="31455" xr:uid="{00000000-0005-0000-0000-00005B600000}"/>
    <cellStyle name="Note 3 3 4 4" xfId="31456" xr:uid="{00000000-0005-0000-0000-00005C600000}"/>
    <cellStyle name="Note 3 3 5" xfId="16660" xr:uid="{00000000-0005-0000-0000-00005D600000}"/>
    <cellStyle name="Note 3 3 5 2" xfId="16661" xr:uid="{00000000-0005-0000-0000-00005E600000}"/>
    <cellStyle name="Note 3 3 5 3" xfId="31457" xr:uid="{00000000-0005-0000-0000-00005F600000}"/>
    <cellStyle name="Note 3 3 5 4" xfId="31458" xr:uid="{00000000-0005-0000-0000-000060600000}"/>
    <cellStyle name="Note 3 3 6" xfId="16662" xr:uid="{00000000-0005-0000-0000-000061600000}"/>
    <cellStyle name="Note 3 3 6 2" xfId="16663" xr:uid="{00000000-0005-0000-0000-000062600000}"/>
    <cellStyle name="Note 3 3 6 3" xfId="31459" xr:uid="{00000000-0005-0000-0000-000063600000}"/>
    <cellStyle name="Note 3 3 6 4" xfId="31460" xr:uid="{00000000-0005-0000-0000-000064600000}"/>
    <cellStyle name="Note 3 3 7" xfId="16664" xr:uid="{00000000-0005-0000-0000-000065600000}"/>
    <cellStyle name="Note 3 3 7 2" xfId="16665" xr:uid="{00000000-0005-0000-0000-000066600000}"/>
    <cellStyle name="Note 3 3 7 3" xfId="31461" xr:uid="{00000000-0005-0000-0000-000067600000}"/>
    <cellStyle name="Note 3 3 7 4" xfId="31462" xr:uid="{00000000-0005-0000-0000-000068600000}"/>
    <cellStyle name="Note 3 3 8" xfId="16666" xr:uid="{00000000-0005-0000-0000-000069600000}"/>
    <cellStyle name="Note 3 3 9" xfId="31463" xr:uid="{00000000-0005-0000-0000-00006A600000}"/>
    <cellStyle name="Note 3 4" xfId="16667" xr:uid="{00000000-0005-0000-0000-00006B600000}"/>
    <cellStyle name="Note 3 4 10" xfId="31464" xr:uid="{00000000-0005-0000-0000-00006C600000}"/>
    <cellStyle name="Note 3 4 2" xfId="16668" xr:uid="{00000000-0005-0000-0000-00006D600000}"/>
    <cellStyle name="Note 3 4 2 2" xfId="16669" xr:uid="{00000000-0005-0000-0000-00006E600000}"/>
    <cellStyle name="Note 3 4 2 3" xfId="31465" xr:uid="{00000000-0005-0000-0000-00006F600000}"/>
    <cellStyle name="Note 3 4 2 4" xfId="31466" xr:uid="{00000000-0005-0000-0000-000070600000}"/>
    <cellStyle name="Note 3 4 3" xfId="16670" xr:uid="{00000000-0005-0000-0000-000071600000}"/>
    <cellStyle name="Note 3 4 3 2" xfId="16671" xr:uid="{00000000-0005-0000-0000-000072600000}"/>
    <cellStyle name="Note 3 4 3 3" xfId="31467" xr:uid="{00000000-0005-0000-0000-000073600000}"/>
    <cellStyle name="Note 3 4 3 4" xfId="31468" xr:uid="{00000000-0005-0000-0000-000074600000}"/>
    <cellStyle name="Note 3 4 4" xfId="16672" xr:uid="{00000000-0005-0000-0000-000075600000}"/>
    <cellStyle name="Note 3 4 4 2" xfId="16673" xr:uid="{00000000-0005-0000-0000-000076600000}"/>
    <cellStyle name="Note 3 4 4 3" xfId="31469" xr:uid="{00000000-0005-0000-0000-000077600000}"/>
    <cellStyle name="Note 3 4 4 4" xfId="31470" xr:uid="{00000000-0005-0000-0000-000078600000}"/>
    <cellStyle name="Note 3 4 5" xfId="16674" xr:uid="{00000000-0005-0000-0000-000079600000}"/>
    <cellStyle name="Note 3 4 5 2" xfId="16675" xr:uid="{00000000-0005-0000-0000-00007A600000}"/>
    <cellStyle name="Note 3 4 5 3" xfId="31471" xr:uid="{00000000-0005-0000-0000-00007B600000}"/>
    <cellStyle name="Note 3 4 5 4" xfId="31472" xr:uid="{00000000-0005-0000-0000-00007C600000}"/>
    <cellStyle name="Note 3 4 6" xfId="16676" xr:uid="{00000000-0005-0000-0000-00007D600000}"/>
    <cellStyle name="Note 3 4 6 2" xfId="16677" xr:uid="{00000000-0005-0000-0000-00007E600000}"/>
    <cellStyle name="Note 3 4 6 3" xfId="31473" xr:uid="{00000000-0005-0000-0000-00007F600000}"/>
    <cellStyle name="Note 3 4 6 4" xfId="31474" xr:uid="{00000000-0005-0000-0000-000080600000}"/>
    <cellStyle name="Note 3 4 7" xfId="16678" xr:uid="{00000000-0005-0000-0000-000081600000}"/>
    <cellStyle name="Note 3 4 7 2" xfId="16679" xr:uid="{00000000-0005-0000-0000-000082600000}"/>
    <cellStyle name="Note 3 4 7 3" xfId="31475" xr:uid="{00000000-0005-0000-0000-000083600000}"/>
    <cellStyle name="Note 3 4 7 4" xfId="31476" xr:uid="{00000000-0005-0000-0000-000084600000}"/>
    <cellStyle name="Note 3 4 8" xfId="16680" xr:uid="{00000000-0005-0000-0000-000085600000}"/>
    <cellStyle name="Note 3 4 9" xfId="31477" xr:uid="{00000000-0005-0000-0000-000086600000}"/>
    <cellStyle name="Note 3 5" xfId="16681" xr:uid="{00000000-0005-0000-0000-000087600000}"/>
    <cellStyle name="Note 3 5 10" xfId="31478" xr:uid="{00000000-0005-0000-0000-000088600000}"/>
    <cellStyle name="Note 3 5 2" xfId="16682" xr:uid="{00000000-0005-0000-0000-000089600000}"/>
    <cellStyle name="Note 3 5 2 2" xfId="16683" xr:uid="{00000000-0005-0000-0000-00008A600000}"/>
    <cellStyle name="Note 3 5 2 3" xfId="31479" xr:uid="{00000000-0005-0000-0000-00008B600000}"/>
    <cellStyle name="Note 3 5 2 4" xfId="31480" xr:uid="{00000000-0005-0000-0000-00008C600000}"/>
    <cellStyle name="Note 3 5 3" xfId="16684" xr:uid="{00000000-0005-0000-0000-00008D600000}"/>
    <cellStyle name="Note 3 5 3 2" xfId="16685" xr:uid="{00000000-0005-0000-0000-00008E600000}"/>
    <cellStyle name="Note 3 5 3 3" xfId="31481" xr:uid="{00000000-0005-0000-0000-00008F600000}"/>
    <cellStyle name="Note 3 5 3 4" xfId="31482" xr:uid="{00000000-0005-0000-0000-000090600000}"/>
    <cellStyle name="Note 3 5 4" xfId="16686" xr:uid="{00000000-0005-0000-0000-000091600000}"/>
    <cellStyle name="Note 3 5 4 2" xfId="16687" xr:uid="{00000000-0005-0000-0000-000092600000}"/>
    <cellStyle name="Note 3 5 4 3" xfId="31483" xr:uid="{00000000-0005-0000-0000-000093600000}"/>
    <cellStyle name="Note 3 5 4 4" xfId="31484" xr:uid="{00000000-0005-0000-0000-000094600000}"/>
    <cellStyle name="Note 3 5 5" xfId="16688" xr:uid="{00000000-0005-0000-0000-000095600000}"/>
    <cellStyle name="Note 3 5 5 2" xfId="16689" xr:uid="{00000000-0005-0000-0000-000096600000}"/>
    <cellStyle name="Note 3 5 5 3" xfId="31485" xr:uid="{00000000-0005-0000-0000-000097600000}"/>
    <cellStyle name="Note 3 5 5 4" xfId="31486" xr:uid="{00000000-0005-0000-0000-000098600000}"/>
    <cellStyle name="Note 3 5 6" xfId="16690" xr:uid="{00000000-0005-0000-0000-000099600000}"/>
    <cellStyle name="Note 3 5 6 2" xfId="16691" xr:uid="{00000000-0005-0000-0000-00009A600000}"/>
    <cellStyle name="Note 3 5 6 3" xfId="31487" xr:uid="{00000000-0005-0000-0000-00009B600000}"/>
    <cellStyle name="Note 3 5 6 4" xfId="31488" xr:uid="{00000000-0005-0000-0000-00009C600000}"/>
    <cellStyle name="Note 3 5 7" xfId="16692" xr:uid="{00000000-0005-0000-0000-00009D600000}"/>
    <cellStyle name="Note 3 5 7 2" xfId="16693" xr:uid="{00000000-0005-0000-0000-00009E600000}"/>
    <cellStyle name="Note 3 5 7 3" xfId="31489" xr:uid="{00000000-0005-0000-0000-00009F600000}"/>
    <cellStyle name="Note 3 5 7 4" xfId="31490" xr:uid="{00000000-0005-0000-0000-0000A0600000}"/>
    <cellStyle name="Note 3 5 8" xfId="16694" xr:uid="{00000000-0005-0000-0000-0000A1600000}"/>
    <cellStyle name="Note 3 5 9" xfId="31491" xr:uid="{00000000-0005-0000-0000-0000A2600000}"/>
    <cellStyle name="Note 3 6" xfId="16695" xr:uid="{00000000-0005-0000-0000-0000A3600000}"/>
    <cellStyle name="Note 3 6 2" xfId="16696" xr:uid="{00000000-0005-0000-0000-0000A4600000}"/>
    <cellStyle name="Note 3 6 3" xfId="31492" xr:uid="{00000000-0005-0000-0000-0000A5600000}"/>
    <cellStyle name="Note 3 6 4" xfId="31493" xr:uid="{00000000-0005-0000-0000-0000A6600000}"/>
    <cellStyle name="Note 3 7" xfId="16697" xr:uid="{00000000-0005-0000-0000-0000A7600000}"/>
    <cellStyle name="Note 3 7 2" xfId="16698" xr:uid="{00000000-0005-0000-0000-0000A8600000}"/>
    <cellStyle name="Note 3 7 3" xfId="31494" xr:uid="{00000000-0005-0000-0000-0000A9600000}"/>
    <cellStyle name="Note 3 7 4" xfId="31495" xr:uid="{00000000-0005-0000-0000-0000AA600000}"/>
    <cellStyle name="Note 3 8" xfId="16699" xr:uid="{00000000-0005-0000-0000-0000AB600000}"/>
    <cellStyle name="Note 3 8 2" xfId="16700" xr:uid="{00000000-0005-0000-0000-0000AC600000}"/>
    <cellStyle name="Note 3 8 3" xfId="31496" xr:uid="{00000000-0005-0000-0000-0000AD600000}"/>
    <cellStyle name="Note 3 8 4" xfId="31497" xr:uid="{00000000-0005-0000-0000-0000AE600000}"/>
    <cellStyle name="Note 3 9" xfId="16701" xr:uid="{00000000-0005-0000-0000-0000AF600000}"/>
    <cellStyle name="Note 3 9 2" xfId="16702" xr:uid="{00000000-0005-0000-0000-0000B0600000}"/>
    <cellStyle name="Note 3 9 3" xfId="31498" xr:uid="{00000000-0005-0000-0000-0000B1600000}"/>
    <cellStyle name="Note 3 9 4" xfId="31499" xr:uid="{00000000-0005-0000-0000-0000B2600000}"/>
    <cellStyle name="Note 4" xfId="16703" xr:uid="{00000000-0005-0000-0000-0000B3600000}"/>
    <cellStyle name="Note 4 10" xfId="16704" xr:uid="{00000000-0005-0000-0000-0000B4600000}"/>
    <cellStyle name="Note 4 10 2" xfId="16705" xr:uid="{00000000-0005-0000-0000-0000B5600000}"/>
    <cellStyle name="Note 4 10 3" xfId="31500" xr:uid="{00000000-0005-0000-0000-0000B6600000}"/>
    <cellStyle name="Note 4 10 4" xfId="31501" xr:uid="{00000000-0005-0000-0000-0000B7600000}"/>
    <cellStyle name="Note 4 11" xfId="16706" xr:uid="{00000000-0005-0000-0000-0000B8600000}"/>
    <cellStyle name="Note 4 11 2" xfId="16707" xr:uid="{00000000-0005-0000-0000-0000B9600000}"/>
    <cellStyle name="Note 4 11 3" xfId="31502" xr:uid="{00000000-0005-0000-0000-0000BA600000}"/>
    <cellStyle name="Note 4 11 4" xfId="31503" xr:uid="{00000000-0005-0000-0000-0000BB600000}"/>
    <cellStyle name="Note 4 12" xfId="16708" xr:uid="{00000000-0005-0000-0000-0000BC600000}"/>
    <cellStyle name="Note 4 13" xfId="31504" xr:uid="{00000000-0005-0000-0000-0000BD600000}"/>
    <cellStyle name="Note 4 14" xfId="31505" xr:uid="{00000000-0005-0000-0000-0000BE600000}"/>
    <cellStyle name="Note 4 2" xfId="16709" xr:uid="{00000000-0005-0000-0000-0000BF600000}"/>
    <cellStyle name="Note 4 2 10" xfId="31506" xr:uid="{00000000-0005-0000-0000-0000C0600000}"/>
    <cellStyle name="Note 4 2 2" xfId="16710" xr:uid="{00000000-0005-0000-0000-0000C1600000}"/>
    <cellStyle name="Note 4 2 2 2" xfId="16711" xr:uid="{00000000-0005-0000-0000-0000C2600000}"/>
    <cellStyle name="Note 4 2 2 3" xfId="31507" xr:uid="{00000000-0005-0000-0000-0000C3600000}"/>
    <cellStyle name="Note 4 2 2 4" xfId="31508" xr:uid="{00000000-0005-0000-0000-0000C4600000}"/>
    <cellStyle name="Note 4 2 3" xfId="16712" xr:uid="{00000000-0005-0000-0000-0000C5600000}"/>
    <cellStyle name="Note 4 2 3 2" xfId="16713" xr:uid="{00000000-0005-0000-0000-0000C6600000}"/>
    <cellStyle name="Note 4 2 3 3" xfId="31509" xr:uid="{00000000-0005-0000-0000-0000C7600000}"/>
    <cellStyle name="Note 4 2 3 4" xfId="31510" xr:uid="{00000000-0005-0000-0000-0000C8600000}"/>
    <cellStyle name="Note 4 2 4" xfId="16714" xr:uid="{00000000-0005-0000-0000-0000C9600000}"/>
    <cellStyle name="Note 4 2 4 2" xfId="16715" xr:uid="{00000000-0005-0000-0000-0000CA600000}"/>
    <cellStyle name="Note 4 2 4 3" xfId="31511" xr:uid="{00000000-0005-0000-0000-0000CB600000}"/>
    <cellStyle name="Note 4 2 4 4" xfId="31512" xr:uid="{00000000-0005-0000-0000-0000CC600000}"/>
    <cellStyle name="Note 4 2 5" xfId="16716" xr:uid="{00000000-0005-0000-0000-0000CD600000}"/>
    <cellStyle name="Note 4 2 5 2" xfId="16717" xr:uid="{00000000-0005-0000-0000-0000CE600000}"/>
    <cellStyle name="Note 4 2 5 3" xfId="31513" xr:uid="{00000000-0005-0000-0000-0000CF600000}"/>
    <cellStyle name="Note 4 2 5 4" xfId="31514" xr:uid="{00000000-0005-0000-0000-0000D0600000}"/>
    <cellStyle name="Note 4 2 6" xfId="16718" xr:uid="{00000000-0005-0000-0000-0000D1600000}"/>
    <cellStyle name="Note 4 2 6 2" xfId="16719" xr:uid="{00000000-0005-0000-0000-0000D2600000}"/>
    <cellStyle name="Note 4 2 6 3" xfId="31515" xr:uid="{00000000-0005-0000-0000-0000D3600000}"/>
    <cellStyle name="Note 4 2 6 4" xfId="31516" xr:uid="{00000000-0005-0000-0000-0000D4600000}"/>
    <cellStyle name="Note 4 2 7" xfId="16720" xr:uid="{00000000-0005-0000-0000-0000D5600000}"/>
    <cellStyle name="Note 4 2 7 2" xfId="16721" xr:uid="{00000000-0005-0000-0000-0000D6600000}"/>
    <cellStyle name="Note 4 2 7 3" xfId="31517" xr:uid="{00000000-0005-0000-0000-0000D7600000}"/>
    <cellStyle name="Note 4 2 7 4" xfId="31518" xr:uid="{00000000-0005-0000-0000-0000D8600000}"/>
    <cellStyle name="Note 4 2 8" xfId="16722" xr:uid="{00000000-0005-0000-0000-0000D9600000}"/>
    <cellStyle name="Note 4 2 9" xfId="31519" xr:uid="{00000000-0005-0000-0000-0000DA600000}"/>
    <cellStyle name="Note 4 3" xfId="16723" xr:uid="{00000000-0005-0000-0000-0000DB600000}"/>
    <cellStyle name="Note 4 3 10" xfId="31520" xr:uid="{00000000-0005-0000-0000-0000DC600000}"/>
    <cellStyle name="Note 4 3 2" xfId="16724" xr:uid="{00000000-0005-0000-0000-0000DD600000}"/>
    <cellStyle name="Note 4 3 2 2" xfId="16725" xr:uid="{00000000-0005-0000-0000-0000DE600000}"/>
    <cellStyle name="Note 4 3 2 3" xfId="31521" xr:uid="{00000000-0005-0000-0000-0000DF600000}"/>
    <cellStyle name="Note 4 3 2 4" xfId="31522" xr:uid="{00000000-0005-0000-0000-0000E0600000}"/>
    <cellStyle name="Note 4 3 3" xfId="16726" xr:uid="{00000000-0005-0000-0000-0000E1600000}"/>
    <cellStyle name="Note 4 3 3 2" xfId="16727" xr:uid="{00000000-0005-0000-0000-0000E2600000}"/>
    <cellStyle name="Note 4 3 3 3" xfId="31523" xr:uid="{00000000-0005-0000-0000-0000E3600000}"/>
    <cellStyle name="Note 4 3 3 4" xfId="31524" xr:uid="{00000000-0005-0000-0000-0000E4600000}"/>
    <cellStyle name="Note 4 3 4" xfId="16728" xr:uid="{00000000-0005-0000-0000-0000E5600000}"/>
    <cellStyle name="Note 4 3 4 2" xfId="16729" xr:uid="{00000000-0005-0000-0000-0000E6600000}"/>
    <cellStyle name="Note 4 3 4 3" xfId="31525" xr:uid="{00000000-0005-0000-0000-0000E7600000}"/>
    <cellStyle name="Note 4 3 4 4" xfId="31526" xr:uid="{00000000-0005-0000-0000-0000E8600000}"/>
    <cellStyle name="Note 4 3 5" xfId="16730" xr:uid="{00000000-0005-0000-0000-0000E9600000}"/>
    <cellStyle name="Note 4 3 5 2" xfId="16731" xr:uid="{00000000-0005-0000-0000-0000EA600000}"/>
    <cellStyle name="Note 4 3 5 3" xfId="31527" xr:uid="{00000000-0005-0000-0000-0000EB600000}"/>
    <cellStyle name="Note 4 3 5 4" xfId="31528" xr:uid="{00000000-0005-0000-0000-0000EC600000}"/>
    <cellStyle name="Note 4 3 6" xfId="16732" xr:uid="{00000000-0005-0000-0000-0000ED600000}"/>
    <cellStyle name="Note 4 3 6 2" xfId="16733" xr:uid="{00000000-0005-0000-0000-0000EE600000}"/>
    <cellStyle name="Note 4 3 6 3" xfId="31529" xr:uid="{00000000-0005-0000-0000-0000EF600000}"/>
    <cellStyle name="Note 4 3 6 4" xfId="31530" xr:uid="{00000000-0005-0000-0000-0000F0600000}"/>
    <cellStyle name="Note 4 3 7" xfId="16734" xr:uid="{00000000-0005-0000-0000-0000F1600000}"/>
    <cellStyle name="Note 4 3 7 2" xfId="16735" xr:uid="{00000000-0005-0000-0000-0000F2600000}"/>
    <cellStyle name="Note 4 3 7 3" xfId="31531" xr:uid="{00000000-0005-0000-0000-0000F3600000}"/>
    <cellStyle name="Note 4 3 7 4" xfId="31532" xr:uid="{00000000-0005-0000-0000-0000F4600000}"/>
    <cellStyle name="Note 4 3 8" xfId="16736" xr:uid="{00000000-0005-0000-0000-0000F5600000}"/>
    <cellStyle name="Note 4 3 9" xfId="31533" xr:uid="{00000000-0005-0000-0000-0000F6600000}"/>
    <cellStyle name="Note 4 4" xfId="16737" xr:uid="{00000000-0005-0000-0000-0000F7600000}"/>
    <cellStyle name="Note 4 4 10" xfId="31534" xr:uid="{00000000-0005-0000-0000-0000F8600000}"/>
    <cellStyle name="Note 4 4 2" xfId="16738" xr:uid="{00000000-0005-0000-0000-0000F9600000}"/>
    <cellStyle name="Note 4 4 2 2" xfId="16739" xr:uid="{00000000-0005-0000-0000-0000FA600000}"/>
    <cellStyle name="Note 4 4 2 3" xfId="31535" xr:uid="{00000000-0005-0000-0000-0000FB600000}"/>
    <cellStyle name="Note 4 4 2 4" xfId="31536" xr:uid="{00000000-0005-0000-0000-0000FC600000}"/>
    <cellStyle name="Note 4 4 3" xfId="16740" xr:uid="{00000000-0005-0000-0000-0000FD600000}"/>
    <cellStyle name="Note 4 4 3 2" xfId="16741" xr:uid="{00000000-0005-0000-0000-0000FE600000}"/>
    <cellStyle name="Note 4 4 3 3" xfId="31537" xr:uid="{00000000-0005-0000-0000-0000FF600000}"/>
    <cellStyle name="Note 4 4 3 4" xfId="31538" xr:uid="{00000000-0005-0000-0000-000000610000}"/>
    <cellStyle name="Note 4 4 4" xfId="16742" xr:uid="{00000000-0005-0000-0000-000001610000}"/>
    <cellStyle name="Note 4 4 4 2" xfId="16743" xr:uid="{00000000-0005-0000-0000-000002610000}"/>
    <cellStyle name="Note 4 4 4 3" xfId="31539" xr:uid="{00000000-0005-0000-0000-000003610000}"/>
    <cellStyle name="Note 4 4 4 4" xfId="31540" xr:uid="{00000000-0005-0000-0000-000004610000}"/>
    <cellStyle name="Note 4 4 5" xfId="16744" xr:uid="{00000000-0005-0000-0000-000005610000}"/>
    <cellStyle name="Note 4 4 5 2" xfId="16745" xr:uid="{00000000-0005-0000-0000-000006610000}"/>
    <cellStyle name="Note 4 4 5 3" xfId="31541" xr:uid="{00000000-0005-0000-0000-000007610000}"/>
    <cellStyle name="Note 4 4 5 4" xfId="31542" xr:uid="{00000000-0005-0000-0000-000008610000}"/>
    <cellStyle name="Note 4 4 6" xfId="16746" xr:uid="{00000000-0005-0000-0000-000009610000}"/>
    <cellStyle name="Note 4 4 6 2" xfId="16747" xr:uid="{00000000-0005-0000-0000-00000A610000}"/>
    <cellStyle name="Note 4 4 6 3" xfId="31543" xr:uid="{00000000-0005-0000-0000-00000B610000}"/>
    <cellStyle name="Note 4 4 6 4" xfId="31544" xr:uid="{00000000-0005-0000-0000-00000C610000}"/>
    <cellStyle name="Note 4 4 7" xfId="16748" xr:uid="{00000000-0005-0000-0000-00000D610000}"/>
    <cellStyle name="Note 4 4 7 2" xfId="16749" xr:uid="{00000000-0005-0000-0000-00000E610000}"/>
    <cellStyle name="Note 4 4 7 3" xfId="31545" xr:uid="{00000000-0005-0000-0000-00000F610000}"/>
    <cellStyle name="Note 4 4 7 4" xfId="31546" xr:uid="{00000000-0005-0000-0000-000010610000}"/>
    <cellStyle name="Note 4 4 8" xfId="16750" xr:uid="{00000000-0005-0000-0000-000011610000}"/>
    <cellStyle name="Note 4 4 9" xfId="31547" xr:uid="{00000000-0005-0000-0000-000012610000}"/>
    <cellStyle name="Note 4 5" xfId="16751" xr:uid="{00000000-0005-0000-0000-000013610000}"/>
    <cellStyle name="Note 4 5 10" xfId="31548" xr:uid="{00000000-0005-0000-0000-000014610000}"/>
    <cellStyle name="Note 4 5 2" xfId="16752" xr:uid="{00000000-0005-0000-0000-000015610000}"/>
    <cellStyle name="Note 4 5 2 2" xfId="16753" xr:uid="{00000000-0005-0000-0000-000016610000}"/>
    <cellStyle name="Note 4 5 2 3" xfId="31549" xr:uid="{00000000-0005-0000-0000-000017610000}"/>
    <cellStyle name="Note 4 5 2 4" xfId="31550" xr:uid="{00000000-0005-0000-0000-000018610000}"/>
    <cellStyle name="Note 4 5 3" xfId="16754" xr:uid="{00000000-0005-0000-0000-000019610000}"/>
    <cellStyle name="Note 4 5 3 2" xfId="16755" xr:uid="{00000000-0005-0000-0000-00001A610000}"/>
    <cellStyle name="Note 4 5 3 3" xfId="31551" xr:uid="{00000000-0005-0000-0000-00001B610000}"/>
    <cellStyle name="Note 4 5 3 4" xfId="31552" xr:uid="{00000000-0005-0000-0000-00001C610000}"/>
    <cellStyle name="Note 4 5 4" xfId="16756" xr:uid="{00000000-0005-0000-0000-00001D610000}"/>
    <cellStyle name="Note 4 5 4 2" xfId="16757" xr:uid="{00000000-0005-0000-0000-00001E610000}"/>
    <cellStyle name="Note 4 5 4 3" xfId="31553" xr:uid="{00000000-0005-0000-0000-00001F610000}"/>
    <cellStyle name="Note 4 5 4 4" xfId="31554" xr:uid="{00000000-0005-0000-0000-000020610000}"/>
    <cellStyle name="Note 4 5 5" xfId="16758" xr:uid="{00000000-0005-0000-0000-000021610000}"/>
    <cellStyle name="Note 4 5 5 2" xfId="16759" xr:uid="{00000000-0005-0000-0000-000022610000}"/>
    <cellStyle name="Note 4 5 5 3" xfId="31555" xr:uid="{00000000-0005-0000-0000-000023610000}"/>
    <cellStyle name="Note 4 5 5 4" xfId="31556" xr:uid="{00000000-0005-0000-0000-000024610000}"/>
    <cellStyle name="Note 4 5 6" xfId="16760" xr:uid="{00000000-0005-0000-0000-000025610000}"/>
    <cellStyle name="Note 4 5 6 2" xfId="16761" xr:uid="{00000000-0005-0000-0000-000026610000}"/>
    <cellStyle name="Note 4 5 6 3" xfId="31557" xr:uid="{00000000-0005-0000-0000-000027610000}"/>
    <cellStyle name="Note 4 5 6 4" xfId="31558" xr:uid="{00000000-0005-0000-0000-000028610000}"/>
    <cellStyle name="Note 4 5 7" xfId="16762" xr:uid="{00000000-0005-0000-0000-000029610000}"/>
    <cellStyle name="Note 4 5 7 2" xfId="16763" xr:uid="{00000000-0005-0000-0000-00002A610000}"/>
    <cellStyle name="Note 4 5 7 3" xfId="31559" xr:uid="{00000000-0005-0000-0000-00002B610000}"/>
    <cellStyle name="Note 4 5 7 4" xfId="31560" xr:uid="{00000000-0005-0000-0000-00002C610000}"/>
    <cellStyle name="Note 4 5 8" xfId="16764" xr:uid="{00000000-0005-0000-0000-00002D610000}"/>
    <cellStyle name="Note 4 5 9" xfId="31561" xr:uid="{00000000-0005-0000-0000-00002E610000}"/>
    <cellStyle name="Note 4 6" xfId="16765" xr:uid="{00000000-0005-0000-0000-00002F610000}"/>
    <cellStyle name="Note 4 6 2" xfId="16766" xr:uid="{00000000-0005-0000-0000-000030610000}"/>
    <cellStyle name="Note 4 6 3" xfId="31562" xr:uid="{00000000-0005-0000-0000-000031610000}"/>
    <cellStyle name="Note 4 6 4" xfId="31563" xr:uid="{00000000-0005-0000-0000-000032610000}"/>
    <cellStyle name="Note 4 7" xfId="16767" xr:uid="{00000000-0005-0000-0000-000033610000}"/>
    <cellStyle name="Note 4 7 2" xfId="16768" xr:uid="{00000000-0005-0000-0000-000034610000}"/>
    <cellStyle name="Note 4 7 3" xfId="31564" xr:uid="{00000000-0005-0000-0000-000035610000}"/>
    <cellStyle name="Note 4 7 4" xfId="31565" xr:uid="{00000000-0005-0000-0000-000036610000}"/>
    <cellStyle name="Note 4 8" xfId="16769" xr:uid="{00000000-0005-0000-0000-000037610000}"/>
    <cellStyle name="Note 4 8 2" xfId="16770" xr:uid="{00000000-0005-0000-0000-000038610000}"/>
    <cellStyle name="Note 4 8 3" xfId="31566" xr:uid="{00000000-0005-0000-0000-000039610000}"/>
    <cellStyle name="Note 4 8 4" xfId="31567" xr:uid="{00000000-0005-0000-0000-00003A610000}"/>
    <cellStyle name="Note 4 9" xfId="16771" xr:uid="{00000000-0005-0000-0000-00003B610000}"/>
    <cellStyle name="Note 4 9 2" xfId="16772" xr:uid="{00000000-0005-0000-0000-00003C610000}"/>
    <cellStyle name="Note 4 9 3" xfId="31568" xr:uid="{00000000-0005-0000-0000-00003D610000}"/>
    <cellStyle name="Note 4 9 4" xfId="31569" xr:uid="{00000000-0005-0000-0000-00003E610000}"/>
    <cellStyle name="Note 5" xfId="16773" xr:uid="{00000000-0005-0000-0000-00003F610000}"/>
    <cellStyle name="Note 5 10" xfId="16774" xr:uid="{00000000-0005-0000-0000-000040610000}"/>
    <cellStyle name="Note 5 10 2" xfId="16775" xr:uid="{00000000-0005-0000-0000-000041610000}"/>
    <cellStyle name="Note 5 10 3" xfId="31570" xr:uid="{00000000-0005-0000-0000-000042610000}"/>
    <cellStyle name="Note 5 10 4" xfId="31571" xr:uid="{00000000-0005-0000-0000-000043610000}"/>
    <cellStyle name="Note 5 11" xfId="16776" xr:uid="{00000000-0005-0000-0000-000044610000}"/>
    <cellStyle name="Note 5 11 2" xfId="16777" xr:uid="{00000000-0005-0000-0000-000045610000}"/>
    <cellStyle name="Note 5 11 3" xfId="31572" xr:uid="{00000000-0005-0000-0000-000046610000}"/>
    <cellStyle name="Note 5 11 4" xfId="31573" xr:uid="{00000000-0005-0000-0000-000047610000}"/>
    <cellStyle name="Note 5 12" xfId="16778" xr:uid="{00000000-0005-0000-0000-000048610000}"/>
    <cellStyle name="Note 5 13" xfId="31574" xr:uid="{00000000-0005-0000-0000-000049610000}"/>
    <cellStyle name="Note 5 14" xfId="31575" xr:uid="{00000000-0005-0000-0000-00004A610000}"/>
    <cellStyle name="Note 5 2" xfId="16779" xr:uid="{00000000-0005-0000-0000-00004B610000}"/>
    <cellStyle name="Note 5 2 10" xfId="31576" xr:uid="{00000000-0005-0000-0000-00004C610000}"/>
    <cellStyle name="Note 5 2 2" xfId="16780" xr:uid="{00000000-0005-0000-0000-00004D610000}"/>
    <cellStyle name="Note 5 2 2 2" xfId="16781" xr:uid="{00000000-0005-0000-0000-00004E610000}"/>
    <cellStyle name="Note 5 2 2 3" xfId="31577" xr:uid="{00000000-0005-0000-0000-00004F610000}"/>
    <cellStyle name="Note 5 2 2 4" xfId="31578" xr:uid="{00000000-0005-0000-0000-000050610000}"/>
    <cellStyle name="Note 5 2 3" xfId="16782" xr:uid="{00000000-0005-0000-0000-000051610000}"/>
    <cellStyle name="Note 5 2 3 2" xfId="16783" xr:uid="{00000000-0005-0000-0000-000052610000}"/>
    <cellStyle name="Note 5 2 3 3" xfId="31579" xr:uid="{00000000-0005-0000-0000-000053610000}"/>
    <cellStyle name="Note 5 2 3 4" xfId="31580" xr:uid="{00000000-0005-0000-0000-000054610000}"/>
    <cellStyle name="Note 5 2 4" xfId="16784" xr:uid="{00000000-0005-0000-0000-000055610000}"/>
    <cellStyle name="Note 5 2 4 2" xfId="16785" xr:uid="{00000000-0005-0000-0000-000056610000}"/>
    <cellStyle name="Note 5 2 4 3" xfId="31581" xr:uid="{00000000-0005-0000-0000-000057610000}"/>
    <cellStyle name="Note 5 2 4 4" xfId="31582" xr:uid="{00000000-0005-0000-0000-000058610000}"/>
    <cellStyle name="Note 5 2 5" xfId="16786" xr:uid="{00000000-0005-0000-0000-000059610000}"/>
    <cellStyle name="Note 5 2 5 2" xfId="16787" xr:uid="{00000000-0005-0000-0000-00005A610000}"/>
    <cellStyle name="Note 5 2 5 3" xfId="31583" xr:uid="{00000000-0005-0000-0000-00005B610000}"/>
    <cellStyle name="Note 5 2 5 4" xfId="31584" xr:uid="{00000000-0005-0000-0000-00005C610000}"/>
    <cellStyle name="Note 5 2 6" xfId="16788" xr:uid="{00000000-0005-0000-0000-00005D610000}"/>
    <cellStyle name="Note 5 2 6 2" xfId="16789" xr:uid="{00000000-0005-0000-0000-00005E610000}"/>
    <cellStyle name="Note 5 2 6 3" xfId="31585" xr:uid="{00000000-0005-0000-0000-00005F610000}"/>
    <cellStyle name="Note 5 2 6 4" xfId="31586" xr:uid="{00000000-0005-0000-0000-000060610000}"/>
    <cellStyle name="Note 5 2 7" xfId="16790" xr:uid="{00000000-0005-0000-0000-000061610000}"/>
    <cellStyle name="Note 5 2 7 2" xfId="16791" xr:uid="{00000000-0005-0000-0000-000062610000}"/>
    <cellStyle name="Note 5 2 7 3" xfId="31587" xr:uid="{00000000-0005-0000-0000-000063610000}"/>
    <cellStyle name="Note 5 2 7 4" xfId="31588" xr:uid="{00000000-0005-0000-0000-000064610000}"/>
    <cellStyle name="Note 5 2 8" xfId="16792" xr:uid="{00000000-0005-0000-0000-000065610000}"/>
    <cellStyle name="Note 5 2 9" xfId="31589" xr:uid="{00000000-0005-0000-0000-000066610000}"/>
    <cellStyle name="Note 5 3" xfId="16793" xr:uid="{00000000-0005-0000-0000-000067610000}"/>
    <cellStyle name="Note 5 3 10" xfId="31590" xr:uid="{00000000-0005-0000-0000-000068610000}"/>
    <cellStyle name="Note 5 3 2" xfId="16794" xr:uid="{00000000-0005-0000-0000-000069610000}"/>
    <cellStyle name="Note 5 3 2 2" xfId="16795" xr:uid="{00000000-0005-0000-0000-00006A610000}"/>
    <cellStyle name="Note 5 3 2 3" xfId="31591" xr:uid="{00000000-0005-0000-0000-00006B610000}"/>
    <cellStyle name="Note 5 3 2 4" xfId="31592" xr:uid="{00000000-0005-0000-0000-00006C610000}"/>
    <cellStyle name="Note 5 3 3" xfId="16796" xr:uid="{00000000-0005-0000-0000-00006D610000}"/>
    <cellStyle name="Note 5 3 3 2" xfId="16797" xr:uid="{00000000-0005-0000-0000-00006E610000}"/>
    <cellStyle name="Note 5 3 3 3" xfId="31593" xr:uid="{00000000-0005-0000-0000-00006F610000}"/>
    <cellStyle name="Note 5 3 3 4" xfId="31594" xr:uid="{00000000-0005-0000-0000-000070610000}"/>
    <cellStyle name="Note 5 3 4" xfId="16798" xr:uid="{00000000-0005-0000-0000-000071610000}"/>
    <cellStyle name="Note 5 3 4 2" xfId="16799" xr:uid="{00000000-0005-0000-0000-000072610000}"/>
    <cellStyle name="Note 5 3 4 3" xfId="31595" xr:uid="{00000000-0005-0000-0000-000073610000}"/>
    <cellStyle name="Note 5 3 4 4" xfId="31596" xr:uid="{00000000-0005-0000-0000-000074610000}"/>
    <cellStyle name="Note 5 3 5" xfId="16800" xr:uid="{00000000-0005-0000-0000-000075610000}"/>
    <cellStyle name="Note 5 3 5 2" xfId="16801" xr:uid="{00000000-0005-0000-0000-000076610000}"/>
    <cellStyle name="Note 5 3 5 3" xfId="31597" xr:uid="{00000000-0005-0000-0000-000077610000}"/>
    <cellStyle name="Note 5 3 5 4" xfId="31598" xr:uid="{00000000-0005-0000-0000-000078610000}"/>
    <cellStyle name="Note 5 3 6" xfId="16802" xr:uid="{00000000-0005-0000-0000-000079610000}"/>
    <cellStyle name="Note 5 3 6 2" xfId="16803" xr:uid="{00000000-0005-0000-0000-00007A610000}"/>
    <cellStyle name="Note 5 3 6 3" xfId="31599" xr:uid="{00000000-0005-0000-0000-00007B610000}"/>
    <cellStyle name="Note 5 3 6 4" xfId="31600" xr:uid="{00000000-0005-0000-0000-00007C610000}"/>
    <cellStyle name="Note 5 3 7" xfId="16804" xr:uid="{00000000-0005-0000-0000-00007D610000}"/>
    <cellStyle name="Note 5 3 7 2" xfId="16805" xr:uid="{00000000-0005-0000-0000-00007E610000}"/>
    <cellStyle name="Note 5 3 7 3" xfId="31601" xr:uid="{00000000-0005-0000-0000-00007F610000}"/>
    <cellStyle name="Note 5 3 7 4" xfId="31602" xr:uid="{00000000-0005-0000-0000-000080610000}"/>
    <cellStyle name="Note 5 3 8" xfId="16806" xr:uid="{00000000-0005-0000-0000-000081610000}"/>
    <cellStyle name="Note 5 3 9" xfId="31603" xr:uid="{00000000-0005-0000-0000-000082610000}"/>
    <cellStyle name="Note 5 4" xfId="16807" xr:uid="{00000000-0005-0000-0000-000083610000}"/>
    <cellStyle name="Note 5 4 10" xfId="31604" xr:uid="{00000000-0005-0000-0000-000084610000}"/>
    <cellStyle name="Note 5 4 2" xfId="16808" xr:uid="{00000000-0005-0000-0000-000085610000}"/>
    <cellStyle name="Note 5 4 2 2" xfId="16809" xr:uid="{00000000-0005-0000-0000-000086610000}"/>
    <cellStyle name="Note 5 4 2 3" xfId="31605" xr:uid="{00000000-0005-0000-0000-000087610000}"/>
    <cellStyle name="Note 5 4 2 4" xfId="31606" xr:uid="{00000000-0005-0000-0000-000088610000}"/>
    <cellStyle name="Note 5 4 3" xfId="16810" xr:uid="{00000000-0005-0000-0000-000089610000}"/>
    <cellStyle name="Note 5 4 3 2" xfId="16811" xr:uid="{00000000-0005-0000-0000-00008A610000}"/>
    <cellStyle name="Note 5 4 3 3" xfId="31607" xr:uid="{00000000-0005-0000-0000-00008B610000}"/>
    <cellStyle name="Note 5 4 3 4" xfId="31608" xr:uid="{00000000-0005-0000-0000-00008C610000}"/>
    <cellStyle name="Note 5 4 4" xfId="16812" xr:uid="{00000000-0005-0000-0000-00008D610000}"/>
    <cellStyle name="Note 5 4 4 2" xfId="16813" xr:uid="{00000000-0005-0000-0000-00008E610000}"/>
    <cellStyle name="Note 5 4 4 3" xfId="31609" xr:uid="{00000000-0005-0000-0000-00008F610000}"/>
    <cellStyle name="Note 5 4 4 4" xfId="31610" xr:uid="{00000000-0005-0000-0000-000090610000}"/>
    <cellStyle name="Note 5 4 5" xfId="16814" xr:uid="{00000000-0005-0000-0000-000091610000}"/>
    <cellStyle name="Note 5 4 5 2" xfId="16815" xr:uid="{00000000-0005-0000-0000-000092610000}"/>
    <cellStyle name="Note 5 4 5 3" xfId="31611" xr:uid="{00000000-0005-0000-0000-000093610000}"/>
    <cellStyle name="Note 5 4 5 4" xfId="31612" xr:uid="{00000000-0005-0000-0000-000094610000}"/>
    <cellStyle name="Note 5 4 6" xfId="16816" xr:uid="{00000000-0005-0000-0000-000095610000}"/>
    <cellStyle name="Note 5 4 6 2" xfId="16817" xr:uid="{00000000-0005-0000-0000-000096610000}"/>
    <cellStyle name="Note 5 4 6 3" xfId="31613" xr:uid="{00000000-0005-0000-0000-000097610000}"/>
    <cellStyle name="Note 5 4 6 4" xfId="31614" xr:uid="{00000000-0005-0000-0000-000098610000}"/>
    <cellStyle name="Note 5 4 7" xfId="16818" xr:uid="{00000000-0005-0000-0000-000099610000}"/>
    <cellStyle name="Note 5 4 7 2" xfId="16819" xr:uid="{00000000-0005-0000-0000-00009A610000}"/>
    <cellStyle name="Note 5 4 7 3" xfId="31615" xr:uid="{00000000-0005-0000-0000-00009B610000}"/>
    <cellStyle name="Note 5 4 7 4" xfId="31616" xr:uid="{00000000-0005-0000-0000-00009C610000}"/>
    <cellStyle name="Note 5 4 8" xfId="16820" xr:uid="{00000000-0005-0000-0000-00009D610000}"/>
    <cellStyle name="Note 5 4 9" xfId="31617" xr:uid="{00000000-0005-0000-0000-00009E610000}"/>
    <cellStyle name="Note 5 5" xfId="16821" xr:uid="{00000000-0005-0000-0000-00009F610000}"/>
    <cellStyle name="Note 5 5 10" xfId="31618" xr:uid="{00000000-0005-0000-0000-0000A0610000}"/>
    <cellStyle name="Note 5 5 2" xfId="16822" xr:uid="{00000000-0005-0000-0000-0000A1610000}"/>
    <cellStyle name="Note 5 5 2 2" xfId="16823" xr:uid="{00000000-0005-0000-0000-0000A2610000}"/>
    <cellStyle name="Note 5 5 2 3" xfId="31619" xr:uid="{00000000-0005-0000-0000-0000A3610000}"/>
    <cellStyle name="Note 5 5 2 4" xfId="31620" xr:uid="{00000000-0005-0000-0000-0000A4610000}"/>
    <cellStyle name="Note 5 5 3" xfId="16824" xr:uid="{00000000-0005-0000-0000-0000A5610000}"/>
    <cellStyle name="Note 5 5 3 2" xfId="16825" xr:uid="{00000000-0005-0000-0000-0000A6610000}"/>
    <cellStyle name="Note 5 5 3 3" xfId="31621" xr:uid="{00000000-0005-0000-0000-0000A7610000}"/>
    <cellStyle name="Note 5 5 3 4" xfId="31622" xr:uid="{00000000-0005-0000-0000-0000A8610000}"/>
    <cellStyle name="Note 5 5 4" xfId="16826" xr:uid="{00000000-0005-0000-0000-0000A9610000}"/>
    <cellStyle name="Note 5 5 4 2" xfId="16827" xr:uid="{00000000-0005-0000-0000-0000AA610000}"/>
    <cellStyle name="Note 5 5 4 3" xfId="31623" xr:uid="{00000000-0005-0000-0000-0000AB610000}"/>
    <cellStyle name="Note 5 5 4 4" xfId="31624" xr:uid="{00000000-0005-0000-0000-0000AC610000}"/>
    <cellStyle name="Note 5 5 5" xfId="16828" xr:uid="{00000000-0005-0000-0000-0000AD610000}"/>
    <cellStyle name="Note 5 5 5 2" xfId="16829" xr:uid="{00000000-0005-0000-0000-0000AE610000}"/>
    <cellStyle name="Note 5 5 5 3" xfId="31625" xr:uid="{00000000-0005-0000-0000-0000AF610000}"/>
    <cellStyle name="Note 5 5 5 4" xfId="31626" xr:uid="{00000000-0005-0000-0000-0000B0610000}"/>
    <cellStyle name="Note 5 5 6" xfId="16830" xr:uid="{00000000-0005-0000-0000-0000B1610000}"/>
    <cellStyle name="Note 5 5 6 2" xfId="16831" xr:uid="{00000000-0005-0000-0000-0000B2610000}"/>
    <cellStyle name="Note 5 5 6 3" xfId="31627" xr:uid="{00000000-0005-0000-0000-0000B3610000}"/>
    <cellStyle name="Note 5 5 6 4" xfId="31628" xr:uid="{00000000-0005-0000-0000-0000B4610000}"/>
    <cellStyle name="Note 5 5 7" xfId="16832" xr:uid="{00000000-0005-0000-0000-0000B5610000}"/>
    <cellStyle name="Note 5 5 7 2" xfId="16833" xr:uid="{00000000-0005-0000-0000-0000B6610000}"/>
    <cellStyle name="Note 5 5 7 3" xfId="31629" xr:uid="{00000000-0005-0000-0000-0000B7610000}"/>
    <cellStyle name="Note 5 5 7 4" xfId="31630" xr:uid="{00000000-0005-0000-0000-0000B8610000}"/>
    <cellStyle name="Note 5 5 8" xfId="16834" xr:uid="{00000000-0005-0000-0000-0000B9610000}"/>
    <cellStyle name="Note 5 5 9" xfId="31631" xr:uid="{00000000-0005-0000-0000-0000BA610000}"/>
    <cellStyle name="Note 5 6" xfId="16835" xr:uid="{00000000-0005-0000-0000-0000BB610000}"/>
    <cellStyle name="Note 5 6 2" xfId="16836" xr:uid="{00000000-0005-0000-0000-0000BC610000}"/>
    <cellStyle name="Note 5 6 3" xfId="31632" xr:uid="{00000000-0005-0000-0000-0000BD610000}"/>
    <cellStyle name="Note 5 6 4" xfId="31633" xr:uid="{00000000-0005-0000-0000-0000BE610000}"/>
    <cellStyle name="Note 5 7" xfId="16837" xr:uid="{00000000-0005-0000-0000-0000BF610000}"/>
    <cellStyle name="Note 5 7 2" xfId="16838" xr:uid="{00000000-0005-0000-0000-0000C0610000}"/>
    <cellStyle name="Note 5 7 3" xfId="31634" xr:uid="{00000000-0005-0000-0000-0000C1610000}"/>
    <cellStyle name="Note 5 7 4" xfId="31635" xr:uid="{00000000-0005-0000-0000-0000C2610000}"/>
    <cellStyle name="Note 5 8" xfId="16839" xr:uid="{00000000-0005-0000-0000-0000C3610000}"/>
    <cellStyle name="Note 5 8 2" xfId="16840" xr:uid="{00000000-0005-0000-0000-0000C4610000}"/>
    <cellStyle name="Note 5 8 3" xfId="31636" xr:uid="{00000000-0005-0000-0000-0000C5610000}"/>
    <cellStyle name="Note 5 8 4" xfId="31637" xr:uid="{00000000-0005-0000-0000-0000C6610000}"/>
    <cellStyle name="Note 5 9" xfId="16841" xr:uid="{00000000-0005-0000-0000-0000C7610000}"/>
    <cellStyle name="Note 5 9 2" xfId="16842" xr:uid="{00000000-0005-0000-0000-0000C8610000}"/>
    <cellStyle name="Note 5 9 3" xfId="31638" xr:uid="{00000000-0005-0000-0000-0000C9610000}"/>
    <cellStyle name="Note 5 9 4" xfId="31639" xr:uid="{00000000-0005-0000-0000-0000CA610000}"/>
    <cellStyle name="Note 6" xfId="16843" xr:uid="{00000000-0005-0000-0000-0000CB610000}"/>
    <cellStyle name="Note 6 10" xfId="16844" xr:uid="{00000000-0005-0000-0000-0000CC610000}"/>
    <cellStyle name="Note 6 10 2" xfId="16845" xr:uid="{00000000-0005-0000-0000-0000CD610000}"/>
    <cellStyle name="Note 6 10 3" xfId="31640" xr:uid="{00000000-0005-0000-0000-0000CE610000}"/>
    <cellStyle name="Note 6 10 4" xfId="31641" xr:uid="{00000000-0005-0000-0000-0000CF610000}"/>
    <cellStyle name="Note 6 11" xfId="16846" xr:uid="{00000000-0005-0000-0000-0000D0610000}"/>
    <cellStyle name="Note 6 11 2" xfId="16847" xr:uid="{00000000-0005-0000-0000-0000D1610000}"/>
    <cellStyle name="Note 6 11 3" xfId="31642" xr:uid="{00000000-0005-0000-0000-0000D2610000}"/>
    <cellStyle name="Note 6 11 4" xfId="31643" xr:uid="{00000000-0005-0000-0000-0000D3610000}"/>
    <cellStyle name="Note 6 12" xfId="16848" xr:uid="{00000000-0005-0000-0000-0000D4610000}"/>
    <cellStyle name="Note 6 13" xfId="31644" xr:uid="{00000000-0005-0000-0000-0000D5610000}"/>
    <cellStyle name="Note 6 14" xfId="31645" xr:uid="{00000000-0005-0000-0000-0000D6610000}"/>
    <cellStyle name="Note 6 2" xfId="16849" xr:uid="{00000000-0005-0000-0000-0000D7610000}"/>
    <cellStyle name="Note 6 2 10" xfId="31646" xr:uid="{00000000-0005-0000-0000-0000D8610000}"/>
    <cellStyle name="Note 6 2 2" xfId="16850" xr:uid="{00000000-0005-0000-0000-0000D9610000}"/>
    <cellStyle name="Note 6 2 2 2" xfId="16851" xr:uid="{00000000-0005-0000-0000-0000DA610000}"/>
    <cellStyle name="Note 6 2 2 3" xfId="31647" xr:uid="{00000000-0005-0000-0000-0000DB610000}"/>
    <cellStyle name="Note 6 2 2 4" xfId="31648" xr:uid="{00000000-0005-0000-0000-0000DC610000}"/>
    <cellStyle name="Note 6 2 3" xfId="16852" xr:uid="{00000000-0005-0000-0000-0000DD610000}"/>
    <cellStyle name="Note 6 2 3 2" xfId="16853" xr:uid="{00000000-0005-0000-0000-0000DE610000}"/>
    <cellStyle name="Note 6 2 3 3" xfId="31649" xr:uid="{00000000-0005-0000-0000-0000DF610000}"/>
    <cellStyle name="Note 6 2 3 4" xfId="31650" xr:uid="{00000000-0005-0000-0000-0000E0610000}"/>
    <cellStyle name="Note 6 2 4" xfId="16854" xr:uid="{00000000-0005-0000-0000-0000E1610000}"/>
    <cellStyle name="Note 6 2 4 2" xfId="16855" xr:uid="{00000000-0005-0000-0000-0000E2610000}"/>
    <cellStyle name="Note 6 2 4 3" xfId="31651" xr:uid="{00000000-0005-0000-0000-0000E3610000}"/>
    <cellStyle name="Note 6 2 4 4" xfId="31652" xr:uid="{00000000-0005-0000-0000-0000E4610000}"/>
    <cellStyle name="Note 6 2 5" xfId="16856" xr:uid="{00000000-0005-0000-0000-0000E5610000}"/>
    <cellStyle name="Note 6 2 5 2" xfId="16857" xr:uid="{00000000-0005-0000-0000-0000E6610000}"/>
    <cellStyle name="Note 6 2 5 3" xfId="31653" xr:uid="{00000000-0005-0000-0000-0000E7610000}"/>
    <cellStyle name="Note 6 2 5 4" xfId="31654" xr:uid="{00000000-0005-0000-0000-0000E8610000}"/>
    <cellStyle name="Note 6 2 6" xfId="16858" xr:uid="{00000000-0005-0000-0000-0000E9610000}"/>
    <cellStyle name="Note 6 2 6 2" xfId="16859" xr:uid="{00000000-0005-0000-0000-0000EA610000}"/>
    <cellStyle name="Note 6 2 6 3" xfId="31655" xr:uid="{00000000-0005-0000-0000-0000EB610000}"/>
    <cellStyle name="Note 6 2 6 4" xfId="31656" xr:uid="{00000000-0005-0000-0000-0000EC610000}"/>
    <cellStyle name="Note 6 2 7" xfId="16860" xr:uid="{00000000-0005-0000-0000-0000ED610000}"/>
    <cellStyle name="Note 6 2 7 2" xfId="16861" xr:uid="{00000000-0005-0000-0000-0000EE610000}"/>
    <cellStyle name="Note 6 2 7 3" xfId="31657" xr:uid="{00000000-0005-0000-0000-0000EF610000}"/>
    <cellStyle name="Note 6 2 7 4" xfId="31658" xr:uid="{00000000-0005-0000-0000-0000F0610000}"/>
    <cellStyle name="Note 6 2 8" xfId="16862" xr:uid="{00000000-0005-0000-0000-0000F1610000}"/>
    <cellStyle name="Note 6 2 9" xfId="31659" xr:uid="{00000000-0005-0000-0000-0000F2610000}"/>
    <cellStyle name="Note 6 3" xfId="16863" xr:uid="{00000000-0005-0000-0000-0000F3610000}"/>
    <cellStyle name="Note 6 3 10" xfId="31660" xr:uid="{00000000-0005-0000-0000-0000F4610000}"/>
    <cellStyle name="Note 6 3 2" xfId="16864" xr:uid="{00000000-0005-0000-0000-0000F5610000}"/>
    <cellStyle name="Note 6 3 2 2" xfId="16865" xr:uid="{00000000-0005-0000-0000-0000F6610000}"/>
    <cellStyle name="Note 6 3 2 3" xfId="31661" xr:uid="{00000000-0005-0000-0000-0000F7610000}"/>
    <cellStyle name="Note 6 3 2 4" xfId="31662" xr:uid="{00000000-0005-0000-0000-0000F8610000}"/>
    <cellStyle name="Note 6 3 3" xfId="16866" xr:uid="{00000000-0005-0000-0000-0000F9610000}"/>
    <cellStyle name="Note 6 3 3 2" xfId="16867" xr:uid="{00000000-0005-0000-0000-0000FA610000}"/>
    <cellStyle name="Note 6 3 3 3" xfId="31663" xr:uid="{00000000-0005-0000-0000-0000FB610000}"/>
    <cellStyle name="Note 6 3 3 4" xfId="31664" xr:uid="{00000000-0005-0000-0000-0000FC610000}"/>
    <cellStyle name="Note 6 3 4" xfId="16868" xr:uid="{00000000-0005-0000-0000-0000FD610000}"/>
    <cellStyle name="Note 6 3 4 2" xfId="16869" xr:uid="{00000000-0005-0000-0000-0000FE610000}"/>
    <cellStyle name="Note 6 3 4 3" xfId="31665" xr:uid="{00000000-0005-0000-0000-0000FF610000}"/>
    <cellStyle name="Note 6 3 4 4" xfId="31666" xr:uid="{00000000-0005-0000-0000-000000620000}"/>
    <cellStyle name="Note 6 3 5" xfId="16870" xr:uid="{00000000-0005-0000-0000-000001620000}"/>
    <cellStyle name="Note 6 3 5 2" xfId="16871" xr:uid="{00000000-0005-0000-0000-000002620000}"/>
    <cellStyle name="Note 6 3 5 3" xfId="31667" xr:uid="{00000000-0005-0000-0000-000003620000}"/>
    <cellStyle name="Note 6 3 5 4" xfId="31668" xr:uid="{00000000-0005-0000-0000-000004620000}"/>
    <cellStyle name="Note 6 3 6" xfId="16872" xr:uid="{00000000-0005-0000-0000-000005620000}"/>
    <cellStyle name="Note 6 3 6 2" xfId="16873" xr:uid="{00000000-0005-0000-0000-000006620000}"/>
    <cellStyle name="Note 6 3 6 3" xfId="31669" xr:uid="{00000000-0005-0000-0000-000007620000}"/>
    <cellStyle name="Note 6 3 6 4" xfId="31670" xr:uid="{00000000-0005-0000-0000-000008620000}"/>
    <cellStyle name="Note 6 3 7" xfId="16874" xr:uid="{00000000-0005-0000-0000-000009620000}"/>
    <cellStyle name="Note 6 3 7 2" xfId="16875" xr:uid="{00000000-0005-0000-0000-00000A620000}"/>
    <cellStyle name="Note 6 3 7 3" xfId="31671" xr:uid="{00000000-0005-0000-0000-00000B620000}"/>
    <cellStyle name="Note 6 3 7 4" xfId="31672" xr:uid="{00000000-0005-0000-0000-00000C620000}"/>
    <cellStyle name="Note 6 3 8" xfId="16876" xr:uid="{00000000-0005-0000-0000-00000D620000}"/>
    <cellStyle name="Note 6 3 9" xfId="31673" xr:uid="{00000000-0005-0000-0000-00000E620000}"/>
    <cellStyle name="Note 6 4" xfId="16877" xr:uid="{00000000-0005-0000-0000-00000F620000}"/>
    <cellStyle name="Note 6 4 10" xfId="31674" xr:uid="{00000000-0005-0000-0000-000010620000}"/>
    <cellStyle name="Note 6 4 2" xfId="16878" xr:uid="{00000000-0005-0000-0000-000011620000}"/>
    <cellStyle name="Note 6 4 2 2" xfId="16879" xr:uid="{00000000-0005-0000-0000-000012620000}"/>
    <cellStyle name="Note 6 4 2 3" xfId="31675" xr:uid="{00000000-0005-0000-0000-000013620000}"/>
    <cellStyle name="Note 6 4 2 4" xfId="31676" xr:uid="{00000000-0005-0000-0000-000014620000}"/>
    <cellStyle name="Note 6 4 3" xfId="16880" xr:uid="{00000000-0005-0000-0000-000015620000}"/>
    <cellStyle name="Note 6 4 3 2" xfId="16881" xr:uid="{00000000-0005-0000-0000-000016620000}"/>
    <cellStyle name="Note 6 4 3 3" xfId="31677" xr:uid="{00000000-0005-0000-0000-000017620000}"/>
    <cellStyle name="Note 6 4 3 4" xfId="31678" xr:uid="{00000000-0005-0000-0000-000018620000}"/>
    <cellStyle name="Note 6 4 4" xfId="16882" xr:uid="{00000000-0005-0000-0000-000019620000}"/>
    <cellStyle name="Note 6 4 4 2" xfId="16883" xr:uid="{00000000-0005-0000-0000-00001A620000}"/>
    <cellStyle name="Note 6 4 4 3" xfId="31679" xr:uid="{00000000-0005-0000-0000-00001B620000}"/>
    <cellStyle name="Note 6 4 4 4" xfId="31680" xr:uid="{00000000-0005-0000-0000-00001C620000}"/>
    <cellStyle name="Note 6 4 5" xfId="16884" xr:uid="{00000000-0005-0000-0000-00001D620000}"/>
    <cellStyle name="Note 6 4 5 2" xfId="16885" xr:uid="{00000000-0005-0000-0000-00001E620000}"/>
    <cellStyle name="Note 6 4 5 3" xfId="31681" xr:uid="{00000000-0005-0000-0000-00001F620000}"/>
    <cellStyle name="Note 6 4 5 4" xfId="31682" xr:uid="{00000000-0005-0000-0000-000020620000}"/>
    <cellStyle name="Note 6 4 6" xfId="16886" xr:uid="{00000000-0005-0000-0000-000021620000}"/>
    <cellStyle name="Note 6 4 6 2" xfId="16887" xr:uid="{00000000-0005-0000-0000-000022620000}"/>
    <cellStyle name="Note 6 4 6 3" xfId="31683" xr:uid="{00000000-0005-0000-0000-000023620000}"/>
    <cellStyle name="Note 6 4 6 4" xfId="31684" xr:uid="{00000000-0005-0000-0000-000024620000}"/>
    <cellStyle name="Note 6 4 7" xfId="16888" xr:uid="{00000000-0005-0000-0000-000025620000}"/>
    <cellStyle name="Note 6 4 7 2" xfId="16889" xr:uid="{00000000-0005-0000-0000-000026620000}"/>
    <cellStyle name="Note 6 4 7 3" xfId="31685" xr:uid="{00000000-0005-0000-0000-000027620000}"/>
    <cellStyle name="Note 6 4 7 4" xfId="31686" xr:uid="{00000000-0005-0000-0000-000028620000}"/>
    <cellStyle name="Note 6 4 8" xfId="16890" xr:uid="{00000000-0005-0000-0000-000029620000}"/>
    <cellStyle name="Note 6 4 9" xfId="31687" xr:uid="{00000000-0005-0000-0000-00002A620000}"/>
    <cellStyle name="Note 6 5" xfId="16891" xr:uid="{00000000-0005-0000-0000-00002B620000}"/>
    <cellStyle name="Note 6 5 10" xfId="31688" xr:uid="{00000000-0005-0000-0000-00002C620000}"/>
    <cellStyle name="Note 6 5 2" xfId="16892" xr:uid="{00000000-0005-0000-0000-00002D620000}"/>
    <cellStyle name="Note 6 5 2 2" xfId="16893" xr:uid="{00000000-0005-0000-0000-00002E620000}"/>
    <cellStyle name="Note 6 5 2 3" xfId="31689" xr:uid="{00000000-0005-0000-0000-00002F620000}"/>
    <cellStyle name="Note 6 5 2 4" xfId="31690" xr:uid="{00000000-0005-0000-0000-000030620000}"/>
    <cellStyle name="Note 6 5 3" xfId="16894" xr:uid="{00000000-0005-0000-0000-000031620000}"/>
    <cellStyle name="Note 6 5 3 2" xfId="16895" xr:uid="{00000000-0005-0000-0000-000032620000}"/>
    <cellStyle name="Note 6 5 3 3" xfId="31691" xr:uid="{00000000-0005-0000-0000-000033620000}"/>
    <cellStyle name="Note 6 5 3 4" xfId="31692" xr:uid="{00000000-0005-0000-0000-000034620000}"/>
    <cellStyle name="Note 6 5 4" xfId="16896" xr:uid="{00000000-0005-0000-0000-000035620000}"/>
    <cellStyle name="Note 6 5 4 2" xfId="16897" xr:uid="{00000000-0005-0000-0000-000036620000}"/>
    <cellStyle name="Note 6 5 4 3" xfId="31693" xr:uid="{00000000-0005-0000-0000-000037620000}"/>
    <cellStyle name="Note 6 5 4 4" xfId="31694" xr:uid="{00000000-0005-0000-0000-000038620000}"/>
    <cellStyle name="Note 6 5 5" xfId="16898" xr:uid="{00000000-0005-0000-0000-000039620000}"/>
    <cellStyle name="Note 6 5 5 2" xfId="16899" xr:uid="{00000000-0005-0000-0000-00003A620000}"/>
    <cellStyle name="Note 6 5 5 3" xfId="31695" xr:uid="{00000000-0005-0000-0000-00003B620000}"/>
    <cellStyle name="Note 6 5 5 4" xfId="31696" xr:uid="{00000000-0005-0000-0000-00003C620000}"/>
    <cellStyle name="Note 6 5 6" xfId="16900" xr:uid="{00000000-0005-0000-0000-00003D620000}"/>
    <cellStyle name="Note 6 5 6 2" xfId="16901" xr:uid="{00000000-0005-0000-0000-00003E620000}"/>
    <cellStyle name="Note 6 5 6 3" xfId="31697" xr:uid="{00000000-0005-0000-0000-00003F620000}"/>
    <cellStyle name="Note 6 5 6 4" xfId="31698" xr:uid="{00000000-0005-0000-0000-000040620000}"/>
    <cellStyle name="Note 6 5 7" xfId="16902" xr:uid="{00000000-0005-0000-0000-000041620000}"/>
    <cellStyle name="Note 6 5 7 2" xfId="16903" xr:uid="{00000000-0005-0000-0000-000042620000}"/>
    <cellStyle name="Note 6 5 7 3" xfId="31699" xr:uid="{00000000-0005-0000-0000-000043620000}"/>
    <cellStyle name="Note 6 5 7 4" xfId="31700" xr:uid="{00000000-0005-0000-0000-000044620000}"/>
    <cellStyle name="Note 6 5 8" xfId="16904" xr:uid="{00000000-0005-0000-0000-000045620000}"/>
    <cellStyle name="Note 6 5 9" xfId="31701" xr:uid="{00000000-0005-0000-0000-000046620000}"/>
    <cellStyle name="Note 6 6" xfId="16905" xr:uid="{00000000-0005-0000-0000-000047620000}"/>
    <cellStyle name="Note 6 6 2" xfId="16906" xr:uid="{00000000-0005-0000-0000-000048620000}"/>
    <cellStyle name="Note 6 6 3" xfId="31702" xr:uid="{00000000-0005-0000-0000-000049620000}"/>
    <cellStyle name="Note 6 6 4" xfId="31703" xr:uid="{00000000-0005-0000-0000-00004A620000}"/>
    <cellStyle name="Note 6 7" xfId="16907" xr:uid="{00000000-0005-0000-0000-00004B620000}"/>
    <cellStyle name="Note 6 7 2" xfId="16908" xr:uid="{00000000-0005-0000-0000-00004C620000}"/>
    <cellStyle name="Note 6 7 3" xfId="31704" xr:uid="{00000000-0005-0000-0000-00004D620000}"/>
    <cellStyle name="Note 6 7 4" xfId="31705" xr:uid="{00000000-0005-0000-0000-00004E620000}"/>
    <cellStyle name="Note 6 8" xfId="16909" xr:uid="{00000000-0005-0000-0000-00004F620000}"/>
    <cellStyle name="Note 6 8 2" xfId="16910" xr:uid="{00000000-0005-0000-0000-000050620000}"/>
    <cellStyle name="Note 6 8 3" xfId="31706" xr:uid="{00000000-0005-0000-0000-000051620000}"/>
    <cellStyle name="Note 6 8 4" xfId="31707" xr:uid="{00000000-0005-0000-0000-000052620000}"/>
    <cellStyle name="Note 6 9" xfId="16911" xr:uid="{00000000-0005-0000-0000-000053620000}"/>
    <cellStyle name="Note 6 9 2" xfId="16912" xr:uid="{00000000-0005-0000-0000-000054620000}"/>
    <cellStyle name="Note 6 9 3" xfId="31708" xr:uid="{00000000-0005-0000-0000-000055620000}"/>
    <cellStyle name="Note 6 9 4" xfId="31709" xr:uid="{00000000-0005-0000-0000-000056620000}"/>
    <cellStyle name="Note 7" xfId="16913" xr:uid="{00000000-0005-0000-0000-000057620000}"/>
    <cellStyle name="Note 7 10" xfId="16914" xr:uid="{00000000-0005-0000-0000-000058620000}"/>
    <cellStyle name="Note 7 10 2" xfId="16915" xr:uid="{00000000-0005-0000-0000-000059620000}"/>
    <cellStyle name="Note 7 10 3" xfId="31710" xr:uid="{00000000-0005-0000-0000-00005A620000}"/>
    <cellStyle name="Note 7 10 4" xfId="31711" xr:uid="{00000000-0005-0000-0000-00005B620000}"/>
    <cellStyle name="Note 7 11" xfId="16916" xr:uid="{00000000-0005-0000-0000-00005C620000}"/>
    <cellStyle name="Note 7 11 2" xfId="16917" xr:uid="{00000000-0005-0000-0000-00005D620000}"/>
    <cellStyle name="Note 7 11 3" xfId="31712" xr:uid="{00000000-0005-0000-0000-00005E620000}"/>
    <cellStyle name="Note 7 11 4" xfId="31713" xr:uid="{00000000-0005-0000-0000-00005F620000}"/>
    <cellStyle name="Note 7 12" xfId="16918" xr:uid="{00000000-0005-0000-0000-000060620000}"/>
    <cellStyle name="Note 7 13" xfId="31714" xr:uid="{00000000-0005-0000-0000-000061620000}"/>
    <cellStyle name="Note 7 14" xfId="31715" xr:uid="{00000000-0005-0000-0000-000062620000}"/>
    <cellStyle name="Note 7 2" xfId="16919" xr:uid="{00000000-0005-0000-0000-000063620000}"/>
    <cellStyle name="Note 7 2 10" xfId="31716" xr:uid="{00000000-0005-0000-0000-000064620000}"/>
    <cellStyle name="Note 7 2 2" xfId="16920" xr:uid="{00000000-0005-0000-0000-000065620000}"/>
    <cellStyle name="Note 7 2 2 2" xfId="16921" xr:uid="{00000000-0005-0000-0000-000066620000}"/>
    <cellStyle name="Note 7 2 2 3" xfId="31717" xr:uid="{00000000-0005-0000-0000-000067620000}"/>
    <cellStyle name="Note 7 2 2 4" xfId="31718" xr:uid="{00000000-0005-0000-0000-000068620000}"/>
    <cellStyle name="Note 7 2 3" xfId="16922" xr:uid="{00000000-0005-0000-0000-000069620000}"/>
    <cellStyle name="Note 7 2 3 2" xfId="16923" xr:uid="{00000000-0005-0000-0000-00006A620000}"/>
    <cellStyle name="Note 7 2 3 3" xfId="31719" xr:uid="{00000000-0005-0000-0000-00006B620000}"/>
    <cellStyle name="Note 7 2 3 4" xfId="31720" xr:uid="{00000000-0005-0000-0000-00006C620000}"/>
    <cellStyle name="Note 7 2 4" xfId="16924" xr:uid="{00000000-0005-0000-0000-00006D620000}"/>
    <cellStyle name="Note 7 2 4 2" xfId="16925" xr:uid="{00000000-0005-0000-0000-00006E620000}"/>
    <cellStyle name="Note 7 2 4 3" xfId="31721" xr:uid="{00000000-0005-0000-0000-00006F620000}"/>
    <cellStyle name="Note 7 2 4 4" xfId="31722" xr:uid="{00000000-0005-0000-0000-000070620000}"/>
    <cellStyle name="Note 7 2 5" xfId="16926" xr:uid="{00000000-0005-0000-0000-000071620000}"/>
    <cellStyle name="Note 7 2 5 2" xfId="16927" xr:uid="{00000000-0005-0000-0000-000072620000}"/>
    <cellStyle name="Note 7 2 5 3" xfId="31723" xr:uid="{00000000-0005-0000-0000-000073620000}"/>
    <cellStyle name="Note 7 2 5 4" xfId="31724" xr:uid="{00000000-0005-0000-0000-000074620000}"/>
    <cellStyle name="Note 7 2 6" xfId="16928" xr:uid="{00000000-0005-0000-0000-000075620000}"/>
    <cellStyle name="Note 7 2 6 2" xfId="16929" xr:uid="{00000000-0005-0000-0000-000076620000}"/>
    <cellStyle name="Note 7 2 6 3" xfId="31725" xr:uid="{00000000-0005-0000-0000-000077620000}"/>
    <cellStyle name="Note 7 2 6 4" xfId="31726" xr:uid="{00000000-0005-0000-0000-000078620000}"/>
    <cellStyle name="Note 7 2 7" xfId="16930" xr:uid="{00000000-0005-0000-0000-000079620000}"/>
    <cellStyle name="Note 7 2 7 2" xfId="16931" xr:uid="{00000000-0005-0000-0000-00007A620000}"/>
    <cellStyle name="Note 7 2 7 3" xfId="31727" xr:uid="{00000000-0005-0000-0000-00007B620000}"/>
    <cellStyle name="Note 7 2 7 4" xfId="31728" xr:uid="{00000000-0005-0000-0000-00007C620000}"/>
    <cellStyle name="Note 7 2 8" xfId="16932" xr:uid="{00000000-0005-0000-0000-00007D620000}"/>
    <cellStyle name="Note 7 2 9" xfId="31729" xr:uid="{00000000-0005-0000-0000-00007E620000}"/>
    <cellStyle name="Note 7 3" xfId="16933" xr:uid="{00000000-0005-0000-0000-00007F620000}"/>
    <cellStyle name="Note 7 3 10" xfId="31730" xr:uid="{00000000-0005-0000-0000-000080620000}"/>
    <cellStyle name="Note 7 3 2" xfId="16934" xr:uid="{00000000-0005-0000-0000-000081620000}"/>
    <cellStyle name="Note 7 3 2 2" xfId="16935" xr:uid="{00000000-0005-0000-0000-000082620000}"/>
    <cellStyle name="Note 7 3 2 3" xfId="31731" xr:uid="{00000000-0005-0000-0000-000083620000}"/>
    <cellStyle name="Note 7 3 2 4" xfId="31732" xr:uid="{00000000-0005-0000-0000-000084620000}"/>
    <cellStyle name="Note 7 3 3" xfId="16936" xr:uid="{00000000-0005-0000-0000-000085620000}"/>
    <cellStyle name="Note 7 3 3 2" xfId="16937" xr:uid="{00000000-0005-0000-0000-000086620000}"/>
    <cellStyle name="Note 7 3 3 3" xfId="31733" xr:uid="{00000000-0005-0000-0000-000087620000}"/>
    <cellStyle name="Note 7 3 3 4" xfId="31734" xr:uid="{00000000-0005-0000-0000-000088620000}"/>
    <cellStyle name="Note 7 3 4" xfId="16938" xr:uid="{00000000-0005-0000-0000-000089620000}"/>
    <cellStyle name="Note 7 3 4 2" xfId="16939" xr:uid="{00000000-0005-0000-0000-00008A620000}"/>
    <cellStyle name="Note 7 3 4 3" xfId="31735" xr:uid="{00000000-0005-0000-0000-00008B620000}"/>
    <cellStyle name="Note 7 3 4 4" xfId="31736" xr:uid="{00000000-0005-0000-0000-00008C620000}"/>
    <cellStyle name="Note 7 3 5" xfId="16940" xr:uid="{00000000-0005-0000-0000-00008D620000}"/>
    <cellStyle name="Note 7 3 5 2" xfId="16941" xr:uid="{00000000-0005-0000-0000-00008E620000}"/>
    <cellStyle name="Note 7 3 5 3" xfId="31737" xr:uid="{00000000-0005-0000-0000-00008F620000}"/>
    <cellStyle name="Note 7 3 5 4" xfId="31738" xr:uid="{00000000-0005-0000-0000-000090620000}"/>
    <cellStyle name="Note 7 3 6" xfId="16942" xr:uid="{00000000-0005-0000-0000-000091620000}"/>
    <cellStyle name="Note 7 3 6 2" xfId="16943" xr:uid="{00000000-0005-0000-0000-000092620000}"/>
    <cellStyle name="Note 7 3 6 3" xfId="31739" xr:uid="{00000000-0005-0000-0000-000093620000}"/>
    <cellStyle name="Note 7 3 6 4" xfId="31740" xr:uid="{00000000-0005-0000-0000-000094620000}"/>
    <cellStyle name="Note 7 3 7" xfId="16944" xr:uid="{00000000-0005-0000-0000-000095620000}"/>
    <cellStyle name="Note 7 3 7 2" xfId="16945" xr:uid="{00000000-0005-0000-0000-000096620000}"/>
    <cellStyle name="Note 7 3 7 3" xfId="31741" xr:uid="{00000000-0005-0000-0000-000097620000}"/>
    <cellStyle name="Note 7 3 7 4" xfId="31742" xr:uid="{00000000-0005-0000-0000-000098620000}"/>
    <cellStyle name="Note 7 3 8" xfId="16946" xr:uid="{00000000-0005-0000-0000-000099620000}"/>
    <cellStyle name="Note 7 3 9" xfId="31743" xr:uid="{00000000-0005-0000-0000-00009A620000}"/>
    <cellStyle name="Note 7 4" xfId="16947" xr:uid="{00000000-0005-0000-0000-00009B620000}"/>
    <cellStyle name="Note 7 4 10" xfId="31744" xr:uid="{00000000-0005-0000-0000-00009C620000}"/>
    <cellStyle name="Note 7 4 2" xfId="16948" xr:uid="{00000000-0005-0000-0000-00009D620000}"/>
    <cellStyle name="Note 7 4 2 2" xfId="16949" xr:uid="{00000000-0005-0000-0000-00009E620000}"/>
    <cellStyle name="Note 7 4 2 3" xfId="31745" xr:uid="{00000000-0005-0000-0000-00009F620000}"/>
    <cellStyle name="Note 7 4 2 4" xfId="31746" xr:uid="{00000000-0005-0000-0000-0000A0620000}"/>
    <cellStyle name="Note 7 4 3" xfId="16950" xr:uid="{00000000-0005-0000-0000-0000A1620000}"/>
    <cellStyle name="Note 7 4 3 2" xfId="16951" xr:uid="{00000000-0005-0000-0000-0000A2620000}"/>
    <cellStyle name="Note 7 4 3 3" xfId="31747" xr:uid="{00000000-0005-0000-0000-0000A3620000}"/>
    <cellStyle name="Note 7 4 3 4" xfId="31748" xr:uid="{00000000-0005-0000-0000-0000A4620000}"/>
    <cellStyle name="Note 7 4 4" xfId="16952" xr:uid="{00000000-0005-0000-0000-0000A5620000}"/>
    <cellStyle name="Note 7 4 4 2" xfId="16953" xr:uid="{00000000-0005-0000-0000-0000A6620000}"/>
    <cellStyle name="Note 7 4 4 3" xfId="31749" xr:uid="{00000000-0005-0000-0000-0000A7620000}"/>
    <cellStyle name="Note 7 4 4 4" xfId="31750" xr:uid="{00000000-0005-0000-0000-0000A8620000}"/>
    <cellStyle name="Note 7 4 5" xfId="16954" xr:uid="{00000000-0005-0000-0000-0000A9620000}"/>
    <cellStyle name="Note 7 4 5 2" xfId="16955" xr:uid="{00000000-0005-0000-0000-0000AA620000}"/>
    <cellStyle name="Note 7 4 5 3" xfId="31751" xr:uid="{00000000-0005-0000-0000-0000AB620000}"/>
    <cellStyle name="Note 7 4 5 4" xfId="31752" xr:uid="{00000000-0005-0000-0000-0000AC620000}"/>
    <cellStyle name="Note 7 4 6" xfId="16956" xr:uid="{00000000-0005-0000-0000-0000AD620000}"/>
    <cellStyle name="Note 7 4 6 2" xfId="16957" xr:uid="{00000000-0005-0000-0000-0000AE620000}"/>
    <cellStyle name="Note 7 4 6 3" xfId="31753" xr:uid="{00000000-0005-0000-0000-0000AF620000}"/>
    <cellStyle name="Note 7 4 6 4" xfId="31754" xr:uid="{00000000-0005-0000-0000-0000B0620000}"/>
    <cellStyle name="Note 7 4 7" xfId="16958" xr:uid="{00000000-0005-0000-0000-0000B1620000}"/>
    <cellStyle name="Note 7 4 7 2" xfId="16959" xr:uid="{00000000-0005-0000-0000-0000B2620000}"/>
    <cellStyle name="Note 7 4 7 3" xfId="31755" xr:uid="{00000000-0005-0000-0000-0000B3620000}"/>
    <cellStyle name="Note 7 4 7 4" xfId="31756" xr:uid="{00000000-0005-0000-0000-0000B4620000}"/>
    <cellStyle name="Note 7 4 8" xfId="16960" xr:uid="{00000000-0005-0000-0000-0000B5620000}"/>
    <cellStyle name="Note 7 4 9" xfId="31757" xr:uid="{00000000-0005-0000-0000-0000B6620000}"/>
    <cellStyle name="Note 7 5" xfId="16961" xr:uid="{00000000-0005-0000-0000-0000B7620000}"/>
    <cellStyle name="Note 7 5 10" xfId="31758" xr:uid="{00000000-0005-0000-0000-0000B8620000}"/>
    <cellStyle name="Note 7 5 2" xfId="16962" xr:uid="{00000000-0005-0000-0000-0000B9620000}"/>
    <cellStyle name="Note 7 5 2 2" xfId="16963" xr:uid="{00000000-0005-0000-0000-0000BA620000}"/>
    <cellStyle name="Note 7 5 2 3" xfId="31759" xr:uid="{00000000-0005-0000-0000-0000BB620000}"/>
    <cellStyle name="Note 7 5 2 4" xfId="31760" xr:uid="{00000000-0005-0000-0000-0000BC620000}"/>
    <cellStyle name="Note 7 5 3" xfId="16964" xr:uid="{00000000-0005-0000-0000-0000BD620000}"/>
    <cellStyle name="Note 7 5 3 2" xfId="16965" xr:uid="{00000000-0005-0000-0000-0000BE620000}"/>
    <cellStyle name="Note 7 5 3 3" xfId="31761" xr:uid="{00000000-0005-0000-0000-0000BF620000}"/>
    <cellStyle name="Note 7 5 3 4" xfId="31762" xr:uid="{00000000-0005-0000-0000-0000C0620000}"/>
    <cellStyle name="Note 7 5 4" xfId="16966" xr:uid="{00000000-0005-0000-0000-0000C1620000}"/>
    <cellStyle name="Note 7 5 4 2" xfId="16967" xr:uid="{00000000-0005-0000-0000-0000C2620000}"/>
    <cellStyle name="Note 7 5 4 3" xfId="31763" xr:uid="{00000000-0005-0000-0000-0000C3620000}"/>
    <cellStyle name="Note 7 5 4 4" xfId="31764" xr:uid="{00000000-0005-0000-0000-0000C4620000}"/>
    <cellStyle name="Note 7 5 5" xfId="16968" xr:uid="{00000000-0005-0000-0000-0000C5620000}"/>
    <cellStyle name="Note 7 5 5 2" xfId="16969" xr:uid="{00000000-0005-0000-0000-0000C6620000}"/>
    <cellStyle name="Note 7 5 5 3" xfId="31765" xr:uid="{00000000-0005-0000-0000-0000C7620000}"/>
    <cellStyle name="Note 7 5 5 4" xfId="31766" xr:uid="{00000000-0005-0000-0000-0000C8620000}"/>
    <cellStyle name="Note 7 5 6" xfId="16970" xr:uid="{00000000-0005-0000-0000-0000C9620000}"/>
    <cellStyle name="Note 7 5 6 2" xfId="16971" xr:uid="{00000000-0005-0000-0000-0000CA620000}"/>
    <cellStyle name="Note 7 5 6 3" xfId="31767" xr:uid="{00000000-0005-0000-0000-0000CB620000}"/>
    <cellStyle name="Note 7 5 6 4" xfId="31768" xr:uid="{00000000-0005-0000-0000-0000CC620000}"/>
    <cellStyle name="Note 7 5 7" xfId="16972" xr:uid="{00000000-0005-0000-0000-0000CD620000}"/>
    <cellStyle name="Note 7 5 7 2" xfId="16973" xr:uid="{00000000-0005-0000-0000-0000CE620000}"/>
    <cellStyle name="Note 7 5 7 3" xfId="31769" xr:uid="{00000000-0005-0000-0000-0000CF620000}"/>
    <cellStyle name="Note 7 5 7 4" xfId="31770" xr:uid="{00000000-0005-0000-0000-0000D0620000}"/>
    <cellStyle name="Note 7 5 8" xfId="16974" xr:uid="{00000000-0005-0000-0000-0000D1620000}"/>
    <cellStyle name="Note 7 5 9" xfId="31771" xr:uid="{00000000-0005-0000-0000-0000D2620000}"/>
    <cellStyle name="Note 7 6" xfId="16975" xr:uid="{00000000-0005-0000-0000-0000D3620000}"/>
    <cellStyle name="Note 7 6 2" xfId="16976" xr:uid="{00000000-0005-0000-0000-0000D4620000}"/>
    <cellStyle name="Note 7 6 3" xfId="31772" xr:uid="{00000000-0005-0000-0000-0000D5620000}"/>
    <cellStyle name="Note 7 6 4" xfId="31773" xr:uid="{00000000-0005-0000-0000-0000D6620000}"/>
    <cellStyle name="Note 7 7" xfId="16977" xr:uid="{00000000-0005-0000-0000-0000D7620000}"/>
    <cellStyle name="Note 7 7 2" xfId="16978" xr:uid="{00000000-0005-0000-0000-0000D8620000}"/>
    <cellStyle name="Note 7 7 3" xfId="31774" xr:uid="{00000000-0005-0000-0000-0000D9620000}"/>
    <cellStyle name="Note 7 7 4" xfId="31775" xr:uid="{00000000-0005-0000-0000-0000DA620000}"/>
    <cellStyle name="Note 7 8" xfId="16979" xr:uid="{00000000-0005-0000-0000-0000DB620000}"/>
    <cellStyle name="Note 7 8 2" xfId="16980" xr:uid="{00000000-0005-0000-0000-0000DC620000}"/>
    <cellStyle name="Note 7 8 3" xfId="31776" xr:uid="{00000000-0005-0000-0000-0000DD620000}"/>
    <cellStyle name="Note 7 8 4" xfId="31777" xr:uid="{00000000-0005-0000-0000-0000DE620000}"/>
    <cellStyle name="Note 7 9" xfId="16981" xr:uid="{00000000-0005-0000-0000-0000DF620000}"/>
    <cellStyle name="Note 7 9 2" xfId="16982" xr:uid="{00000000-0005-0000-0000-0000E0620000}"/>
    <cellStyle name="Note 7 9 3" xfId="31778" xr:uid="{00000000-0005-0000-0000-0000E1620000}"/>
    <cellStyle name="Note 7 9 4" xfId="31779" xr:uid="{00000000-0005-0000-0000-0000E2620000}"/>
    <cellStyle name="Note 8" xfId="16983" xr:uid="{00000000-0005-0000-0000-0000E3620000}"/>
    <cellStyle name="Note 8 10" xfId="16984" xr:uid="{00000000-0005-0000-0000-0000E4620000}"/>
    <cellStyle name="Note 8 10 2" xfId="16985" xr:uid="{00000000-0005-0000-0000-0000E5620000}"/>
    <cellStyle name="Note 8 10 3" xfId="31780" xr:uid="{00000000-0005-0000-0000-0000E6620000}"/>
    <cellStyle name="Note 8 10 4" xfId="31781" xr:uid="{00000000-0005-0000-0000-0000E7620000}"/>
    <cellStyle name="Note 8 11" xfId="16986" xr:uid="{00000000-0005-0000-0000-0000E8620000}"/>
    <cellStyle name="Note 8 11 2" xfId="16987" xr:uid="{00000000-0005-0000-0000-0000E9620000}"/>
    <cellStyle name="Note 8 11 3" xfId="31782" xr:uid="{00000000-0005-0000-0000-0000EA620000}"/>
    <cellStyle name="Note 8 11 4" xfId="31783" xr:uid="{00000000-0005-0000-0000-0000EB620000}"/>
    <cellStyle name="Note 8 12" xfId="16988" xr:uid="{00000000-0005-0000-0000-0000EC620000}"/>
    <cellStyle name="Note 8 13" xfId="31784" xr:uid="{00000000-0005-0000-0000-0000ED620000}"/>
    <cellStyle name="Note 8 14" xfId="31785" xr:uid="{00000000-0005-0000-0000-0000EE620000}"/>
    <cellStyle name="Note 8 2" xfId="16989" xr:uid="{00000000-0005-0000-0000-0000EF620000}"/>
    <cellStyle name="Note 8 2 10" xfId="31786" xr:uid="{00000000-0005-0000-0000-0000F0620000}"/>
    <cellStyle name="Note 8 2 2" xfId="16990" xr:uid="{00000000-0005-0000-0000-0000F1620000}"/>
    <cellStyle name="Note 8 2 2 2" xfId="16991" xr:uid="{00000000-0005-0000-0000-0000F2620000}"/>
    <cellStyle name="Note 8 2 2 3" xfId="31787" xr:uid="{00000000-0005-0000-0000-0000F3620000}"/>
    <cellStyle name="Note 8 2 2 4" xfId="31788" xr:uid="{00000000-0005-0000-0000-0000F4620000}"/>
    <cellStyle name="Note 8 2 3" xfId="16992" xr:uid="{00000000-0005-0000-0000-0000F5620000}"/>
    <cellStyle name="Note 8 2 3 2" xfId="16993" xr:uid="{00000000-0005-0000-0000-0000F6620000}"/>
    <cellStyle name="Note 8 2 3 3" xfId="31789" xr:uid="{00000000-0005-0000-0000-0000F7620000}"/>
    <cellStyle name="Note 8 2 3 4" xfId="31790" xr:uid="{00000000-0005-0000-0000-0000F8620000}"/>
    <cellStyle name="Note 8 2 4" xfId="16994" xr:uid="{00000000-0005-0000-0000-0000F9620000}"/>
    <cellStyle name="Note 8 2 4 2" xfId="16995" xr:uid="{00000000-0005-0000-0000-0000FA620000}"/>
    <cellStyle name="Note 8 2 4 3" xfId="31791" xr:uid="{00000000-0005-0000-0000-0000FB620000}"/>
    <cellStyle name="Note 8 2 4 4" xfId="31792" xr:uid="{00000000-0005-0000-0000-0000FC620000}"/>
    <cellStyle name="Note 8 2 5" xfId="16996" xr:uid="{00000000-0005-0000-0000-0000FD620000}"/>
    <cellStyle name="Note 8 2 5 2" xfId="16997" xr:uid="{00000000-0005-0000-0000-0000FE620000}"/>
    <cellStyle name="Note 8 2 5 3" xfId="31793" xr:uid="{00000000-0005-0000-0000-0000FF620000}"/>
    <cellStyle name="Note 8 2 5 4" xfId="31794" xr:uid="{00000000-0005-0000-0000-000000630000}"/>
    <cellStyle name="Note 8 2 6" xfId="16998" xr:uid="{00000000-0005-0000-0000-000001630000}"/>
    <cellStyle name="Note 8 2 6 2" xfId="16999" xr:uid="{00000000-0005-0000-0000-000002630000}"/>
    <cellStyle name="Note 8 2 6 3" xfId="31795" xr:uid="{00000000-0005-0000-0000-000003630000}"/>
    <cellStyle name="Note 8 2 6 4" xfId="31796" xr:uid="{00000000-0005-0000-0000-000004630000}"/>
    <cellStyle name="Note 8 2 7" xfId="17000" xr:uid="{00000000-0005-0000-0000-000005630000}"/>
    <cellStyle name="Note 8 2 7 2" xfId="17001" xr:uid="{00000000-0005-0000-0000-000006630000}"/>
    <cellStyle name="Note 8 2 7 3" xfId="31797" xr:uid="{00000000-0005-0000-0000-000007630000}"/>
    <cellStyle name="Note 8 2 7 4" xfId="31798" xr:uid="{00000000-0005-0000-0000-000008630000}"/>
    <cellStyle name="Note 8 2 8" xfId="17002" xr:uid="{00000000-0005-0000-0000-000009630000}"/>
    <cellStyle name="Note 8 2 9" xfId="31799" xr:uid="{00000000-0005-0000-0000-00000A630000}"/>
    <cellStyle name="Note 8 3" xfId="17003" xr:uid="{00000000-0005-0000-0000-00000B630000}"/>
    <cellStyle name="Note 8 3 10" xfId="31800" xr:uid="{00000000-0005-0000-0000-00000C630000}"/>
    <cellStyle name="Note 8 3 2" xfId="17004" xr:uid="{00000000-0005-0000-0000-00000D630000}"/>
    <cellStyle name="Note 8 3 2 2" xfId="17005" xr:uid="{00000000-0005-0000-0000-00000E630000}"/>
    <cellStyle name="Note 8 3 2 3" xfId="31801" xr:uid="{00000000-0005-0000-0000-00000F630000}"/>
    <cellStyle name="Note 8 3 2 4" xfId="31802" xr:uid="{00000000-0005-0000-0000-000010630000}"/>
    <cellStyle name="Note 8 3 3" xfId="17006" xr:uid="{00000000-0005-0000-0000-000011630000}"/>
    <cellStyle name="Note 8 3 3 2" xfId="17007" xr:uid="{00000000-0005-0000-0000-000012630000}"/>
    <cellStyle name="Note 8 3 3 3" xfId="31803" xr:uid="{00000000-0005-0000-0000-000013630000}"/>
    <cellStyle name="Note 8 3 3 4" xfId="31804" xr:uid="{00000000-0005-0000-0000-000014630000}"/>
    <cellStyle name="Note 8 3 4" xfId="17008" xr:uid="{00000000-0005-0000-0000-000015630000}"/>
    <cellStyle name="Note 8 3 4 2" xfId="17009" xr:uid="{00000000-0005-0000-0000-000016630000}"/>
    <cellStyle name="Note 8 3 4 3" xfId="31805" xr:uid="{00000000-0005-0000-0000-000017630000}"/>
    <cellStyle name="Note 8 3 4 4" xfId="31806" xr:uid="{00000000-0005-0000-0000-000018630000}"/>
    <cellStyle name="Note 8 3 5" xfId="17010" xr:uid="{00000000-0005-0000-0000-000019630000}"/>
    <cellStyle name="Note 8 3 5 2" xfId="17011" xr:uid="{00000000-0005-0000-0000-00001A630000}"/>
    <cellStyle name="Note 8 3 5 3" xfId="31807" xr:uid="{00000000-0005-0000-0000-00001B630000}"/>
    <cellStyle name="Note 8 3 5 4" xfId="31808" xr:uid="{00000000-0005-0000-0000-00001C630000}"/>
    <cellStyle name="Note 8 3 6" xfId="17012" xr:uid="{00000000-0005-0000-0000-00001D630000}"/>
    <cellStyle name="Note 8 3 6 2" xfId="17013" xr:uid="{00000000-0005-0000-0000-00001E630000}"/>
    <cellStyle name="Note 8 3 6 3" xfId="31809" xr:uid="{00000000-0005-0000-0000-00001F630000}"/>
    <cellStyle name="Note 8 3 6 4" xfId="31810" xr:uid="{00000000-0005-0000-0000-000020630000}"/>
    <cellStyle name="Note 8 3 7" xfId="17014" xr:uid="{00000000-0005-0000-0000-000021630000}"/>
    <cellStyle name="Note 8 3 7 2" xfId="17015" xr:uid="{00000000-0005-0000-0000-000022630000}"/>
    <cellStyle name="Note 8 3 7 3" xfId="31811" xr:uid="{00000000-0005-0000-0000-000023630000}"/>
    <cellStyle name="Note 8 3 7 4" xfId="31812" xr:uid="{00000000-0005-0000-0000-000024630000}"/>
    <cellStyle name="Note 8 3 8" xfId="17016" xr:uid="{00000000-0005-0000-0000-000025630000}"/>
    <cellStyle name="Note 8 3 9" xfId="31813" xr:uid="{00000000-0005-0000-0000-000026630000}"/>
    <cellStyle name="Note 8 4" xfId="17017" xr:uid="{00000000-0005-0000-0000-000027630000}"/>
    <cellStyle name="Note 8 4 10" xfId="31814" xr:uid="{00000000-0005-0000-0000-000028630000}"/>
    <cellStyle name="Note 8 4 2" xfId="17018" xr:uid="{00000000-0005-0000-0000-000029630000}"/>
    <cellStyle name="Note 8 4 2 2" xfId="17019" xr:uid="{00000000-0005-0000-0000-00002A630000}"/>
    <cellStyle name="Note 8 4 2 3" xfId="31815" xr:uid="{00000000-0005-0000-0000-00002B630000}"/>
    <cellStyle name="Note 8 4 2 4" xfId="31816" xr:uid="{00000000-0005-0000-0000-00002C630000}"/>
    <cellStyle name="Note 8 4 3" xfId="17020" xr:uid="{00000000-0005-0000-0000-00002D630000}"/>
    <cellStyle name="Note 8 4 3 2" xfId="17021" xr:uid="{00000000-0005-0000-0000-00002E630000}"/>
    <cellStyle name="Note 8 4 3 3" xfId="31817" xr:uid="{00000000-0005-0000-0000-00002F630000}"/>
    <cellStyle name="Note 8 4 3 4" xfId="31818" xr:uid="{00000000-0005-0000-0000-000030630000}"/>
    <cellStyle name="Note 8 4 4" xfId="17022" xr:uid="{00000000-0005-0000-0000-000031630000}"/>
    <cellStyle name="Note 8 4 4 2" xfId="17023" xr:uid="{00000000-0005-0000-0000-000032630000}"/>
    <cellStyle name="Note 8 4 4 3" xfId="31819" xr:uid="{00000000-0005-0000-0000-000033630000}"/>
    <cellStyle name="Note 8 4 4 4" xfId="31820" xr:uid="{00000000-0005-0000-0000-000034630000}"/>
    <cellStyle name="Note 8 4 5" xfId="17024" xr:uid="{00000000-0005-0000-0000-000035630000}"/>
    <cellStyle name="Note 8 4 5 2" xfId="17025" xr:uid="{00000000-0005-0000-0000-000036630000}"/>
    <cellStyle name="Note 8 4 5 3" xfId="31821" xr:uid="{00000000-0005-0000-0000-000037630000}"/>
    <cellStyle name="Note 8 4 5 4" xfId="31822" xr:uid="{00000000-0005-0000-0000-000038630000}"/>
    <cellStyle name="Note 8 4 6" xfId="17026" xr:uid="{00000000-0005-0000-0000-000039630000}"/>
    <cellStyle name="Note 8 4 6 2" xfId="17027" xr:uid="{00000000-0005-0000-0000-00003A630000}"/>
    <cellStyle name="Note 8 4 6 3" xfId="31823" xr:uid="{00000000-0005-0000-0000-00003B630000}"/>
    <cellStyle name="Note 8 4 6 4" xfId="31824" xr:uid="{00000000-0005-0000-0000-00003C630000}"/>
    <cellStyle name="Note 8 4 7" xfId="17028" xr:uid="{00000000-0005-0000-0000-00003D630000}"/>
    <cellStyle name="Note 8 4 7 2" xfId="17029" xr:uid="{00000000-0005-0000-0000-00003E630000}"/>
    <cellStyle name="Note 8 4 7 3" xfId="31825" xr:uid="{00000000-0005-0000-0000-00003F630000}"/>
    <cellStyle name="Note 8 4 7 4" xfId="31826" xr:uid="{00000000-0005-0000-0000-000040630000}"/>
    <cellStyle name="Note 8 4 8" xfId="17030" xr:uid="{00000000-0005-0000-0000-000041630000}"/>
    <cellStyle name="Note 8 4 9" xfId="31827" xr:uid="{00000000-0005-0000-0000-000042630000}"/>
    <cellStyle name="Note 8 5" xfId="17031" xr:uid="{00000000-0005-0000-0000-000043630000}"/>
    <cellStyle name="Note 8 5 10" xfId="31828" xr:uid="{00000000-0005-0000-0000-000044630000}"/>
    <cellStyle name="Note 8 5 2" xfId="17032" xr:uid="{00000000-0005-0000-0000-000045630000}"/>
    <cellStyle name="Note 8 5 2 2" xfId="17033" xr:uid="{00000000-0005-0000-0000-000046630000}"/>
    <cellStyle name="Note 8 5 2 3" xfId="31829" xr:uid="{00000000-0005-0000-0000-000047630000}"/>
    <cellStyle name="Note 8 5 2 4" xfId="31830" xr:uid="{00000000-0005-0000-0000-000048630000}"/>
    <cellStyle name="Note 8 5 3" xfId="17034" xr:uid="{00000000-0005-0000-0000-000049630000}"/>
    <cellStyle name="Note 8 5 3 2" xfId="17035" xr:uid="{00000000-0005-0000-0000-00004A630000}"/>
    <cellStyle name="Note 8 5 3 3" xfId="31831" xr:uid="{00000000-0005-0000-0000-00004B630000}"/>
    <cellStyle name="Note 8 5 3 4" xfId="31832" xr:uid="{00000000-0005-0000-0000-00004C630000}"/>
    <cellStyle name="Note 8 5 4" xfId="17036" xr:uid="{00000000-0005-0000-0000-00004D630000}"/>
    <cellStyle name="Note 8 5 4 2" xfId="17037" xr:uid="{00000000-0005-0000-0000-00004E630000}"/>
    <cellStyle name="Note 8 5 4 3" xfId="31833" xr:uid="{00000000-0005-0000-0000-00004F630000}"/>
    <cellStyle name="Note 8 5 4 4" xfId="31834" xr:uid="{00000000-0005-0000-0000-000050630000}"/>
    <cellStyle name="Note 8 5 5" xfId="17038" xr:uid="{00000000-0005-0000-0000-000051630000}"/>
    <cellStyle name="Note 8 5 5 2" xfId="17039" xr:uid="{00000000-0005-0000-0000-000052630000}"/>
    <cellStyle name="Note 8 5 5 3" xfId="31835" xr:uid="{00000000-0005-0000-0000-000053630000}"/>
    <cellStyle name="Note 8 5 5 4" xfId="31836" xr:uid="{00000000-0005-0000-0000-000054630000}"/>
    <cellStyle name="Note 8 5 6" xfId="17040" xr:uid="{00000000-0005-0000-0000-000055630000}"/>
    <cellStyle name="Note 8 5 6 2" xfId="17041" xr:uid="{00000000-0005-0000-0000-000056630000}"/>
    <cellStyle name="Note 8 5 6 3" xfId="31837" xr:uid="{00000000-0005-0000-0000-000057630000}"/>
    <cellStyle name="Note 8 5 6 4" xfId="31838" xr:uid="{00000000-0005-0000-0000-000058630000}"/>
    <cellStyle name="Note 8 5 7" xfId="17042" xr:uid="{00000000-0005-0000-0000-000059630000}"/>
    <cellStyle name="Note 8 5 7 2" xfId="17043" xr:uid="{00000000-0005-0000-0000-00005A630000}"/>
    <cellStyle name="Note 8 5 7 3" xfId="31839" xr:uid="{00000000-0005-0000-0000-00005B630000}"/>
    <cellStyle name="Note 8 5 7 4" xfId="31840" xr:uid="{00000000-0005-0000-0000-00005C630000}"/>
    <cellStyle name="Note 8 5 8" xfId="17044" xr:uid="{00000000-0005-0000-0000-00005D630000}"/>
    <cellStyle name="Note 8 5 9" xfId="31841" xr:uid="{00000000-0005-0000-0000-00005E630000}"/>
    <cellStyle name="Note 8 6" xfId="17045" xr:uid="{00000000-0005-0000-0000-00005F630000}"/>
    <cellStyle name="Note 8 6 2" xfId="17046" xr:uid="{00000000-0005-0000-0000-000060630000}"/>
    <cellStyle name="Note 8 6 3" xfId="31842" xr:uid="{00000000-0005-0000-0000-000061630000}"/>
    <cellStyle name="Note 8 6 4" xfId="31843" xr:uid="{00000000-0005-0000-0000-000062630000}"/>
    <cellStyle name="Note 8 7" xfId="17047" xr:uid="{00000000-0005-0000-0000-000063630000}"/>
    <cellStyle name="Note 8 7 2" xfId="17048" xr:uid="{00000000-0005-0000-0000-000064630000}"/>
    <cellStyle name="Note 8 7 3" xfId="31844" xr:uid="{00000000-0005-0000-0000-000065630000}"/>
    <cellStyle name="Note 8 7 4" xfId="31845" xr:uid="{00000000-0005-0000-0000-000066630000}"/>
    <cellStyle name="Note 8 8" xfId="17049" xr:uid="{00000000-0005-0000-0000-000067630000}"/>
    <cellStyle name="Note 8 8 2" xfId="17050" xr:uid="{00000000-0005-0000-0000-000068630000}"/>
    <cellStyle name="Note 8 8 3" xfId="31846" xr:uid="{00000000-0005-0000-0000-000069630000}"/>
    <cellStyle name="Note 8 8 4" xfId="31847" xr:uid="{00000000-0005-0000-0000-00006A630000}"/>
    <cellStyle name="Note 8 9" xfId="17051" xr:uid="{00000000-0005-0000-0000-00006B630000}"/>
    <cellStyle name="Note 8 9 2" xfId="17052" xr:uid="{00000000-0005-0000-0000-00006C630000}"/>
    <cellStyle name="Note 8 9 3" xfId="31848" xr:uid="{00000000-0005-0000-0000-00006D630000}"/>
    <cellStyle name="Note 8 9 4" xfId="31849" xr:uid="{00000000-0005-0000-0000-00006E630000}"/>
    <cellStyle name="Note 9" xfId="17053" xr:uid="{00000000-0005-0000-0000-00006F630000}"/>
    <cellStyle name="Note 9 10" xfId="17054" xr:uid="{00000000-0005-0000-0000-000070630000}"/>
    <cellStyle name="Note 9 10 2" xfId="17055" xr:uid="{00000000-0005-0000-0000-000071630000}"/>
    <cellStyle name="Note 9 10 3" xfId="31850" xr:uid="{00000000-0005-0000-0000-000072630000}"/>
    <cellStyle name="Note 9 10 4" xfId="31851" xr:uid="{00000000-0005-0000-0000-000073630000}"/>
    <cellStyle name="Note 9 11" xfId="17056" xr:uid="{00000000-0005-0000-0000-000074630000}"/>
    <cellStyle name="Note 9 11 2" xfId="17057" xr:uid="{00000000-0005-0000-0000-000075630000}"/>
    <cellStyle name="Note 9 11 3" xfId="31852" xr:uid="{00000000-0005-0000-0000-000076630000}"/>
    <cellStyle name="Note 9 11 4" xfId="31853" xr:uid="{00000000-0005-0000-0000-000077630000}"/>
    <cellStyle name="Note 9 12" xfId="17058" xr:uid="{00000000-0005-0000-0000-000078630000}"/>
    <cellStyle name="Note 9 13" xfId="31854" xr:uid="{00000000-0005-0000-0000-000079630000}"/>
    <cellStyle name="Note 9 14" xfId="31855" xr:uid="{00000000-0005-0000-0000-00007A630000}"/>
    <cellStyle name="Note 9 2" xfId="17059" xr:uid="{00000000-0005-0000-0000-00007B630000}"/>
    <cellStyle name="Note 9 2 10" xfId="31856" xr:uid="{00000000-0005-0000-0000-00007C630000}"/>
    <cellStyle name="Note 9 2 2" xfId="17060" xr:uid="{00000000-0005-0000-0000-00007D630000}"/>
    <cellStyle name="Note 9 2 2 2" xfId="17061" xr:uid="{00000000-0005-0000-0000-00007E630000}"/>
    <cellStyle name="Note 9 2 2 3" xfId="31857" xr:uid="{00000000-0005-0000-0000-00007F630000}"/>
    <cellStyle name="Note 9 2 2 4" xfId="31858" xr:uid="{00000000-0005-0000-0000-000080630000}"/>
    <cellStyle name="Note 9 2 3" xfId="17062" xr:uid="{00000000-0005-0000-0000-000081630000}"/>
    <cellStyle name="Note 9 2 3 2" xfId="17063" xr:uid="{00000000-0005-0000-0000-000082630000}"/>
    <cellStyle name="Note 9 2 3 3" xfId="31859" xr:uid="{00000000-0005-0000-0000-000083630000}"/>
    <cellStyle name="Note 9 2 3 4" xfId="31860" xr:uid="{00000000-0005-0000-0000-000084630000}"/>
    <cellStyle name="Note 9 2 4" xfId="17064" xr:uid="{00000000-0005-0000-0000-000085630000}"/>
    <cellStyle name="Note 9 2 4 2" xfId="17065" xr:uid="{00000000-0005-0000-0000-000086630000}"/>
    <cellStyle name="Note 9 2 4 3" xfId="31861" xr:uid="{00000000-0005-0000-0000-000087630000}"/>
    <cellStyle name="Note 9 2 4 4" xfId="31862" xr:uid="{00000000-0005-0000-0000-000088630000}"/>
    <cellStyle name="Note 9 2 5" xfId="17066" xr:uid="{00000000-0005-0000-0000-000089630000}"/>
    <cellStyle name="Note 9 2 5 2" xfId="17067" xr:uid="{00000000-0005-0000-0000-00008A630000}"/>
    <cellStyle name="Note 9 2 5 3" xfId="31863" xr:uid="{00000000-0005-0000-0000-00008B630000}"/>
    <cellStyle name="Note 9 2 5 4" xfId="31864" xr:uid="{00000000-0005-0000-0000-00008C630000}"/>
    <cellStyle name="Note 9 2 6" xfId="17068" xr:uid="{00000000-0005-0000-0000-00008D630000}"/>
    <cellStyle name="Note 9 2 6 2" xfId="17069" xr:uid="{00000000-0005-0000-0000-00008E630000}"/>
    <cellStyle name="Note 9 2 6 3" xfId="31865" xr:uid="{00000000-0005-0000-0000-00008F630000}"/>
    <cellStyle name="Note 9 2 6 4" xfId="31866" xr:uid="{00000000-0005-0000-0000-000090630000}"/>
    <cellStyle name="Note 9 2 7" xfId="17070" xr:uid="{00000000-0005-0000-0000-000091630000}"/>
    <cellStyle name="Note 9 2 7 2" xfId="17071" xr:uid="{00000000-0005-0000-0000-000092630000}"/>
    <cellStyle name="Note 9 2 7 3" xfId="31867" xr:uid="{00000000-0005-0000-0000-000093630000}"/>
    <cellStyle name="Note 9 2 7 4" xfId="31868" xr:uid="{00000000-0005-0000-0000-000094630000}"/>
    <cellStyle name="Note 9 2 8" xfId="17072" xr:uid="{00000000-0005-0000-0000-000095630000}"/>
    <cellStyle name="Note 9 2 9" xfId="31869" xr:uid="{00000000-0005-0000-0000-000096630000}"/>
    <cellStyle name="Note 9 3" xfId="17073" xr:uid="{00000000-0005-0000-0000-000097630000}"/>
    <cellStyle name="Note 9 3 10" xfId="31870" xr:uid="{00000000-0005-0000-0000-000098630000}"/>
    <cellStyle name="Note 9 3 2" xfId="17074" xr:uid="{00000000-0005-0000-0000-000099630000}"/>
    <cellStyle name="Note 9 3 2 2" xfId="17075" xr:uid="{00000000-0005-0000-0000-00009A630000}"/>
    <cellStyle name="Note 9 3 2 3" xfId="31871" xr:uid="{00000000-0005-0000-0000-00009B630000}"/>
    <cellStyle name="Note 9 3 2 4" xfId="31872" xr:uid="{00000000-0005-0000-0000-00009C630000}"/>
    <cellStyle name="Note 9 3 3" xfId="17076" xr:uid="{00000000-0005-0000-0000-00009D630000}"/>
    <cellStyle name="Note 9 3 3 2" xfId="17077" xr:uid="{00000000-0005-0000-0000-00009E630000}"/>
    <cellStyle name="Note 9 3 3 3" xfId="31873" xr:uid="{00000000-0005-0000-0000-00009F630000}"/>
    <cellStyle name="Note 9 3 3 4" xfId="31874" xr:uid="{00000000-0005-0000-0000-0000A0630000}"/>
    <cellStyle name="Note 9 3 4" xfId="17078" xr:uid="{00000000-0005-0000-0000-0000A1630000}"/>
    <cellStyle name="Note 9 3 4 2" xfId="17079" xr:uid="{00000000-0005-0000-0000-0000A2630000}"/>
    <cellStyle name="Note 9 3 4 3" xfId="31875" xr:uid="{00000000-0005-0000-0000-0000A3630000}"/>
    <cellStyle name="Note 9 3 4 4" xfId="31876" xr:uid="{00000000-0005-0000-0000-0000A4630000}"/>
    <cellStyle name="Note 9 3 5" xfId="17080" xr:uid="{00000000-0005-0000-0000-0000A5630000}"/>
    <cellStyle name="Note 9 3 5 2" xfId="17081" xr:uid="{00000000-0005-0000-0000-0000A6630000}"/>
    <cellStyle name="Note 9 3 5 3" xfId="31877" xr:uid="{00000000-0005-0000-0000-0000A7630000}"/>
    <cellStyle name="Note 9 3 5 4" xfId="31878" xr:uid="{00000000-0005-0000-0000-0000A8630000}"/>
    <cellStyle name="Note 9 3 6" xfId="17082" xr:uid="{00000000-0005-0000-0000-0000A9630000}"/>
    <cellStyle name="Note 9 3 6 2" xfId="17083" xr:uid="{00000000-0005-0000-0000-0000AA630000}"/>
    <cellStyle name="Note 9 3 6 3" xfId="31879" xr:uid="{00000000-0005-0000-0000-0000AB630000}"/>
    <cellStyle name="Note 9 3 6 4" xfId="31880" xr:uid="{00000000-0005-0000-0000-0000AC630000}"/>
    <cellStyle name="Note 9 3 7" xfId="17084" xr:uid="{00000000-0005-0000-0000-0000AD630000}"/>
    <cellStyle name="Note 9 3 7 2" xfId="17085" xr:uid="{00000000-0005-0000-0000-0000AE630000}"/>
    <cellStyle name="Note 9 3 7 3" xfId="31881" xr:uid="{00000000-0005-0000-0000-0000AF630000}"/>
    <cellStyle name="Note 9 3 7 4" xfId="31882" xr:uid="{00000000-0005-0000-0000-0000B0630000}"/>
    <cellStyle name="Note 9 3 8" xfId="17086" xr:uid="{00000000-0005-0000-0000-0000B1630000}"/>
    <cellStyle name="Note 9 3 9" xfId="31883" xr:uid="{00000000-0005-0000-0000-0000B2630000}"/>
    <cellStyle name="Note 9 4" xfId="17087" xr:uid="{00000000-0005-0000-0000-0000B3630000}"/>
    <cellStyle name="Note 9 4 10" xfId="31884" xr:uid="{00000000-0005-0000-0000-0000B4630000}"/>
    <cellStyle name="Note 9 4 2" xfId="17088" xr:uid="{00000000-0005-0000-0000-0000B5630000}"/>
    <cellStyle name="Note 9 4 2 2" xfId="17089" xr:uid="{00000000-0005-0000-0000-0000B6630000}"/>
    <cellStyle name="Note 9 4 2 3" xfId="31885" xr:uid="{00000000-0005-0000-0000-0000B7630000}"/>
    <cellStyle name="Note 9 4 2 4" xfId="31886" xr:uid="{00000000-0005-0000-0000-0000B8630000}"/>
    <cellStyle name="Note 9 4 3" xfId="17090" xr:uid="{00000000-0005-0000-0000-0000B9630000}"/>
    <cellStyle name="Note 9 4 3 2" xfId="17091" xr:uid="{00000000-0005-0000-0000-0000BA630000}"/>
    <cellStyle name="Note 9 4 3 3" xfId="31887" xr:uid="{00000000-0005-0000-0000-0000BB630000}"/>
    <cellStyle name="Note 9 4 3 4" xfId="31888" xr:uid="{00000000-0005-0000-0000-0000BC630000}"/>
    <cellStyle name="Note 9 4 4" xfId="17092" xr:uid="{00000000-0005-0000-0000-0000BD630000}"/>
    <cellStyle name="Note 9 4 4 2" xfId="17093" xr:uid="{00000000-0005-0000-0000-0000BE630000}"/>
    <cellStyle name="Note 9 4 4 3" xfId="31889" xr:uid="{00000000-0005-0000-0000-0000BF630000}"/>
    <cellStyle name="Note 9 4 4 4" xfId="31890" xr:uid="{00000000-0005-0000-0000-0000C0630000}"/>
    <cellStyle name="Note 9 4 5" xfId="17094" xr:uid="{00000000-0005-0000-0000-0000C1630000}"/>
    <cellStyle name="Note 9 4 5 2" xfId="17095" xr:uid="{00000000-0005-0000-0000-0000C2630000}"/>
    <cellStyle name="Note 9 4 5 3" xfId="31891" xr:uid="{00000000-0005-0000-0000-0000C3630000}"/>
    <cellStyle name="Note 9 4 5 4" xfId="31892" xr:uid="{00000000-0005-0000-0000-0000C4630000}"/>
    <cellStyle name="Note 9 4 6" xfId="17096" xr:uid="{00000000-0005-0000-0000-0000C5630000}"/>
    <cellStyle name="Note 9 4 6 2" xfId="17097" xr:uid="{00000000-0005-0000-0000-0000C6630000}"/>
    <cellStyle name="Note 9 4 6 3" xfId="31893" xr:uid="{00000000-0005-0000-0000-0000C7630000}"/>
    <cellStyle name="Note 9 4 6 4" xfId="31894" xr:uid="{00000000-0005-0000-0000-0000C8630000}"/>
    <cellStyle name="Note 9 4 7" xfId="17098" xr:uid="{00000000-0005-0000-0000-0000C9630000}"/>
    <cellStyle name="Note 9 4 7 2" xfId="17099" xr:uid="{00000000-0005-0000-0000-0000CA630000}"/>
    <cellStyle name="Note 9 4 7 3" xfId="31895" xr:uid="{00000000-0005-0000-0000-0000CB630000}"/>
    <cellStyle name="Note 9 4 7 4" xfId="31896" xr:uid="{00000000-0005-0000-0000-0000CC630000}"/>
    <cellStyle name="Note 9 4 8" xfId="17100" xr:uid="{00000000-0005-0000-0000-0000CD630000}"/>
    <cellStyle name="Note 9 4 9" xfId="31897" xr:uid="{00000000-0005-0000-0000-0000CE630000}"/>
    <cellStyle name="Note 9 5" xfId="17101" xr:uid="{00000000-0005-0000-0000-0000CF630000}"/>
    <cellStyle name="Note 9 5 10" xfId="31898" xr:uid="{00000000-0005-0000-0000-0000D0630000}"/>
    <cellStyle name="Note 9 5 2" xfId="17102" xr:uid="{00000000-0005-0000-0000-0000D1630000}"/>
    <cellStyle name="Note 9 5 2 2" xfId="17103" xr:uid="{00000000-0005-0000-0000-0000D2630000}"/>
    <cellStyle name="Note 9 5 2 3" xfId="31899" xr:uid="{00000000-0005-0000-0000-0000D3630000}"/>
    <cellStyle name="Note 9 5 2 4" xfId="31900" xr:uid="{00000000-0005-0000-0000-0000D4630000}"/>
    <cellStyle name="Note 9 5 3" xfId="17104" xr:uid="{00000000-0005-0000-0000-0000D5630000}"/>
    <cellStyle name="Note 9 5 3 2" xfId="17105" xr:uid="{00000000-0005-0000-0000-0000D6630000}"/>
    <cellStyle name="Note 9 5 3 3" xfId="31901" xr:uid="{00000000-0005-0000-0000-0000D7630000}"/>
    <cellStyle name="Note 9 5 3 4" xfId="31902" xr:uid="{00000000-0005-0000-0000-0000D8630000}"/>
    <cellStyle name="Note 9 5 4" xfId="17106" xr:uid="{00000000-0005-0000-0000-0000D9630000}"/>
    <cellStyle name="Note 9 5 4 2" xfId="17107" xr:uid="{00000000-0005-0000-0000-0000DA630000}"/>
    <cellStyle name="Note 9 5 4 3" xfId="31903" xr:uid="{00000000-0005-0000-0000-0000DB630000}"/>
    <cellStyle name="Note 9 5 4 4" xfId="31904" xr:uid="{00000000-0005-0000-0000-0000DC630000}"/>
    <cellStyle name="Note 9 5 5" xfId="17108" xr:uid="{00000000-0005-0000-0000-0000DD630000}"/>
    <cellStyle name="Note 9 5 5 2" xfId="17109" xr:uid="{00000000-0005-0000-0000-0000DE630000}"/>
    <cellStyle name="Note 9 5 5 3" xfId="31905" xr:uid="{00000000-0005-0000-0000-0000DF630000}"/>
    <cellStyle name="Note 9 5 5 4" xfId="31906" xr:uid="{00000000-0005-0000-0000-0000E0630000}"/>
    <cellStyle name="Note 9 5 6" xfId="17110" xr:uid="{00000000-0005-0000-0000-0000E1630000}"/>
    <cellStyle name="Note 9 5 6 2" xfId="17111" xr:uid="{00000000-0005-0000-0000-0000E2630000}"/>
    <cellStyle name="Note 9 5 6 3" xfId="31907" xr:uid="{00000000-0005-0000-0000-0000E3630000}"/>
    <cellStyle name="Note 9 5 6 4" xfId="31908" xr:uid="{00000000-0005-0000-0000-0000E4630000}"/>
    <cellStyle name="Note 9 5 7" xfId="17112" xr:uid="{00000000-0005-0000-0000-0000E5630000}"/>
    <cellStyle name="Note 9 5 7 2" xfId="17113" xr:uid="{00000000-0005-0000-0000-0000E6630000}"/>
    <cellStyle name="Note 9 5 7 3" xfId="31909" xr:uid="{00000000-0005-0000-0000-0000E7630000}"/>
    <cellStyle name="Note 9 5 7 4" xfId="31910" xr:uid="{00000000-0005-0000-0000-0000E8630000}"/>
    <cellStyle name="Note 9 5 8" xfId="17114" xr:uid="{00000000-0005-0000-0000-0000E9630000}"/>
    <cellStyle name="Note 9 5 9" xfId="31911" xr:uid="{00000000-0005-0000-0000-0000EA630000}"/>
    <cellStyle name="Note 9 6" xfId="17115" xr:uid="{00000000-0005-0000-0000-0000EB630000}"/>
    <cellStyle name="Note 9 6 2" xfId="17116" xr:uid="{00000000-0005-0000-0000-0000EC630000}"/>
    <cellStyle name="Note 9 6 3" xfId="31912" xr:uid="{00000000-0005-0000-0000-0000ED630000}"/>
    <cellStyle name="Note 9 6 4" xfId="31913" xr:uid="{00000000-0005-0000-0000-0000EE630000}"/>
    <cellStyle name="Note 9 7" xfId="17117" xr:uid="{00000000-0005-0000-0000-0000EF630000}"/>
    <cellStyle name="Note 9 7 2" xfId="17118" xr:uid="{00000000-0005-0000-0000-0000F0630000}"/>
    <cellStyle name="Note 9 7 3" xfId="31914" xr:uid="{00000000-0005-0000-0000-0000F1630000}"/>
    <cellStyle name="Note 9 7 4" xfId="31915" xr:uid="{00000000-0005-0000-0000-0000F2630000}"/>
    <cellStyle name="Note 9 8" xfId="17119" xr:uid="{00000000-0005-0000-0000-0000F3630000}"/>
    <cellStyle name="Note 9 8 2" xfId="17120" xr:uid="{00000000-0005-0000-0000-0000F4630000}"/>
    <cellStyle name="Note 9 8 3" xfId="31916" xr:uid="{00000000-0005-0000-0000-0000F5630000}"/>
    <cellStyle name="Note 9 8 4" xfId="31917" xr:uid="{00000000-0005-0000-0000-0000F6630000}"/>
    <cellStyle name="Note 9 9" xfId="17121" xr:uid="{00000000-0005-0000-0000-0000F7630000}"/>
    <cellStyle name="Note 9 9 2" xfId="17122" xr:uid="{00000000-0005-0000-0000-0000F8630000}"/>
    <cellStyle name="Note 9 9 3" xfId="31918" xr:uid="{00000000-0005-0000-0000-0000F9630000}"/>
    <cellStyle name="Note 9 9 4" xfId="31919" xr:uid="{00000000-0005-0000-0000-0000FA630000}"/>
    <cellStyle name="Output 10" xfId="17123" xr:uid="{00000000-0005-0000-0000-0000FB630000}"/>
    <cellStyle name="Output 10 10" xfId="17124" xr:uid="{00000000-0005-0000-0000-0000FC630000}"/>
    <cellStyle name="Output 10 10 2" xfId="17125" xr:uid="{00000000-0005-0000-0000-0000FD630000}"/>
    <cellStyle name="Output 10 10 3" xfId="31920" xr:uid="{00000000-0005-0000-0000-0000FE630000}"/>
    <cellStyle name="Output 10 10 4" xfId="31921" xr:uid="{00000000-0005-0000-0000-0000FF630000}"/>
    <cellStyle name="Output 10 11" xfId="17126" xr:uid="{00000000-0005-0000-0000-000000640000}"/>
    <cellStyle name="Output 10 11 2" xfId="17127" xr:uid="{00000000-0005-0000-0000-000001640000}"/>
    <cellStyle name="Output 10 11 3" xfId="31922" xr:uid="{00000000-0005-0000-0000-000002640000}"/>
    <cellStyle name="Output 10 11 4" xfId="31923" xr:uid="{00000000-0005-0000-0000-000003640000}"/>
    <cellStyle name="Output 10 12" xfId="17128" xr:uid="{00000000-0005-0000-0000-000004640000}"/>
    <cellStyle name="Output 10 13" xfId="31924" xr:uid="{00000000-0005-0000-0000-000005640000}"/>
    <cellStyle name="Output 10 14" xfId="31925" xr:uid="{00000000-0005-0000-0000-000006640000}"/>
    <cellStyle name="Output 10 2" xfId="17129" xr:uid="{00000000-0005-0000-0000-000007640000}"/>
    <cellStyle name="Output 10 2 10" xfId="31926" xr:uid="{00000000-0005-0000-0000-000008640000}"/>
    <cellStyle name="Output 10 2 2" xfId="17130" xr:uid="{00000000-0005-0000-0000-000009640000}"/>
    <cellStyle name="Output 10 2 2 2" xfId="17131" xr:uid="{00000000-0005-0000-0000-00000A640000}"/>
    <cellStyle name="Output 10 2 2 3" xfId="31927" xr:uid="{00000000-0005-0000-0000-00000B640000}"/>
    <cellStyle name="Output 10 2 2 4" xfId="31928" xr:uid="{00000000-0005-0000-0000-00000C640000}"/>
    <cellStyle name="Output 10 2 3" xfId="17132" xr:uid="{00000000-0005-0000-0000-00000D640000}"/>
    <cellStyle name="Output 10 2 3 2" xfId="17133" xr:uid="{00000000-0005-0000-0000-00000E640000}"/>
    <cellStyle name="Output 10 2 3 3" xfId="31929" xr:uid="{00000000-0005-0000-0000-00000F640000}"/>
    <cellStyle name="Output 10 2 3 4" xfId="31930" xr:uid="{00000000-0005-0000-0000-000010640000}"/>
    <cellStyle name="Output 10 2 4" xfId="17134" xr:uid="{00000000-0005-0000-0000-000011640000}"/>
    <cellStyle name="Output 10 2 4 2" xfId="17135" xr:uid="{00000000-0005-0000-0000-000012640000}"/>
    <cellStyle name="Output 10 2 4 3" xfId="31931" xr:uid="{00000000-0005-0000-0000-000013640000}"/>
    <cellStyle name="Output 10 2 4 4" xfId="31932" xr:uid="{00000000-0005-0000-0000-000014640000}"/>
    <cellStyle name="Output 10 2 5" xfId="17136" xr:uid="{00000000-0005-0000-0000-000015640000}"/>
    <cellStyle name="Output 10 2 5 2" xfId="17137" xr:uid="{00000000-0005-0000-0000-000016640000}"/>
    <cellStyle name="Output 10 2 5 3" xfId="31933" xr:uid="{00000000-0005-0000-0000-000017640000}"/>
    <cellStyle name="Output 10 2 5 4" xfId="31934" xr:uid="{00000000-0005-0000-0000-000018640000}"/>
    <cellStyle name="Output 10 2 6" xfId="17138" xr:uid="{00000000-0005-0000-0000-000019640000}"/>
    <cellStyle name="Output 10 2 6 2" xfId="17139" xr:uid="{00000000-0005-0000-0000-00001A640000}"/>
    <cellStyle name="Output 10 2 6 3" xfId="31935" xr:uid="{00000000-0005-0000-0000-00001B640000}"/>
    <cellStyle name="Output 10 2 6 4" xfId="31936" xr:uid="{00000000-0005-0000-0000-00001C640000}"/>
    <cellStyle name="Output 10 2 7" xfId="17140" xr:uid="{00000000-0005-0000-0000-00001D640000}"/>
    <cellStyle name="Output 10 2 7 2" xfId="17141" xr:uid="{00000000-0005-0000-0000-00001E640000}"/>
    <cellStyle name="Output 10 2 7 3" xfId="31937" xr:uid="{00000000-0005-0000-0000-00001F640000}"/>
    <cellStyle name="Output 10 2 7 4" xfId="31938" xr:uid="{00000000-0005-0000-0000-000020640000}"/>
    <cellStyle name="Output 10 2 8" xfId="17142" xr:uid="{00000000-0005-0000-0000-000021640000}"/>
    <cellStyle name="Output 10 2 9" xfId="31939" xr:uid="{00000000-0005-0000-0000-000022640000}"/>
    <cellStyle name="Output 10 3" xfId="17143" xr:uid="{00000000-0005-0000-0000-000023640000}"/>
    <cellStyle name="Output 10 3 10" xfId="31940" xr:uid="{00000000-0005-0000-0000-000024640000}"/>
    <cellStyle name="Output 10 3 2" xfId="17144" xr:uid="{00000000-0005-0000-0000-000025640000}"/>
    <cellStyle name="Output 10 3 2 2" xfId="17145" xr:uid="{00000000-0005-0000-0000-000026640000}"/>
    <cellStyle name="Output 10 3 2 3" xfId="31941" xr:uid="{00000000-0005-0000-0000-000027640000}"/>
    <cellStyle name="Output 10 3 2 4" xfId="31942" xr:uid="{00000000-0005-0000-0000-000028640000}"/>
    <cellStyle name="Output 10 3 3" xfId="17146" xr:uid="{00000000-0005-0000-0000-000029640000}"/>
    <cellStyle name="Output 10 3 3 2" xfId="17147" xr:uid="{00000000-0005-0000-0000-00002A640000}"/>
    <cellStyle name="Output 10 3 3 3" xfId="31943" xr:uid="{00000000-0005-0000-0000-00002B640000}"/>
    <cellStyle name="Output 10 3 3 4" xfId="31944" xr:uid="{00000000-0005-0000-0000-00002C640000}"/>
    <cellStyle name="Output 10 3 4" xfId="17148" xr:uid="{00000000-0005-0000-0000-00002D640000}"/>
    <cellStyle name="Output 10 3 4 2" xfId="17149" xr:uid="{00000000-0005-0000-0000-00002E640000}"/>
    <cellStyle name="Output 10 3 4 3" xfId="31945" xr:uid="{00000000-0005-0000-0000-00002F640000}"/>
    <cellStyle name="Output 10 3 4 4" xfId="31946" xr:uid="{00000000-0005-0000-0000-000030640000}"/>
    <cellStyle name="Output 10 3 5" xfId="17150" xr:uid="{00000000-0005-0000-0000-000031640000}"/>
    <cellStyle name="Output 10 3 5 2" xfId="17151" xr:uid="{00000000-0005-0000-0000-000032640000}"/>
    <cellStyle name="Output 10 3 5 3" xfId="31947" xr:uid="{00000000-0005-0000-0000-000033640000}"/>
    <cellStyle name="Output 10 3 5 4" xfId="31948" xr:uid="{00000000-0005-0000-0000-000034640000}"/>
    <cellStyle name="Output 10 3 6" xfId="17152" xr:uid="{00000000-0005-0000-0000-000035640000}"/>
    <cellStyle name="Output 10 3 6 2" xfId="17153" xr:uid="{00000000-0005-0000-0000-000036640000}"/>
    <cellStyle name="Output 10 3 6 3" xfId="31949" xr:uid="{00000000-0005-0000-0000-000037640000}"/>
    <cellStyle name="Output 10 3 6 4" xfId="31950" xr:uid="{00000000-0005-0000-0000-000038640000}"/>
    <cellStyle name="Output 10 3 7" xfId="17154" xr:uid="{00000000-0005-0000-0000-000039640000}"/>
    <cellStyle name="Output 10 3 7 2" xfId="17155" xr:uid="{00000000-0005-0000-0000-00003A640000}"/>
    <cellStyle name="Output 10 3 7 3" xfId="31951" xr:uid="{00000000-0005-0000-0000-00003B640000}"/>
    <cellStyle name="Output 10 3 7 4" xfId="31952" xr:uid="{00000000-0005-0000-0000-00003C640000}"/>
    <cellStyle name="Output 10 3 8" xfId="17156" xr:uid="{00000000-0005-0000-0000-00003D640000}"/>
    <cellStyle name="Output 10 3 9" xfId="31953" xr:uid="{00000000-0005-0000-0000-00003E640000}"/>
    <cellStyle name="Output 10 4" xfId="17157" xr:uid="{00000000-0005-0000-0000-00003F640000}"/>
    <cellStyle name="Output 10 4 10" xfId="31954" xr:uid="{00000000-0005-0000-0000-000040640000}"/>
    <cellStyle name="Output 10 4 2" xfId="17158" xr:uid="{00000000-0005-0000-0000-000041640000}"/>
    <cellStyle name="Output 10 4 2 2" xfId="17159" xr:uid="{00000000-0005-0000-0000-000042640000}"/>
    <cellStyle name="Output 10 4 2 3" xfId="31955" xr:uid="{00000000-0005-0000-0000-000043640000}"/>
    <cellStyle name="Output 10 4 2 4" xfId="31956" xr:uid="{00000000-0005-0000-0000-000044640000}"/>
    <cellStyle name="Output 10 4 3" xfId="17160" xr:uid="{00000000-0005-0000-0000-000045640000}"/>
    <cellStyle name="Output 10 4 3 2" xfId="17161" xr:uid="{00000000-0005-0000-0000-000046640000}"/>
    <cellStyle name="Output 10 4 3 3" xfId="31957" xr:uid="{00000000-0005-0000-0000-000047640000}"/>
    <cellStyle name="Output 10 4 3 4" xfId="31958" xr:uid="{00000000-0005-0000-0000-000048640000}"/>
    <cellStyle name="Output 10 4 4" xfId="17162" xr:uid="{00000000-0005-0000-0000-000049640000}"/>
    <cellStyle name="Output 10 4 4 2" xfId="17163" xr:uid="{00000000-0005-0000-0000-00004A640000}"/>
    <cellStyle name="Output 10 4 4 3" xfId="31959" xr:uid="{00000000-0005-0000-0000-00004B640000}"/>
    <cellStyle name="Output 10 4 4 4" xfId="31960" xr:uid="{00000000-0005-0000-0000-00004C640000}"/>
    <cellStyle name="Output 10 4 5" xfId="17164" xr:uid="{00000000-0005-0000-0000-00004D640000}"/>
    <cellStyle name="Output 10 4 5 2" xfId="17165" xr:uid="{00000000-0005-0000-0000-00004E640000}"/>
    <cellStyle name="Output 10 4 5 3" xfId="31961" xr:uid="{00000000-0005-0000-0000-00004F640000}"/>
    <cellStyle name="Output 10 4 5 4" xfId="31962" xr:uid="{00000000-0005-0000-0000-000050640000}"/>
    <cellStyle name="Output 10 4 6" xfId="17166" xr:uid="{00000000-0005-0000-0000-000051640000}"/>
    <cellStyle name="Output 10 4 6 2" xfId="17167" xr:uid="{00000000-0005-0000-0000-000052640000}"/>
    <cellStyle name="Output 10 4 6 3" xfId="31963" xr:uid="{00000000-0005-0000-0000-000053640000}"/>
    <cellStyle name="Output 10 4 6 4" xfId="31964" xr:uid="{00000000-0005-0000-0000-000054640000}"/>
    <cellStyle name="Output 10 4 7" xfId="17168" xr:uid="{00000000-0005-0000-0000-000055640000}"/>
    <cellStyle name="Output 10 4 7 2" xfId="17169" xr:uid="{00000000-0005-0000-0000-000056640000}"/>
    <cellStyle name="Output 10 4 7 3" xfId="31965" xr:uid="{00000000-0005-0000-0000-000057640000}"/>
    <cellStyle name="Output 10 4 7 4" xfId="31966" xr:uid="{00000000-0005-0000-0000-000058640000}"/>
    <cellStyle name="Output 10 4 8" xfId="17170" xr:uid="{00000000-0005-0000-0000-000059640000}"/>
    <cellStyle name="Output 10 4 9" xfId="31967" xr:uid="{00000000-0005-0000-0000-00005A640000}"/>
    <cellStyle name="Output 10 5" xfId="17171" xr:uid="{00000000-0005-0000-0000-00005B640000}"/>
    <cellStyle name="Output 10 5 10" xfId="31968" xr:uid="{00000000-0005-0000-0000-00005C640000}"/>
    <cellStyle name="Output 10 5 2" xfId="17172" xr:uid="{00000000-0005-0000-0000-00005D640000}"/>
    <cellStyle name="Output 10 5 2 2" xfId="17173" xr:uid="{00000000-0005-0000-0000-00005E640000}"/>
    <cellStyle name="Output 10 5 2 3" xfId="31969" xr:uid="{00000000-0005-0000-0000-00005F640000}"/>
    <cellStyle name="Output 10 5 2 4" xfId="31970" xr:uid="{00000000-0005-0000-0000-000060640000}"/>
    <cellStyle name="Output 10 5 3" xfId="17174" xr:uid="{00000000-0005-0000-0000-000061640000}"/>
    <cellStyle name="Output 10 5 3 2" xfId="17175" xr:uid="{00000000-0005-0000-0000-000062640000}"/>
    <cellStyle name="Output 10 5 3 3" xfId="31971" xr:uid="{00000000-0005-0000-0000-000063640000}"/>
    <cellStyle name="Output 10 5 3 4" xfId="31972" xr:uid="{00000000-0005-0000-0000-000064640000}"/>
    <cellStyle name="Output 10 5 4" xfId="17176" xr:uid="{00000000-0005-0000-0000-000065640000}"/>
    <cellStyle name="Output 10 5 4 2" xfId="17177" xr:uid="{00000000-0005-0000-0000-000066640000}"/>
    <cellStyle name="Output 10 5 4 3" xfId="31973" xr:uid="{00000000-0005-0000-0000-000067640000}"/>
    <cellStyle name="Output 10 5 4 4" xfId="31974" xr:uid="{00000000-0005-0000-0000-000068640000}"/>
    <cellStyle name="Output 10 5 5" xfId="17178" xr:uid="{00000000-0005-0000-0000-000069640000}"/>
    <cellStyle name="Output 10 5 5 2" xfId="17179" xr:uid="{00000000-0005-0000-0000-00006A640000}"/>
    <cellStyle name="Output 10 5 5 3" xfId="31975" xr:uid="{00000000-0005-0000-0000-00006B640000}"/>
    <cellStyle name="Output 10 5 5 4" xfId="31976" xr:uid="{00000000-0005-0000-0000-00006C640000}"/>
    <cellStyle name="Output 10 5 6" xfId="17180" xr:uid="{00000000-0005-0000-0000-00006D640000}"/>
    <cellStyle name="Output 10 5 6 2" xfId="17181" xr:uid="{00000000-0005-0000-0000-00006E640000}"/>
    <cellStyle name="Output 10 5 6 3" xfId="31977" xr:uid="{00000000-0005-0000-0000-00006F640000}"/>
    <cellStyle name="Output 10 5 6 4" xfId="31978" xr:uid="{00000000-0005-0000-0000-000070640000}"/>
    <cellStyle name="Output 10 5 7" xfId="17182" xr:uid="{00000000-0005-0000-0000-000071640000}"/>
    <cellStyle name="Output 10 5 7 2" xfId="17183" xr:uid="{00000000-0005-0000-0000-000072640000}"/>
    <cellStyle name="Output 10 5 7 3" xfId="31979" xr:uid="{00000000-0005-0000-0000-000073640000}"/>
    <cellStyle name="Output 10 5 7 4" xfId="31980" xr:uid="{00000000-0005-0000-0000-000074640000}"/>
    <cellStyle name="Output 10 5 8" xfId="17184" xr:uid="{00000000-0005-0000-0000-000075640000}"/>
    <cellStyle name="Output 10 5 9" xfId="31981" xr:uid="{00000000-0005-0000-0000-000076640000}"/>
    <cellStyle name="Output 10 6" xfId="17185" xr:uid="{00000000-0005-0000-0000-000077640000}"/>
    <cellStyle name="Output 10 6 2" xfId="17186" xr:uid="{00000000-0005-0000-0000-000078640000}"/>
    <cellStyle name="Output 10 6 3" xfId="31982" xr:uid="{00000000-0005-0000-0000-000079640000}"/>
    <cellStyle name="Output 10 6 4" xfId="31983" xr:uid="{00000000-0005-0000-0000-00007A640000}"/>
    <cellStyle name="Output 10 7" xfId="17187" xr:uid="{00000000-0005-0000-0000-00007B640000}"/>
    <cellStyle name="Output 10 7 2" xfId="17188" xr:uid="{00000000-0005-0000-0000-00007C640000}"/>
    <cellStyle name="Output 10 7 3" xfId="31984" xr:uid="{00000000-0005-0000-0000-00007D640000}"/>
    <cellStyle name="Output 10 7 4" xfId="31985" xr:uid="{00000000-0005-0000-0000-00007E640000}"/>
    <cellStyle name="Output 10 8" xfId="17189" xr:uid="{00000000-0005-0000-0000-00007F640000}"/>
    <cellStyle name="Output 10 8 2" xfId="17190" xr:uid="{00000000-0005-0000-0000-000080640000}"/>
    <cellStyle name="Output 10 8 3" xfId="31986" xr:uid="{00000000-0005-0000-0000-000081640000}"/>
    <cellStyle name="Output 10 8 4" xfId="31987" xr:uid="{00000000-0005-0000-0000-000082640000}"/>
    <cellStyle name="Output 10 9" xfId="17191" xr:uid="{00000000-0005-0000-0000-000083640000}"/>
    <cellStyle name="Output 10 9 2" xfId="17192" xr:uid="{00000000-0005-0000-0000-000084640000}"/>
    <cellStyle name="Output 10 9 3" xfId="31988" xr:uid="{00000000-0005-0000-0000-000085640000}"/>
    <cellStyle name="Output 10 9 4" xfId="31989" xr:uid="{00000000-0005-0000-0000-000086640000}"/>
    <cellStyle name="Output 11" xfId="17193" xr:uid="{00000000-0005-0000-0000-000087640000}"/>
    <cellStyle name="Output 11 10" xfId="17194" xr:uid="{00000000-0005-0000-0000-000088640000}"/>
    <cellStyle name="Output 11 10 2" xfId="17195" xr:uid="{00000000-0005-0000-0000-000089640000}"/>
    <cellStyle name="Output 11 10 3" xfId="31990" xr:uid="{00000000-0005-0000-0000-00008A640000}"/>
    <cellStyle name="Output 11 10 4" xfId="31991" xr:uid="{00000000-0005-0000-0000-00008B640000}"/>
    <cellStyle name="Output 11 11" xfId="17196" xr:uid="{00000000-0005-0000-0000-00008C640000}"/>
    <cellStyle name="Output 11 11 2" xfId="17197" xr:uid="{00000000-0005-0000-0000-00008D640000}"/>
    <cellStyle name="Output 11 11 3" xfId="31992" xr:uid="{00000000-0005-0000-0000-00008E640000}"/>
    <cellStyle name="Output 11 11 4" xfId="31993" xr:uid="{00000000-0005-0000-0000-00008F640000}"/>
    <cellStyle name="Output 11 12" xfId="17198" xr:uid="{00000000-0005-0000-0000-000090640000}"/>
    <cellStyle name="Output 11 13" xfId="31994" xr:uid="{00000000-0005-0000-0000-000091640000}"/>
    <cellStyle name="Output 11 14" xfId="31995" xr:uid="{00000000-0005-0000-0000-000092640000}"/>
    <cellStyle name="Output 11 2" xfId="17199" xr:uid="{00000000-0005-0000-0000-000093640000}"/>
    <cellStyle name="Output 11 2 10" xfId="31996" xr:uid="{00000000-0005-0000-0000-000094640000}"/>
    <cellStyle name="Output 11 2 2" xfId="17200" xr:uid="{00000000-0005-0000-0000-000095640000}"/>
    <cellStyle name="Output 11 2 2 2" xfId="17201" xr:uid="{00000000-0005-0000-0000-000096640000}"/>
    <cellStyle name="Output 11 2 2 3" xfId="31997" xr:uid="{00000000-0005-0000-0000-000097640000}"/>
    <cellStyle name="Output 11 2 2 4" xfId="31998" xr:uid="{00000000-0005-0000-0000-000098640000}"/>
    <cellStyle name="Output 11 2 3" xfId="17202" xr:uid="{00000000-0005-0000-0000-000099640000}"/>
    <cellStyle name="Output 11 2 3 2" xfId="17203" xr:uid="{00000000-0005-0000-0000-00009A640000}"/>
    <cellStyle name="Output 11 2 3 3" xfId="31999" xr:uid="{00000000-0005-0000-0000-00009B640000}"/>
    <cellStyle name="Output 11 2 3 4" xfId="32000" xr:uid="{00000000-0005-0000-0000-00009C640000}"/>
    <cellStyle name="Output 11 2 4" xfId="17204" xr:uid="{00000000-0005-0000-0000-00009D640000}"/>
    <cellStyle name="Output 11 2 4 2" xfId="17205" xr:uid="{00000000-0005-0000-0000-00009E640000}"/>
    <cellStyle name="Output 11 2 4 3" xfId="32001" xr:uid="{00000000-0005-0000-0000-00009F640000}"/>
    <cellStyle name="Output 11 2 4 4" xfId="32002" xr:uid="{00000000-0005-0000-0000-0000A0640000}"/>
    <cellStyle name="Output 11 2 5" xfId="17206" xr:uid="{00000000-0005-0000-0000-0000A1640000}"/>
    <cellStyle name="Output 11 2 5 2" xfId="17207" xr:uid="{00000000-0005-0000-0000-0000A2640000}"/>
    <cellStyle name="Output 11 2 5 3" xfId="32003" xr:uid="{00000000-0005-0000-0000-0000A3640000}"/>
    <cellStyle name="Output 11 2 5 4" xfId="32004" xr:uid="{00000000-0005-0000-0000-0000A4640000}"/>
    <cellStyle name="Output 11 2 6" xfId="17208" xr:uid="{00000000-0005-0000-0000-0000A5640000}"/>
    <cellStyle name="Output 11 2 6 2" xfId="17209" xr:uid="{00000000-0005-0000-0000-0000A6640000}"/>
    <cellStyle name="Output 11 2 6 3" xfId="32005" xr:uid="{00000000-0005-0000-0000-0000A7640000}"/>
    <cellStyle name="Output 11 2 6 4" xfId="32006" xr:uid="{00000000-0005-0000-0000-0000A8640000}"/>
    <cellStyle name="Output 11 2 7" xfId="17210" xr:uid="{00000000-0005-0000-0000-0000A9640000}"/>
    <cellStyle name="Output 11 2 7 2" xfId="17211" xr:uid="{00000000-0005-0000-0000-0000AA640000}"/>
    <cellStyle name="Output 11 2 7 3" xfId="32007" xr:uid="{00000000-0005-0000-0000-0000AB640000}"/>
    <cellStyle name="Output 11 2 7 4" xfId="32008" xr:uid="{00000000-0005-0000-0000-0000AC640000}"/>
    <cellStyle name="Output 11 2 8" xfId="17212" xr:uid="{00000000-0005-0000-0000-0000AD640000}"/>
    <cellStyle name="Output 11 2 9" xfId="32009" xr:uid="{00000000-0005-0000-0000-0000AE640000}"/>
    <cellStyle name="Output 11 3" xfId="17213" xr:uid="{00000000-0005-0000-0000-0000AF640000}"/>
    <cellStyle name="Output 11 3 10" xfId="32010" xr:uid="{00000000-0005-0000-0000-0000B0640000}"/>
    <cellStyle name="Output 11 3 2" xfId="17214" xr:uid="{00000000-0005-0000-0000-0000B1640000}"/>
    <cellStyle name="Output 11 3 2 2" xfId="17215" xr:uid="{00000000-0005-0000-0000-0000B2640000}"/>
    <cellStyle name="Output 11 3 2 3" xfId="32011" xr:uid="{00000000-0005-0000-0000-0000B3640000}"/>
    <cellStyle name="Output 11 3 2 4" xfId="32012" xr:uid="{00000000-0005-0000-0000-0000B4640000}"/>
    <cellStyle name="Output 11 3 3" xfId="17216" xr:uid="{00000000-0005-0000-0000-0000B5640000}"/>
    <cellStyle name="Output 11 3 3 2" xfId="17217" xr:uid="{00000000-0005-0000-0000-0000B6640000}"/>
    <cellStyle name="Output 11 3 3 3" xfId="32013" xr:uid="{00000000-0005-0000-0000-0000B7640000}"/>
    <cellStyle name="Output 11 3 3 4" xfId="32014" xr:uid="{00000000-0005-0000-0000-0000B8640000}"/>
    <cellStyle name="Output 11 3 4" xfId="17218" xr:uid="{00000000-0005-0000-0000-0000B9640000}"/>
    <cellStyle name="Output 11 3 4 2" xfId="17219" xr:uid="{00000000-0005-0000-0000-0000BA640000}"/>
    <cellStyle name="Output 11 3 4 3" xfId="32015" xr:uid="{00000000-0005-0000-0000-0000BB640000}"/>
    <cellStyle name="Output 11 3 4 4" xfId="32016" xr:uid="{00000000-0005-0000-0000-0000BC640000}"/>
    <cellStyle name="Output 11 3 5" xfId="17220" xr:uid="{00000000-0005-0000-0000-0000BD640000}"/>
    <cellStyle name="Output 11 3 5 2" xfId="17221" xr:uid="{00000000-0005-0000-0000-0000BE640000}"/>
    <cellStyle name="Output 11 3 5 3" xfId="32017" xr:uid="{00000000-0005-0000-0000-0000BF640000}"/>
    <cellStyle name="Output 11 3 5 4" xfId="32018" xr:uid="{00000000-0005-0000-0000-0000C0640000}"/>
    <cellStyle name="Output 11 3 6" xfId="17222" xr:uid="{00000000-0005-0000-0000-0000C1640000}"/>
    <cellStyle name="Output 11 3 6 2" xfId="17223" xr:uid="{00000000-0005-0000-0000-0000C2640000}"/>
    <cellStyle name="Output 11 3 6 3" xfId="32019" xr:uid="{00000000-0005-0000-0000-0000C3640000}"/>
    <cellStyle name="Output 11 3 6 4" xfId="32020" xr:uid="{00000000-0005-0000-0000-0000C4640000}"/>
    <cellStyle name="Output 11 3 7" xfId="17224" xr:uid="{00000000-0005-0000-0000-0000C5640000}"/>
    <cellStyle name="Output 11 3 7 2" xfId="17225" xr:uid="{00000000-0005-0000-0000-0000C6640000}"/>
    <cellStyle name="Output 11 3 7 3" xfId="32021" xr:uid="{00000000-0005-0000-0000-0000C7640000}"/>
    <cellStyle name="Output 11 3 7 4" xfId="32022" xr:uid="{00000000-0005-0000-0000-0000C8640000}"/>
    <cellStyle name="Output 11 3 8" xfId="17226" xr:uid="{00000000-0005-0000-0000-0000C9640000}"/>
    <cellStyle name="Output 11 3 9" xfId="32023" xr:uid="{00000000-0005-0000-0000-0000CA640000}"/>
    <cellStyle name="Output 11 4" xfId="17227" xr:uid="{00000000-0005-0000-0000-0000CB640000}"/>
    <cellStyle name="Output 11 4 10" xfId="32024" xr:uid="{00000000-0005-0000-0000-0000CC640000}"/>
    <cellStyle name="Output 11 4 2" xfId="17228" xr:uid="{00000000-0005-0000-0000-0000CD640000}"/>
    <cellStyle name="Output 11 4 2 2" xfId="17229" xr:uid="{00000000-0005-0000-0000-0000CE640000}"/>
    <cellStyle name="Output 11 4 2 3" xfId="32025" xr:uid="{00000000-0005-0000-0000-0000CF640000}"/>
    <cellStyle name="Output 11 4 2 4" xfId="32026" xr:uid="{00000000-0005-0000-0000-0000D0640000}"/>
    <cellStyle name="Output 11 4 3" xfId="17230" xr:uid="{00000000-0005-0000-0000-0000D1640000}"/>
    <cellStyle name="Output 11 4 3 2" xfId="17231" xr:uid="{00000000-0005-0000-0000-0000D2640000}"/>
    <cellStyle name="Output 11 4 3 3" xfId="32027" xr:uid="{00000000-0005-0000-0000-0000D3640000}"/>
    <cellStyle name="Output 11 4 3 4" xfId="32028" xr:uid="{00000000-0005-0000-0000-0000D4640000}"/>
    <cellStyle name="Output 11 4 4" xfId="17232" xr:uid="{00000000-0005-0000-0000-0000D5640000}"/>
    <cellStyle name="Output 11 4 4 2" xfId="17233" xr:uid="{00000000-0005-0000-0000-0000D6640000}"/>
    <cellStyle name="Output 11 4 4 3" xfId="32029" xr:uid="{00000000-0005-0000-0000-0000D7640000}"/>
    <cellStyle name="Output 11 4 4 4" xfId="32030" xr:uid="{00000000-0005-0000-0000-0000D8640000}"/>
    <cellStyle name="Output 11 4 5" xfId="17234" xr:uid="{00000000-0005-0000-0000-0000D9640000}"/>
    <cellStyle name="Output 11 4 5 2" xfId="17235" xr:uid="{00000000-0005-0000-0000-0000DA640000}"/>
    <cellStyle name="Output 11 4 5 3" xfId="32031" xr:uid="{00000000-0005-0000-0000-0000DB640000}"/>
    <cellStyle name="Output 11 4 5 4" xfId="32032" xr:uid="{00000000-0005-0000-0000-0000DC640000}"/>
    <cellStyle name="Output 11 4 6" xfId="17236" xr:uid="{00000000-0005-0000-0000-0000DD640000}"/>
    <cellStyle name="Output 11 4 6 2" xfId="17237" xr:uid="{00000000-0005-0000-0000-0000DE640000}"/>
    <cellStyle name="Output 11 4 6 3" xfId="32033" xr:uid="{00000000-0005-0000-0000-0000DF640000}"/>
    <cellStyle name="Output 11 4 6 4" xfId="32034" xr:uid="{00000000-0005-0000-0000-0000E0640000}"/>
    <cellStyle name="Output 11 4 7" xfId="17238" xr:uid="{00000000-0005-0000-0000-0000E1640000}"/>
    <cellStyle name="Output 11 4 7 2" xfId="17239" xr:uid="{00000000-0005-0000-0000-0000E2640000}"/>
    <cellStyle name="Output 11 4 7 3" xfId="32035" xr:uid="{00000000-0005-0000-0000-0000E3640000}"/>
    <cellStyle name="Output 11 4 7 4" xfId="32036" xr:uid="{00000000-0005-0000-0000-0000E4640000}"/>
    <cellStyle name="Output 11 4 8" xfId="17240" xr:uid="{00000000-0005-0000-0000-0000E5640000}"/>
    <cellStyle name="Output 11 4 9" xfId="32037" xr:uid="{00000000-0005-0000-0000-0000E6640000}"/>
    <cellStyle name="Output 11 5" xfId="17241" xr:uid="{00000000-0005-0000-0000-0000E7640000}"/>
    <cellStyle name="Output 11 5 10" xfId="32038" xr:uid="{00000000-0005-0000-0000-0000E8640000}"/>
    <cellStyle name="Output 11 5 2" xfId="17242" xr:uid="{00000000-0005-0000-0000-0000E9640000}"/>
    <cellStyle name="Output 11 5 2 2" xfId="17243" xr:uid="{00000000-0005-0000-0000-0000EA640000}"/>
    <cellStyle name="Output 11 5 2 3" xfId="32039" xr:uid="{00000000-0005-0000-0000-0000EB640000}"/>
    <cellStyle name="Output 11 5 2 4" xfId="32040" xr:uid="{00000000-0005-0000-0000-0000EC640000}"/>
    <cellStyle name="Output 11 5 3" xfId="17244" xr:uid="{00000000-0005-0000-0000-0000ED640000}"/>
    <cellStyle name="Output 11 5 3 2" xfId="17245" xr:uid="{00000000-0005-0000-0000-0000EE640000}"/>
    <cellStyle name="Output 11 5 3 3" xfId="32041" xr:uid="{00000000-0005-0000-0000-0000EF640000}"/>
    <cellStyle name="Output 11 5 3 4" xfId="32042" xr:uid="{00000000-0005-0000-0000-0000F0640000}"/>
    <cellStyle name="Output 11 5 4" xfId="17246" xr:uid="{00000000-0005-0000-0000-0000F1640000}"/>
    <cellStyle name="Output 11 5 4 2" xfId="17247" xr:uid="{00000000-0005-0000-0000-0000F2640000}"/>
    <cellStyle name="Output 11 5 4 3" xfId="32043" xr:uid="{00000000-0005-0000-0000-0000F3640000}"/>
    <cellStyle name="Output 11 5 4 4" xfId="32044" xr:uid="{00000000-0005-0000-0000-0000F4640000}"/>
    <cellStyle name="Output 11 5 5" xfId="17248" xr:uid="{00000000-0005-0000-0000-0000F5640000}"/>
    <cellStyle name="Output 11 5 5 2" xfId="17249" xr:uid="{00000000-0005-0000-0000-0000F6640000}"/>
    <cellStyle name="Output 11 5 5 3" xfId="32045" xr:uid="{00000000-0005-0000-0000-0000F7640000}"/>
    <cellStyle name="Output 11 5 5 4" xfId="32046" xr:uid="{00000000-0005-0000-0000-0000F8640000}"/>
    <cellStyle name="Output 11 5 6" xfId="17250" xr:uid="{00000000-0005-0000-0000-0000F9640000}"/>
    <cellStyle name="Output 11 5 6 2" xfId="17251" xr:uid="{00000000-0005-0000-0000-0000FA640000}"/>
    <cellStyle name="Output 11 5 6 3" xfId="32047" xr:uid="{00000000-0005-0000-0000-0000FB640000}"/>
    <cellStyle name="Output 11 5 6 4" xfId="32048" xr:uid="{00000000-0005-0000-0000-0000FC640000}"/>
    <cellStyle name="Output 11 5 7" xfId="17252" xr:uid="{00000000-0005-0000-0000-0000FD640000}"/>
    <cellStyle name="Output 11 5 7 2" xfId="17253" xr:uid="{00000000-0005-0000-0000-0000FE640000}"/>
    <cellStyle name="Output 11 5 7 3" xfId="32049" xr:uid="{00000000-0005-0000-0000-0000FF640000}"/>
    <cellStyle name="Output 11 5 7 4" xfId="32050" xr:uid="{00000000-0005-0000-0000-000000650000}"/>
    <cellStyle name="Output 11 5 8" xfId="17254" xr:uid="{00000000-0005-0000-0000-000001650000}"/>
    <cellStyle name="Output 11 5 9" xfId="32051" xr:uid="{00000000-0005-0000-0000-000002650000}"/>
    <cellStyle name="Output 11 6" xfId="17255" xr:uid="{00000000-0005-0000-0000-000003650000}"/>
    <cellStyle name="Output 11 6 2" xfId="17256" xr:uid="{00000000-0005-0000-0000-000004650000}"/>
    <cellStyle name="Output 11 6 3" xfId="32052" xr:uid="{00000000-0005-0000-0000-000005650000}"/>
    <cellStyle name="Output 11 6 4" xfId="32053" xr:uid="{00000000-0005-0000-0000-000006650000}"/>
    <cellStyle name="Output 11 7" xfId="17257" xr:uid="{00000000-0005-0000-0000-000007650000}"/>
    <cellStyle name="Output 11 7 2" xfId="17258" xr:uid="{00000000-0005-0000-0000-000008650000}"/>
    <cellStyle name="Output 11 7 3" xfId="32054" xr:uid="{00000000-0005-0000-0000-000009650000}"/>
    <cellStyle name="Output 11 7 4" xfId="32055" xr:uid="{00000000-0005-0000-0000-00000A650000}"/>
    <cellStyle name="Output 11 8" xfId="17259" xr:uid="{00000000-0005-0000-0000-00000B650000}"/>
    <cellStyle name="Output 11 8 2" xfId="17260" xr:uid="{00000000-0005-0000-0000-00000C650000}"/>
    <cellStyle name="Output 11 8 3" xfId="32056" xr:uid="{00000000-0005-0000-0000-00000D650000}"/>
    <cellStyle name="Output 11 8 4" xfId="32057" xr:uid="{00000000-0005-0000-0000-00000E650000}"/>
    <cellStyle name="Output 11 9" xfId="17261" xr:uid="{00000000-0005-0000-0000-00000F650000}"/>
    <cellStyle name="Output 11 9 2" xfId="17262" xr:uid="{00000000-0005-0000-0000-000010650000}"/>
    <cellStyle name="Output 11 9 3" xfId="32058" xr:uid="{00000000-0005-0000-0000-000011650000}"/>
    <cellStyle name="Output 11 9 4" xfId="32059" xr:uid="{00000000-0005-0000-0000-000012650000}"/>
    <cellStyle name="Output 12" xfId="17263" xr:uid="{00000000-0005-0000-0000-000013650000}"/>
    <cellStyle name="Output 12 10" xfId="17264" xr:uid="{00000000-0005-0000-0000-000014650000}"/>
    <cellStyle name="Output 12 10 2" xfId="17265" xr:uid="{00000000-0005-0000-0000-000015650000}"/>
    <cellStyle name="Output 12 10 3" xfId="32060" xr:uid="{00000000-0005-0000-0000-000016650000}"/>
    <cellStyle name="Output 12 10 4" xfId="32061" xr:uid="{00000000-0005-0000-0000-000017650000}"/>
    <cellStyle name="Output 12 11" xfId="17266" xr:uid="{00000000-0005-0000-0000-000018650000}"/>
    <cellStyle name="Output 12 11 2" xfId="17267" xr:uid="{00000000-0005-0000-0000-000019650000}"/>
    <cellStyle name="Output 12 11 3" xfId="32062" xr:uid="{00000000-0005-0000-0000-00001A650000}"/>
    <cellStyle name="Output 12 11 4" xfId="32063" xr:uid="{00000000-0005-0000-0000-00001B650000}"/>
    <cellStyle name="Output 12 12" xfId="17268" xr:uid="{00000000-0005-0000-0000-00001C650000}"/>
    <cellStyle name="Output 12 13" xfId="32064" xr:uid="{00000000-0005-0000-0000-00001D650000}"/>
    <cellStyle name="Output 12 14" xfId="32065" xr:uid="{00000000-0005-0000-0000-00001E650000}"/>
    <cellStyle name="Output 12 2" xfId="17269" xr:uid="{00000000-0005-0000-0000-00001F650000}"/>
    <cellStyle name="Output 12 2 10" xfId="32066" xr:uid="{00000000-0005-0000-0000-000020650000}"/>
    <cellStyle name="Output 12 2 2" xfId="17270" xr:uid="{00000000-0005-0000-0000-000021650000}"/>
    <cellStyle name="Output 12 2 2 2" xfId="17271" xr:uid="{00000000-0005-0000-0000-000022650000}"/>
    <cellStyle name="Output 12 2 2 3" xfId="32067" xr:uid="{00000000-0005-0000-0000-000023650000}"/>
    <cellStyle name="Output 12 2 2 4" xfId="32068" xr:uid="{00000000-0005-0000-0000-000024650000}"/>
    <cellStyle name="Output 12 2 3" xfId="17272" xr:uid="{00000000-0005-0000-0000-000025650000}"/>
    <cellStyle name="Output 12 2 3 2" xfId="17273" xr:uid="{00000000-0005-0000-0000-000026650000}"/>
    <cellStyle name="Output 12 2 3 3" xfId="32069" xr:uid="{00000000-0005-0000-0000-000027650000}"/>
    <cellStyle name="Output 12 2 3 4" xfId="32070" xr:uid="{00000000-0005-0000-0000-000028650000}"/>
    <cellStyle name="Output 12 2 4" xfId="17274" xr:uid="{00000000-0005-0000-0000-000029650000}"/>
    <cellStyle name="Output 12 2 4 2" xfId="17275" xr:uid="{00000000-0005-0000-0000-00002A650000}"/>
    <cellStyle name="Output 12 2 4 3" xfId="32071" xr:uid="{00000000-0005-0000-0000-00002B650000}"/>
    <cellStyle name="Output 12 2 4 4" xfId="32072" xr:uid="{00000000-0005-0000-0000-00002C650000}"/>
    <cellStyle name="Output 12 2 5" xfId="17276" xr:uid="{00000000-0005-0000-0000-00002D650000}"/>
    <cellStyle name="Output 12 2 5 2" xfId="17277" xr:uid="{00000000-0005-0000-0000-00002E650000}"/>
    <cellStyle name="Output 12 2 5 3" xfId="32073" xr:uid="{00000000-0005-0000-0000-00002F650000}"/>
    <cellStyle name="Output 12 2 5 4" xfId="32074" xr:uid="{00000000-0005-0000-0000-000030650000}"/>
    <cellStyle name="Output 12 2 6" xfId="17278" xr:uid="{00000000-0005-0000-0000-000031650000}"/>
    <cellStyle name="Output 12 2 6 2" xfId="17279" xr:uid="{00000000-0005-0000-0000-000032650000}"/>
    <cellStyle name="Output 12 2 6 3" xfId="32075" xr:uid="{00000000-0005-0000-0000-000033650000}"/>
    <cellStyle name="Output 12 2 6 4" xfId="32076" xr:uid="{00000000-0005-0000-0000-000034650000}"/>
    <cellStyle name="Output 12 2 7" xfId="17280" xr:uid="{00000000-0005-0000-0000-000035650000}"/>
    <cellStyle name="Output 12 2 7 2" xfId="17281" xr:uid="{00000000-0005-0000-0000-000036650000}"/>
    <cellStyle name="Output 12 2 7 3" xfId="32077" xr:uid="{00000000-0005-0000-0000-000037650000}"/>
    <cellStyle name="Output 12 2 7 4" xfId="32078" xr:uid="{00000000-0005-0000-0000-000038650000}"/>
    <cellStyle name="Output 12 2 8" xfId="17282" xr:uid="{00000000-0005-0000-0000-000039650000}"/>
    <cellStyle name="Output 12 2 9" xfId="32079" xr:uid="{00000000-0005-0000-0000-00003A650000}"/>
    <cellStyle name="Output 12 3" xfId="17283" xr:uid="{00000000-0005-0000-0000-00003B650000}"/>
    <cellStyle name="Output 12 3 10" xfId="32080" xr:uid="{00000000-0005-0000-0000-00003C650000}"/>
    <cellStyle name="Output 12 3 2" xfId="17284" xr:uid="{00000000-0005-0000-0000-00003D650000}"/>
    <cellStyle name="Output 12 3 2 2" xfId="17285" xr:uid="{00000000-0005-0000-0000-00003E650000}"/>
    <cellStyle name="Output 12 3 2 3" xfId="32081" xr:uid="{00000000-0005-0000-0000-00003F650000}"/>
    <cellStyle name="Output 12 3 2 4" xfId="32082" xr:uid="{00000000-0005-0000-0000-000040650000}"/>
    <cellStyle name="Output 12 3 3" xfId="17286" xr:uid="{00000000-0005-0000-0000-000041650000}"/>
    <cellStyle name="Output 12 3 3 2" xfId="17287" xr:uid="{00000000-0005-0000-0000-000042650000}"/>
    <cellStyle name="Output 12 3 3 3" xfId="32083" xr:uid="{00000000-0005-0000-0000-000043650000}"/>
    <cellStyle name="Output 12 3 3 4" xfId="32084" xr:uid="{00000000-0005-0000-0000-000044650000}"/>
    <cellStyle name="Output 12 3 4" xfId="17288" xr:uid="{00000000-0005-0000-0000-000045650000}"/>
    <cellStyle name="Output 12 3 4 2" xfId="17289" xr:uid="{00000000-0005-0000-0000-000046650000}"/>
    <cellStyle name="Output 12 3 4 3" xfId="32085" xr:uid="{00000000-0005-0000-0000-000047650000}"/>
    <cellStyle name="Output 12 3 4 4" xfId="32086" xr:uid="{00000000-0005-0000-0000-000048650000}"/>
    <cellStyle name="Output 12 3 5" xfId="17290" xr:uid="{00000000-0005-0000-0000-000049650000}"/>
    <cellStyle name="Output 12 3 5 2" xfId="17291" xr:uid="{00000000-0005-0000-0000-00004A650000}"/>
    <cellStyle name="Output 12 3 5 3" xfId="32087" xr:uid="{00000000-0005-0000-0000-00004B650000}"/>
    <cellStyle name="Output 12 3 5 4" xfId="32088" xr:uid="{00000000-0005-0000-0000-00004C650000}"/>
    <cellStyle name="Output 12 3 6" xfId="17292" xr:uid="{00000000-0005-0000-0000-00004D650000}"/>
    <cellStyle name="Output 12 3 6 2" xfId="17293" xr:uid="{00000000-0005-0000-0000-00004E650000}"/>
    <cellStyle name="Output 12 3 6 3" xfId="32089" xr:uid="{00000000-0005-0000-0000-00004F650000}"/>
    <cellStyle name="Output 12 3 6 4" xfId="32090" xr:uid="{00000000-0005-0000-0000-000050650000}"/>
    <cellStyle name="Output 12 3 7" xfId="17294" xr:uid="{00000000-0005-0000-0000-000051650000}"/>
    <cellStyle name="Output 12 3 7 2" xfId="17295" xr:uid="{00000000-0005-0000-0000-000052650000}"/>
    <cellStyle name="Output 12 3 7 3" xfId="32091" xr:uid="{00000000-0005-0000-0000-000053650000}"/>
    <cellStyle name="Output 12 3 7 4" xfId="32092" xr:uid="{00000000-0005-0000-0000-000054650000}"/>
    <cellStyle name="Output 12 3 8" xfId="17296" xr:uid="{00000000-0005-0000-0000-000055650000}"/>
    <cellStyle name="Output 12 3 9" xfId="32093" xr:uid="{00000000-0005-0000-0000-000056650000}"/>
    <cellStyle name="Output 12 4" xfId="17297" xr:uid="{00000000-0005-0000-0000-000057650000}"/>
    <cellStyle name="Output 12 4 10" xfId="32094" xr:uid="{00000000-0005-0000-0000-000058650000}"/>
    <cellStyle name="Output 12 4 2" xfId="17298" xr:uid="{00000000-0005-0000-0000-000059650000}"/>
    <cellStyle name="Output 12 4 2 2" xfId="17299" xr:uid="{00000000-0005-0000-0000-00005A650000}"/>
    <cellStyle name="Output 12 4 2 3" xfId="32095" xr:uid="{00000000-0005-0000-0000-00005B650000}"/>
    <cellStyle name="Output 12 4 2 4" xfId="32096" xr:uid="{00000000-0005-0000-0000-00005C650000}"/>
    <cellStyle name="Output 12 4 3" xfId="17300" xr:uid="{00000000-0005-0000-0000-00005D650000}"/>
    <cellStyle name="Output 12 4 3 2" xfId="17301" xr:uid="{00000000-0005-0000-0000-00005E650000}"/>
    <cellStyle name="Output 12 4 3 3" xfId="32097" xr:uid="{00000000-0005-0000-0000-00005F650000}"/>
    <cellStyle name="Output 12 4 3 4" xfId="32098" xr:uid="{00000000-0005-0000-0000-000060650000}"/>
    <cellStyle name="Output 12 4 4" xfId="17302" xr:uid="{00000000-0005-0000-0000-000061650000}"/>
    <cellStyle name="Output 12 4 4 2" xfId="17303" xr:uid="{00000000-0005-0000-0000-000062650000}"/>
    <cellStyle name="Output 12 4 4 3" xfId="32099" xr:uid="{00000000-0005-0000-0000-000063650000}"/>
    <cellStyle name="Output 12 4 4 4" xfId="32100" xr:uid="{00000000-0005-0000-0000-000064650000}"/>
    <cellStyle name="Output 12 4 5" xfId="17304" xr:uid="{00000000-0005-0000-0000-000065650000}"/>
    <cellStyle name="Output 12 4 5 2" xfId="17305" xr:uid="{00000000-0005-0000-0000-000066650000}"/>
    <cellStyle name="Output 12 4 5 3" xfId="32101" xr:uid="{00000000-0005-0000-0000-000067650000}"/>
    <cellStyle name="Output 12 4 5 4" xfId="32102" xr:uid="{00000000-0005-0000-0000-000068650000}"/>
    <cellStyle name="Output 12 4 6" xfId="17306" xr:uid="{00000000-0005-0000-0000-000069650000}"/>
    <cellStyle name="Output 12 4 6 2" xfId="17307" xr:uid="{00000000-0005-0000-0000-00006A650000}"/>
    <cellStyle name="Output 12 4 6 3" xfId="32103" xr:uid="{00000000-0005-0000-0000-00006B650000}"/>
    <cellStyle name="Output 12 4 6 4" xfId="32104" xr:uid="{00000000-0005-0000-0000-00006C650000}"/>
    <cellStyle name="Output 12 4 7" xfId="17308" xr:uid="{00000000-0005-0000-0000-00006D650000}"/>
    <cellStyle name="Output 12 4 7 2" xfId="17309" xr:uid="{00000000-0005-0000-0000-00006E650000}"/>
    <cellStyle name="Output 12 4 7 3" xfId="32105" xr:uid="{00000000-0005-0000-0000-00006F650000}"/>
    <cellStyle name="Output 12 4 7 4" xfId="32106" xr:uid="{00000000-0005-0000-0000-000070650000}"/>
    <cellStyle name="Output 12 4 8" xfId="17310" xr:uid="{00000000-0005-0000-0000-000071650000}"/>
    <cellStyle name="Output 12 4 9" xfId="32107" xr:uid="{00000000-0005-0000-0000-000072650000}"/>
    <cellStyle name="Output 12 5" xfId="17311" xr:uid="{00000000-0005-0000-0000-000073650000}"/>
    <cellStyle name="Output 12 5 10" xfId="32108" xr:uid="{00000000-0005-0000-0000-000074650000}"/>
    <cellStyle name="Output 12 5 2" xfId="17312" xr:uid="{00000000-0005-0000-0000-000075650000}"/>
    <cellStyle name="Output 12 5 2 2" xfId="17313" xr:uid="{00000000-0005-0000-0000-000076650000}"/>
    <cellStyle name="Output 12 5 2 3" xfId="32109" xr:uid="{00000000-0005-0000-0000-000077650000}"/>
    <cellStyle name="Output 12 5 2 4" xfId="32110" xr:uid="{00000000-0005-0000-0000-000078650000}"/>
    <cellStyle name="Output 12 5 3" xfId="17314" xr:uid="{00000000-0005-0000-0000-000079650000}"/>
    <cellStyle name="Output 12 5 3 2" xfId="17315" xr:uid="{00000000-0005-0000-0000-00007A650000}"/>
    <cellStyle name="Output 12 5 3 3" xfId="32111" xr:uid="{00000000-0005-0000-0000-00007B650000}"/>
    <cellStyle name="Output 12 5 3 4" xfId="32112" xr:uid="{00000000-0005-0000-0000-00007C650000}"/>
    <cellStyle name="Output 12 5 4" xfId="17316" xr:uid="{00000000-0005-0000-0000-00007D650000}"/>
    <cellStyle name="Output 12 5 4 2" xfId="17317" xr:uid="{00000000-0005-0000-0000-00007E650000}"/>
    <cellStyle name="Output 12 5 4 3" xfId="32113" xr:uid="{00000000-0005-0000-0000-00007F650000}"/>
    <cellStyle name="Output 12 5 4 4" xfId="32114" xr:uid="{00000000-0005-0000-0000-000080650000}"/>
    <cellStyle name="Output 12 5 5" xfId="17318" xr:uid="{00000000-0005-0000-0000-000081650000}"/>
    <cellStyle name="Output 12 5 5 2" xfId="17319" xr:uid="{00000000-0005-0000-0000-000082650000}"/>
    <cellStyle name="Output 12 5 5 3" xfId="32115" xr:uid="{00000000-0005-0000-0000-000083650000}"/>
    <cellStyle name="Output 12 5 5 4" xfId="32116" xr:uid="{00000000-0005-0000-0000-000084650000}"/>
    <cellStyle name="Output 12 5 6" xfId="17320" xr:uid="{00000000-0005-0000-0000-000085650000}"/>
    <cellStyle name="Output 12 5 6 2" xfId="17321" xr:uid="{00000000-0005-0000-0000-000086650000}"/>
    <cellStyle name="Output 12 5 6 3" xfId="32117" xr:uid="{00000000-0005-0000-0000-000087650000}"/>
    <cellStyle name="Output 12 5 6 4" xfId="32118" xr:uid="{00000000-0005-0000-0000-000088650000}"/>
    <cellStyle name="Output 12 5 7" xfId="17322" xr:uid="{00000000-0005-0000-0000-000089650000}"/>
    <cellStyle name="Output 12 5 7 2" xfId="17323" xr:uid="{00000000-0005-0000-0000-00008A650000}"/>
    <cellStyle name="Output 12 5 7 3" xfId="32119" xr:uid="{00000000-0005-0000-0000-00008B650000}"/>
    <cellStyle name="Output 12 5 7 4" xfId="32120" xr:uid="{00000000-0005-0000-0000-00008C650000}"/>
    <cellStyle name="Output 12 5 8" xfId="17324" xr:uid="{00000000-0005-0000-0000-00008D650000}"/>
    <cellStyle name="Output 12 5 9" xfId="32121" xr:uid="{00000000-0005-0000-0000-00008E650000}"/>
    <cellStyle name="Output 12 6" xfId="17325" xr:uid="{00000000-0005-0000-0000-00008F650000}"/>
    <cellStyle name="Output 12 6 2" xfId="17326" xr:uid="{00000000-0005-0000-0000-000090650000}"/>
    <cellStyle name="Output 12 6 3" xfId="32122" xr:uid="{00000000-0005-0000-0000-000091650000}"/>
    <cellStyle name="Output 12 6 4" xfId="32123" xr:uid="{00000000-0005-0000-0000-000092650000}"/>
    <cellStyle name="Output 12 7" xfId="17327" xr:uid="{00000000-0005-0000-0000-000093650000}"/>
    <cellStyle name="Output 12 7 2" xfId="17328" xr:uid="{00000000-0005-0000-0000-000094650000}"/>
    <cellStyle name="Output 12 7 3" xfId="32124" xr:uid="{00000000-0005-0000-0000-000095650000}"/>
    <cellStyle name="Output 12 7 4" xfId="32125" xr:uid="{00000000-0005-0000-0000-000096650000}"/>
    <cellStyle name="Output 12 8" xfId="17329" xr:uid="{00000000-0005-0000-0000-000097650000}"/>
    <cellStyle name="Output 12 8 2" xfId="17330" xr:uid="{00000000-0005-0000-0000-000098650000}"/>
    <cellStyle name="Output 12 8 3" xfId="32126" xr:uid="{00000000-0005-0000-0000-000099650000}"/>
    <cellStyle name="Output 12 8 4" xfId="32127" xr:uid="{00000000-0005-0000-0000-00009A650000}"/>
    <cellStyle name="Output 12 9" xfId="17331" xr:uid="{00000000-0005-0000-0000-00009B650000}"/>
    <cellStyle name="Output 12 9 2" xfId="17332" xr:uid="{00000000-0005-0000-0000-00009C650000}"/>
    <cellStyle name="Output 12 9 3" xfId="32128" xr:uid="{00000000-0005-0000-0000-00009D650000}"/>
    <cellStyle name="Output 12 9 4" xfId="32129" xr:uid="{00000000-0005-0000-0000-00009E650000}"/>
    <cellStyle name="Output 13" xfId="17333" xr:uid="{00000000-0005-0000-0000-00009F650000}"/>
    <cellStyle name="Output 13 10" xfId="17334" xr:uid="{00000000-0005-0000-0000-0000A0650000}"/>
    <cellStyle name="Output 13 10 2" xfId="17335" xr:uid="{00000000-0005-0000-0000-0000A1650000}"/>
    <cellStyle name="Output 13 10 3" xfId="32130" xr:uid="{00000000-0005-0000-0000-0000A2650000}"/>
    <cellStyle name="Output 13 10 4" xfId="32131" xr:uid="{00000000-0005-0000-0000-0000A3650000}"/>
    <cellStyle name="Output 13 11" xfId="17336" xr:uid="{00000000-0005-0000-0000-0000A4650000}"/>
    <cellStyle name="Output 13 11 2" xfId="17337" xr:uid="{00000000-0005-0000-0000-0000A5650000}"/>
    <cellStyle name="Output 13 11 3" xfId="32132" xr:uid="{00000000-0005-0000-0000-0000A6650000}"/>
    <cellStyle name="Output 13 11 4" xfId="32133" xr:uid="{00000000-0005-0000-0000-0000A7650000}"/>
    <cellStyle name="Output 13 12" xfId="17338" xr:uid="{00000000-0005-0000-0000-0000A8650000}"/>
    <cellStyle name="Output 13 13" xfId="32134" xr:uid="{00000000-0005-0000-0000-0000A9650000}"/>
    <cellStyle name="Output 13 14" xfId="32135" xr:uid="{00000000-0005-0000-0000-0000AA650000}"/>
    <cellStyle name="Output 13 2" xfId="17339" xr:uid="{00000000-0005-0000-0000-0000AB650000}"/>
    <cellStyle name="Output 13 2 10" xfId="32136" xr:uid="{00000000-0005-0000-0000-0000AC650000}"/>
    <cellStyle name="Output 13 2 2" xfId="17340" xr:uid="{00000000-0005-0000-0000-0000AD650000}"/>
    <cellStyle name="Output 13 2 2 2" xfId="17341" xr:uid="{00000000-0005-0000-0000-0000AE650000}"/>
    <cellStyle name="Output 13 2 2 3" xfId="32137" xr:uid="{00000000-0005-0000-0000-0000AF650000}"/>
    <cellStyle name="Output 13 2 2 4" xfId="32138" xr:uid="{00000000-0005-0000-0000-0000B0650000}"/>
    <cellStyle name="Output 13 2 3" xfId="17342" xr:uid="{00000000-0005-0000-0000-0000B1650000}"/>
    <cellStyle name="Output 13 2 3 2" xfId="17343" xr:uid="{00000000-0005-0000-0000-0000B2650000}"/>
    <cellStyle name="Output 13 2 3 3" xfId="32139" xr:uid="{00000000-0005-0000-0000-0000B3650000}"/>
    <cellStyle name="Output 13 2 3 4" xfId="32140" xr:uid="{00000000-0005-0000-0000-0000B4650000}"/>
    <cellStyle name="Output 13 2 4" xfId="17344" xr:uid="{00000000-0005-0000-0000-0000B5650000}"/>
    <cellStyle name="Output 13 2 4 2" xfId="17345" xr:uid="{00000000-0005-0000-0000-0000B6650000}"/>
    <cellStyle name="Output 13 2 4 3" xfId="32141" xr:uid="{00000000-0005-0000-0000-0000B7650000}"/>
    <cellStyle name="Output 13 2 4 4" xfId="32142" xr:uid="{00000000-0005-0000-0000-0000B8650000}"/>
    <cellStyle name="Output 13 2 5" xfId="17346" xr:uid="{00000000-0005-0000-0000-0000B9650000}"/>
    <cellStyle name="Output 13 2 5 2" xfId="17347" xr:uid="{00000000-0005-0000-0000-0000BA650000}"/>
    <cellStyle name="Output 13 2 5 3" xfId="32143" xr:uid="{00000000-0005-0000-0000-0000BB650000}"/>
    <cellStyle name="Output 13 2 5 4" xfId="32144" xr:uid="{00000000-0005-0000-0000-0000BC650000}"/>
    <cellStyle name="Output 13 2 6" xfId="17348" xr:uid="{00000000-0005-0000-0000-0000BD650000}"/>
    <cellStyle name="Output 13 2 6 2" xfId="17349" xr:uid="{00000000-0005-0000-0000-0000BE650000}"/>
    <cellStyle name="Output 13 2 6 3" xfId="32145" xr:uid="{00000000-0005-0000-0000-0000BF650000}"/>
    <cellStyle name="Output 13 2 6 4" xfId="32146" xr:uid="{00000000-0005-0000-0000-0000C0650000}"/>
    <cellStyle name="Output 13 2 7" xfId="17350" xr:uid="{00000000-0005-0000-0000-0000C1650000}"/>
    <cellStyle name="Output 13 2 7 2" xfId="17351" xr:uid="{00000000-0005-0000-0000-0000C2650000}"/>
    <cellStyle name="Output 13 2 7 3" xfId="32147" xr:uid="{00000000-0005-0000-0000-0000C3650000}"/>
    <cellStyle name="Output 13 2 7 4" xfId="32148" xr:uid="{00000000-0005-0000-0000-0000C4650000}"/>
    <cellStyle name="Output 13 2 8" xfId="17352" xr:uid="{00000000-0005-0000-0000-0000C5650000}"/>
    <cellStyle name="Output 13 2 9" xfId="32149" xr:uid="{00000000-0005-0000-0000-0000C6650000}"/>
    <cellStyle name="Output 13 3" xfId="17353" xr:uid="{00000000-0005-0000-0000-0000C7650000}"/>
    <cellStyle name="Output 13 3 10" xfId="32150" xr:uid="{00000000-0005-0000-0000-0000C8650000}"/>
    <cellStyle name="Output 13 3 2" xfId="17354" xr:uid="{00000000-0005-0000-0000-0000C9650000}"/>
    <cellStyle name="Output 13 3 2 2" xfId="17355" xr:uid="{00000000-0005-0000-0000-0000CA650000}"/>
    <cellStyle name="Output 13 3 2 3" xfId="32151" xr:uid="{00000000-0005-0000-0000-0000CB650000}"/>
    <cellStyle name="Output 13 3 2 4" xfId="32152" xr:uid="{00000000-0005-0000-0000-0000CC650000}"/>
    <cellStyle name="Output 13 3 3" xfId="17356" xr:uid="{00000000-0005-0000-0000-0000CD650000}"/>
    <cellStyle name="Output 13 3 3 2" xfId="17357" xr:uid="{00000000-0005-0000-0000-0000CE650000}"/>
    <cellStyle name="Output 13 3 3 3" xfId="32153" xr:uid="{00000000-0005-0000-0000-0000CF650000}"/>
    <cellStyle name="Output 13 3 3 4" xfId="32154" xr:uid="{00000000-0005-0000-0000-0000D0650000}"/>
    <cellStyle name="Output 13 3 4" xfId="17358" xr:uid="{00000000-0005-0000-0000-0000D1650000}"/>
    <cellStyle name="Output 13 3 4 2" xfId="17359" xr:uid="{00000000-0005-0000-0000-0000D2650000}"/>
    <cellStyle name="Output 13 3 4 3" xfId="32155" xr:uid="{00000000-0005-0000-0000-0000D3650000}"/>
    <cellStyle name="Output 13 3 4 4" xfId="32156" xr:uid="{00000000-0005-0000-0000-0000D4650000}"/>
    <cellStyle name="Output 13 3 5" xfId="17360" xr:uid="{00000000-0005-0000-0000-0000D5650000}"/>
    <cellStyle name="Output 13 3 5 2" xfId="17361" xr:uid="{00000000-0005-0000-0000-0000D6650000}"/>
    <cellStyle name="Output 13 3 5 3" xfId="32157" xr:uid="{00000000-0005-0000-0000-0000D7650000}"/>
    <cellStyle name="Output 13 3 5 4" xfId="32158" xr:uid="{00000000-0005-0000-0000-0000D8650000}"/>
    <cellStyle name="Output 13 3 6" xfId="17362" xr:uid="{00000000-0005-0000-0000-0000D9650000}"/>
    <cellStyle name="Output 13 3 6 2" xfId="17363" xr:uid="{00000000-0005-0000-0000-0000DA650000}"/>
    <cellStyle name="Output 13 3 6 3" xfId="32159" xr:uid="{00000000-0005-0000-0000-0000DB650000}"/>
    <cellStyle name="Output 13 3 6 4" xfId="32160" xr:uid="{00000000-0005-0000-0000-0000DC650000}"/>
    <cellStyle name="Output 13 3 7" xfId="17364" xr:uid="{00000000-0005-0000-0000-0000DD650000}"/>
    <cellStyle name="Output 13 3 7 2" xfId="17365" xr:uid="{00000000-0005-0000-0000-0000DE650000}"/>
    <cellStyle name="Output 13 3 7 3" xfId="32161" xr:uid="{00000000-0005-0000-0000-0000DF650000}"/>
    <cellStyle name="Output 13 3 7 4" xfId="32162" xr:uid="{00000000-0005-0000-0000-0000E0650000}"/>
    <cellStyle name="Output 13 3 8" xfId="17366" xr:uid="{00000000-0005-0000-0000-0000E1650000}"/>
    <cellStyle name="Output 13 3 9" xfId="32163" xr:uid="{00000000-0005-0000-0000-0000E2650000}"/>
    <cellStyle name="Output 13 4" xfId="17367" xr:uid="{00000000-0005-0000-0000-0000E3650000}"/>
    <cellStyle name="Output 13 4 10" xfId="32164" xr:uid="{00000000-0005-0000-0000-0000E4650000}"/>
    <cellStyle name="Output 13 4 2" xfId="17368" xr:uid="{00000000-0005-0000-0000-0000E5650000}"/>
    <cellStyle name="Output 13 4 2 2" xfId="17369" xr:uid="{00000000-0005-0000-0000-0000E6650000}"/>
    <cellStyle name="Output 13 4 2 3" xfId="32165" xr:uid="{00000000-0005-0000-0000-0000E7650000}"/>
    <cellStyle name="Output 13 4 2 4" xfId="32166" xr:uid="{00000000-0005-0000-0000-0000E8650000}"/>
    <cellStyle name="Output 13 4 3" xfId="17370" xr:uid="{00000000-0005-0000-0000-0000E9650000}"/>
    <cellStyle name="Output 13 4 3 2" xfId="17371" xr:uid="{00000000-0005-0000-0000-0000EA650000}"/>
    <cellStyle name="Output 13 4 3 3" xfId="32167" xr:uid="{00000000-0005-0000-0000-0000EB650000}"/>
    <cellStyle name="Output 13 4 3 4" xfId="32168" xr:uid="{00000000-0005-0000-0000-0000EC650000}"/>
    <cellStyle name="Output 13 4 4" xfId="17372" xr:uid="{00000000-0005-0000-0000-0000ED650000}"/>
    <cellStyle name="Output 13 4 4 2" xfId="17373" xr:uid="{00000000-0005-0000-0000-0000EE650000}"/>
    <cellStyle name="Output 13 4 4 3" xfId="32169" xr:uid="{00000000-0005-0000-0000-0000EF650000}"/>
    <cellStyle name="Output 13 4 4 4" xfId="32170" xr:uid="{00000000-0005-0000-0000-0000F0650000}"/>
    <cellStyle name="Output 13 4 5" xfId="17374" xr:uid="{00000000-0005-0000-0000-0000F1650000}"/>
    <cellStyle name="Output 13 4 5 2" xfId="17375" xr:uid="{00000000-0005-0000-0000-0000F2650000}"/>
    <cellStyle name="Output 13 4 5 3" xfId="32171" xr:uid="{00000000-0005-0000-0000-0000F3650000}"/>
    <cellStyle name="Output 13 4 5 4" xfId="32172" xr:uid="{00000000-0005-0000-0000-0000F4650000}"/>
    <cellStyle name="Output 13 4 6" xfId="17376" xr:uid="{00000000-0005-0000-0000-0000F5650000}"/>
    <cellStyle name="Output 13 4 6 2" xfId="17377" xr:uid="{00000000-0005-0000-0000-0000F6650000}"/>
    <cellStyle name="Output 13 4 6 3" xfId="32173" xr:uid="{00000000-0005-0000-0000-0000F7650000}"/>
    <cellStyle name="Output 13 4 6 4" xfId="32174" xr:uid="{00000000-0005-0000-0000-0000F8650000}"/>
    <cellStyle name="Output 13 4 7" xfId="17378" xr:uid="{00000000-0005-0000-0000-0000F9650000}"/>
    <cellStyle name="Output 13 4 7 2" xfId="17379" xr:uid="{00000000-0005-0000-0000-0000FA650000}"/>
    <cellStyle name="Output 13 4 7 3" xfId="32175" xr:uid="{00000000-0005-0000-0000-0000FB650000}"/>
    <cellStyle name="Output 13 4 7 4" xfId="32176" xr:uid="{00000000-0005-0000-0000-0000FC650000}"/>
    <cellStyle name="Output 13 4 8" xfId="17380" xr:uid="{00000000-0005-0000-0000-0000FD650000}"/>
    <cellStyle name="Output 13 4 9" xfId="32177" xr:uid="{00000000-0005-0000-0000-0000FE650000}"/>
    <cellStyle name="Output 13 5" xfId="17381" xr:uid="{00000000-0005-0000-0000-0000FF650000}"/>
    <cellStyle name="Output 13 5 10" xfId="32178" xr:uid="{00000000-0005-0000-0000-000000660000}"/>
    <cellStyle name="Output 13 5 2" xfId="17382" xr:uid="{00000000-0005-0000-0000-000001660000}"/>
    <cellStyle name="Output 13 5 2 2" xfId="17383" xr:uid="{00000000-0005-0000-0000-000002660000}"/>
    <cellStyle name="Output 13 5 2 3" xfId="32179" xr:uid="{00000000-0005-0000-0000-000003660000}"/>
    <cellStyle name="Output 13 5 2 4" xfId="32180" xr:uid="{00000000-0005-0000-0000-000004660000}"/>
    <cellStyle name="Output 13 5 3" xfId="17384" xr:uid="{00000000-0005-0000-0000-000005660000}"/>
    <cellStyle name="Output 13 5 3 2" xfId="17385" xr:uid="{00000000-0005-0000-0000-000006660000}"/>
    <cellStyle name="Output 13 5 3 3" xfId="32181" xr:uid="{00000000-0005-0000-0000-000007660000}"/>
    <cellStyle name="Output 13 5 3 4" xfId="32182" xr:uid="{00000000-0005-0000-0000-000008660000}"/>
    <cellStyle name="Output 13 5 4" xfId="17386" xr:uid="{00000000-0005-0000-0000-000009660000}"/>
    <cellStyle name="Output 13 5 4 2" xfId="17387" xr:uid="{00000000-0005-0000-0000-00000A660000}"/>
    <cellStyle name="Output 13 5 4 3" xfId="32183" xr:uid="{00000000-0005-0000-0000-00000B660000}"/>
    <cellStyle name="Output 13 5 4 4" xfId="32184" xr:uid="{00000000-0005-0000-0000-00000C660000}"/>
    <cellStyle name="Output 13 5 5" xfId="17388" xr:uid="{00000000-0005-0000-0000-00000D660000}"/>
    <cellStyle name="Output 13 5 5 2" xfId="17389" xr:uid="{00000000-0005-0000-0000-00000E660000}"/>
    <cellStyle name="Output 13 5 5 3" xfId="32185" xr:uid="{00000000-0005-0000-0000-00000F660000}"/>
    <cellStyle name="Output 13 5 5 4" xfId="32186" xr:uid="{00000000-0005-0000-0000-000010660000}"/>
    <cellStyle name="Output 13 5 6" xfId="17390" xr:uid="{00000000-0005-0000-0000-000011660000}"/>
    <cellStyle name="Output 13 5 6 2" xfId="17391" xr:uid="{00000000-0005-0000-0000-000012660000}"/>
    <cellStyle name="Output 13 5 6 3" xfId="32187" xr:uid="{00000000-0005-0000-0000-000013660000}"/>
    <cellStyle name="Output 13 5 6 4" xfId="32188" xr:uid="{00000000-0005-0000-0000-000014660000}"/>
    <cellStyle name="Output 13 5 7" xfId="17392" xr:uid="{00000000-0005-0000-0000-000015660000}"/>
    <cellStyle name="Output 13 5 7 2" xfId="17393" xr:uid="{00000000-0005-0000-0000-000016660000}"/>
    <cellStyle name="Output 13 5 7 3" xfId="32189" xr:uid="{00000000-0005-0000-0000-000017660000}"/>
    <cellStyle name="Output 13 5 7 4" xfId="32190" xr:uid="{00000000-0005-0000-0000-000018660000}"/>
    <cellStyle name="Output 13 5 8" xfId="17394" xr:uid="{00000000-0005-0000-0000-000019660000}"/>
    <cellStyle name="Output 13 5 9" xfId="32191" xr:uid="{00000000-0005-0000-0000-00001A660000}"/>
    <cellStyle name="Output 13 6" xfId="17395" xr:uid="{00000000-0005-0000-0000-00001B660000}"/>
    <cellStyle name="Output 13 6 2" xfId="17396" xr:uid="{00000000-0005-0000-0000-00001C660000}"/>
    <cellStyle name="Output 13 6 3" xfId="32192" xr:uid="{00000000-0005-0000-0000-00001D660000}"/>
    <cellStyle name="Output 13 6 4" xfId="32193" xr:uid="{00000000-0005-0000-0000-00001E660000}"/>
    <cellStyle name="Output 13 7" xfId="17397" xr:uid="{00000000-0005-0000-0000-00001F660000}"/>
    <cellStyle name="Output 13 7 2" xfId="17398" xr:uid="{00000000-0005-0000-0000-000020660000}"/>
    <cellStyle name="Output 13 7 3" xfId="32194" xr:uid="{00000000-0005-0000-0000-000021660000}"/>
    <cellStyle name="Output 13 7 4" xfId="32195" xr:uid="{00000000-0005-0000-0000-000022660000}"/>
    <cellStyle name="Output 13 8" xfId="17399" xr:uid="{00000000-0005-0000-0000-000023660000}"/>
    <cellStyle name="Output 13 8 2" xfId="17400" xr:uid="{00000000-0005-0000-0000-000024660000}"/>
    <cellStyle name="Output 13 8 3" xfId="32196" xr:uid="{00000000-0005-0000-0000-000025660000}"/>
    <cellStyle name="Output 13 8 4" xfId="32197" xr:uid="{00000000-0005-0000-0000-000026660000}"/>
    <cellStyle name="Output 13 9" xfId="17401" xr:uid="{00000000-0005-0000-0000-000027660000}"/>
    <cellStyle name="Output 13 9 2" xfId="17402" xr:uid="{00000000-0005-0000-0000-000028660000}"/>
    <cellStyle name="Output 13 9 3" xfId="32198" xr:uid="{00000000-0005-0000-0000-000029660000}"/>
    <cellStyle name="Output 13 9 4" xfId="32199" xr:uid="{00000000-0005-0000-0000-00002A660000}"/>
    <cellStyle name="Output 14" xfId="17403" xr:uid="{00000000-0005-0000-0000-00002B660000}"/>
    <cellStyle name="Output 14 10" xfId="17404" xr:uid="{00000000-0005-0000-0000-00002C660000}"/>
    <cellStyle name="Output 14 10 2" xfId="17405" xr:uid="{00000000-0005-0000-0000-00002D660000}"/>
    <cellStyle name="Output 14 10 3" xfId="32200" xr:uid="{00000000-0005-0000-0000-00002E660000}"/>
    <cellStyle name="Output 14 10 4" xfId="32201" xr:uid="{00000000-0005-0000-0000-00002F660000}"/>
    <cellStyle name="Output 14 11" xfId="17406" xr:uid="{00000000-0005-0000-0000-000030660000}"/>
    <cellStyle name="Output 14 11 2" xfId="17407" xr:uid="{00000000-0005-0000-0000-000031660000}"/>
    <cellStyle name="Output 14 11 3" xfId="32202" xr:uid="{00000000-0005-0000-0000-000032660000}"/>
    <cellStyle name="Output 14 11 4" xfId="32203" xr:uid="{00000000-0005-0000-0000-000033660000}"/>
    <cellStyle name="Output 14 12" xfId="17408" xr:uid="{00000000-0005-0000-0000-000034660000}"/>
    <cellStyle name="Output 14 13" xfId="32204" xr:uid="{00000000-0005-0000-0000-000035660000}"/>
    <cellStyle name="Output 14 14" xfId="32205" xr:uid="{00000000-0005-0000-0000-000036660000}"/>
    <cellStyle name="Output 14 2" xfId="17409" xr:uid="{00000000-0005-0000-0000-000037660000}"/>
    <cellStyle name="Output 14 2 10" xfId="32206" xr:uid="{00000000-0005-0000-0000-000038660000}"/>
    <cellStyle name="Output 14 2 2" xfId="17410" xr:uid="{00000000-0005-0000-0000-000039660000}"/>
    <cellStyle name="Output 14 2 2 2" xfId="17411" xr:uid="{00000000-0005-0000-0000-00003A660000}"/>
    <cellStyle name="Output 14 2 2 3" xfId="32207" xr:uid="{00000000-0005-0000-0000-00003B660000}"/>
    <cellStyle name="Output 14 2 2 4" xfId="32208" xr:uid="{00000000-0005-0000-0000-00003C660000}"/>
    <cellStyle name="Output 14 2 3" xfId="17412" xr:uid="{00000000-0005-0000-0000-00003D660000}"/>
    <cellStyle name="Output 14 2 3 2" xfId="17413" xr:uid="{00000000-0005-0000-0000-00003E660000}"/>
    <cellStyle name="Output 14 2 3 3" xfId="32209" xr:uid="{00000000-0005-0000-0000-00003F660000}"/>
    <cellStyle name="Output 14 2 3 4" xfId="32210" xr:uid="{00000000-0005-0000-0000-000040660000}"/>
    <cellStyle name="Output 14 2 4" xfId="17414" xr:uid="{00000000-0005-0000-0000-000041660000}"/>
    <cellStyle name="Output 14 2 4 2" xfId="17415" xr:uid="{00000000-0005-0000-0000-000042660000}"/>
    <cellStyle name="Output 14 2 4 3" xfId="32211" xr:uid="{00000000-0005-0000-0000-000043660000}"/>
    <cellStyle name="Output 14 2 4 4" xfId="32212" xr:uid="{00000000-0005-0000-0000-000044660000}"/>
    <cellStyle name="Output 14 2 5" xfId="17416" xr:uid="{00000000-0005-0000-0000-000045660000}"/>
    <cellStyle name="Output 14 2 5 2" xfId="17417" xr:uid="{00000000-0005-0000-0000-000046660000}"/>
    <cellStyle name="Output 14 2 5 3" xfId="32213" xr:uid="{00000000-0005-0000-0000-000047660000}"/>
    <cellStyle name="Output 14 2 5 4" xfId="32214" xr:uid="{00000000-0005-0000-0000-000048660000}"/>
    <cellStyle name="Output 14 2 6" xfId="17418" xr:uid="{00000000-0005-0000-0000-000049660000}"/>
    <cellStyle name="Output 14 2 6 2" xfId="17419" xr:uid="{00000000-0005-0000-0000-00004A660000}"/>
    <cellStyle name="Output 14 2 6 3" xfId="32215" xr:uid="{00000000-0005-0000-0000-00004B660000}"/>
    <cellStyle name="Output 14 2 6 4" xfId="32216" xr:uid="{00000000-0005-0000-0000-00004C660000}"/>
    <cellStyle name="Output 14 2 7" xfId="17420" xr:uid="{00000000-0005-0000-0000-00004D660000}"/>
    <cellStyle name="Output 14 2 7 2" xfId="17421" xr:uid="{00000000-0005-0000-0000-00004E660000}"/>
    <cellStyle name="Output 14 2 7 3" xfId="32217" xr:uid="{00000000-0005-0000-0000-00004F660000}"/>
    <cellStyle name="Output 14 2 7 4" xfId="32218" xr:uid="{00000000-0005-0000-0000-000050660000}"/>
    <cellStyle name="Output 14 2 8" xfId="17422" xr:uid="{00000000-0005-0000-0000-000051660000}"/>
    <cellStyle name="Output 14 2 9" xfId="32219" xr:uid="{00000000-0005-0000-0000-000052660000}"/>
    <cellStyle name="Output 14 3" xfId="17423" xr:uid="{00000000-0005-0000-0000-000053660000}"/>
    <cellStyle name="Output 14 3 10" xfId="32220" xr:uid="{00000000-0005-0000-0000-000054660000}"/>
    <cellStyle name="Output 14 3 2" xfId="17424" xr:uid="{00000000-0005-0000-0000-000055660000}"/>
    <cellStyle name="Output 14 3 2 2" xfId="17425" xr:uid="{00000000-0005-0000-0000-000056660000}"/>
    <cellStyle name="Output 14 3 2 3" xfId="32221" xr:uid="{00000000-0005-0000-0000-000057660000}"/>
    <cellStyle name="Output 14 3 2 4" xfId="32222" xr:uid="{00000000-0005-0000-0000-000058660000}"/>
    <cellStyle name="Output 14 3 3" xfId="17426" xr:uid="{00000000-0005-0000-0000-000059660000}"/>
    <cellStyle name="Output 14 3 3 2" xfId="17427" xr:uid="{00000000-0005-0000-0000-00005A660000}"/>
    <cellStyle name="Output 14 3 3 3" xfId="32223" xr:uid="{00000000-0005-0000-0000-00005B660000}"/>
    <cellStyle name="Output 14 3 3 4" xfId="32224" xr:uid="{00000000-0005-0000-0000-00005C660000}"/>
    <cellStyle name="Output 14 3 4" xfId="17428" xr:uid="{00000000-0005-0000-0000-00005D660000}"/>
    <cellStyle name="Output 14 3 4 2" xfId="17429" xr:uid="{00000000-0005-0000-0000-00005E660000}"/>
    <cellStyle name="Output 14 3 4 3" xfId="32225" xr:uid="{00000000-0005-0000-0000-00005F660000}"/>
    <cellStyle name="Output 14 3 4 4" xfId="32226" xr:uid="{00000000-0005-0000-0000-000060660000}"/>
    <cellStyle name="Output 14 3 5" xfId="17430" xr:uid="{00000000-0005-0000-0000-000061660000}"/>
    <cellStyle name="Output 14 3 5 2" xfId="17431" xr:uid="{00000000-0005-0000-0000-000062660000}"/>
    <cellStyle name="Output 14 3 5 3" xfId="32227" xr:uid="{00000000-0005-0000-0000-000063660000}"/>
    <cellStyle name="Output 14 3 5 4" xfId="32228" xr:uid="{00000000-0005-0000-0000-000064660000}"/>
    <cellStyle name="Output 14 3 6" xfId="17432" xr:uid="{00000000-0005-0000-0000-000065660000}"/>
    <cellStyle name="Output 14 3 6 2" xfId="17433" xr:uid="{00000000-0005-0000-0000-000066660000}"/>
    <cellStyle name="Output 14 3 6 3" xfId="32229" xr:uid="{00000000-0005-0000-0000-000067660000}"/>
    <cellStyle name="Output 14 3 6 4" xfId="32230" xr:uid="{00000000-0005-0000-0000-000068660000}"/>
    <cellStyle name="Output 14 3 7" xfId="17434" xr:uid="{00000000-0005-0000-0000-000069660000}"/>
    <cellStyle name="Output 14 3 7 2" xfId="17435" xr:uid="{00000000-0005-0000-0000-00006A660000}"/>
    <cellStyle name="Output 14 3 7 3" xfId="32231" xr:uid="{00000000-0005-0000-0000-00006B660000}"/>
    <cellStyle name="Output 14 3 7 4" xfId="32232" xr:uid="{00000000-0005-0000-0000-00006C660000}"/>
    <cellStyle name="Output 14 3 8" xfId="17436" xr:uid="{00000000-0005-0000-0000-00006D660000}"/>
    <cellStyle name="Output 14 3 9" xfId="32233" xr:uid="{00000000-0005-0000-0000-00006E660000}"/>
    <cellStyle name="Output 14 4" xfId="17437" xr:uid="{00000000-0005-0000-0000-00006F660000}"/>
    <cellStyle name="Output 14 4 10" xfId="32234" xr:uid="{00000000-0005-0000-0000-000070660000}"/>
    <cellStyle name="Output 14 4 2" xfId="17438" xr:uid="{00000000-0005-0000-0000-000071660000}"/>
    <cellStyle name="Output 14 4 2 2" xfId="17439" xr:uid="{00000000-0005-0000-0000-000072660000}"/>
    <cellStyle name="Output 14 4 2 3" xfId="32235" xr:uid="{00000000-0005-0000-0000-000073660000}"/>
    <cellStyle name="Output 14 4 2 4" xfId="32236" xr:uid="{00000000-0005-0000-0000-000074660000}"/>
    <cellStyle name="Output 14 4 3" xfId="17440" xr:uid="{00000000-0005-0000-0000-000075660000}"/>
    <cellStyle name="Output 14 4 3 2" xfId="17441" xr:uid="{00000000-0005-0000-0000-000076660000}"/>
    <cellStyle name="Output 14 4 3 3" xfId="32237" xr:uid="{00000000-0005-0000-0000-000077660000}"/>
    <cellStyle name="Output 14 4 3 4" xfId="32238" xr:uid="{00000000-0005-0000-0000-000078660000}"/>
    <cellStyle name="Output 14 4 4" xfId="17442" xr:uid="{00000000-0005-0000-0000-000079660000}"/>
    <cellStyle name="Output 14 4 4 2" xfId="17443" xr:uid="{00000000-0005-0000-0000-00007A660000}"/>
    <cellStyle name="Output 14 4 4 3" xfId="32239" xr:uid="{00000000-0005-0000-0000-00007B660000}"/>
    <cellStyle name="Output 14 4 4 4" xfId="32240" xr:uid="{00000000-0005-0000-0000-00007C660000}"/>
    <cellStyle name="Output 14 4 5" xfId="17444" xr:uid="{00000000-0005-0000-0000-00007D660000}"/>
    <cellStyle name="Output 14 4 5 2" xfId="17445" xr:uid="{00000000-0005-0000-0000-00007E660000}"/>
    <cellStyle name="Output 14 4 5 3" xfId="32241" xr:uid="{00000000-0005-0000-0000-00007F660000}"/>
    <cellStyle name="Output 14 4 5 4" xfId="32242" xr:uid="{00000000-0005-0000-0000-000080660000}"/>
    <cellStyle name="Output 14 4 6" xfId="17446" xr:uid="{00000000-0005-0000-0000-000081660000}"/>
    <cellStyle name="Output 14 4 6 2" xfId="17447" xr:uid="{00000000-0005-0000-0000-000082660000}"/>
    <cellStyle name="Output 14 4 6 3" xfId="32243" xr:uid="{00000000-0005-0000-0000-000083660000}"/>
    <cellStyle name="Output 14 4 6 4" xfId="32244" xr:uid="{00000000-0005-0000-0000-000084660000}"/>
    <cellStyle name="Output 14 4 7" xfId="17448" xr:uid="{00000000-0005-0000-0000-000085660000}"/>
    <cellStyle name="Output 14 4 7 2" xfId="17449" xr:uid="{00000000-0005-0000-0000-000086660000}"/>
    <cellStyle name="Output 14 4 7 3" xfId="32245" xr:uid="{00000000-0005-0000-0000-000087660000}"/>
    <cellStyle name="Output 14 4 7 4" xfId="32246" xr:uid="{00000000-0005-0000-0000-000088660000}"/>
    <cellStyle name="Output 14 4 8" xfId="17450" xr:uid="{00000000-0005-0000-0000-000089660000}"/>
    <cellStyle name="Output 14 4 9" xfId="32247" xr:uid="{00000000-0005-0000-0000-00008A660000}"/>
    <cellStyle name="Output 14 5" xfId="17451" xr:uid="{00000000-0005-0000-0000-00008B660000}"/>
    <cellStyle name="Output 14 5 10" xfId="32248" xr:uid="{00000000-0005-0000-0000-00008C660000}"/>
    <cellStyle name="Output 14 5 2" xfId="17452" xr:uid="{00000000-0005-0000-0000-00008D660000}"/>
    <cellStyle name="Output 14 5 2 2" xfId="17453" xr:uid="{00000000-0005-0000-0000-00008E660000}"/>
    <cellStyle name="Output 14 5 2 3" xfId="32249" xr:uid="{00000000-0005-0000-0000-00008F660000}"/>
    <cellStyle name="Output 14 5 2 4" xfId="32250" xr:uid="{00000000-0005-0000-0000-000090660000}"/>
    <cellStyle name="Output 14 5 3" xfId="17454" xr:uid="{00000000-0005-0000-0000-000091660000}"/>
    <cellStyle name="Output 14 5 3 2" xfId="17455" xr:uid="{00000000-0005-0000-0000-000092660000}"/>
    <cellStyle name="Output 14 5 3 3" xfId="32251" xr:uid="{00000000-0005-0000-0000-000093660000}"/>
    <cellStyle name="Output 14 5 3 4" xfId="32252" xr:uid="{00000000-0005-0000-0000-000094660000}"/>
    <cellStyle name="Output 14 5 4" xfId="17456" xr:uid="{00000000-0005-0000-0000-000095660000}"/>
    <cellStyle name="Output 14 5 4 2" xfId="17457" xr:uid="{00000000-0005-0000-0000-000096660000}"/>
    <cellStyle name="Output 14 5 4 3" xfId="32253" xr:uid="{00000000-0005-0000-0000-000097660000}"/>
    <cellStyle name="Output 14 5 4 4" xfId="32254" xr:uid="{00000000-0005-0000-0000-000098660000}"/>
    <cellStyle name="Output 14 5 5" xfId="17458" xr:uid="{00000000-0005-0000-0000-000099660000}"/>
    <cellStyle name="Output 14 5 5 2" xfId="17459" xr:uid="{00000000-0005-0000-0000-00009A660000}"/>
    <cellStyle name="Output 14 5 5 3" xfId="32255" xr:uid="{00000000-0005-0000-0000-00009B660000}"/>
    <cellStyle name="Output 14 5 5 4" xfId="32256" xr:uid="{00000000-0005-0000-0000-00009C660000}"/>
    <cellStyle name="Output 14 5 6" xfId="17460" xr:uid="{00000000-0005-0000-0000-00009D660000}"/>
    <cellStyle name="Output 14 5 6 2" xfId="17461" xr:uid="{00000000-0005-0000-0000-00009E660000}"/>
    <cellStyle name="Output 14 5 6 3" xfId="32257" xr:uid="{00000000-0005-0000-0000-00009F660000}"/>
    <cellStyle name="Output 14 5 6 4" xfId="32258" xr:uid="{00000000-0005-0000-0000-0000A0660000}"/>
    <cellStyle name="Output 14 5 7" xfId="17462" xr:uid="{00000000-0005-0000-0000-0000A1660000}"/>
    <cellStyle name="Output 14 5 7 2" xfId="17463" xr:uid="{00000000-0005-0000-0000-0000A2660000}"/>
    <cellStyle name="Output 14 5 7 3" xfId="32259" xr:uid="{00000000-0005-0000-0000-0000A3660000}"/>
    <cellStyle name="Output 14 5 7 4" xfId="32260" xr:uid="{00000000-0005-0000-0000-0000A4660000}"/>
    <cellStyle name="Output 14 5 8" xfId="17464" xr:uid="{00000000-0005-0000-0000-0000A5660000}"/>
    <cellStyle name="Output 14 5 9" xfId="32261" xr:uid="{00000000-0005-0000-0000-0000A6660000}"/>
    <cellStyle name="Output 14 6" xfId="17465" xr:uid="{00000000-0005-0000-0000-0000A7660000}"/>
    <cellStyle name="Output 14 6 2" xfId="17466" xr:uid="{00000000-0005-0000-0000-0000A8660000}"/>
    <cellStyle name="Output 14 6 3" xfId="32262" xr:uid="{00000000-0005-0000-0000-0000A9660000}"/>
    <cellStyle name="Output 14 6 4" xfId="32263" xr:uid="{00000000-0005-0000-0000-0000AA660000}"/>
    <cellStyle name="Output 14 7" xfId="17467" xr:uid="{00000000-0005-0000-0000-0000AB660000}"/>
    <cellStyle name="Output 14 7 2" xfId="17468" xr:uid="{00000000-0005-0000-0000-0000AC660000}"/>
    <cellStyle name="Output 14 7 3" xfId="32264" xr:uid="{00000000-0005-0000-0000-0000AD660000}"/>
    <cellStyle name="Output 14 7 4" xfId="32265" xr:uid="{00000000-0005-0000-0000-0000AE660000}"/>
    <cellStyle name="Output 14 8" xfId="17469" xr:uid="{00000000-0005-0000-0000-0000AF660000}"/>
    <cellStyle name="Output 14 8 2" xfId="17470" xr:uid="{00000000-0005-0000-0000-0000B0660000}"/>
    <cellStyle name="Output 14 8 3" xfId="32266" xr:uid="{00000000-0005-0000-0000-0000B1660000}"/>
    <cellStyle name="Output 14 8 4" xfId="32267" xr:uid="{00000000-0005-0000-0000-0000B2660000}"/>
    <cellStyle name="Output 14 9" xfId="17471" xr:uid="{00000000-0005-0000-0000-0000B3660000}"/>
    <cellStyle name="Output 14 9 2" xfId="17472" xr:uid="{00000000-0005-0000-0000-0000B4660000}"/>
    <cellStyle name="Output 14 9 3" xfId="32268" xr:uid="{00000000-0005-0000-0000-0000B5660000}"/>
    <cellStyle name="Output 14 9 4" xfId="32269" xr:uid="{00000000-0005-0000-0000-0000B6660000}"/>
    <cellStyle name="Output 15" xfId="17473" xr:uid="{00000000-0005-0000-0000-0000B7660000}"/>
    <cellStyle name="Output 15 10" xfId="17474" xr:uid="{00000000-0005-0000-0000-0000B8660000}"/>
    <cellStyle name="Output 15 10 2" xfId="17475" xr:uid="{00000000-0005-0000-0000-0000B9660000}"/>
    <cellStyle name="Output 15 10 3" xfId="32270" xr:uid="{00000000-0005-0000-0000-0000BA660000}"/>
    <cellStyle name="Output 15 10 4" xfId="32271" xr:uid="{00000000-0005-0000-0000-0000BB660000}"/>
    <cellStyle name="Output 15 11" xfId="17476" xr:uid="{00000000-0005-0000-0000-0000BC660000}"/>
    <cellStyle name="Output 15 11 2" xfId="17477" xr:uid="{00000000-0005-0000-0000-0000BD660000}"/>
    <cellStyle name="Output 15 11 3" xfId="32272" xr:uid="{00000000-0005-0000-0000-0000BE660000}"/>
    <cellStyle name="Output 15 11 4" xfId="32273" xr:uid="{00000000-0005-0000-0000-0000BF660000}"/>
    <cellStyle name="Output 15 12" xfId="17478" xr:uid="{00000000-0005-0000-0000-0000C0660000}"/>
    <cellStyle name="Output 15 13" xfId="32274" xr:uid="{00000000-0005-0000-0000-0000C1660000}"/>
    <cellStyle name="Output 15 14" xfId="32275" xr:uid="{00000000-0005-0000-0000-0000C2660000}"/>
    <cellStyle name="Output 15 2" xfId="17479" xr:uid="{00000000-0005-0000-0000-0000C3660000}"/>
    <cellStyle name="Output 15 2 10" xfId="32276" xr:uid="{00000000-0005-0000-0000-0000C4660000}"/>
    <cellStyle name="Output 15 2 2" xfId="17480" xr:uid="{00000000-0005-0000-0000-0000C5660000}"/>
    <cellStyle name="Output 15 2 2 2" xfId="17481" xr:uid="{00000000-0005-0000-0000-0000C6660000}"/>
    <cellStyle name="Output 15 2 2 3" xfId="32277" xr:uid="{00000000-0005-0000-0000-0000C7660000}"/>
    <cellStyle name="Output 15 2 2 4" xfId="32278" xr:uid="{00000000-0005-0000-0000-0000C8660000}"/>
    <cellStyle name="Output 15 2 3" xfId="17482" xr:uid="{00000000-0005-0000-0000-0000C9660000}"/>
    <cellStyle name="Output 15 2 3 2" xfId="17483" xr:uid="{00000000-0005-0000-0000-0000CA660000}"/>
    <cellStyle name="Output 15 2 3 3" xfId="32279" xr:uid="{00000000-0005-0000-0000-0000CB660000}"/>
    <cellStyle name="Output 15 2 3 4" xfId="32280" xr:uid="{00000000-0005-0000-0000-0000CC660000}"/>
    <cellStyle name="Output 15 2 4" xfId="17484" xr:uid="{00000000-0005-0000-0000-0000CD660000}"/>
    <cellStyle name="Output 15 2 4 2" xfId="17485" xr:uid="{00000000-0005-0000-0000-0000CE660000}"/>
    <cellStyle name="Output 15 2 4 3" xfId="32281" xr:uid="{00000000-0005-0000-0000-0000CF660000}"/>
    <cellStyle name="Output 15 2 4 4" xfId="32282" xr:uid="{00000000-0005-0000-0000-0000D0660000}"/>
    <cellStyle name="Output 15 2 5" xfId="17486" xr:uid="{00000000-0005-0000-0000-0000D1660000}"/>
    <cellStyle name="Output 15 2 5 2" xfId="17487" xr:uid="{00000000-0005-0000-0000-0000D2660000}"/>
    <cellStyle name="Output 15 2 5 3" xfId="32283" xr:uid="{00000000-0005-0000-0000-0000D3660000}"/>
    <cellStyle name="Output 15 2 5 4" xfId="32284" xr:uid="{00000000-0005-0000-0000-0000D4660000}"/>
    <cellStyle name="Output 15 2 6" xfId="17488" xr:uid="{00000000-0005-0000-0000-0000D5660000}"/>
    <cellStyle name="Output 15 2 6 2" xfId="17489" xr:uid="{00000000-0005-0000-0000-0000D6660000}"/>
    <cellStyle name="Output 15 2 6 3" xfId="32285" xr:uid="{00000000-0005-0000-0000-0000D7660000}"/>
    <cellStyle name="Output 15 2 6 4" xfId="32286" xr:uid="{00000000-0005-0000-0000-0000D8660000}"/>
    <cellStyle name="Output 15 2 7" xfId="17490" xr:uid="{00000000-0005-0000-0000-0000D9660000}"/>
    <cellStyle name="Output 15 2 7 2" xfId="17491" xr:uid="{00000000-0005-0000-0000-0000DA660000}"/>
    <cellStyle name="Output 15 2 7 3" xfId="32287" xr:uid="{00000000-0005-0000-0000-0000DB660000}"/>
    <cellStyle name="Output 15 2 7 4" xfId="32288" xr:uid="{00000000-0005-0000-0000-0000DC660000}"/>
    <cellStyle name="Output 15 2 8" xfId="17492" xr:uid="{00000000-0005-0000-0000-0000DD660000}"/>
    <cellStyle name="Output 15 2 9" xfId="32289" xr:uid="{00000000-0005-0000-0000-0000DE660000}"/>
    <cellStyle name="Output 15 3" xfId="17493" xr:uid="{00000000-0005-0000-0000-0000DF660000}"/>
    <cellStyle name="Output 15 3 10" xfId="32290" xr:uid="{00000000-0005-0000-0000-0000E0660000}"/>
    <cellStyle name="Output 15 3 2" xfId="17494" xr:uid="{00000000-0005-0000-0000-0000E1660000}"/>
    <cellStyle name="Output 15 3 2 2" xfId="17495" xr:uid="{00000000-0005-0000-0000-0000E2660000}"/>
    <cellStyle name="Output 15 3 2 3" xfId="32291" xr:uid="{00000000-0005-0000-0000-0000E3660000}"/>
    <cellStyle name="Output 15 3 2 4" xfId="32292" xr:uid="{00000000-0005-0000-0000-0000E4660000}"/>
    <cellStyle name="Output 15 3 3" xfId="17496" xr:uid="{00000000-0005-0000-0000-0000E5660000}"/>
    <cellStyle name="Output 15 3 3 2" xfId="17497" xr:uid="{00000000-0005-0000-0000-0000E6660000}"/>
    <cellStyle name="Output 15 3 3 3" xfId="32293" xr:uid="{00000000-0005-0000-0000-0000E7660000}"/>
    <cellStyle name="Output 15 3 3 4" xfId="32294" xr:uid="{00000000-0005-0000-0000-0000E8660000}"/>
    <cellStyle name="Output 15 3 4" xfId="17498" xr:uid="{00000000-0005-0000-0000-0000E9660000}"/>
    <cellStyle name="Output 15 3 4 2" xfId="17499" xr:uid="{00000000-0005-0000-0000-0000EA660000}"/>
    <cellStyle name="Output 15 3 4 3" xfId="32295" xr:uid="{00000000-0005-0000-0000-0000EB660000}"/>
    <cellStyle name="Output 15 3 4 4" xfId="32296" xr:uid="{00000000-0005-0000-0000-0000EC660000}"/>
    <cellStyle name="Output 15 3 5" xfId="17500" xr:uid="{00000000-0005-0000-0000-0000ED660000}"/>
    <cellStyle name="Output 15 3 5 2" xfId="17501" xr:uid="{00000000-0005-0000-0000-0000EE660000}"/>
    <cellStyle name="Output 15 3 5 3" xfId="32297" xr:uid="{00000000-0005-0000-0000-0000EF660000}"/>
    <cellStyle name="Output 15 3 5 4" xfId="32298" xr:uid="{00000000-0005-0000-0000-0000F0660000}"/>
    <cellStyle name="Output 15 3 6" xfId="17502" xr:uid="{00000000-0005-0000-0000-0000F1660000}"/>
    <cellStyle name="Output 15 3 6 2" xfId="17503" xr:uid="{00000000-0005-0000-0000-0000F2660000}"/>
    <cellStyle name="Output 15 3 6 3" xfId="32299" xr:uid="{00000000-0005-0000-0000-0000F3660000}"/>
    <cellStyle name="Output 15 3 6 4" xfId="32300" xr:uid="{00000000-0005-0000-0000-0000F4660000}"/>
    <cellStyle name="Output 15 3 7" xfId="17504" xr:uid="{00000000-0005-0000-0000-0000F5660000}"/>
    <cellStyle name="Output 15 3 7 2" xfId="17505" xr:uid="{00000000-0005-0000-0000-0000F6660000}"/>
    <cellStyle name="Output 15 3 7 3" xfId="32301" xr:uid="{00000000-0005-0000-0000-0000F7660000}"/>
    <cellStyle name="Output 15 3 7 4" xfId="32302" xr:uid="{00000000-0005-0000-0000-0000F8660000}"/>
    <cellStyle name="Output 15 3 8" xfId="17506" xr:uid="{00000000-0005-0000-0000-0000F9660000}"/>
    <cellStyle name="Output 15 3 9" xfId="32303" xr:uid="{00000000-0005-0000-0000-0000FA660000}"/>
    <cellStyle name="Output 15 4" xfId="17507" xr:uid="{00000000-0005-0000-0000-0000FB660000}"/>
    <cellStyle name="Output 15 4 10" xfId="32304" xr:uid="{00000000-0005-0000-0000-0000FC660000}"/>
    <cellStyle name="Output 15 4 2" xfId="17508" xr:uid="{00000000-0005-0000-0000-0000FD660000}"/>
    <cellStyle name="Output 15 4 2 2" xfId="17509" xr:uid="{00000000-0005-0000-0000-0000FE660000}"/>
    <cellStyle name="Output 15 4 2 3" xfId="32305" xr:uid="{00000000-0005-0000-0000-0000FF660000}"/>
    <cellStyle name="Output 15 4 2 4" xfId="32306" xr:uid="{00000000-0005-0000-0000-000000670000}"/>
    <cellStyle name="Output 15 4 3" xfId="17510" xr:uid="{00000000-0005-0000-0000-000001670000}"/>
    <cellStyle name="Output 15 4 3 2" xfId="17511" xr:uid="{00000000-0005-0000-0000-000002670000}"/>
    <cellStyle name="Output 15 4 3 3" xfId="32307" xr:uid="{00000000-0005-0000-0000-000003670000}"/>
    <cellStyle name="Output 15 4 3 4" xfId="32308" xr:uid="{00000000-0005-0000-0000-000004670000}"/>
    <cellStyle name="Output 15 4 4" xfId="17512" xr:uid="{00000000-0005-0000-0000-000005670000}"/>
    <cellStyle name="Output 15 4 4 2" xfId="17513" xr:uid="{00000000-0005-0000-0000-000006670000}"/>
    <cellStyle name="Output 15 4 4 3" xfId="32309" xr:uid="{00000000-0005-0000-0000-000007670000}"/>
    <cellStyle name="Output 15 4 4 4" xfId="32310" xr:uid="{00000000-0005-0000-0000-000008670000}"/>
    <cellStyle name="Output 15 4 5" xfId="17514" xr:uid="{00000000-0005-0000-0000-000009670000}"/>
    <cellStyle name="Output 15 4 5 2" xfId="17515" xr:uid="{00000000-0005-0000-0000-00000A670000}"/>
    <cellStyle name="Output 15 4 5 3" xfId="32311" xr:uid="{00000000-0005-0000-0000-00000B670000}"/>
    <cellStyle name="Output 15 4 5 4" xfId="32312" xr:uid="{00000000-0005-0000-0000-00000C670000}"/>
    <cellStyle name="Output 15 4 6" xfId="17516" xr:uid="{00000000-0005-0000-0000-00000D670000}"/>
    <cellStyle name="Output 15 4 6 2" xfId="17517" xr:uid="{00000000-0005-0000-0000-00000E670000}"/>
    <cellStyle name="Output 15 4 6 3" xfId="32313" xr:uid="{00000000-0005-0000-0000-00000F670000}"/>
    <cellStyle name="Output 15 4 6 4" xfId="32314" xr:uid="{00000000-0005-0000-0000-000010670000}"/>
    <cellStyle name="Output 15 4 7" xfId="17518" xr:uid="{00000000-0005-0000-0000-000011670000}"/>
    <cellStyle name="Output 15 4 7 2" xfId="17519" xr:uid="{00000000-0005-0000-0000-000012670000}"/>
    <cellStyle name="Output 15 4 7 3" xfId="32315" xr:uid="{00000000-0005-0000-0000-000013670000}"/>
    <cellStyle name="Output 15 4 7 4" xfId="32316" xr:uid="{00000000-0005-0000-0000-000014670000}"/>
    <cellStyle name="Output 15 4 8" xfId="17520" xr:uid="{00000000-0005-0000-0000-000015670000}"/>
    <cellStyle name="Output 15 4 9" xfId="32317" xr:uid="{00000000-0005-0000-0000-000016670000}"/>
    <cellStyle name="Output 15 5" xfId="17521" xr:uid="{00000000-0005-0000-0000-000017670000}"/>
    <cellStyle name="Output 15 5 10" xfId="32318" xr:uid="{00000000-0005-0000-0000-000018670000}"/>
    <cellStyle name="Output 15 5 2" xfId="17522" xr:uid="{00000000-0005-0000-0000-000019670000}"/>
    <cellStyle name="Output 15 5 2 2" xfId="17523" xr:uid="{00000000-0005-0000-0000-00001A670000}"/>
    <cellStyle name="Output 15 5 2 3" xfId="32319" xr:uid="{00000000-0005-0000-0000-00001B670000}"/>
    <cellStyle name="Output 15 5 2 4" xfId="32320" xr:uid="{00000000-0005-0000-0000-00001C670000}"/>
    <cellStyle name="Output 15 5 3" xfId="17524" xr:uid="{00000000-0005-0000-0000-00001D670000}"/>
    <cellStyle name="Output 15 5 3 2" xfId="17525" xr:uid="{00000000-0005-0000-0000-00001E670000}"/>
    <cellStyle name="Output 15 5 3 3" xfId="32321" xr:uid="{00000000-0005-0000-0000-00001F670000}"/>
    <cellStyle name="Output 15 5 3 4" xfId="32322" xr:uid="{00000000-0005-0000-0000-000020670000}"/>
    <cellStyle name="Output 15 5 4" xfId="17526" xr:uid="{00000000-0005-0000-0000-000021670000}"/>
    <cellStyle name="Output 15 5 4 2" xfId="17527" xr:uid="{00000000-0005-0000-0000-000022670000}"/>
    <cellStyle name="Output 15 5 4 3" xfId="32323" xr:uid="{00000000-0005-0000-0000-000023670000}"/>
    <cellStyle name="Output 15 5 4 4" xfId="32324" xr:uid="{00000000-0005-0000-0000-000024670000}"/>
    <cellStyle name="Output 15 5 5" xfId="17528" xr:uid="{00000000-0005-0000-0000-000025670000}"/>
    <cellStyle name="Output 15 5 5 2" xfId="17529" xr:uid="{00000000-0005-0000-0000-000026670000}"/>
    <cellStyle name="Output 15 5 5 3" xfId="32325" xr:uid="{00000000-0005-0000-0000-000027670000}"/>
    <cellStyle name="Output 15 5 5 4" xfId="32326" xr:uid="{00000000-0005-0000-0000-000028670000}"/>
    <cellStyle name="Output 15 5 6" xfId="17530" xr:uid="{00000000-0005-0000-0000-000029670000}"/>
    <cellStyle name="Output 15 5 6 2" xfId="17531" xr:uid="{00000000-0005-0000-0000-00002A670000}"/>
    <cellStyle name="Output 15 5 6 3" xfId="32327" xr:uid="{00000000-0005-0000-0000-00002B670000}"/>
    <cellStyle name="Output 15 5 6 4" xfId="32328" xr:uid="{00000000-0005-0000-0000-00002C670000}"/>
    <cellStyle name="Output 15 5 7" xfId="17532" xr:uid="{00000000-0005-0000-0000-00002D670000}"/>
    <cellStyle name="Output 15 5 7 2" xfId="17533" xr:uid="{00000000-0005-0000-0000-00002E670000}"/>
    <cellStyle name="Output 15 5 7 3" xfId="32329" xr:uid="{00000000-0005-0000-0000-00002F670000}"/>
    <cellStyle name="Output 15 5 7 4" xfId="32330" xr:uid="{00000000-0005-0000-0000-000030670000}"/>
    <cellStyle name="Output 15 5 8" xfId="17534" xr:uid="{00000000-0005-0000-0000-000031670000}"/>
    <cellStyle name="Output 15 5 9" xfId="32331" xr:uid="{00000000-0005-0000-0000-000032670000}"/>
    <cellStyle name="Output 15 6" xfId="17535" xr:uid="{00000000-0005-0000-0000-000033670000}"/>
    <cellStyle name="Output 15 6 2" xfId="17536" xr:uid="{00000000-0005-0000-0000-000034670000}"/>
    <cellStyle name="Output 15 6 3" xfId="32332" xr:uid="{00000000-0005-0000-0000-000035670000}"/>
    <cellStyle name="Output 15 6 4" xfId="32333" xr:uid="{00000000-0005-0000-0000-000036670000}"/>
    <cellStyle name="Output 15 7" xfId="17537" xr:uid="{00000000-0005-0000-0000-000037670000}"/>
    <cellStyle name="Output 15 7 2" xfId="17538" xr:uid="{00000000-0005-0000-0000-000038670000}"/>
    <cellStyle name="Output 15 7 3" xfId="32334" xr:uid="{00000000-0005-0000-0000-000039670000}"/>
    <cellStyle name="Output 15 7 4" xfId="32335" xr:uid="{00000000-0005-0000-0000-00003A670000}"/>
    <cellStyle name="Output 15 8" xfId="17539" xr:uid="{00000000-0005-0000-0000-00003B670000}"/>
    <cellStyle name="Output 15 8 2" xfId="17540" xr:uid="{00000000-0005-0000-0000-00003C670000}"/>
    <cellStyle name="Output 15 8 3" xfId="32336" xr:uid="{00000000-0005-0000-0000-00003D670000}"/>
    <cellStyle name="Output 15 8 4" xfId="32337" xr:uid="{00000000-0005-0000-0000-00003E670000}"/>
    <cellStyle name="Output 15 9" xfId="17541" xr:uid="{00000000-0005-0000-0000-00003F670000}"/>
    <cellStyle name="Output 15 9 2" xfId="17542" xr:uid="{00000000-0005-0000-0000-000040670000}"/>
    <cellStyle name="Output 15 9 3" xfId="32338" xr:uid="{00000000-0005-0000-0000-000041670000}"/>
    <cellStyle name="Output 15 9 4" xfId="32339" xr:uid="{00000000-0005-0000-0000-000042670000}"/>
    <cellStyle name="Output 16" xfId="17543" xr:uid="{00000000-0005-0000-0000-000043670000}"/>
    <cellStyle name="Output 16 10" xfId="17544" xr:uid="{00000000-0005-0000-0000-000044670000}"/>
    <cellStyle name="Output 16 10 2" xfId="17545" xr:uid="{00000000-0005-0000-0000-000045670000}"/>
    <cellStyle name="Output 16 10 3" xfId="32340" xr:uid="{00000000-0005-0000-0000-000046670000}"/>
    <cellStyle name="Output 16 10 4" xfId="32341" xr:uid="{00000000-0005-0000-0000-000047670000}"/>
    <cellStyle name="Output 16 11" xfId="17546" xr:uid="{00000000-0005-0000-0000-000048670000}"/>
    <cellStyle name="Output 16 11 2" xfId="17547" xr:uid="{00000000-0005-0000-0000-000049670000}"/>
    <cellStyle name="Output 16 11 3" xfId="32342" xr:uid="{00000000-0005-0000-0000-00004A670000}"/>
    <cellStyle name="Output 16 11 4" xfId="32343" xr:uid="{00000000-0005-0000-0000-00004B670000}"/>
    <cellStyle name="Output 16 12" xfId="17548" xr:uid="{00000000-0005-0000-0000-00004C670000}"/>
    <cellStyle name="Output 16 13" xfId="32344" xr:uid="{00000000-0005-0000-0000-00004D670000}"/>
    <cellStyle name="Output 16 14" xfId="32345" xr:uid="{00000000-0005-0000-0000-00004E670000}"/>
    <cellStyle name="Output 16 2" xfId="17549" xr:uid="{00000000-0005-0000-0000-00004F670000}"/>
    <cellStyle name="Output 16 2 10" xfId="32346" xr:uid="{00000000-0005-0000-0000-000050670000}"/>
    <cellStyle name="Output 16 2 2" xfId="17550" xr:uid="{00000000-0005-0000-0000-000051670000}"/>
    <cellStyle name="Output 16 2 2 2" xfId="17551" xr:uid="{00000000-0005-0000-0000-000052670000}"/>
    <cellStyle name="Output 16 2 2 3" xfId="32347" xr:uid="{00000000-0005-0000-0000-000053670000}"/>
    <cellStyle name="Output 16 2 2 4" xfId="32348" xr:uid="{00000000-0005-0000-0000-000054670000}"/>
    <cellStyle name="Output 16 2 3" xfId="17552" xr:uid="{00000000-0005-0000-0000-000055670000}"/>
    <cellStyle name="Output 16 2 3 2" xfId="17553" xr:uid="{00000000-0005-0000-0000-000056670000}"/>
    <cellStyle name="Output 16 2 3 3" xfId="32349" xr:uid="{00000000-0005-0000-0000-000057670000}"/>
    <cellStyle name="Output 16 2 3 4" xfId="32350" xr:uid="{00000000-0005-0000-0000-000058670000}"/>
    <cellStyle name="Output 16 2 4" xfId="17554" xr:uid="{00000000-0005-0000-0000-000059670000}"/>
    <cellStyle name="Output 16 2 4 2" xfId="17555" xr:uid="{00000000-0005-0000-0000-00005A670000}"/>
    <cellStyle name="Output 16 2 4 3" xfId="32351" xr:uid="{00000000-0005-0000-0000-00005B670000}"/>
    <cellStyle name="Output 16 2 4 4" xfId="32352" xr:uid="{00000000-0005-0000-0000-00005C670000}"/>
    <cellStyle name="Output 16 2 5" xfId="17556" xr:uid="{00000000-0005-0000-0000-00005D670000}"/>
    <cellStyle name="Output 16 2 5 2" xfId="17557" xr:uid="{00000000-0005-0000-0000-00005E670000}"/>
    <cellStyle name="Output 16 2 5 3" xfId="32353" xr:uid="{00000000-0005-0000-0000-00005F670000}"/>
    <cellStyle name="Output 16 2 5 4" xfId="32354" xr:uid="{00000000-0005-0000-0000-000060670000}"/>
    <cellStyle name="Output 16 2 6" xfId="17558" xr:uid="{00000000-0005-0000-0000-000061670000}"/>
    <cellStyle name="Output 16 2 6 2" xfId="17559" xr:uid="{00000000-0005-0000-0000-000062670000}"/>
    <cellStyle name="Output 16 2 6 3" xfId="32355" xr:uid="{00000000-0005-0000-0000-000063670000}"/>
    <cellStyle name="Output 16 2 6 4" xfId="32356" xr:uid="{00000000-0005-0000-0000-000064670000}"/>
    <cellStyle name="Output 16 2 7" xfId="17560" xr:uid="{00000000-0005-0000-0000-000065670000}"/>
    <cellStyle name="Output 16 2 7 2" xfId="17561" xr:uid="{00000000-0005-0000-0000-000066670000}"/>
    <cellStyle name="Output 16 2 7 3" xfId="32357" xr:uid="{00000000-0005-0000-0000-000067670000}"/>
    <cellStyle name="Output 16 2 7 4" xfId="32358" xr:uid="{00000000-0005-0000-0000-000068670000}"/>
    <cellStyle name="Output 16 2 8" xfId="17562" xr:uid="{00000000-0005-0000-0000-000069670000}"/>
    <cellStyle name="Output 16 2 9" xfId="32359" xr:uid="{00000000-0005-0000-0000-00006A670000}"/>
    <cellStyle name="Output 16 3" xfId="17563" xr:uid="{00000000-0005-0000-0000-00006B670000}"/>
    <cellStyle name="Output 16 3 10" xfId="32360" xr:uid="{00000000-0005-0000-0000-00006C670000}"/>
    <cellStyle name="Output 16 3 2" xfId="17564" xr:uid="{00000000-0005-0000-0000-00006D670000}"/>
    <cellStyle name="Output 16 3 2 2" xfId="17565" xr:uid="{00000000-0005-0000-0000-00006E670000}"/>
    <cellStyle name="Output 16 3 2 3" xfId="32361" xr:uid="{00000000-0005-0000-0000-00006F670000}"/>
    <cellStyle name="Output 16 3 2 4" xfId="32362" xr:uid="{00000000-0005-0000-0000-000070670000}"/>
    <cellStyle name="Output 16 3 3" xfId="17566" xr:uid="{00000000-0005-0000-0000-000071670000}"/>
    <cellStyle name="Output 16 3 3 2" xfId="17567" xr:uid="{00000000-0005-0000-0000-000072670000}"/>
    <cellStyle name="Output 16 3 3 3" xfId="32363" xr:uid="{00000000-0005-0000-0000-000073670000}"/>
    <cellStyle name="Output 16 3 3 4" xfId="32364" xr:uid="{00000000-0005-0000-0000-000074670000}"/>
    <cellStyle name="Output 16 3 4" xfId="17568" xr:uid="{00000000-0005-0000-0000-000075670000}"/>
    <cellStyle name="Output 16 3 4 2" xfId="17569" xr:uid="{00000000-0005-0000-0000-000076670000}"/>
    <cellStyle name="Output 16 3 4 3" xfId="32365" xr:uid="{00000000-0005-0000-0000-000077670000}"/>
    <cellStyle name="Output 16 3 4 4" xfId="32366" xr:uid="{00000000-0005-0000-0000-000078670000}"/>
    <cellStyle name="Output 16 3 5" xfId="17570" xr:uid="{00000000-0005-0000-0000-000079670000}"/>
    <cellStyle name="Output 16 3 5 2" xfId="17571" xr:uid="{00000000-0005-0000-0000-00007A670000}"/>
    <cellStyle name="Output 16 3 5 3" xfId="32367" xr:uid="{00000000-0005-0000-0000-00007B670000}"/>
    <cellStyle name="Output 16 3 5 4" xfId="32368" xr:uid="{00000000-0005-0000-0000-00007C670000}"/>
    <cellStyle name="Output 16 3 6" xfId="17572" xr:uid="{00000000-0005-0000-0000-00007D670000}"/>
    <cellStyle name="Output 16 3 6 2" xfId="17573" xr:uid="{00000000-0005-0000-0000-00007E670000}"/>
    <cellStyle name="Output 16 3 6 3" xfId="32369" xr:uid="{00000000-0005-0000-0000-00007F670000}"/>
    <cellStyle name="Output 16 3 6 4" xfId="32370" xr:uid="{00000000-0005-0000-0000-000080670000}"/>
    <cellStyle name="Output 16 3 7" xfId="17574" xr:uid="{00000000-0005-0000-0000-000081670000}"/>
    <cellStyle name="Output 16 3 7 2" xfId="17575" xr:uid="{00000000-0005-0000-0000-000082670000}"/>
    <cellStyle name="Output 16 3 7 3" xfId="32371" xr:uid="{00000000-0005-0000-0000-000083670000}"/>
    <cellStyle name="Output 16 3 7 4" xfId="32372" xr:uid="{00000000-0005-0000-0000-000084670000}"/>
    <cellStyle name="Output 16 3 8" xfId="17576" xr:uid="{00000000-0005-0000-0000-000085670000}"/>
    <cellStyle name="Output 16 3 9" xfId="32373" xr:uid="{00000000-0005-0000-0000-000086670000}"/>
    <cellStyle name="Output 16 4" xfId="17577" xr:uid="{00000000-0005-0000-0000-000087670000}"/>
    <cellStyle name="Output 16 4 10" xfId="32374" xr:uid="{00000000-0005-0000-0000-000088670000}"/>
    <cellStyle name="Output 16 4 2" xfId="17578" xr:uid="{00000000-0005-0000-0000-000089670000}"/>
    <cellStyle name="Output 16 4 2 2" xfId="17579" xr:uid="{00000000-0005-0000-0000-00008A670000}"/>
    <cellStyle name="Output 16 4 2 3" xfId="32375" xr:uid="{00000000-0005-0000-0000-00008B670000}"/>
    <cellStyle name="Output 16 4 2 4" xfId="32376" xr:uid="{00000000-0005-0000-0000-00008C670000}"/>
    <cellStyle name="Output 16 4 3" xfId="17580" xr:uid="{00000000-0005-0000-0000-00008D670000}"/>
    <cellStyle name="Output 16 4 3 2" xfId="17581" xr:uid="{00000000-0005-0000-0000-00008E670000}"/>
    <cellStyle name="Output 16 4 3 3" xfId="32377" xr:uid="{00000000-0005-0000-0000-00008F670000}"/>
    <cellStyle name="Output 16 4 3 4" xfId="32378" xr:uid="{00000000-0005-0000-0000-000090670000}"/>
    <cellStyle name="Output 16 4 4" xfId="17582" xr:uid="{00000000-0005-0000-0000-000091670000}"/>
    <cellStyle name="Output 16 4 4 2" xfId="17583" xr:uid="{00000000-0005-0000-0000-000092670000}"/>
    <cellStyle name="Output 16 4 4 3" xfId="32379" xr:uid="{00000000-0005-0000-0000-000093670000}"/>
    <cellStyle name="Output 16 4 4 4" xfId="32380" xr:uid="{00000000-0005-0000-0000-000094670000}"/>
    <cellStyle name="Output 16 4 5" xfId="17584" xr:uid="{00000000-0005-0000-0000-000095670000}"/>
    <cellStyle name="Output 16 4 5 2" xfId="17585" xr:uid="{00000000-0005-0000-0000-000096670000}"/>
    <cellStyle name="Output 16 4 5 3" xfId="32381" xr:uid="{00000000-0005-0000-0000-000097670000}"/>
    <cellStyle name="Output 16 4 5 4" xfId="32382" xr:uid="{00000000-0005-0000-0000-000098670000}"/>
    <cellStyle name="Output 16 4 6" xfId="17586" xr:uid="{00000000-0005-0000-0000-000099670000}"/>
    <cellStyle name="Output 16 4 6 2" xfId="17587" xr:uid="{00000000-0005-0000-0000-00009A670000}"/>
    <cellStyle name="Output 16 4 6 3" xfId="32383" xr:uid="{00000000-0005-0000-0000-00009B670000}"/>
    <cellStyle name="Output 16 4 6 4" xfId="32384" xr:uid="{00000000-0005-0000-0000-00009C670000}"/>
    <cellStyle name="Output 16 4 7" xfId="17588" xr:uid="{00000000-0005-0000-0000-00009D670000}"/>
    <cellStyle name="Output 16 4 7 2" xfId="17589" xr:uid="{00000000-0005-0000-0000-00009E670000}"/>
    <cellStyle name="Output 16 4 7 3" xfId="32385" xr:uid="{00000000-0005-0000-0000-00009F670000}"/>
    <cellStyle name="Output 16 4 7 4" xfId="32386" xr:uid="{00000000-0005-0000-0000-0000A0670000}"/>
    <cellStyle name="Output 16 4 8" xfId="17590" xr:uid="{00000000-0005-0000-0000-0000A1670000}"/>
    <cellStyle name="Output 16 4 9" xfId="32387" xr:uid="{00000000-0005-0000-0000-0000A2670000}"/>
    <cellStyle name="Output 16 5" xfId="17591" xr:uid="{00000000-0005-0000-0000-0000A3670000}"/>
    <cellStyle name="Output 16 5 10" xfId="32388" xr:uid="{00000000-0005-0000-0000-0000A4670000}"/>
    <cellStyle name="Output 16 5 2" xfId="17592" xr:uid="{00000000-0005-0000-0000-0000A5670000}"/>
    <cellStyle name="Output 16 5 2 2" xfId="17593" xr:uid="{00000000-0005-0000-0000-0000A6670000}"/>
    <cellStyle name="Output 16 5 2 3" xfId="32389" xr:uid="{00000000-0005-0000-0000-0000A7670000}"/>
    <cellStyle name="Output 16 5 2 4" xfId="32390" xr:uid="{00000000-0005-0000-0000-0000A8670000}"/>
    <cellStyle name="Output 16 5 3" xfId="17594" xr:uid="{00000000-0005-0000-0000-0000A9670000}"/>
    <cellStyle name="Output 16 5 3 2" xfId="17595" xr:uid="{00000000-0005-0000-0000-0000AA670000}"/>
    <cellStyle name="Output 16 5 3 3" xfId="32391" xr:uid="{00000000-0005-0000-0000-0000AB670000}"/>
    <cellStyle name="Output 16 5 3 4" xfId="32392" xr:uid="{00000000-0005-0000-0000-0000AC670000}"/>
    <cellStyle name="Output 16 5 4" xfId="17596" xr:uid="{00000000-0005-0000-0000-0000AD670000}"/>
    <cellStyle name="Output 16 5 4 2" xfId="17597" xr:uid="{00000000-0005-0000-0000-0000AE670000}"/>
    <cellStyle name="Output 16 5 4 3" xfId="32393" xr:uid="{00000000-0005-0000-0000-0000AF670000}"/>
    <cellStyle name="Output 16 5 4 4" xfId="32394" xr:uid="{00000000-0005-0000-0000-0000B0670000}"/>
    <cellStyle name="Output 16 5 5" xfId="17598" xr:uid="{00000000-0005-0000-0000-0000B1670000}"/>
    <cellStyle name="Output 16 5 5 2" xfId="17599" xr:uid="{00000000-0005-0000-0000-0000B2670000}"/>
    <cellStyle name="Output 16 5 5 3" xfId="32395" xr:uid="{00000000-0005-0000-0000-0000B3670000}"/>
    <cellStyle name="Output 16 5 5 4" xfId="32396" xr:uid="{00000000-0005-0000-0000-0000B4670000}"/>
    <cellStyle name="Output 16 5 6" xfId="17600" xr:uid="{00000000-0005-0000-0000-0000B5670000}"/>
    <cellStyle name="Output 16 5 6 2" xfId="17601" xr:uid="{00000000-0005-0000-0000-0000B6670000}"/>
    <cellStyle name="Output 16 5 6 3" xfId="32397" xr:uid="{00000000-0005-0000-0000-0000B7670000}"/>
    <cellStyle name="Output 16 5 6 4" xfId="32398" xr:uid="{00000000-0005-0000-0000-0000B8670000}"/>
    <cellStyle name="Output 16 5 7" xfId="17602" xr:uid="{00000000-0005-0000-0000-0000B9670000}"/>
    <cellStyle name="Output 16 5 7 2" xfId="17603" xr:uid="{00000000-0005-0000-0000-0000BA670000}"/>
    <cellStyle name="Output 16 5 7 3" xfId="32399" xr:uid="{00000000-0005-0000-0000-0000BB670000}"/>
    <cellStyle name="Output 16 5 7 4" xfId="32400" xr:uid="{00000000-0005-0000-0000-0000BC670000}"/>
    <cellStyle name="Output 16 5 8" xfId="17604" xr:uid="{00000000-0005-0000-0000-0000BD670000}"/>
    <cellStyle name="Output 16 5 9" xfId="32401" xr:uid="{00000000-0005-0000-0000-0000BE670000}"/>
    <cellStyle name="Output 16 6" xfId="17605" xr:uid="{00000000-0005-0000-0000-0000BF670000}"/>
    <cellStyle name="Output 16 6 2" xfId="17606" xr:uid="{00000000-0005-0000-0000-0000C0670000}"/>
    <cellStyle name="Output 16 6 3" xfId="32402" xr:uid="{00000000-0005-0000-0000-0000C1670000}"/>
    <cellStyle name="Output 16 6 4" xfId="32403" xr:uid="{00000000-0005-0000-0000-0000C2670000}"/>
    <cellStyle name="Output 16 7" xfId="17607" xr:uid="{00000000-0005-0000-0000-0000C3670000}"/>
    <cellStyle name="Output 16 7 2" xfId="17608" xr:uid="{00000000-0005-0000-0000-0000C4670000}"/>
    <cellStyle name="Output 16 7 3" xfId="32404" xr:uid="{00000000-0005-0000-0000-0000C5670000}"/>
    <cellStyle name="Output 16 7 4" xfId="32405" xr:uid="{00000000-0005-0000-0000-0000C6670000}"/>
    <cellStyle name="Output 16 8" xfId="17609" xr:uid="{00000000-0005-0000-0000-0000C7670000}"/>
    <cellStyle name="Output 16 8 2" xfId="17610" xr:uid="{00000000-0005-0000-0000-0000C8670000}"/>
    <cellStyle name="Output 16 8 3" xfId="32406" xr:uid="{00000000-0005-0000-0000-0000C9670000}"/>
    <cellStyle name="Output 16 8 4" xfId="32407" xr:uid="{00000000-0005-0000-0000-0000CA670000}"/>
    <cellStyle name="Output 16 9" xfId="17611" xr:uid="{00000000-0005-0000-0000-0000CB670000}"/>
    <cellStyle name="Output 16 9 2" xfId="17612" xr:uid="{00000000-0005-0000-0000-0000CC670000}"/>
    <cellStyle name="Output 16 9 3" xfId="32408" xr:uid="{00000000-0005-0000-0000-0000CD670000}"/>
    <cellStyle name="Output 16 9 4" xfId="32409" xr:uid="{00000000-0005-0000-0000-0000CE670000}"/>
    <cellStyle name="Output 17" xfId="17613" xr:uid="{00000000-0005-0000-0000-0000CF670000}"/>
    <cellStyle name="Output 17 10" xfId="17614" xr:uid="{00000000-0005-0000-0000-0000D0670000}"/>
    <cellStyle name="Output 17 10 2" xfId="17615" xr:uid="{00000000-0005-0000-0000-0000D1670000}"/>
    <cellStyle name="Output 17 10 3" xfId="32410" xr:uid="{00000000-0005-0000-0000-0000D2670000}"/>
    <cellStyle name="Output 17 10 4" xfId="32411" xr:uid="{00000000-0005-0000-0000-0000D3670000}"/>
    <cellStyle name="Output 17 11" xfId="17616" xr:uid="{00000000-0005-0000-0000-0000D4670000}"/>
    <cellStyle name="Output 17 11 2" xfId="17617" xr:uid="{00000000-0005-0000-0000-0000D5670000}"/>
    <cellStyle name="Output 17 11 3" xfId="32412" xr:uid="{00000000-0005-0000-0000-0000D6670000}"/>
    <cellStyle name="Output 17 11 4" xfId="32413" xr:uid="{00000000-0005-0000-0000-0000D7670000}"/>
    <cellStyle name="Output 17 12" xfId="17618" xr:uid="{00000000-0005-0000-0000-0000D8670000}"/>
    <cellStyle name="Output 17 13" xfId="32414" xr:uid="{00000000-0005-0000-0000-0000D9670000}"/>
    <cellStyle name="Output 17 14" xfId="32415" xr:uid="{00000000-0005-0000-0000-0000DA670000}"/>
    <cellStyle name="Output 17 2" xfId="17619" xr:uid="{00000000-0005-0000-0000-0000DB670000}"/>
    <cellStyle name="Output 17 2 10" xfId="32416" xr:uid="{00000000-0005-0000-0000-0000DC670000}"/>
    <cellStyle name="Output 17 2 2" xfId="17620" xr:uid="{00000000-0005-0000-0000-0000DD670000}"/>
    <cellStyle name="Output 17 2 2 2" xfId="17621" xr:uid="{00000000-0005-0000-0000-0000DE670000}"/>
    <cellStyle name="Output 17 2 2 3" xfId="32417" xr:uid="{00000000-0005-0000-0000-0000DF670000}"/>
    <cellStyle name="Output 17 2 2 4" xfId="32418" xr:uid="{00000000-0005-0000-0000-0000E0670000}"/>
    <cellStyle name="Output 17 2 3" xfId="17622" xr:uid="{00000000-0005-0000-0000-0000E1670000}"/>
    <cellStyle name="Output 17 2 3 2" xfId="17623" xr:uid="{00000000-0005-0000-0000-0000E2670000}"/>
    <cellStyle name="Output 17 2 3 3" xfId="32419" xr:uid="{00000000-0005-0000-0000-0000E3670000}"/>
    <cellStyle name="Output 17 2 3 4" xfId="32420" xr:uid="{00000000-0005-0000-0000-0000E4670000}"/>
    <cellStyle name="Output 17 2 4" xfId="17624" xr:uid="{00000000-0005-0000-0000-0000E5670000}"/>
    <cellStyle name="Output 17 2 4 2" xfId="17625" xr:uid="{00000000-0005-0000-0000-0000E6670000}"/>
    <cellStyle name="Output 17 2 4 3" xfId="32421" xr:uid="{00000000-0005-0000-0000-0000E7670000}"/>
    <cellStyle name="Output 17 2 4 4" xfId="32422" xr:uid="{00000000-0005-0000-0000-0000E8670000}"/>
    <cellStyle name="Output 17 2 5" xfId="17626" xr:uid="{00000000-0005-0000-0000-0000E9670000}"/>
    <cellStyle name="Output 17 2 5 2" xfId="17627" xr:uid="{00000000-0005-0000-0000-0000EA670000}"/>
    <cellStyle name="Output 17 2 5 3" xfId="32423" xr:uid="{00000000-0005-0000-0000-0000EB670000}"/>
    <cellStyle name="Output 17 2 5 4" xfId="32424" xr:uid="{00000000-0005-0000-0000-0000EC670000}"/>
    <cellStyle name="Output 17 2 6" xfId="17628" xr:uid="{00000000-0005-0000-0000-0000ED670000}"/>
    <cellStyle name="Output 17 2 6 2" xfId="17629" xr:uid="{00000000-0005-0000-0000-0000EE670000}"/>
    <cellStyle name="Output 17 2 6 3" xfId="32425" xr:uid="{00000000-0005-0000-0000-0000EF670000}"/>
    <cellStyle name="Output 17 2 6 4" xfId="32426" xr:uid="{00000000-0005-0000-0000-0000F0670000}"/>
    <cellStyle name="Output 17 2 7" xfId="17630" xr:uid="{00000000-0005-0000-0000-0000F1670000}"/>
    <cellStyle name="Output 17 2 7 2" xfId="17631" xr:uid="{00000000-0005-0000-0000-0000F2670000}"/>
    <cellStyle name="Output 17 2 7 3" xfId="32427" xr:uid="{00000000-0005-0000-0000-0000F3670000}"/>
    <cellStyle name="Output 17 2 7 4" xfId="32428" xr:uid="{00000000-0005-0000-0000-0000F4670000}"/>
    <cellStyle name="Output 17 2 8" xfId="17632" xr:uid="{00000000-0005-0000-0000-0000F5670000}"/>
    <cellStyle name="Output 17 2 9" xfId="32429" xr:uid="{00000000-0005-0000-0000-0000F6670000}"/>
    <cellStyle name="Output 17 3" xfId="17633" xr:uid="{00000000-0005-0000-0000-0000F7670000}"/>
    <cellStyle name="Output 17 3 10" xfId="32430" xr:uid="{00000000-0005-0000-0000-0000F8670000}"/>
    <cellStyle name="Output 17 3 2" xfId="17634" xr:uid="{00000000-0005-0000-0000-0000F9670000}"/>
    <cellStyle name="Output 17 3 2 2" xfId="17635" xr:uid="{00000000-0005-0000-0000-0000FA670000}"/>
    <cellStyle name="Output 17 3 2 3" xfId="32431" xr:uid="{00000000-0005-0000-0000-0000FB670000}"/>
    <cellStyle name="Output 17 3 2 4" xfId="32432" xr:uid="{00000000-0005-0000-0000-0000FC670000}"/>
    <cellStyle name="Output 17 3 3" xfId="17636" xr:uid="{00000000-0005-0000-0000-0000FD670000}"/>
    <cellStyle name="Output 17 3 3 2" xfId="17637" xr:uid="{00000000-0005-0000-0000-0000FE670000}"/>
    <cellStyle name="Output 17 3 3 3" xfId="32433" xr:uid="{00000000-0005-0000-0000-0000FF670000}"/>
    <cellStyle name="Output 17 3 3 4" xfId="32434" xr:uid="{00000000-0005-0000-0000-000000680000}"/>
    <cellStyle name="Output 17 3 4" xfId="17638" xr:uid="{00000000-0005-0000-0000-000001680000}"/>
    <cellStyle name="Output 17 3 4 2" xfId="17639" xr:uid="{00000000-0005-0000-0000-000002680000}"/>
    <cellStyle name="Output 17 3 4 3" xfId="32435" xr:uid="{00000000-0005-0000-0000-000003680000}"/>
    <cellStyle name="Output 17 3 4 4" xfId="32436" xr:uid="{00000000-0005-0000-0000-000004680000}"/>
    <cellStyle name="Output 17 3 5" xfId="17640" xr:uid="{00000000-0005-0000-0000-000005680000}"/>
    <cellStyle name="Output 17 3 5 2" xfId="17641" xr:uid="{00000000-0005-0000-0000-000006680000}"/>
    <cellStyle name="Output 17 3 5 3" xfId="32437" xr:uid="{00000000-0005-0000-0000-000007680000}"/>
    <cellStyle name="Output 17 3 5 4" xfId="32438" xr:uid="{00000000-0005-0000-0000-000008680000}"/>
    <cellStyle name="Output 17 3 6" xfId="17642" xr:uid="{00000000-0005-0000-0000-000009680000}"/>
    <cellStyle name="Output 17 3 6 2" xfId="17643" xr:uid="{00000000-0005-0000-0000-00000A680000}"/>
    <cellStyle name="Output 17 3 6 3" xfId="32439" xr:uid="{00000000-0005-0000-0000-00000B680000}"/>
    <cellStyle name="Output 17 3 6 4" xfId="32440" xr:uid="{00000000-0005-0000-0000-00000C680000}"/>
    <cellStyle name="Output 17 3 7" xfId="17644" xr:uid="{00000000-0005-0000-0000-00000D680000}"/>
    <cellStyle name="Output 17 3 7 2" xfId="17645" xr:uid="{00000000-0005-0000-0000-00000E680000}"/>
    <cellStyle name="Output 17 3 7 3" xfId="32441" xr:uid="{00000000-0005-0000-0000-00000F680000}"/>
    <cellStyle name="Output 17 3 7 4" xfId="32442" xr:uid="{00000000-0005-0000-0000-000010680000}"/>
    <cellStyle name="Output 17 3 8" xfId="17646" xr:uid="{00000000-0005-0000-0000-000011680000}"/>
    <cellStyle name="Output 17 3 9" xfId="32443" xr:uid="{00000000-0005-0000-0000-000012680000}"/>
    <cellStyle name="Output 17 4" xfId="17647" xr:uid="{00000000-0005-0000-0000-000013680000}"/>
    <cellStyle name="Output 17 4 10" xfId="32444" xr:uid="{00000000-0005-0000-0000-000014680000}"/>
    <cellStyle name="Output 17 4 2" xfId="17648" xr:uid="{00000000-0005-0000-0000-000015680000}"/>
    <cellStyle name="Output 17 4 2 2" xfId="17649" xr:uid="{00000000-0005-0000-0000-000016680000}"/>
    <cellStyle name="Output 17 4 2 3" xfId="32445" xr:uid="{00000000-0005-0000-0000-000017680000}"/>
    <cellStyle name="Output 17 4 2 4" xfId="32446" xr:uid="{00000000-0005-0000-0000-000018680000}"/>
    <cellStyle name="Output 17 4 3" xfId="17650" xr:uid="{00000000-0005-0000-0000-000019680000}"/>
    <cellStyle name="Output 17 4 3 2" xfId="17651" xr:uid="{00000000-0005-0000-0000-00001A680000}"/>
    <cellStyle name="Output 17 4 3 3" xfId="32447" xr:uid="{00000000-0005-0000-0000-00001B680000}"/>
    <cellStyle name="Output 17 4 3 4" xfId="32448" xr:uid="{00000000-0005-0000-0000-00001C680000}"/>
    <cellStyle name="Output 17 4 4" xfId="17652" xr:uid="{00000000-0005-0000-0000-00001D680000}"/>
    <cellStyle name="Output 17 4 4 2" xfId="17653" xr:uid="{00000000-0005-0000-0000-00001E680000}"/>
    <cellStyle name="Output 17 4 4 3" xfId="32449" xr:uid="{00000000-0005-0000-0000-00001F680000}"/>
    <cellStyle name="Output 17 4 4 4" xfId="32450" xr:uid="{00000000-0005-0000-0000-000020680000}"/>
    <cellStyle name="Output 17 4 5" xfId="17654" xr:uid="{00000000-0005-0000-0000-000021680000}"/>
    <cellStyle name="Output 17 4 5 2" xfId="17655" xr:uid="{00000000-0005-0000-0000-000022680000}"/>
    <cellStyle name="Output 17 4 5 3" xfId="32451" xr:uid="{00000000-0005-0000-0000-000023680000}"/>
    <cellStyle name="Output 17 4 5 4" xfId="32452" xr:uid="{00000000-0005-0000-0000-000024680000}"/>
    <cellStyle name="Output 17 4 6" xfId="17656" xr:uid="{00000000-0005-0000-0000-000025680000}"/>
    <cellStyle name="Output 17 4 6 2" xfId="17657" xr:uid="{00000000-0005-0000-0000-000026680000}"/>
    <cellStyle name="Output 17 4 6 3" xfId="32453" xr:uid="{00000000-0005-0000-0000-000027680000}"/>
    <cellStyle name="Output 17 4 6 4" xfId="32454" xr:uid="{00000000-0005-0000-0000-000028680000}"/>
    <cellStyle name="Output 17 4 7" xfId="17658" xr:uid="{00000000-0005-0000-0000-000029680000}"/>
    <cellStyle name="Output 17 4 7 2" xfId="17659" xr:uid="{00000000-0005-0000-0000-00002A680000}"/>
    <cellStyle name="Output 17 4 7 3" xfId="32455" xr:uid="{00000000-0005-0000-0000-00002B680000}"/>
    <cellStyle name="Output 17 4 7 4" xfId="32456" xr:uid="{00000000-0005-0000-0000-00002C680000}"/>
    <cellStyle name="Output 17 4 8" xfId="17660" xr:uid="{00000000-0005-0000-0000-00002D680000}"/>
    <cellStyle name="Output 17 4 9" xfId="32457" xr:uid="{00000000-0005-0000-0000-00002E680000}"/>
    <cellStyle name="Output 17 5" xfId="17661" xr:uid="{00000000-0005-0000-0000-00002F680000}"/>
    <cellStyle name="Output 17 5 10" xfId="32458" xr:uid="{00000000-0005-0000-0000-000030680000}"/>
    <cellStyle name="Output 17 5 2" xfId="17662" xr:uid="{00000000-0005-0000-0000-000031680000}"/>
    <cellStyle name="Output 17 5 2 2" xfId="17663" xr:uid="{00000000-0005-0000-0000-000032680000}"/>
    <cellStyle name="Output 17 5 2 3" xfId="32459" xr:uid="{00000000-0005-0000-0000-000033680000}"/>
    <cellStyle name="Output 17 5 2 4" xfId="32460" xr:uid="{00000000-0005-0000-0000-000034680000}"/>
    <cellStyle name="Output 17 5 3" xfId="17664" xr:uid="{00000000-0005-0000-0000-000035680000}"/>
    <cellStyle name="Output 17 5 3 2" xfId="17665" xr:uid="{00000000-0005-0000-0000-000036680000}"/>
    <cellStyle name="Output 17 5 3 3" xfId="32461" xr:uid="{00000000-0005-0000-0000-000037680000}"/>
    <cellStyle name="Output 17 5 3 4" xfId="32462" xr:uid="{00000000-0005-0000-0000-000038680000}"/>
    <cellStyle name="Output 17 5 4" xfId="17666" xr:uid="{00000000-0005-0000-0000-000039680000}"/>
    <cellStyle name="Output 17 5 4 2" xfId="17667" xr:uid="{00000000-0005-0000-0000-00003A680000}"/>
    <cellStyle name="Output 17 5 4 3" xfId="32463" xr:uid="{00000000-0005-0000-0000-00003B680000}"/>
    <cellStyle name="Output 17 5 4 4" xfId="32464" xr:uid="{00000000-0005-0000-0000-00003C680000}"/>
    <cellStyle name="Output 17 5 5" xfId="17668" xr:uid="{00000000-0005-0000-0000-00003D680000}"/>
    <cellStyle name="Output 17 5 5 2" xfId="17669" xr:uid="{00000000-0005-0000-0000-00003E680000}"/>
    <cellStyle name="Output 17 5 5 3" xfId="32465" xr:uid="{00000000-0005-0000-0000-00003F680000}"/>
    <cellStyle name="Output 17 5 5 4" xfId="32466" xr:uid="{00000000-0005-0000-0000-000040680000}"/>
    <cellStyle name="Output 17 5 6" xfId="17670" xr:uid="{00000000-0005-0000-0000-000041680000}"/>
    <cellStyle name="Output 17 5 6 2" xfId="17671" xr:uid="{00000000-0005-0000-0000-000042680000}"/>
    <cellStyle name="Output 17 5 6 3" xfId="32467" xr:uid="{00000000-0005-0000-0000-000043680000}"/>
    <cellStyle name="Output 17 5 6 4" xfId="32468" xr:uid="{00000000-0005-0000-0000-000044680000}"/>
    <cellStyle name="Output 17 5 7" xfId="17672" xr:uid="{00000000-0005-0000-0000-000045680000}"/>
    <cellStyle name="Output 17 5 7 2" xfId="17673" xr:uid="{00000000-0005-0000-0000-000046680000}"/>
    <cellStyle name="Output 17 5 7 3" xfId="32469" xr:uid="{00000000-0005-0000-0000-000047680000}"/>
    <cellStyle name="Output 17 5 7 4" xfId="32470" xr:uid="{00000000-0005-0000-0000-000048680000}"/>
    <cellStyle name="Output 17 5 8" xfId="17674" xr:uid="{00000000-0005-0000-0000-000049680000}"/>
    <cellStyle name="Output 17 5 9" xfId="32471" xr:uid="{00000000-0005-0000-0000-00004A680000}"/>
    <cellStyle name="Output 17 6" xfId="17675" xr:uid="{00000000-0005-0000-0000-00004B680000}"/>
    <cellStyle name="Output 17 6 2" xfId="17676" xr:uid="{00000000-0005-0000-0000-00004C680000}"/>
    <cellStyle name="Output 17 6 3" xfId="32472" xr:uid="{00000000-0005-0000-0000-00004D680000}"/>
    <cellStyle name="Output 17 6 4" xfId="32473" xr:uid="{00000000-0005-0000-0000-00004E680000}"/>
    <cellStyle name="Output 17 7" xfId="17677" xr:uid="{00000000-0005-0000-0000-00004F680000}"/>
    <cellStyle name="Output 17 7 2" xfId="17678" xr:uid="{00000000-0005-0000-0000-000050680000}"/>
    <cellStyle name="Output 17 7 3" xfId="32474" xr:uid="{00000000-0005-0000-0000-000051680000}"/>
    <cellStyle name="Output 17 7 4" xfId="32475" xr:uid="{00000000-0005-0000-0000-000052680000}"/>
    <cellStyle name="Output 17 8" xfId="17679" xr:uid="{00000000-0005-0000-0000-000053680000}"/>
    <cellStyle name="Output 17 8 2" xfId="17680" xr:uid="{00000000-0005-0000-0000-000054680000}"/>
    <cellStyle name="Output 17 8 3" xfId="32476" xr:uid="{00000000-0005-0000-0000-000055680000}"/>
    <cellStyle name="Output 17 8 4" xfId="32477" xr:uid="{00000000-0005-0000-0000-000056680000}"/>
    <cellStyle name="Output 17 9" xfId="17681" xr:uid="{00000000-0005-0000-0000-000057680000}"/>
    <cellStyle name="Output 17 9 2" xfId="17682" xr:uid="{00000000-0005-0000-0000-000058680000}"/>
    <cellStyle name="Output 17 9 3" xfId="32478" xr:uid="{00000000-0005-0000-0000-000059680000}"/>
    <cellStyle name="Output 17 9 4" xfId="32479" xr:uid="{00000000-0005-0000-0000-00005A680000}"/>
    <cellStyle name="Output 18" xfId="17683" xr:uid="{00000000-0005-0000-0000-00005B680000}"/>
    <cellStyle name="Output 18 10" xfId="17684" xr:uid="{00000000-0005-0000-0000-00005C680000}"/>
    <cellStyle name="Output 18 10 2" xfId="17685" xr:uid="{00000000-0005-0000-0000-00005D680000}"/>
    <cellStyle name="Output 18 10 3" xfId="32480" xr:uid="{00000000-0005-0000-0000-00005E680000}"/>
    <cellStyle name="Output 18 10 4" xfId="32481" xr:uid="{00000000-0005-0000-0000-00005F680000}"/>
    <cellStyle name="Output 18 11" xfId="17686" xr:uid="{00000000-0005-0000-0000-000060680000}"/>
    <cellStyle name="Output 18 11 2" xfId="17687" xr:uid="{00000000-0005-0000-0000-000061680000}"/>
    <cellStyle name="Output 18 11 3" xfId="32482" xr:uid="{00000000-0005-0000-0000-000062680000}"/>
    <cellStyle name="Output 18 11 4" xfId="32483" xr:uid="{00000000-0005-0000-0000-000063680000}"/>
    <cellStyle name="Output 18 12" xfId="17688" xr:uid="{00000000-0005-0000-0000-000064680000}"/>
    <cellStyle name="Output 18 13" xfId="32484" xr:uid="{00000000-0005-0000-0000-000065680000}"/>
    <cellStyle name="Output 18 14" xfId="32485" xr:uid="{00000000-0005-0000-0000-000066680000}"/>
    <cellStyle name="Output 18 2" xfId="17689" xr:uid="{00000000-0005-0000-0000-000067680000}"/>
    <cellStyle name="Output 18 2 10" xfId="32486" xr:uid="{00000000-0005-0000-0000-000068680000}"/>
    <cellStyle name="Output 18 2 2" xfId="17690" xr:uid="{00000000-0005-0000-0000-000069680000}"/>
    <cellStyle name="Output 18 2 2 2" xfId="17691" xr:uid="{00000000-0005-0000-0000-00006A680000}"/>
    <cellStyle name="Output 18 2 2 3" xfId="32487" xr:uid="{00000000-0005-0000-0000-00006B680000}"/>
    <cellStyle name="Output 18 2 2 4" xfId="32488" xr:uid="{00000000-0005-0000-0000-00006C680000}"/>
    <cellStyle name="Output 18 2 3" xfId="17692" xr:uid="{00000000-0005-0000-0000-00006D680000}"/>
    <cellStyle name="Output 18 2 3 2" xfId="17693" xr:uid="{00000000-0005-0000-0000-00006E680000}"/>
    <cellStyle name="Output 18 2 3 3" xfId="32489" xr:uid="{00000000-0005-0000-0000-00006F680000}"/>
    <cellStyle name="Output 18 2 3 4" xfId="32490" xr:uid="{00000000-0005-0000-0000-000070680000}"/>
    <cellStyle name="Output 18 2 4" xfId="17694" xr:uid="{00000000-0005-0000-0000-000071680000}"/>
    <cellStyle name="Output 18 2 4 2" xfId="17695" xr:uid="{00000000-0005-0000-0000-000072680000}"/>
    <cellStyle name="Output 18 2 4 3" xfId="32491" xr:uid="{00000000-0005-0000-0000-000073680000}"/>
    <cellStyle name="Output 18 2 4 4" xfId="32492" xr:uid="{00000000-0005-0000-0000-000074680000}"/>
    <cellStyle name="Output 18 2 5" xfId="17696" xr:uid="{00000000-0005-0000-0000-000075680000}"/>
    <cellStyle name="Output 18 2 5 2" xfId="17697" xr:uid="{00000000-0005-0000-0000-000076680000}"/>
    <cellStyle name="Output 18 2 5 3" xfId="32493" xr:uid="{00000000-0005-0000-0000-000077680000}"/>
    <cellStyle name="Output 18 2 5 4" xfId="32494" xr:uid="{00000000-0005-0000-0000-000078680000}"/>
    <cellStyle name="Output 18 2 6" xfId="17698" xr:uid="{00000000-0005-0000-0000-000079680000}"/>
    <cellStyle name="Output 18 2 6 2" xfId="17699" xr:uid="{00000000-0005-0000-0000-00007A680000}"/>
    <cellStyle name="Output 18 2 6 3" xfId="32495" xr:uid="{00000000-0005-0000-0000-00007B680000}"/>
    <cellStyle name="Output 18 2 6 4" xfId="32496" xr:uid="{00000000-0005-0000-0000-00007C680000}"/>
    <cellStyle name="Output 18 2 7" xfId="17700" xr:uid="{00000000-0005-0000-0000-00007D680000}"/>
    <cellStyle name="Output 18 2 7 2" xfId="17701" xr:uid="{00000000-0005-0000-0000-00007E680000}"/>
    <cellStyle name="Output 18 2 7 3" xfId="32497" xr:uid="{00000000-0005-0000-0000-00007F680000}"/>
    <cellStyle name="Output 18 2 7 4" xfId="32498" xr:uid="{00000000-0005-0000-0000-000080680000}"/>
    <cellStyle name="Output 18 2 8" xfId="17702" xr:uid="{00000000-0005-0000-0000-000081680000}"/>
    <cellStyle name="Output 18 2 9" xfId="32499" xr:uid="{00000000-0005-0000-0000-000082680000}"/>
    <cellStyle name="Output 18 3" xfId="17703" xr:uid="{00000000-0005-0000-0000-000083680000}"/>
    <cellStyle name="Output 18 3 10" xfId="32500" xr:uid="{00000000-0005-0000-0000-000084680000}"/>
    <cellStyle name="Output 18 3 2" xfId="17704" xr:uid="{00000000-0005-0000-0000-000085680000}"/>
    <cellStyle name="Output 18 3 2 2" xfId="17705" xr:uid="{00000000-0005-0000-0000-000086680000}"/>
    <cellStyle name="Output 18 3 2 3" xfId="32501" xr:uid="{00000000-0005-0000-0000-000087680000}"/>
    <cellStyle name="Output 18 3 2 4" xfId="32502" xr:uid="{00000000-0005-0000-0000-000088680000}"/>
    <cellStyle name="Output 18 3 3" xfId="17706" xr:uid="{00000000-0005-0000-0000-000089680000}"/>
    <cellStyle name="Output 18 3 3 2" xfId="17707" xr:uid="{00000000-0005-0000-0000-00008A680000}"/>
    <cellStyle name="Output 18 3 3 3" xfId="32503" xr:uid="{00000000-0005-0000-0000-00008B680000}"/>
    <cellStyle name="Output 18 3 3 4" xfId="32504" xr:uid="{00000000-0005-0000-0000-00008C680000}"/>
    <cellStyle name="Output 18 3 4" xfId="17708" xr:uid="{00000000-0005-0000-0000-00008D680000}"/>
    <cellStyle name="Output 18 3 4 2" xfId="17709" xr:uid="{00000000-0005-0000-0000-00008E680000}"/>
    <cellStyle name="Output 18 3 4 3" xfId="32505" xr:uid="{00000000-0005-0000-0000-00008F680000}"/>
    <cellStyle name="Output 18 3 4 4" xfId="32506" xr:uid="{00000000-0005-0000-0000-000090680000}"/>
    <cellStyle name="Output 18 3 5" xfId="17710" xr:uid="{00000000-0005-0000-0000-000091680000}"/>
    <cellStyle name="Output 18 3 5 2" xfId="17711" xr:uid="{00000000-0005-0000-0000-000092680000}"/>
    <cellStyle name="Output 18 3 5 3" xfId="32507" xr:uid="{00000000-0005-0000-0000-000093680000}"/>
    <cellStyle name="Output 18 3 5 4" xfId="32508" xr:uid="{00000000-0005-0000-0000-000094680000}"/>
    <cellStyle name="Output 18 3 6" xfId="17712" xr:uid="{00000000-0005-0000-0000-000095680000}"/>
    <cellStyle name="Output 18 3 6 2" xfId="17713" xr:uid="{00000000-0005-0000-0000-000096680000}"/>
    <cellStyle name="Output 18 3 6 3" xfId="32509" xr:uid="{00000000-0005-0000-0000-000097680000}"/>
    <cellStyle name="Output 18 3 6 4" xfId="32510" xr:uid="{00000000-0005-0000-0000-000098680000}"/>
    <cellStyle name="Output 18 3 7" xfId="17714" xr:uid="{00000000-0005-0000-0000-000099680000}"/>
    <cellStyle name="Output 18 3 7 2" xfId="17715" xr:uid="{00000000-0005-0000-0000-00009A680000}"/>
    <cellStyle name="Output 18 3 7 3" xfId="32511" xr:uid="{00000000-0005-0000-0000-00009B680000}"/>
    <cellStyle name="Output 18 3 7 4" xfId="32512" xr:uid="{00000000-0005-0000-0000-00009C680000}"/>
    <cellStyle name="Output 18 3 8" xfId="17716" xr:uid="{00000000-0005-0000-0000-00009D680000}"/>
    <cellStyle name="Output 18 3 9" xfId="32513" xr:uid="{00000000-0005-0000-0000-00009E680000}"/>
    <cellStyle name="Output 18 4" xfId="17717" xr:uid="{00000000-0005-0000-0000-00009F680000}"/>
    <cellStyle name="Output 18 4 10" xfId="32514" xr:uid="{00000000-0005-0000-0000-0000A0680000}"/>
    <cellStyle name="Output 18 4 2" xfId="17718" xr:uid="{00000000-0005-0000-0000-0000A1680000}"/>
    <cellStyle name="Output 18 4 2 2" xfId="17719" xr:uid="{00000000-0005-0000-0000-0000A2680000}"/>
    <cellStyle name="Output 18 4 2 3" xfId="32515" xr:uid="{00000000-0005-0000-0000-0000A3680000}"/>
    <cellStyle name="Output 18 4 2 4" xfId="32516" xr:uid="{00000000-0005-0000-0000-0000A4680000}"/>
    <cellStyle name="Output 18 4 3" xfId="17720" xr:uid="{00000000-0005-0000-0000-0000A5680000}"/>
    <cellStyle name="Output 18 4 3 2" xfId="17721" xr:uid="{00000000-0005-0000-0000-0000A6680000}"/>
    <cellStyle name="Output 18 4 3 3" xfId="32517" xr:uid="{00000000-0005-0000-0000-0000A7680000}"/>
    <cellStyle name="Output 18 4 3 4" xfId="32518" xr:uid="{00000000-0005-0000-0000-0000A8680000}"/>
    <cellStyle name="Output 18 4 4" xfId="17722" xr:uid="{00000000-0005-0000-0000-0000A9680000}"/>
    <cellStyle name="Output 18 4 4 2" xfId="17723" xr:uid="{00000000-0005-0000-0000-0000AA680000}"/>
    <cellStyle name="Output 18 4 4 3" xfId="32519" xr:uid="{00000000-0005-0000-0000-0000AB680000}"/>
    <cellStyle name="Output 18 4 4 4" xfId="32520" xr:uid="{00000000-0005-0000-0000-0000AC680000}"/>
    <cellStyle name="Output 18 4 5" xfId="17724" xr:uid="{00000000-0005-0000-0000-0000AD680000}"/>
    <cellStyle name="Output 18 4 5 2" xfId="17725" xr:uid="{00000000-0005-0000-0000-0000AE680000}"/>
    <cellStyle name="Output 18 4 5 3" xfId="32521" xr:uid="{00000000-0005-0000-0000-0000AF680000}"/>
    <cellStyle name="Output 18 4 5 4" xfId="32522" xr:uid="{00000000-0005-0000-0000-0000B0680000}"/>
    <cellStyle name="Output 18 4 6" xfId="17726" xr:uid="{00000000-0005-0000-0000-0000B1680000}"/>
    <cellStyle name="Output 18 4 6 2" xfId="17727" xr:uid="{00000000-0005-0000-0000-0000B2680000}"/>
    <cellStyle name="Output 18 4 6 3" xfId="32523" xr:uid="{00000000-0005-0000-0000-0000B3680000}"/>
    <cellStyle name="Output 18 4 6 4" xfId="32524" xr:uid="{00000000-0005-0000-0000-0000B4680000}"/>
    <cellStyle name="Output 18 4 7" xfId="17728" xr:uid="{00000000-0005-0000-0000-0000B5680000}"/>
    <cellStyle name="Output 18 4 7 2" xfId="17729" xr:uid="{00000000-0005-0000-0000-0000B6680000}"/>
    <cellStyle name="Output 18 4 7 3" xfId="32525" xr:uid="{00000000-0005-0000-0000-0000B7680000}"/>
    <cellStyle name="Output 18 4 7 4" xfId="32526" xr:uid="{00000000-0005-0000-0000-0000B8680000}"/>
    <cellStyle name="Output 18 4 8" xfId="17730" xr:uid="{00000000-0005-0000-0000-0000B9680000}"/>
    <cellStyle name="Output 18 4 9" xfId="32527" xr:uid="{00000000-0005-0000-0000-0000BA680000}"/>
    <cellStyle name="Output 18 5" xfId="17731" xr:uid="{00000000-0005-0000-0000-0000BB680000}"/>
    <cellStyle name="Output 18 5 10" xfId="32528" xr:uid="{00000000-0005-0000-0000-0000BC680000}"/>
    <cellStyle name="Output 18 5 2" xfId="17732" xr:uid="{00000000-0005-0000-0000-0000BD680000}"/>
    <cellStyle name="Output 18 5 2 2" xfId="17733" xr:uid="{00000000-0005-0000-0000-0000BE680000}"/>
    <cellStyle name="Output 18 5 2 3" xfId="32529" xr:uid="{00000000-0005-0000-0000-0000BF680000}"/>
    <cellStyle name="Output 18 5 2 4" xfId="32530" xr:uid="{00000000-0005-0000-0000-0000C0680000}"/>
    <cellStyle name="Output 18 5 3" xfId="17734" xr:uid="{00000000-0005-0000-0000-0000C1680000}"/>
    <cellStyle name="Output 18 5 3 2" xfId="17735" xr:uid="{00000000-0005-0000-0000-0000C2680000}"/>
    <cellStyle name="Output 18 5 3 3" xfId="32531" xr:uid="{00000000-0005-0000-0000-0000C3680000}"/>
    <cellStyle name="Output 18 5 3 4" xfId="32532" xr:uid="{00000000-0005-0000-0000-0000C4680000}"/>
    <cellStyle name="Output 18 5 4" xfId="17736" xr:uid="{00000000-0005-0000-0000-0000C5680000}"/>
    <cellStyle name="Output 18 5 4 2" xfId="17737" xr:uid="{00000000-0005-0000-0000-0000C6680000}"/>
    <cellStyle name="Output 18 5 4 3" xfId="32533" xr:uid="{00000000-0005-0000-0000-0000C7680000}"/>
    <cellStyle name="Output 18 5 4 4" xfId="32534" xr:uid="{00000000-0005-0000-0000-0000C8680000}"/>
    <cellStyle name="Output 18 5 5" xfId="17738" xr:uid="{00000000-0005-0000-0000-0000C9680000}"/>
    <cellStyle name="Output 18 5 5 2" xfId="17739" xr:uid="{00000000-0005-0000-0000-0000CA680000}"/>
    <cellStyle name="Output 18 5 5 3" xfId="32535" xr:uid="{00000000-0005-0000-0000-0000CB680000}"/>
    <cellStyle name="Output 18 5 5 4" xfId="32536" xr:uid="{00000000-0005-0000-0000-0000CC680000}"/>
    <cellStyle name="Output 18 5 6" xfId="17740" xr:uid="{00000000-0005-0000-0000-0000CD680000}"/>
    <cellStyle name="Output 18 5 6 2" xfId="17741" xr:uid="{00000000-0005-0000-0000-0000CE680000}"/>
    <cellStyle name="Output 18 5 6 3" xfId="32537" xr:uid="{00000000-0005-0000-0000-0000CF680000}"/>
    <cellStyle name="Output 18 5 6 4" xfId="32538" xr:uid="{00000000-0005-0000-0000-0000D0680000}"/>
    <cellStyle name="Output 18 5 7" xfId="17742" xr:uid="{00000000-0005-0000-0000-0000D1680000}"/>
    <cellStyle name="Output 18 5 7 2" xfId="17743" xr:uid="{00000000-0005-0000-0000-0000D2680000}"/>
    <cellStyle name="Output 18 5 7 3" xfId="32539" xr:uid="{00000000-0005-0000-0000-0000D3680000}"/>
    <cellStyle name="Output 18 5 7 4" xfId="32540" xr:uid="{00000000-0005-0000-0000-0000D4680000}"/>
    <cellStyle name="Output 18 5 8" xfId="17744" xr:uid="{00000000-0005-0000-0000-0000D5680000}"/>
    <cellStyle name="Output 18 5 9" xfId="32541" xr:uid="{00000000-0005-0000-0000-0000D6680000}"/>
    <cellStyle name="Output 18 6" xfId="17745" xr:uid="{00000000-0005-0000-0000-0000D7680000}"/>
    <cellStyle name="Output 18 6 2" xfId="17746" xr:uid="{00000000-0005-0000-0000-0000D8680000}"/>
    <cellStyle name="Output 18 6 3" xfId="32542" xr:uid="{00000000-0005-0000-0000-0000D9680000}"/>
    <cellStyle name="Output 18 6 4" xfId="32543" xr:uid="{00000000-0005-0000-0000-0000DA680000}"/>
    <cellStyle name="Output 18 7" xfId="17747" xr:uid="{00000000-0005-0000-0000-0000DB680000}"/>
    <cellStyle name="Output 18 7 2" xfId="17748" xr:uid="{00000000-0005-0000-0000-0000DC680000}"/>
    <cellStyle name="Output 18 7 3" xfId="32544" xr:uid="{00000000-0005-0000-0000-0000DD680000}"/>
    <cellStyle name="Output 18 7 4" xfId="32545" xr:uid="{00000000-0005-0000-0000-0000DE680000}"/>
    <cellStyle name="Output 18 8" xfId="17749" xr:uid="{00000000-0005-0000-0000-0000DF680000}"/>
    <cellStyle name="Output 18 8 2" xfId="17750" xr:uid="{00000000-0005-0000-0000-0000E0680000}"/>
    <cellStyle name="Output 18 8 3" xfId="32546" xr:uid="{00000000-0005-0000-0000-0000E1680000}"/>
    <cellStyle name="Output 18 8 4" xfId="32547" xr:uid="{00000000-0005-0000-0000-0000E2680000}"/>
    <cellStyle name="Output 18 9" xfId="17751" xr:uid="{00000000-0005-0000-0000-0000E3680000}"/>
    <cellStyle name="Output 18 9 2" xfId="17752" xr:uid="{00000000-0005-0000-0000-0000E4680000}"/>
    <cellStyle name="Output 18 9 3" xfId="32548" xr:uid="{00000000-0005-0000-0000-0000E5680000}"/>
    <cellStyle name="Output 18 9 4" xfId="32549" xr:uid="{00000000-0005-0000-0000-0000E6680000}"/>
    <cellStyle name="Output 19" xfId="17753" xr:uid="{00000000-0005-0000-0000-0000E7680000}"/>
    <cellStyle name="Output 19 10" xfId="17754" xr:uid="{00000000-0005-0000-0000-0000E8680000}"/>
    <cellStyle name="Output 19 10 2" xfId="17755" xr:uid="{00000000-0005-0000-0000-0000E9680000}"/>
    <cellStyle name="Output 19 10 3" xfId="32550" xr:uid="{00000000-0005-0000-0000-0000EA680000}"/>
    <cellStyle name="Output 19 10 4" xfId="32551" xr:uid="{00000000-0005-0000-0000-0000EB680000}"/>
    <cellStyle name="Output 19 11" xfId="17756" xr:uid="{00000000-0005-0000-0000-0000EC680000}"/>
    <cellStyle name="Output 19 11 2" xfId="17757" xr:uid="{00000000-0005-0000-0000-0000ED680000}"/>
    <cellStyle name="Output 19 11 3" xfId="32552" xr:uid="{00000000-0005-0000-0000-0000EE680000}"/>
    <cellStyle name="Output 19 11 4" xfId="32553" xr:uid="{00000000-0005-0000-0000-0000EF680000}"/>
    <cellStyle name="Output 19 12" xfId="17758" xr:uid="{00000000-0005-0000-0000-0000F0680000}"/>
    <cellStyle name="Output 19 13" xfId="32554" xr:uid="{00000000-0005-0000-0000-0000F1680000}"/>
    <cellStyle name="Output 19 14" xfId="32555" xr:uid="{00000000-0005-0000-0000-0000F2680000}"/>
    <cellStyle name="Output 19 2" xfId="17759" xr:uid="{00000000-0005-0000-0000-0000F3680000}"/>
    <cellStyle name="Output 19 2 10" xfId="32556" xr:uid="{00000000-0005-0000-0000-0000F4680000}"/>
    <cellStyle name="Output 19 2 2" xfId="17760" xr:uid="{00000000-0005-0000-0000-0000F5680000}"/>
    <cellStyle name="Output 19 2 2 2" xfId="17761" xr:uid="{00000000-0005-0000-0000-0000F6680000}"/>
    <cellStyle name="Output 19 2 2 3" xfId="32557" xr:uid="{00000000-0005-0000-0000-0000F7680000}"/>
    <cellStyle name="Output 19 2 2 4" xfId="32558" xr:uid="{00000000-0005-0000-0000-0000F8680000}"/>
    <cellStyle name="Output 19 2 3" xfId="17762" xr:uid="{00000000-0005-0000-0000-0000F9680000}"/>
    <cellStyle name="Output 19 2 3 2" xfId="17763" xr:uid="{00000000-0005-0000-0000-0000FA680000}"/>
    <cellStyle name="Output 19 2 3 3" xfId="32559" xr:uid="{00000000-0005-0000-0000-0000FB680000}"/>
    <cellStyle name="Output 19 2 3 4" xfId="32560" xr:uid="{00000000-0005-0000-0000-0000FC680000}"/>
    <cellStyle name="Output 19 2 4" xfId="17764" xr:uid="{00000000-0005-0000-0000-0000FD680000}"/>
    <cellStyle name="Output 19 2 4 2" xfId="17765" xr:uid="{00000000-0005-0000-0000-0000FE680000}"/>
    <cellStyle name="Output 19 2 4 3" xfId="32561" xr:uid="{00000000-0005-0000-0000-0000FF680000}"/>
    <cellStyle name="Output 19 2 4 4" xfId="32562" xr:uid="{00000000-0005-0000-0000-000000690000}"/>
    <cellStyle name="Output 19 2 5" xfId="17766" xr:uid="{00000000-0005-0000-0000-000001690000}"/>
    <cellStyle name="Output 19 2 5 2" xfId="17767" xr:uid="{00000000-0005-0000-0000-000002690000}"/>
    <cellStyle name="Output 19 2 5 3" xfId="32563" xr:uid="{00000000-0005-0000-0000-000003690000}"/>
    <cellStyle name="Output 19 2 5 4" xfId="32564" xr:uid="{00000000-0005-0000-0000-000004690000}"/>
    <cellStyle name="Output 19 2 6" xfId="17768" xr:uid="{00000000-0005-0000-0000-000005690000}"/>
    <cellStyle name="Output 19 2 6 2" xfId="17769" xr:uid="{00000000-0005-0000-0000-000006690000}"/>
    <cellStyle name="Output 19 2 6 3" xfId="32565" xr:uid="{00000000-0005-0000-0000-000007690000}"/>
    <cellStyle name="Output 19 2 6 4" xfId="32566" xr:uid="{00000000-0005-0000-0000-000008690000}"/>
    <cellStyle name="Output 19 2 7" xfId="17770" xr:uid="{00000000-0005-0000-0000-000009690000}"/>
    <cellStyle name="Output 19 2 7 2" xfId="17771" xr:uid="{00000000-0005-0000-0000-00000A690000}"/>
    <cellStyle name="Output 19 2 7 3" xfId="32567" xr:uid="{00000000-0005-0000-0000-00000B690000}"/>
    <cellStyle name="Output 19 2 7 4" xfId="32568" xr:uid="{00000000-0005-0000-0000-00000C690000}"/>
    <cellStyle name="Output 19 2 8" xfId="17772" xr:uid="{00000000-0005-0000-0000-00000D690000}"/>
    <cellStyle name="Output 19 2 9" xfId="32569" xr:uid="{00000000-0005-0000-0000-00000E690000}"/>
    <cellStyle name="Output 19 3" xfId="17773" xr:uid="{00000000-0005-0000-0000-00000F690000}"/>
    <cellStyle name="Output 19 3 10" xfId="32570" xr:uid="{00000000-0005-0000-0000-000010690000}"/>
    <cellStyle name="Output 19 3 2" xfId="17774" xr:uid="{00000000-0005-0000-0000-000011690000}"/>
    <cellStyle name="Output 19 3 2 2" xfId="17775" xr:uid="{00000000-0005-0000-0000-000012690000}"/>
    <cellStyle name="Output 19 3 2 3" xfId="32571" xr:uid="{00000000-0005-0000-0000-000013690000}"/>
    <cellStyle name="Output 19 3 2 4" xfId="32572" xr:uid="{00000000-0005-0000-0000-000014690000}"/>
    <cellStyle name="Output 19 3 3" xfId="17776" xr:uid="{00000000-0005-0000-0000-000015690000}"/>
    <cellStyle name="Output 19 3 3 2" xfId="17777" xr:uid="{00000000-0005-0000-0000-000016690000}"/>
    <cellStyle name="Output 19 3 3 3" xfId="32573" xr:uid="{00000000-0005-0000-0000-000017690000}"/>
    <cellStyle name="Output 19 3 3 4" xfId="32574" xr:uid="{00000000-0005-0000-0000-000018690000}"/>
    <cellStyle name="Output 19 3 4" xfId="17778" xr:uid="{00000000-0005-0000-0000-000019690000}"/>
    <cellStyle name="Output 19 3 4 2" xfId="17779" xr:uid="{00000000-0005-0000-0000-00001A690000}"/>
    <cellStyle name="Output 19 3 4 3" xfId="32575" xr:uid="{00000000-0005-0000-0000-00001B690000}"/>
    <cellStyle name="Output 19 3 4 4" xfId="32576" xr:uid="{00000000-0005-0000-0000-00001C690000}"/>
    <cellStyle name="Output 19 3 5" xfId="17780" xr:uid="{00000000-0005-0000-0000-00001D690000}"/>
    <cellStyle name="Output 19 3 5 2" xfId="17781" xr:uid="{00000000-0005-0000-0000-00001E690000}"/>
    <cellStyle name="Output 19 3 5 3" xfId="32577" xr:uid="{00000000-0005-0000-0000-00001F690000}"/>
    <cellStyle name="Output 19 3 5 4" xfId="32578" xr:uid="{00000000-0005-0000-0000-000020690000}"/>
    <cellStyle name="Output 19 3 6" xfId="17782" xr:uid="{00000000-0005-0000-0000-000021690000}"/>
    <cellStyle name="Output 19 3 6 2" xfId="17783" xr:uid="{00000000-0005-0000-0000-000022690000}"/>
    <cellStyle name="Output 19 3 6 3" xfId="32579" xr:uid="{00000000-0005-0000-0000-000023690000}"/>
    <cellStyle name="Output 19 3 6 4" xfId="32580" xr:uid="{00000000-0005-0000-0000-000024690000}"/>
    <cellStyle name="Output 19 3 7" xfId="17784" xr:uid="{00000000-0005-0000-0000-000025690000}"/>
    <cellStyle name="Output 19 3 7 2" xfId="17785" xr:uid="{00000000-0005-0000-0000-000026690000}"/>
    <cellStyle name="Output 19 3 7 3" xfId="32581" xr:uid="{00000000-0005-0000-0000-000027690000}"/>
    <cellStyle name="Output 19 3 7 4" xfId="32582" xr:uid="{00000000-0005-0000-0000-000028690000}"/>
    <cellStyle name="Output 19 3 8" xfId="17786" xr:uid="{00000000-0005-0000-0000-000029690000}"/>
    <cellStyle name="Output 19 3 9" xfId="32583" xr:uid="{00000000-0005-0000-0000-00002A690000}"/>
    <cellStyle name="Output 19 4" xfId="17787" xr:uid="{00000000-0005-0000-0000-00002B690000}"/>
    <cellStyle name="Output 19 4 10" xfId="32584" xr:uid="{00000000-0005-0000-0000-00002C690000}"/>
    <cellStyle name="Output 19 4 2" xfId="17788" xr:uid="{00000000-0005-0000-0000-00002D690000}"/>
    <cellStyle name="Output 19 4 2 2" xfId="17789" xr:uid="{00000000-0005-0000-0000-00002E690000}"/>
    <cellStyle name="Output 19 4 2 3" xfId="32585" xr:uid="{00000000-0005-0000-0000-00002F690000}"/>
    <cellStyle name="Output 19 4 2 4" xfId="32586" xr:uid="{00000000-0005-0000-0000-000030690000}"/>
    <cellStyle name="Output 19 4 3" xfId="17790" xr:uid="{00000000-0005-0000-0000-000031690000}"/>
    <cellStyle name="Output 19 4 3 2" xfId="17791" xr:uid="{00000000-0005-0000-0000-000032690000}"/>
    <cellStyle name="Output 19 4 3 3" xfId="32587" xr:uid="{00000000-0005-0000-0000-000033690000}"/>
    <cellStyle name="Output 19 4 3 4" xfId="32588" xr:uid="{00000000-0005-0000-0000-000034690000}"/>
    <cellStyle name="Output 19 4 4" xfId="17792" xr:uid="{00000000-0005-0000-0000-000035690000}"/>
    <cellStyle name="Output 19 4 4 2" xfId="17793" xr:uid="{00000000-0005-0000-0000-000036690000}"/>
    <cellStyle name="Output 19 4 4 3" xfId="32589" xr:uid="{00000000-0005-0000-0000-000037690000}"/>
    <cellStyle name="Output 19 4 4 4" xfId="32590" xr:uid="{00000000-0005-0000-0000-000038690000}"/>
    <cellStyle name="Output 19 4 5" xfId="17794" xr:uid="{00000000-0005-0000-0000-000039690000}"/>
    <cellStyle name="Output 19 4 5 2" xfId="17795" xr:uid="{00000000-0005-0000-0000-00003A690000}"/>
    <cellStyle name="Output 19 4 5 3" xfId="32591" xr:uid="{00000000-0005-0000-0000-00003B690000}"/>
    <cellStyle name="Output 19 4 5 4" xfId="32592" xr:uid="{00000000-0005-0000-0000-00003C690000}"/>
    <cellStyle name="Output 19 4 6" xfId="17796" xr:uid="{00000000-0005-0000-0000-00003D690000}"/>
    <cellStyle name="Output 19 4 6 2" xfId="17797" xr:uid="{00000000-0005-0000-0000-00003E690000}"/>
    <cellStyle name="Output 19 4 6 3" xfId="32593" xr:uid="{00000000-0005-0000-0000-00003F690000}"/>
    <cellStyle name="Output 19 4 6 4" xfId="32594" xr:uid="{00000000-0005-0000-0000-000040690000}"/>
    <cellStyle name="Output 19 4 7" xfId="17798" xr:uid="{00000000-0005-0000-0000-000041690000}"/>
    <cellStyle name="Output 19 4 7 2" xfId="17799" xr:uid="{00000000-0005-0000-0000-000042690000}"/>
    <cellStyle name="Output 19 4 7 3" xfId="32595" xr:uid="{00000000-0005-0000-0000-000043690000}"/>
    <cellStyle name="Output 19 4 7 4" xfId="32596" xr:uid="{00000000-0005-0000-0000-000044690000}"/>
    <cellStyle name="Output 19 4 8" xfId="17800" xr:uid="{00000000-0005-0000-0000-000045690000}"/>
    <cellStyle name="Output 19 4 9" xfId="32597" xr:uid="{00000000-0005-0000-0000-000046690000}"/>
    <cellStyle name="Output 19 5" xfId="17801" xr:uid="{00000000-0005-0000-0000-000047690000}"/>
    <cellStyle name="Output 19 5 10" xfId="32598" xr:uid="{00000000-0005-0000-0000-000048690000}"/>
    <cellStyle name="Output 19 5 2" xfId="17802" xr:uid="{00000000-0005-0000-0000-000049690000}"/>
    <cellStyle name="Output 19 5 2 2" xfId="17803" xr:uid="{00000000-0005-0000-0000-00004A690000}"/>
    <cellStyle name="Output 19 5 2 3" xfId="32599" xr:uid="{00000000-0005-0000-0000-00004B690000}"/>
    <cellStyle name="Output 19 5 2 4" xfId="32600" xr:uid="{00000000-0005-0000-0000-00004C690000}"/>
    <cellStyle name="Output 19 5 3" xfId="17804" xr:uid="{00000000-0005-0000-0000-00004D690000}"/>
    <cellStyle name="Output 19 5 3 2" xfId="17805" xr:uid="{00000000-0005-0000-0000-00004E690000}"/>
    <cellStyle name="Output 19 5 3 3" xfId="32601" xr:uid="{00000000-0005-0000-0000-00004F690000}"/>
    <cellStyle name="Output 19 5 3 4" xfId="32602" xr:uid="{00000000-0005-0000-0000-000050690000}"/>
    <cellStyle name="Output 19 5 4" xfId="17806" xr:uid="{00000000-0005-0000-0000-000051690000}"/>
    <cellStyle name="Output 19 5 4 2" xfId="17807" xr:uid="{00000000-0005-0000-0000-000052690000}"/>
    <cellStyle name="Output 19 5 4 3" xfId="32603" xr:uid="{00000000-0005-0000-0000-000053690000}"/>
    <cellStyle name="Output 19 5 4 4" xfId="32604" xr:uid="{00000000-0005-0000-0000-000054690000}"/>
    <cellStyle name="Output 19 5 5" xfId="17808" xr:uid="{00000000-0005-0000-0000-000055690000}"/>
    <cellStyle name="Output 19 5 5 2" xfId="17809" xr:uid="{00000000-0005-0000-0000-000056690000}"/>
    <cellStyle name="Output 19 5 5 3" xfId="32605" xr:uid="{00000000-0005-0000-0000-000057690000}"/>
    <cellStyle name="Output 19 5 5 4" xfId="32606" xr:uid="{00000000-0005-0000-0000-000058690000}"/>
    <cellStyle name="Output 19 5 6" xfId="17810" xr:uid="{00000000-0005-0000-0000-000059690000}"/>
    <cellStyle name="Output 19 5 6 2" xfId="17811" xr:uid="{00000000-0005-0000-0000-00005A690000}"/>
    <cellStyle name="Output 19 5 6 3" xfId="32607" xr:uid="{00000000-0005-0000-0000-00005B690000}"/>
    <cellStyle name="Output 19 5 6 4" xfId="32608" xr:uid="{00000000-0005-0000-0000-00005C690000}"/>
    <cellStyle name="Output 19 5 7" xfId="17812" xr:uid="{00000000-0005-0000-0000-00005D690000}"/>
    <cellStyle name="Output 19 5 7 2" xfId="17813" xr:uid="{00000000-0005-0000-0000-00005E690000}"/>
    <cellStyle name="Output 19 5 7 3" xfId="32609" xr:uid="{00000000-0005-0000-0000-00005F690000}"/>
    <cellStyle name="Output 19 5 7 4" xfId="32610" xr:uid="{00000000-0005-0000-0000-000060690000}"/>
    <cellStyle name="Output 19 5 8" xfId="17814" xr:uid="{00000000-0005-0000-0000-000061690000}"/>
    <cellStyle name="Output 19 5 9" xfId="32611" xr:uid="{00000000-0005-0000-0000-000062690000}"/>
    <cellStyle name="Output 19 6" xfId="17815" xr:uid="{00000000-0005-0000-0000-000063690000}"/>
    <cellStyle name="Output 19 6 2" xfId="17816" xr:uid="{00000000-0005-0000-0000-000064690000}"/>
    <cellStyle name="Output 19 6 3" xfId="32612" xr:uid="{00000000-0005-0000-0000-000065690000}"/>
    <cellStyle name="Output 19 6 4" xfId="32613" xr:uid="{00000000-0005-0000-0000-000066690000}"/>
    <cellStyle name="Output 19 7" xfId="17817" xr:uid="{00000000-0005-0000-0000-000067690000}"/>
    <cellStyle name="Output 19 7 2" xfId="17818" xr:uid="{00000000-0005-0000-0000-000068690000}"/>
    <cellStyle name="Output 19 7 3" xfId="32614" xr:uid="{00000000-0005-0000-0000-000069690000}"/>
    <cellStyle name="Output 19 7 4" xfId="32615" xr:uid="{00000000-0005-0000-0000-00006A690000}"/>
    <cellStyle name="Output 19 8" xfId="17819" xr:uid="{00000000-0005-0000-0000-00006B690000}"/>
    <cellStyle name="Output 19 8 2" xfId="17820" xr:uid="{00000000-0005-0000-0000-00006C690000}"/>
    <cellStyle name="Output 19 8 3" xfId="32616" xr:uid="{00000000-0005-0000-0000-00006D690000}"/>
    <cellStyle name="Output 19 8 4" xfId="32617" xr:uid="{00000000-0005-0000-0000-00006E690000}"/>
    <cellStyle name="Output 19 9" xfId="17821" xr:uid="{00000000-0005-0000-0000-00006F690000}"/>
    <cellStyle name="Output 19 9 2" xfId="17822" xr:uid="{00000000-0005-0000-0000-000070690000}"/>
    <cellStyle name="Output 19 9 3" xfId="32618" xr:uid="{00000000-0005-0000-0000-000071690000}"/>
    <cellStyle name="Output 19 9 4" xfId="32619" xr:uid="{00000000-0005-0000-0000-000072690000}"/>
    <cellStyle name="Output 2" xfId="17823" xr:uid="{00000000-0005-0000-0000-000073690000}"/>
    <cellStyle name="Output 2 10" xfId="17824" xr:uid="{00000000-0005-0000-0000-000074690000}"/>
    <cellStyle name="Output 2 10 2" xfId="17825" xr:uid="{00000000-0005-0000-0000-000075690000}"/>
    <cellStyle name="Output 2 10 3" xfId="32620" xr:uid="{00000000-0005-0000-0000-000076690000}"/>
    <cellStyle name="Output 2 10 4" xfId="32621" xr:uid="{00000000-0005-0000-0000-000077690000}"/>
    <cellStyle name="Output 2 11" xfId="17826" xr:uid="{00000000-0005-0000-0000-000078690000}"/>
    <cellStyle name="Output 2 11 2" xfId="17827" xr:uid="{00000000-0005-0000-0000-000079690000}"/>
    <cellStyle name="Output 2 11 3" xfId="32622" xr:uid="{00000000-0005-0000-0000-00007A690000}"/>
    <cellStyle name="Output 2 11 4" xfId="32623" xr:uid="{00000000-0005-0000-0000-00007B690000}"/>
    <cellStyle name="Output 2 12" xfId="17828" xr:uid="{00000000-0005-0000-0000-00007C690000}"/>
    <cellStyle name="Output 2 12 2" xfId="17829" xr:uid="{00000000-0005-0000-0000-00007D690000}"/>
    <cellStyle name="Output 2 12 3" xfId="32624" xr:uid="{00000000-0005-0000-0000-00007E690000}"/>
    <cellStyle name="Output 2 13" xfId="17830" xr:uid="{00000000-0005-0000-0000-00007F690000}"/>
    <cellStyle name="Output 2 14" xfId="32625" xr:uid="{00000000-0005-0000-0000-000080690000}"/>
    <cellStyle name="Output 2 15" xfId="32626" xr:uid="{00000000-0005-0000-0000-000081690000}"/>
    <cellStyle name="Output 2 16" xfId="32627" xr:uid="{00000000-0005-0000-0000-000082690000}"/>
    <cellStyle name="Output 2 2" xfId="17831" xr:uid="{00000000-0005-0000-0000-000083690000}"/>
    <cellStyle name="Output 2 2 10" xfId="32628" xr:uid="{00000000-0005-0000-0000-000084690000}"/>
    <cellStyle name="Output 2 2 2" xfId="17832" xr:uid="{00000000-0005-0000-0000-000085690000}"/>
    <cellStyle name="Output 2 2 2 2" xfId="17833" xr:uid="{00000000-0005-0000-0000-000086690000}"/>
    <cellStyle name="Output 2 2 2 3" xfId="32629" xr:uid="{00000000-0005-0000-0000-000087690000}"/>
    <cellStyle name="Output 2 2 2 4" xfId="32630" xr:uid="{00000000-0005-0000-0000-000088690000}"/>
    <cellStyle name="Output 2 2 3" xfId="17834" xr:uid="{00000000-0005-0000-0000-000089690000}"/>
    <cellStyle name="Output 2 2 3 2" xfId="17835" xr:uid="{00000000-0005-0000-0000-00008A690000}"/>
    <cellStyle name="Output 2 2 3 3" xfId="32631" xr:uid="{00000000-0005-0000-0000-00008B690000}"/>
    <cellStyle name="Output 2 2 3 4" xfId="32632" xr:uid="{00000000-0005-0000-0000-00008C690000}"/>
    <cellStyle name="Output 2 2 4" xfId="17836" xr:uid="{00000000-0005-0000-0000-00008D690000}"/>
    <cellStyle name="Output 2 2 4 2" xfId="17837" xr:uid="{00000000-0005-0000-0000-00008E690000}"/>
    <cellStyle name="Output 2 2 4 3" xfId="32633" xr:uid="{00000000-0005-0000-0000-00008F690000}"/>
    <cellStyle name="Output 2 2 4 4" xfId="32634" xr:uid="{00000000-0005-0000-0000-000090690000}"/>
    <cellStyle name="Output 2 2 5" xfId="17838" xr:uid="{00000000-0005-0000-0000-000091690000}"/>
    <cellStyle name="Output 2 2 5 2" xfId="17839" xr:uid="{00000000-0005-0000-0000-000092690000}"/>
    <cellStyle name="Output 2 2 5 3" xfId="32635" xr:uid="{00000000-0005-0000-0000-000093690000}"/>
    <cellStyle name="Output 2 2 5 4" xfId="32636" xr:uid="{00000000-0005-0000-0000-000094690000}"/>
    <cellStyle name="Output 2 2 6" xfId="17840" xr:uid="{00000000-0005-0000-0000-000095690000}"/>
    <cellStyle name="Output 2 2 6 2" xfId="17841" xr:uid="{00000000-0005-0000-0000-000096690000}"/>
    <cellStyle name="Output 2 2 6 3" xfId="32637" xr:uid="{00000000-0005-0000-0000-000097690000}"/>
    <cellStyle name="Output 2 2 6 4" xfId="32638" xr:uid="{00000000-0005-0000-0000-000098690000}"/>
    <cellStyle name="Output 2 2 7" xfId="17842" xr:uid="{00000000-0005-0000-0000-000099690000}"/>
    <cellStyle name="Output 2 2 7 2" xfId="17843" xr:uid="{00000000-0005-0000-0000-00009A690000}"/>
    <cellStyle name="Output 2 2 7 3" xfId="32639" xr:uid="{00000000-0005-0000-0000-00009B690000}"/>
    <cellStyle name="Output 2 2 7 4" xfId="32640" xr:uid="{00000000-0005-0000-0000-00009C690000}"/>
    <cellStyle name="Output 2 2 8" xfId="17844" xr:uid="{00000000-0005-0000-0000-00009D690000}"/>
    <cellStyle name="Output 2 2 9" xfId="32641" xr:uid="{00000000-0005-0000-0000-00009E690000}"/>
    <cellStyle name="Output 2 3" xfId="17845" xr:uid="{00000000-0005-0000-0000-00009F690000}"/>
    <cellStyle name="Output 2 3 10" xfId="32642" xr:uid="{00000000-0005-0000-0000-0000A0690000}"/>
    <cellStyle name="Output 2 3 2" xfId="17846" xr:uid="{00000000-0005-0000-0000-0000A1690000}"/>
    <cellStyle name="Output 2 3 2 2" xfId="17847" xr:uid="{00000000-0005-0000-0000-0000A2690000}"/>
    <cellStyle name="Output 2 3 2 3" xfId="32643" xr:uid="{00000000-0005-0000-0000-0000A3690000}"/>
    <cellStyle name="Output 2 3 2 4" xfId="32644" xr:uid="{00000000-0005-0000-0000-0000A4690000}"/>
    <cellStyle name="Output 2 3 3" xfId="17848" xr:uid="{00000000-0005-0000-0000-0000A5690000}"/>
    <cellStyle name="Output 2 3 3 2" xfId="17849" xr:uid="{00000000-0005-0000-0000-0000A6690000}"/>
    <cellStyle name="Output 2 3 3 3" xfId="32645" xr:uid="{00000000-0005-0000-0000-0000A7690000}"/>
    <cellStyle name="Output 2 3 3 4" xfId="32646" xr:uid="{00000000-0005-0000-0000-0000A8690000}"/>
    <cellStyle name="Output 2 3 4" xfId="17850" xr:uid="{00000000-0005-0000-0000-0000A9690000}"/>
    <cellStyle name="Output 2 3 4 2" xfId="17851" xr:uid="{00000000-0005-0000-0000-0000AA690000}"/>
    <cellStyle name="Output 2 3 4 3" xfId="32647" xr:uid="{00000000-0005-0000-0000-0000AB690000}"/>
    <cellStyle name="Output 2 3 4 4" xfId="32648" xr:uid="{00000000-0005-0000-0000-0000AC690000}"/>
    <cellStyle name="Output 2 3 5" xfId="17852" xr:uid="{00000000-0005-0000-0000-0000AD690000}"/>
    <cellStyle name="Output 2 3 5 2" xfId="17853" xr:uid="{00000000-0005-0000-0000-0000AE690000}"/>
    <cellStyle name="Output 2 3 5 3" xfId="32649" xr:uid="{00000000-0005-0000-0000-0000AF690000}"/>
    <cellStyle name="Output 2 3 5 4" xfId="32650" xr:uid="{00000000-0005-0000-0000-0000B0690000}"/>
    <cellStyle name="Output 2 3 6" xfId="17854" xr:uid="{00000000-0005-0000-0000-0000B1690000}"/>
    <cellStyle name="Output 2 3 6 2" xfId="17855" xr:uid="{00000000-0005-0000-0000-0000B2690000}"/>
    <cellStyle name="Output 2 3 6 3" xfId="32651" xr:uid="{00000000-0005-0000-0000-0000B3690000}"/>
    <cellStyle name="Output 2 3 6 4" xfId="32652" xr:uid="{00000000-0005-0000-0000-0000B4690000}"/>
    <cellStyle name="Output 2 3 7" xfId="17856" xr:uid="{00000000-0005-0000-0000-0000B5690000}"/>
    <cellStyle name="Output 2 3 7 2" xfId="17857" xr:uid="{00000000-0005-0000-0000-0000B6690000}"/>
    <cellStyle name="Output 2 3 7 3" xfId="32653" xr:uid="{00000000-0005-0000-0000-0000B7690000}"/>
    <cellStyle name="Output 2 3 7 4" xfId="32654" xr:uid="{00000000-0005-0000-0000-0000B8690000}"/>
    <cellStyle name="Output 2 3 8" xfId="17858" xr:uid="{00000000-0005-0000-0000-0000B9690000}"/>
    <cellStyle name="Output 2 3 9" xfId="32655" xr:uid="{00000000-0005-0000-0000-0000BA690000}"/>
    <cellStyle name="Output 2 4" xfId="17859" xr:uid="{00000000-0005-0000-0000-0000BB690000}"/>
    <cellStyle name="Output 2 4 10" xfId="32656" xr:uid="{00000000-0005-0000-0000-0000BC690000}"/>
    <cellStyle name="Output 2 4 2" xfId="17860" xr:uid="{00000000-0005-0000-0000-0000BD690000}"/>
    <cellStyle name="Output 2 4 2 2" xfId="17861" xr:uid="{00000000-0005-0000-0000-0000BE690000}"/>
    <cellStyle name="Output 2 4 2 3" xfId="32657" xr:uid="{00000000-0005-0000-0000-0000BF690000}"/>
    <cellStyle name="Output 2 4 2 4" xfId="32658" xr:uid="{00000000-0005-0000-0000-0000C0690000}"/>
    <cellStyle name="Output 2 4 3" xfId="17862" xr:uid="{00000000-0005-0000-0000-0000C1690000}"/>
    <cellStyle name="Output 2 4 3 2" xfId="17863" xr:uid="{00000000-0005-0000-0000-0000C2690000}"/>
    <cellStyle name="Output 2 4 3 3" xfId="32659" xr:uid="{00000000-0005-0000-0000-0000C3690000}"/>
    <cellStyle name="Output 2 4 3 4" xfId="32660" xr:uid="{00000000-0005-0000-0000-0000C4690000}"/>
    <cellStyle name="Output 2 4 4" xfId="17864" xr:uid="{00000000-0005-0000-0000-0000C5690000}"/>
    <cellStyle name="Output 2 4 4 2" xfId="17865" xr:uid="{00000000-0005-0000-0000-0000C6690000}"/>
    <cellStyle name="Output 2 4 4 3" xfId="32661" xr:uid="{00000000-0005-0000-0000-0000C7690000}"/>
    <cellStyle name="Output 2 4 4 4" xfId="32662" xr:uid="{00000000-0005-0000-0000-0000C8690000}"/>
    <cellStyle name="Output 2 4 5" xfId="17866" xr:uid="{00000000-0005-0000-0000-0000C9690000}"/>
    <cellStyle name="Output 2 4 5 2" xfId="17867" xr:uid="{00000000-0005-0000-0000-0000CA690000}"/>
    <cellStyle name="Output 2 4 5 3" xfId="32663" xr:uid="{00000000-0005-0000-0000-0000CB690000}"/>
    <cellStyle name="Output 2 4 5 4" xfId="32664" xr:uid="{00000000-0005-0000-0000-0000CC690000}"/>
    <cellStyle name="Output 2 4 6" xfId="17868" xr:uid="{00000000-0005-0000-0000-0000CD690000}"/>
    <cellStyle name="Output 2 4 6 2" xfId="17869" xr:uid="{00000000-0005-0000-0000-0000CE690000}"/>
    <cellStyle name="Output 2 4 6 3" xfId="32665" xr:uid="{00000000-0005-0000-0000-0000CF690000}"/>
    <cellStyle name="Output 2 4 6 4" xfId="32666" xr:uid="{00000000-0005-0000-0000-0000D0690000}"/>
    <cellStyle name="Output 2 4 7" xfId="17870" xr:uid="{00000000-0005-0000-0000-0000D1690000}"/>
    <cellStyle name="Output 2 4 7 2" xfId="17871" xr:uid="{00000000-0005-0000-0000-0000D2690000}"/>
    <cellStyle name="Output 2 4 7 3" xfId="32667" xr:uid="{00000000-0005-0000-0000-0000D3690000}"/>
    <cellStyle name="Output 2 4 7 4" xfId="32668" xr:uid="{00000000-0005-0000-0000-0000D4690000}"/>
    <cellStyle name="Output 2 4 8" xfId="17872" xr:uid="{00000000-0005-0000-0000-0000D5690000}"/>
    <cellStyle name="Output 2 4 9" xfId="32669" xr:uid="{00000000-0005-0000-0000-0000D6690000}"/>
    <cellStyle name="Output 2 5" xfId="17873" xr:uid="{00000000-0005-0000-0000-0000D7690000}"/>
    <cellStyle name="Output 2 5 10" xfId="32670" xr:uid="{00000000-0005-0000-0000-0000D8690000}"/>
    <cellStyle name="Output 2 5 2" xfId="17874" xr:uid="{00000000-0005-0000-0000-0000D9690000}"/>
    <cellStyle name="Output 2 5 2 2" xfId="17875" xr:uid="{00000000-0005-0000-0000-0000DA690000}"/>
    <cellStyle name="Output 2 5 2 3" xfId="32671" xr:uid="{00000000-0005-0000-0000-0000DB690000}"/>
    <cellStyle name="Output 2 5 2 4" xfId="32672" xr:uid="{00000000-0005-0000-0000-0000DC690000}"/>
    <cellStyle name="Output 2 5 3" xfId="17876" xr:uid="{00000000-0005-0000-0000-0000DD690000}"/>
    <cellStyle name="Output 2 5 3 2" xfId="17877" xr:uid="{00000000-0005-0000-0000-0000DE690000}"/>
    <cellStyle name="Output 2 5 3 3" xfId="32673" xr:uid="{00000000-0005-0000-0000-0000DF690000}"/>
    <cellStyle name="Output 2 5 3 4" xfId="32674" xr:uid="{00000000-0005-0000-0000-0000E0690000}"/>
    <cellStyle name="Output 2 5 4" xfId="17878" xr:uid="{00000000-0005-0000-0000-0000E1690000}"/>
    <cellStyle name="Output 2 5 4 2" xfId="17879" xr:uid="{00000000-0005-0000-0000-0000E2690000}"/>
    <cellStyle name="Output 2 5 4 3" xfId="32675" xr:uid="{00000000-0005-0000-0000-0000E3690000}"/>
    <cellStyle name="Output 2 5 4 4" xfId="32676" xr:uid="{00000000-0005-0000-0000-0000E4690000}"/>
    <cellStyle name="Output 2 5 5" xfId="17880" xr:uid="{00000000-0005-0000-0000-0000E5690000}"/>
    <cellStyle name="Output 2 5 5 2" xfId="17881" xr:uid="{00000000-0005-0000-0000-0000E6690000}"/>
    <cellStyle name="Output 2 5 5 3" xfId="32677" xr:uid="{00000000-0005-0000-0000-0000E7690000}"/>
    <cellStyle name="Output 2 5 5 4" xfId="32678" xr:uid="{00000000-0005-0000-0000-0000E8690000}"/>
    <cellStyle name="Output 2 5 6" xfId="17882" xr:uid="{00000000-0005-0000-0000-0000E9690000}"/>
    <cellStyle name="Output 2 5 6 2" xfId="17883" xr:uid="{00000000-0005-0000-0000-0000EA690000}"/>
    <cellStyle name="Output 2 5 6 3" xfId="32679" xr:uid="{00000000-0005-0000-0000-0000EB690000}"/>
    <cellStyle name="Output 2 5 6 4" xfId="32680" xr:uid="{00000000-0005-0000-0000-0000EC690000}"/>
    <cellStyle name="Output 2 5 7" xfId="17884" xr:uid="{00000000-0005-0000-0000-0000ED690000}"/>
    <cellStyle name="Output 2 5 7 2" xfId="17885" xr:uid="{00000000-0005-0000-0000-0000EE690000}"/>
    <cellStyle name="Output 2 5 7 3" xfId="32681" xr:uid="{00000000-0005-0000-0000-0000EF690000}"/>
    <cellStyle name="Output 2 5 7 4" xfId="32682" xr:uid="{00000000-0005-0000-0000-0000F0690000}"/>
    <cellStyle name="Output 2 5 8" xfId="17886" xr:uid="{00000000-0005-0000-0000-0000F1690000}"/>
    <cellStyle name="Output 2 5 9" xfId="32683" xr:uid="{00000000-0005-0000-0000-0000F2690000}"/>
    <cellStyle name="Output 2 6" xfId="17887" xr:uid="{00000000-0005-0000-0000-0000F3690000}"/>
    <cellStyle name="Output 2 6 2" xfId="17888" xr:uid="{00000000-0005-0000-0000-0000F4690000}"/>
    <cellStyle name="Output 2 6 3" xfId="32684" xr:uid="{00000000-0005-0000-0000-0000F5690000}"/>
    <cellStyle name="Output 2 6 4" xfId="32685" xr:uid="{00000000-0005-0000-0000-0000F6690000}"/>
    <cellStyle name="Output 2 7" xfId="17889" xr:uid="{00000000-0005-0000-0000-0000F7690000}"/>
    <cellStyle name="Output 2 7 2" xfId="17890" xr:uid="{00000000-0005-0000-0000-0000F8690000}"/>
    <cellStyle name="Output 2 7 3" xfId="32686" xr:uid="{00000000-0005-0000-0000-0000F9690000}"/>
    <cellStyle name="Output 2 7 4" xfId="32687" xr:uid="{00000000-0005-0000-0000-0000FA690000}"/>
    <cellStyle name="Output 2 8" xfId="17891" xr:uid="{00000000-0005-0000-0000-0000FB690000}"/>
    <cellStyle name="Output 2 8 2" xfId="17892" xr:uid="{00000000-0005-0000-0000-0000FC690000}"/>
    <cellStyle name="Output 2 8 3" xfId="32688" xr:uid="{00000000-0005-0000-0000-0000FD690000}"/>
    <cellStyle name="Output 2 8 4" xfId="32689" xr:uid="{00000000-0005-0000-0000-0000FE690000}"/>
    <cellStyle name="Output 2 9" xfId="17893" xr:uid="{00000000-0005-0000-0000-0000FF690000}"/>
    <cellStyle name="Output 2 9 2" xfId="17894" xr:uid="{00000000-0005-0000-0000-0000006A0000}"/>
    <cellStyle name="Output 2 9 3" xfId="32690" xr:uid="{00000000-0005-0000-0000-0000016A0000}"/>
    <cellStyle name="Output 2 9 4" xfId="32691" xr:uid="{00000000-0005-0000-0000-0000026A0000}"/>
    <cellStyle name="Output 20" xfId="17895" xr:uid="{00000000-0005-0000-0000-0000036A0000}"/>
    <cellStyle name="Output 20 10" xfId="17896" xr:uid="{00000000-0005-0000-0000-0000046A0000}"/>
    <cellStyle name="Output 20 10 2" xfId="17897" xr:uid="{00000000-0005-0000-0000-0000056A0000}"/>
    <cellStyle name="Output 20 10 3" xfId="32692" xr:uid="{00000000-0005-0000-0000-0000066A0000}"/>
    <cellStyle name="Output 20 10 4" xfId="32693" xr:uid="{00000000-0005-0000-0000-0000076A0000}"/>
    <cellStyle name="Output 20 11" xfId="17898" xr:uid="{00000000-0005-0000-0000-0000086A0000}"/>
    <cellStyle name="Output 20 11 2" xfId="17899" xr:uid="{00000000-0005-0000-0000-0000096A0000}"/>
    <cellStyle name="Output 20 11 3" xfId="32694" xr:uid="{00000000-0005-0000-0000-00000A6A0000}"/>
    <cellStyle name="Output 20 11 4" xfId="32695" xr:uid="{00000000-0005-0000-0000-00000B6A0000}"/>
    <cellStyle name="Output 20 12" xfId="17900" xr:uid="{00000000-0005-0000-0000-00000C6A0000}"/>
    <cellStyle name="Output 20 13" xfId="32696" xr:uid="{00000000-0005-0000-0000-00000D6A0000}"/>
    <cellStyle name="Output 20 14" xfId="32697" xr:uid="{00000000-0005-0000-0000-00000E6A0000}"/>
    <cellStyle name="Output 20 2" xfId="17901" xr:uid="{00000000-0005-0000-0000-00000F6A0000}"/>
    <cellStyle name="Output 20 2 10" xfId="32698" xr:uid="{00000000-0005-0000-0000-0000106A0000}"/>
    <cellStyle name="Output 20 2 2" xfId="17902" xr:uid="{00000000-0005-0000-0000-0000116A0000}"/>
    <cellStyle name="Output 20 2 2 2" xfId="17903" xr:uid="{00000000-0005-0000-0000-0000126A0000}"/>
    <cellStyle name="Output 20 2 2 3" xfId="32699" xr:uid="{00000000-0005-0000-0000-0000136A0000}"/>
    <cellStyle name="Output 20 2 2 4" xfId="32700" xr:uid="{00000000-0005-0000-0000-0000146A0000}"/>
    <cellStyle name="Output 20 2 3" xfId="17904" xr:uid="{00000000-0005-0000-0000-0000156A0000}"/>
    <cellStyle name="Output 20 2 3 2" xfId="17905" xr:uid="{00000000-0005-0000-0000-0000166A0000}"/>
    <cellStyle name="Output 20 2 3 3" xfId="32701" xr:uid="{00000000-0005-0000-0000-0000176A0000}"/>
    <cellStyle name="Output 20 2 3 4" xfId="32702" xr:uid="{00000000-0005-0000-0000-0000186A0000}"/>
    <cellStyle name="Output 20 2 4" xfId="17906" xr:uid="{00000000-0005-0000-0000-0000196A0000}"/>
    <cellStyle name="Output 20 2 4 2" xfId="17907" xr:uid="{00000000-0005-0000-0000-00001A6A0000}"/>
    <cellStyle name="Output 20 2 4 3" xfId="32703" xr:uid="{00000000-0005-0000-0000-00001B6A0000}"/>
    <cellStyle name="Output 20 2 4 4" xfId="32704" xr:uid="{00000000-0005-0000-0000-00001C6A0000}"/>
    <cellStyle name="Output 20 2 5" xfId="17908" xr:uid="{00000000-0005-0000-0000-00001D6A0000}"/>
    <cellStyle name="Output 20 2 5 2" xfId="17909" xr:uid="{00000000-0005-0000-0000-00001E6A0000}"/>
    <cellStyle name="Output 20 2 5 3" xfId="32705" xr:uid="{00000000-0005-0000-0000-00001F6A0000}"/>
    <cellStyle name="Output 20 2 5 4" xfId="32706" xr:uid="{00000000-0005-0000-0000-0000206A0000}"/>
    <cellStyle name="Output 20 2 6" xfId="17910" xr:uid="{00000000-0005-0000-0000-0000216A0000}"/>
    <cellStyle name="Output 20 2 6 2" xfId="17911" xr:uid="{00000000-0005-0000-0000-0000226A0000}"/>
    <cellStyle name="Output 20 2 6 3" xfId="32707" xr:uid="{00000000-0005-0000-0000-0000236A0000}"/>
    <cellStyle name="Output 20 2 6 4" xfId="32708" xr:uid="{00000000-0005-0000-0000-0000246A0000}"/>
    <cellStyle name="Output 20 2 7" xfId="17912" xr:uid="{00000000-0005-0000-0000-0000256A0000}"/>
    <cellStyle name="Output 20 2 7 2" xfId="17913" xr:uid="{00000000-0005-0000-0000-0000266A0000}"/>
    <cellStyle name="Output 20 2 7 3" xfId="32709" xr:uid="{00000000-0005-0000-0000-0000276A0000}"/>
    <cellStyle name="Output 20 2 7 4" xfId="32710" xr:uid="{00000000-0005-0000-0000-0000286A0000}"/>
    <cellStyle name="Output 20 2 8" xfId="17914" xr:uid="{00000000-0005-0000-0000-0000296A0000}"/>
    <cellStyle name="Output 20 2 9" xfId="32711" xr:uid="{00000000-0005-0000-0000-00002A6A0000}"/>
    <cellStyle name="Output 20 3" xfId="17915" xr:uid="{00000000-0005-0000-0000-00002B6A0000}"/>
    <cellStyle name="Output 20 3 10" xfId="32712" xr:uid="{00000000-0005-0000-0000-00002C6A0000}"/>
    <cellStyle name="Output 20 3 2" xfId="17916" xr:uid="{00000000-0005-0000-0000-00002D6A0000}"/>
    <cellStyle name="Output 20 3 2 2" xfId="17917" xr:uid="{00000000-0005-0000-0000-00002E6A0000}"/>
    <cellStyle name="Output 20 3 2 3" xfId="32713" xr:uid="{00000000-0005-0000-0000-00002F6A0000}"/>
    <cellStyle name="Output 20 3 2 4" xfId="32714" xr:uid="{00000000-0005-0000-0000-0000306A0000}"/>
    <cellStyle name="Output 20 3 3" xfId="17918" xr:uid="{00000000-0005-0000-0000-0000316A0000}"/>
    <cellStyle name="Output 20 3 3 2" xfId="17919" xr:uid="{00000000-0005-0000-0000-0000326A0000}"/>
    <cellStyle name="Output 20 3 3 3" xfId="32715" xr:uid="{00000000-0005-0000-0000-0000336A0000}"/>
    <cellStyle name="Output 20 3 3 4" xfId="32716" xr:uid="{00000000-0005-0000-0000-0000346A0000}"/>
    <cellStyle name="Output 20 3 4" xfId="17920" xr:uid="{00000000-0005-0000-0000-0000356A0000}"/>
    <cellStyle name="Output 20 3 4 2" xfId="17921" xr:uid="{00000000-0005-0000-0000-0000366A0000}"/>
    <cellStyle name="Output 20 3 4 3" xfId="32717" xr:uid="{00000000-0005-0000-0000-0000376A0000}"/>
    <cellStyle name="Output 20 3 4 4" xfId="32718" xr:uid="{00000000-0005-0000-0000-0000386A0000}"/>
    <cellStyle name="Output 20 3 5" xfId="17922" xr:uid="{00000000-0005-0000-0000-0000396A0000}"/>
    <cellStyle name="Output 20 3 5 2" xfId="17923" xr:uid="{00000000-0005-0000-0000-00003A6A0000}"/>
    <cellStyle name="Output 20 3 5 3" xfId="32719" xr:uid="{00000000-0005-0000-0000-00003B6A0000}"/>
    <cellStyle name="Output 20 3 5 4" xfId="32720" xr:uid="{00000000-0005-0000-0000-00003C6A0000}"/>
    <cellStyle name="Output 20 3 6" xfId="17924" xr:uid="{00000000-0005-0000-0000-00003D6A0000}"/>
    <cellStyle name="Output 20 3 6 2" xfId="17925" xr:uid="{00000000-0005-0000-0000-00003E6A0000}"/>
    <cellStyle name="Output 20 3 6 3" xfId="32721" xr:uid="{00000000-0005-0000-0000-00003F6A0000}"/>
    <cellStyle name="Output 20 3 6 4" xfId="32722" xr:uid="{00000000-0005-0000-0000-0000406A0000}"/>
    <cellStyle name="Output 20 3 7" xfId="17926" xr:uid="{00000000-0005-0000-0000-0000416A0000}"/>
    <cellStyle name="Output 20 3 7 2" xfId="17927" xr:uid="{00000000-0005-0000-0000-0000426A0000}"/>
    <cellStyle name="Output 20 3 7 3" xfId="32723" xr:uid="{00000000-0005-0000-0000-0000436A0000}"/>
    <cellStyle name="Output 20 3 7 4" xfId="32724" xr:uid="{00000000-0005-0000-0000-0000446A0000}"/>
    <cellStyle name="Output 20 3 8" xfId="17928" xr:uid="{00000000-0005-0000-0000-0000456A0000}"/>
    <cellStyle name="Output 20 3 9" xfId="32725" xr:uid="{00000000-0005-0000-0000-0000466A0000}"/>
    <cellStyle name="Output 20 4" xfId="17929" xr:uid="{00000000-0005-0000-0000-0000476A0000}"/>
    <cellStyle name="Output 20 4 10" xfId="32726" xr:uid="{00000000-0005-0000-0000-0000486A0000}"/>
    <cellStyle name="Output 20 4 2" xfId="17930" xr:uid="{00000000-0005-0000-0000-0000496A0000}"/>
    <cellStyle name="Output 20 4 2 2" xfId="17931" xr:uid="{00000000-0005-0000-0000-00004A6A0000}"/>
    <cellStyle name="Output 20 4 2 3" xfId="32727" xr:uid="{00000000-0005-0000-0000-00004B6A0000}"/>
    <cellStyle name="Output 20 4 2 4" xfId="32728" xr:uid="{00000000-0005-0000-0000-00004C6A0000}"/>
    <cellStyle name="Output 20 4 3" xfId="17932" xr:uid="{00000000-0005-0000-0000-00004D6A0000}"/>
    <cellStyle name="Output 20 4 3 2" xfId="17933" xr:uid="{00000000-0005-0000-0000-00004E6A0000}"/>
    <cellStyle name="Output 20 4 3 3" xfId="32729" xr:uid="{00000000-0005-0000-0000-00004F6A0000}"/>
    <cellStyle name="Output 20 4 3 4" xfId="32730" xr:uid="{00000000-0005-0000-0000-0000506A0000}"/>
    <cellStyle name="Output 20 4 4" xfId="17934" xr:uid="{00000000-0005-0000-0000-0000516A0000}"/>
    <cellStyle name="Output 20 4 4 2" xfId="17935" xr:uid="{00000000-0005-0000-0000-0000526A0000}"/>
    <cellStyle name="Output 20 4 4 3" xfId="32731" xr:uid="{00000000-0005-0000-0000-0000536A0000}"/>
    <cellStyle name="Output 20 4 4 4" xfId="32732" xr:uid="{00000000-0005-0000-0000-0000546A0000}"/>
    <cellStyle name="Output 20 4 5" xfId="17936" xr:uid="{00000000-0005-0000-0000-0000556A0000}"/>
    <cellStyle name="Output 20 4 5 2" xfId="17937" xr:uid="{00000000-0005-0000-0000-0000566A0000}"/>
    <cellStyle name="Output 20 4 5 3" xfId="32733" xr:uid="{00000000-0005-0000-0000-0000576A0000}"/>
    <cellStyle name="Output 20 4 5 4" xfId="32734" xr:uid="{00000000-0005-0000-0000-0000586A0000}"/>
    <cellStyle name="Output 20 4 6" xfId="17938" xr:uid="{00000000-0005-0000-0000-0000596A0000}"/>
    <cellStyle name="Output 20 4 6 2" xfId="17939" xr:uid="{00000000-0005-0000-0000-00005A6A0000}"/>
    <cellStyle name="Output 20 4 6 3" xfId="32735" xr:uid="{00000000-0005-0000-0000-00005B6A0000}"/>
    <cellStyle name="Output 20 4 6 4" xfId="32736" xr:uid="{00000000-0005-0000-0000-00005C6A0000}"/>
    <cellStyle name="Output 20 4 7" xfId="17940" xr:uid="{00000000-0005-0000-0000-00005D6A0000}"/>
    <cellStyle name="Output 20 4 7 2" xfId="17941" xr:uid="{00000000-0005-0000-0000-00005E6A0000}"/>
    <cellStyle name="Output 20 4 7 3" xfId="32737" xr:uid="{00000000-0005-0000-0000-00005F6A0000}"/>
    <cellStyle name="Output 20 4 7 4" xfId="32738" xr:uid="{00000000-0005-0000-0000-0000606A0000}"/>
    <cellStyle name="Output 20 4 8" xfId="17942" xr:uid="{00000000-0005-0000-0000-0000616A0000}"/>
    <cellStyle name="Output 20 4 9" xfId="32739" xr:uid="{00000000-0005-0000-0000-0000626A0000}"/>
    <cellStyle name="Output 20 5" xfId="17943" xr:uid="{00000000-0005-0000-0000-0000636A0000}"/>
    <cellStyle name="Output 20 5 10" xfId="32740" xr:uid="{00000000-0005-0000-0000-0000646A0000}"/>
    <cellStyle name="Output 20 5 2" xfId="17944" xr:uid="{00000000-0005-0000-0000-0000656A0000}"/>
    <cellStyle name="Output 20 5 2 2" xfId="17945" xr:uid="{00000000-0005-0000-0000-0000666A0000}"/>
    <cellStyle name="Output 20 5 2 3" xfId="32741" xr:uid="{00000000-0005-0000-0000-0000676A0000}"/>
    <cellStyle name="Output 20 5 2 4" xfId="32742" xr:uid="{00000000-0005-0000-0000-0000686A0000}"/>
    <cellStyle name="Output 20 5 3" xfId="17946" xr:uid="{00000000-0005-0000-0000-0000696A0000}"/>
    <cellStyle name="Output 20 5 3 2" xfId="17947" xr:uid="{00000000-0005-0000-0000-00006A6A0000}"/>
    <cellStyle name="Output 20 5 3 3" xfId="32743" xr:uid="{00000000-0005-0000-0000-00006B6A0000}"/>
    <cellStyle name="Output 20 5 3 4" xfId="32744" xr:uid="{00000000-0005-0000-0000-00006C6A0000}"/>
    <cellStyle name="Output 20 5 4" xfId="17948" xr:uid="{00000000-0005-0000-0000-00006D6A0000}"/>
    <cellStyle name="Output 20 5 4 2" xfId="17949" xr:uid="{00000000-0005-0000-0000-00006E6A0000}"/>
    <cellStyle name="Output 20 5 4 3" xfId="32745" xr:uid="{00000000-0005-0000-0000-00006F6A0000}"/>
    <cellStyle name="Output 20 5 4 4" xfId="32746" xr:uid="{00000000-0005-0000-0000-0000706A0000}"/>
    <cellStyle name="Output 20 5 5" xfId="17950" xr:uid="{00000000-0005-0000-0000-0000716A0000}"/>
    <cellStyle name="Output 20 5 5 2" xfId="17951" xr:uid="{00000000-0005-0000-0000-0000726A0000}"/>
    <cellStyle name="Output 20 5 5 3" xfId="32747" xr:uid="{00000000-0005-0000-0000-0000736A0000}"/>
    <cellStyle name="Output 20 5 5 4" xfId="32748" xr:uid="{00000000-0005-0000-0000-0000746A0000}"/>
    <cellStyle name="Output 20 5 6" xfId="17952" xr:uid="{00000000-0005-0000-0000-0000756A0000}"/>
    <cellStyle name="Output 20 5 6 2" xfId="17953" xr:uid="{00000000-0005-0000-0000-0000766A0000}"/>
    <cellStyle name="Output 20 5 6 3" xfId="32749" xr:uid="{00000000-0005-0000-0000-0000776A0000}"/>
    <cellStyle name="Output 20 5 6 4" xfId="32750" xr:uid="{00000000-0005-0000-0000-0000786A0000}"/>
    <cellStyle name="Output 20 5 7" xfId="17954" xr:uid="{00000000-0005-0000-0000-0000796A0000}"/>
    <cellStyle name="Output 20 5 7 2" xfId="17955" xr:uid="{00000000-0005-0000-0000-00007A6A0000}"/>
    <cellStyle name="Output 20 5 7 3" xfId="32751" xr:uid="{00000000-0005-0000-0000-00007B6A0000}"/>
    <cellStyle name="Output 20 5 7 4" xfId="32752" xr:uid="{00000000-0005-0000-0000-00007C6A0000}"/>
    <cellStyle name="Output 20 5 8" xfId="17956" xr:uid="{00000000-0005-0000-0000-00007D6A0000}"/>
    <cellStyle name="Output 20 5 9" xfId="32753" xr:uid="{00000000-0005-0000-0000-00007E6A0000}"/>
    <cellStyle name="Output 20 6" xfId="17957" xr:uid="{00000000-0005-0000-0000-00007F6A0000}"/>
    <cellStyle name="Output 20 6 2" xfId="17958" xr:uid="{00000000-0005-0000-0000-0000806A0000}"/>
    <cellStyle name="Output 20 6 3" xfId="32754" xr:uid="{00000000-0005-0000-0000-0000816A0000}"/>
    <cellStyle name="Output 20 6 4" xfId="32755" xr:uid="{00000000-0005-0000-0000-0000826A0000}"/>
    <cellStyle name="Output 20 7" xfId="17959" xr:uid="{00000000-0005-0000-0000-0000836A0000}"/>
    <cellStyle name="Output 20 7 2" xfId="17960" xr:uid="{00000000-0005-0000-0000-0000846A0000}"/>
    <cellStyle name="Output 20 7 3" xfId="32756" xr:uid="{00000000-0005-0000-0000-0000856A0000}"/>
    <cellStyle name="Output 20 7 4" xfId="32757" xr:uid="{00000000-0005-0000-0000-0000866A0000}"/>
    <cellStyle name="Output 20 8" xfId="17961" xr:uid="{00000000-0005-0000-0000-0000876A0000}"/>
    <cellStyle name="Output 20 8 2" xfId="17962" xr:uid="{00000000-0005-0000-0000-0000886A0000}"/>
    <cellStyle name="Output 20 8 3" xfId="32758" xr:uid="{00000000-0005-0000-0000-0000896A0000}"/>
    <cellStyle name="Output 20 8 4" xfId="32759" xr:uid="{00000000-0005-0000-0000-00008A6A0000}"/>
    <cellStyle name="Output 20 9" xfId="17963" xr:uid="{00000000-0005-0000-0000-00008B6A0000}"/>
    <cellStyle name="Output 20 9 2" xfId="17964" xr:uid="{00000000-0005-0000-0000-00008C6A0000}"/>
    <cellStyle name="Output 20 9 3" xfId="32760" xr:uid="{00000000-0005-0000-0000-00008D6A0000}"/>
    <cellStyle name="Output 20 9 4" xfId="32761" xr:uid="{00000000-0005-0000-0000-00008E6A0000}"/>
    <cellStyle name="Output 21" xfId="17965" xr:uid="{00000000-0005-0000-0000-00008F6A0000}"/>
    <cellStyle name="Output 21 10" xfId="17966" xr:uid="{00000000-0005-0000-0000-0000906A0000}"/>
    <cellStyle name="Output 21 10 2" xfId="17967" xr:uid="{00000000-0005-0000-0000-0000916A0000}"/>
    <cellStyle name="Output 21 10 3" xfId="32762" xr:uid="{00000000-0005-0000-0000-0000926A0000}"/>
    <cellStyle name="Output 21 10 4" xfId="32763" xr:uid="{00000000-0005-0000-0000-0000936A0000}"/>
    <cellStyle name="Output 21 11" xfId="17968" xr:uid="{00000000-0005-0000-0000-0000946A0000}"/>
    <cellStyle name="Output 21 11 2" xfId="17969" xr:uid="{00000000-0005-0000-0000-0000956A0000}"/>
    <cellStyle name="Output 21 11 3" xfId="32764" xr:uid="{00000000-0005-0000-0000-0000966A0000}"/>
    <cellStyle name="Output 21 11 4" xfId="32765" xr:uid="{00000000-0005-0000-0000-0000976A0000}"/>
    <cellStyle name="Output 21 12" xfId="17970" xr:uid="{00000000-0005-0000-0000-0000986A0000}"/>
    <cellStyle name="Output 21 13" xfId="32766" xr:uid="{00000000-0005-0000-0000-0000996A0000}"/>
    <cellStyle name="Output 21 14" xfId="32767" xr:uid="{00000000-0005-0000-0000-00009A6A0000}"/>
    <cellStyle name="Output 21 2" xfId="17971" xr:uid="{00000000-0005-0000-0000-00009B6A0000}"/>
    <cellStyle name="Output 21 2 10" xfId="32768" xr:uid="{00000000-0005-0000-0000-00009C6A0000}"/>
    <cellStyle name="Output 21 2 2" xfId="17972" xr:uid="{00000000-0005-0000-0000-00009D6A0000}"/>
    <cellStyle name="Output 21 2 2 2" xfId="17973" xr:uid="{00000000-0005-0000-0000-00009E6A0000}"/>
    <cellStyle name="Output 21 2 2 3" xfId="32769" xr:uid="{00000000-0005-0000-0000-00009F6A0000}"/>
    <cellStyle name="Output 21 2 2 4" xfId="32770" xr:uid="{00000000-0005-0000-0000-0000A06A0000}"/>
    <cellStyle name="Output 21 2 3" xfId="17974" xr:uid="{00000000-0005-0000-0000-0000A16A0000}"/>
    <cellStyle name="Output 21 2 3 2" xfId="17975" xr:uid="{00000000-0005-0000-0000-0000A26A0000}"/>
    <cellStyle name="Output 21 2 3 3" xfId="32771" xr:uid="{00000000-0005-0000-0000-0000A36A0000}"/>
    <cellStyle name="Output 21 2 3 4" xfId="32772" xr:uid="{00000000-0005-0000-0000-0000A46A0000}"/>
    <cellStyle name="Output 21 2 4" xfId="17976" xr:uid="{00000000-0005-0000-0000-0000A56A0000}"/>
    <cellStyle name="Output 21 2 4 2" xfId="17977" xr:uid="{00000000-0005-0000-0000-0000A66A0000}"/>
    <cellStyle name="Output 21 2 4 3" xfId="32773" xr:uid="{00000000-0005-0000-0000-0000A76A0000}"/>
    <cellStyle name="Output 21 2 4 4" xfId="32774" xr:uid="{00000000-0005-0000-0000-0000A86A0000}"/>
    <cellStyle name="Output 21 2 5" xfId="17978" xr:uid="{00000000-0005-0000-0000-0000A96A0000}"/>
    <cellStyle name="Output 21 2 5 2" xfId="17979" xr:uid="{00000000-0005-0000-0000-0000AA6A0000}"/>
    <cellStyle name="Output 21 2 5 3" xfId="32775" xr:uid="{00000000-0005-0000-0000-0000AB6A0000}"/>
    <cellStyle name="Output 21 2 5 4" xfId="32776" xr:uid="{00000000-0005-0000-0000-0000AC6A0000}"/>
    <cellStyle name="Output 21 2 6" xfId="17980" xr:uid="{00000000-0005-0000-0000-0000AD6A0000}"/>
    <cellStyle name="Output 21 2 6 2" xfId="17981" xr:uid="{00000000-0005-0000-0000-0000AE6A0000}"/>
    <cellStyle name="Output 21 2 6 3" xfId="32777" xr:uid="{00000000-0005-0000-0000-0000AF6A0000}"/>
    <cellStyle name="Output 21 2 6 4" xfId="32778" xr:uid="{00000000-0005-0000-0000-0000B06A0000}"/>
    <cellStyle name="Output 21 2 7" xfId="17982" xr:uid="{00000000-0005-0000-0000-0000B16A0000}"/>
    <cellStyle name="Output 21 2 7 2" xfId="17983" xr:uid="{00000000-0005-0000-0000-0000B26A0000}"/>
    <cellStyle name="Output 21 2 7 3" xfId="32779" xr:uid="{00000000-0005-0000-0000-0000B36A0000}"/>
    <cellStyle name="Output 21 2 7 4" xfId="32780" xr:uid="{00000000-0005-0000-0000-0000B46A0000}"/>
    <cellStyle name="Output 21 2 8" xfId="17984" xr:uid="{00000000-0005-0000-0000-0000B56A0000}"/>
    <cellStyle name="Output 21 2 9" xfId="32781" xr:uid="{00000000-0005-0000-0000-0000B66A0000}"/>
    <cellStyle name="Output 21 3" xfId="17985" xr:uid="{00000000-0005-0000-0000-0000B76A0000}"/>
    <cellStyle name="Output 21 3 10" xfId="32782" xr:uid="{00000000-0005-0000-0000-0000B86A0000}"/>
    <cellStyle name="Output 21 3 2" xfId="17986" xr:uid="{00000000-0005-0000-0000-0000B96A0000}"/>
    <cellStyle name="Output 21 3 2 2" xfId="17987" xr:uid="{00000000-0005-0000-0000-0000BA6A0000}"/>
    <cellStyle name="Output 21 3 2 3" xfId="32783" xr:uid="{00000000-0005-0000-0000-0000BB6A0000}"/>
    <cellStyle name="Output 21 3 2 4" xfId="32784" xr:uid="{00000000-0005-0000-0000-0000BC6A0000}"/>
    <cellStyle name="Output 21 3 3" xfId="17988" xr:uid="{00000000-0005-0000-0000-0000BD6A0000}"/>
    <cellStyle name="Output 21 3 3 2" xfId="17989" xr:uid="{00000000-0005-0000-0000-0000BE6A0000}"/>
    <cellStyle name="Output 21 3 3 3" xfId="32785" xr:uid="{00000000-0005-0000-0000-0000BF6A0000}"/>
    <cellStyle name="Output 21 3 3 4" xfId="32786" xr:uid="{00000000-0005-0000-0000-0000C06A0000}"/>
    <cellStyle name="Output 21 3 4" xfId="17990" xr:uid="{00000000-0005-0000-0000-0000C16A0000}"/>
    <cellStyle name="Output 21 3 4 2" xfId="17991" xr:uid="{00000000-0005-0000-0000-0000C26A0000}"/>
    <cellStyle name="Output 21 3 4 3" xfId="32787" xr:uid="{00000000-0005-0000-0000-0000C36A0000}"/>
    <cellStyle name="Output 21 3 4 4" xfId="32788" xr:uid="{00000000-0005-0000-0000-0000C46A0000}"/>
    <cellStyle name="Output 21 3 5" xfId="17992" xr:uid="{00000000-0005-0000-0000-0000C56A0000}"/>
    <cellStyle name="Output 21 3 5 2" xfId="17993" xr:uid="{00000000-0005-0000-0000-0000C66A0000}"/>
    <cellStyle name="Output 21 3 5 3" xfId="32789" xr:uid="{00000000-0005-0000-0000-0000C76A0000}"/>
    <cellStyle name="Output 21 3 5 4" xfId="32790" xr:uid="{00000000-0005-0000-0000-0000C86A0000}"/>
    <cellStyle name="Output 21 3 6" xfId="17994" xr:uid="{00000000-0005-0000-0000-0000C96A0000}"/>
    <cellStyle name="Output 21 3 6 2" xfId="17995" xr:uid="{00000000-0005-0000-0000-0000CA6A0000}"/>
    <cellStyle name="Output 21 3 6 3" xfId="32791" xr:uid="{00000000-0005-0000-0000-0000CB6A0000}"/>
    <cellStyle name="Output 21 3 6 4" xfId="32792" xr:uid="{00000000-0005-0000-0000-0000CC6A0000}"/>
    <cellStyle name="Output 21 3 7" xfId="17996" xr:uid="{00000000-0005-0000-0000-0000CD6A0000}"/>
    <cellStyle name="Output 21 3 7 2" xfId="17997" xr:uid="{00000000-0005-0000-0000-0000CE6A0000}"/>
    <cellStyle name="Output 21 3 7 3" xfId="32793" xr:uid="{00000000-0005-0000-0000-0000CF6A0000}"/>
    <cellStyle name="Output 21 3 7 4" xfId="32794" xr:uid="{00000000-0005-0000-0000-0000D06A0000}"/>
    <cellStyle name="Output 21 3 8" xfId="17998" xr:uid="{00000000-0005-0000-0000-0000D16A0000}"/>
    <cellStyle name="Output 21 3 9" xfId="32795" xr:uid="{00000000-0005-0000-0000-0000D26A0000}"/>
    <cellStyle name="Output 21 4" xfId="17999" xr:uid="{00000000-0005-0000-0000-0000D36A0000}"/>
    <cellStyle name="Output 21 4 10" xfId="32796" xr:uid="{00000000-0005-0000-0000-0000D46A0000}"/>
    <cellStyle name="Output 21 4 2" xfId="18000" xr:uid="{00000000-0005-0000-0000-0000D56A0000}"/>
    <cellStyle name="Output 21 4 2 2" xfId="18001" xr:uid="{00000000-0005-0000-0000-0000D66A0000}"/>
    <cellStyle name="Output 21 4 2 3" xfId="32797" xr:uid="{00000000-0005-0000-0000-0000D76A0000}"/>
    <cellStyle name="Output 21 4 2 4" xfId="32798" xr:uid="{00000000-0005-0000-0000-0000D86A0000}"/>
    <cellStyle name="Output 21 4 3" xfId="18002" xr:uid="{00000000-0005-0000-0000-0000D96A0000}"/>
    <cellStyle name="Output 21 4 3 2" xfId="18003" xr:uid="{00000000-0005-0000-0000-0000DA6A0000}"/>
    <cellStyle name="Output 21 4 3 3" xfId="32799" xr:uid="{00000000-0005-0000-0000-0000DB6A0000}"/>
    <cellStyle name="Output 21 4 3 4" xfId="32800" xr:uid="{00000000-0005-0000-0000-0000DC6A0000}"/>
    <cellStyle name="Output 21 4 4" xfId="18004" xr:uid="{00000000-0005-0000-0000-0000DD6A0000}"/>
    <cellStyle name="Output 21 4 4 2" xfId="18005" xr:uid="{00000000-0005-0000-0000-0000DE6A0000}"/>
    <cellStyle name="Output 21 4 4 3" xfId="32801" xr:uid="{00000000-0005-0000-0000-0000DF6A0000}"/>
    <cellStyle name="Output 21 4 4 4" xfId="32802" xr:uid="{00000000-0005-0000-0000-0000E06A0000}"/>
    <cellStyle name="Output 21 4 5" xfId="18006" xr:uid="{00000000-0005-0000-0000-0000E16A0000}"/>
    <cellStyle name="Output 21 4 5 2" xfId="18007" xr:uid="{00000000-0005-0000-0000-0000E26A0000}"/>
    <cellStyle name="Output 21 4 5 3" xfId="32803" xr:uid="{00000000-0005-0000-0000-0000E36A0000}"/>
    <cellStyle name="Output 21 4 5 4" xfId="32804" xr:uid="{00000000-0005-0000-0000-0000E46A0000}"/>
    <cellStyle name="Output 21 4 6" xfId="18008" xr:uid="{00000000-0005-0000-0000-0000E56A0000}"/>
    <cellStyle name="Output 21 4 6 2" xfId="18009" xr:uid="{00000000-0005-0000-0000-0000E66A0000}"/>
    <cellStyle name="Output 21 4 6 3" xfId="32805" xr:uid="{00000000-0005-0000-0000-0000E76A0000}"/>
    <cellStyle name="Output 21 4 6 4" xfId="32806" xr:uid="{00000000-0005-0000-0000-0000E86A0000}"/>
    <cellStyle name="Output 21 4 7" xfId="18010" xr:uid="{00000000-0005-0000-0000-0000E96A0000}"/>
    <cellStyle name="Output 21 4 7 2" xfId="18011" xr:uid="{00000000-0005-0000-0000-0000EA6A0000}"/>
    <cellStyle name="Output 21 4 7 3" xfId="32807" xr:uid="{00000000-0005-0000-0000-0000EB6A0000}"/>
    <cellStyle name="Output 21 4 7 4" xfId="32808" xr:uid="{00000000-0005-0000-0000-0000EC6A0000}"/>
    <cellStyle name="Output 21 4 8" xfId="18012" xr:uid="{00000000-0005-0000-0000-0000ED6A0000}"/>
    <cellStyle name="Output 21 4 9" xfId="32809" xr:uid="{00000000-0005-0000-0000-0000EE6A0000}"/>
    <cellStyle name="Output 21 5" xfId="18013" xr:uid="{00000000-0005-0000-0000-0000EF6A0000}"/>
    <cellStyle name="Output 21 5 10" xfId="32810" xr:uid="{00000000-0005-0000-0000-0000F06A0000}"/>
    <cellStyle name="Output 21 5 2" xfId="18014" xr:uid="{00000000-0005-0000-0000-0000F16A0000}"/>
    <cellStyle name="Output 21 5 2 2" xfId="18015" xr:uid="{00000000-0005-0000-0000-0000F26A0000}"/>
    <cellStyle name="Output 21 5 2 3" xfId="32811" xr:uid="{00000000-0005-0000-0000-0000F36A0000}"/>
    <cellStyle name="Output 21 5 2 4" xfId="32812" xr:uid="{00000000-0005-0000-0000-0000F46A0000}"/>
    <cellStyle name="Output 21 5 3" xfId="18016" xr:uid="{00000000-0005-0000-0000-0000F56A0000}"/>
    <cellStyle name="Output 21 5 3 2" xfId="18017" xr:uid="{00000000-0005-0000-0000-0000F66A0000}"/>
    <cellStyle name="Output 21 5 3 3" xfId="32813" xr:uid="{00000000-0005-0000-0000-0000F76A0000}"/>
    <cellStyle name="Output 21 5 3 4" xfId="32814" xr:uid="{00000000-0005-0000-0000-0000F86A0000}"/>
    <cellStyle name="Output 21 5 4" xfId="18018" xr:uid="{00000000-0005-0000-0000-0000F96A0000}"/>
    <cellStyle name="Output 21 5 4 2" xfId="18019" xr:uid="{00000000-0005-0000-0000-0000FA6A0000}"/>
    <cellStyle name="Output 21 5 4 3" xfId="32815" xr:uid="{00000000-0005-0000-0000-0000FB6A0000}"/>
    <cellStyle name="Output 21 5 4 4" xfId="32816" xr:uid="{00000000-0005-0000-0000-0000FC6A0000}"/>
    <cellStyle name="Output 21 5 5" xfId="18020" xr:uid="{00000000-0005-0000-0000-0000FD6A0000}"/>
    <cellStyle name="Output 21 5 5 2" xfId="18021" xr:uid="{00000000-0005-0000-0000-0000FE6A0000}"/>
    <cellStyle name="Output 21 5 5 3" xfId="32817" xr:uid="{00000000-0005-0000-0000-0000FF6A0000}"/>
    <cellStyle name="Output 21 5 5 4" xfId="32818" xr:uid="{00000000-0005-0000-0000-0000006B0000}"/>
    <cellStyle name="Output 21 5 6" xfId="18022" xr:uid="{00000000-0005-0000-0000-0000016B0000}"/>
    <cellStyle name="Output 21 5 6 2" xfId="18023" xr:uid="{00000000-0005-0000-0000-0000026B0000}"/>
    <cellStyle name="Output 21 5 6 3" xfId="32819" xr:uid="{00000000-0005-0000-0000-0000036B0000}"/>
    <cellStyle name="Output 21 5 6 4" xfId="32820" xr:uid="{00000000-0005-0000-0000-0000046B0000}"/>
    <cellStyle name="Output 21 5 7" xfId="18024" xr:uid="{00000000-0005-0000-0000-0000056B0000}"/>
    <cellStyle name="Output 21 5 7 2" xfId="18025" xr:uid="{00000000-0005-0000-0000-0000066B0000}"/>
    <cellStyle name="Output 21 5 7 3" xfId="32821" xr:uid="{00000000-0005-0000-0000-0000076B0000}"/>
    <cellStyle name="Output 21 5 7 4" xfId="32822" xr:uid="{00000000-0005-0000-0000-0000086B0000}"/>
    <cellStyle name="Output 21 5 8" xfId="18026" xr:uid="{00000000-0005-0000-0000-0000096B0000}"/>
    <cellStyle name="Output 21 5 9" xfId="32823" xr:uid="{00000000-0005-0000-0000-00000A6B0000}"/>
    <cellStyle name="Output 21 6" xfId="18027" xr:uid="{00000000-0005-0000-0000-00000B6B0000}"/>
    <cellStyle name="Output 21 6 2" xfId="18028" xr:uid="{00000000-0005-0000-0000-00000C6B0000}"/>
    <cellStyle name="Output 21 6 3" xfId="32824" xr:uid="{00000000-0005-0000-0000-00000D6B0000}"/>
    <cellStyle name="Output 21 6 4" xfId="32825" xr:uid="{00000000-0005-0000-0000-00000E6B0000}"/>
    <cellStyle name="Output 21 7" xfId="18029" xr:uid="{00000000-0005-0000-0000-00000F6B0000}"/>
    <cellStyle name="Output 21 7 2" xfId="18030" xr:uid="{00000000-0005-0000-0000-0000106B0000}"/>
    <cellStyle name="Output 21 7 3" xfId="32826" xr:uid="{00000000-0005-0000-0000-0000116B0000}"/>
    <cellStyle name="Output 21 7 4" xfId="32827" xr:uid="{00000000-0005-0000-0000-0000126B0000}"/>
    <cellStyle name="Output 21 8" xfId="18031" xr:uid="{00000000-0005-0000-0000-0000136B0000}"/>
    <cellStyle name="Output 21 8 2" xfId="18032" xr:uid="{00000000-0005-0000-0000-0000146B0000}"/>
    <cellStyle name="Output 21 8 3" xfId="32828" xr:uid="{00000000-0005-0000-0000-0000156B0000}"/>
    <cellStyle name="Output 21 8 4" xfId="32829" xr:uid="{00000000-0005-0000-0000-0000166B0000}"/>
    <cellStyle name="Output 21 9" xfId="18033" xr:uid="{00000000-0005-0000-0000-0000176B0000}"/>
    <cellStyle name="Output 21 9 2" xfId="18034" xr:uid="{00000000-0005-0000-0000-0000186B0000}"/>
    <cellStyle name="Output 21 9 3" xfId="32830" xr:uid="{00000000-0005-0000-0000-0000196B0000}"/>
    <cellStyle name="Output 21 9 4" xfId="32831" xr:uid="{00000000-0005-0000-0000-00001A6B0000}"/>
    <cellStyle name="Output 22" xfId="18035" xr:uid="{00000000-0005-0000-0000-00001B6B0000}"/>
    <cellStyle name="Output 22 10" xfId="18036" xr:uid="{00000000-0005-0000-0000-00001C6B0000}"/>
    <cellStyle name="Output 22 10 2" xfId="18037" xr:uid="{00000000-0005-0000-0000-00001D6B0000}"/>
    <cellStyle name="Output 22 10 3" xfId="32832" xr:uid="{00000000-0005-0000-0000-00001E6B0000}"/>
    <cellStyle name="Output 22 10 4" xfId="32833" xr:uid="{00000000-0005-0000-0000-00001F6B0000}"/>
    <cellStyle name="Output 22 11" xfId="18038" xr:uid="{00000000-0005-0000-0000-0000206B0000}"/>
    <cellStyle name="Output 22 11 2" xfId="18039" xr:uid="{00000000-0005-0000-0000-0000216B0000}"/>
    <cellStyle name="Output 22 11 3" xfId="32834" xr:uid="{00000000-0005-0000-0000-0000226B0000}"/>
    <cellStyle name="Output 22 11 4" xfId="32835" xr:uid="{00000000-0005-0000-0000-0000236B0000}"/>
    <cellStyle name="Output 22 12" xfId="18040" xr:uid="{00000000-0005-0000-0000-0000246B0000}"/>
    <cellStyle name="Output 22 13" xfId="32836" xr:uid="{00000000-0005-0000-0000-0000256B0000}"/>
    <cellStyle name="Output 22 14" xfId="32837" xr:uid="{00000000-0005-0000-0000-0000266B0000}"/>
    <cellStyle name="Output 22 2" xfId="18041" xr:uid="{00000000-0005-0000-0000-0000276B0000}"/>
    <cellStyle name="Output 22 2 10" xfId="32838" xr:uid="{00000000-0005-0000-0000-0000286B0000}"/>
    <cellStyle name="Output 22 2 2" xfId="18042" xr:uid="{00000000-0005-0000-0000-0000296B0000}"/>
    <cellStyle name="Output 22 2 2 2" xfId="18043" xr:uid="{00000000-0005-0000-0000-00002A6B0000}"/>
    <cellStyle name="Output 22 2 2 3" xfId="32839" xr:uid="{00000000-0005-0000-0000-00002B6B0000}"/>
    <cellStyle name="Output 22 2 2 4" xfId="32840" xr:uid="{00000000-0005-0000-0000-00002C6B0000}"/>
    <cellStyle name="Output 22 2 3" xfId="18044" xr:uid="{00000000-0005-0000-0000-00002D6B0000}"/>
    <cellStyle name="Output 22 2 3 2" xfId="18045" xr:uid="{00000000-0005-0000-0000-00002E6B0000}"/>
    <cellStyle name="Output 22 2 3 3" xfId="32841" xr:uid="{00000000-0005-0000-0000-00002F6B0000}"/>
    <cellStyle name="Output 22 2 3 4" xfId="32842" xr:uid="{00000000-0005-0000-0000-0000306B0000}"/>
    <cellStyle name="Output 22 2 4" xfId="18046" xr:uid="{00000000-0005-0000-0000-0000316B0000}"/>
    <cellStyle name="Output 22 2 4 2" xfId="18047" xr:uid="{00000000-0005-0000-0000-0000326B0000}"/>
    <cellStyle name="Output 22 2 4 3" xfId="32843" xr:uid="{00000000-0005-0000-0000-0000336B0000}"/>
    <cellStyle name="Output 22 2 4 4" xfId="32844" xr:uid="{00000000-0005-0000-0000-0000346B0000}"/>
    <cellStyle name="Output 22 2 5" xfId="18048" xr:uid="{00000000-0005-0000-0000-0000356B0000}"/>
    <cellStyle name="Output 22 2 5 2" xfId="18049" xr:uid="{00000000-0005-0000-0000-0000366B0000}"/>
    <cellStyle name="Output 22 2 5 3" xfId="32845" xr:uid="{00000000-0005-0000-0000-0000376B0000}"/>
    <cellStyle name="Output 22 2 5 4" xfId="32846" xr:uid="{00000000-0005-0000-0000-0000386B0000}"/>
    <cellStyle name="Output 22 2 6" xfId="18050" xr:uid="{00000000-0005-0000-0000-0000396B0000}"/>
    <cellStyle name="Output 22 2 6 2" xfId="18051" xr:uid="{00000000-0005-0000-0000-00003A6B0000}"/>
    <cellStyle name="Output 22 2 6 3" xfId="32847" xr:uid="{00000000-0005-0000-0000-00003B6B0000}"/>
    <cellStyle name="Output 22 2 6 4" xfId="32848" xr:uid="{00000000-0005-0000-0000-00003C6B0000}"/>
    <cellStyle name="Output 22 2 7" xfId="18052" xr:uid="{00000000-0005-0000-0000-00003D6B0000}"/>
    <cellStyle name="Output 22 2 7 2" xfId="18053" xr:uid="{00000000-0005-0000-0000-00003E6B0000}"/>
    <cellStyle name="Output 22 2 7 3" xfId="32849" xr:uid="{00000000-0005-0000-0000-00003F6B0000}"/>
    <cellStyle name="Output 22 2 7 4" xfId="32850" xr:uid="{00000000-0005-0000-0000-0000406B0000}"/>
    <cellStyle name="Output 22 2 8" xfId="18054" xr:uid="{00000000-0005-0000-0000-0000416B0000}"/>
    <cellStyle name="Output 22 2 9" xfId="32851" xr:uid="{00000000-0005-0000-0000-0000426B0000}"/>
    <cellStyle name="Output 22 3" xfId="18055" xr:uid="{00000000-0005-0000-0000-0000436B0000}"/>
    <cellStyle name="Output 22 3 10" xfId="32852" xr:uid="{00000000-0005-0000-0000-0000446B0000}"/>
    <cellStyle name="Output 22 3 2" xfId="18056" xr:uid="{00000000-0005-0000-0000-0000456B0000}"/>
    <cellStyle name="Output 22 3 2 2" xfId="18057" xr:uid="{00000000-0005-0000-0000-0000466B0000}"/>
    <cellStyle name="Output 22 3 2 3" xfId="32853" xr:uid="{00000000-0005-0000-0000-0000476B0000}"/>
    <cellStyle name="Output 22 3 2 4" xfId="32854" xr:uid="{00000000-0005-0000-0000-0000486B0000}"/>
    <cellStyle name="Output 22 3 3" xfId="18058" xr:uid="{00000000-0005-0000-0000-0000496B0000}"/>
    <cellStyle name="Output 22 3 3 2" xfId="18059" xr:uid="{00000000-0005-0000-0000-00004A6B0000}"/>
    <cellStyle name="Output 22 3 3 3" xfId="32855" xr:uid="{00000000-0005-0000-0000-00004B6B0000}"/>
    <cellStyle name="Output 22 3 3 4" xfId="32856" xr:uid="{00000000-0005-0000-0000-00004C6B0000}"/>
    <cellStyle name="Output 22 3 4" xfId="18060" xr:uid="{00000000-0005-0000-0000-00004D6B0000}"/>
    <cellStyle name="Output 22 3 4 2" xfId="18061" xr:uid="{00000000-0005-0000-0000-00004E6B0000}"/>
    <cellStyle name="Output 22 3 4 3" xfId="32857" xr:uid="{00000000-0005-0000-0000-00004F6B0000}"/>
    <cellStyle name="Output 22 3 4 4" xfId="32858" xr:uid="{00000000-0005-0000-0000-0000506B0000}"/>
    <cellStyle name="Output 22 3 5" xfId="18062" xr:uid="{00000000-0005-0000-0000-0000516B0000}"/>
    <cellStyle name="Output 22 3 5 2" xfId="18063" xr:uid="{00000000-0005-0000-0000-0000526B0000}"/>
    <cellStyle name="Output 22 3 5 3" xfId="32859" xr:uid="{00000000-0005-0000-0000-0000536B0000}"/>
    <cellStyle name="Output 22 3 5 4" xfId="32860" xr:uid="{00000000-0005-0000-0000-0000546B0000}"/>
    <cellStyle name="Output 22 3 6" xfId="18064" xr:uid="{00000000-0005-0000-0000-0000556B0000}"/>
    <cellStyle name="Output 22 3 6 2" xfId="18065" xr:uid="{00000000-0005-0000-0000-0000566B0000}"/>
    <cellStyle name="Output 22 3 6 3" xfId="32861" xr:uid="{00000000-0005-0000-0000-0000576B0000}"/>
    <cellStyle name="Output 22 3 6 4" xfId="32862" xr:uid="{00000000-0005-0000-0000-0000586B0000}"/>
    <cellStyle name="Output 22 3 7" xfId="18066" xr:uid="{00000000-0005-0000-0000-0000596B0000}"/>
    <cellStyle name="Output 22 3 7 2" xfId="18067" xr:uid="{00000000-0005-0000-0000-00005A6B0000}"/>
    <cellStyle name="Output 22 3 7 3" xfId="32863" xr:uid="{00000000-0005-0000-0000-00005B6B0000}"/>
    <cellStyle name="Output 22 3 7 4" xfId="32864" xr:uid="{00000000-0005-0000-0000-00005C6B0000}"/>
    <cellStyle name="Output 22 3 8" xfId="18068" xr:uid="{00000000-0005-0000-0000-00005D6B0000}"/>
    <cellStyle name="Output 22 3 9" xfId="32865" xr:uid="{00000000-0005-0000-0000-00005E6B0000}"/>
    <cellStyle name="Output 22 4" xfId="18069" xr:uid="{00000000-0005-0000-0000-00005F6B0000}"/>
    <cellStyle name="Output 22 4 10" xfId="32866" xr:uid="{00000000-0005-0000-0000-0000606B0000}"/>
    <cellStyle name="Output 22 4 2" xfId="18070" xr:uid="{00000000-0005-0000-0000-0000616B0000}"/>
    <cellStyle name="Output 22 4 2 2" xfId="18071" xr:uid="{00000000-0005-0000-0000-0000626B0000}"/>
    <cellStyle name="Output 22 4 2 3" xfId="32867" xr:uid="{00000000-0005-0000-0000-0000636B0000}"/>
    <cellStyle name="Output 22 4 2 4" xfId="32868" xr:uid="{00000000-0005-0000-0000-0000646B0000}"/>
    <cellStyle name="Output 22 4 3" xfId="18072" xr:uid="{00000000-0005-0000-0000-0000656B0000}"/>
    <cellStyle name="Output 22 4 3 2" xfId="18073" xr:uid="{00000000-0005-0000-0000-0000666B0000}"/>
    <cellStyle name="Output 22 4 3 3" xfId="32869" xr:uid="{00000000-0005-0000-0000-0000676B0000}"/>
    <cellStyle name="Output 22 4 3 4" xfId="32870" xr:uid="{00000000-0005-0000-0000-0000686B0000}"/>
    <cellStyle name="Output 22 4 4" xfId="18074" xr:uid="{00000000-0005-0000-0000-0000696B0000}"/>
    <cellStyle name="Output 22 4 4 2" xfId="18075" xr:uid="{00000000-0005-0000-0000-00006A6B0000}"/>
    <cellStyle name="Output 22 4 4 3" xfId="32871" xr:uid="{00000000-0005-0000-0000-00006B6B0000}"/>
    <cellStyle name="Output 22 4 4 4" xfId="32872" xr:uid="{00000000-0005-0000-0000-00006C6B0000}"/>
    <cellStyle name="Output 22 4 5" xfId="18076" xr:uid="{00000000-0005-0000-0000-00006D6B0000}"/>
    <cellStyle name="Output 22 4 5 2" xfId="18077" xr:uid="{00000000-0005-0000-0000-00006E6B0000}"/>
    <cellStyle name="Output 22 4 5 3" xfId="32873" xr:uid="{00000000-0005-0000-0000-00006F6B0000}"/>
    <cellStyle name="Output 22 4 5 4" xfId="32874" xr:uid="{00000000-0005-0000-0000-0000706B0000}"/>
    <cellStyle name="Output 22 4 6" xfId="18078" xr:uid="{00000000-0005-0000-0000-0000716B0000}"/>
    <cellStyle name="Output 22 4 6 2" xfId="18079" xr:uid="{00000000-0005-0000-0000-0000726B0000}"/>
    <cellStyle name="Output 22 4 6 3" xfId="32875" xr:uid="{00000000-0005-0000-0000-0000736B0000}"/>
    <cellStyle name="Output 22 4 6 4" xfId="32876" xr:uid="{00000000-0005-0000-0000-0000746B0000}"/>
    <cellStyle name="Output 22 4 7" xfId="18080" xr:uid="{00000000-0005-0000-0000-0000756B0000}"/>
    <cellStyle name="Output 22 4 7 2" xfId="18081" xr:uid="{00000000-0005-0000-0000-0000766B0000}"/>
    <cellStyle name="Output 22 4 7 3" xfId="32877" xr:uid="{00000000-0005-0000-0000-0000776B0000}"/>
    <cellStyle name="Output 22 4 7 4" xfId="32878" xr:uid="{00000000-0005-0000-0000-0000786B0000}"/>
    <cellStyle name="Output 22 4 8" xfId="18082" xr:uid="{00000000-0005-0000-0000-0000796B0000}"/>
    <cellStyle name="Output 22 4 9" xfId="32879" xr:uid="{00000000-0005-0000-0000-00007A6B0000}"/>
    <cellStyle name="Output 22 5" xfId="18083" xr:uid="{00000000-0005-0000-0000-00007B6B0000}"/>
    <cellStyle name="Output 22 5 10" xfId="32880" xr:uid="{00000000-0005-0000-0000-00007C6B0000}"/>
    <cellStyle name="Output 22 5 2" xfId="18084" xr:uid="{00000000-0005-0000-0000-00007D6B0000}"/>
    <cellStyle name="Output 22 5 2 2" xfId="18085" xr:uid="{00000000-0005-0000-0000-00007E6B0000}"/>
    <cellStyle name="Output 22 5 2 3" xfId="32881" xr:uid="{00000000-0005-0000-0000-00007F6B0000}"/>
    <cellStyle name="Output 22 5 2 4" xfId="32882" xr:uid="{00000000-0005-0000-0000-0000806B0000}"/>
    <cellStyle name="Output 22 5 3" xfId="18086" xr:uid="{00000000-0005-0000-0000-0000816B0000}"/>
    <cellStyle name="Output 22 5 3 2" xfId="18087" xr:uid="{00000000-0005-0000-0000-0000826B0000}"/>
    <cellStyle name="Output 22 5 3 3" xfId="32883" xr:uid="{00000000-0005-0000-0000-0000836B0000}"/>
    <cellStyle name="Output 22 5 3 4" xfId="32884" xr:uid="{00000000-0005-0000-0000-0000846B0000}"/>
    <cellStyle name="Output 22 5 4" xfId="18088" xr:uid="{00000000-0005-0000-0000-0000856B0000}"/>
    <cellStyle name="Output 22 5 4 2" xfId="18089" xr:uid="{00000000-0005-0000-0000-0000866B0000}"/>
    <cellStyle name="Output 22 5 4 3" xfId="32885" xr:uid="{00000000-0005-0000-0000-0000876B0000}"/>
    <cellStyle name="Output 22 5 4 4" xfId="32886" xr:uid="{00000000-0005-0000-0000-0000886B0000}"/>
    <cellStyle name="Output 22 5 5" xfId="18090" xr:uid="{00000000-0005-0000-0000-0000896B0000}"/>
    <cellStyle name="Output 22 5 5 2" xfId="18091" xr:uid="{00000000-0005-0000-0000-00008A6B0000}"/>
    <cellStyle name="Output 22 5 5 3" xfId="32887" xr:uid="{00000000-0005-0000-0000-00008B6B0000}"/>
    <cellStyle name="Output 22 5 5 4" xfId="32888" xr:uid="{00000000-0005-0000-0000-00008C6B0000}"/>
    <cellStyle name="Output 22 5 6" xfId="18092" xr:uid="{00000000-0005-0000-0000-00008D6B0000}"/>
    <cellStyle name="Output 22 5 6 2" xfId="18093" xr:uid="{00000000-0005-0000-0000-00008E6B0000}"/>
    <cellStyle name="Output 22 5 6 3" xfId="32889" xr:uid="{00000000-0005-0000-0000-00008F6B0000}"/>
    <cellStyle name="Output 22 5 6 4" xfId="32890" xr:uid="{00000000-0005-0000-0000-0000906B0000}"/>
    <cellStyle name="Output 22 5 7" xfId="18094" xr:uid="{00000000-0005-0000-0000-0000916B0000}"/>
    <cellStyle name="Output 22 5 7 2" xfId="18095" xr:uid="{00000000-0005-0000-0000-0000926B0000}"/>
    <cellStyle name="Output 22 5 7 3" xfId="32891" xr:uid="{00000000-0005-0000-0000-0000936B0000}"/>
    <cellStyle name="Output 22 5 7 4" xfId="32892" xr:uid="{00000000-0005-0000-0000-0000946B0000}"/>
    <cellStyle name="Output 22 5 8" xfId="18096" xr:uid="{00000000-0005-0000-0000-0000956B0000}"/>
    <cellStyle name="Output 22 5 9" xfId="32893" xr:uid="{00000000-0005-0000-0000-0000966B0000}"/>
    <cellStyle name="Output 22 6" xfId="18097" xr:uid="{00000000-0005-0000-0000-0000976B0000}"/>
    <cellStyle name="Output 22 6 2" xfId="18098" xr:uid="{00000000-0005-0000-0000-0000986B0000}"/>
    <cellStyle name="Output 22 6 3" xfId="32894" xr:uid="{00000000-0005-0000-0000-0000996B0000}"/>
    <cellStyle name="Output 22 6 4" xfId="32895" xr:uid="{00000000-0005-0000-0000-00009A6B0000}"/>
    <cellStyle name="Output 22 7" xfId="18099" xr:uid="{00000000-0005-0000-0000-00009B6B0000}"/>
    <cellStyle name="Output 22 7 2" xfId="18100" xr:uid="{00000000-0005-0000-0000-00009C6B0000}"/>
    <cellStyle name="Output 22 7 3" xfId="32896" xr:uid="{00000000-0005-0000-0000-00009D6B0000}"/>
    <cellStyle name="Output 22 7 4" xfId="32897" xr:uid="{00000000-0005-0000-0000-00009E6B0000}"/>
    <cellStyle name="Output 22 8" xfId="18101" xr:uid="{00000000-0005-0000-0000-00009F6B0000}"/>
    <cellStyle name="Output 22 8 2" xfId="18102" xr:uid="{00000000-0005-0000-0000-0000A06B0000}"/>
    <cellStyle name="Output 22 8 3" xfId="32898" xr:uid="{00000000-0005-0000-0000-0000A16B0000}"/>
    <cellStyle name="Output 22 8 4" xfId="32899" xr:uid="{00000000-0005-0000-0000-0000A26B0000}"/>
    <cellStyle name="Output 22 9" xfId="18103" xr:uid="{00000000-0005-0000-0000-0000A36B0000}"/>
    <cellStyle name="Output 22 9 2" xfId="18104" xr:uid="{00000000-0005-0000-0000-0000A46B0000}"/>
    <cellStyle name="Output 22 9 3" xfId="32900" xr:uid="{00000000-0005-0000-0000-0000A56B0000}"/>
    <cellStyle name="Output 22 9 4" xfId="32901" xr:uid="{00000000-0005-0000-0000-0000A66B0000}"/>
    <cellStyle name="Output 23" xfId="18105" xr:uid="{00000000-0005-0000-0000-0000A76B0000}"/>
    <cellStyle name="Output 23 10" xfId="32902" xr:uid="{00000000-0005-0000-0000-0000A86B0000}"/>
    <cellStyle name="Output 23 2" xfId="18106" xr:uid="{00000000-0005-0000-0000-0000A96B0000}"/>
    <cellStyle name="Output 23 2 2" xfId="18107" xr:uid="{00000000-0005-0000-0000-0000AA6B0000}"/>
    <cellStyle name="Output 23 2 3" xfId="32903" xr:uid="{00000000-0005-0000-0000-0000AB6B0000}"/>
    <cellStyle name="Output 23 2 4" xfId="32904" xr:uid="{00000000-0005-0000-0000-0000AC6B0000}"/>
    <cellStyle name="Output 23 3" xfId="18108" xr:uid="{00000000-0005-0000-0000-0000AD6B0000}"/>
    <cellStyle name="Output 23 3 2" xfId="18109" xr:uid="{00000000-0005-0000-0000-0000AE6B0000}"/>
    <cellStyle name="Output 23 3 3" xfId="32905" xr:uid="{00000000-0005-0000-0000-0000AF6B0000}"/>
    <cellStyle name="Output 23 3 4" xfId="32906" xr:uid="{00000000-0005-0000-0000-0000B06B0000}"/>
    <cellStyle name="Output 23 4" xfId="18110" xr:uid="{00000000-0005-0000-0000-0000B16B0000}"/>
    <cellStyle name="Output 23 4 2" xfId="18111" xr:uid="{00000000-0005-0000-0000-0000B26B0000}"/>
    <cellStyle name="Output 23 4 3" xfId="32907" xr:uid="{00000000-0005-0000-0000-0000B36B0000}"/>
    <cellStyle name="Output 23 4 4" xfId="32908" xr:uid="{00000000-0005-0000-0000-0000B46B0000}"/>
    <cellStyle name="Output 23 5" xfId="18112" xr:uid="{00000000-0005-0000-0000-0000B56B0000}"/>
    <cellStyle name="Output 23 5 2" xfId="18113" xr:uid="{00000000-0005-0000-0000-0000B66B0000}"/>
    <cellStyle name="Output 23 5 3" xfId="32909" xr:uid="{00000000-0005-0000-0000-0000B76B0000}"/>
    <cellStyle name="Output 23 5 4" xfId="32910" xr:uid="{00000000-0005-0000-0000-0000B86B0000}"/>
    <cellStyle name="Output 23 6" xfId="18114" xr:uid="{00000000-0005-0000-0000-0000B96B0000}"/>
    <cellStyle name="Output 23 6 2" xfId="18115" xr:uid="{00000000-0005-0000-0000-0000BA6B0000}"/>
    <cellStyle name="Output 23 6 3" xfId="32911" xr:uid="{00000000-0005-0000-0000-0000BB6B0000}"/>
    <cellStyle name="Output 23 6 4" xfId="32912" xr:uid="{00000000-0005-0000-0000-0000BC6B0000}"/>
    <cellStyle name="Output 23 7" xfId="18116" xr:uid="{00000000-0005-0000-0000-0000BD6B0000}"/>
    <cellStyle name="Output 23 7 2" xfId="18117" xr:uid="{00000000-0005-0000-0000-0000BE6B0000}"/>
    <cellStyle name="Output 23 7 3" xfId="32913" xr:uid="{00000000-0005-0000-0000-0000BF6B0000}"/>
    <cellStyle name="Output 23 7 4" xfId="32914" xr:uid="{00000000-0005-0000-0000-0000C06B0000}"/>
    <cellStyle name="Output 23 8" xfId="18118" xr:uid="{00000000-0005-0000-0000-0000C16B0000}"/>
    <cellStyle name="Output 23 9" xfId="32915" xr:uid="{00000000-0005-0000-0000-0000C26B0000}"/>
    <cellStyle name="Output 24" xfId="18119" xr:uid="{00000000-0005-0000-0000-0000C36B0000}"/>
    <cellStyle name="Output 24 10" xfId="32916" xr:uid="{00000000-0005-0000-0000-0000C46B0000}"/>
    <cellStyle name="Output 24 2" xfId="18120" xr:uid="{00000000-0005-0000-0000-0000C56B0000}"/>
    <cellStyle name="Output 24 2 2" xfId="18121" xr:uid="{00000000-0005-0000-0000-0000C66B0000}"/>
    <cellStyle name="Output 24 2 3" xfId="32917" xr:uid="{00000000-0005-0000-0000-0000C76B0000}"/>
    <cellStyle name="Output 24 2 4" xfId="32918" xr:uid="{00000000-0005-0000-0000-0000C86B0000}"/>
    <cellStyle name="Output 24 3" xfId="18122" xr:uid="{00000000-0005-0000-0000-0000C96B0000}"/>
    <cellStyle name="Output 24 3 2" xfId="18123" xr:uid="{00000000-0005-0000-0000-0000CA6B0000}"/>
    <cellStyle name="Output 24 3 3" xfId="32919" xr:uid="{00000000-0005-0000-0000-0000CB6B0000}"/>
    <cellStyle name="Output 24 3 4" xfId="32920" xr:uid="{00000000-0005-0000-0000-0000CC6B0000}"/>
    <cellStyle name="Output 24 4" xfId="18124" xr:uid="{00000000-0005-0000-0000-0000CD6B0000}"/>
    <cellStyle name="Output 24 4 2" xfId="18125" xr:uid="{00000000-0005-0000-0000-0000CE6B0000}"/>
    <cellStyle name="Output 24 4 3" xfId="32921" xr:uid="{00000000-0005-0000-0000-0000CF6B0000}"/>
    <cellStyle name="Output 24 4 4" xfId="32922" xr:uid="{00000000-0005-0000-0000-0000D06B0000}"/>
    <cellStyle name="Output 24 5" xfId="18126" xr:uid="{00000000-0005-0000-0000-0000D16B0000}"/>
    <cellStyle name="Output 24 5 2" xfId="18127" xr:uid="{00000000-0005-0000-0000-0000D26B0000}"/>
    <cellStyle name="Output 24 5 3" xfId="32923" xr:uid="{00000000-0005-0000-0000-0000D36B0000}"/>
    <cellStyle name="Output 24 5 4" xfId="32924" xr:uid="{00000000-0005-0000-0000-0000D46B0000}"/>
    <cellStyle name="Output 24 6" xfId="18128" xr:uid="{00000000-0005-0000-0000-0000D56B0000}"/>
    <cellStyle name="Output 24 6 2" xfId="18129" xr:uid="{00000000-0005-0000-0000-0000D66B0000}"/>
    <cellStyle name="Output 24 6 3" xfId="32925" xr:uid="{00000000-0005-0000-0000-0000D76B0000}"/>
    <cellStyle name="Output 24 6 4" xfId="32926" xr:uid="{00000000-0005-0000-0000-0000D86B0000}"/>
    <cellStyle name="Output 24 7" xfId="18130" xr:uid="{00000000-0005-0000-0000-0000D96B0000}"/>
    <cellStyle name="Output 24 7 2" xfId="18131" xr:uid="{00000000-0005-0000-0000-0000DA6B0000}"/>
    <cellStyle name="Output 24 7 3" xfId="32927" xr:uid="{00000000-0005-0000-0000-0000DB6B0000}"/>
    <cellStyle name="Output 24 7 4" xfId="32928" xr:uid="{00000000-0005-0000-0000-0000DC6B0000}"/>
    <cellStyle name="Output 24 8" xfId="18132" xr:uid="{00000000-0005-0000-0000-0000DD6B0000}"/>
    <cellStyle name="Output 24 9" xfId="32929" xr:uid="{00000000-0005-0000-0000-0000DE6B0000}"/>
    <cellStyle name="Output 25" xfId="18133" xr:uid="{00000000-0005-0000-0000-0000DF6B0000}"/>
    <cellStyle name="Output 25 10" xfId="32930" xr:uid="{00000000-0005-0000-0000-0000E06B0000}"/>
    <cellStyle name="Output 25 2" xfId="18134" xr:uid="{00000000-0005-0000-0000-0000E16B0000}"/>
    <cellStyle name="Output 25 2 2" xfId="18135" xr:uid="{00000000-0005-0000-0000-0000E26B0000}"/>
    <cellStyle name="Output 25 2 3" xfId="32931" xr:uid="{00000000-0005-0000-0000-0000E36B0000}"/>
    <cellStyle name="Output 25 2 4" xfId="32932" xr:uid="{00000000-0005-0000-0000-0000E46B0000}"/>
    <cellStyle name="Output 25 3" xfId="18136" xr:uid="{00000000-0005-0000-0000-0000E56B0000}"/>
    <cellStyle name="Output 25 3 2" xfId="18137" xr:uid="{00000000-0005-0000-0000-0000E66B0000}"/>
    <cellStyle name="Output 25 3 3" xfId="32933" xr:uid="{00000000-0005-0000-0000-0000E76B0000}"/>
    <cellStyle name="Output 25 3 4" xfId="32934" xr:uid="{00000000-0005-0000-0000-0000E86B0000}"/>
    <cellStyle name="Output 25 4" xfId="18138" xr:uid="{00000000-0005-0000-0000-0000E96B0000}"/>
    <cellStyle name="Output 25 4 2" xfId="18139" xr:uid="{00000000-0005-0000-0000-0000EA6B0000}"/>
    <cellStyle name="Output 25 4 3" xfId="32935" xr:uid="{00000000-0005-0000-0000-0000EB6B0000}"/>
    <cellStyle name="Output 25 4 4" xfId="32936" xr:uid="{00000000-0005-0000-0000-0000EC6B0000}"/>
    <cellStyle name="Output 25 5" xfId="18140" xr:uid="{00000000-0005-0000-0000-0000ED6B0000}"/>
    <cellStyle name="Output 25 5 2" xfId="18141" xr:uid="{00000000-0005-0000-0000-0000EE6B0000}"/>
    <cellStyle name="Output 25 5 3" xfId="32937" xr:uid="{00000000-0005-0000-0000-0000EF6B0000}"/>
    <cellStyle name="Output 25 5 4" xfId="32938" xr:uid="{00000000-0005-0000-0000-0000F06B0000}"/>
    <cellStyle name="Output 25 6" xfId="18142" xr:uid="{00000000-0005-0000-0000-0000F16B0000}"/>
    <cellStyle name="Output 25 6 2" xfId="18143" xr:uid="{00000000-0005-0000-0000-0000F26B0000}"/>
    <cellStyle name="Output 25 6 3" xfId="32939" xr:uid="{00000000-0005-0000-0000-0000F36B0000}"/>
    <cellStyle name="Output 25 6 4" xfId="32940" xr:uid="{00000000-0005-0000-0000-0000F46B0000}"/>
    <cellStyle name="Output 25 7" xfId="18144" xr:uid="{00000000-0005-0000-0000-0000F56B0000}"/>
    <cellStyle name="Output 25 7 2" xfId="18145" xr:uid="{00000000-0005-0000-0000-0000F66B0000}"/>
    <cellStyle name="Output 25 7 3" xfId="32941" xr:uid="{00000000-0005-0000-0000-0000F76B0000}"/>
    <cellStyle name="Output 25 7 4" xfId="32942" xr:uid="{00000000-0005-0000-0000-0000F86B0000}"/>
    <cellStyle name="Output 25 8" xfId="18146" xr:uid="{00000000-0005-0000-0000-0000F96B0000}"/>
    <cellStyle name="Output 25 9" xfId="32943" xr:uid="{00000000-0005-0000-0000-0000FA6B0000}"/>
    <cellStyle name="Output 26" xfId="18147" xr:uid="{00000000-0005-0000-0000-0000FB6B0000}"/>
    <cellStyle name="Output 26 10" xfId="32944" xr:uid="{00000000-0005-0000-0000-0000FC6B0000}"/>
    <cellStyle name="Output 26 2" xfId="18148" xr:uid="{00000000-0005-0000-0000-0000FD6B0000}"/>
    <cellStyle name="Output 26 2 2" xfId="18149" xr:uid="{00000000-0005-0000-0000-0000FE6B0000}"/>
    <cellStyle name="Output 26 2 3" xfId="32945" xr:uid="{00000000-0005-0000-0000-0000FF6B0000}"/>
    <cellStyle name="Output 26 2 4" xfId="32946" xr:uid="{00000000-0005-0000-0000-0000006C0000}"/>
    <cellStyle name="Output 26 3" xfId="18150" xr:uid="{00000000-0005-0000-0000-0000016C0000}"/>
    <cellStyle name="Output 26 3 2" xfId="18151" xr:uid="{00000000-0005-0000-0000-0000026C0000}"/>
    <cellStyle name="Output 26 3 3" xfId="32947" xr:uid="{00000000-0005-0000-0000-0000036C0000}"/>
    <cellStyle name="Output 26 3 4" xfId="32948" xr:uid="{00000000-0005-0000-0000-0000046C0000}"/>
    <cellStyle name="Output 26 4" xfId="18152" xr:uid="{00000000-0005-0000-0000-0000056C0000}"/>
    <cellStyle name="Output 26 4 2" xfId="18153" xr:uid="{00000000-0005-0000-0000-0000066C0000}"/>
    <cellStyle name="Output 26 4 3" xfId="32949" xr:uid="{00000000-0005-0000-0000-0000076C0000}"/>
    <cellStyle name="Output 26 4 4" xfId="32950" xr:uid="{00000000-0005-0000-0000-0000086C0000}"/>
    <cellStyle name="Output 26 5" xfId="18154" xr:uid="{00000000-0005-0000-0000-0000096C0000}"/>
    <cellStyle name="Output 26 5 2" xfId="18155" xr:uid="{00000000-0005-0000-0000-00000A6C0000}"/>
    <cellStyle name="Output 26 5 3" xfId="32951" xr:uid="{00000000-0005-0000-0000-00000B6C0000}"/>
    <cellStyle name="Output 26 5 4" xfId="32952" xr:uid="{00000000-0005-0000-0000-00000C6C0000}"/>
    <cellStyle name="Output 26 6" xfId="18156" xr:uid="{00000000-0005-0000-0000-00000D6C0000}"/>
    <cellStyle name="Output 26 6 2" xfId="18157" xr:uid="{00000000-0005-0000-0000-00000E6C0000}"/>
    <cellStyle name="Output 26 6 3" xfId="32953" xr:uid="{00000000-0005-0000-0000-00000F6C0000}"/>
    <cellStyle name="Output 26 6 4" xfId="32954" xr:uid="{00000000-0005-0000-0000-0000106C0000}"/>
    <cellStyle name="Output 26 7" xfId="18158" xr:uid="{00000000-0005-0000-0000-0000116C0000}"/>
    <cellStyle name="Output 26 7 2" xfId="18159" xr:uid="{00000000-0005-0000-0000-0000126C0000}"/>
    <cellStyle name="Output 26 7 3" xfId="32955" xr:uid="{00000000-0005-0000-0000-0000136C0000}"/>
    <cellStyle name="Output 26 7 4" xfId="32956" xr:uid="{00000000-0005-0000-0000-0000146C0000}"/>
    <cellStyle name="Output 26 8" xfId="18160" xr:uid="{00000000-0005-0000-0000-0000156C0000}"/>
    <cellStyle name="Output 26 9" xfId="32957" xr:uid="{00000000-0005-0000-0000-0000166C0000}"/>
    <cellStyle name="Output 3" xfId="18161" xr:uid="{00000000-0005-0000-0000-0000176C0000}"/>
    <cellStyle name="Output 3 10" xfId="18162" xr:uid="{00000000-0005-0000-0000-0000186C0000}"/>
    <cellStyle name="Output 3 10 2" xfId="18163" xr:uid="{00000000-0005-0000-0000-0000196C0000}"/>
    <cellStyle name="Output 3 10 3" xfId="32958" xr:uid="{00000000-0005-0000-0000-00001A6C0000}"/>
    <cellStyle name="Output 3 10 4" xfId="32959" xr:uid="{00000000-0005-0000-0000-00001B6C0000}"/>
    <cellStyle name="Output 3 11" xfId="18164" xr:uid="{00000000-0005-0000-0000-00001C6C0000}"/>
    <cellStyle name="Output 3 11 2" xfId="18165" xr:uid="{00000000-0005-0000-0000-00001D6C0000}"/>
    <cellStyle name="Output 3 11 3" xfId="32960" xr:uid="{00000000-0005-0000-0000-00001E6C0000}"/>
    <cellStyle name="Output 3 11 4" xfId="32961" xr:uid="{00000000-0005-0000-0000-00001F6C0000}"/>
    <cellStyle name="Output 3 12" xfId="18166" xr:uid="{00000000-0005-0000-0000-0000206C0000}"/>
    <cellStyle name="Output 3 13" xfId="32962" xr:uid="{00000000-0005-0000-0000-0000216C0000}"/>
    <cellStyle name="Output 3 14" xfId="32963" xr:uid="{00000000-0005-0000-0000-0000226C0000}"/>
    <cellStyle name="Output 3 2" xfId="18167" xr:uid="{00000000-0005-0000-0000-0000236C0000}"/>
    <cellStyle name="Output 3 2 10" xfId="32964" xr:uid="{00000000-0005-0000-0000-0000246C0000}"/>
    <cellStyle name="Output 3 2 2" xfId="18168" xr:uid="{00000000-0005-0000-0000-0000256C0000}"/>
    <cellStyle name="Output 3 2 2 2" xfId="18169" xr:uid="{00000000-0005-0000-0000-0000266C0000}"/>
    <cellStyle name="Output 3 2 2 3" xfId="32965" xr:uid="{00000000-0005-0000-0000-0000276C0000}"/>
    <cellStyle name="Output 3 2 2 4" xfId="32966" xr:uid="{00000000-0005-0000-0000-0000286C0000}"/>
    <cellStyle name="Output 3 2 3" xfId="18170" xr:uid="{00000000-0005-0000-0000-0000296C0000}"/>
    <cellStyle name="Output 3 2 3 2" xfId="18171" xr:uid="{00000000-0005-0000-0000-00002A6C0000}"/>
    <cellStyle name="Output 3 2 3 3" xfId="32967" xr:uid="{00000000-0005-0000-0000-00002B6C0000}"/>
    <cellStyle name="Output 3 2 3 4" xfId="32968" xr:uid="{00000000-0005-0000-0000-00002C6C0000}"/>
    <cellStyle name="Output 3 2 4" xfId="18172" xr:uid="{00000000-0005-0000-0000-00002D6C0000}"/>
    <cellStyle name="Output 3 2 4 2" xfId="18173" xr:uid="{00000000-0005-0000-0000-00002E6C0000}"/>
    <cellStyle name="Output 3 2 4 3" xfId="32969" xr:uid="{00000000-0005-0000-0000-00002F6C0000}"/>
    <cellStyle name="Output 3 2 4 4" xfId="32970" xr:uid="{00000000-0005-0000-0000-0000306C0000}"/>
    <cellStyle name="Output 3 2 5" xfId="18174" xr:uid="{00000000-0005-0000-0000-0000316C0000}"/>
    <cellStyle name="Output 3 2 5 2" xfId="18175" xr:uid="{00000000-0005-0000-0000-0000326C0000}"/>
    <cellStyle name="Output 3 2 5 3" xfId="32971" xr:uid="{00000000-0005-0000-0000-0000336C0000}"/>
    <cellStyle name="Output 3 2 5 4" xfId="32972" xr:uid="{00000000-0005-0000-0000-0000346C0000}"/>
    <cellStyle name="Output 3 2 6" xfId="18176" xr:uid="{00000000-0005-0000-0000-0000356C0000}"/>
    <cellStyle name="Output 3 2 6 2" xfId="18177" xr:uid="{00000000-0005-0000-0000-0000366C0000}"/>
    <cellStyle name="Output 3 2 6 3" xfId="32973" xr:uid="{00000000-0005-0000-0000-0000376C0000}"/>
    <cellStyle name="Output 3 2 6 4" xfId="32974" xr:uid="{00000000-0005-0000-0000-0000386C0000}"/>
    <cellStyle name="Output 3 2 7" xfId="18178" xr:uid="{00000000-0005-0000-0000-0000396C0000}"/>
    <cellStyle name="Output 3 2 7 2" xfId="18179" xr:uid="{00000000-0005-0000-0000-00003A6C0000}"/>
    <cellStyle name="Output 3 2 7 3" xfId="32975" xr:uid="{00000000-0005-0000-0000-00003B6C0000}"/>
    <cellStyle name="Output 3 2 7 4" xfId="32976" xr:uid="{00000000-0005-0000-0000-00003C6C0000}"/>
    <cellStyle name="Output 3 2 8" xfId="18180" xr:uid="{00000000-0005-0000-0000-00003D6C0000}"/>
    <cellStyle name="Output 3 2 9" xfId="32977" xr:uid="{00000000-0005-0000-0000-00003E6C0000}"/>
    <cellStyle name="Output 3 3" xfId="18181" xr:uid="{00000000-0005-0000-0000-00003F6C0000}"/>
    <cellStyle name="Output 3 3 10" xfId="32978" xr:uid="{00000000-0005-0000-0000-0000406C0000}"/>
    <cellStyle name="Output 3 3 2" xfId="18182" xr:uid="{00000000-0005-0000-0000-0000416C0000}"/>
    <cellStyle name="Output 3 3 2 2" xfId="18183" xr:uid="{00000000-0005-0000-0000-0000426C0000}"/>
    <cellStyle name="Output 3 3 2 3" xfId="32979" xr:uid="{00000000-0005-0000-0000-0000436C0000}"/>
    <cellStyle name="Output 3 3 2 4" xfId="32980" xr:uid="{00000000-0005-0000-0000-0000446C0000}"/>
    <cellStyle name="Output 3 3 3" xfId="18184" xr:uid="{00000000-0005-0000-0000-0000456C0000}"/>
    <cellStyle name="Output 3 3 3 2" xfId="18185" xr:uid="{00000000-0005-0000-0000-0000466C0000}"/>
    <cellStyle name="Output 3 3 3 3" xfId="32981" xr:uid="{00000000-0005-0000-0000-0000476C0000}"/>
    <cellStyle name="Output 3 3 3 4" xfId="32982" xr:uid="{00000000-0005-0000-0000-0000486C0000}"/>
    <cellStyle name="Output 3 3 4" xfId="18186" xr:uid="{00000000-0005-0000-0000-0000496C0000}"/>
    <cellStyle name="Output 3 3 4 2" xfId="18187" xr:uid="{00000000-0005-0000-0000-00004A6C0000}"/>
    <cellStyle name="Output 3 3 4 3" xfId="32983" xr:uid="{00000000-0005-0000-0000-00004B6C0000}"/>
    <cellStyle name="Output 3 3 4 4" xfId="32984" xr:uid="{00000000-0005-0000-0000-00004C6C0000}"/>
    <cellStyle name="Output 3 3 5" xfId="18188" xr:uid="{00000000-0005-0000-0000-00004D6C0000}"/>
    <cellStyle name="Output 3 3 5 2" xfId="18189" xr:uid="{00000000-0005-0000-0000-00004E6C0000}"/>
    <cellStyle name="Output 3 3 5 3" xfId="32985" xr:uid="{00000000-0005-0000-0000-00004F6C0000}"/>
    <cellStyle name="Output 3 3 5 4" xfId="32986" xr:uid="{00000000-0005-0000-0000-0000506C0000}"/>
    <cellStyle name="Output 3 3 6" xfId="18190" xr:uid="{00000000-0005-0000-0000-0000516C0000}"/>
    <cellStyle name="Output 3 3 6 2" xfId="18191" xr:uid="{00000000-0005-0000-0000-0000526C0000}"/>
    <cellStyle name="Output 3 3 6 3" xfId="32987" xr:uid="{00000000-0005-0000-0000-0000536C0000}"/>
    <cellStyle name="Output 3 3 6 4" xfId="32988" xr:uid="{00000000-0005-0000-0000-0000546C0000}"/>
    <cellStyle name="Output 3 3 7" xfId="18192" xr:uid="{00000000-0005-0000-0000-0000556C0000}"/>
    <cellStyle name="Output 3 3 7 2" xfId="18193" xr:uid="{00000000-0005-0000-0000-0000566C0000}"/>
    <cellStyle name="Output 3 3 7 3" xfId="32989" xr:uid="{00000000-0005-0000-0000-0000576C0000}"/>
    <cellStyle name="Output 3 3 7 4" xfId="32990" xr:uid="{00000000-0005-0000-0000-0000586C0000}"/>
    <cellStyle name="Output 3 3 8" xfId="18194" xr:uid="{00000000-0005-0000-0000-0000596C0000}"/>
    <cellStyle name="Output 3 3 9" xfId="32991" xr:uid="{00000000-0005-0000-0000-00005A6C0000}"/>
    <cellStyle name="Output 3 4" xfId="18195" xr:uid="{00000000-0005-0000-0000-00005B6C0000}"/>
    <cellStyle name="Output 3 4 10" xfId="32992" xr:uid="{00000000-0005-0000-0000-00005C6C0000}"/>
    <cellStyle name="Output 3 4 2" xfId="18196" xr:uid="{00000000-0005-0000-0000-00005D6C0000}"/>
    <cellStyle name="Output 3 4 2 2" xfId="18197" xr:uid="{00000000-0005-0000-0000-00005E6C0000}"/>
    <cellStyle name="Output 3 4 2 3" xfId="32993" xr:uid="{00000000-0005-0000-0000-00005F6C0000}"/>
    <cellStyle name="Output 3 4 2 4" xfId="32994" xr:uid="{00000000-0005-0000-0000-0000606C0000}"/>
    <cellStyle name="Output 3 4 3" xfId="18198" xr:uid="{00000000-0005-0000-0000-0000616C0000}"/>
    <cellStyle name="Output 3 4 3 2" xfId="18199" xr:uid="{00000000-0005-0000-0000-0000626C0000}"/>
    <cellStyle name="Output 3 4 3 3" xfId="32995" xr:uid="{00000000-0005-0000-0000-0000636C0000}"/>
    <cellStyle name="Output 3 4 3 4" xfId="32996" xr:uid="{00000000-0005-0000-0000-0000646C0000}"/>
    <cellStyle name="Output 3 4 4" xfId="18200" xr:uid="{00000000-0005-0000-0000-0000656C0000}"/>
    <cellStyle name="Output 3 4 4 2" xfId="18201" xr:uid="{00000000-0005-0000-0000-0000666C0000}"/>
    <cellStyle name="Output 3 4 4 3" xfId="32997" xr:uid="{00000000-0005-0000-0000-0000676C0000}"/>
    <cellStyle name="Output 3 4 4 4" xfId="32998" xr:uid="{00000000-0005-0000-0000-0000686C0000}"/>
    <cellStyle name="Output 3 4 5" xfId="18202" xr:uid="{00000000-0005-0000-0000-0000696C0000}"/>
    <cellStyle name="Output 3 4 5 2" xfId="18203" xr:uid="{00000000-0005-0000-0000-00006A6C0000}"/>
    <cellStyle name="Output 3 4 5 3" xfId="32999" xr:uid="{00000000-0005-0000-0000-00006B6C0000}"/>
    <cellStyle name="Output 3 4 5 4" xfId="33000" xr:uid="{00000000-0005-0000-0000-00006C6C0000}"/>
    <cellStyle name="Output 3 4 6" xfId="18204" xr:uid="{00000000-0005-0000-0000-00006D6C0000}"/>
    <cellStyle name="Output 3 4 6 2" xfId="18205" xr:uid="{00000000-0005-0000-0000-00006E6C0000}"/>
    <cellStyle name="Output 3 4 6 3" xfId="33001" xr:uid="{00000000-0005-0000-0000-00006F6C0000}"/>
    <cellStyle name="Output 3 4 6 4" xfId="33002" xr:uid="{00000000-0005-0000-0000-0000706C0000}"/>
    <cellStyle name="Output 3 4 7" xfId="18206" xr:uid="{00000000-0005-0000-0000-0000716C0000}"/>
    <cellStyle name="Output 3 4 7 2" xfId="18207" xr:uid="{00000000-0005-0000-0000-0000726C0000}"/>
    <cellStyle name="Output 3 4 7 3" xfId="33003" xr:uid="{00000000-0005-0000-0000-0000736C0000}"/>
    <cellStyle name="Output 3 4 7 4" xfId="33004" xr:uid="{00000000-0005-0000-0000-0000746C0000}"/>
    <cellStyle name="Output 3 4 8" xfId="18208" xr:uid="{00000000-0005-0000-0000-0000756C0000}"/>
    <cellStyle name="Output 3 4 9" xfId="33005" xr:uid="{00000000-0005-0000-0000-0000766C0000}"/>
    <cellStyle name="Output 3 5" xfId="18209" xr:uid="{00000000-0005-0000-0000-0000776C0000}"/>
    <cellStyle name="Output 3 5 10" xfId="33006" xr:uid="{00000000-0005-0000-0000-0000786C0000}"/>
    <cellStyle name="Output 3 5 2" xfId="18210" xr:uid="{00000000-0005-0000-0000-0000796C0000}"/>
    <cellStyle name="Output 3 5 2 2" xfId="18211" xr:uid="{00000000-0005-0000-0000-00007A6C0000}"/>
    <cellStyle name="Output 3 5 2 3" xfId="33007" xr:uid="{00000000-0005-0000-0000-00007B6C0000}"/>
    <cellStyle name="Output 3 5 2 4" xfId="33008" xr:uid="{00000000-0005-0000-0000-00007C6C0000}"/>
    <cellStyle name="Output 3 5 3" xfId="18212" xr:uid="{00000000-0005-0000-0000-00007D6C0000}"/>
    <cellStyle name="Output 3 5 3 2" xfId="18213" xr:uid="{00000000-0005-0000-0000-00007E6C0000}"/>
    <cellStyle name="Output 3 5 3 3" xfId="33009" xr:uid="{00000000-0005-0000-0000-00007F6C0000}"/>
    <cellStyle name="Output 3 5 3 4" xfId="33010" xr:uid="{00000000-0005-0000-0000-0000806C0000}"/>
    <cellStyle name="Output 3 5 4" xfId="18214" xr:uid="{00000000-0005-0000-0000-0000816C0000}"/>
    <cellStyle name="Output 3 5 4 2" xfId="18215" xr:uid="{00000000-0005-0000-0000-0000826C0000}"/>
    <cellStyle name="Output 3 5 4 3" xfId="33011" xr:uid="{00000000-0005-0000-0000-0000836C0000}"/>
    <cellStyle name="Output 3 5 4 4" xfId="33012" xr:uid="{00000000-0005-0000-0000-0000846C0000}"/>
    <cellStyle name="Output 3 5 5" xfId="18216" xr:uid="{00000000-0005-0000-0000-0000856C0000}"/>
    <cellStyle name="Output 3 5 5 2" xfId="18217" xr:uid="{00000000-0005-0000-0000-0000866C0000}"/>
    <cellStyle name="Output 3 5 5 3" xfId="33013" xr:uid="{00000000-0005-0000-0000-0000876C0000}"/>
    <cellStyle name="Output 3 5 5 4" xfId="33014" xr:uid="{00000000-0005-0000-0000-0000886C0000}"/>
    <cellStyle name="Output 3 5 6" xfId="18218" xr:uid="{00000000-0005-0000-0000-0000896C0000}"/>
    <cellStyle name="Output 3 5 6 2" xfId="18219" xr:uid="{00000000-0005-0000-0000-00008A6C0000}"/>
    <cellStyle name="Output 3 5 6 3" xfId="33015" xr:uid="{00000000-0005-0000-0000-00008B6C0000}"/>
    <cellStyle name="Output 3 5 6 4" xfId="33016" xr:uid="{00000000-0005-0000-0000-00008C6C0000}"/>
    <cellStyle name="Output 3 5 7" xfId="18220" xr:uid="{00000000-0005-0000-0000-00008D6C0000}"/>
    <cellStyle name="Output 3 5 7 2" xfId="18221" xr:uid="{00000000-0005-0000-0000-00008E6C0000}"/>
    <cellStyle name="Output 3 5 7 3" xfId="33017" xr:uid="{00000000-0005-0000-0000-00008F6C0000}"/>
    <cellStyle name="Output 3 5 7 4" xfId="33018" xr:uid="{00000000-0005-0000-0000-0000906C0000}"/>
    <cellStyle name="Output 3 5 8" xfId="18222" xr:uid="{00000000-0005-0000-0000-0000916C0000}"/>
    <cellStyle name="Output 3 5 9" xfId="33019" xr:uid="{00000000-0005-0000-0000-0000926C0000}"/>
    <cellStyle name="Output 3 6" xfId="18223" xr:uid="{00000000-0005-0000-0000-0000936C0000}"/>
    <cellStyle name="Output 3 6 2" xfId="18224" xr:uid="{00000000-0005-0000-0000-0000946C0000}"/>
    <cellStyle name="Output 3 6 3" xfId="33020" xr:uid="{00000000-0005-0000-0000-0000956C0000}"/>
    <cellStyle name="Output 3 6 4" xfId="33021" xr:uid="{00000000-0005-0000-0000-0000966C0000}"/>
    <cellStyle name="Output 3 7" xfId="18225" xr:uid="{00000000-0005-0000-0000-0000976C0000}"/>
    <cellStyle name="Output 3 7 2" xfId="18226" xr:uid="{00000000-0005-0000-0000-0000986C0000}"/>
    <cellStyle name="Output 3 7 3" xfId="33022" xr:uid="{00000000-0005-0000-0000-0000996C0000}"/>
    <cellStyle name="Output 3 7 4" xfId="33023" xr:uid="{00000000-0005-0000-0000-00009A6C0000}"/>
    <cellStyle name="Output 3 8" xfId="18227" xr:uid="{00000000-0005-0000-0000-00009B6C0000}"/>
    <cellStyle name="Output 3 8 2" xfId="18228" xr:uid="{00000000-0005-0000-0000-00009C6C0000}"/>
    <cellStyle name="Output 3 8 3" xfId="33024" xr:uid="{00000000-0005-0000-0000-00009D6C0000}"/>
    <cellStyle name="Output 3 8 4" xfId="33025" xr:uid="{00000000-0005-0000-0000-00009E6C0000}"/>
    <cellStyle name="Output 3 9" xfId="18229" xr:uid="{00000000-0005-0000-0000-00009F6C0000}"/>
    <cellStyle name="Output 3 9 2" xfId="18230" xr:uid="{00000000-0005-0000-0000-0000A06C0000}"/>
    <cellStyle name="Output 3 9 3" xfId="33026" xr:uid="{00000000-0005-0000-0000-0000A16C0000}"/>
    <cellStyle name="Output 3 9 4" xfId="33027" xr:uid="{00000000-0005-0000-0000-0000A26C0000}"/>
    <cellStyle name="Output 4" xfId="18231" xr:uid="{00000000-0005-0000-0000-0000A36C0000}"/>
    <cellStyle name="Output 4 10" xfId="18232" xr:uid="{00000000-0005-0000-0000-0000A46C0000}"/>
    <cellStyle name="Output 4 10 2" xfId="18233" xr:uid="{00000000-0005-0000-0000-0000A56C0000}"/>
    <cellStyle name="Output 4 10 3" xfId="33028" xr:uid="{00000000-0005-0000-0000-0000A66C0000}"/>
    <cellStyle name="Output 4 10 4" xfId="33029" xr:uid="{00000000-0005-0000-0000-0000A76C0000}"/>
    <cellStyle name="Output 4 11" xfId="18234" xr:uid="{00000000-0005-0000-0000-0000A86C0000}"/>
    <cellStyle name="Output 4 11 2" xfId="18235" xr:uid="{00000000-0005-0000-0000-0000A96C0000}"/>
    <cellStyle name="Output 4 11 3" xfId="33030" xr:uid="{00000000-0005-0000-0000-0000AA6C0000}"/>
    <cellStyle name="Output 4 11 4" xfId="33031" xr:uid="{00000000-0005-0000-0000-0000AB6C0000}"/>
    <cellStyle name="Output 4 12" xfId="18236" xr:uid="{00000000-0005-0000-0000-0000AC6C0000}"/>
    <cellStyle name="Output 4 13" xfId="33032" xr:uid="{00000000-0005-0000-0000-0000AD6C0000}"/>
    <cellStyle name="Output 4 14" xfId="33033" xr:uid="{00000000-0005-0000-0000-0000AE6C0000}"/>
    <cellStyle name="Output 4 2" xfId="18237" xr:uid="{00000000-0005-0000-0000-0000AF6C0000}"/>
    <cellStyle name="Output 4 2 10" xfId="33034" xr:uid="{00000000-0005-0000-0000-0000B06C0000}"/>
    <cellStyle name="Output 4 2 2" xfId="18238" xr:uid="{00000000-0005-0000-0000-0000B16C0000}"/>
    <cellStyle name="Output 4 2 2 2" xfId="18239" xr:uid="{00000000-0005-0000-0000-0000B26C0000}"/>
    <cellStyle name="Output 4 2 2 3" xfId="33035" xr:uid="{00000000-0005-0000-0000-0000B36C0000}"/>
    <cellStyle name="Output 4 2 2 4" xfId="33036" xr:uid="{00000000-0005-0000-0000-0000B46C0000}"/>
    <cellStyle name="Output 4 2 3" xfId="18240" xr:uid="{00000000-0005-0000-0000-0000B56C0000}"/>
    <cellStyle name="Output 4 2 3 2" xfId="18241" xr:uid="{00000000-0005-0000-0000-0000B66C0000}"/>
    <cellStyle name="Output 4 2 3 3" xfId="33037" xr:uid="{00000000-0005-0000-0000-0000B76C0000}"/>
    <cellStyle name="Output 4 2 3 4" xfId="33038" xr:uid="{00000000-0005-0000-0000-0000B86C0000}"/>
    <cellStyle name="Output 4 2 4" xfId="18242" xr:uid="{00000000-0005-0000-0000-0000B96C0000}"/>
    <cellStyle name="Output 4 2 4 2" xfId="18243" xr:uid="{00000000-0005-0000-0000-0000BA6C0000}"/>
    <cellStyle name="Output 4 2 4 3" xfId="33039" xr:uid="{00000000-0005-0000-0000-0000BB6C0000}"/>
    <cellStyle name="Output 4 2 4 4" xfId="33040" xr:uid="{00000000-0005-0000-0000-0000BC6C0000}"/>
    <cellStyle name="Output 4 2 5" xfId="18244" xr:uid="{00000000-0005-0000-0000-0000BD6C0000}"/>
    <cellStyle name="Output 4 2 5 2" xfId="18245" xr:uid="{00000000-0005-0000-0000-0000BE6C0000}"/>
    <cellStyle name="Output 4 2 5 3" xfId="33041" xr:uid="{00000000-0005-0000-0000-0000BF6C0000}"/>
    <cellStyle name="Output 4 2 5 4" xfId="33042" xr:uid="{00000000-0005-0000-0000-0000C06C0000}"/>
    <cellStyle name="Output 4 2 6" xfId="18246" xr:uid="{00000000-0005-0000-0000-0000C16C0000}"/>
    <cellStyle name="Output 4 2 6 2" xfId="18247" xr:uid="{00000000-0005-0000-0000-0000C26C0000}"/>
    <cellStyle name="Output 4 2 6 3" xfId="33043" xr:uid="{00000000-0005-0000-0000-0000C36C0000}"/>
    <cellStyle name="Output 4 2 6 4" xfId="33044" xr:uid="{00000000-0005-0000-0000-0000C46C0000}"/>
    <cellStyle name="Output 4 2 7" xfId="18248" xr:uid="{00000000-0005-0000-0000-0000C56C0000}"/>
    <cellStyle name="Output 4 2 7 2" xfId="18249" xr:uid="{00000000-0005-0000-0000-0000C66C0000}"/>
    <cellStyle name="Output 4 2 7 3" xfId="33045" xr:uid="{00000000-0005-0000-0000-0000C76C0000}"/>
    <cellStyle name="Output 4 2 7 4" xfId="33046" xr:uid="{00000000-0005-0000-0000-0000C86C0000}"/>
    <cellStyle name="Output 4 2 8" xfId="18250" xr:uid="{00000000-0005-0000-0000-0000C96C0000}"/>
    <cellStyle name="Output 4 2 9" xfId="33047" xr:uid="{00000000-0005-0000-0000-0000CA6C0000}"/>
    <cellStyle name="Output 4 3" xfId="18251" xr:uid="{00000000-0005-0000-0000-0000CB6C0000}"/>
    <cellStyle name="Output 4 3 10" xfId="33048" xr:uid="{00000000-0005-0000-0000-0000CC6C0000}"/>
    <cellStyle name="Output 4 3 2" xfId="18252" xr:uid="{00000000-0005-0000-0000-0000CD6C0000}"/>
    <cellStyle name="Output 4 3 2 2" xfId="18253" xr:uid="{00000000-0005-0000-0000-0000CE6C0000}"/>
    <cellStyle name="Output 4 3 2 3" xfId="33049" xr:uid="{00000000-0005-0000-0000-0000CF6C0000}"/>
    <cellStyle name="Output 4 3 2 4" xfId="33050" xr:uid="{00000000-0005-0000-0000-0000D06C0000}"/>
    <cellStyle name="Output 4 3 3" xfId="18254" xr:uid="{00000000-0005-0000-0000-0000D16C0000}"/>
    <cellStyle name="Output 4 3 3 2" xfId="18255" xr:uid="{00000000-0005-0000-0000-0000D26C0000}"/>
    <cellStyle name="Output 4 3 3 3" xfId="33051" xr:uid="{00000000-0005-0000-0000-0000D36C0000}"/>
    <cellStyle name="Output 4 3 3 4" xfId="33052" xr:uid="{00000000-0005-0000-0000-0000D46C0000}"/>
    <cellStyle name="Output 4 3 4" xfId="18256" xr:uid="{00000000-0005-0000-0000-0000D56C0000}"/>
    <cellStyle name="Output 4 3 4 2" xfId="18257" xr:uid="{00000000-0005-0000-0000-0000D66C0000}"/>
    <cellStyle name="Output 4 3 4 3" xfId="33053" xr:uid="{00000000-0005-0000-0000-0000D76C0000}"/>
    <cellStyle name="Output 4 3 4 4" xfId="33054" xr:uid="{00000000-0005-0000-0000-0000D86C0000}"/>
    <cellStyle name="Output 4 3 5" xfId="18258" xr:uid="{00000000-0005-0000-0000-0000D96C0000}"/>
    <cellStyle name="Output 4 3 5 2" xfId="18259" xr:uid="{00000000-0005-0000-0000-0000DA6C0000}"/>
    <cellStyle name="Output 4 3 5 3" xfId="33055" xr:uid="{00000000-0005-0000-0000-0000DB6C0000}"/>
    <cellStyle name="Output 4 3 5 4" xfId="33056" xr:uid="{00000000-0005-0000-0000-0000DC6C0000}"/>
    <cellStyle name="Output 4 3 6" xfId="18260" xr:uid="{00000000-0005-0000-0000-0000DD6C0000}"/>
    <cellStyle name="Output 4 3 6 2" xfId="18261" xr:uid="{00000000-0005-0000-0000-0000DE6C0000}"/>
    <cellStyle name="Output 4 3 6 3" xfId="33057" xr:uid="{00000000-0005-0000-0000-0000DF6C0000}"/>
    <cellStyle name="Output 4 3 6 4" xfId="33058" xr:uid="{00000000-0005-0000-0000-0000E06C0000}"/>
    <cellStyle name="Output 4 3 7" xfId="18262" xr:uid="{00000000-0005-0000-0000-0000E16C0000}"/>
    <cellStyle name="Output 4 3 7 2" xfId="18263" xr:uid="{00000000-0005-0000-0000-0000E26C0000}"/>
    <cellStyle name="Output 4 3 7 3" xfId="33059" xr:uid="{00000000-0005-0000-0000-0000E36C0000}"/>
    <cellStyle name="Output 4 3 7 4" xfId="33060" xr:uid="{00000000-0005-0000-0000-0000E46C0000}"/>
    <cellStyle name="Output 4 3 8" xfId="18264" xr:uid="{00000000-0005-0000-0000-0000E56C0000}"/>
    <cellStyle name="Output 4 3 9" xfId="33061" xr:uid="{00000000-0005-0000-0000-0000E66C0000}"/>
    <cellStyle name="Output 4 4" xfId="18265" xr:uid="{00000000-0005-0000-0000-0000E76C0000}"/>
    <cellStyle name="Output 4 4 10" xfId="33062" xr:uid="{00000000-0005-0000-0000-0000E86C0000}"/>
    <cellStyle name="Output 4 4 2" xfId="18266" xr:uid="{00000000-0005-0000-0000-0000E96C0000}"/>
    <cellStyle name="Output 4 4 2 2" xfId="18267" xr:uid="{00000000-0005-0000-0000-0000EA6C0000}"/>
    <cellStyle name="Output 4 4 2 3" xfId="33063" xr:uid="{00000000-0005-0000-0000-0000EB6C0000}"/>
    <cellStyle name="Output 4 4 2 4" xfId="33064" xr:uid="{00000000-0005-0000-0000-0000EC6C0000}"/>
    <cellStyle name="Output 4 4 3" xfId="18268" xr:uid="{00000000-0005-0000-0000-0000ED6C0000}"/>
    <cellStyle name="Output 4 4 3 2" xfId="18269" xr:uid="{00000000-0005-0000-0000-0000EE6C0000}"/>
    <cellStyle name="Output 4 4 3 3" xfId="33065" xr:uid="{00000000-0005-0000-0000-0000EF6C0000}"/>
    <cellStyle name="Output 4 4 3 4" xfId="33066" xr:uid="{00000000-0005-0000-0000-0000F06C0000}"/>
    <cellStyle name="Output 4 4 4" xfId="18270" xr:uid="{00000000-0005-0000-0000-0000F16C0000}"/>
    <cellStyle name="Output 4 4 4 2" xfId="18271" xr:uid="{00000000-0005-0000-0000-0000F26C0000}"/>
    <cellStyle name="Output 4 4 4 3" xfId="33067" xr:uid="{00000000-0005-0000-0000-0000F36C0000}"/>
    <cellStyle name="Output 4 4 4 4" xfId="33068" xr:uid="{00000000-0005-0000-0000-0000F46C0000}"/>
    <cellStyle name="Output 4 4 5" xfId="18272" xr:uid="{00000000-0005-0000-0000-0000F56C0000}"/>
    <cellStyle name="Output 4 4 5 2" xfId="18273" xr:uid="{00000000-0005-0000-0000-0000F66C0000}"/>
    <cellStyle name="Output 4 4 5 3" xfId="33069" xr:uid="{00000000-0005-0000-0000-0000F76C0000}"/>
    <cellStyle name="Output 4 4 5 4" xfId="33070" xr:uid="{00000000-0005-0000-0000-0000F86C0000}"/>
    <cellStyle name="Output 4 4 6" xfId="18274" xr:uid="{00000000-0005-0000-0000-0000F96C0000}"/>
    <cellStyle name="Output 4 4 6 2" xfId="18275" xr:uid="{00000000-0005-0000-0000-0000FA6C0000}"/>
    <cellStyle name="Output 4 4 6 3" xfId="33071" xr:uid="{00000000-0005-0000-0000-0000FB6C0000}"/>
    <cellStyle name="Output 4 4 6 4" xfId="33072" xr:uid="{00000000-0005-0000-0000-0000FC6C0000}"/>
    <cellStyle name="Output 4 4 7" xfId="18276" xr:uid="{00000000-0005-0000-0000-0000FD6C0000}"/>
    <cellStyle name="Output 4 4 7 2" xfId="18277" xr:uid="{00000000-0005-0000-0000-0000FE6C0000}"/>
    <cellStyle name="Output 4 4 7 3" xfId="33073" xr:uid="{00000000-0005-0000-0000-0000FF6C0000}"/>
    <cellStyle name="Output 4 4 7 4" xfId="33074" xr:uid="{00000000-0005-0000-0000-0000006D0000}"/>
    <cellStyle name="Output 4 4 8" xfId="18278" xr:uid="{00000000-0005-0000-0000-0000016D0000}"/>
    <cellStyle name="Output 4 4 9" xfId="33075" xr:uid="{00000000-0005-0000-0000-0000026D0000}"/>
    <cellStyle name="Output 4 5" xfId="18279" xr:uid="{00000000-0005-0000-0000-0000036D0000}"/>
    <cellStyle name="Output 4 5 10" xfId="33076" xr:uid="{00000000-0005-0000-0000-0000046D0000}"/>
    <cellStyle name="Output 4 5 2" xfId="18280" xr:uid="{00000000-0005-0000-0000-0000056D0000}"/>
    <cellStyle name="Output 4 5 2 2" xfId="18281" xr:uid="{00000000-0005-0000-0000-0000066D0000}"/>
    <cellStyle name="Output 4 5 2 3" xfId="33077" xr:uid="{00000000-0005-0000-0000-0000076D0000}"/>
    <cellStyle name="Output 4 5 2 4" xfId="33078" xr:uid="{00000000-0005-0000-0000-0000086D0000}"/>
    <cellStyle name="Output 4 5 3" xfId="18282" xr:uid="{00000000-0005-0000-0000-0000096D0000}"/>
    <cellStyle name="Output 4 5 3 2" xfId="18283" xr:uid="{00000000-0005-0000-0000-00000A6D0000}"/>
    <cellStyle name="Output 4 5 3 3" xfId="33079" xr:uid="{00000000-0005-0000-0000-00000B6D0000}"/>
    <cellStyle name="Output 4 5 3 4" xfId="33080" xr:uid="{00000000-0005-0000-0000-00000C6D0000}"/>
    <cellStyle name="Output 4 5 4" xfId="18284" xr:uid="{00000000-0005-0000-0000-00000D6D0000}"/>
    <cellStyle name="Output 4 5 4 2" xfId="18285" xr:uid="{00000000-0005-0000-0000-00000E6D0000}"/>
    <cellStyle name="Output 4 5 4 3" xfId="33081" xr:uid="{00000000-0005-0000-0000-00000F6D0000}"/>
    <cellStyle name="Output 4 5 4 4" xfId="33082" xr:uid="{00000000-0005-0000-0000-0000106D0000}"/>
    <cellStyle name="Output 4 5 5" xfId="18286" xr:uid="{00000000-0005-0000-0000-0000116D0000}"/>
    <cellStyle name="Output 4 5 5 2" xfId="18287" xr:uid="{00000000-0005-0000-0000-0000126D0000}"/>
    <cellStyle name="Output 4 5 5 3" xfId="33083" xr:uid="{00000000-0005-0000-0000-0000136D0000}"/>
    <cellStyle name="Output 4 5 5 4" xfId="33084" xr:uid="{00000000-0005-0000-0000-0000146D0000}"/>
    <cellStyle name="Output 4 5 6" xfId="18288" xr:uid="{00000000-0005-0000-0000-0000156D0000}"/>
    <cellStyle name="Output 4 5 6 2" xfId="18289" xr:uid="{00000000-0005-0000-0000-0000166D0000}"/>
    <cellStyle name="Output 4 5 6 3" xfId="33085" xr:uid="{00000000-0005-0000-0000-0000176D0000}"/>
    <cellStyle name="Output 4 5 6 4" xfId="33086" xr:uid="{00000000-0005-0000-0000-0000186D0000}"/>
    <cellStyle name="Output 4 5 7" xfId="18290" xr:uid="{00000000-0005-0000-0000-0000196D0000}"/>
    <cellStyle name="Output 4 5 7 2" xfId="18291" xr:uid="{00000000-0005-0000-0000-00001A6D0000}"/>
    <cellStyle name="Output 4 5 7 3" xfId="33087" xr:uid="{00000000-0005-0000-0000-00001B6D0000}"/>
    <cellStyle name="Output 4 5 7 4" xfId="33088" xr:uid="{00000000-0005-0000-0000-00001C6D0000}"/>
    <cellStyle name="Output 4 5 8" xfId="18292" xr:uid="{00000000-0005-0000-0000-00001D6D0000}"/>
    <cellStyle name="Output 4 5 9" xfId="33089" xr:uid="{00000000-0005-0000-0000-00001E6D0000}"/>
    <cellStyle name="Output 4 6" xfId="18293" xr:uid="{00000000-0005-0000-0000-00001F6D0000}"/>
    <cellStyle name="Output 4 6 2" xfId="18294" xr:uid="{00000000-0005-0000-0000-0000206D0000}"/>
    <cellStyle name="Output 4 6 3" xfId="33090" xr:uid="{00000000-0005-0000-0000-0000216D0000}"/>
    <cellStyle name="Output 4 6 4" xfId="33091" xr:uid="{00000000-0005-0000-0000-0000226D0000}"/>
    <cellStyle name="Output 4 7" xfId="18295" xr:uid="{00000000-0005-0000-0000-0000236D0000}"/>
    <cellStyle name="Output 4 7 2" xfId="18296" xr:uid="{00000000-0005-0000-0000-0000246D0000}"/>
    <cellStyle name="Output 4 7 3" xfId="33092" xr:uid="{00000000-0005-0000-0000-0000256D0000}"/>
    <cellStyle name="Output 4 7 4" xfId="33093" xr:uid="{00000000-0005-0000-0000-0000266D0000}"/>
    <cellStyle name="Output 4 8" xfId="18297" xr:uid="{00000000-0005-0000-0000-0000276D0000}"/>
    <cellStyle name="Output 4 8 2" xfId="18298" xr:uid="{00000000-0005-0000-0000-0000286D0000}"/>
    <cellStyle name="Output 4 8 3" xfId="33094" xr:uid="{00000000-0005-0000-0000-0000296D0000}"/>
    <cellStyle name="Output 4 8 4" xfId="33095" xr:uid="{00000000-0005-0000-0000-00002A6D0000}"/>
    <cellStyle name="Output 4 9" xfId="18299" xr:uid="{00000000-0005-0000-0000-00002B6D0000}"/>
    <cellStyle name="Output 4 9 2" xfId="18300" xr:uid="{00000000-0005-0000-0000-00002C6D0000}"/>
    <cellStyle name="Output 4 9 3" xfId="33096" xr:uid="{00000000-0005-0000-0000-00002D6D0000}"/>
    <cellStyle name="Output 4 9 4" xfId="33097" xr:uid="{00000000-0005-0000-0000-00002E6D0000}"/>
    <cellStyle name="Output 5" xfId="18301" xr:uid="{00000000-0005-0000-0000-00002F6D0000}"/>
    <cellStyle name="Output 5 10" xfId="18302" xr:uid="{00000000-0005-0000-0000-0000306D0000}"/>
    <cellStyle name="Output 5 10 2" xfId="18303" xr:uid="{00000000-0005-0000-0000-0000316D0000}"/>
    <cellStyle name="Output 5 10 3" xfId="33098" xr:uid="{00000000-0005-0000-0000-0000326D0000}"/>
    <cellStyle name="Output 5 10 4" xfId="33099" xr:uid="{00000000-0005-0000-0000-0000336D0000}"/>
    <cellStyle name="Output 5 11" xfId="18304" xr:uid="{00000000-0005-0000-0000-0000346D0000}"/>
    <cellStyle name="Output 5 11 2" xfId="18305" xr:uid="{00000000-0005-0000-0000-0000356D0000}"/>
    <cellStyle name="Output 5 11 3" xfId="33100" xr:uid="{00000000-0005-0000-0000-0000366D0000}"/>
    <cellStyle name="Output 5 11 4" xfId="33101" xr:uid="{00000000-0005-0000-0000-0000376D0000}"/>
    <cellStyle name="Output 5 12" xfId="18306" xr:uid="{00000000-0005-0000-0000-0000386D0000}"/>
    <cellStyle name="Output 5 13" xfId="33102" xr:uid="{00000000-0005-0000-0000-0000396D0000}"/>
    <cellStyle name="Output 5 14" xfId="33103" xr:uid="{00000000-0005-0000-0000-00003A6D0000}"/>
    <cellStyle name="Output 5 2" xfId="18307" xr:uid="{00000000-0005-0000-0000-00003B6D0000}"/>
    <cellStyle name="Output 5 2 10" xfId="33104" xr:uid="{00000000-0005-0000-0000-00003C6D0000}"/>
    <cellStyle name="Output 5 2 2" xfId="18308" xr:uid="{00000000-0005-0000-0000-00003D6D0000}"/>
    <cellStyle name="Output 5 2 2 2" xfId="18309" xr:uid="{00000000-0005-0000-0000-00003E6D0000}"/>
    <cellStyle name="Output 5 2 2 3" xfId="33105" xr:uid="{00000000-0005-0000-0000-00003F6D0000}"/>
    <cellStyle name="Output 5 2 2 4" xfId="33106" xr:uid="{00000000-0005-0000-0000-0000406D0000}"/>
    <cellStyle name="Output 5 2 3" xfId="18310" xr:uid="{00000000-0005-0000-0000-0000416D0000}"/>
    <cellStyle name="Output 5 2 3 2" xfId="18311" xr:uid="{00000000-0005-0000-0000-0000426D0000}"/>
    <cellStyle name="Output 5 2 3 3" xfId="33107" xr:uid="{00000000-0005-0000-0000-0000436D0000}"/>
    <cellStyle name="Output 5 2 3 4" xfId="33108" xr:uid="{00000000-0005-0000-0000-0000446D0000}"/>
    <cellStyle name="Output 5 2 4" xfId="18312" xr:uid="{00000000-0005-0000-0000-0000456D0000}"/>
    <cellStyle name="Output 5 2 4 2" xfId="18313" xr:uid="{00000000-0005-0000-0000-0000466D0000}"/>
    <cellStyle name="Output 5 2 4 3" xfId="33109" xr:uid="{00000000-0005-0000-0000-0000476D0000}"/>
    <cellStyle name="Output 5 2 4 4" xfId="33110" xr:uid="{00000000-0005-0000-0000-0000486D0000}"/>
    <cellStyle name="Output 5 2 5" xfId="18314" xr:uid="{00000000-0005-0000-0000-0000496D0000}"/>
    <cellStyle name="Output 5 2 5 2" xfId="18315" xr:uid="{00000000-0005-0000-0000-00004A6D0000}"/>
    <cellStyle name="Output 5 2 5 3" xfId="33111" xr:uid="{00000000-0005-0000-0000-00004B6D0000}"/>
    <cellStyle name="Output 5 2 5 4" xfId="33112" xr:uid="{00000000-0005-0000-0000-00004C6D0000}"/>
    <cellStyle name="Output 5 2 6" xfId="18316" xr:uid="{00000000-0005-0000-0000-00004D6D0000}"/>
    <cellStyle name="Output 5 2 6 2" xfId="18317" xr:uid="{00000000-0005-0000-0000-00004E6D0000}"/>
    <cellStyle name="Output 5 2 6 3" xfId="33113" xr:uid="{00000000-0005-0000-0000-00004F6D0000}"/>
    <cellStyle name="Output 5 2 6 4" xfId="33114" xr:uid="{00000000-0005-0000-0000-0000506D0000}"/>
    <cellStyle name="Output 5 2 7" xfId="18318" xr:uid="{00000000-0005-0000-0000-0000516D0000}"/>
    <cellStyle name="Output 5 2 7 2" xfId="18319" xr:uid="{00000000-0005-0000-0000-0000526D0000}"/>
    <cellStyle name="Output 5 2 7 3" xfId="33115" xr:uid="{00000000-0005-0000-0000-0000536D0000}"/>
    <cellStyle name="Output 5 2 7 4" xfId="33116" xr:uid="{00000000-0005-0000-0000-0000546D0000}"/>
    <cellStyle name="Output 5 2 8" xfId="18320" xr:uid="{00000000-0005-0000-0000-0000556D0000}"/>
    <cellStyle name="Output 5 2 9" xfId="33117" xr:uid="{00000000-0005-0000-0000-0000566D0000}"/>
    <cellStyle name="Output 5 3" xfId="18321" xr:uid="{00000000-0005-0000-0000-0000576D0000}"/>
    <cellStyle name="Output 5 3 10" xfId="33118" xr:uid="{00000000-0005-0000-0000-0000586D0000}"/>
    <cellStyle name="Output 5 3 2" xfId="18322" xr:uid="{00000000-0005-0000-0000-0000596D0000}"/>
    <cellStyle name="Output 5 3 2 2" xfId="18323" xr:uid="{00000000-0005-0000-0000-00005A6D0000}"/>
    <cellStyle name="Output 5 3 2 3" xfId="33119" xr:uid="{00000000-0005-0000-0000-00005B6D0000}"/>
    <cellStyle name="Output 5 3 2 4" xfId="33120" xr:uid="{00000000-0005-0000-0000-00005C6D0000}"/>
    <cellStyle name="Output 5 3 3" xfId="18324" xr:uid="{00000000-0005-0000-0000-00005D6D0000}"/>
    <cellStyle name="Output 5 3 3 2" xfId="18325" xr:uid="{00000000-0005-0000-0000-00005E6D0000}"/>
    <cellStyle name="Output 5 3 3 3" xfId="33121" xr:uid="{00000000-0005-0000-0000-00005F6D0000}"/>
    <cellStyle name="Output 5 3 3 4" xfId="33122" xr:uid="{00000000-0005-0000-0000-0000606D0000}"/>
    <cellStyle name="Output 5 3 4" xfId="18326" xr:uid="{00000000-0005-0000-0000-0000616D0000}"/>
    <cellStyle name="Output 5 3 4 2" xfId="18327" xr:uid="{00000000-0005-0000-0000-0000626D0000}"/>
    <cellStyle name="Output 5 3 4 3" xfId="33123" xr:uid="{00000000-0005-0000-0000-0000636D0000}"/>
    <cellStyle name="Output 5 3 4 4" xfId="33124" xr:uid="{00000000-0005-0000-0000-0000646D0000}"/>
    <cellStyle name="Output 5 3 5" xfId="18328" xr:uid="{00000000-0005-0000-0000-0000656D0000}"/>
    <cellStyle name="Output 5 3 5 2" xfId="18329" xr:uid="{00000000-0005-0000-0000-0000666D0000}"/>
    <cellStyle name="Output 5 3 5 3" xfId="33125" xr:uid="{00000000-0005-0000-0000-0000676D0000}"/>
    <cellStyle name="Output 5 3 5 4" xfId="33126" xr:uid="{00000000-0005-0000-0000-0000686D0000}"/>
    <cellStyle name="Output 5 3 6" xfId="18330" xr:uid="{00000000-0005-0000-0000-0000696D0000}"/>
    <cellStyle name="Output 5 3 6 2" xfId="18331" xr:uid="{00000000-0005-0000-0000-00006A6D0000}"/>
    <cellStyle name="Output 5 3 6 3" xfId="33127" xr:uid="{00000000-0005-0000-0000-00006B6D0000}"/>
    <cellStyle name="Output 5 3 6 4" xfId="33128" xr:uid="{00000000-0005-0000-0000-00006C6D0000}"/>
    <cellStyle name="Output 5 3 7" xfId="18332" xr:uid="{00000000-0005-0000-0000-00006D6D0000}"/>
    <cellStyle name="Output 5 3 7 2" xfId="18333" xr:uid="{00000000-0005-0000-0000-00006E6D0000}"/>
    <cellStyle name="Output 5 3 7 3" xfId="33129" xr:uid="{00000000-0005-0000-0000-00006F6D0000}"/>
    <cellStyle name="Output 5 3 7 4" xfId="33130" xr:uid="{00000000-0005-0000-0000-0000706D0000}"/>
    <cellStyle name="Output 5 3 8" xfId="18334" xr:uid="{00000000-0005-0000-0000-0000716D0000}"/>
    <cellStyle name="Output 5 3 9" xfId="33131" xr:uid="{00000000-0005-0000-0000-0000726D0000}"/>
    <cellStyle name="Output 5 4" xfId="18335" xr:uid="{00000000-0005-0000-0000-0000736D0000}"/>
    <cellStyle name="Output 5 4 10" xfId="33132" xr:uid="{00000000-0005-0000-0000-0000746D0000}"/>
    <cellStyle name="Output 5 4 2" xfId="18336" xr:uid="{00000000-0005-0000-0000-0000756D0000}"/>
    <cellStyle name="Output 5 4 2 2" xfId="18337" xr:uid="{00000000-0005-0000-0000-0000766D0000}"/>
    <cellStyle name="Output 5 4 2 3" xfId="33133" xr:uid="{00000000-0005-0000-0000-0000776D0000}"/>
    <cellStyle name="Output 5 4 2 4" xfId="33134" xr:uid="{00000000-0005-0000-0000-0000786D0000}"/>
    <cellStyle name="Output 5 4 3" xfId="18338" xr:uid="{00000000-0005-0000-0000-0000796D0000}"/>
    <cellStyle name="Output 5 4 3 2" xfId="18339" xr:uid="{00000000-0005-0000-0000-00007A6D0000}"/>
    <cellStyle name="Output 5 4 3 3" xfId="33135" xr:uid="{00000000-0005-0000-0000-00007B6D0000}"/>
    <cellStyle name="Output 5 4 3 4" xfId="33136" xr:uid="{00000000-0005-0000-0000-00007C6D0000}"/>
    <cellStyle name="Output 5 4 4" xfId="18340" xr:uid="{00000000-0005-0000-0000-00007D6D0000}"/>
    <cellStyle name="Output 5 4 4 2" xfId="18341" xr:uid="{00000000-0005-0000-0000-00007E6D0000}"/>
    <cellStyle name="Output 5 4 4 3" xfId="33137" xr:uid="{00000000-0005-0000-0000-00007F6D0000}"/>
    <cellStyle name="Output 5 4 4 4" xfId="33138" xr:uid="{00000000-0005-0000-0000-0000806D0000}"/>
    <cellStyle name="Output 5 4 5" xfId="18342" xr:uid="{00000000-0005-0000-0000-0000816D0000}"/>
    <cellStyle name="Output 5 4 5 2" xfId="18343" xr:uid="{00000000-0005-0000-0000-0000826D0000}"/>
    <cellStyle name="Output 5 4 5 3" xfId="33139" xr:uid="{00000000-0005-0000-0000-0000836D0000}"/>
    <cellStyle name="Output 5 4 5 4" xfId="33140" xr:uid="{00000000-0005-0000-0000-0000846D0000}"/>
    <cellStyle name="Output 5 4 6" xfId="18344" xr:uid="{00000000-0005-0000-0000-0000856D0000}"/>
    <cellStyle name="Output 5 4 6 2" xfId="18345" xr:uid="{00000000-0005-0000-0000-0000866D0000}"/>
    <cellStyle name="Output 5 4 6 3" xfId="33141" xr:uid="{00000000-0005-0000-0000-0000876D0000}"/>
    <cellStyle name="Output 5 4 6 4" xfId="33142" xr:uid="{00000000-0005-0000-0000-0000886D0000}"/>
    <cellStyle name="Output 5 4 7" xfId="18346" xr:uid="{00000000-0005-0000-0000-0000896D0000}"/>
    <cellStyle name="Output 5 4 7 2" xfId="18347" xr:uid="{00000000-0005-0000-0000-00008A6D0000}"/>
    <cellStyle name="Output 5 4 7 3" xfId="33143" xr:uid="{00000000-0005-0000-0000-00008B6D0000}"/>
    <cellStyle name="Output 5 4 7 4" xfId="33144" xr:uid="{00000000-0005-0000-0000-00008C6D0000}"/>
    <cellStyle name="Output 5 4 8" xfId="18348" xr:uid="{00000000-0005-0000-0000-00008D6D0000}"/>
    <cellStyle name="Output 5 4 9" xfId="33145" xr:uid="{00000000-0005-0000-0000-00008E6D0000}"/>
    <cellStyle name="Output 5 5" xfId="18349" xr:uid="{00000000-0005-0000-0000-00008F6D0000}"/>
    <cellStyle name="Output 5 5 10" xfId="33146" xr:uid="{00000000-0005-0000-0000-0000906D0000}"/>
    <cellStyle name="Output 5 5 2" xfId="18350" xr:uid="{00000000-0005-0000-0000-0000916D0000}"/>
    <cellStyle name="Output 5 5 2 2" xfId="18351" xr:uid="{00000000-0005-0000-0000-0000926D0000}"/>
    <cellStyle name="Output 5 5 2 3" xfId="33147" xr:uid="{00000000-0005-0000-0000-0000936D0000}"/>
    <cellStyle name="Output 5 5 2 4" xfId="33148" xr:uid="{00000000-0005-0000-0000-0000946D0000}"/>
    <cellStyle name="Output 5 5 3" xfId="18352" xr:uid="{00000000-0005-0000-0000-0000956D0000}"/>
    <cellStyle name="Output 5 5 3 2" xfId="18353" xr:uid="{00000000-0005-0000-0000-0000966D0000}"/>
    <cellStyle name="Output 5 5 3 3" xfId="33149" xr:uid="{00000000-0005-0000-0000-0000976D0000}"/>
    <cellStyle name="Output 5 5 3 4" xfId="33150" xr:uid="{00000000-0005-0000-0000-0000986D0000}"/>
    <cellStyle name="Output 5 5 4" xfId="18354" xr:uid="{00000000-0005-0000-0000-0000996D0000}"/>
    <cellStyle name="Output 5 5 4 2" xfId="18355" xr:uid="{00000000-0005-0000-0000-00009A6D0000}"/>
    <cellStyle name="Output 5 5 4 3" xfId="33151" xr:uid="{00000000-0005-0000-0000-00009B6D0000}"/>
    <cellStyle name="Output 5 5 4 4" xfId="33152" xr:uid="{00000000-0005-0000-0000-00009C6D0000}"/>
    <cellStyle name="Output 5 5 5" xfId="18356" xr:uid="{00000000-0005-0000-0000-00009D6D0000}"/>
    <cellStyle name="Output 5 5 5 2" xfId="18357" xr:uid="{00000000-0005-0000-0000-00009E6D0000}"/>
    <cellStyle name="Output 5 5 5 3" xfId="33153" xr:uid="{00000000-0005-0000-0000-00009F6D0000}"/>
    <cellStyle name="Output 5 5 5 4" xfId="33154" xr:uid="{00000000-0005-0000-0000-0000A06D0000}"/>
    <cellStyle name="Output 5 5 6" xfId="18358" xr:uid="{00000000-0005-0000-0000-0000A16D0000}"/>
    <cellStyle name="Output 5 5 6 2" xfId="18359" xr:uid="{00000000-0005-0000-0000-0000A26D0000}"/>
    <cellStyle name="Output 5 5 6 3" xfId="33155" xr:uid="{00000000-0005-0000-0000-0000A36D0000}"/>
    <cellStyle name="Output 5 5 6 4" xfId="33156" xr:uid="{00000000-0005-0000-0000-0000A46D0000}"/>
    <cellStyle name="Output 5 5 7" xfId="18360" xr:uid="{00000000-0005-0000-0000-0000A56D0000}"/>
    <cellStyle name="Output 5 5 7 2" xfId="18361" xr:uid="{00000000-0005-0000-0000-0000A66D0000}"/>
    <cellStyle name="Output 5 5 7 3" xfId="33157" xr:uid="{00000000-0005-0000-0000-0000A76D0000}"/>
    <cellStyle name="Output 5 5 7 4" xfId="33158" xr:uid="{00000000-0005-0000-0000-0000A86D0000}"/>
    <cellStyle name="Output 5 5 8" xfId="18362" xr:uid="{00000000-0005-0000-0000-0000A96D0000}"/>
    <cellStyle name="Output 5 5 9" xfId="33159" xr:uid="{00000000-0005-0000-0000-0000AA6D0000}"/>
    <cellStyle name="Output 5 6" xfId="18363" xr:uid="{00000000-0005-0000-0000-0000AB6D0000}"/>
    <cellStyle name="Output 5 6 2" xfId="18364" xr:uid="{00000000-0005-0000-0000-0000AC6D0000}"/>
    <cellStyle name="Output 5 6 3" xfId="33160" xr:uid="{00000000-0005-0000-0000-0000AD6D0000}"/>
    <cellStyle name="Output 5 6 4" xfId="33161" xr:uid="{00000000-0005-0000-0000-0000AE6D0000}"/>
    <cellStyle name="Output 5 7" xfId="18365" xr:uid="{00000000-0005-0000-0000-0000AF6D0000}"/>
    <cellStyle name="Output 5 7 2" xfId="18366" xr:uid="{00000000-0005-0000-0000-0000B06D0000}"/>
    <cellStyle name="Output 5 7 3" xfId="33162" xr:uid="{00000000-0005-0000-0000-0000B16D0000}"/>
    <cellStyle name="Output 5 7 4" xfId="33163" xr:uid="{00000000-0005-0000-0000-0000B26D0000}"/>
    <cellStyle name="Output 5 8" xfId="18367" xr:uid="{00000000-0005-0000-0000-0000B36D0000}"/>
    <cellStyle name="Output 5 8 2" xfId="18368" xr:uid="{00000000-0005-0000-0000-0000B46D0000}"/>
    <cellStyle name="Output 5 8 3" xfId="33164" xr:uid="{00000000-0005-0000-0000-0000B56D0000}"/>
    <cellStyle name="Output 5 8 4" xfId="33165" xr:uid="{00000000-0005-0000-0000-0000B66D0000}"/>
    <cellStyle name="Output 5 9" xfId="18369" xr:uid="{00000000-0005-0000-0000-0000B76D0000}"/>
    <cellStyle name="Output 5 9 2" xfId="18370" xr:uid="{00000000-0005-0000-0000-0000B86D0000}"/>
    <cellStyle name="Output 5 9 3" xfId="33166" xr:uid="{00000000-0005-0000-0000-0000B96D0000}"/>
    <cellStyle name="Output 5 9 4" xfId="33167" xr:uid="{00000000-0005-0000-0000-0000BA6D0000}"/>
    <cellStyle name="Output 6" xfId="18371" xr:uid="{00000000-0005-0000-0000-0000BB6D0000}"/>
    <cellStyle name="Output 6 10" xfId="18372" xr:uid="{00000000-0005-0000-0000-0000BC6D0000}"/>
    <cellStyle name="Output 6 10 2" xfId="18373" xr:uid="{00000000-0005-0000-0000-0000BD6D0000}"/>
    <cellStyle name="Output 6 10 3" xfId="33168" xr:uid="{00000000-0005-0000-0000-0000BE6D0000}"/>
    <cellStyle name="Output 6 10 4" xfId="33169" xr:uid="{00000000-0005-0000-0000-0000BF6D0000}"/>
    <cellStyle name="Output 6 11" xfId="18374" xr:uid="{00000000-0005-0000-0000-0000C06D0000}"/>
    <cellStyle name="Output 6 11 2" xfId="18375" xr:uid="{00000000-0005-0000-0000-0000C16D0000}"/>
    <cellStyle name="Output 6 11 3" xfId="33170" xr:uid="{00000000-0005-0000-0000-0000C26D0000}"/>
    <cellStyle name="Output 6 11 4" xfId="33171" xr:uid="{00000000-0005-0000-0000-0000C36D0000}"/>
    <cellStyle name="Output 6 12" xfId="18376" xr:uid="{00000000-0005-0000-0000-0000C46D0000}"/>
    <cellStyle name="Output 6 13" xfId="33172" xr:uid="{00000000-0005-0000-0000-0000C56D0000}"/>
    <cellStyle name="Output 6 14" xfId="33173" xr:uid="{00000000-0005-0000-0000-0000C66D0000}"/>
    <cellStyle name="Output 6 2" xfId="18377" xr:uid="{00000000-0005-0000-0000-0000C76D0000}"/>
    <cellStyle name="Output 6 2 10" xfId="33174" xr:uid="{00000000-0005-0000-0000-0000C86D0000}"/>
    <cellStyle name="Output 6 2 2" xfId="18378" xr:uid="{00000000-0005-0000-0000-0000C96D0000}"/>
    <cellStyle name="Output 6 2 2 2" xfId="18379" xr:uid="{00000000-0005-0000-0000-0000CA6D0000}"/>
    <cellStyle name="Output 6 2 2 3" xfId="33175" xr:uid="{00000000-0005-0000-0000-0000CB6D0000}"/>
    <cellStyle name="Output 6 2 2 4" xfId="33176" xr:uid="{00000000-0005-0000-0000-0000CC6D0000}"/>
    <cellStyle name="Output 6 2 3" xfId="18380" xr:uid="{00000000-0005-0000-0000-0000CD6D0000}"/>
    <cellStyle name="Output 6 2 3 2" xfId="18381" xr:uid="{00000000-0005-0000-0000-0000CE6D0000}"/>
    <cellStyle name="Output 6 2 3 3" xfId="33177" xr:uid="{00000000-0005-0000-0000-0000CF6D0000}"/>
    <cellStyle name="Output 6 2 3 4" xfId="33178" xr:uid="{00000000-0005-0000-0000-0000D06D0000}"/>
    <cellStyle name="Output 6 2 4" xfId="18382" xr:uid="{00000000-0005-0000-0000-0000D16D0000}"/>
    <cellStyle name="Output 6 2 4 2" xfId="18383" xr:uid="{00000000-0005-0000-0000-0000D26D0000}"/>
    <cellStyle name="Output 6 2 4 3" xfId="33179" xr:uid="{00000000-0005-0000-0000-0000D36D0000}"/>
    <cellStyle name="Output 6 2 4 4" xfId="33180" xr:uid="{00000000-0005-0000-0000-0000D46D0000}"/>
    <cellStyle name="Output 6 2 5" xfId="18384" xr:uid="{00000000-0005-0000-0000-0000D56D0000}"/>
    <cellStyle name="Output 6 2 5 2" xfId="18385" xr:uid="{00000000-0005-0000-0000-0000D66D0000}"/>
    <cellStyle name="Output 6 2 5 3" xfId="33181" xr:uid="{00000000-0005-0000-0000-0000D76D0000}"/>
    <cellStyle name="Output 6 2 5 4" xfId="33182" xr:uid="{00000000-0005-0000-0000-0000D86D0000}"/>
    <cellStyle name="Output 6 2 6" xfId="18386" xr:uid="{00000000-0005-0000-0000-0000D96D0000}"/>
    <cellStyle name="Output 6 2 6 2" xfId="18387" xr:uid="{00000000-0005-0000-0000-0000DA6D0000}"/>
    <cellStyle name="Output 6 2 6 3" xfId="33183" xr:uid="{00000000-0005-0000-0000-0000DB6D0000}"/>
    <cellStyle name="Output 6 2 6 4" xfId="33184" xr:uid="{00000000-0005-0000-0000-0000DC6D0000}"/>
    <cellStyle name="Output 6 2 7" xfId="18388" xr:uid="{00000000-0005-0000-0000-0000DD6D0000}"/>
    <cellStyle name="Output 6 2 7 2" xfId="18389" xr:uid="{00000000-0005-0000-0000-0000DE6D0000}"/>
    <cellStyle name="Output 6 2 7 3" xfId="33185" xr:uid="{00000000-0005-0000-0000-0000DF6D0000}"/>
    <cellStyle name="Output 6 2 7 4" xfId="33186" xr:uid="{00000000-0005-0000-0000-0000E06D0000}"/>
    <cellStyle name="Output 6 2 8" xfId="18390" xr:uid="{00000000-0005-0000-0000-0000E16D0000}"/>
    <cellStyle name="Output 6 2 9" xfId="33187" xr:uid="{00000000-0005-0000-0000-0000E26D0000}"/>
    <cellStyle name="Output 6 3" xfId="18391" xr:uid="{00000000-0005-0000-0000-0000E36D0000}"/>
    <cellStyle name="Output 6 3 10" xfId="33188" xr:uid="{00000000-0005-0000-0000-0000E46D0000}"/>
    <cellStyle name="Output 6 3 2" xfId="18392" xr:uid="{00000000-0005-0000-0000-0000E56D0000}"/>
    <cellStyle name="Output 6 3 2 2" xfId="18393" xr:uid="{00000000-0005-0000-0000-0000E66D0000}"/>
    <cellStyle name="Output 6 3 2 3" xfId="33189" xr:uid="{00000000-0005-0000-0000-0000E76D0000}"/>
    <cellStyle name="Output 6 3 2 4" xfId="33190" xr:uid="{00000000-0005-0000-0000-0000E86D0000}"/>
    <cellStyle name="Output 6 3 3" xfId="18394" xr:uid="{00000000-0005-0000-0000-0000E96D0000}"/>
    <cellStyle name="Output 6 3 3 2" xfId="18395" xr:uid="{00000000-0005-0000-0000-0000EA6D0000}"/>
    <cellStyle name="Output 6 3 3 3" xfId="33191" xr:uid="{00000000-0005-0000-0000-0000EB6D0000}"/>
    <cellStyle name="Output 6 3 3 4" xfId="33192" xr:uid="{00000000-0005-0000-0000-0000EC6D0000}"/>
    <cellStyle name="Output 6 3 4" xfId="18396" xr:uid="{00000000-0005-0000-0000-0000ED6D0000}"/>
    <cellStyle name="Output 6 3 4 2" xfId="18397" xr:uid="{00000000-0005-0000-0000-0000EE6D0000}"/>
    <cellStyle name="Output 6 3 4 3" xfId="33193" xr:uid="{00000000-0005-0000-0000-0000EF6D0000}"/>
    <cellStyle name="Output 6 3 4 4" xfId="33194" xr:uid="{00000000-0005-0000-0000-0000F06D0000}"/>
    <cellStyle name="Output 6 3 5" xfId="18398" xr:uid="{00000000-0005-0000-0000-0000F16D0000}"/>
    <cellStyle name="Output 6 3 5 2" xfId="18399" xr:uid="{00000000-0005-0000-0000-0000F26D0000}"/>
    <cellStyle name="Output 6 3 5 3" xfId="33195" xr:uid="{00000000-0005-0000-0000-0000F36D0000}"/>
    <cellStyle name="Output 6 3 5 4" xfId="33196" xr:uid="{00000000-0005-0000-0000-0000F46D0000}"/>
    <cellStyle name="Output 6 3 6" xfId="18400" xr:uid="{00000000-0005-0000-0000-0000F56D0000}"/>
    <cellStyle name="Output 6 3 6 2" xfId="18401" xr:uid="{00000000-0005-0000-0000-0000F66D0000}"/>
    <cellStyle name="Output 6 3 6 3" xfId="33197" xr:uid="{00000000-0005-0000-0000-0000F76D0000}"/>
    <cellStyle name="Output 6 3 6 4" xfId="33198" xr:uid="{00000000-0005-0000-0000-0000F86D0000}"/>
    <cellStyle name="Output 6 3 7" xfId="18402" xr:uid="{00000000-0005-0000-0000-0000F96D0000}"/>
    <cellStyle name="Output 6 3 7 2" xfId="18403" xr:uid="{00000000-0005-0000-0000-0000FA6D0000}"/>
    <cellStyle name="Output 6 3 7 3" xfId="33199" xr:uid="{00000000-0005-0000-0000-0000FB6D0000}"/>
    <cellStyle name="Output 6 3 7 4" xfId="33200" xr:uid="{00000000-0005-0000-0000-0000FC6D0000}"/>
    <cellStyle name="Output 6 3 8" xfId="18404" xr:uid="{00000000-0005-0000-0000-0000FD6D0000}"/>
    <cellStyle name="Output 6 3 9" xfId="33201" xr:uid="{00000000-0005-0000-0000-0000FE6D0000}"/>
    <cellStyle name="Output 6 4" xfId="18405" xr:uid="{00000000-0005-0000-0000-0000FF6D0000}"/>
    <cellStyle name="Output 6 4 10" xfId="33202" xr:uid="{00000000-0005-0000-0000-0000006E0000}"/>
    <cellStyle name="Output 6 4 2" xfId="18406" xr:uid="{00000000-0005-0000-0000-0000016E0000}"/>
    <cellStyle name="Output 6 4 2 2" xfId="18407" xr:uid="{00000000-0005-0000-0000-0000026E0000}"/>
    <cellStyle name="Output 6 4 2 3" xfId="33203" xr:uid="{00000000-0005-0000-0000-0000036E0000}"/>
    <cellStyle name="Output 6 4 2 4" xfId="33204" xr:uid="{00000000-0005-0000-0000-0000046E0000}"/>
    <cellStyle name="Output 6 4 3" xfId="18408" xr:uid="{00000000-0005-0000-0000-0000056E0000}"/>
    <cellStyle name="Output 6 4 3 2" xfId="18409" xr:uid="{00000000-0005-0000-0000-0000066E0000}"/>
    <cellStyle name="Output 6 4 3 3" xfId="33205" xr:uid="{00000000-0005-0000-0000-0000076E0000}"/>
    <cellStyle name="Output 6 4 3 4" xfId="33206" xr:uid="{00000000-0005-0000-0000-0000086E0000}"/>
    <cellStyle name="Output 6 4 4" xfId="18410" xr:uid="{00000000-0005-0000-0000-0000096E0000}"/>
    <cellStyle name="Output 6 4 4 2" xfId="18411" xr:uid="{00000000-0005-0000-0000-00000A6E0000}"/>
    <cellStyle name="Output 6 4 4 3" xfId="33207" xr:uid="{00000000-0005-0000-0000-00000B6E0000}"/>
    <cellStyle name="Output 6 4 4 4" xfId="33208" xr:uid="{00000000-0005-0000-0000-00000C6E0000}"/>
    <cellStyle name="Output 6 4 5" xfId="18412" xr:uid="{00000000-0005-0000-0000-00000D6E0000}"/>
    <cellStyle name="Output 6 4 5 2" xfId="18413" xr:uid="{00000000-0005-0000-0000-00000E6E0000}"/>
    <cellStyle name="Output 6 4 5 3" xfId="33209" xr:uid="{00000000-0005-0000-0000-00000F6E0000}"/>
    <cellStyle name="Output 6 4 5 4" xfId="33210" xr:uid="{00000000-0005-0000-0000-0000106E0000}"/>
    <cellStyle name="Output 6 4 6" xfId="18414" xr:uid="{00000000-0005-0000-0000-0000116E0000}"/>
    <cellStyle name="Output 6 4 6 2" xfId="18415" xr:uid="{00000000-0005-0000-0000-0000126E0000}"/>
    <cellStyle name="Output 6 4 6 3" xfId="33211" xr:uid="{00000000-0005-0000-0000-0000136E0000}"/>
    <cellStyle name="Output 6 4 6 4" xfId="33212" xr:uid="{00000000-0005-0000-0000-0000146E0000}"/>
    <cellStyle name="Output 6 4 7" xfId="18416" xr:uid="{00000000-0005-0000-0000-0000156E0000}"/>
    <cellStyle name="Output 6 4 7 2" xfId="18417" xr:uid="{00000000-0005-0000-0000-0000166E0000}"/>
    <cellStyle name="Output 6 4 7 3" xfId="33213" xr:uid="{00000000-0005-0000-0000-0000176E0000}"/>
    <cellStyle name="Output 6 4 7 4" xfId="33214" xr:uid="{00000000-0005-0000-0000-0000186E0000}"/>
    <cellStyle name="Output 6 4 8" xfId="18418" xr:uid="{00000000-0005-0000-0000-0000196E0000}"/>
    <cellStyle name="Output 6 4 9" xfId="33215" xr:uid="{00000000-0005-0000-0000-00001A6E0000}"/>
    <cellStyle name="Output 6 5" xfId="18419" xr:uid="{00000000-0005-0000-0000-00001B6E0000}"/>
    <cellStyle name="Output 6 5 10" xfId="33216" xr:uid="{00000000-0005-0000-0000-00001C6E0000}"/>
    <cellStyle name="Output 6 5 2" xfId="18420" xr:uid="{00000000-0005-0000-0000-00001D6E0000}"/>
    <cellStyle name="Output 6 5 2 2" xfId="18421" xr:uid="{00000000-0005-0000-0000-00001E6E0000}"/>
    <cellStyle name="Output 6 5 2 3" xfId="33217" xr:uid="{00000000-0005-0000-0000-00001F6E0000}"/>
    <cellStyle name="Output 6 5 2 4" xfId="33218" xr:uid="{00000000-0005-0000-0000-0000206E0000}"/>
    <cellStyle name="Output 6 5 3" xfId="18422" xr:uid="{00000000-0005-0000-0000-0000216E0000}"/>
    <cellStyle name="Output 6 5 3 2" xfId="18423" xr:uid="{00000000-0005-0000-0000-0000226E0000}"/>
    <cellStyle name="Output 6 5 3 3" xfId="33219" xr:uid="{00000000-0005-0000-0000-0000236E0000}"/>
    <cellStyle name="Output 6 5 3 4" xfId="33220" xr:uid="{00000000-0005-0000-0000-0000246E0000}"/>
    <cellStyle name="Output 6 5 4" xfId="18424" xr:uid="{00000000-0005-0000-0000-0000256E0000}"/>
    <cellStyle name="Output 6 5 4 2" xfId="18425" xr:uid="{00000000-0005-0000-0000-0000266E0000}"/>
    <cellStyle name="Output 6 5 4 3" xfId="33221" xr:uid="{00000000-0005-0000-0000-0000276E0000}"/>
    <cellStyle name="Output 6 5 4 4" xfId="33222" xr:uid="{00000000-0005-0000-0000-0000286E0000}"/>
    <cellStyle name="Output 6 5 5" xfId="18426" xr:uid="{00000000-0005-0000-0000-0000296E0000}"/>
    <cellStyle name="Output 6 5 5 2" xfId="18427" xr:uid="{00000000-0005-0000-0000-00002A6E0000}"/>
    <cellStyle name="Output 6 5 5 3" xfId="33223" xr:uid="{00000000-0005-0000-0000-00002B6E0000}"/>
    <cellStyle name="Output 6 5 5 4" xfId="33224" xr:uid="{00000000-0005-0000-0000-00002C6E0000}"/>
    <cellStyle name="Output 6 5 6" xfId="18428" xr:uid="{00000000-0005-0000-0000-00002D6E0000}"/>
    <cellStyle name="Output 6 5 6 2" xfId="18429" xr:uid="{00000000-0005-0000-0000-00002E6E0000}"/>
    <cellStyle name="Output 6 5 6 3" xfId="33225" xr:uid="{00000000-0005-0000-0000-00002F6E0000}"/>
    <cellStyle name="Output 6 5 6 4" xfId="33226" xr:uid="{00000000-0005-0000-0000-0000306E0000}"/>
    <cellStyle name="Output 6 5 7" xfId="18430" xr:uid="{00000000-0005-0000-0000-0000316E0000}"/>
    <cellStyle name="Output 6 5 7 2" xfId="18431" xr:uid="{00000000-0005-0000-0000-0000326E0000}"/>
    <cellStyle name="Output 6 5 7 3" xfId="33227" xr:uid="{00000000-0005-0000-0000-0000336E0000}"/>
    <cellStyle name="Output 6 5 7 4" xfId="33228" xr:uid="{00000000-0005-0000-0000-0000346E0000}"/>
    <cellStyle name="Output 6 5 8" xfId="18432" xr:uid="{00000000-0005-0000-0000-0000356E0000}"/>
    <cellStyle name="Output 6 5 9" xfId="33229" xr:uid="{00000000-0005-0000-0000-0000366E0000}"/>
    <cellStyle name="Output 6 6" xfId="18433" xr:uid="{00000000-0005-0000-0000-0000376E0000}"/>
    <cellStyle name="Output 6 6 2" xfId="18434" xr:uid="{00000000-0005-0000-0000-0000386E0000}"/>
    <cellStyle name="Output 6 6 3" xfId="33230" xr:uid="{00000000-0005-0000-0000-0000396E0000}"/>
    <cellStyle name="Output 6 6 4" xfId="33231" xr:uid="{00000000-0005-0000-0000-00003A6E0000}"/>
    <cellStyle name="Output 6 7" xfId="18435" xr:uid="{00000000-0005-0000-0000-00003B6E0000}"/>
    <cellStyle name="Output 6 7 2" xfId="18436" xr:uid="{00000000-0005-0000-0000-00003C6E0000}"/>
    <cellStyle name="Output 6 7 3" xfId="33232" xr:uid="{00000000-0005-0000-0000-00003D6E0000}"/>
    <cellStyle name="Output 6 7 4" xfId="33233" xr:uid="{00000000-0005-0000-0000-00003E6E0000}"/>
    <cellStyle name="Output 6 8" xfId="18437" xr:uid="{00000000-0005-0000-0000-00003F6E0000}"/>
    <cellStyle name="Output 6 8 2" xfId="18438" xr:uid="{00000000-0005-0000-0000-0000406E0000}"/>
    <cellStyle name="Output 6 8 3" xfId="33234" xr:uid="{00000000-0005-0000-0000-0000416E0000}"/>
    <cellStyle name="Output 6 8 4" xfId="33235" xr:uid="{00000000-0005-0000-0000-0000426E0000}"/>
    <cellStyle name="Output 6 9" xfId="18439" xr:uid="{00000000-0005-0000-0000-0000436E0000}"/>
    <cellStyle name="Output 6 9 2" xfId="18440" xr:uid="{00000000-0005-0000-0000-0000446E0000}"/>
    <cellStyle name="Output 6 9 3" xfId="33236" xr:uid="{00000000-0005-0000-0000-0000456E0000}"/>
    <cellStyle name="Output 6 9 4" xfId="33237" xr:uid="{00000000-0005-0000-0000-0000466E0000}"/>
    <cellStyle name="Output 7" xfId="18441" xr:uid="{00000000-0005-0000-0000-0000476E0000}"/>
    <cellStyle name="Output 7 10" xfId="18442" xr:uid="{00000000-0005-0000-0000-0000486E0000}"/>
    <cellStyle name="Output 7 10 2" xfId="18443" xr:uid="{00000000-0005-0000-0000-0000496E0000}"/>
    <cellStyle name="Output 7 10 3" xfId="33238" xr:uid="{00000000-0005-0000-0000-00004A6E0000}"/>
    <cellStyle name="Output 7 10 4" xfId="33239" xr:uid="{00000000-0005-0000-0000-00004B6E0000}"/>
    <cellStyle name="Output 7 11" xfId="18444" xr:uid="{00000000-0005-0000-0000-00004C6E0000}"/>
    <cellStyle name="Output 7 11 2" xfId="18445" xr:uid="{00000000-0005-0000-0000-00004D6E0000}"/>
    <cellStyle name="Output 7 11 3" xfId="33240" xr:uid="{00000000-0005-0000-0000-00004E6E0000}"/>
    <cellStyle name="Output 7 11 4" xfId="33241" xr:uid="{00000000-0005-0000-0000-00004F6E0000}"/>
    <cellStyle name="Output 7 12" xfId="18446" xr:uid="{00000000-0005-0000-0000-0000506E0000}"/>
    <cellStyle name="Output 7 13" xfId="33242" xr:uid="{00000000-0005-0000-0000-0000516E0000}"/>
    <cellStyle name="Output 7 14" xfId="33243" xr:uid="{00000000-0005-0000-0000-0000526E0000}"/>
    <cellStyle name="Output 7 2" xfId="18447" xr:uid="{00000000-0005-0000-0000-0000536E0000}"/>
    <cellStyle name="Output 7 2 10" xfId="33244" xr:uid="{00000000-0005-0000-0000-0000546E0000}"/>
    <cellStyle name="Output 7 2 2" xfId="18448" xr:uid="{00000000-0005-0000-0000-0000556E0000}"/>
    <cellStyle name="Output 7 2 2 2" xfId="18449" xr:uid="{00000000-0005-0000-0000-0000566E0000}"/>
    <cellStyle name="Output 7 2 2 3" xfId="33245" xr:uid="{00000000-0005-0000-0000-0000576E0000}"/>
    <cellStyle name="Output 7 2 2 4" xfId="33246" xr:uid="{00000000-0005-0000-0000-0000586E0000}"/>
    <cellStyle name="Output 7 2 3" xfId="18450" xr:uid="{00000000-0005-0000-0000-0000596E0000}"/>
    <cellStyle name="Output 7 2 3 2" xfId="18451" xr:uid="{00000000-0005-0000-0000-00005A6E0000}"/>
    <cellStyle name="Output 7 2 3 3" xfId="33247" xr:uid="{00000000-0005-0000-0000-00005B6E0000}"/>
    <cellStyle name="Output 7 2 3 4" xfId="33248" xr:uid="{00000000-0005-0000-0000-00005C6E0000}"/>
    <cellStyle name="Output 7 2 4" xfId="18452" xr:uid="{00000000-0005-0000-0000-00005D6E0000}"/>
    <cellStyle name="Output 7 2 4 2" xfId="18453" xr:uid="{00000000-0005-0000-0000-00005E6E0000}"/>
    <cellStyle name="Output 7 2 4 3" xfId="33249" xr:uid="{00000000-0005-0000-0000-00005F6E0000}"/>
    <cellStyle name="Output 7 2 4 4" xfId="33250" xr:uid="{00000000-0005-0000-0000-0000606E0000}"/>
    <cellStyle name="Output 7 2 5" xfId="18454" xr:uid="{00000000-0005-0000-0000-0000616E0000}"/>
    <cellStyle name="Output 7 2 5 2" xfId="18455" xr:uid="{00000000-0005-0000-0000-0000626E0000}"/>
    <cellStyle name="Output 7 2 5 3" xfId="33251" xr:uid="{00000000-0005-0000-0000-0000636E0000}"/>
    <cellStyle name="Output 7 2 5 4" xfId="33252" xr:uid="{00000000-0005-0000-0000-0000646E0000}"/>
    <cellStyle name="Output 7 2 6" xfId="18456" xr:uid="{00000000-0005-0000-0000-0000656E0000}"/>
    <cellStyle name="Output 7 2 6 2" xfId="18457" xr:uid="{00000000-0005-0000-0000-0000666E0000}"/>
    <cellStyle name="Output 7 2 6 3" xfId="33253" xr:uid="{00000000-0005-0000-0000-0000676E0000}"/>
    <cellStyle name="Output 7 2 6 4" xfId="33254" xr:uid="{00000000-0005-0000-0000-0000686E0000}"/>
    <cellStyle name="Output 7 2 7" xfId="18458" xr:uid="{00000000-0005-0000-0000-0000696E0000}"/>
    <cellStyle name="Output 7 2 7 2" xfId="18459" xr:uid="{00000000-0005-0000-0000-00006A6E0000}"/>
    <cellStyle name="Output 7 2 7 3" xfId="33255" xr:uid="{00000000-0005-0000-0000-00006B6E0000}"/>
    <cellStyle name="Output 7 2 7 4" xfId="33256" xr:uid="{00000000-0005-0000-0000-00006C6E0000}"/>
    <cellStyle name="Output 7 2 8" xfId="18460" xr:uid="{00000000-0005-0000-0000-00006D6E0000}"/>
    <cellStyle name="Output 7 2 9" xfId="33257" xr:uid="{00000000-0005-0000-0000-00006E6E0000}"/>
    <cellStyle name="Output 7 3" xfId="18461" xr:uid="{00000000-0005-0000-0000-00006F6E0000}"/>
    <cellStyle name="Output 7 3 10" xfId="33258" xr:uid="{00000000-0005-0000-0000-0000706E0000}"/>
    <cellStyle name="Output 7 3 2" xfId="18462" xr:uid="{00000000-0005-0000-0000-0000716E0000}"/>
    <cellStyle name="Output 7 3 2 2" xfId="18463" xr:uid="{00000000-0005-0000-0000-0000726E0000}"/>
    <cellStyle name="Output 7 3 2 3" xfId="33259" xr:uid="{00000000-0005-0000-0000-0000736E0000}"/>
    <cellStyle name="Output 7 3 2 4" xfId="33260" xr:uid="{00000000-0005-0000-0000-0000746E0000}"/>
    <cellStyle name="Output 7 3 3" xfId="18464" xr:uid="{00000000-0005-0000-0000-0000756E0000}"/>
    <cellStyle name="Output 7 3 3 2" xfId="18465" xr:uid="{00000000-0005-0000-0000-0000766E0000}"/>
    <cellStyle name="Output 7 3 3 3" xfId="33261" xr:uid="{00000000-0005-0000-0000-0000776E0000}"/>
    <cellStyle name="Output 7 3 3 4" xfId="33262" xr:uid="{00000000-0005-0000-0000-0000786E0000}"/>
    <cellStyle name="Output 7 3 4" xfId="18466" xr:uid="{00000000-0005-0000-0000-0000796E0000}"/>
    <cellStyle name="Output 7 3 4 2" xfId="18467" xr:uid="{00000000-0005-0000-0000-00007A6E0000}"/>
    <cellStyle name="Output 7 3 4 3" xfId="33263" xr:uid="{00000000-0005-0000-0000-00007B6E0000}"/>
    <cellStyle name="Output 7 3 4 4" xfId="33264" xr:uid="{00000000-0005-0000-0000-00007C6E0000}"/>
    <cellStyle name="Output 7 3 5" xfId="18468" xr:uid="{00000000-0005-0000-0000-00007D6E0000}"/>
    <cellStyle name="Output 7 3 5 2" xfId="18469" xr:uid="{00000000-0005-0000-0000-00007E6E0000}"/>
    <cellStyle name="Output 7 3 5 3" xfId="33265" xr:uid="{00000000-0005-0000-0000-00007F6E0000}"/>
    <cellStyle name="Output 7 3 5 4" xfId="33266" xr:uid="{00000000-0005-0000-0000-0000806E0000}"/>
    <cellStyle name="Output 7 3 6" xfId="18470" xr:uid="{00000000-0005-0000-0000-0000816E0000}"/>
    <cellStyle name="Output 7 3 6 2" xfId="18471" xr:uid="{00000000-0005-0000-0000-0000826E0000}"/>
    <cellStyle name="Output 7 3 6 3" xfId="33267" xr:uid="{00000000-0005-0000-0000-0000836E0000}"/>
    <cellStyle name="Output 7 3 6 4" xfId="33268" xr:uid="{00000000-0005-0000-0000-0000846E0000}"/>
    <cellStyle name="Output 7 3 7" xfId="18472" xr:uid="{00000000-0005-0000-0000-0000856E0000}"/>
    <cellStyle name="Output 7 3 7 2" xfId="18473" xr:uid="{00000000-0005-0000-0000-0000866E0000}"/>
    <cellStyle name="Output 7 3 7 3" xfId="33269" xr:uid="{00000000-0005-0000-0000-0000876E0000}"/>
    <cellStyle name="Output 7 3 7 4" xfId="33270" xr:uid="{00000000-0005-0000-0000-0000886E0000}"/>
    <cellStyle name="Output 7 3 8" xfId="18474" xr:uid="{00000000-0005-0000-0000-0000896E0000}"/>
    <cellStyle name="Output 7 3 9" xfId="33271" xr:uid="{00000000-0005-0000-0000-00008A6E0000}"/>
    <cellStyle name="Output 7 4" xfId="18475" xr:uid="{00000000-0005-0000-0000-00008B6E0000}"/>
    <cellStyle name="Output 7 4 10" xfId="33272" xr:uid="{00000000-0005-0000-0000-00008C6E0000}"/>
    <cellStyle name="Output 7 4 2" xfId="18476" xr:uid="{00000000-0005-0000-0000-00008D6E0000}"/>
    <cellStyle name="Output 7 4 2 2" xfId="18477" xr:uid="{00000000-0005-0000-0000-00008E6E0000}"/>
    <cellStyle name="Output 7 4 2 3" xfId="33273" xr:uid="{00000000-0005-0000-0000-00008F6E0000}"/>
    <cellStyle name="Output 7 4 2 4" xfId="33274" xr:uid="{00000000-0005-0000-0000-0000906E0000}"/>
    <cellStyle name="Output 7 4 3" xfId="18478" xr:uid="{00000000-0005-0000-0000-0000916E0000}"/>
    <cellStyle name="Output 7 4 3 2" xfId="18479" xr:uid="{00000000-0005-0000-0000-0000926E0000}"/>
    <cellStyle name="Output 7 4 3 3" xfId="33275" xr:uid="{00000000-0005-0000-0000-0000936E0000}"/>
    <cellStyle name="Output 7 4 3 4" xfId="33276" xr:uid="{00000000-0005-0000-0000-0000946E0000}"/>
    <cellStyle name="Output 7 4 4" xfId="18480" xr:uid="{00000000-0005-0000-0000-0000956E0000}"/>
    <cellStyle name="Output 7 4 4 2" xfId="18481" xr:uid="{00000000-0005-0000-0000-0000966E0000}"/>
    <cellStyle name="Output 7 4 4 3" xfId="33277" xr:uid="{00000000-0005-0000-0000-0000976E0000}"/>
    <cellStyle name="Output 7 4 4 4" xfId="33278" xr:uid="{00000000-0005-0000-0000-0000986E0000}"/>
    <cellStyle name="Output 7 4 5" xfId="18482" xr:uid="{00000000-0005-0000-0000-0000996E0000}"/>
    <cellStyle name="Output 7 4 5 2" xfId="18483" xr:uid="{00000000-0005-0000-0000-00009A6E0000}"/>
    <cellStyle name="Output 7 4 5 3" xfId="33279" xr:uid="{00000000-0005-0000-0000-00009B6E0000}"/>
    <cellStyle name="Output 7 4 5 4" xfId="33280" xr:uid="{00000000-0005-0000-0000-00009C6E0000}"/>
    <cellStyle name="Output 7 4 6" xfId="18484" xr:uid="{00000000-0005-0000-0000-00009D6E0000}"/>
    <cellStyle name="Output 7 4 6 2" xfId="18485" xr:uid="{00000000-0005-0000-0000-00009E6E0000}"/>
    <cellStyle name="Output 7 4 6 3" xfId="33281" xr:uid="{00000000-0005-0000-0000-00009F6E0000}"/>
    <cellStyle name="Output 7 4 6 4" xfId="33282" xr:uid="{00000000-0005-0000-0000-0000A06E0000}"/>
    <cellStyle name="Output 7 4 7" xfId="18486" xr:uid="{00000000-0005-0000-0000-0000A16E0000}"/>
    <cellStyle name="Output 7 4 7 2" xfId="18487" xr:uid="{00000000-0005-0000-0000-0000A26E0000}"/>
    <cellStyle name="Output 7 4 7 3" xfId="33283" xr:uid="{00000000-0005-0000-0000-0000A36E0000}"/>
    <cellStyle name="Output 7 4 7 4" xfId="33284" xr:uid="{00000000-0005-0000-0000-0000A46E0000}"/>
    <cellStyle name="Output 7 4 8" xfId="18488" xr:uid="{00000000-0005-0000-0000-0000A56E0000}"/>
    <cellStyle name="Output 7 4 9" xfId="33285" xr:uid="{00000000-0005-0000-0000-0000A66E0000}"/>
    <cellStyle name="Output 7 5" xfId="18489" xr:uid="{00000000-0005-0000-0000-0000A76E0000}"/>
    <cellStyle name="Output 7 5 10" xfId="33286" xr:uid="{00000000-0005-0000-0000-0000A86E0000}"/>
    <cellStyle name="Output 7 5 2" xfId="18490" xr:uid="{00000000-0005-0000-0000-0000A96E0000}"/>
    <cellStyle name="Output 7 5 2 2" xfId="18491" xr:uid="{00000000-0005-0000-0000-0000AA6E0000}"/>
    <cellStyle name="Output 7 5 2 3" xfId="33287" xr:uid="{00000000-0005-0000-0000-0000AB6E0000}"/>
    <cellStyle name="Output 7 5 2 4" xfId="33288" xr:uid="{00000000-0005-0000-0000-0000AC6E0000}"/>
    <cellStyle name="Output 7 5 3" xfId="18492" xr:uid="{00000000-0005-0000-0000-0000AD6E0000}"/>
    <cellStyle name="Output 7 5 3 2" xfId="18493" xr:uid="{00000000-0005-0000-0000-0000AE6E0000}"/>
    <cellStyle name="Output 7 5 3 3" xfId="33289" xr:uid="{00000000-0005-0000-0000-0000AF6E0000}"/>
    <cellStyle name="Output 7 5 3 4" xfId="33290" xr:uid="{00000000-0005-0000-0000-0000B06E0000}"/>
    <cellStyle name="Output 7 5 4" xfId="18494" xr:uid="{00000000-0005-0000-0000-0000B16E0000}"/>
    <cellStyle name="Output 7 5 4 2" xfId="18495" xr:uid="{00000000-0005-0000-0000-0000B26E0000}"/>
    <cellStyle name="Output 7 5 4 3" xfId="33291" xr:uid="{00000000-0005-0000-0000-0000B36E0000}"/>
    <cellStyle name="Output 7 5 4 4" xfId="33292" xr:uid="{00000000-0005-0000-0000-0000B46E0000}"/>
    <cellStyle name="Output 7 5 5" xfId="18496" xr:uid="{00000000-0005-0000-0000-0000B56E0000}"/>
    <cellStyle name="Output 7 5 5 2" xfId="18497" xr:uid="{00000000-0005-0000-0000-0000B66E0000}"/>
    <cellStyle name="Output 7 5 5 3" xfId="33293" xr:uid="{00000000-0005-0000-0000-0000B76E0000}"/>
    <cellStyle name="Output 7 5 5 4" xfId="33294" xr:uid="{00000000-0005-0000-0000-0000B86E0000}"/>
    <cellStyle name="Output 7 5 6" xfId="18498" xr:uid="{00000000-0005-0000-0000-0000B96E0000}"/>
    <cellStyle name="Output 7 5 6 2" xfId="18499" xr:uid="{00000000-0005-0000-0000-0000BA6E0000}"/>
    <cellStyle name="Output 7 5 6 3" xfId="33295" xr:uid="{00000000-0005-0000-0000-0000BB6E0000}"/>
    <cellStyle name="Output 7 5 6 4" xfId="33296" xr:uid="{00000000-0005-0000-0000-0000BC6E0000}"/>
    <cellStyle name="Output 7 5 7" xfId="18500" xr:uid="{00000000-0005-0000-0000-0000BD6E0000}"/>
    <cellStyle name="Output 7 5 7 2" xfId="18501" xr:uid="{00000000-0005-0000-0000-0000BE6E0000}"/>
    <cellStyle name="Output 7 5 7 3" xfId="33297" xr:uid="{00000000-0005-0000-0000-0000BF6E0000}"/>
    <cellStyle name="Output 7 5 7 4" xfId="33298" xr:uid="{00000000-0005-0000-0000-0000C06E0000}"/>
    <cellStyle name="Output 7 5 8" xfId="18502" xr:uid="{00000000-0005-0000-0000-0000C16E0000}"/>
    <cellStyle name="Output 7 5 9" xfId="33299" xr:uid="{00000000-0005-0000-0000-0000C26E0000}"/>
    <cellStyle name="Output 7 6" xfId="18503" xr:uid="{00000000-0005-0000-0000-0000C36E0000}"/>
    <cellStyle name="Output 7 6 2" xfId="18504" xr:uid="{00000000-0005-0000-0000-0000C46E0000}"/>
    <cellStyle name="Output 7 6 3" xfId="33300" xr:uid="{00000000-0005-0000-0000-0000C56E0000}"/>
    <cellStyle name="Output 7 6 4" xfId="33301" xr:uid="{00000000-0005-0000-0000-0000C66E0000}"/>
    <cellStyle name="Output 7 7" xfId="18505" xr:uid="{00000000-0005-0000-0000-0000C76E0000}"/>
    <cellStyle name="Output 7 7 2" xfId="18506" xr:uid="{00000000-0005-0000-0000-0000C86E0000}"/>
    <cellStyle name="Output 7 7 3" xfId="33302" xr:uid="{00000000-0005-0000-0000-0000C96E0000}"/>
    <cellStyle name="Output 7 7 4" xfId="33303" xr:uid="{00000000-0005-0000-0000-0000CA6E0000}"/>
    <cellStyle name="Output 7 8" xfId="18507" xr:uid="{00000000-0005-0000-0000-0000CB6E0000}"/>
    <cellStyle name="Output 7 8 2" xfId="18508" xr:uid="{00000000-0005-0000-0000-0000CC6E0000}"/>
    <cellStyle name="Output 7 8 3" xfId="33304" xr:uid="{00000000-0005-0000-0000-0000CD6E0000}"/>
    <cellStyle name="Output 7 8 4" xfId="33305" xr:uid="{00000000-0005-0000-0000-0000CE6E0000}"/>
    <cellStyle name="Output 7 9" xfId="18509" xr:uid="{00000000-0005-0000-0000-0000CF6E0000}"/>
    <cellStyle name="Output 7 9 2" xfId="18510" xr:uid="{00000000-0005-0000-0000-0000D06E0000}"/>
    <cellStyle name="Output 7 9 3" xfId="33306" xr:uid="{00000000-0005-0000-0000-0000D16E0000}"/>
    <cellStyle name="Output 7 9 4" xfId="33307" xr:uid="{00000000-0005-0000-0000-0000D26E0000}"/>
    <cellStyle name="Output 8" xfId="18511" xr:uid="{00000000-0005-0000-0000-0000D36E0000}"/>
    <cellStyle name="Output 8 10" xfId="18512" xr:uid="{00000000-0005-0000-0000-0000D46E0000}"/>
    <cellStyle name="Output 8 10 2" xfId="18513" xr:uid="{00000000-0005-0000-0000-0000D56E0000}"/>
    <cellStyle name="Output 8 10 3" xfId="33308" xr:uid="{00000000-0005-0000-0000-0000D66E0000}"/>
    <cellStyle name="Output 8 10 4" xfId="33309" xr:uid="{00000000-0005-0000-0000-0000D76E0000}"/>
    <cellStyle name="Output 8 11" xfId="18514" xr:uid="{00000000-0005-0000-0000-0000D86E0000}"/>
    <cellStyle name="Output 8 11 2" xfId="18515" xr:uid="{00000000-0005-0000-0000-0000D96E0000}"/>
    <cellStyle name="Output 8 11 3" xfId="33310" xr:uid="{00000000-0005-0000-0000-0000DA6E0000}"/>
    <cellStyle name="Output 8 11 4" xfId="33311" xr:uid="{00000000-0005-0000-0000-0000DB6E0000}"/>
    <cellStyle name="Output 8 12" xfId="18516" xr:uid="{00000000-0005-0000-0000-0000DC6E0000}"/>
    <cellStyle name="Output 8 13" xfId="33312" xr:uid="{00000000-0005-0000-0000-0000DD6E0000}"/>
    <cellStyle name="Output 8 14" xfId="33313" xr:uid="{00000000-0005-0000-0000-0000DE6E0000}"/>
    <cellStyle name="Output 8 2" xfId="18517" xr:uid="{00000000-0005-0000-0000-0000DF6E0000}"/>
    <cellStyle name="Output 8 2 10" xfId="33314" xr:uid="{00000000-0005-0000-0000-0000E06E0000}"/>
    <cellStyle name="Output 8 2 2" xfId="18518" xr:uid="{00000000-0005-0000-0000-0000E16E0000}"/>
    <cellStyle name="Output 8 2 2 2" xfId="18519" xr:uid="{00000000-0005-0000-0000-0000E26E0000}"/>
    <cellStyle name="Output 8 2 2 3" xfId="33315" xr:uid="{00000000-0005-0000-0000-0000E36E0000}"/>
    <cellStyle name="Output 8 2 2 4" xfId="33316" xr:uid="{00000000-0005-0000-0000-0000E46E0000}"/>
    <cellStyle name="Output 8 2 3" xfId="18520" xr:uid="{00000000-0005-0000-0000-0000E56E0000}"/>
    <cellStyle name="Output 8 2 3 2" xfId="18521" xr:uid="{00000000-0005-0000-0000-0000E66E0000}"/>
    <cellStyle name="Output 8 2 3 3" xfId="33317" xr:uid="{00000000-0005-0000-0000-0000E76E0000}"/>
    <cellStyle name="Output 8 2 3 4" xfId="33318" xr:uid="{00000000-0005-0000-0000-0000E86E0000}"/>
    <cellStyle name="Output 8 2 4" xfId="18522" xr:uid="{00000000-0005-0000-0000-0000E96E0000}"/>
    <cellStyle name="Output 8 2 4 2" xfId="18523" xr:uid="{00000000-0005-0000-0000-0000EA6E0000}"/>
    <cellStyle name="Output 8 2 4 3" xfId="33319" xr:uid="{00000000-0005-0000-0000-0000EB6E0000}"/>
    <cellStyle name="Output 8 2 4 4" xfId="33320" xr:uid="{00000000-0005-0000-0000-0000EC6E0000}"/>
    <cellStyle name="Output 8 2 5" xfId="18524" xr:uid="{00000000-0005-0000-0000-0000ED6E0000}"/>
    <cellStyle name="Output 8 2 5 2" xfId="18525" xr:uid="{00000000-0005-0000-0000-0000EE6E0000}"/>
    <cellStyle name="Output 8 2 5 3" xfId="33321" xr:uid="{00000000-0005-0000-0000-0000EF6E0000}"/>
    <cellStyle name="Output 8 2 5 4" xfId="33322" xr:uid="{00000000-0005-0000-0000-0000F06E0000}"/>
    <cellStyle name="Output 8 2 6" xfId="18526" xr:uid="{00000000-0005-0000-0000-0000F16E0000}"/>
    <cellStyle name="Output 8 2 6 2" xfId="18527" xr:uid="{00000000-0005-0000-0000-0000F26E0000}"/>
    <cellStyle name="Output 8 2 6 3" xfId="33323" xr:uid="{00000000-0005-0000-0000-0000F36E0000}"/>
    <cellStyle name="Output 8 2 6 4" xfId="33324" xr:uid="{00000000-0005-0000-0000-0000F46E0000}"/>
    <cellStyle name="Output 8 2 7" xfId="18528" xr:uid="{00000000-0005-0000-0000-0000F56E0000}"/>
    <cellStyle name="Output 8 2 7 2" xfId="18529" xr:uid="{00000000-0005-0000-0000-0000F66E0000}"/>
    <cellStyle name="Output 8 2 7 3" xfId="33325" xr:uid="{00000000-0005-0000-0000-0000F76E0000}"/>
    <cellStyle name="Output 8 2 7 4" xfId="33326" xr:uid="{00000000-0005-0000-0000-0000F86E0000}"/>
    <cellStyle name="Output 8 2 8" xfId="18530" xr:uid="{00000000-0005-0000-0000-0000F96E0000}"/>
    <cellStyle name="Output 8 2 9" xfId="33327" xr:uid="{00000000-0005-0000-0000-0000FA6E0000}"/>
    <cellStyle name="Output 8 3" xfId="18531" xr:uid="{00000000-0005-0000-0000-0000FB6E0000}"/>
    <cellStyle name="Output 8 3 10" xfId="33328" xr:uid="{00000000-0005-0000-0000-0000FC6E0000}"/>
    <cellStyle name="Output 8 3 2" xfId="18532" xr:uid="{00000000-0005-0000-0000-0000FD6E0000}"/>
    <cellStyle name="Output 8 3 2 2" xfId="18533" xr:uid="{00000000-0005-0000-0000-0000FE6E0000}"/>
    <cellStyle name="Output 8 3 2 3" xfId="33329" xr:uid="{00000000-0005-0000-0000-0000FF6E0000}"/>
    <cellStyle name="Output 8 3 2 4" xfId="33330" xr:uid="{00000000-0005-0000-0000-0000006F0000}"/>
    <cellStyle name="Output 8 3 3" xfId="18534" xr:uid="{00000000-0005-0000-0000-0000016F0000}"/>
    <cellStyle name="Output 8 3 3 2" xfId="18535" xr:uid="{00000000-0005-0000-0000-0000026F0000}"/>
    <cellStyle name="Output 8 3 3 3" xfId="33331" xr:uid="{00000000-0005-0000-0000-0000036F0000}"/>
    <cellStyle name="Output 8 3 3 4" xfId="33332" xr:uid="{00000000-0005-0000-0000-0000046F0000}"/>
    <cellStyle name="Output 8 3 4" xfId="18536" xr:uid="{00000000-0005-0000-0000-0000056F0000}"/>
    <cellStyle name="Output 8 3 4 2" xfId="18537" xr:uid="{00000000-0005-0000-0000-0000066F0000}"/>
    <cellStyle name="Output 8 3 4 3" xfId="33333" xr:uid="{00000000-0005-0000-0000-0000076F0000}"/>
    <cellStyle name="Output 8 3 4 4" xfId="33334" xr:uid="{00000000-0005-0000-0000-0000086F0000}"/>
    <cellStyle name="Output 8 3 5" xfId="18538" xr:uid="{00000000-0005-0000-0000-0000096F0000}"/>
    <cellStyle name="Output 8 3 5 2" xfId="18539" xr:uid="{00000000-0005-0000-0000-00000A6F0000}"/>
    <cellStyle name="Output 8 3 5 3" xfId="33335" xr:uid="{00000000-0005-0000-0000-00000B6F0000}"/>
    <cellStyle name="Output 8 3 5 4" xfId="33336" xr:uid="{00000000-0005-0000-0000-00000C6F0000}"/>
    <cellStyle name="Output 8 3 6" xfId="18540" xr:uid="{00000000-0005-0000-0000-00000D6F0000}"/>
    <cellStyle name="Output 8 3 6 2" xfId="18541" xr:uid="{00000000-0005-0000-0000-00000E6F0000}"/>
    <cellStyle name="Output 8 3 6 3" xfId="33337" xr:uid="{00000000-0005-0000-0000-00000F6F0000}"/>
    <cellStyle name="Output 8 3 6 4" xfId="33338" xr:uid="{00000000-0005-0000-0000-0000106F0000}"/>
    <cellStyle name="Output 8 3 7" xfId="18542" xr:uid="{00000000-0005-0000-0000-0000116F0000}"/>
    <cellStyle name="Output 8 3 7 2" xfId="18543" xr:uid="{00000000-0005-0000-0000-0000126F0000}"/>
    <cellStyle name="Output 8 3 7 3" xfId="33339" xr:uid="{00000000-0005-0000-0000-0000136F0000}"/>
    <cellStyle name="Output 8 3 7 4" xfId="33340" xr:uid="{00000000-0005-0000-0000-0000146F0000}"/>
    <cellStyle name="Output 8 3 8" xfId="18544" xr:uid="{00000000-0005-0000-0000-0000156F0000}"/>
    <cellStyle name="Output 8 3 9" xfId="33341" xr:uid="{00000000-0005-0000-0000-0000166F0000}"/>
    <cellStyle name="Output 8 4" xfId="18545" xr:uid="{00000000-0005-0000-0000-0000176F0000}"/>
    <cellStyle name="Output 8 4 10" xfId="33342" xr:uid="{00000000-0005-0000-0000-0000186F0000}"/>
    <cellStyle name="Output 8 4 2" xfId="18546" xr:uid="{00000000-0005-0000-0000-0000196F0000}"/>
    <cellStyle name="Output 8 4 2 2" xfId="18547" xr:uid="{00000000-0005-0000-0000-00001A6F0000}"/>
    <cellStyle name="Output 8 4 2 3" xfId="33343" xr:uid="{00000000-0005-0000-0000-00001B6F0000}"/>
    <cellStyle name="Output 8 4 2 4" xfId="33344" xr:uid="{00000000-0005-0000-0000-00001C6F0000}"/>
    <cellStyle name="Output 8 4 3" xfId="18548" xr:uid="{00000000-0005-0000-0000-00001D6F0000}"/>
    <cellStyle name="Output 8 4 3 2" xfId="18549" xr:uid="{00000000-0005-0000-0000-00001E6F0000}"/>
    <cellStyle name="Output 8 4 3 3" xfId="33345" xr:uid="{00000000-0005-0000-0000-00001F6F0000}"/>
    <cellStyle name="Output 8 4 3 4" xfId="33346" xr:uid="{00000000-0005-0000-0000-0000206F0000}"/>
    <cellStyle name="Output 8 4 4" xfId="18550" xr:uid="{00000000-0005-0000-0000-0000216F0000}"/>
    <cellStyle name="Output 8 4 4 2" xfId="18551" xr:uid="{00000000-0005-0000-0000-0000226F0000}"/>
    <cellStyle name="Output 8 4 4 3" xfId="33347" xr:uid="{00000000-0005-0000-0000-0000236F0000}"/>
    <cellStyle name="Output 8 4 4 4" xfId="33348" xr:uid="{00000000-0005-0000-0000-0000246F0000}"/>
    <cellStyle name="Output 8 4 5" xfId="18552" xr:uid="{00000000-0005-0000-0000-0000256F0000}"/>
    <cellStyle name="Output 8 4 5 2" xfId="18553" xr:uid="{00000000-0005-0000-0000-0000266F0000}"/>
    <cellStyle name="Output 8 4 5 3" xfId="33349" xr:uid="{00000000-0005-0000-0000-0000276F0000}"/>
    <cellStyle name="Output 8 4 5 4" xfId="33350" xr:uid="{00000000-0005-0000-0000-0000286F0000}"/>
    <cellStyle name="Output 8 4 6" xfId="18554" xr:uid="{00000000-0005-0000-0000-0000296F0000}"/>
    <cellStyle name="Output 8 4 6 2" xfId="18555" xr:uid="{00000000-0005-0000-0000-00002A6F0000}"/>
    <cellStyle name="Output 8 4 6 3" xfId="33351" xr:uid="{00000000-0005-0000-0000-00002B6F0000}"/>
    <cellStyle name="Output 8 4 6 4" xfId="33352" xr:uid="{00000000-0005-0000-0000-00002C6F0000}"/>
    <cellStyle name="Output 8 4 7" xfId="18556" xr:uid="{00000000-0005-0000-0000-00002D6F0000}"/>
    <cellStyle name="Output 8 4 7 2" xfId="18557" xr:uid="{00000000-0005-0000-0000-00002E6F0000}"/>
    <cellStyle name="Output 8 4 7 3" xfId="33353" xr:uid="{00000000-0005-0000-0000-00002F6F0000}"/>
    <cellStyle name="Output 8 4 7 4" xfId="33354" xr:uid="{00000000-0005-0000-0000-0000306F0000}"/>
    <cellStyle name="Output 8 4 8" xfId="18558" xr:uid="{00000000-0005-0000-0000-0000316F0000}"/>
    <cellStyle name="Output 8 4 9" xfId="33355" xr:uid="{00000000-0005-0000-0000-0000326F0000}"/>
    <cellStyle name="Output 8 5" xfId="18559" xr:uid="{00000000-0005-0000-0000-0000336F0000}"/>
    <cellStyle name="Output 8 5 10" xfId="33356" xr:uid="{00000000-0005-0000-0000-0000346F0000}"/>
    <cellStyle name="Output 8 5 2" xfId="18560" xr:uid="{00000000-0005-0000-0000-0000356F0000}"/>
    <cellStyle name="Output 8 5 2 2" xfId="18561" xr:uid="{00000000-0005-0000-0000-0000366F0000}"/>
    <cellStyle name="Output 8 5 2 3" xfId="33357" xr:uid="{00000000-0005-0000-0000-0000376F0000}"/>
    <cellStyle name="Output 8 5 2 4" xfId="33358" xr:uid="{00000000-0005-0000-0000-0000386F0000}"/>
    <cellStyle name="Output 8 5 3" xfId="18562" xr:uid="{00000000-0005-0000-0000-0000396F0000}"/>
    <cellStyle name="Output 8 5 3 2" xfId="18563" xr:uid="{00000000-0005-0000-0000-00003A6F0000}"/>
    <cellStyle name="Output 8 5 3 3" xfId="33359" xr:uid="{00000000-0005-0000-0000-00003B6F0000}"/>
    <cellStyle name="Output 8 5 3 4" xfId="33360" xr:uid="{00000000-0005-0000-0000-00003C6F0000}"/>
    <cellStyle name="Output 8 5 4" xfId="18564" xr:uid="{00000000-0005-0000-0000-00003D6F0000}"/>
    <cellStyle name="Output 8 5 4 2" xfId="18565" xr:uid="{00000000-0005-0000-0000-00003E6F0000}"/>
    <cellStyle name="Output 8 5 4 3" xfId="33361" xr:uid="{00000000-0005-0000-0000-00003F6F0000}"/>
    <cellStyle name="Output 8 5 4 4" xfId="33362" xr:uid="{00000000-0005-0000-0000-0000406F0000}"/>
    <cellStyle name="Output 8 5 5" xfId="18566" xr:uid="{00000000-0005-0000-0000-0000416F0000}"/>
    <cellStyle name="Output 8 5 5 2" xfId="18567" xr:uid="{00000000-0005-0000-0000-0000426F0000}"/>
    <cellStyle name="Output 8 5 5 3" xfId="33363" xr:uid="{00000000-0005-0000-0000-0000436F0000}"/>
    <cellStyle name="Output 8 5 5 4" xfId="33364" xr:uid="{00000000-0005-0000-0000-0000446F0000}"/>
    <cellStyle name="Output 8 5 6" xfId="18568" xr:uid="{00000000-0005-0000-0000-0000456F0000}"/>
    <cellStyle name="Output 8 5 6 2" xfId="18569" xr:uid="{00000000-0005-0000-0000-0000466F0000}"/>
    <cellStyle name="Output 8 5 6 3" xfId="33365" xr:uid="{00000000-0005-0000-0000-0000476F0000}"/>
    <cellStyle name="Output 8 5 6 4" xfId="33366" xr:uid="{00000000-0005-0000-0000-0000486F0000}"/>
    <cellStyle name="Output 8 5 7" xfId="18570" xr:uid="{00000000-0005-0000-0000-0000496F0000}"/>
    <cellStyle name="Output 8 5 7 2" xfId="18571" xr:uid="{00000000-0005-0000-0000-00004A6F0000}"/>
    <cellStyle name="Output 8 5 7 3" xfId="33367" xr:uid="{00000000-0005-0000-0000-00004B6F0000}"/>
    <cellStyle name="Output 8 5 7 4" xfId="33368" xr:uid="{00000000-0005-0000-0000-00004C6F0000}"/>
    <cellStyle name="Output 8 5 8" xfId="18572" xr:uid="{00000000-0005-0000-0000-00004D6F0000}"/>
    <cellStyle name="Output 8 5 9" xfId="33369" xr:uid="{00000000-0005-0000-0000-00004E6F0000}"/>
    <cellStyle name="Output 8 6" xfId="18573" xr:uid="{00000000-0005-0000-0000-00004F6F0000}"/>
    <cellStyle name="Output 8 6 2" xfId="18574" xr:uid="{00000000-0005-0000-0000-0000506F0000}"/>
    <cellStyle name="Output 8 6 3" xfId="33370" xr:uid="{00000000-0005-0000-0000-0000516F0000}"/>
    <cellStyle name="Output 8 6 4" xfId="33371" xr:uid="{00000000-0005-0000-0000-0000526F0000}"/>
    <cellStyle name="Output 8 7" xfId="18575" xr:uid="{00000000-0005-0000-0000-0000536F0000}"/>
    <cellStyle name="Output 8 7 2" xfId="18576" xr:uid="{00000000-0005-0000-0000-0000546F0000}"/>
    <cellStyle name="Output 8 7 3" xfId="33372" xr:uid="{00000000-0005-0000-0000-0000556F0000}"/>
    <cellStyle name="Output 8 7 4" xfId="33373" xr:uid="{00000000-0005-0000-0000-0000566F0000}"/>
    <cellStyle name="Output 8 8" xfId="18577" xr:uid="{00000000-0005-0000-0000-0000576F0000}"/>
    <cellStyle name="Output 8 8 2" xfId="18578" xr:uid="{00000000-0005-0000-0000-0000586F0000}"/>
    <cellStyle name="Output 8 8 3" xfId="33374" xr:uid="{00000000-0005-0000-0000-0000596F0000}"/>
    <cellStyle name="Output 8 8 4" xfId="33375" xr:uid="{00000000-0005-0000-0000-00005A6F0000}"/>
    <cellStyle name="Output 8 9" xfId="18579" xr:uid="{00000000-0005-0000-0000-00005B6F0000}"/>
    <cellStyle name="Output 8 9 2" xfId="18580" xr:uid="{00000000-0005-0000-0000-00005C6F0000}"/>
    <cellStyle name="Output 8 9 3" xfId="33376" xr:uid="{00000000-0005-0000-0000-00005D6F0000}"/>
    <cellStyle name="Output 8 9 4" xfId="33377" xr:uid="{00000000-0005-0000-0000-00005E6F0000}"/>
    <cellStyle name="Output 9" xfId="18581" xr:uid="{00000000-0005-0000-0000-00005F6F0000}"/>
    <cellStyle name="Output 9 10" xfId="18582" xr:uid="{00000000-0005-0000-0000-0000606F0000}"/>
    <cellStyle name="Output 9 10 2" xfId="18583" xr:uid="{00000000-0005-0000-0000-0000616F0000}"/>
    <cellStyle name="Output 9 10 3" xfId="33378" xr:uid="{00000000-0005-0000-0000-0000626F0000}"/>
    <cellStyle name="Output 9 10 4" xfId="33379" xr:uid="{00000000-0005-0000-0000-0000636F0000}"/>
    <cellStyle name="Output 9 11" xfId="18584" xr:uid="{00000000-0005-0000-0000-0000646F0000}"/>
    <cellStyle name="Output 9 11 2" xfId="18585" xr:uid="{00000000-0005-0000-0000-0000656F0000}"/>
    <cellStyle name="Output 9 11 3" xfId="33380" xr:uid="{00000000-0005-0000-0000-0000666F0000}"/>
    <cellStyle name="Output 9 11 4" xfId="33381" xr:uid="{00000000-0005-0000-0000-0000676F0000}"/>
    <cellStyle name="Output 9 12" xfId="18586" xr:uid="{00000000-0005-0000-0000-0000686F0000}"/>
    <cellStyle name="Output 9 13" xfId="33382" xr:uid="{00000000-0005-0000-0000-0000696F0000}"/>
    <cellStyle name="Output 9 14" xfId="33383" xr:uid="{00000000-0005-0000-0000-00006A6F0000}"/>
    <cellStyle name="Output 9 2" xfId="18587" xr:uid="{00000000-0005-0000-0000-00006B6F0000}"/>
    <cellStyle name="Output 9 2 10" xfId="33384" xr:uid="{00000000-0005-0000-0000-00006C6F0000}"/>
    <cellStyle name="Output 9 2 2" xfId="18588" xr:uid="{00000000-0005-0000-0000-00006D6F0000}"/>
    <cellStyle name="Output 9 2 2 2" xfId="18589" xr:uid="{00000000-0005-0000-0000-00006E6F0000}"/>
    <cellStyle name="Output 9 2 2 3" xfId="33385" xr:uid="{00000000-0005-0000-0000-00006F6F0000}"/>
    <cellStyle name="Output 9 2 2 4" xfId="33386" xr:uid="{00000000-0005-0000-0000-0000706F0000}"/>
    <cellStyle name="Output 9 2 3" xfId="18590" xr:uid="{00000000-0005-0000-0000-0000716F0000}"/>
    <cellStyle name="Output 9 2 3 2" xfId="18591" xr:uid="{00000000-0005-0000-0000-0000726F0000}"/>
    <cellStyle name="Output 9 2 3 3" xfId="33387" xr:uid="{00000000-0005-0000-0000-0000736F0000}"/>
    <cellStyle name="Output 9 2 3 4" xfId="33388" xr:uid="{00000000-0005-0000-0000-0000746F0000}"/>
    <cellStyle name="Output 9 2 4" xfId="18592" xr:uid="{00000000-0005-0000-0000-0000756F0000}"/>
    <cellStyle name="Output 9 2 4 2" xfId="18593" xr:uid="{00000000-0005-0000-0000-0000766F0000}"/>
    <cellStyle name="Output 9 2 4 3" xfId="33389" xr:uid="{00000000-0005-0000-0000-0000776F0000}"/>
    <cellStyle name="Output 9 2 4 4" xfId="33390" xr:uid="{00000000-0005-0000-0000-0000786F0000}"/>
    <cellStyle name="Output 9 2 5" xfId="18594" xr:uid="{00000000-0005-0000-0000-0000796F0000}"/>
    <cellStyle name="Output 9 2 5 2" xfId="18595" xr:uid="{00000000-0005-0000-0000-00007A6F0000}"/>
    <cellStyle name="Output 9 2 5 3" xfId="33391" xr:uid="{00000000-0005-0000-0000-00007B6F0000}"/>
    <cellStyle name="Output 9 2 5 4" xfId="33392" xr:uid="{00000000-0005-0000-0000-00007C6F0000}"/>
    <cellStyle name="Output 9 2 6" xfId="18596" xr:uid="{00000000-0005-0000-0000-00007D6F0000}"/>
    <cellStyle name="Output 9 2 6 2" xfId="18597" xr:uid="{00000000-0005-0000-0000-00007E6F0000}"/>
    <cellStyle name="Output 9 2 6 3" xfId="33393" xr:uid="{00000000-0005-0000-0000-00007F6F0000}"/>
    <cellStyle name="Output 9 2 6 4" xfId="33394" xr:uid="{00000000-0005-0000-0000-0000806F0000}"/>
    <cellStyle name="Output 9 2 7" xfId="18598" xr:uid="{00000000-0005-0000-0000-0000816F0000}"/>
    <cellStyle name="Output 9 2 7 2" xfId="18599" xr:uid="{00000000-0005-0000-0000-0000826F0000}"/>
    <cellStyle name="Output 9 2 7 3" xfId="33395" xr:uid="{00000000-0005-0000-0000-0000836F0000}"/>
    <cellStyle name="Output 9 2 7 4" xfId="33396" xr:uid="{00000000-0005-0000-0000-0000846F0000}"/>
    <cellStyle name="Output 9 2 8" xfId="18600" xr:uid="{00000000-0005-0000-0000-0000856F0000}"/>
    <cellStyle name="Output 9 2 9" xfId="33397" xr:uid="{00000000-0005-0000-0000-0000866F0000}"/>
    <cellStyle name="Output 9 3" xfId="18601" xr:uid="{00000000-0005-0000-0000-0000876F0000}"/>
    <cellStyle name="Output 9 3 10" xfId="33398" xr:uid="{00000000-0005-0000-0000-0000886F0000}"/>
    <cellStyle name="Output 9 3 2" xfId="18602" xr:uid="{00000000-0005-0000-0000-0000896F0000}"/>
    <cellStyle name="Output 9 3 2 2" xfId="18603" xr:uid="{00000000-0005-0000-0000-00008A6F0000}"/>
    <cellStyle name="Output 9 3 2 3" xfId="33399" xr:uid="{00000000-0005-0000-0000-00008B6F0000}"/>
    <cellStyle name="Output 9 3 2 4" xfId="33400" xr:uid="{00000000-0005-0000-0000-00008C6F0000}"/>
    <cellStyle name="Output 9 3 3" xfId="18604" xr:uid="{00000000-0005-0000-0000-00008D6F0000}"/>
    <cellStyle name="Output 9 3 3 2" xfId="18605" xr:uid="{00000000-0005-0000-0000-00008E6F0000}"/>
    <cellStyle name="Output 9 3 3 3" xfId="33401" xr:uid="{00000000-0005-0000-0000-00008F6F0000}"/>
    <cellStyle name="Output 9 3 3 4" xfId="33402" xr:uid="{00000000-0005-0000-0000-0000906F0000}"/>
    <cellStyle name="Output 9 3 4" xfId="18606" xr:uid="{00000000-0005-0000-0000-0000916F0000}"/>
    <cellStyle name="Output 9 3 4 2" xfId="18607" xr:uid="{00000000-0005-0000-0000-0000926F0000}"/>
    <cellStyle name="Output 9 3 4 3" xfId="33403" xr:uid="{00000000-0005-0000-0000-0000936F0000}"/>
    <cellStyle name="Output 9 3 4 4" xfId="33404" xr:uid="{00000000-0005-0000-0000-0000946F0000}"/>
    <cellStyle name="Output 9 3 5" xfId="18608" xr:uid="{00000000-0005-0000-0000-0000956F0000}"/>
    <cellStyle name="Output 9 3 5 2" xfId="18609" xr:uid="{00000000-0005-0000-0000-0000966F0000}"/>
    <cellStyle name="Output 9 3 5 3" xfId="33405" xr:uid="{00000000-0005-0000-0000-0000976F0000}"/>
    <cellStyle name="Output 9 3 5 4" xfId="33406" xr:uid="{00000000-0005-0000-0000-0000986F0000}"/>
    <cellStyle name="Output 9 3 6" xfId="18610" xr:uid="{00000000-0005-0000-0000-0000996F0000}"/>
    <cellStyle name="Output 9 3 6 2" xfId="18611" xr:uid="{00000000-0005-0000-0000-00009A6F0000}"/>
    <cellStyle name="Output 9 3 6 3" xfId="33407" xr:uid="{00000000-0005-0000-0000-00009B6F0000}"/>
    <cellStyle name="Output 9 3 6 4" xfId="33408" xr:uid="{00000000-0005-0000-0000-00009C6F0000}"/>
    <cellStyle name="Output 9 3 7" xfId="18612" xr:uid="{00000000-0005-0000-0000-00009D6F0000}"/>
    <cellStyle name="Output 9 3 7 2" xfId="18613" xr:uid="{00000000-0005-0000-0000-00009E6F0000}"/>
    <cellStyle name="Output 9 3 7 3" xfId="33409" xr:uid="{00000000-0005-0000-0000-00009F6F0000}"/>
    <cellStyle name="Output 9 3 7 4" xfId="33410" xr:uid="{00000000-0005-0000-0000-0000A06F0000}"/>
    <cellStyle name="Output 9 3 8" xfId="18614" xr:uid="{00000000-0005-0000-0000-0000A16F0000}"/>
    <cellStyle name="Output 9 3 9" xfId="33411" xr:uid="{00000000-0005-0000-0000-0000A26F0000}"/>
    <cellStyle name="Output 9 4" xfId="18615" xr:uid="{00000000-0005-0000-0000-0000A36F0000}"/>
    <cellStyle name="Output 9 4 10" xfId="33412" xr:uid="{00000000-0005-0000-0000-0000A46F0000}"/>
    <cellStyle name="Output 9 4 2" xfId="18616" xr:uid="{00000000-0005-0000-0000-0000A56F0000}"/>
    <cellStyle name="Output 9 4 2 2" xfId="18617" xr:uid="{00000000-0005-0000-0000-0000A66F0000}"/>
    <cellStyle name="Output 9 4 2 3" xfId="33413" xr:uid="{00000000-0005-0000-0000-0000A76F0000}"/>
    <cellStyle name="Output 9 4 2 4" xfId="33414" xr:uid="{00000000-0005-0000-0000-0000A86F0000}"/>
    <cellStyle name="Output 9 4 3" xfId="18618" xr:uid="{00000000-0005-0000-0000-0000A96F0000}"/>
    <cellStyle name="Output 9 4 3 2" xfId="18619" xr:uid="{00000000-0005-0000-0000-0000AA6F0000}"/>
    <cellStyle name="Output 9 4 3 3" xfId="33415" xr:uid="{00000000-0005-0000-0000-0000AB6F0000}"/>
    <cellStyle name="Output 9 4 3 4" xfId="33416" xr:uid="{00000000-0005-0000-0000-0000AC6F0000}"/>
    <cellStyle name="Output 9 4 4" xfId="18620" xr:uid="{00000000-0005-0000-0000-0000AD6F0000}"/>
    <cellStyle name="Output 9 4 4 2" xfId="18621" xr:uid="{00000000-0005-0000-0000-0000AE6F0000}"/>
    <cellStyle name="Output 9 4 4 3" xfId="33417" xr:uid="{00000000-0005-0000-0000-0000AF6F0000}"/>
    <cellStyle name="Output 9 4 4 4" xfId="33418" xr:uid="{00000000-0005-0000-0000-0000B06F0000}"/>
    <cellStyle name="Output 9 4 5" xfId="18622" xr:uid="{00000000-0005-0000-0000-0000B16F0000}"/>
    <cellStyle name="Output 9 4 5 2" xfId="18623" xr:uid="{00000000-0005-0000-0000-0000B26F0000}"/>
    <cellStyle name="Output 9 4 5 3" xfId="33419" xr:uid="{00000000-0005-0000-0000-0000B36F0000}"/>
    <cellStyle name="Output 9 4 5 4" xfId="33420" xr:uid="{00000000-0005-0000-0000-0000B46F0000}"/>
    <cellStyle name="Output 9 4 6" xfId="18624" xr:uid="{00000000-0005-0000-0000-0000B56F0000}"/>
    <cellStyle name="Output 9 4 6 2" xfId="18625" xr:uid="{00000000-0005-0000-0000-0000B66F0000}"/>
    <cellStyle name="Output 9 4 6 3" xfId="33421" xr:uid="{00000000-0005-0000-0000-0000B76F0000}"/>
    <cellStyle name="Output 9 4 6 4" xfId="33422" xr:uid="{00000000-0005-0000-0000-0000B86F0000}"/>
    <cellStyle name="Output 9 4 7" xfId="18626" xr:uid="{00000000-0005-0000-0000-0000B96F0000}"/>
    <cellStyle name="Output 9 4 7 2" xfId="18627" xr:uid="{00000000-0005-0000-0000-0000BA6F0000}"/>
    <cellStyle name="Output 9 4 7 3" xfId="33423" xr:uid="{00000000-0005-0000-0000-0000BB6F0000}"/>
    <cellStyle name="Output 9 4 7 4" xfId="33424" xr:uid="{00000000-0005-0000-0000-0000BC6F0000}"/>
    <cellStyle name="Output 9 4 8" xfId="18628" xr:uid="{00000000-0005-0000-0000-0000BD6F0000}"/>
    <cellStyle name="Output 9 4 9" xfId="33425" xr:uid="{00000000-0005-0000-0000-0000BE6F0000}"/>
    <cellStyle name="Output 9 5" xfId="18629" xr:uid="{00000000-0005-0000-0000-0000BF6F0000}"/>
    <cellStyle name="Output 9 5 10" xfId="33426" xr:uid="{00000000-0005-0000-0000-0000C06F0000}"/>
    <cellStyle name="Output 9 5 2" xfId="18630" xr:uid="{00000000-0005-0000-0000-0000C16F0000}"/>
    <cellStyle name="Output 9 5 2 2" xfId="18631" xr:uid="{00000000-0005-0000-0000-0000C26F0000}"/>
    <cellStyle name="Output 9 5 2 3" xfId="33427" xr:uid="{00000000-0005-0000-0000-0000C36F0000}"/>
    <cellStyle name="Output 9 5 2 4" xfId="33428" xr:uid="{00000000-0005-0000-0000-0000C46F0000}"/>
    <cellStyle name="Output 9 5 3" xfId="18632" xr:uid="{00000000-0005-0000-0000-0000C56F0000}"/>
    <cellStyle name="Output 9 5 3 2" xfId="18633" xr:uid="{00000000-0005-0000-0000-0000C66F0000}"/>
    <cellStyle name="Output 9 5 3 3" xfId="33429" xr:uid="{00000000-0005-0000-0000-0000C76F0000}"/>
    <cellStyle name="Output 9 5 3 4" xfId="33430" xr:uid="{00000000-0005-0000-0000-0000C86F0000}"/>
    <cellStyle name="Output 9 5 4" xfId="18634" xr:uid="{00000000-0005-0000-0000-0000C96F0000}"/>
    <cellStyle name="Output 9 5 4 2" xfId="18635" xr:uid="{00000000-0005-0000-0000-0000CA6F0000}"/>
    <cellStyle name="Output 9 5 4 3" xfId="33431" xr:uid="{00000000-0005-0000-0000-0000CB6F0000}"/>
    <cellStyle name="Output 9 5 4 4" xfId="33432" xr:uid="{00000000-0005-0000-0000-0000CC6F0000}"/>
    <cellStyle name="Output 9 5 5" xfId="18636" xr:uid="{00000000-0005-0000-0000-0000CD6F0000}"/>
    <cellStyle name="Output 9 5 5 2" xfId="18637" xr:uid="{00000000-0005-0000-0000-0000CE6F0000}"/>
    <cellStyle name="Output 9 5 5 3" xfId="33433" xr:uid="{00000000-0005-0000-0000-0000CF6F0000}"/>
    <cellStyle name="Output 9 5 5 4" xfId="33434" xr:uid="{00000000-0005-0000-0000-0000D06F0000}"/>
    <cellStyle name="Output 9 5 6" xfId="18638" xr:uid="{00000000-0005-0000-0000-0000D16F0000}"/>
    <cellStyle name="Output 9 5 6 2" xfId="18639" xr:uid="{00000000-0005-0000-0000-0000D26F0000}"/>
    <cellStyle name="Output 9 5 6 3" xfId="33435" xr:uid="{00000000-0005-0000-0000-0000D36F0000}"/>
    <cellStyle name="Output 9 5 6 4" xfId="33436" xr:uid="{00000000-0005-0000-0000-0000D46F0000}"/>
    <cellStyle name="Output 9 5 7" xfId="18640" xr:uid="{00000000-0005-0000-0000-0000D56F0000}"/>
    <cellStyle name="Output 9 5 7 2" xfId="18641" xr:uid="{00000000-0005-0000-0000-0000D66F0000}"/>
    <cellStyle name="Output 9 5 7 3" xfId="33437" xr:uid="{00000000-0005-0000-0000-0000D76F0000}"/>
    <cellStyle name="Output 9 5 7 4" xfId="33438" xr:uid="{00000000-0005-0000-0000-0000D86F0000}"/>
    <cellStyle name="Output 9 5 8" xfId="18642" xr:uid="{00000000-0005-0000-0000-0000D96F0000}"/>
    <cellStyle name="Output 9 5 9" xfId="33439" xr:uid="{00000000-0005-0000-0000-0000DA6F0000}"/>
    <cellStyle name="Output 9 6" xfId="18643" xr:uid="{00000000-0005-0000-0000-0000DB6F0000}"/>
    <cellStyle name="Output 9 6 2" xfId="18644" xr:uid="{00000000-0005-0000-0000-0000DC6F0000}"/>
    <cellStyle name="Output 9 6 3" xfId="33440" xr:uid="{00000000-0005-0000-0000-0000DD6F0000}"/>
    <cellStyle name="Output 9 6 4" xfId="33441" xr:uid="{00000000-0005-0000-0000-0000DE6F0000}"/>
    <cellStyle name="Output 9 7" xfId="18645" xr:uid="{00000000-0005-0000-0000-0000DF6F0000}"/>
    <cellStyle name="Output 9 7 2" xfId="18646" xr:uid="{00000000-0005-0000-0000-0000E06F0000}"/>
    <cellStyle name="Output 9 7 3" xfId="33442" xr:uid="{00000000-0005-0000-0000-0000E16F0000}"/>
    <cellStyle name="Output 9 7 4" xfId="33443" xr:uid="{00000000-0005-0000-0000-0000E26F0000}"/>
    <cellStyle name="Output 9 8" xfId="18647" xr:uid="{00000000-0005-0000-0000-0000E36F0000}"/>
    <cellStyle name="Output 9 8 2" xfId="18648" xr:uid="{00000000-0005-0000-0000-0000E46F0000}"/>
    <cellStyle name="Output 9 8 3" xfId="33444" xr:uid="{00000000-0005-0000-0000-0000E56F0000}"/>
    <cellStyle name="Output 9 8 4" xfId="33445" xr:uid="{00000000-0005-0000-0000-0000E66F0000}"/>
    <cellStyle name="Output 9 9" xfId="18649" xr:uid="{00000000-0005-0000-0000-0000E76F0000}"/>
    <cellStyle name="Output 9 9 2" xfId="18650" xr:uid="{00000000-0005-0000-0000-0000E86F0000}"/>
    <cellStyle name="Output 9 9 3" xfId="33446" xr:uid="{00000000-0005-0000-0000-0000E96F0000}"/>
    <cellStyle name="Output 9 9 4" xfId="33447" xr:uid="{00000000-0005-0000-0000-0000EA6F0000}"/>
    <cellStyle name="Per cent" xfId="10" builtinId="5"/>
    <cellStyle name="Percent 10" xfId="18651" xr:uid="{00000000-0005-0000-0000-0000EC6F0000}"/>
    <cellStyle name="Percent 10 2" xfId="18652" xr:uid="{00000000-0005-0000-0000-0000ED6F0000}"/>
    <cellStyle name="Percent 10 3" xfId="18653" xr:uid="{00000000-0005-0000-0000-0000EE6F0000}"/>
    <cellStyle name="Percent 11" xfId="18654" xr:uid="{00000000-0005-0000-0000-0000EF6F0000}"/>
    <cellStyle name="Percent 11 2" xfId="18655" xr:uid="{00000000-0005-0000-0000-0000F06F0000}"/>
    <cellStyle name="Percent 12" xfId="18656" xr:uid="{00000000-0005-0000-0000-0000F16F0000}"/>
    <cellStyle name="Percent 12 2" xfId="18657" xr:uid="{00000000-0005-0000-0000-0000F26F0000}"/>
    <cellStyle name="Percent 13" xfId="18658" xr:uid="{00000000-0005-0000-0000-0000F36F0000}"/>
    <cellStyle name="Percent 14" xfId="18659" xr:uid="{00000000-0005-0000-0000-0000F46F0000}"/>
    <cellStyle name="Percent 14 10" xfId="18660" xr:uid="{00000000-0005-0000-0000-0000F56F0000}"/>
    <cellStyle name="Percent 14 11" xfId="18661" xr:uid="{00000000-0005-0000-0000-0000F66F0000}"/>
    <cellStyle name="Percent 14 2" xfId="18662" xr:uid="{00000000-0005-0000-0000-0000F76F0000}"/>
    <cellStyle name="Percent 14 3" xfId="18663" xr:uid="{00000000-0005-0000-0000-0000F86F0000}"/>
    <cellStyle name="Percent 14 4" xfId="18664" xr:uid="{00000000-0005-0000-0000-0000F96F0000}"/>
    <cellStyle name="Percent 14 5" xfId="18665" xr:uid="{00000000-0005-0000-0000-0000FA6F0000}"/>
    <cellStyle name="Percent 14 6" xfId="18666" xr:uid="{00000000-0005-0000-0000-0000FB6F0000}"/>
    <cellStyle name="Percent 14 7" xfId="18667" xr:uid="{00000000-0005-0000-0000-0000FC6F0000}"/>
    <cellStyle name="Percent 14 8" xfId="18668" xr:uid="{00000000-0005-0000-0000-0000FD6F0000}"/>
    <cellStyle name="Percent 14 9" xfId="18669" xr:uid="{00000000-0005-0000-0000-0000FE6F0000}"/>
    <cellStyle name="Percent 15" xfId="18670" xr:uid="{00000000-0005-0000-0000-0000FF6F0000}"/>
    <cellStyle name="Percent 16" xfId="18671" xr:uid="{00000000-0005-0000-0000-000000700000}"/>
    <cellStyle name="Percent 19" xfId="18672" xr:uid="{00000000-0005-0000-0000-000001700000}"/>
    <cellStyle name="Percent 2" xfId="18673" xr:uid="{00000000-0005-0000-0000-000002700000}"/>
    <cellStyle name="Percent 2 10" xfId="18674" xr:uid="{00000000-0005-0000-0000-000003700000}"/>
    <cellStyle name="Percent 2 100" xfId="18675" xr:uid="{00000000-0005-0000-0000-000004700000}"/>
    <cellStyle name="Percent 2 101" xfId="18676" xr:uid="{00000000-0005-0000-0000-000005700000}"/>
    <cellStyle name="Percent 2 102" xfId="18677" xr:uid="{00000000-0005-0000-0000-000006700000}"/>
    <cellStyle name="Percent 2 103" xfId="18678" xr:uid="{00000000-0005-0000-0000-000007700000}"/>
    <cellStyle name="Percent 2 104" xfId="18679" xr:uid="{00000000-0005-0000-0000-000008700000}"/>
    <cellStyle name="Percent 2 105" xfId="18680" xr:uid="{00000000-0005-0000-0000-000009700000}"/>
    <cellStyle name="Percent 2 106" xfId="18681" xr:uid="{00000000-0005-0000-0000-00000A700000}"/>
    <cellStyle name="Percent 2 107" xfId="18682" xr:uid="{00000000-0005-0000-0000-00000B700000}"/>
    <cellStyle name="Percent 2 108" xfId="18683" xr:uid="{00000000-0005-0000-0000-00000C700000}"/>
    <cellStyle name="Percent 2 109" xfId="18684" xr:uid="{00000000-0005-0000-0000-00000D700000}"/>
    <cellStyle name="Percent 2 11" xfId="18685" xr:uid="{00000000-0005-0000-0000-00000E700000}"/>
    <cellStyle name="Percent 2 110" xfId="18686" xr:uid="{00000000-0005-0000-0000-00000F700000}"/>
    <cellStyle name="Percent 2 111" xfId="18687" xr:uid="{00000000-0005-0000-0000-000010700000}"/>
    <cellStyle name="Percent 2 12" xfId="18688" xr:uid="{00000000-0005-0000-0000-000011700000}"/>
    <cellStyle name="Percent 2 13" xfId="18689" xr:uid="{00000000-0005-0000-0000-000012700000}"/>
    <cellStyle name="Percent 2 14" xfId="18690" xr:uid="{00000000-0005-0000-0000-000013700000}"/>
    <cellStyle name="Percent 2 15" xfId="18691" xr:uid="{00000000-0005-0000-0000-000014700000}"/>
    <cellStyle name="Percent 2 16" xfId="18692" xr:uid="{00000000-0005-0000-0000-000015700000}"/>
    <cellStyle name="Percent 2 17" xfId="18693" xr:uid="{00000000-0005-0000-0000-000016700000}"/>
    <cellStyle name="Percent 2 18" xfId="18694" xr:uid="{00000000-0005-0000-0000-000017700000}"/>
    <cellStyle name="Percent 2 19" xfId="18695" xr:uid="{00000000-0005-0000-0000-000018700000}"/>
    <cellStyle name="Percent 2 2" xfId="18696" xr:uid="{00000000-0005-0000-0000-000019700000}"/>
    <cellStyle name="Percent 2 2 10" xfId="18697" xr:uid="{00000000-0005-0000-0000-00001A700000}"/>
    <cellStyle name="Percent 2 2 10 2" xfId="18698" xr:uid="{00000000-0005-0000-0000-00001B700000}"/>
    <cellStyle name="Percent 2 2 11" xfId="18699" xr:uid="{00000000-0005-0000-0000-00001C700000}"/>
    <cellStyle name="Percent 2 2 12" xfId="18700" xr:uid="{00000000-0005-0000-0000-00001D700000}"/>
    <cellStyle name="Percent 2 2 13" xfId="18701" xr:uid="{00000000-0005-0000-0000-00001E700000}"/>
    <cellStyle name="Percent 2 2 14" xfId="18702" xr:uid="{00000000-0005-0000-0000-00001F700000}"/>
    <cellStyle name="Percent 2 2 15" xfId="18703" xr:uid="{00000000-0005-0000-0000-000020700000}"/>
    <cellStyle name="Percent 2 2 15 2" xfId="18704" xr:uid="{00000000-0005-0000-0000-000021700000}"/>
    <cellStyle name="Percent 2 2 16" xfId="18705" xr:uid="{00000000-0005-0000-0000-000022700000}"/>
    <cellStyle name="Percent 2 2 17" xfId="18706" xr:uid="{00000000-0005-0000-0000-000023700000}"/>
    <cellStyle name="Percent 2 2 18" xfId="18707" xr:uid="{00000000-0005-0000-0000-000024700000}"/>
    <cellStyle name="Percent 2 2 19" xfId="18708" xr:uid="{00000000-0005-0000-0000-000025700000}"/>
    <cellStyle name="Percent 2 2 2" xfId="18709" xr:uid="{00000000-0005-0000-0000-000026700000}"/>
    <cellStyle name="Percent 2 2 2 2" xfId="18710" xr:uid="{00000000-0005-0000-0000-000027700000}"/>
    <cellStyle name="Percent 2 2 2 3" xfId="18711" xr:uid="{00000000-0005-0000-0000-000028700000}"/>
    <cellStyle name="Percent 2 2 2 4" xfId="18712" xr:uid="{00000000-0005-0000-0000-000029700000}"/>
    <cellStyle name="Percent 2 2 2 5" xfId="18713" xr:uid="{00000000-0005-0000-0000-00002A700000}"/>
    <cellStyle name="Percent 2 2 20" xfId="18714" xr:uid="{00000000-0005-0000-0000-00002B700000}"/>
    <cellStyle name="Percent 2 2 21" xfId="18715" xr:uid="{00000000-0005-0000-0000-00002C700000}"/>
    <cellStyle name="Percent 2 2 22" xfId="18716" xr:uid="{00000000-0005-0000-0000-00002D700000}"/>
    <cellStyle name="Percent 2 2 23" xfId="18717" xr:uid="{00000000-0005-0000-0000-00002E700000}"/>
    <cellStyle name="Percent 2 2 24" xfId="18718" xr:uid="{00000000-0005-0000-0000-00002F700000}"/>
    <cellStyle name="Percent 2 2 25" xfId="18719" xr:uid="{00000000-0005-0000-0000-000030700000}"/>
    <cellStyle name="Percent 2 2 26" xfId="18720" xr:uid="{00000000-0005-0000-0000-000031700000}"/>
    <cellStyle name="Percent 2 2 27" xfId="18721" xr:uid="{00000000-0005-0000-0000-000032700000}"/>
    <cellStyle name="Percent 2 2 28" xfId="18722" xr:uid="{00000000-0005-0000-0000-000033700000}"/>
    <cellStyle name="Percent 2 2 29" xfId="18723" xr:uid="{00000000-0005-0000-0000-000034700000}"/>
    <cellStyle name="Percent 2 2 3" xfId="18724" xr:uid="{00000000-0005-0000-0000-000035700000}"/>
    <cellStyle name="Percent 2 2 3 2" xfId="18725" xr:uid="{00000000-0005-0000-0000-000036700000}"/>
    <cellStyle name="Percent 2 2 3 3" xfId="18726" xr:uid="{00000000-0005-0000-0000-000037700000}"/>
    <cellStyle name="Percent 2 2 30" xfId="18727" xr:uid="{00000000-0005-0000-0000-000038700000}"/>
    <cellStyle name="Percent 2 2 31" xfId="18728" xr:uid="{00000000-0005-0000-0000-000039700000}"/>
    <cellStyle name="Percent 2 2 32" xfId="18729" xr:uid="{00000000-0005-0000-0000-00003A700000}"/>
    <cellStyle name="Percent 2 2 33" xfId="18730" xr:uid="{00000000-0005-0000-0000-00003B700000}"/>
    <cellStyle name="Percent 2 2 34" xfId="18731" xr:uid="{00000000-0005-0000-0000-00003C700000}"/>
    <cellStyle name="Percent 2 2 35" xfId="18732" xr:uid="{00000000-0005-0000-0000-00003D700000}"/>
    <cellStyle name="Percent 2 2 36" xfId="18733" xr:uid="{00000000-0005-0000-0000-00003E700000}"/>
    <cellStyle name="Percent 2 2 37" xfId="18734" xr:uid="{00000000-0005-0000-0000-00003F700000}"/>
    <cellStyle name="Percent 2 2 38" xfId="18735" xr:uid="{00000000-0005-0000-0000-000040700000}"/>
    <cellStyle name="Percent 2 2 39" xfId="18736" xr:uid="{00000000-0005-0000-0000-000041700000}"/>
    <cellStyle name="Percent 2 2 4" xfId="18737" xr:uid="{00000000-0005-0000-0000-000042700000}"/>
    <cellStyle name="Percent 2 2 4 2" xfId="18738" xr:uid="{00000000-0005-0000-0000-000043700000}"/>
    <cellStyle name="Percent 2 2 4 3" xfId="18739" xr:uid="{00000000-0005-0000-0000-000044700000}"/>
    <cellStyle name="Percent 2 2 40" xfId="18740" xr:uid="{00000000-0005-0000-0000-000045700000}"/>
    <cellStyle name="Percent 2 2 41" xfId="18741" xr:uid="{00000000-0005-0000-0000-000046700000}"/>
    <cellStyle name="Percent 2 2 42" xfId="18742" xr:uid="{00000000-0005-0000-0000-000047700000}"/>
    <cellStyle name="Percent 2 2 43" xfId="18743" xr:uid="{00000000-0005-0000-0000-000048700000}"/>
    <cellStyle name="Percent 2 2 44" xfId="18744" xr:uid="{00000000-0005-0000-0000-000049700000}"/>
    <cellStyle name="Percent 2 2 45" xfId="18745" xr:uid="{00000000-0005-0000-0000-00004A700000}"/>
    <cellStyle name="Percent 2 2 46" xfId="18746" xr:uid="{00000000-0005-0000-0000-00004B700000}"/>
    <cellStyle name="Percent 2 2 47" xfId="18747" xr:uid="{00000000-0005-0000-0000-00004C700000}"/>
    <cellStyle name="Percent 2 2 48" xfId="18748" xr:uid="{00000000-0005-0000-0000-00004D700000}"/>
    <cellStyle name="Percent 2 2 49" xfId="18749" xr:uid="{00000000-0005-0000-0000-00004E700000}"/>
    <cellStyle name="Percent 2 2 5" xfId="18750" xr:uid="{00000000-0005-0000-0000-00004F700000}"/>
    <cellStyle name="Percent 2 2 50" xfId="18751" xr:uid="{00000000-0005-0000-0000-000050700000}"/>
    <cellStyle name="Percent 2 2 51" xfId="18752" xr:uid="{00000000-0005-0000-0000-000051700000}"/>
    <cellStyle name="Percent 2 2 52" xfId="18753" xr:uid="{00000000-0005-0000-0000-000052700000}"/>
    <cellStyle name="Percent 2 2 53" xfId="18754" xr:uid="{00000000-0005-0000-0000-000053700000}"/>
    <cellStyle name="Percent 2 2 54" xfId="18755" xr:uid="{00000000-0005-0000-0000-000054700000}"/>
    <cellStyle name="Percent 2 2 55" xfId="18756" xr:uid="{00000000-0005-0000-0000-000055700000}"/>
    <cellStyle name="Percent 2 2 56" xfId="18757" xr:uid="{00000000-0005-0000-0000-000056700000}"/>
    <cellStyle name="Percent 2 2 57" xfId="18758" xr:uid="{00000000-0005-0000-0000-000057700000}"/>
    <cellStyle name="Percent 2 2 58" xfId="18759" xr:uid="{00000000-0005-0000-0000-000058700000}"/>
    <cellStyle name="Percent 2 2 59" xfId="18760" xr:uid="{00000000-0005-0000-0000-000059700000}"/>
    <cellStyle name="Percent 2 2 6" xfId="18761" xr:uid="{00000000-0005-0000-0000-00005A700000}"/>
    <cellStyle name="Percent 2 2 60" xfId="18762" xr:uid="{00000000-0005-0000-0000-00005B700000}"/>
    <cellStyle name="Percent 2 2 61" xfId="18763" xr:uid="{00000000-0005-0000-0000-00005C700000}"/>
    <cellStyle name="Percent 2 2 62" xfId="18764" xr:uid="{00000000-0005-0000-0000-00005D700000}"/>
    <cellStyle name="Percent 2 2 63" xfId="18765" xr:uid="{00000000-0005-0000-0000-00005E700000}"/>
    <cellStyle name="Percent 2 2 64" xfId="18766" xr:uid="{00000000-0005-0000-0000-00005F700000}"/>
    <cellStyle name="Percent 2 2 65" xfId="18767" xr:uid="{00000000-0005-0000-0000-000060700000}"/>
    <cellStyle name="Percent 2 2 66" xfId="18768" xr:uid="{00000000-0005-0000-0000-000061700000}"/>
    <cellStyle name="Percent 2 2 67" xfId="18769" xr:uid="{00000000-0005-0000-0000-000062700000}"/>
    <cellStyle name="Percent 2 2 68" xfId="18770" xr:uid="{00000000-0005-0000-0000-000063700000}"/>
    <cellStyle name="Percent 2 2 69" xfId="18771" xr:uid="{00000000-0005-0000-0000-000064700000}"/>
    <cellStyle name="Percent 2 2 7" xfId="18772" xr:uid="{00000000-0005-0000-0000-000065700000}"/>
    <cellStyle name="Percent 2 2 70" xfId="18773" xr:uid="{00000000-0005-0000-0000-000066700000}"/>
    <cellStyle name="Percent 2 2 71" xfId="18774" xr:uid="{00000000-0005-0000-0000-000067700000}"/>
    <cellStyle name="Percent 2 2 72" xfId="18775" xr:uid="{00000000-0005-0000-0000-000068700000}"/>
    <cellStyle name="Percent 2 2 73" xfId="18776" xr:uid="{00000000-0005-0000-0000-000069700000}"/>
    <cellStyle name="Percent 2 2 74" xfId="18777" xr:uid="{00000000-0005-0000-0000-00006A700000}"/>
    <cellStyle name="Percent 2 2 75" xfId="18778" xr:uid="{00000000-0005-0000-0000-00006B700000}"/>
    <cellStyle name="Percent 2 2 8" xfId="18779" xr:uid="{00000000-0005-0000-0000-00006C700000}"/>
    <cellStyle name="Percent 2 2 9" xfId="18780" xr:uid="{00000000-0005-0000-0000-00006D700000}"/>
    <cellStyle name="Percent 2 20" xfId="18781" xr:uid="{00000000-0005-0000-0000-00006E700000}"/>
    <cellStyle name="Percent 2 21" xfId="18782" xr:uid="{00000000-0005-0000-0000-00006F700000}"/>
    <cellStyle name="Percent 2 22" xfId="18783" xr:uid="{00000000-0005-0000-0000-000070700000}"/>
    <cellStyle name="Percent 2 23" xfId="18784" xr:uid="{00000000-0005-0000-0000-000071700000}"/>
    <cellStyle name="Percent 2 24" xfId="18785" xr:uid="{00000000-0005-0000-0000-000072700000}"/>
    <cellStyle name="Percent 2 25" xfId="18786" xr:uid="{00000000-0005-0000-0000-000073700000}"/>
    <cellStyle name="Percent 2 26" xfId="18787" xr:uid="{00000000-0005-0000-0000-000074700000}"/>
    <cellStyle name="Percent 2 27" xfId="18788" xr:uid="{00000000-0005-0000-0000-000075700000}"/>
    <cellStyle name="Percent 2 28" xfId="18789" xr:uid="{00000000-0005-0000-0000-000076700000}"/>
    <cellStyle name="Percent 2 29" xfId="18790" xr:uid="{00000000-0005-0000-0000-000077700000}"/>
    <cellStyle name="Percent 2 3" xfId="18791" xr:uid="{00000000-0005-0000-0000-000078700000}"/>
    <cellStyle name="Percent 2 3 2" xfId="18792" xr:uid="{00000000-0005-0000-0000-000079700000}"/>
    <cellStyle name="Percent 2 30" xfId="18793" xr:uid="{00000000-0005-0000-0000-00007A700000}"/>
    <cellStyle name="Percent 2 31" xfId="18794" xr:uid="{00000000-0005-0000-0000-00007B700000}"/>
    <cellStyle name="Percent 2 32" xfId="18795" xr:uid="{00000000-0005-0000-0000-00007C700000}"/>
    <cellStyle name="Percent 2 33" xfId="18796" xr:uid="{00000000-0005-0000-0000-00007D700000}"/>
    <cellStyle name="Percent 2 34" xfId="18797" xr:uid="{00000000-0005-0000-0000-00007E700000}"/>
    <cellStyle name="Percent 2 35" xfId="18798" xr:uid="{00000000-0005-0000-0000-00007F700000}"/>
    <cellStyle name="Percent 2 36" xfId="18799" xr:uid="{00000000-0005-0000-0000-000080700000}"/>
    <cellStyle name="Percent 2 37" xfId="18800" xr:uid="{00000000-0005-0000-0000-000081700000}"/>
    <cellStyle name="Percent 2 38" xfId="18801" xr:uid="{00000000-0005-0000-0000-000082700000}"/>
    <cellStyle name="Percent 2 39" xfId="18802" xr:uid="{00000000-0005-0000-0000-000083700000}"/>
    <cellStyle name="Percent 2 4" xfId="18803" xr:uid="{00000000-0005-0000-0000-000084700000}"/>
    <cellStyle name="Percent 2 40" xfId="18804" xr:uid="{00000000-0005-0000-0000-000085700000}"/>
    <cellStyle name="Percent 2 41" xfId="18805" xr:uid="{00000000-0005-0000-0000-000086700000}"/>
    <cellStyle name="Percent 2 42" xfId="18806" xr:uid="{00000000-0005-0000-0000-000087700000}"/>
    <cellStyle name="Percent 2 43" xfId="18807" xr:uid="{00000000-0005-0000-0000-000088700000}"/>
    <cellStyle name="Percent 2 44" xfId="18808" xr:uid="{00000000-0005-0000-0000-000089700000}"/>
    <cellStyle name="Percent 2 45" xfId="18809" xr:uid="{00000000-0005-0000-0000-00008A700000}"/>
    <cellStyle name="Percent 2 46" xfId="18810" xr:uid="{00000000-0005-0000-0000-00008B700000}"/>
    <cellStyle name="Percent 2 47" xfId="18811" xr:uid="{00000000-0005-0000-0000-00008C700000}"/>
    <cellStyle name="Percent 2 48" xfId="18812" xr:uid="{00000000-0005-0000-0000-00008D700000}"/>
    <cellStyle name="Percent 2 49" xfId="18813" xr:uid="{00000000-0005-0000-0000-00008E700000}"/>
    <cellStyle name="Percent 2 5" xfId="18814" xr:uid="{00000000-0005-0000-0000-00008F700000}"/>
    <cellStyle name="Percent 2 5 2" xfId="18815" xr:uid="{00000000-0005-0000-0000-000090700000}"/>
    <cellStyle name="Percent 2 5 3" xfId="18816" xr:uid="{00000000-0005-0000-0000-000091700000}"/>
    <cellStyle name="Percent 2 50" xfId="18817" xr:uid="{00000000-0005-0000-0000-000092700000}"/>
    <cellStyle name="Percent 2 51" xfId="18818" xr:uid="{00000000-0005-0000-0000-000093700000}"/>
    <cellStyle name="Percent 2 52" xfId="18819" xr:uid="{00000000-0005-0000-0000-000094700000}"/>
    <cellStyle name="Percent 2 53" xfId="18820" xr:uid="{00000000-0005-0000-0000-000095700000}"/>
    <cellStyle name="Percent 2 54" xfId="18821" xr:uid="{00000000-0005-0000-0000-000096700000}"/>
    <cellStyle name="Percent 2 55" xfId="18822" xr:uid="{00000000-0005-0000-0000-000097700000}"/>
    <cellStyle name="Percent 2 56" xfId="18823" xr:uid="{00000000-0005-0000-0000-000098700000}"/>
    <cellStyle name="Percent 2 57" xfId="18824" xr:uid="{00000000-0005-0000-0000-000099700000}"/>
    <cellStyle name="Percent 2 58" xfId="18825" xr:uid="{00000000-0005-0000-0000-00009A700000}"/>
    <cellStyle name="Percent 2 59" xfId="18826" xr:uid="{00000000-0005-0000-0000-00009B700000}"/>
    <cellStyle name="Percent 2 6" xfId="18827" xr:uid="{00000000-0005-0000-0000-00009C700000}"/>
    <cellStyle name="Percent 2 6 2" xfId="18828" xr:uid="{00000000-0005-0000-0000-00009D700000}"/>
    <cellStyle name="Percent 2 6 3" xfId="18829" xr:uid="{00000000-0005-0000-0000-00009E700000}"/>
    <cellStyle name="Percent 2 60" xfId="18830" xr:uid="{00000000-0005-0000-0000-00009F700000}"/>
    <cellStyle name="Percent 2 61" xfId="18831" xr:uid="{00000000-0005-0000-0000-0000A0700000}"/>
    <cellStyle name="Percent 2 62" xfId="18832" xr:uid="{00000000-0005-0000-0000-0000A1700000}"/>
    <cellStyle name="Percent 2 63" xfId="18833" xr:uid="{00000000-0005-0000-0000-0000A2700000}"/>
    <cellStyle name="Percent 2 64" xfId="18834" xr:uid="{00000000-0005-0000-0000-0000A3700000}"/>
    <cellStyle name="Percent 2 65" xfId="18835" xr:uid="{00000000-0005-0000-0000-0000A4700000}"/>
    <cellStyle name="Percent 2 66" xfId="18836" xr:uid="{00000000-0005-0000-0000-0000A5700000}"/>
    <cellStyle name="Percent 2 67" xfId="18837" xr:uid="{00000000-0005-0000-0000-0000A6700000}"/>
    <cellStyle name="Percent 2 68" xfId="18838" xr:uid="{00000000-0005-0000-0000-0000A7700000}"/>
    <cellStyle name="Percent 2 69" xfId="18839" xr:uid="{00000000-0005-0000-0000-0000A8700000}"/>
    <cellStyle name="Percent 2 7" xfId="18840" xr:uid="{00000000-0005-0000-0000-0000A9700000}"/>
    <cellStyle name="Percent 2 70" xfId="18841" xr:uid="{00000000-0005-0000-0000-0000AA700000}"/>
    <cellStyle name="Percent 2 71" xfId="18842" xr:uid="{00000000-0005-0000-0000-0000AB700000}"/>
    <cellStyle name="Percent 2 72" xfId="18843" xr:uid="{00000000-0005-0000-0000-0000AC700000}"/>
    <cellStyle name="Percent 2 73" xfId="18844" xr:uid="{00000000-0005-0000-0000-0000AD700000}"/>
    <cellStyle name="Percent 2 74" xfId="18845" xr:uid="{00000000-0005-0000-0000-0000AE700000}"/>
    <cellStyle name="Percent 2 75" xfId="18846" xr:uid="{00000000-0005-0000-0000-0000AF700000}"/>
    <cellStyle name="Percent 2 76" xfId="18847" xr:uid="{00000000-0005-0000-0000-0000B0700000}"/>
    <cellStyle name="Percent 2 77" xfId="18848" xr:uid="{00000000-0005-0000-0000-0000B1700000}"/>
    <cellStyle name="Percent 2 78" xfId="18849" xr:uid="{00000000-0005-0000-0000-0000B2700000}"/>
    <cellStyle name="Percent 2 79" xfId="18850" xr:uid="{00000000-0005-0000-0000-0000B3700000}"/>
    <cellStyle name="Percent 2 8" xfId="18851" xr:uid="{00000000-0005-0000-0000-0000B4700000}"/>
    <cellStyle name="Percent 2 80" xfId="18852" xr:uid="{00000000-0005-0000-0000-0000B5700000}"/>
    <cellStyle name="Percent 2 81" xfId="18853" xr:uid="{00000000-0005-0000-0000-0000B6700000}"/>
    <cellStyle name="Percent 2 82" xfId="18854" xr:uid="{00000000-0005-0000-0000-0000B7700000}"/>
    <cellStyle name="Percent 2 83" xfId="18855" xr:uid="{00000000-0005-0000-0000-0000B8700000}"/>
    <cellStyle name="Percent 2 84" xfId="18856" xr:uid="{00000000-0005-0000-0000-0000B9700000}"/>
    <cellStyle name="Percent 2 85" xfId="18857" xr:uid="{00000000-0005-0000-0000-0000BA700000}"/>
    <cellStyle name="Percent 2 86" xfId="18858" xr:uid="{00000000-0005-0000-0000-0000BB700000}"/>
    <cellStyle name="Percent 2 87" xfId="18859" xr:uid="{00000000-0005-0000-0000-0000BC700000}"/>
    <cellStyle name="Percent 2 88" xfId="18860" xr:uid="{00000000-0005-0000-0000-0000BD700000}"/>
    <cellStyle name="Percent 2 89" xfId="18861" xr:uid="{00000000-0005-0000-0000-0000BE700000}"/>
    <cellStyle name="Percent 2 9" xfId="18862" xr:uid="{00000000-0005-0000-0000-0000BF700000}"/>
    <cellStyle name="Percent 2 90" xfId="18863" xr:uid="{00000000-0005-0000-0000-0000C0700000}"/>
    <cellStyle name="Percent 2 91" xfId="18864" xr:uid="{00000000-0005-0000-0000-0000C1700000}"/>
    <cellStyle name="Percent 2 92" xfId="18865" xr:uid="{00000000-0005-0000-0000-0000C2700000}"/>
    <cellStyle name="Percent 2 93" xfId="18866" xr:uid="{00000000-0005-0000-0000-0000C3700000}"/>
    <cellStyle name="Percent 2 94" xfId="18867" xr:uid="{00000000-0005-0000-0000-0000C4700000}"/>
    <cellStyle name="Percent 2 95" xfId="18868" xr:uid="{00000000-0005-0000-0000-0000C5700000}"/>
    <cellStyle name="Percent 2 96" xfId="18869" xr:uid="{00000000-0005-0000-0000-0000C6700000}"/>
    <cellStyle name="Percent 2 97" xfId="18870" xr:uid="{00000000-0005-0000-0000-0000C7700000}"/>
    <cellStyle name="Percent 2 98" xfId="18871" xr:uid="{00000000-0005-0000-0000-0000C8700000}"/>
    <cellStyle name="Percent 2 99" xfId="18872" xr:uid="{00000000-0005-0000-0000-0000C9700000}"/>
    <cellStyle name="Percent 3" xfId="18873" xr:uid="{00000000-0005-0000-0000-0000CA700000}"/>
    <cellStyle name="Percent 3 10" xfId="18874" xr:uid="{00000000-0005-0000-0000-0000CB700000}"/>
    <cellStyle name="Percent 3 11" xfId="18875" xr:uid="{00000000-0005-0000-0000-0000CC700000}"/>
    <cellStyle name="Percent 3 12" xfId="18876" xr:uid="{00000000-0005-0000-0000-0000CD700000}"/>
    <cellStyle name="Percent 3 13" xfId="18877" xr:uid="{00000000-0005-0000-0000-0000CE700000}"/>
    <cellStyle name="Percent 3 14" xfId="18878" xr:uid="{00000000-0005-0000-0000-0000CF700000}"/>
    <cellStyle name="Percent 3 15" xfId="18879" xr:uid="{00000000-0005-0000-0000-0000D0700000}"/>
    <cellStyle name="Percent 3 16" xfId="18880" xr:uid="{00000000-0005-0000-0000-0000D1700000}"/>
    <cellStyle name="Percent 3 17" xfId="18881" xr:uid="{00000000-0005-0000-0000-0000D2700000}"/>
    <cellStyle name="Percent 3 18" xfId="18882" xr:uid="{00000000-0005-0000-0000-0000D3700000}"/>
    <cellStyle name="Percent 3 19" xfId="18883" xr:uid="{00000000-0005-0000-0000-0000D4700000}"/>
    <cellStyle name="Percent 3 2" xfId="18884" xr:uid="{00000000-0005-0000-0000-0000D5700000}"/>
    <cellStyle name="Percent 3 2 10" xfId="18885" xr:uid="{00000000-0005-0000-0000-0000D6700000}"/>
    <cellStyle name="Percent 3 2 11" xfId="18886" xr:uid="{00000000-0005-0000-0000-0000D7700000}"/>
    <cellStyle name="Percent 3 2 12" xfId="18887" xr:uid="{00000000-0005-0000-0000-0000D8700000}"/>
    <cellStyle name="Percent 3 2 13" xfId="18888" xr:uid="{00000000-0005-0000-0000-0000D9700000}"/>
    <cellStyle name="Percent 3 2 14" xfId="18889" xr:uid="{00000000-0005-0000-0000-0000DA700000}"/>
    <cellStyle name="Percent 3 2 15" xfId="18890" xr:uid="{00000000-0005-0000-0000-0000DB700000}"/>
    <cellStyle name="Percent 3 2 16" xfId="18891" xr:uid="{00000000-0005-0000-0000-0000DC700000}"/>
    <cellStyle name="Percent 3 2 17" xfId="18892" xr:uid="{00000000-0005-0000-0000-0000DD700000}"/>
    <cellStyle name="Percent 3 2 18" xfId="18893" xr:uid="{00000000-0005-0000-0000-0000DE700000}"/>
    <cellStyle name="Percent 3 2 19" xfId="18894" xr:uid="{00000000-0005-0000-0000-0000DF700000}"/>
    <cellStyle name="Percent 3 2 2" xfId="18895" xr:uid="{00000000-0005-0000-0000-0000E0700000}"/>
    <cellStyle name="Percent 3 2 20" xfId="18896" xr:uid="{00000000-0005-0000-0000-0000E1700000}"/>
    <cellStyle name="Percent 3 2 21" xfId="18897" xr:uid="{00000000-0005-0000-0000-0000E2700000}"/>
    <cellStyle name="Percent 3 2 22" xfId="18898" xr:uid="{00000000-0005-0000-0000-0000E3700000}"/>
    <cellStyle name="Percent 3 2 23" xfId="18899" xr:uid="{00000000-0005-0000-0000-0000E4700000}"/>
    <cellStyle name="Percent 3 2 3" xfId="18900" xr:uid="{00000000-0005-0000-0000-0000E5700000}"/>
    <cellStyle name="Percent 3 2 4" xfId="18901" xr:uid="{00000000-0005-0000-0000-0000E6700000}"/>
    <cellStyle name="Percent 3 2 5" xfId="18902" xr:uid="{00000000-0005-0000-0000-0000E7700000}"/>
    <cellStyle name="Percent 3 2 6" xfId="18903" xr:uid="{00000000-0005-0000-0000-0000E8700000}"/>
    <cellStyle name="Percent 3 2 7" xfId="18904" xr:uid="{00000000-0005-0000-0000-0000E9700000}"/>
    <cellStyle name="Percent 3 2 8" xfId="18905" xr:uid="{00000000-0005-0000-0000-0000EA700000}"/>
    <cellStyle name="Percent 3 2 9" xfId="18906" xr:uid="{00000000-0005-0000-0000-0000EB700000}"/>
    <cellStyle name="Percent 3 20" xfId="18907" xr:uid="{00000000-0005-0000-0000-0000EC700000}"/>
    <cellStyle name="Percent 3 21" xfId="18908" xr:uid="{00000000-0005-0000-0000-0000ED700000}"/>
    <cellStyle name="Percent 3 22" xfId="18909" xr:uid="{00000000-0005-0000-0000-0000EE700000}"/>
    <cellStyle name="Percent 3 23" xfId="18910" xr:uid="{00000000-0005-0000-0000-0000EF700000}"/>
    <cellStyle name="Percent 3 24" xfId="18911" xr:uid="{00000000-0005-0000-0000-0000F0700000}"/>
    <cellStyle name="Percent 3 25" xfId="18912" xr:uid="{00000000-0005-0000-0000-0000F1700000}"/>
    <cellStyle name="Percent 3 26" xfId="18913" xr:uid="{00000000-0005-0000-0000-0000F2700000}"/>
    <cellStyle name="Percent 3 27" xfId="33448" xr:uid="{00000000-0005-0000-0000-0000F3700000}"/>
    <cellStyle name="Percent 3 3" xfId="18914" xr:uid="{00000000-0005-0000-0000-0000F4700000}"/>
    <cellStyle name="Percent 3 4" xfId="18915" xr:uid="{00000000-0005-0000-0000-0000F5700000}"/>
    <cellStyle name="Percent 3 5" xfId="18916" xr:uid="{00000000-0005-0000-0000-0000F6700000}"/>
    <cellStyle name="Percent 3 6" xfId="18917" xr:uid="{00000000-0005-0000-0000-0000F7700000}"/>
    <cellStyle name="Percent 3 7" xfId="18918" xr:uid="{00000000-0005-0000-0000-0000F8700000}"/>
    <cellStyle name="Percent 3 8" xfId="18919" xr:uid="{00000000-0005-0000-0000-0000F9700000}"/>
    <cellStyle name="Percent 3 9" xfId="18920" xr:uid="{00000000-0005-0000-0000-0000FA700000}"/>
    <cellStyle name="Percent 4" xfId="18921" xr:uid="{00000000-0005-0000-0000-0000FB700000}"/>
    <cellStyle name="Percent 4 10" xfId="18922" xr:uid="{00000000-0005-0000-0000-0000FC700000}"/>
    <cellStyle name="Percent 4 11" xfId="18923" xr:uid="{00000000-0005-0000-0000-0000FD700000}"/>
    <cellStyle name="Percent 4 12" xfId="18924" xr:uid="{00000000-0005-0000-0000-0000FE700000}"/>
    <cellStyle name="Percent 4 13" xfId="18925" xr:uid="{00000000-0005-0000-0000-0000FF700000}"/>
    <cellStyle name="Percent 4 14" xfId="18926" xr:uid="{00000000-0005-0000-0000-000000710000}"/>
    <cellStyle name="Percent 4 15" xfId="18927" xr:uid="{00000000-0005-0000-0000-000001710000}"/>
    <cellStyle name="Percent 4 16" xfId="18928" xr:uid="{00000000-0005-0000-0000-000002710000}"/>
    <cellStyle name="Percent 4 17" xfId="18929" xr:uid="{00000000-0005-0000-0000-000003710000}"/>
    <cellStyle name="Percent 4 18" xfId="18930" xr:uid="{00000000-0005-0000-0000-000004710000}"/>
    <cellStyle name="Percent 4 19" xfId="18931" xr:uid="{00000000-0005-0000-0000-000005710000}"/>
    <cellStyle name="Percent 4 2" xfId="18932" xr:uid="{00000000-0005-0000-0000-000006710000}"/>
    <cellStyle name="Percent 4 2 10" xfId="18933" xr:uid="{00000000-0005-0000-0000-000007710000}"/>
    <cellStyle name="Percent 4 2 11" xfId="18934" xr:uid="{00000000-0005-0000-0000-000008710000}"/>
    <cellStyle name="Percent 4 2 12" xfId="18935" xr:uid="{00000000-0005-0000-0000-000009710000}"/>
    <cellStyle name="Percent 4 2 13" xfId="18936" xr:uid="{00000000-0005-0000-0000-00000A710000}"/>
    <cellStyle name="Percent 4 2 14" xfId="18937" xr:uid="{00000000-0005-0000-0000-00000B710000}"/>
    <cellStyle name="Percent 4 2 15" xfId="18938" xr:uid="{00000000-0005-0000-0000-00000C710000}"/>
    <cellStyle name="Percent 4 2 16" xfId="18939" xr:uid="{00000000-0005-0000-0000-00000D710000}"/>
    <cellStyle name="Percent 4 2 17" xfId="18940" xr:uid="{00000000-0005-0000-0000-00000E710000}"/>
    <cellStyle name="Percent 4 2 18" xfId="18941" xr:uid="{00000000-0005-0000-0000-00000F710000}"/>
    <cellStyle name="Percent 4 2 19" xfId="18942" xr:uid="{00000000-0005-0000-0000-000010710000}"/>
    <cellStyle name="Percent 4 2 2" xfId="18943" xr:uid="{00000000-0005-0000-0000-000011710000}"/>
    <cellStyle name="Percent 4 2 20" xfId="18944" xr:uid="{00000000-0005-0000-0000-000012710000}"/>
    <cellStyle name="Percent 4 2 21" xfId="18945" xr:uid="{00000000-0005-0000-0000-000013710000}"/>
    <cellStyle name="Percent 4 2 22" xfId="18946" xr:uid="{00000000-0005-0000-0000-000014710000}"/>
    <cellStyle name="Percent 4 2 23" xfId="18947" xr:uid="{00000000-0005-0000-0000-000015710000}"/>
    <cellStyle name="Percent 4 2 24" xfId="18948" xr:uid="{00000000-0005-0000-0000-000016710000}"/>
    <cellStyle name="Percent 4 2 3" xfId="18949" xr:uid="{00000000-0005-0000-0000-000017710000}"/>
    <cellStyle name="Percent 4 2 4" xfId="18950" xr:uid="{00000000-0005-0000-0000-000018710000}"/>
    <cellStyle name="Percent 4 2 5" xfId="18951" xr:uid="{00000000-0005-0000-0000-000019710000}"/>
    <cellStyle name="Percent 4 2 6" xfId="18952" xr:uid="{00000000-0005-0000-0000-00001A710000}"/>
    <cellStyle name="Percent 4 2 7" xfId="18953" xr:uid="{00000000-0005-0000-0000-00001B710000}"/>
    <cellStyle name="Percent 4 2 8" xfId="18954" xr:uid="{00000000-0005-0000-0000-00001C710000}"/>
    <cellStyle name="Percent 4 2 9" xfId="18955" xr:uid="{00000000-0005-0000-0000-00001D710000}"/>
    <cellStyle name="Percent 4 20" xfId="18956" xr:uid="{00000000-0005-0000-0000-00001E710000}"/>
    <cellStyle name="Percent 4 21" xfId="18957" xr:uid="{00000000-0005-0000-0000-00001F710000}"/>
    <cellStyle name="Percent 4 22" xfId="18958" xr:uid="{00000000-0005-0000-0000-000020710000}"/>
    <cellStyle name="Percent 4 23" xfId="18959" xr:uid="{00000000-0005-0000-0000-000021710000}"/>
    <cellStyle name="Percent 4 24" xfId="18960" xr:uid="{00000000-0005-0000-0000-000022710000}"/>
    <cellStyle name="Percent 4 25" xfId="18961" xr:uid="{00000000-0005-0000-0000-000023710000}"/>
    <cellStyle name="Percent 4 26" xfId="33449" xr:uid="{00000000-0005-0000-0000-000024710000}"/>
    <cellStyle name="Percent 4 3" xfId="18962" xr:uid="{00000000-0005-0000-0000-000025710000}"/>
    <cellStyle name="Percent 4 4" xfId="18963" xr:uid="{00000000-0005-0000-0000-000026710000}"/>
    <cellStyle name="Percent 4 5" xfId="18964" xr:uid="{00000000-0005-0000-0000-000027710000}"/>
    <cellStyle name="Percent 4 6" xfId="18965" xr:uid="{00000000-0005-0000-0000-000028710000}"/>
    <cellStyle name="Percent 4 7" xfId="18966" xr:uid="{00000000-0005-0000-0000-000029710000}"/>
    <cellStyle name="Percent 4 8" xfId="18967" xr:uid="{00000000-0005-0000-0000-00002A710000}"/>
    <cellStyle name="Percent 4 9" xfId="18968" xr:uid="{00000000-0005-0000-0000-00002B710000}"/>
    <cellStyle name="Percent 5" xfId="18969" xr:uid="{00000000-0005-0000-0000-00002C710000}"/>
    <cellStyle name="Percent 5 10" xfId="18970" xr:uid="{00000000-0005-0000-0000-00002D710000}"/>
    <cellStyle name="Percent 5 11" xfId="18971" xr:uid="{00000000-0005-0000-0000-00002E710000}"/>
    <cellStyle name="Percent 5 12" xfId="18972" xr:uid="{00000000-0005-0000-0000-00002F710000}"/>
    <cellStyle name="Percent 5 13" xfId="18973" xr:uid="{00000000-0005-0000-0000-000030710000}"/>
    <cellStyle name="Percent 5 14" xfId="18974" xr:uid="{00000000-0005-0000-0000-000031710000}"/>
    <cellStyle name="Percent 5 15" xfId="18975" xr:uid="{00000000-0005-0000-0000-000032710000}"/>
    <cellStyle name="Percent 5 16" xfId="18976" xr:uid="{00000000-0005-0000-0000-000033710000}"/>
    <cellStyle name="Percent 5 17" xfId="18977" xr:uid="{00000000-0005-0000-0000-000034710000}"/>
    <cellStyle name="Percent 5 18" xfId="18978" xr:uid="{00000000-0005-0000-0000-000035710000}"/>
    <cellStyle name="Percent 5 19" xfId="18979" xr:uid="{00000000-0005-0000-0000-000036710000}"/>
    <cellStyle name="Percent 5 2" xfId="18980" xr:uid="{00000000-0005-0000-0000-000037710000}"/>
    <cellStyle name="Percent 5 20" xfId="18981" xr:uid="{00000000-0005-0000-0000-000038710000}"/>
    <cellStyle name="Percent 5 21" xfId="18982" xr:uid="{00000000-0005-0000-0000-000039710000}"/>
    <cellStyle name="Percent 5 22" xfId="18983" xr:uid="{00000000-0005-0000-0000-00003A710000}"/>
    <cellStyle name="Percent 5 23" xfId="18984" xr:uid="{00000000-0005-0000-0000-00003B710000}"/>
    <cellStyle name="Percent 5 24" xfId="18985" xr:uid="{00000000-0005-0000-0000-00003C710000}"/>
    <cellStyle name="Percent 5 25" xfId="18986" xr:uid="{00000000-0005-0000-0000-00003D710000}"/>
    <cellStyle name="Percent 5 26" xfId="18987" xr:uid="{00000000-0005-0000-0000-00003E710000}"/>
    <cellStyle name="Percent 5 27" xfId="18988" xr:uid="{00000000-0005-0000-0000-00003F710000}"/>
    <cellStyle name="Percent 5 28" xfId="18989" xr:uid="{00000000-0005-0000-0000-000040710000}"/>
    <cellStyle name="Percent 5 29" xfId="18990" xr:uid="{00000000-0005-0000-0000-000041710000}"/>
    <cellStyle name="Percent 5 3" xfId="18991" xr:uid="{00000000-0005-0000-0000-000042710000}"/>
    <cellStyle name="Percent 5 30" xfId="18992" xr:uid="{00000000-0005-0000-0000-000043710000}"/>
    <cellStyle name="Percent 5 31" xfId="18993" xr:uid="{00000000-0005-0000-0000-000044710000}"/>
    <cellStyle name="Percent 5 32" xfId="18994" xr:uid="{00000000-0005-0000-0000-000045710000}"/>
    <cellStyle name="Percent 5 33" xfId="18995" xr:uid="{00000000-0005-0000-0000-000046710000}"/>
    <cellStyle name="Percent 5 34" xfId="18996" xr:uid="{00000000-0005-0000-0000-000047710000}"/>
    <cellStyle name="Percent 5 35" xfId="18997" xr:uid="{00000000-0005-0000-0000-000048710000}"/>
    <cellStyle name="Percent 5 36" xfId="18998" xr:uid="{00000000-0005-0000-0000-000049710000}"/>
    <cellStyle name="Percent 5 37" xfId="18999" xr:uid="{00000000-0005-0000-0000-00004A710000}"/>
    <cellStyle name="Percent 5 38" xfId="19000" xr:uid="{00000000-0005-0000-0000-00004B710000}"/>
    <cellStyle name="Percent 5 39" xfId="19001" xr:uid="{00000000-0005-0000-0000-00004C710000}"/>
    <cellStyle name="Percent 5 4" xfId="19002" xr:uid="{00000000-0005-0000-0000-00004D710000}"/>
    <cellStyle name="Percent 5 40" xfId="19003" xr:uid="{00000000-0005-0000-0000-00004E710000}"/>
    <cellStyle name="Percent 5 41" xfId="19004" xr:uid="{00000000-0005-0000-0000-00004F710000}"/>
    <cellStyle name="Percent 5 42" xfId="19005" xr:uid="{00000000-0005-0000-0000-000050710000}"/>
    <cellStyle name="Percent 5 43" xfId="19006" xr:uid="{00000000-0005-0000-0000-000051710000}"/>
    <cellStyle name="Percent 5 44" xfId="19007" xr:uid="{00000000-0005-0000-0000-000052710000}"/>
    <cellStyle name="Percent 5 45" xfId="19008" xr:uid="{00000000-0005-0000-0000-000053710000}"/>
    <cellStyle name="Percent 5 46" xfId="19009" xr:uid="{00000000-0005-0000-0000-000054710000}"/>
    <cellStyle name="Percent 5 47" xfId="19010" xr:uid="{00000000-0005-0000-0000-000055710000}"/>
    <cellStyle name="Percent 5 48" xfId="19011" xr:uid="{00000000-0005-0000-0000-000056710000}"/>
    <cellStyle name="Percent 5 49" xfId="19012" xr:uid="{00000000-0005-0000-0000-000057710000}"/>
    <cellStyle name="Percent 5 5" xfId="19013" xr:uid="{00000000-0005-0000-0000-000058710000}"/>
    <cellStyle name="Percent 5 50" xfId="19014" xr:uid="{00000000-0005-0000-0000-000059710000}"/>
    <cellStyle name="Percent 5 51" xfId="19015" xr:uid="{00000000-0005-0000-0000-00005A710000}"/>
    <cellStyle name="Percent 5 52" xfId="19016" xr:uid="{00000000-0005-0000-0000-00005B710000}"/>
    <cellStyle name="Percent 5 53" xfId="19017" xr:uid="{00000000-0005-0000-0000-00005C710000}"/>
    <cellStyle name="Percent 5 54" xfId="19018" xr:uid="{00000000-0005-0000-0000-00005D710000}"/>
    <cellStyle name="Percent 5 55" xfId="19019" xr:uid="{00000000-0005-0000-0000-00005E710000}"/>
    <cellStyle name="Percent 5 56" xfId="19020" xr:uid="{00000000-0005-0000-0000-00005F710000}"/>
    <cellStyle name="Percent 5 57" xfId="19021" xr:uid="{00000000-0005-0000-0000-000060710000}"/>
    <cellStyle name="Percent 5 58" xfId="19022" xr:uid="{00000000-0005-0000-0000-000061710000}"/>
    <cellStyle name="Percent 5 59" xfId="19023" xr:uid="{00000000-0005-0000-0000-000062710000}"/>
    <cellStyle name="Percent 5 6" xfId="19024" xr:uid="{00000000-0005-0000-0000-000063710000}"/>
    <cellStyle name="Percent 5 60" xfId="19025" xr:uid="{00000000-0005-0000-0000-000064710000}"/>
    <cellStyle name="Percent 5 61" xfId="19026" xr:uid="{00000000-0005-0000-0000-000065710000}"/>
    <cellStyle name="Percent 5 62" xfId="19027" xr:uid="{00000000-0005-0000-0000-000066710000}"/>
    <cellStyle name="Percent 5 63" xfId="19028" xr:uid="{00000000-0005-0000-0000-000067710000}"/>
    <cellStyle name="Percent 5 64" xfId="19029" xr:uid="{00000000-0005-0000-0000-000068710000}"/>
    <cellStyle name="Percent 5 65" xfId="19030" xr:uid="{00000000-0005-0000-0000-000069710000}"/>
    <cellStyle name="Percent 5 66" xfId="19031" xr:uid="{00000000-0005-0000-0000-00006A710000}"/>
    <cellStyle name="Percent 5 67" xfId="19032" xr:uid="{00000000-0005-0000-0000-00006B710000}"/>
    <cellStyle name="Percent 5 68" xfId="19033" xr:uid="{00000000-0005-0000-0000-00006C710000}"/>
    <cellStyle name="Percent 5 69" xfId="19034" xr:uid="{00000000-0005-0000-0000-00006D710000}"/>
    <cellStyle name="Percent 5 7" xfId="19035" xr:uid="{00000000-0005-0000-0000-00006E710000}"/>
    <cellStyle name="Percent 5 70" xfId="19036" xr:uid="{00000000-0005-0000-0000-00006F710000}"/>
    <cellStyle name="Percent 5 71" xfId="19037" xr:uid="{00000000-0005-0000-0000-000070710000}"/>
    <cellStyle name="Percent 5 72" xfId="19038" xr:uid="{00000000-0005-0000-0000-000071710000}"/>
    <cellStyle name="Percent 5 73" xfId="19039" xr:uid="{00000000-0005-0000-0000-000072710000}"/>
    <cellStyle name="Percent 5 74" xfId="19040" xr:uid="{00000000-0005-0000-0000-000073710000}"/>
    <cellStyle name="Percent 5 75" xfId="19041" xr:uid="{00000000-0005-0000-0000-000074710000}"/>
    <cellStyle name="Percent 5 76" xfId="19042" xr:uid="{00000000-0005-0000-0000-000075710000}"/>
    <cellStyle name="Percent 5 77" xfId="19043" xr:uid="{00000000-0005-0000-0000-000076710000}"/>
    <cellStyle name="Percent 5 78" xfId="19044" xr:uid="{00000000-0005-0000-0000-000077710000}"/>
    <cellStyle name="Percent 5 79" xfId="19045" xr:uid="{00000000-0005-0000-0000-000078710000}"/>
    <cellStyle name="Percent 5 8" xfId="19046" xr:uid="{00000000-0005-0000-0000-000079710000}"/>
    <cellStyle name="Percent 5 80" xfId="19047" xr:uid="{00000000-0005-0000-0000-00007A710000}"/>
    <cellStyle name="Percent 5 81" xfId="19048" xr:uid="{00000000-0005-0000-0000-00007B710000}"/>
    <cellStyle name="Percent 5 82" xfId="19049" xr:uid="{00000000-0005-0000-0000-00007C710000}"/>
    <cellStyle name="Percent 5 83" xfId="19050" xr:uid="{00000000-0005-0000-0000-00007D710000}"/>
    <cellStyle name="Percent 5 84" xfId="19051" xr:uid="{00000000-0005-0000-0000-00007E710000}"/>
    <cellStyle name="Percent 5 85" xfId="19052" xr:uid="{00000000-0005-0000-0000-00007F710000}"/>
    <cellStyle name="Percent 5 86" xfId="19053" xr:uid="{00000000-0005-0000-0000-000080710000}"/>
    <cellStyle name="Percent 5 87" xfId="19054" xr:uid="{00000000-0005-0000-0000-000081710000}"/>
    <cellStyle name="Percent 5 88" xfId="19055" xr:uid="{00000000-0005-0000-0000-000082710000}"/>
    <cellStyle name="Percent 5 89" xfId="19056" xr:uid="{00000000-0005-0000-0000-000083710000}"/>
    <cellStyle name="Percent 5 9" xfId="19057" xr:uid="{00000000-0005-0000-0000-000084710000}"/>
    <cellStyle name="Percent 5 90" xfId="19058" xr:uid="{00000000-0005-0000-0000-000085710000}"/>
    <cellStyle name="Percent 5 91" xfId="19059" xr:uid="{00000000-0005-0000-0000-000086710000}"/>
    <cellStyle name="Percent 5 92" xfId="19060" xr:uid="{00000000-0005-0000-0000-000087710000}"/>
    <cellStyle name="Percent 5 93" xfId="19061" xr:uid="{00000000-0005-0000-0000-000088710000}"/>
    <cellStyle name="Percent 5 94" xfId="19062" xr:uid="{00000000-0005-0000-0000-000089710000}"/>
    <cellStyle name="Percent 5 95" xfId="33450" xr:uid="{00000000-0005-0000-0000-00008A710000}"/>
    <cellStyle name="Percent 6" xfId="19063" xr:uid="{00000000-0005-0000-0000-00008B710000}"/>
    <cellStyle name="Percent 6 10" xfId="19064" xr:uid="{00000000-0005-0000-0000-00008C710000}"/>
    <cellStyle name="Percent 6 11" xfId="19065" xr:uid="{00000000-0005-0000-0000-00008D710000}"/>
    <cellStyle name="Percent 6 12" xfId="19066" xr:uid="{00000000-0005-0000-0000-00008E710000}"/>
    <cellStyle name="Percent 6 13" xfId="19067" xr:uid="{00000000-0005-0000-0000-00008F710000}"/>
    <cellStyle name="Percent 6 14" xfId="19068" xr:uid="{00000000-0005-0000-0000-000090710000}"/>
    <cellStyle name="Percent 6 15" xfId="19069" xr:uid="{00000000-0005-0000-0000-000091710000}"/>
    <cellStyle name="Percent 6 16" xfId="19070" xr:uid="{00000000-0005-0000-0000-000092710000}"/>
    <cellStyle name="Percent 6 17" xfId="19071" xr:uid="{00000000-0005-0000-0000-000093710000}"/>
    <cellStyle name="Percent 6 18" xfId="19072" xr:uid="{00000000-0005-0000-0000-000094710000}"/>
    <cellStyle name="Percent 6 19" xfId="19073" xr:uid="{00000000-0005-0000-0000-000095710000}"/>
    <cellStyle name="Percent 6 2" xfId="19074" xr:uid="{00000000-0005-0000-0000-000096710000}"/>
    <cellStyle name="Percent 6 20" xfId="19075" xr:uid="{00000000-0005-0000-0000-000097710000}"/>
    <cellStyle name="Percent 6 21" xfId="19076" xr:uid="{00000000-0005-0000-0000-000098710000}"/>
    <cellStyle name="Percent 6 22" xfId="19077" xr:uid="{00000000-0005-0000-0000-000099710000}"/>
    <cellStyle name="Percent 6 23" xfId="19078" xr:uid="{00000000-0005-0000-0000-00009A710000}"/>
    <cellStyle name="Percent 6 3" xfId="19079" xr:uid="{00000000-0005-0000-0000-00009B710000}"/>
    <cellStyle name="Percent 6 4" xfId="19080" xr:uid="{00000000-0005-0000-0000-00009C710000}"/>
    <cellStyle name="Percent 6 5" xfId="19081" xr:uid="{00000000-0005-0000-0000-00009D710000}"/>
    <cellStyle name="Percent 6 6" xfId="19082" xr:uid="{00000000-0005-0000-0000-00009E710000}"/>
    <cellStyle name="Percent 6 7" xfId="19083" xr:uid="{00000000-0005-0000-0000-00009F710000}"/>
    <cellStyle name="Percent 6 8" xfId="19084" xr:uid="{00000000-0005-0000-0000-0000A0710000}"/>
    <cellStyle name="Percent 6 9" xfId="19085" xr:uid="{00000000-0005-0000-0000-0000A1710000}"/>
    <cellStyle name="Percent 7" xfId="19086" xr:uid="{00000000-0005-0000-0000-0000A2710000}"/>
    <cellStyle name="Percent 7 10" xfId="19087" xr:uid="{00000000-0005-0000-0000-0000A3710000}"/>
    <cellStyle name="Percent 7 11" xfId="19088" xr:uid="{00000000-0005-0000-0000-0000A4710000}"/>
    <cellStyle name="Percent 7 12" xfId="19089" xr:uid="{00000000-0005-0000-0000-0000A5710000}"/>
    <cellStyle name="Percent 7 13" xfId="19090" xr:uid="{00000000-0005-0000-0000-0000A6710000}"/>
    <cellStyle name="Percent 7 14" xfId="19091" xr:uid="{00000000-0005-0000-0000-0000A7710000}"/>
    <cellStyle name="Percent 7 15" xfId="19092" xr:uid="{00000000-0005-0000-0000-0000A8710000}"/>
    <cellStyle name="Percent 7 16" xfId="19093" xr:uid="{00000000-0005-0000-0000-0000A9710000}"/>
    <cellStyle name="Percent 7 17" xfId="19094" xr:uid="{00000000-0005-0000-0000-0000AA710000}"/>
    <cellStyle name="Percent 7 18" xfId="19095" xr:uid="{00000000-0005-0000-0000-0000AB710000}"/>
    <cellStyle name="Percent 7 19" xfId="19096" xr:uid="{00000000-0005-0000-0000-0000AC710000}"/>
    <cellStyle name="Percent 7 2" xfId="19097" xr:uid="{00000000-0005-0000-0000-0000AD710000}"/>
    <cellStyle name="Percent 7 20" xfId="19098" xr:uid="{00000000-0005-0000-0000-0000AE710000}"/>
    <cellStyle name="Percent 7 21" xfId="19099" xr:uid="{00000000-0005-0000-0000-0000AF710000}"/>
    <cellStyle name="Percent 7 22" xfId="19100" xr:uid="{00000000-0005-0000-0000-0000B0710000}"/>
    <cellStyle name="Percent 7 23" xfId="19101" xr:uid="{00000000-0005-0000-0000-0000B1710000}"/>
    <cellStyle name="Percent 7 24" xfId="19102" xr:uid="{00000000-0005-0000-0000-0000B2710000}"/>
    <cellStyle name="Percent 7 25" xfId="19103" xr:uid="{00000000-0005-0000-0000-0000B3710000}"/>
    <cellStyle name="Percent 7 26" xfId="19104" xr:uid="{00000000-0005-0000-0000-0000B4710000}"/>
    <cellStyle name="Percent 7 27" xfId="19105" xr:uid="{00000000-0005-0000-0000-0000B5710000}"/>
    <cellStyle name="Percent 7 28" xfId="19106" xr:uid="{00000000-0005-0000-0000-0000B6710000}"/>
    <cellStyle name="Percent 7 29" xfId="19107" xr:uid="{00000000-0005-0000-0000-0000B7710000}"/>
    <cellStyle name="Percent 7 3" xfId="19108" xr:uid="{00000000-0005-0000-0000-0000B8710000}"/>
    <cellStyle name="Percent 7 30" xfId="19109" xr:uid="{00000000-0005-0000-0000-0000B9710000}"/>
    <cellStyle name="Percent 7 31" xfId="19110" xr:uid="{00000000-0005-0000-0000-0000BA710000}"/>
    <cellStyle name="Percent 7 32" xfId="19111" xr:uid="{00000000-0005-0000-0000-0000BB710000}"/>
    <cellStyle name="Percent 7 33" xfId="19112" xr:uid="{00000000-0005-0000-0000-0000BC710000}"/>
    <cellStyle name="Percent 7 34" xfId="19113" xr:uid="{00000000-0005-0000-0000-0000BD710000}"/>
    <cellStyle name="Percent 7 35" xfId="19114" xr:uid="{00000000-0005-0000-0000-0000BE710000}"/>
    <cellStyle name="Percent 7 36" xfId="19115" xr:uid="{00000000-0005-0000-0000-0000BF710000}"/>
    <cellStyle name="Percent 7 37" xfId="19116" xr:uid="{00000000-0005-0000-0000-0000C0710000}"/>
    <cellStyle name="Percent 7 38" xfId="19117" xr:uid="{00000000-0005-0000-0000-0000C1710000}"/>
    <cellStyle name="Percent 7 39" xfId="19118" xr:uid="{00000000-0005-0000-0000-0000C2710000}"/>
    <cellStyle name="Percent 7 4" xfId="19119" xr:uid="{00000000-0005-0000-0000-0000C3710000}"/>
    <cellStyle name="Percent 7 40" xfId="19120" xr:uid="{00000000-0005-0000-0000-0000C4710000}"/>
    <cellStyle name="Percent 7 41" xfId="19121" xr:uid="{00000000-0005-0000-0000-0000C5710000}"/>
    <cellStyle name="Percent 7 42" xfId="19122" xr:uid="{00000000-0005-0000-0000-0000C6710000}"/>
    <cellStyle name="Percent 7 43" xfId="19123" xr:uid="{00000000-0005-0000-0000-0000C7710000}"/>
    <cellStyle name="Percent 7 44" xfId="19124" xr:uid="{00000000-0005-0000-0000-0000C8710000}"/>
    <cellStyle name="Percent 7 45" xfId="19125" xr:uid="{00000000-0005-0000-0000-0000C9710000}"/>
    <cellStyle name="Percent 7 46" xfId="19126" xr:uid="{00000000-0005-0000-0000-0000CA710000}"/>
    <cellStyle name="Percent 7 47" xfId="19127" xr:uid="{00000000-0005-0000-0000-0000CB710000}"/>
    <cellStyle name="Percent 7 48" xfId="19128" xr:uid="{00000000-0005-0000-0000-0000CC710000}"/>
    <cellStyle name="Percent 7 49" xfId="19129" xr:uid="{00000000-0005-0000-0000-0000CD710000}"/>
    <cellStyle name="Percent 7 5" xfId="19130" xr:uid="{00000000-0005-0000-0000-0000CE710000}"/>
    <cellStyle name="Percent 7 50" xfId="19131" xr:uid="{00000000-0005-0000-0000-0000CF710000}"/>
    <cellStyle name="Percent 7 51" xfId="19132" xr:uid="{00000000-0005-0000-0000-0000D0710000}"/>
    <cellStyle name="Percent 7 52" xfId="19133" xr:uid="{00000000-0005-0000-0000-0000D1710000}"/>
    <cellStyle name="Percent 7 53" xfId="19134" xr:uid="{00000000-0005-0000-0000-0000D2710000}"/>
    <cellStyle name="Percent 7 54" xfId="19135" xr:uid="{00000000-0005-0000-0000-0000D3710000}"/>
    <cellStyle name="Percent 7 55" xfId="19136" xr:uid="{00000000-0005-0000-0000-0000D4710000}"/>
    <cellStyle name="Percent 7 56" xfId="19137" xr:uid="{00000000-0005-0000-0000-0000D5710000}"/>
    <cellStyle name="Percent 7 57" xfId="19138" xr:uid="{00000000-0005-0000-0000-0000D6710000}"/>
    <cellStyle name="Percent 7 58" xfId="19139" xr:uid="{00000000-0005-0000-0000-0000D7710000}"/>
    <cellStyle name="Percent 7 59" xfId="19140" xr:uid="{00000000-0005-0000-0000-0000D8710000}"/>
    <cellStyle name="Percent 7 6" xfId="19141" xr:uid="{00000000-0005-0000-0000-0000D9710000}"/>
    <cellStyle name="Percent 7 60" xfId="19142" xr:uid="{00000000-0005-0000-0000-0000DA710000}"/>
    <cellStyle name="Percent 7 61" xfId="19143" xr:uid="{00000000-0005-0000-0000-0000DB710000}"/>
    <cellStyle name="Percent 7 62" xfId="19144" xr:uid="{00000000-0005-0000-0000-0000DC710000}"/>
    <cellStyle name="Percent 7 63" xfId="19145" xr:uid="{00000000-0005-0000-0000-0000DD710000}"/>
    <cellStyle name="Percent 7 64" xfId="19146" xr:uid="{00000000-0005-0000-0000-0000DE710000}"/>
    <cellStyle name="Percent 7 65" xfId="19147" xr:uid="{00000000-0005-0000-0000-0000DF710000}"/>
    <cellStyle name="Percent 7 66" xfId="19148" xr:uid="{00000000-0005-0000-0000-0000E0710000}"/>
    <cellStyle name="Percent 7 67" xfId="19149" xr:uid="{00000000-0005-0000-0000-0000E1710000}"/>
    <cellStyle name="Percent 7 68" xfId="19150" xr:uid="{00000000-0005-0000-0000-0000E2710000}"/>
    <cellStyle name="Percent 7 69" xfId="19151" xr:uid="{00000000-0005-0000-0000-0000E3710000}"/>
    <cellStyle name="Percent 7 7" xfId="19152" xr:uid="{00000000-0005-0000-0000-0000E4710000}"/>
    <cellStyle name="Percent 7 70" xfId="19153" xr:uid="{00000000-0005-0000-0000-0000E5710000}"/>
    <cellStyle name="Percent 7 71" xfId="19154" xr:uid="{00000000-0005-0000-0000-0000E6710000}"/>
    <cellStyle name="Percent 7 72" xfId="19155" xr:uid="{00000000-0005-0000-0000-0000E7710000}"/>
    <cellStyle name="Percent 7 73" xfId="19156" xr:uid="{00000000-0005-0000-0000-0000E8710000}"/>
    <cellStyle name="Percent 7 74" xfId="19157" xr:uid="{00000000-0005-0000-0000-0000E9710000}"/>
    <cellStyle name="Percent 7 8" xfId="19158" xr:uid="{00000000-0005-0000-0000-0000EA710000}"/>
    <cellStyle name="Percent 7 9" xfId="19159" xr:uid="{00000000-0005-0000-0000-0000EB710000}"/>
    <cellStyle name="Percent 8" xfId="19160" xr:uid="{00000000-0005-0000-0000-0000EC710000}"/>
    <cellStyle name="Percent 8 10" xfId="19161" xr:uid="{00000000-0005-0000-0000-0000ED710000}"/>
    <cellStyle name="Percent 8 11" xfId="19162" xr:uid="{00000000-0005-0000-0000-0000EE710000}"/>
    <cellStyle name="Percent 8 12" xfId="19163" xr:uid="{00000000-0005-0000-0000-0000EF710000}"/>
    <cellStyle name="Percent 8 13" xfId="19164" xr:uid="{00000000-0005-0000-0000-0000F0710000}"/>
    <cellStyle name="Percent 8 14" xfId="19165" xr:uid="{00000000-0005-0000-0000-0000F1710000}"/>
    <cellStyle name="Percent 8 15" xfId="19166" xr:uid="{00000000-0005-0000-0000-0000F2710000}"/>
    <cellStyle name="Percent 8 16" xfId="19167" xr:uid="{00000000-0005-0000-0000-0000F3710000}"/>
    <cellStyle name="Percent 8 17" xfId="19168" xr:uid="{00000000-0005-0000-0000-0000F4710000}"/>
    <cellStyle name="Percent 8 18" xfId="19169" xr:uid="{00000000-0005-0000-0000-0000F5710000}"/>
    <cellStyle name="Percent 8 19" xfId="19170" xr:uid="{00000000-0005-0000-0000-0000F6710000}"/>
    <cellStyle name="Percent 8 2" xfId="19171" xr:uid="{00000000-0005-0000-0000-0000F7710000}"/>
    <cellStyle name="Percent 8 20" xfId="19172" xr:uid="{00000000-0005-0000-0000-0000F8710000}"/>
    <cellStyle name="Percent 8 21" xfId="19173" xr:uid="{00000000-0005-0000-0000-0000F9710000}"/>
    <cellStyle name="Percent 8 22" xfId="19174" xr:uid="{00000000-0005-0000-0000-0000FA710000}"/>
    <cellStyle name="Percent 8 23" xfId="19175" xr:uid="{00000000-0005-0000-0000-0000FB710000}"/>
    <cellStyle name="Percent 8 24" xfId="19176" xr:uid="{00000000-0005-0000-0000-0000FC710000}"/>
    <cellStyle name="Percent 8 25" xfId="19177" xr:uid="{00000000-0005-0000-0000-0000FD710000}"/>
    <cellStyle name="Percent 8 26" xfId="19178" xr:uid="{00000000-0005-0000-0000-0000FE710000}"/>
    <cellStyle name="Percent 8 27" xfId="19179" xr:uid="{00000000-0005-0000-0000-0000FF710000}"/>
    <cellStyle name="Percent 8 28" xfId="19180" xr:uid="{00000000-0005-0000-0000-000000720000}"/>
    <cellStyle name="Percent 8 29" xfId="19181" xr:uid="{00000000-0005-0000-0000-000001720000}"/>
    <cellStyle name="Percent 8 3" xfId="19182" xr:uid="{00000000-0005-0000-0000-000002720000}"/>
    <cellStyle name="Percent 8 30" xfId="19183" xr:uid="{00000000-0005-0000-0000-000003720000}"/>
    <cellStyle name="Percent 8 31" xfId="19184" xr:uid="{00000000-0005-0000-0000-000004720000}"/>
    <cellStyle name="Percent 8 32" xfId="19185" xr:uid="{00000000-0005-0000-0000-000005720000}"/>
    <cellStyle name="Percent 8 33" xfId="19186" xr:uid="{00000000-0005-0000-0000-000006720000}"/>
    <cellStyle name="Percent 8 34" xfId="19187" xr:uid="{00000000-0005-0000-0000-000007720000}"/>
    <cellStyle name="Percent 8 35" xfId="19188" xr:uid="{00000000-0005-0000-0000-000008720000}"/>
    <cellStyle name="Percent 8 36" xfId="19189" xr:uid="{00000000-0005-0000-0000-000009720000}"/>
    <cellStyle name="Percent 8 37" xfId="19190" xr:uid="{00000000-0005-0000-0000-00000A720000}"/>
    <cellStyle name="Percent 8 38" xfId="19191" xr:uid="{00000000-0005-0000-0000-00000B720000}"/>
    <cellStyle name="Percent 8 39" xfId="19192" xr:uid="{00000000-0005-0000-0000-00000C720000}"/>
    <cellStyle name="Percent 8 4" xfId="19193" xr:uid="{00000000-0005-0000-0000-00000D720000}"/>
    <cellStyle name="Percent 8 40" xfId="19194" xr:uid="{00000000-0005-0000-0000-00000E720000}"/>
    <cellStyle name="Percent 8 41" xfId="19195" xr:uid="{00000000-0005-0000-0000-00000F720000}"/>
    <cellStyle name="Percent 8 42" xfId="19196" xr:uid="{00000000-0005-0000-0000-000010720000}"/>
    <cellStyle name="Percent 8 43" xfId="19197" xr:uid="{00000000-0005-0000-0000-000011720000}"/>
    <cellStyle name="Percent 8 44" xfId="19198" xr:uid="{00000000-0005-0000-0000-000012720000}"/>
    <cellStyle name="Percent 8 45" xfId="19199" xr:uid="{00000000-0005-0000-0000-000013720000}"/>
    <cellStyle name="Percent 8 46" xfId="19200" xr:uid="{00000000-0005-0000-0000-000014720000}"/>
    <cellStyle name="Percent 8 47" xfId="19201" xr:uid="{00000000-0005-0000-0000-000015720000}"/>
    <cellStyle name="Percent 8 48" xfId="19202" xr:uid="{00000000-0005-0000-0000-000016720000}"/>
    <cellStyle name="Percent 8 49" xfId="19203" xr:uid="{00000000-0005-0000-0000-000017720000}"/>
    <cellStyle name="Percent 8 5" xfId="19204" xr:uid="{00000000-0005-0000-0000-000018720000}"/>
    <cellStyle name="Percent 8 50" xfId="19205" xr:uid="{00000000-0005-0000-0000-000019720000}"/>
    <cellStyle name="Percent 8 51" xfId="19206" xr:uid="{00000000-0005-0000-0000-00001A720000}"/>
    <cellStyle name="Percent 8 52" xfId="19207" xr:uid="{00000000-0005-0000-0000-00001B720000}"/>
    <cellStyle name="Percent 8 53" xfId="19208" xr:uid="{00000000-0005-0000-0000-00001C720000}"/>
    <cellStyle name="Percent 8 54" xfId="19209" xr:uid="{00000000-0005-0000-0000-00001D720000}"/>
    <cellStyle name="Percent 8 55" xfId="19210" xr:uid="{00000000-0005-0000-0000-00001E720000}"/>
    <cellStyle name="Percent 8 56" xfId="19211" xr:uid="{00000000-0005-0000-0000-00001F720000}"/>
    <cellStyle name="Percent 8 57" xfId="19212" xr:uid="{00000000-0005-0000-0000-000020720000}"/>
    <cellStyle name="Percent 8 58" xfId="19213" xr:uid="{00000000-0005-0000-0000-000021720000}"/>
    <cellStyle name="Percent 8 59" xfId="19214" xr:uid="{00000000-0005-0000-0000-000022720000}"/>
    <cellStyle name="Percent 8 6" xfId="19215" xr:uid="{00000000-0005-0000-0000-000023720000}"/>
    <cellStyle name="Percent 8 60" xfId="19216" xr:uid="{00000000-0005-0000-0000-000024720000}"/>
    <cellStyle name="Percent 8 61" xfId="19217" xr:uid="{00000000-0005-0000-0000-000025720000}"/>
    <cellStyle name="Percent 8 62" xfId="19218" xr:uid="{00000000-0005-0000-0000-000026720000}"/>
    <cellStyle name="Percent 8 63" xfId="19219" xr:uid="{00000000-0005-0000-0000-000027720000}"/>
    <cellStyle name="Percent 8 64" xfId="19220" xr:uid="{00000000-0005-0000-0000-000028720000}"/>
    <cellStyle name="Percent 8 65" xfId="19221" xr:uid="{00000000-0005-0000-0000-000029720000}"/>
    <cellStyle name="Percent 8 66" xfId="19222" xr:uid="{00000000-0005-0000-0000-00002A720000}"/>
    <cellStyle name="Percent 8 67" xfId="19223" xr:uid="{00000000-0005-0000-0000-00002B720000}"/>
    <cellStyle name="Percent 8 68" xfId="19224" xr:uid="{00000000-0005-0000-0000-00002C720000}"/>
    <cellStyle name="Percent 8 69" xfId="19225" xr:uid="{00000000-0005-0000-0000-00002D720000}"/>
    <cellStyle name="Percent 8 7" xfId="19226" xr:uid="{00000000-0005-0000-0000-00002E720000}"/>
    <cellStyle name="Percent 8 70" xfId="19227" xr:uid="{00000000-0005-0000-0000-00002F720000}"/>
    <cellStyle name="Percent 8 71" xfId="19228" xr:uid="{00000000-0005-0000-0000-000030720000}"/>
    <cellStyle name="Percent 8 72" xfId="19229" xr:uid="{00000000-0005-0000-0000-000031720000}"/>
    <cellStyle name="Percent 8 73" xfId="19230" xr:uid="{00000000-0005-0000-0000-000032720000}"/>
    <cellStyle name="Percent 8 74" xfId="19231" xr:uid="{00000000-0005-0000-0000-000033720000}"/>
    <cellStyle name="Percent 8 75" xfId="19232" xr:uid="{00000000-0005-0000-0000-000034720000}"/>
    <cellStyle name="Percent 8 8" xfId="19233" xr:uid="{00000000-0005-0000-0000-000035720000}"/>
    <cellStyle name="Percent 8 9" xfId="19234" xr:uid="{00000000-0005-0000-0000-000036720000}"/>
    <cellStyle name="Percent 9" xfId="19235" xr:uid="{00000000-0005-0000-0000-000037720000}"/>
    <cellStyle name="Percent 9 2" xfId="19236" xr:uid="{00000000-0005-0000-0000-000038720000}"/>
    <cellStyle name="Percent 9 3" xfId="19237" xr:uid="{00000000-0005-0000-0000-000039720000}"/>
    <cellStyle name="Result" xfId="19238" xr:uid="{00000000-0005-0000-0000-00003A720000}"/>
    <cellStyle name="Result 2" xfId="19239" xr:uid="{00000000-0005-0000-0000-00003B720000}"/>
    <cellStyle name="SAPBEXaggData" xfId="19240" xr:uid="{00000000-0005-0000-0000-00003C720000}"/>
    <cellStyle name="SAPBEXaggData 2" xfId="19241" xr:uid="{00000000-0005-0000-0000-00003D720000}"/>
    <cellStyle name="SAPBEXaggData 3" xfId="33451" xr:uid="{00000000-0005-0000-0000-00003E720000}"/>
    <cellStyle name="SAPBEXaggDataEmph" xfId="19242" xr:uid="{00000000-0005-0000-0000-00003F720000}"/>
    <cellStyle name="SAPBEXaggDataEmph 2" xfId="19243" xr:uid="{00000000-0005-0000-0000-000040720000}"/>
    <cellStyle name="SAPBEXaggDataEmph 3" xfId="33452" xr:uid="{00000000-0005-0000-0000-000041720000}"/>
    <cellStyle name="SAPBEXaggItem" xfId="19244" xr:uid="{00000000-0005-0000-0000-000042720000}"/>
    <cellStyle name="SAPBEXaggItem 2" xfId="19245" xr:uid="{00000000-0005-0000-0000-000043720000}"/>
    <cellStyle name="SAPBEXaggItem 3" xfId="33453" xr:uid="{00000000-0005-0000-0000-000044720000}"/>
    <cellStyle name="SAPBEXaggItemX" xfId="19246" xr:uid="{00000000-0005-0000-0000-000045720000}"/>
    <cellStyle name="SAPBEXaggItemX 2" xfId="19247" xr:uid="{00000000-0005-0000-0000-000046720000}"/>
    <cellStyle name="SAPBEXaggItemX 3" xfId="33454" xr:uid="{00000000-0005-0000-0000-000047720000}"/>
    <cellStyle name="SAPBEXchaText" xfId="19248" xr:uid="{00000000-0005-0000-0000-000048720000}"/>
    <cellStyle name="SAPBEXchaText 2" xfId="19249" xr:uid="{00000000-0005-0000-0000-000049720000}"/>
    <cellStyle name="SAPBEXchaText 3" xfId="19250" xr:uid="{00000000-0005-0000-0000-00004A720000}"/>
    <cellStyle name="SAPBEXchaText 4" xfId="33455" xr:uid="{00000000-0005-0000-0000-00004B720000}"/>
    <cellStyle name="SAPBEXexcBad7" xfId="19251" xr:uid="{00000000-0005-0000-0000-00004C720000}"/>
    <cellStyle name="SAPBEXexcBad7 2" xfId="19252" xr:uid="{00000000-0005-0000-0000-00004D720000}"/>
    <cellStyle name="SAPBEXexcBad7 3" xfId="33456" xr:uid="{00000000-0005-0000-0000-00004E720000}"/>
    <cellStyle name="SAPBEXexcBad8" xfId="19253" xr:uid="{00000000-0005-0000-0000-00004F720000}"/>
    <cellStyle name="SAPBEXexcBad8 2" xfId="19254" xr:uid="{00000000-0005-0000-0000-000050720000}"/>
    <cellStyle name="SAPBEXexcBad8 3" xfId="33457" xr:uid="{00000000-0005-0000-0000-000051720000}"/>
    <cellStyle name="SAPBEXexcBad9" xfId="19255" xr:uid="{00000000-0005-0000-0000-000052720000}"/>
    <cellStyle name="SAPBEXexcBad9 2" xfId="19256" xr:uid="{00000000-0005-0000-0000-000053720000}"/>
    <cellStyle name="SAPBEXexcBad9 3" xfId="33458" xr:uid="{00000000-0005-0000-0000-000054720000}"/>
    <cellStyle name="SAPBEXexcCritical4" xfId="19257" xr:uid="{00000000-0005-0000-0000-000055720000}"/>
    <cellStyle name="SAPBEXexcCritical4 2" xfId="19258" xr:uid="{00000000-0005-0000-0000-000056720000}"/>
    <cellStyle name="SAPBEXexcCritical4 3" xfId="33459" xr:uid="{00000000-0005-0000-0000-000057720000}"/>
    <cellStyle name="SAPBEXexcCritical5" xfId="19259" xr:uid="{00000000-0005-0000-0000-000058720000}"/>
    <cellStyle name="SAPBEXexcCritical5 2" xfId="19260" xr:uid="{00000000-0005-0000-0000-000059720000}"/>
    <cellStyle name="SAPBEXexcCritical5 3" xfId="33460" xr:uid="{00000000-0005-0000-0000-00005A720000}"/>
    <cellStyle name="SAPBEXexcCritical6" xfId="19261" xr:uid="{00000000-0005-0000-0000-00005B720000}"/>
    <cellStyle name="SAPBEXexcCritical6 2" xfId="19262" xr:uid="{00000000-0005-0000-0000-00005C720000}"/>
    <cellStyle name="SAPBEXexcCritical6 3" xfId="33461" xr:uid="{00000000-0005-0000-0000-00005D720000}"/>
    <cellStyle name="SAPBEXexcGood1" xfId="19263" xr:uid="{00000000-0005-0000-0000-00005E720000}"/>
    <cellStyle name="SAPBEXexcGood1 2" xfId="19264" xr:uid="{00000000-0005-0000-0000-00005F720000}"/>
    <cellStyle name="SAPBEXexcGood1 3" xfId="33462" xr:uid="{00000000-0005-0000-0000-000060720000}"/>
    <cellStyle name="SAPBEXexcGood2" xfId="19265" xr:uid="{00000000-0005-0000-0000-000061720000}"/>
    <cellStyle name="SAPBEXexcGood2 2" xfId="19266" xr:uid="{00000000-0005-0000-0000-000062720000}"/>
    <cellStyle name="SAPBEXexcGood2 3" xfId="33463" xr:uid="{00000000-0005-0000-0000-000063720000}"/>
    <cellStyle name="SAPBEXexcGood3" xfId="19267" xr:uid="{00000000-0005-0000-0000-000064720000}"/>
    <cellStyle name="SAPBEXexcGood3 2" xfId="19268" xr:uid="{00000000-0005-0000-0000-000065720000}"/>
    <cellStyle name="SAPBEXexcGood3 3" xfId="33464" xr:uid="{00000000-0005-0000-0000-000066720000}"/>
    <cellStyle name="SAPBEXfilterDrill" xfId="19269" xr:uid="{00000000-0005-0000-0000-000067720000}"/>
    <cellStyle name="SAPBEXfilterDrill 2" xfId="19270" xr:uid="{00000000-0005-0000-0000-000068720000}"/>
    <cellStyle name="SAPBEXfilterDrill 3" xfId="33465" xr:uid="{00000000-0005-0000-0000-000069720000}"/>
    <cellStyle name="SAPBEXfilterItem" xfId="19271" xr:uid="{00000000-0005-0000-0000-00006A720000}"/>
    <cellStyle name="SAPBEXfilterItem 2" xfId="19272" xr:uid="{00000000-0005-0000-0000-00006B720000}"/>
    <cellStyle name="SAPBEXfilterItem 3" xfId="33466" xr:uid="{00000000-0005-0000-0000-00006C720000}"/>
    <cellStyle name="SAPBEXfilterText" xfId="19273" xr:uid="{00000000-0005-0000-0000-00006D720000}"/>
    <cellStyle name="SAPBEXfilterText 2" xfId="19274" xr:uid="{00000000-0005-0000-0000-00006E720000}"/>
    <cellStyle name="SAPBEXfilterText 3" xfId="33467" xr:uid="{00000000-0005-0000-0000-00006F720000}"/>
    <cellStyle name="SAPBEXformats" xfId="19275" xr:uid="{00000000-0005-0000-0000-000070720000}"/>
    <cellStyle name="SAPBEXformats 2" xfId="19276" xr:uid="{00000000-0005-0000-0000-000071720000}"/>
    <cellStyle name="SAPBEXformats 3" xfId="33468" xr:uid="{00000000-0005-0000-0000-000072720000}"/>
    <cellStyle name="SAPBEXheaderItem" xfId="19277" xr:uid="{00000000-0005-0000-0000-000073720000}"/>
    <cellStyle name="SAPBEXheaderItem 2" xfId="19278" xr:uid="{00000000-0005-0000-0000-000074720000}"/>
    <cellStyle name="SAPBEXheaderItem 3" xfId="33469" xr:uid="{00000000-0005-0000-0000-000075720000}"/>
    <cellStyle name="SAPBEXheaderText" xfId="19279" xr:uid="{00000000-0005-0000-0000-000076720000}"/>
    <cellStyle name="SAPBEXheaderText 2" xfId="19280" xr:uid="{00000000-0005-0000-0000-000077720000}"/>
    <cellStyle name="SAPBEXheaderText 3" xfId="33470" xr:uid="{00000000-0005-0000-0000-000078720000}"/>
    <cellStyle name="SAPBEXHLevel0" xfId="19281" xr:uid="{00000000-0005-0000-0000-000079720000}"/>
    <cellStyle name="SAPBEXHLevel0 2" xfId="19282" xr:uid="{00000000-0005-0000-0000-00007A720000}"/>
    <cellStyle name="SAPBEXHLevel0 3" xfId="33471" xr:uid="{00000000-0005-0000-0000-00007B720000}"/>
    <cellStyle name="SAPBEXHLevel0X" xfId="19283" xr:uid="{00000000-0005-0000-0000-00007C720000}"/>
    <cellStyle name="SAPBEXHLevel0X 2" xfId="19284" xr:uid="{00000000-0005-0000-0000-00007D720000}"/>
    <cellStyle name="SAPBEXHLevel0X 3" xfId="33472" xr:uid="{00000000-0005-0000-0000-00007E720000}"/>
    <cellStyle name="SAPBEXHLevel1" xfId="19285" xr:uid="{00000000-0005-0000-0000-00007F720000}"/>
    <cellStyle name="SAPBEXHLevel1 2" xfId="19286" xr:uid="{00000000-0005-0000-0000-000080720000}"/>
    <cellStyle name="SAPBEXHLevel1 3" xfId="33473" xr:uid="{00000000-0005-0000-0000-000081720000}"/>
    <cellStyle name="SAPBEXHLevel1X" xfId="19287" xr:uid="{00000000-0005-0000-0000-000082720000}"/>
    <cellStyle name="SAPBEXHLevel1X 2" xfId="19288" xr:uid="{00000000-0005-0000-0000-000083720000}"/>
    <cellStyle name="SAPBEXHLevel1X 3" xfId="33474" xr:uid="{00000000-0005-0000-0000-000084720000}"/>
    <cellStyle name="SAPBEXHLevel2" xfId="19289" xr:uid="{00000000-0005-0000-0000-000085720000}"/>
    <cellStyle name="SAPBEXHLevel2 2" xfId="19290" xr:uid="{00000000-0005-0000-0000-000086720000}"/>
    <cellStyle name="SAPBEXHLevel2 3" xfId="33475" xr:uid="{00000000-0005-0000-0000-000087720000}"/>
    <cellStyle name="SAPBEXHLevel2X" xfId="19291" xr:uid="{00000000-0005-0000-0000-000088720000}"/>
    <cellStyle name="SAPBEXHLevel2X 2" xfId="19292" xr:uid="{00000000-0005-0000-0000-000089720000}"/>
    <cellStyle name="SAPBEXHLevel2X 3" xfId="33476" xr:uid="{00000000-0005-0000-0000-00008A720000}"/>
    <cellStyle name="SAPBEXHLevel3" xfId="19293" xr:uid="{00000000-0005-0000-0000-00008B720000}"/>
    <cellStyle name="SAPBEXHLevel3 2" xfId="19294" xr:uid="{00000000-0005-0000-0000-00008C720000}"/>
    <cellStyle name="SAPBEXHLevel3 3" xfId="33477" xr:uid="{00000000-0005-0000-0000-00008D720000}"/>
    <cellStyle name="SAPBEXHLevel3X" xfId="19295" xr:uid="{00000000-0005-0000-0000-00008E720000}"/>
    <cellStyle name="SAPBEXHLevel3X 2" xfId="19296" xr:uid="{00000000-0005-0000-0000-00008F720000}"/>
    <cellStyle name="SAPBEXHLevel3X 3" xfId="33478" xr:uid="{00000000-0005-0000-0000-000090720000}"/>
    <cellStyle name="SAPBEXinputData" xfId="19297" xr:uid="{00000000-0005-0000-0000-000091720000}"/>
    <cellStyle name="SAPBEXinputData 2" xfId="19298" xr:uid="{00000000-0005-0000-0000-000092720000}"/>
    <cellStyle name="SAPBEXinputData 3" xfId="33479" xr:uid="{00000000-0005-0000-0000-000093720000}"/>
    <cellStyle name="SAPBEXItemHeader" xfId="19299" xr:uid="{00000000-0005-0000-0000-000094720000}"/>
    <cellStyle name="SAPBEXItemHeader 2" xfId="19300" xr:uid="{00000000-0005-0000-0000-000095720000}"/>
    <cellStyle name="SAPBEXItemHeader 3" xfId="33480" xr:uid="{00000000-0005-0000-0000-000096720000}"/>
    <cellStyle name="SAPBEXresData" xfId="19301" xr:uid="{00000000-0005-0000-0000-000097720000}"/>
    <cellStyle name="SAPBEXresData 2" xfId="19302" xr:uid="{00000000-0005-0000-0000-000098720000}"/>
    <cellStyle name="SAPBEXresData 3" xfId="33481" xr:uid="{00000000-0005-0000-0000-000099720000}"/>
    <cellStyle name="SAPBEXresDataEmph" xfId="19303" xr:uid="{00000000-0005-0000-0000-00009A720000}"/>
    <cellStyle name="SAPBEXresDataEmph 2" xfId="19304" xr:uid="{00000000-0005-0000-0000-00009B720000}"/>
    <cellStyle name="SAPBEXresDataEmph 3" xfId="33482" xr:uid="{00000000-0005-0000-0000-00009C720000}"/>
    <cellStyle name="SAPBEXresItem" xfId="19305" xr:uid="{00000000-0005-0000-0000-00009D720000}"/>
    <cellStyle name="SAPBEXresItem 2" xfId="19306" xr:uid="{00000000-0005-0000-0000-00009E720000}"/>
    <cellStyle name="SAPBEXresItem 3" xfId="33483" xr:uid="{00000000-0005-0000-0000-00009F720000}"/>
    <cellStyle name="SAPBEXresItemX" xfId="19307" xr:uid="{00000000-0005-0000-0000-0000A0720000}"/>
    <cellStyle name="SAPBEXresItemX 2" xfId="19308" xr:uid="{00000000-0005-0000-0000-0000A1720000}"/>
    <cellStyle name="SAPBEXresItemX 3" xfId="33484" xr:uid="{00000000-0005-0000-0000-0000A2720000}"/>
    <cellStyle name="SAPBEXstdData" xfId="19309" xr:uid="{00000000-0005-0000-0000-0000A3720000}"/>
    <cellStyle name="SAPBEXstdData 2" xfId="19310" xr:uid="{00000000-0005-0000-0000-0000A4720000}"/>
    <cellStyle name="SAPBEXstdData 2 10" xfId="19311" xr:uid="{00000000-0005-0000-0000-0000A5720000}"/>
    <cellStyle name="SAPBEXstdData 2 10 10" xfId="19312" xr:uid="{00000000-0005-0000-0000-0000A6720000}"/>
    <cellStyle name="SAPBEXstdData 2 10 10 2" xfId="19313" xr:uid="{00000000-0005-0000-0000-0000A7720000}"/>
    <cellStyle name="SAPBEXstdData 2 10 10 3" xfId="33485" xr:uid="{00000000-0005-0000-0000-0000A8720000}"/>
    <cellStyle name="SAPBEXstdData 2 10 10 4" xfId="33486" xr:uid="{00000000-0005-0000-0000-0000A9720000}"/>
    <cellStyle name="SAPBEXstdData 2 10 11" xfId="19314" xr:uid="{00000000-0005-0000-0000-0000AA720000}"/>
    <cellStyle name="SAPBEXstdData 2 10 11 2" xfId="19315" xr:uid="{00000000-0005-0000-0000-0000AB720000}"/>
    <cellStyle name="SAPBEXstdData 2 10 11 3" xfId="33487" xr:uid="{00000000-0005-0000-0000-0000AC720000}"/>
    <cellStyle name="SAPBEXstdData 2 10 11 4" xfId="33488" xr:uid="{00000000-0005-0000-0000-0000AD720000}"/>
    <cellStyle name="SAPBEXstdData 2 10 12" xfId="19316" xr:uid="{00000000-0005-0000-0000-0000AE720000}"/>
    <cellStyle name="SAPBEXstdData 2 10 13" xfId="33489" xr:uid="{00000000-0005-0000-0000-0000AF720000}"/>
    <cellStyle name="SAPBEXstdData 2 10 14" xfId="33490" xr:uid="{00000000-0005-0000-0000-0000B0720000}"/>
    <cellStyle name="SAPBEXstdData 2 10 2" xfId="19317" xr:uid="{00000000-0005-0000-0000-0000B1720000}"/>
    <cellStyle name="SAPBEXstdData 2 10 2 10" xfId="33491" xr:uid="{00000000-0005-0000-0000-0000B2720000}"/>
    <cellStyle name="SAPBEXstdData 2 10 2 2" xfId="19318" xr:uid="{00000000-0005-0000-0000-0000B3720000}"/>
    <cellStyle name="SAPBEXstdData 2 10 2 2 2" xfId="19319" xr:uid="{00000000-0005-0000-0000-0000B4720000}"/>
    <cellStyle name="SAPBEXstdData 2 10 2 2 3" xfId="33492" xr:uid="{00000000-0005-0000-0000-0000B5720000}"/>
    <cellStyle name="SAPBEXstdData 2 10 2 2 4" xfId="33493" xr:uid="{00000000-0005-0000-0000-0000B6720000}"/>
    <cellStyle name="SAPBEXstdData 2 10 2 3" xfId="19320" xr:uid="{00000000-0005-0000-0000-0000B7720000}"/>
    <cellStyle name="SAPBEXstdData 2 10 2 3 2" xfId="19321" xr:uid="{00000000-0005-0000-0000-0000B8720000}"/>
    <cellStyle name="SAPBEXstdData 2 10 2 3 3" xfId="33494" xr:uid="{00000000-0005-0000-0000-0000B9720000}"/>
    <cellStyle name="SAPBEXstdData 2 10 2 3 4" xfId="33495" xr:uid="{00000000-0005-0000-0000-0000BA720000}"/>
    <cellStyle name="SAPBEXstdData 2 10 2 4" xfId="19322" xr:uid="{00000000-0005-0000-0000-0000BB720000}"/>
    <cellStyle name="SAPBEXstdData 2 10 2 4 2" xfId="19323" xr:uid="{00000000-0005-0000-0000-0000BC720000}"/>
    <cellStyle name="SAPBEXstdData 2 10 2 4 3" xfId="33496" xr:uid="{00000000-0005-0000-0000-0000BD720000}"/>
    <cellStyle name="SAPBEXstdData 2 10 2 4 4" xfId="33497" xr:uid="{00000000-0005-0000-0000-0000BE720000}"/>
    <cellStyle name="SAPBEXstdData 2 10 2 5" xfId="19324" xr:uid="{00000000-0005-0000-0000-0000BF720000}"/>
    <cellStyle name="SAPBEXstdData 2 10 2 5 2" xfId="19325" xr:uid="{00000000-0005-0000-0000-0000C0720000}"/>
    <cellStyle name="SAPBEXstdData 2 10 2 5 3" xfId="33498" xr:uid="{00000000-0005-0000-0000-0000C1720000}"/>
    <cellStyle name="SAPBEXstdData 2 10 2 5 4" xfId="33499" xr:uid="{00000000-0005-0000-0000-0000C2720000}"/>
    <cellStyle name="SAPBEXstdData 2 10 2 6" xfId="19326" xr:uid="{00000000-0005-0000-0000-0000C3720000}"/>
    <cellStyle name="SAPBEXstdData 2 10 2 6 2" xfId="19327" xr:uid="{00000000-0005-0000-0000-0000C4720000}"/>
    <cellStyle name="SAPBEXstdData 2 10 2 6 3" xfId="33500" xr:uid="{00000000-0005-0000-0000-0000C5720000}"/>
    <cellStyle name="SAPBEXstdData 2 10 2 6 4" xfId="33501" xr:uid="{00000000-0005-0000-0000-0000C6720000}"/>
    <cellStyle name="SAPBEXstdData 2 10 2 7" xfId="19328" xr:uid="{00000000-0005-0000-0000-0000C7720000}"/>
    <cellStyle name="SAPBEXstdData 2 10 2 7 2" xfId="19329" xr:uid="{00000000-0005-0000-0000-0000C8720000}"/>
    <cellStyle name="SAPBEXstdData 2 10 2 7 3" xfId="33502" xr:uid="{00000000-0005-0000-0000-0000C9720000}"/>
    <cellStyle name="SAPBEXstdData 2 10 2 7 4" xfId="33503" xr:uid="{00000000-0005-0000-0000-0000CA720000}"/>
    <cellStyle name="SAPBEXstdData 2 10 2 8" xfId="19330" xr:uid="{00000000-0005-0000-0000-0000CB720000}"/>
    <cellStyle name="SAPBEXstdData 2 10 2 9" xfId="33504" xr:uid="{00000000-0005-0000-0000-0000CC720000}"/>
    <cellStyle name="SAPBEXstdData 2 10 3" xfId="19331" xr:uid="{00000000-0005-0000-0000-0000CD720000}"/>
    <cellStyle name="SAPBEXstdData 2 10 3 10" xfId="33505" xr:uid="{00000000-0005-0000-0000-0000CE720000}"/>
    <cellStyle name="SAPBEXstdData 2 10 3 2" xfId="19332" xr:uid="{00000000-0005-0000-0000-0000CF720000}"/>
    <cellStyle name="SAPBEXstdData 2 10 3 2 2" xfId="19333" xr:uid="{00000000-0005-0000-0000-0000D0720000}"/>
    <cellStyle name="SAPBEXstdData 2 10 3 2 3" xfId="33506" xr:uid="{00000000-0005-0000-0000-0000D1720000}"/>
    <cellStyle name="SAPBEXstdData 2 10 3 2 4" xfId="33507" xr:uid="{00000000-0005-0000-0000-0000D2720000}"/>
    <cellStyle name="SAPBEXstdData 2 10 3 3" xfId="19334" xr:uid="{00000000-0005-0000-0000-0000D3720000}"/>
    <cellStyle name="SAPBEXstdData 2 10 3 3 2" xfId="19335" xr:uid="{00000000-0005-0000-0000-0000D4720000}"/>
    <cellStyle name="SAPBEXstdData 2 10 3 3 3" xfId="33508" xr:uid="{00000000-0005-0000-0000-0000D5720000}"/>
    <cellStyle name="SAPBEXstdData 2 10 3 3 4" xfId="33509" xr:uid="{00000000-0005-0000-0000-0000D6720000}"/>
    <cellStyle name="SAPBEXstdData 2 10 3 4" xfId="19336" xr:uid="{00000000-0005-0000-0000-0000D7720000}"/>
    <cellStyle name="SAPBEXstdData 2 10 3 4 2" xfId="19337" xr:uid="{00000000-0005-0000-0000-0000D8720000}"/>
    <cellStyle name="SAPBEXstdData 2 10 3 4 3" xfId="33510" xr:uid="{00000000-0005-0000-0000-0000D9720000}"/>
    <cellStyle name="SAPBEXstdData 2 10 3 4 4" xfId="33511" xr:uid="{00000000-0005-0000-0000-0000DA720000}"/>
    <cellStyle name="SAPBEXstdData 2 10 3 5" xfId="19338" xr:uid="{00000000-0005-0000-0000-0000DB720000}"/>
    <cellStyle name="SAPBEXstdData 2 10 3 5 2" xfId="19339" xr:uid="{00000000-0005-0000-0000-0000DC720000}"/>
    <cellStyle name="SAPBEXstdData 2 10 3 5 3" xfId="33512" xr:uid="{00000000-0005-0000-0000-0000DD720000}"/>
    <cellStyle name="SAPBEXstdData 2 10 3 5 4" xfId="33513" xr:uid="{00000000-0005-0000-0000-0000DE720000}"/>
    <cellStyle name="SAPBEXstdData 2 10 3 6" xfId="19340" xr:uid="{00000000-0005-0000-0000-0000DF720000}"/>
    <cellStyle name="SAPBEXstdData 2 10 3 6 2" xfId="19341" xr:uid="{00000000-0005-0000-0000-0000E0720000}"/>
    <cellStyle name="SAPBEXstdData 2 10 3 6 3" xfId="33514" xr:uid="{00000000-0005-0000-0000-0000E1720000}"/>
    <cellStyle name="SAPBEXstdData 2 10 3 6 4" xfId="33515" xr:uid="{00000000-0005-0000-0000-0000E2720000}"/>
    <cellStyle name="SAPBEXstdData 2 10 3 7" xfId="19342" xr:uid="{00000000-0005-0000-0000-0000E3720000}"/>
    <cellStyle name="SAPBEXstdData 2 10 3 7 2" xfId="19343" xr:uid="{00000000-0005-0000-0000-0000E4720000}"/>
    <cellStyle name="SAPBEXstdData 2 10 3 7 3" xfId="33516" xr:uid="{00000000-0005-0000-0000-0000E5720000}"/>
    <cellStyle name="SAPBEXstdData 2 10 3 7 4" xfId="33517" xr:uid="{00000000-0005-0000-0000-0000E6720000}"/>
    <cellStyle name="SAPBEXstdData 2 10 3 8" xfId="19344" xr:uid="{00000000-0005-0000-0000-0000E7720000}"/>
    <cellStyle name="SAPBEXstdData 2 10 3 9" xfId="33518" xr:uid="{00000000-0005-0000-0000-0000E8720000}"/>
    <cellStyle name="SAPBEXstdData 2 10 4" xfId="19345" xr:uid="{00000000-0005-0000-0000-0000E9720000}"/>
    <cellStyle name="SAPBEXstdData 2 10 4 10" xfId="33519" xr:uid="{00000000-0005-0000-0000-0000EA720000}"/>
    <cellStyle name="SAPBEXstdData 2 10 4 2" xfId="19346" xr:uid="{00000000-0005-0000-0000-0000EB720000}"/>
    <cellStyle name="SAPBEXstdData 2 10 4 2 2" xfId="19347" xr:uid="{00000000-0005-0000-0000-0000EC720000}"/>
    <cellStyle name="SAPBEXstdData 2 10 4 2 3" xfId="33520" xr:uid="{00000000-0005-0000-0000-0000ED720000}"/>
    <cellStyle name="SAPBEXstdData 2 10 4 2 4" xfId="33521" xr:uid="{00000000-0005-0000-0000-0000EE720000}"/>
    <cellStyle name="SAPBEXstdData 2 10 4 3" xfId="19348" xr:uid="{00000000-0005-0000-0000-0000EF720000}"/>
    <cellStyle name="SAPBEXstdData 2 10 4 3 2" xfId="19349" xr:uid="{00000000-0005-0000-0000-0000F0720000}"/>
    <cellStyle name="SAPBEXstdData 2 10 4 3 3" xfId="33522" xr:uid="{00000000-0005-0000-0000-0000F1720000}"/>
    <cellStyle name="SAPBEXstdData 2 10 4 3 4" xfId="33523" xr:uid="{00000000-0005-0000-0000-0000F2720000}"/>
    <cellStyle name="SAPBEXstdData 2 10 4 4" xfId="19350" xr:uid="{00000000-0005-0000-0000-0000F3720000}"/>
    <cellStyle name="SAPBEXstdData 2 10 4 4 2" xfId="19351" xr:uid="{00000000-0005-0000-0000-0000F4720000}"/>
    <cellStyle name="SAPBEXstdData 2 10 4 4 3" xfId="33524" xr:uid="{00000000-0005-0000-0000-0000F5720000}"/>
    <cellStyle name="SAPBEXstdData 2 10 4 4 4" xfId="33525" xr:uid="{00000000-0005-0000-0000-0000F6720000}"/>
    <cellStyle name="SAPBEXstdData 2 10 4 5" xfId="19352" xr:uid="{00000000-0005-0000-0000-0000F7720000}"/>
    <cellStyle name="SAPBEXstdData 2 10 4 5 2" xfId="19353" xr:uid="{00000000-0005-0000-0000-0000F8720000}"/>
    <cellStyle name="SAPBEXstdData 2 10 4 5 3" xfId="33526" xr:uid="{00000000-0005-0000-0000-0000F9720000}"/>
    <cellStyle name="SAPBEXstdData 2 10 4 5 4" xfId="33527" xr:uid="{00000000-0005-0000-0000-0000FA720000}"/>
    <cellStyle name="SAPBEXstdData 2 10 4 6" xfId="19354" xr:uid="{00000000-0005-0000-0000-0000FB720000}"/>
    <cellStyle name="SAPBEXstdData 2 10 4 6 2" xfId="19355" xr:uid="{00000000-0005-0000-0000-0000FC720000}"/>
    <cellStyle name="SAPBEXstdData 2 10 4 6 3" xfId="33528" xr:uid="{00000000-0005-0000-0000-0000FD720000}"/>
    <cellStyle name="SAPBEXstdData 2 10 4 6 4" xfId="33529" xr:uid="{00000000-0005-0000-0000-0000FE720000}"/>
    <cellStyle name="SAPBEXstdData 2 10 4 7" xfId="19356" xr:uid="{00000000-0005-0000-0000-0000FF720000}"/>
    <cellStyle name="SAPBEXstdData 2 10 4 7 2" xfId="19357" xr:uid="{00000000-0005-0000-0000-000000730000}"/>
    <cellStyle name="SAPBEXstdData 2 10 4 7 3" xfId="33530" xr:uid="{00000000-0005-0000-0000-000001730000}"/>
    <cellStyle name="SAPBEXstdData 2 10 4 7 4" xfId="33531" xr:uid="{00000000-0005-0000-0000-000002730000}"/>
    <cellStyle name="SAPBEXstdData 2 10 4 8" xfId="19358" xr:uid="{00000000-0005-0000-0000-000003730000}"/>
    <cellStyle name="SAPBEXstdData 2 10 4 9" xfId="33532" xr:uid="{00000000-0005-0000-0000-000004730000}"/>
    <cellStyle name="SAPBEXstdData 2 10 5" xfId="19359" xr:uid="{00000000-0005-0000-0000-000005730000}"/>
    <cellStyle name="SAPBEXstdData 2 10 5 10" xfId="33533" xr:uid="{00000000-0005-0000-0000-000006730000}"/>
    <cellStyle name="SAPBEXstdData 2 10 5 2" xfId="19360" xr:uid="{00000000-0005-0000-0000-000007730000}"/>
    <cellStyle name="SAPBEXstdData 2 10 5 2 2" xfId="19361" xr:uid="{00000000-0005-0000-0000-000008730000}"/>
    <cellStyle name="SAPBEXstdData 2 10 5 2 3" xfId="33534" xr:uid="{00000000-0005-0000-0000-000009730000}"/>
    <cellStyle name="SAPBEXstdData 2 10 5 2 4" xfId="33535" xr:uid="{00000000-0005-0000-0000-00000A730000}"/>
    <cellStyle name="SAPBEXstdData 2 10 5 3" xfId="19362" xr:uid="{00000000-0005-0000-0000-00000B730000}"/>
    <cellStyle name="SAPBEXstdData 2 10 5 3 2" xfId="19363" xr:uid="{00000000-0005-0000-0000-00000C730000}"/>
    <cellStyle name="SAPBEXstdData 2 10 5 3 3" xfId="33536" xr:uid="{00000000-0005-0000-0000-00000D730000}"/>
    <cellStyle name="SAPBEXstdData 2 10 5 3 4" xfId="33537" xr:uid="{00000000-0005-0000-0000-00000E730000}"/>
    <cellStyle name="SAPBEXstdData 2 10 5 4" xfId="19364" xr:uid="{00000000-0005-0000-0000-00000F730000}"/>
    <cellStyle name="SAPBEXstdData 2 10 5 4 2" xfId="19365" xr:uid="{00000000-0005-0000-0000-000010730000}"/>
    <cellStyle name="SAPBEXstdData 2 10 5 4 3" xfId="33538" xr:uid="{00000000-0005-0000-0000-000011730000}"/>
    <cellStyle name="SAPBEXstdData 2 10 5 4 4" xfId="33539" xr:uid="{00000000-0005-0000-0000-000012730000}"/>
    <cellStyle name="SAPBEXstdData 2 10 5 5" xfId="19366" xr:uid="{00000000-0005-0000-0000-000013730000}"/>
    <cellStyle name="SAPBEXstdData 2 10 5 5 2" xfId="19367" xr:uid="{00000000-0005-0000-0000-000014730000}"/>
    <cellStyle name="SAPBEXstdData 2 10 5 5 3" xfId="33540" xr:uid="{00000000-0005-0000-0000-000015730000}"/>
    <cellStyle name="SAPBEXstdData 2 10 5 5 4" xfId="33541" xr:uid="{00000000-0005-0000-0000-000016730000}"/>
    <cellStyle name="SAPBEXstdData 2 10 5 6" xfId="19368" xr:uid="{00000000-0005-0000-0000-000017730000}"/>
    <cellStyle name="SAPBEXstdData 2 10 5 6 2" xfId="19369" xr:uid="{00000000-0005-0000-0000-000018730000}"/>
    <cellStyle name="SAPBEXstdData 2 10 5 6 3" xfId="33542" xr:uid="{00000000-0005-0000-0000-000019730000}"/>
    <cellStyle name="SAPBEXstdData 2 10 5 6 4" xfId="33543" xr:uid="{00000000-0005-0000-0000-00001A730000}"/>
    <cellStyle name="SAPBEXstdData 2 10 5 7" xfId="19370" xr:uid="{00000000-0005-0000-0000-00001B730000}"/>
    <cellStyle name="SAPBEXstdData 2 10 5 7 2" xfId="19371" xr:uid="{00000000-0005-0000-0000-00001C730000}"/>
    <cellStyle name="SAPBEXstdData 2 10 5 7 3" xfId="33544" xr:uid="{00000000-0005-0000-0000-00001D730000}"/>
    <cellStyle name="SAPBEXstdData 2 10 5 7 4" xfId="33545" xr:uid="{00000000-0005-0000-0000-00001E730000}"/>
    <cellStyle name="SAPBEXstdData 2 10 5 8" xfId="19372" xr:uid="{00000000-0005-0000-0000-00001F730000}"/>
    <cellStyle name="SAPBEXstdData 2 10 5 9" xfId="33546" xr:uid="{00000000-0005-0000-0000-000020730000}"/>
    <cellStyle name="SAPBEXstdData 2 10 6" xfId="19373" xr:uid="{00000000-0005-0000-0000-000021730000}"/>
    <cellStyle name="SAPBEXstdData 2 10 6 2" xfId="19374" xr:uid="{00000000-0005-0000-0000-000022730000}"/>
    <cellStyle name="SAPBEXstdData 2 10 6 3" xfId="33547" xr:uid="{00000000-0005-0000-0000-000023730000}"/>
    <cellStyle name="SAPBEXstdData 2 10 6 4" xfId="33548" xr:uid="{00000000-0005-0000-0000-000024730000}"/>
    <cellStyle name="SAPBEXstdData 2 10 7" xfId="19375" xr:uid="{00000000-0005-0000-0000-000025730000}"/>
    <cellStyle name="SAPBEXstdData 2 10 7 2" xfId="19376" xr:uid="{00000000-0005-0000-0000-000026730000}"/>
    <cellStyle name="SAPBEXstdData 2 10 7 3" xfId="33549" xr:uid="{00000000-0005-0000-0000-000027730000}"/>
    <cellStyle name="SAPBEXstdData 2 10 7 4" xfId="33550" xr:uid="{00000000-0005-0000-0000-000028730000}"/>
    <cellStyle name="SAPBEXstdData 2 10 8" xfId="19377" xr:uid="{00000000-0005-0000-0000-000029730000}"/>
    <cellStyle name="SAPBEXstdData 2 10 8 2" xfId="19378" xr:uid="{00000000-0005-0000-0000-00002A730000}"/>
    <cellStyle name="SAPBEXstdData 2 10 8 3" xfId="33551" xr:uid="{00000000-0005-0000-0000-00002B730000}"/>
    <cellStyle name="SAPBEXstdData 2 10 8 4" xfId="33552" xr:uid="{00000000-0005-0000-0000-00002C730000}"/>
    <cellStyle name="SAPBEXstdData 2 10 9" xfId="19379" xr:uid="{00000000-0005-0000-0000-00002D730000}"/>
    <cellStyle name="SAPBEXstdData 2 10 9 2" xfId="19380" xr:uid="{00000000-0005-0000-0000-00002E730000}"/>
    <cellStyle name="SAPBEXstdData 2 10 9 3" xfId="33553" xr:uid="{00000000-0005-0000-0000-00002F730000}"/>
    <cellStyle name="SAPBEXstdData 2 10 9 4" xfId="33554" xr:uid="{00000000-0005-0000-0000-000030730000}"/>
    <cellStyle name="SAPBEXstdData 2 11" xfId="19381" xr:uid="{00000000-0005-0000-0000-000031730000}"/>
    <cellStyle name="SAPBEXstdData 2 11 10" xfId="19382" xr:uid="{00000000-0005-0000-0000-000032730000}"/>
    <cellStyle name="SAPBEXstdData 2 11 10 2" xfId="19383" xr:uid="{00000000-0005-0000-0000-000033730000}"/>
    <cellStyle name="SAPBEXstdData 2 11 10 3" xfId="33555" xr:uid="{00000000-0005-0000-0000-000034730000}"/>
    <cellStyle name="SAPBEXstdData 2 11 10 4" xfId="33556" xr:uid="{00000000-0005-0000-0000-000035730000}"/>
    <cellStyle name="SAPBEXstdData 2 11 11" xfId="19384" xr:uid="{00000000-0005-0000-0000-000036730000}"/>
    <cellStyle name="SAPBEXstdData 2 11 11 2" xfId="19385" xr:uid="{00000000-0005-0000-0000-000037730000}"/>
    <cellStyle name="SAPBEXstdData 2 11 11 3" xfId="33557" xr:uid="{00000000-0005-0000-0000-000038730000}"/>
    <cellStyle name="SAPBEXstdData 2 11 11 4" xfId="33558" xr:uid="{00000000-0005-0000-0000-000039730000}"/>
    <cellStyle name="SAPBEXstdData 2 11 12" xfId="19386" xr:uid="{00000000-0005-0000-0000-00003A730000}"/>
    <cellStyle name="SAPBEXstdData 2 11 13" xfId="33559" xr:uid="{00000000-0005-0000-0000-00003B730000}"/>
    <cellStyle name="SAPBEXstdData 2 11 14" xfId="33560" xr:uid="{00000000-0005-0000-0000-00003C730000}"/>
    <cellStyle name="SAPBEXstdData 2 11 2" xfId="19387" xr:uid="{00000000-0005-0000-0000-00003D730000}"/>
    <cellStyle name="SAPBEXstdData 2 11 2 10" xfId="33561" xr:uid="{00000000-0005-0000-0000-00003E730000}"/>
    <cellStyle name="SAPBEXstdData 2 11 2 2" xfId="19388" xr:uid="{00000000-0005-0000-0000-00003F730000}"/>
    <cellStyle name="SAPBEXstdData 2 11 2 2 2" xfId="19389" xr:uid="{00000000-0005-0000-0000-000040730000}"/>
    <cellStyle name="SAPBEXstdData 2 11 2 2 3" xfId="33562" xr:uid="{00000000-0005-0000-0000-000041730000}"/>
    <cellStyle name="SAPBEXstdData 2 11 2 2 4" xfId="33563" xr:uid="{00000000-0005-0000-0000-000042730000}"/>
    <cellStyle name="SAPBEXstdData 2 11 2 3" xfId="19390" xr:uid="{00000000-0005-0000-0000-000043730000}"/>
    <cellStyle name="SAPBEXstdData 2 11 2 3 2" xfId="19391" xr:uid="{00000000-0005-0000-0000-000044730000}"/>
    <cellStyle name="SAPBEXstdData 2 11 2 3 3" xfId="33564" xr:uid="{00000000-0005-0000-0000-000045730000}"/>
    <cellStyle name="SAPBEXstdData 2 11 2 3 4" xfId="33565" xr:uid="{00000000-0005-0000-0000-000046730000}"/>
    <cellStyle name="SAPBEXstdData 2 11 2 4" xfId="19392" xr:uid="{00000000-0005-0000-0000-000047730000}"/>
    <cellStyle name="SAPBEXstdData 2 11 2 4 2" xfId="19393" xr:uid="{00000000-0005-0000-0000-000048730000}"/>
    <cellStyle name="SAPBEXstdData 2 11 2 4 3" xfId="33566" xr:uid="{00000000-0005-0000-0000-000049730000}"/>
    <cellStyle name="SAPBEXstdData 2 11 2 4 4" xfId="33567" xr:uid="{00000000-0005-0000-0000-00004A730000}"/>
    <cellStyle name="SAPBEXstdData 2 11 2 5" xfId="19394" xr:uid="{00000000-0005-0000-0000-00004B730000}"/>
    <cellStyle name="SAPBEXstdData 2 11 2 5 2" xfId="19395" xr:uid="{00000000-0005-0000-0000-00004C730000}"/>
    <cellStyle name="SAPBEXstdData 2 11 2 5 3" xfId="33568" xr:uid="{00000000-0005-0000-0000-00004D730000}"/>
    <cellStyle name="SAPBEXstdData 2 11 2 5 4" xfId="33569" xr:uid="{00000000-0005-0000-0000-00004E730000}"/>
    <cellStyle name="SAPBEXstdData 2 11 2 6" xfId="19396" xr:uid="{00000000-0005-0000-0000-00004F730000}"/>
    <cellStyle name="SAPBEXstdData 2 11 2 6 2" xfId="19397" xr:uid="{00000000-0005-0000-0000-000050730000}"/>
    <cellStyle name="SAPBEXstdData 2 11 2 6 3" xfId="33570" xr:uid="{00000000-0005-0000-0000-000051730000}"/>
    <cellStyle name="SAPBEXstdData 2 11 2 6 4" xfId="33571" xr:uid="{00000000-0005-0000-0000-000052730000}"/>
    <cellStyle name="SAPBEXstdData 2 11 2 7" xfId="19398" xr:uid="{00000000-0005-0000-0000-000053730000}"/>
    <cellStyle name="SAPBEXstdData 2 11 2 7 2" xfId="19399" xr:uid="{00000000-0005-0000-0000-000054730000}"/>
    <cellStyle name="SAPBEXstdData 2 11 2 7 3" xfId="33572" xr:uid="{00000000-0005-0000-0000-000055730000}"/>
    <cellStyle name="SAPBEXstdData 2 11 2 7 4" xfId="33573" xr:uid="{00000000-0005-0000-0000-000056730000}"/>
    <cellStyle name="SAPBEXstdData 2 11 2 8" xfId="19400" xr:uid="{00000000-0005-0000-0000-000057730000}"/>
    <cellStyle name="SAPBEXstdData 2 11 2 9" xfId="33574" xr:uid="{00000000-0005-0000-0000-000058730000}"/>
    <cellStyle name="SAPBEXstdData 2 11 3" xfId="19401" xr:uid="{00000000-0005-0000-0000-000059730000}"/>
    <cellStyle name="SAPBEXstdData 2 11 3 10" xfId="33575" xr:uid="{00000000-0005-0000-0000-00005A730000}"/>
    <cellStyle name="SAPBEXstdData 2 11 3 2" xfId="19402" xr:uid="{00000000-0005-0000-0000-00005B730000}"/>
    <cellStyle name="SAPBEXstdData 2 11 3 2 2" xfId="19403" xr:uid="{00000000-0005-0000-0000-00005C730000}"/>
    <cellStyle name="SAPBEXstdData 2 11 3 2 3" xfId="33576" xr:uid="{00000000-0005-0000-0000-00005D730000}"/>
    <cellStyle name="SAPBEXstdData 2 11 3 2 4" xfId="33577" xr:uid="{00000000-0005-0000-0000-00005E730000}"/>
    <cellStyle name="SAPBEXstdData 2 11 3 3" xfId="19404" xr:uid="{00000000-0005-0000-0000-00005F730000}"/>
    <cellStyle name="SAPBEXstdData 2 11 3 3 2" xfId="19405" xr:uid="{00000000-0005-0000-0000-000060730000}"/>
    <cellStyle name="SAPBEXstdData 2 11 3 3 3" xfId="33578" xr:uid="{00000000-0005-0000-0000-000061730000}"/>
    <cellStyle name="SAPBEXstdData 2 11 3 3 4" xfId="33579" xr:uid="{00000000-0005-0000-0000-000062730000}"/>
    <cellStyle name="SAPBEXstdData 2 11 3 4" xfId="19406" xr:uid="{00000000-0005-0000-0000-000063730000}"/>
    <cellStyle name="SAPBEXstdData 2 11 3 4 2" xfId="19407" xr:uid="{00000000-0005-0000-0000-000064730000}"/>
    <cellStyle name="SAPBEXstdData 2 11 3 4 3" xfId="33580" xr:uid="{00000000-0005-0000-0000-000065730000}"/>
    <cellStyle name="SAPBEXstdData 2 11 3 4 4" xfId="33581" xr:uid="{00000000-0005-0000-0000-000066730000}"/>
    <cellStyle name="SAPBEXstdData 2 11 3 5" xfId="19408" xr:uid="{00000000-0005-0000-0000-000067730000}"/>
    <cellStyle name="SAPBEXstdData 2 11 3 5 2" xfId="19409" xr:uid="{00000000-0005-0000-0000-000068730000}"/>
    <cellStyle name="SAPBEXstdData 2 11 3 5 3" xfId="33582" xr:uid="{00000000-0005-0000-0000-000069730000}"/>
    <cellStyle name="SAPBEXstdData 2 11 3 5 4" xfId="33583" xr:uid="{00000000-0005-0000-0000-00006A730000}"/>
    <cellStyle name="SAPBEXstdData 2 11 3 6" xfId="19410" xr:uid="{00000000-0005-0000-0000-00006B730000}"/>
    <cellStyle name="SAPBEXstdData 2 11 3 6 2" xfId="19411" xr:uid="{00000000-0005-0000-0000-00006C730000}"/>
    <cellStyle name="SAPBEXstdData 2 11 3 6 3" xfId="33584" xr:uid="{00000000-0005-0000-0000-00006D730000}"/>
    <cellStyle name="SAPBEXstdData 2 11 3 6 4" xfId="33585" xr:uid="{00000000-0005-0000-0000-00006E730000}"/>
    <cellStyle name="SAPBEXstdData 2 11 3 7" xfId="19412" xr:uid="{00000000-0005-0000-0000-00006F730000}"/>
    <cellStyle name="SAPBEXstdData 2 11 3 7 2" xfId="19413" xr:uid="{00000000-0005-0000-0000-000070730000}"/>
    <cellStyle name="SAPBEXstdData 2 11 3 7 3" xfId="33586" xr:uid="{00000000-0005-0000-0000-000071730000}"/>
    <cellStyle name="SAPBEXstdData 2 11 3 7 4" xfId="33587" xr:uid="{00000000-0005-0000-0000-000072730000}"/>
    <cellStyle name="SAPBEXstdData 2 11 3 8" xfId="19414" xr:uid="{00000000-0005-0000-0000-000073730000}"/>
    <cellStyle name="SAPBEXstdData 2 11 3 9" xfId="33588" xr:uid="{00000000-0005-0000-0000-000074730000}"/>
    <cellStyle name="SAPBEXstdData 2 11 4" xfId="19415" xr:uid="{00000000-0005-0000-0000-000075730000}"/>
    <cellStyle name="SAPBEXstdData 2 11 4 10" xfId="33589" xr:uid="{00000000-0005-0000-0000-000076730000}"/>
    <cellStyle name="SAPBEXstdData 2 11 4 2" xfId="19416" xr:uid="{00000000-0005-0000-0000-000077730000}"/>
    <cellStyle name="SAPBEXstdData 2 11 4 2 2" xfId="19417" xr:uid="{00000000-0005-0000-0000-000078730000}"/>
    <cellStyle name="SAPBEXstdData 2 11 4 2 3" xfId="33590" xr:uid="{00000000-0005-0000-0000-000079730000}"/>
    <cellStyle name="SAPBEXstdData 2 11 4 2 4" xfId="33591" xr:uid="{00000000-0005-0000-0000-00007A730000}"/>
    <cellStyle name="SAPBEXstdData 2 11 4 3" xfId="19418" xr:uid="{00000000-0005-0000-0000-00007B730000}"/>
    <cellStyle name="SAPBEXstdData 2 11 4 3 2" xfId="19419" xr:uid="{00000000-0005-0000-0000-00007C730000}"/>
    <cellStyle name="SAPBEXstdData 2 11 4 3 3" xfId="33592" xr:uid="{00000000-0005-0000-0000-00007D730000}"/>
    <cellStyle name="SAPBEXstdData 2 11 4 3 4" xfId="33593" xr:uid="{00000000-0005-0000-0000-00007E730000}"/>
    <cellStyle name="SAPBEXstdData 2 11 4 4" xfId="19420" xr:uid="{00000000-0005-0000-0000-00007F730000}"/>
    <cellStyle name="SAPBEXstdData 2 11 4 4 2" xfId="19421" xr:uid="{00000000-0005-0000-0000-000080730000}"/>
    <cellStyle name="SAPBEXstdData 2 11 4 4 3" xfId="33594" xr:uid="{00000000-0005-0000-0000-000081730000}"/>
    <cellStyle name="SAPBEXstdData 2 11 4 4 4" xfId="33595" xr:uid="{00000000-0005-0000-0000-000082730000}"/>
    <cellStyle name="SAPBEXstdData 2 11 4 5" xfId="19422" xr:uid="{00000000-0005-0000-0000-000083730000}"/>
    <cellStyle name="SAPBEXstdData 2 11 4 5 2" xfId="19423" xr:uid="{00000000-0005-0000-0000-000084730000}"/>
    <cellStyle name="SAPBEXstdData 2 11 4 5 3" xfId="33596" xr:uid="{00000000-0005-0000-0000-000085730000}"/>
    <cellStyle name="SAPBEXstdData 2 11 4 5 4" xfId="33597" xr:uid="{00000000-0005-0000-0000-000086730000}"/>
    <cellStyle name="SAPBEXstdData 2 11 4 6" xfId="19424" xr:uid="{00000000-0005-0000-0000-000087730000}"/>
    <cellStyle name="SAPBEXstdData 2 11 4 6 2" xfId="19425" xr:uid="{00000000-0005-0000-0000-000088730000}"/>
    <cellStyle name="SAPBEXstdData 2 11 4 6 3" xfId="33598" xr:uid="{00000000-0005-0000-0000-000089730000}"/>
    <cellStyle name="SAPBEXstdData 2 11 4 6 4" xfId="33599" xr:uid="{00000000-0005-0000-0000-00008A730000}"/>
    <cellStyle name="SAPBEXstdData 2 11 4 7" xfId="19426" xr:uid="{00000000-0005-0000-0000-00008B730000}"/>
    <cellStyle name="SAPBEXstdData 2 11 4 7 2" xfId="19427" xr:uid="{00000000-0005-0000-0000-00008C730000}"/>
    <cellStyle name="SAPBEXstdData 2 11 4 7 3" xfId="33600" xr:uid="{00000000-0005-0000-0000-00008D730000}"/>
    <cellStyle name="SAPBEXstdData 2 11 4 7 4" xfId="33601" xr:uid="{00000000-0005-0000-0000-00008E730000}"/>
    <cellStyle name="SAPBEXstdData 2 11 4 8" xfId="19428" xr:uid="{00000000-0005-0000-0000-00008F730000}"/>
    <cellStyle name="SAPBEXstdData 2 11 4 9" xfId="33602" xr:uid="{00000000-0005-0000-0000-000090730000}"/>
    <cellStyle name="SAPBEXstdData 2 11 5" xfId="19429" xr:uid="{00000000-0005-0000-0000-000091730000}"/>
    <cellStyle name="SAPBEXstdData 2 11 5 10" xfId="33603" xr:uid="{00000000-0005-0000-0000-000092730000}"/>
    <cellStyle name="SAPBEXstdData 2 11 5 2" xfId="19430" xr:uid="{00000000-0005-0000-0000-000093730000}"/>
    <cellStyle name="SAPBEXstdData 2 11 5 2 2" xfId="19431" xr:uid="{00000000-0005-0000-0000-000094730000}"/>
    <cellStyle name="SAPBEXstdData 2 11 5 2 3" xfId="33604" xr:uid="{00000000-0005-0000-0000-000095730000}"/>
    <cellStyle name="SAPBEXstdData 2 11 5 2 4" xfId="33605" xr:uid="{00000000-0005-0000-0000-000096730000}"/>
    <cellStyle name="SAPBEXstdData 2 11 5 3" xfId="19432" xr:uid="{00000000-0005-0000-0000-000097730000}"/>
    <cellStyle name="SAPBEXstdData 2 11 5 3 2" xfId="19433" xr:uid="{00000000-0005-0000-0000-000098730000}"/>
    <cellStyle name="SAPBEXstdData 2 11 5 3 3" xfId="33606" xr:uid="{00000000-0005-0000-0000-000099730000}"/>
    <cellStyle name="SAPBEXstdData 2 11 5 3 4" xfId="33607" xr:uid="{00000000-0005-0000-0000-00009A730000}"/>
    <cellStyle name="SAPBEXstdData 2 11 5 4" xfId="19434" xr:uid="{00000000-0005-0000-0000-00009B730000}"/>
    <cellStyle name="SAPBEXstdData 2 11 5 4 2" xfId="19435" xr:uid="{00000000-0005-0000-0000-00009C730000}"/>
    <cellStyle name="SAPBEXstdData 2 11 5 4 3" xfId="33608" xr:uid="{00000000-0005-0000-0000-00009D730000}"/>
    <cellStyle name="SAPBEXstdData 2 11 5 4 4" xfId="33609" xr:uid="{00000000-0005-0000-0000-00009E730000}"/>
    <cellStyle name="SAPBEXstdData 2 11 5 5" xfId="19436" xr:uid="{00000000-0005-0000-0000-00009F730000}"/>
    <cellStyle name="SAPBEXstdData 2 11 5 5 2" xfId="19437" xr:uid="{00000000-0005-0000-0000-0000A0730000}"/>
    <cellStyle name="SAPBEXstdData 2 11 5 5 3" xfId="33610" xr:uid="{00000000-0005-0000-0000-0000A1730000}"/>
    <cellStyle name="SAPBEXstdData 2 11 5 5 4" xfId="33611" xr:uid="{00000000-0005-0000-0000-0000A2730000}"/>
    <cellStyle name="SAPBEXstdData 2 11 5 6" xfId="19438" xr:uid="{00000000-0005-0000-0000-0000A3730000}"/>
    <cellStyle name="SAPBEXstdData 2 11 5 6 2" xfId="19439" xr:uid="{00000000-0005-0000-0000-0000A4730000}"/>
    <cellStyle name="SAPBEXstdData 2 11 5 6 3" xfId="33612" xr:uid="{00000000-0005-0000-0000-0000A5730000}"/>
    <cellStyle name="SAPBEXstdData 2 11 5 6 4" xfId="33613" xr:uid="{00000000-0005-0000-0000-0000A6730000}"/>
    <cellStyle name="SAPBEXstdData 2 11 5 7" xfId="19440" xr:uid="{00000000-0005-0000-0000-0000A7730000}"/>
    <cellStyle name="SAPBEXstdData 2 11 5 7 2" xfId="19441" xr:uid="{00000000-0005-0000-0000-0000A8730000}"/>
    <cellStyle name="SAPBEXstdData 2 11 5 7 3" xfId="33614" xr:uid="{00000000-0005-0000-0000-0000A9730000}"/>
    <cellStyle name="SAPBEXstdData 2 11 5 7 4" xfId="33615" xr:uid="{00000000-0005-0000-0000-0000AA730000}"/>
    <cellStyle name="SAPBEXstdData 2 11 5 8" xfId="19442" xr:uid="{00000000-0005-0000-0000-0000AB730000}"/>
    <cellStyle name="SAPBEXstdData 2 11 5 9" xfId="33616" xr:uid="{00000000-0005-0000-0000-0000AC730000}"/>
    <cellStyle name="SAPBEXstdData 2 11 6" xfId="19443" xr:uid="{00000000-0005-0000-0000-0000AD730000}"/>
    <cellStyle name="SAPBEXstdData 2 11 6 2" xfId="19444" xr:uid="{00000000-0005-0000-0000-0000AE730000}"/>
    <cellStyle name="SAPBEXstdData 2 11 6 3" xfId="33617" xr:uid="{00000000-0005-0000-0000-0000AF730000}"/>
    <cellStyle name="SAPBEXstdData 2 11 6 4" xfId="33618" xr:uid="{00000000-0005-0000-0000-0000B0730000}"/>
    <cellStyle name="SAPBEXstdData 2 11 7" xfId="19445" xr:uid="{00000000-0005-0000-0000-0000B1730000}"/>
    <cellStyle name="SAPBEXstdData 2 11 7 2" xfId="19446" xr:uid="{00000000-0005-0000-0000-0000B2730000}"/>
    <cellStyle name="SAPBEXstdData 2 11 7 3" xfId="33619" xr:uid="{00000000-0005-0000-0000-0000B3730000}"/>
    <cellStyle name="SAPBEXstdData 2 11 7 4" xfId="33620" xr:uid="{00000000-0005-0000-0000-0000B4730000}"/>
    <cellStyle name="SAPBEXstdData 2 11 8" xfId="19447" xr:uid="{00000000-0005-0000-0000-0000B5730000}"/>
    <cellStyle name="SAPBEXstdData 2 11 8 2" xfId="19448" xr:uid="{00000000-0005-0000-0000-0000B6730000}"/>
    <cellStyle name="SAPBEXstdData 2 11 8 3" xfId="33621" xr:uid="{00000000-0005-0000-0000-0000B7730000}"/>
    <cellStyle name="SAPBEXstdData 2 11 8 4" xfId="33622" xr:uid="{00000000-0005-0000-0000-0000B8730000}"/>
    <cellStyle name="SAPBEXstdData 2 11 9" xfId="19449" xr:uid="{00000000-0005-0000-0000-0000B9730000}"/>
    <cellStyle name="SAPBEXstdData 2 11 9 2" xfId="19450" xr:uid="{00000000-0005-0000-0000-0000BA730000}"/>
    <cellStyle name="SAPBEXstdData 2 11 9 3" xfId="33623" xr:uid="{00000000-0005-0000-0000-0000BB730000}"/>
    <cellStyle name="SAPBEXstdData 2 11 9 4" xfId="33624" xr:uid="{00000000-0005-0000-0000-0000BC730000}"/>
    <cellStyle name="SAPBEXstdData 2 12" xfId="19451" xr:uid="{00000000-0005-0000-0000-0000BD730000}"/>
    <cellStyle name="SAPBEXstdData 2 12 10" xfId="19452" xr:uid="{00000000-0005-0000-0000-0000BE730000}"/>
    <cellStyle name="SAPBEXstdData 2 12 10 2" xfId="19453" xr:uid="{00000000-0005-0000-0000-0000BF730000}"/>
    <cellStyle name="SAPBEXstdData 2 12 10 3" xfId="33625" xr:uid="{00000000-0005-0000-0000-0000C0730000}"/>
    <cellStyle name="SAPBEXstdData 2 12 10 4" xfId="33626" xr:uid="{00000000-0005-0000-0000-0000C1730000}"/>
    <cellStyle name="SAPBEXstdData 2 12 11" xfId="19454" xr:uid="{00000000-0005-0000-0000-0000C2730000}"/>
    <cellStyle name="SAPBEXstdData 2 12 11 2" xfId="19455" xr:uid="{00000000-0005-0000-0000-0000C3730000}"/>
    <cellStyle name="SAPBEXstdData 2 12 11 3" xfId="33627" xr:uid="{00000000-0005-0000-0000-0000C4730000}"/>
    <cellStyle name="SAPBEXstdData 2 12 11 4" xfId="33628" xr:uid="{00000000-0005-0000-0000-0000C5730000}"/>
    <cellStyle name="SAPBEXstdData 2 12 12" xfId="19456" xr:uid="{00000000-0005-0000-0000-0000C6730000}"/>
    <cellStyle name="SAPBEXstdData 2 12 13" xfId="33629" xr:uid="{00000000-0005-0000-0000-0000C7730000}"/>
    <cellStyle name="SAPBEXstdData 2 12 14" xfId="33630" xr:uid="{00000000-0005-0000-0000-0000C8730000}"/>
    <cellStyle name="SAPBEXstdData 2 12 2" xfId="19457" xr:uid="{00000000-0005-0000-0000-0000C9730000}"/>
    <cellStyle name="SAPBEXstdData 2 12 2 10" xfId="33631" xr:uid="{00000000-0005-0000-0000-0000CA730000}"/>
    <cellStyle name="SAPBEXstdData 2 12 2 2" xfId="19458" xr:uid="{00000000-0005-0000-0000-0000CB730000}"/>
    <cellStyle name="SAPBEXstdData 2 12 2 2 2" xfId="19459" xr:uid="{00000000-0005-0000-0000-0000CC730000}"/>
    <cellStyle name="SAPBEXstdData 2 12 2 2 3" xfId="33632" xr:uid="{00000000-0005-0000-0000-0000CD730000}"/>
    <cellStyle name="SAPBEXstdData 2 12 2 2 4" xfId="33633" xr:uid="{00000000-0005-0000-0000-0000CE730000}"/>
    <cellStyle name="SAPBEXstdData 2 12 2 3" xfId="19460" xr:uid="{00000000-0005-0000-0000-0000CF730000}"/>
    <cellStyle name="SAPBEXstdData 2 12 2 3 2" xfId="19461" xr:uid="{00000000-0005-0000-0000-0000D0730000}"/>
    <cellStyle name="SAPBEXstdData 2 12 2 3 3" xfId="33634" xr:uid="{00000000-0005-0000-0000-0000D1730000}"/>
    <cellStyle name="SAPBEXstdData 2 12 2 3 4" xfId="33635" xr:uid="{00000000-0005-0000-0000-0000D2730000}"/>
    <cellStyle name="SAPBEXstdData 2 12 2 4" xfId="19462" xr:uid="{00000000-0005-0000-0000-0000D3730000}"/>
    <cellStyle name="SAPBEXstdData 2 12 2 4 2" xfId="19463" xr:uid="{00000000-0005-0000-0000-0000D4730000}"/>
    <cellStyle name="SAPBEXstdData 2 12 2 4 3" xfId="33636" xr:uid="{00000000-0005-0000-0000-0000D5730000}"/>
    <cellStyle name="SAPBEXstdData 2 12 2 4 4" xfId="33637" xr:uid="{00000000-0005-0000-0000-0000D6730000}"/>
    <cellStyle name="SAPBEXstdData 2 12 2 5" xfId="19464" xr:uid="{00000000-0005-0000-0000-0000D7730000}"/>
    <cellStyle name="SAPBEXstdData 2 12 2 5 2" xfId="19465" xr:uid="{00000000-0005-0000-0000-0000D8730000}"/>
    <cellStyle name="SAPBEXstdData 2 12 2 5 3" xfId="33638" xr:uid="{00000000-0005-0000-0000-0000D9730000}"/>
    <cellStyle name="SAPBEXstdData 2 12 2 5 4" xfId="33639" xr:uid="{00000000-0005-0000-0000-0000DA730000}"/>
    <cellStyle name="SAPBEXstdData 2 12 2 6" xfId="19466" xr:uid="{00000000-0005-0000-0000-0000DB730000}"/>
    <cellStyle name="SAPBEXstdData 2 12 2 6 2" xfId="19467" xr:uid="{00000000-0005-0000-0000-0000DC730000}"/>
    <cellStyle name="SAPBEXstdData 2 12 2 6 3" xfId="33640" xr:uid="{00000000-0005-0000-0000-0000DD730000}"/>
    <cellStyle name="SAPBEXstdData 2 12 2 6 4" xfId="33641" xr:uid="{00000000-0005-0000-0000-0000DE730000}"/>
    <cellStyle name="SAPBEXstdData 2 12 2 7" xfId="19468" xr:uid="{00000000-0005-0000-0000-0000DF730000}"/>
    <cellStyle name="SAPBEXstdData 2 12 2 7 2" xfId="19469" xr:uid="{00000000-0005-0000-0000-0000E0730000}"/>
    <cellStyle name="SAPBEXstdData 2 12 2 7 3" xfId="33642" xr:uid="{00000000-0005-0000-0000-0000E1730000}"/>
    <cellStyle name="SAPBEXstdData 2 12 2 7 4" xfId="33643" xr:uid="{00000000-0005-0000-0000-0000E2730000}"/>
    <cellStyle name="SAPBEXstdData 2 12 2 8" xfId="19470" xr:uid="{00000000-0005-0000-0000-0000E3730000}"/>
    <cellStyle name="SAPBEXstdData 2 12 2 9" xfId="33644" xr:uid="{00000000-0005-0000-0000-0000E4730000}"/>
    <cellStyle name="SAPBEXstdData 2 12 3" xfId="19471" xr:uid="{00000000-0005-0000-0000-0000E5730000}"/>
    <cellStyle name="SAPBEXstdData 2 12 3 10" xfId="33645" xr:uid="{00000000-0005-0000-0000-0000E6730000}"/>
    <cellStyle name="SAPBEXstdData 2 12 3 2" xfId="19472" xr:uid="{00000000-0005-0000-0000-0000E7730000}"/>
    <cellStyle name="SAPBEXstdData 2 12 3 2 2" xfId="19473" xr:uid="{00000000-0005-0000-0000-0000E8730000}"/>
    <cellStyle name="SAPBEXstdData 2 12 3 2 3" xfId="33646" xr:uid="{00000000-0005-0000-0000-0000E9730000}"/>
    <cellStyle name="SAPBEXstdData 2 12 3 2 4" xfId="33647" xr:uid="{00000000-0005-0000-0000-0000EA730000}"/>
    <cellStyle name="SAPBEXstdData 2 12 3 3" xfId="19474" xr:uid="{00000000-0005-0000-0000-0000EB730000}"/>
    <cellStyle name="SAPBEXstdData 2 12 3 3 2" xfId="19475" xr:uid="{00000000-0005-0000-0000-0000EC730000}"/>
    <cellStyle name="SAPBEXstdData 2 12 3 3 3" xfId="33648" xr:uid="{00000000-0005-0000-0000-0000ED730000}"/>
    <cellStyle name="SAPBEXstdData 2 12 3 3 4" xfId="33649" xr:uid="{00000000-0005-0000-0000-0000EE730000}"/>
    <cellStyle name="SAPBEXstdData 2 12 3 4" xfId="19476" xr:uid="{00000000-0005-0000-0000-0000EF730000}"/>
    <cellStyle name="SAPBEXstdData 2 12 3 4 2" xfId="19477" xr:uid="{00000000-0005-0000-0000-0000F0730000}"/>
    <cellStyle name="SAPBEXstdData 2 12 3 4 3" xfId="33650" xr:uid="{00000000-0005-0000-0000-0000F1730000}"/>
    <cellStyle name="SAPBEXstdData 2 12 3 4 4" xfId="33651" xr:uid="{00000000-0005-0000-0000-0000F2730000}"/>
    <cellStyle name="SAPBEXstdData 2 12 3 5" xfId="19478" xr:uid="{00000000-0005-0000-0000-0000F3730000}"/>
    <cellStyle name="SAPBEXstdData 2 12 3 5 2" xfId="19479" xr:uid="{00000000-0005-0000-0000-0000F4730000}"/>
    <cellStyle name="SAPBEXstdData 2 12 3 5 3" xfId="33652" xr:uid="{00000000-0005-0000-0000-0000F5730000}"/>
    <cellStyle name="SAPBEXstdData 2 12 3 5 4" xfId="33653" xr:uid="{00000000-0005-0000-0000-0000F6730000}"/>
    <cellStyle name="SAPBEXstdData 2 12 3 6" xfId="19480" xr:uid="{00000000-0005-0000-0000-0000F7730000}"/>
    <cellStyle name="SAPBEXstdData 2 12 3 6 2" xfId="19481" xr:uid="{00000000-0005-0000-0000-0000F8730000}"/>
    <cellStyle name="SAPBEXstdData 2 12 3 6 3" xfId="33654" xr:uid="{00000000-0005-0000-0000-0000F9730000}"/>
    <cellStyle name="SAPBEXstdData 2 12 3 6 4" xfId="33655" xr:uid="{00000000-0005-0000-0000-0000FA730000}"/>
    <cellStyle name="SAPBEXstdData 2 12 3 7" xfId="19482" xr:uid="{00000000-0005-0000-0000-0000FB730000}"/>
    <cellStyle name="SAPBEXstdData 2 12 3 7 2" xfId="19483" xr:uid="{00000000-0005-0000-0000-0000FC730000}"/>
    <cellStyle name="SAPBEXstdData 2 12 3 7 3" xfId="33656" xr:uid="{00000000-0005-0000-0000-0000FD730000}"/>
    <cellStyle name="SAPBEXstdData 2 12 3 7 4" xfId="33657" xr:uid="{00000000-0005-0000-0000-0000FE730000}"/>
    <cellStyle name="SAPBEXstdData 2 12 3 8" xfId="19484" xr:uid="{00000000-0005-0000-0000-0000FF730000}"/>
    <cellStyle name="SAPBEXstdData 2 12 3 9" xfId="33658" xr:uid="{00000000-0005-0000-0000-000000740000}"/>
    <cellStyle name="SAPBEXstdData 2 12 4" xfId="19485" xr:uid="{00000000-0005-0000-0000-000001740000}"/>
    <cellStyle name="SAPBEXstdData 2 12 4 10" xfId="33659" xr:uid="{00000000-0005-0000-0000-000002740000}"/>
    <cellStyle name="SAPBEXstdData 2 12 4 2" xfId="19486" xr:uid="{00000000-0005-0000-0000-000003740000}"/>
    <cellStyle name="SAPBEXstdData 2 12 4 2 2" xfId="19487" xr:uid="{00000000-0005-0000-0000-000004740000}"/>
    <cellStyle name="SAPBEXstdData 2 12 4 2 3" xfId="33660" xr:uid="{00000000-0005-0000-0000-000005740000}"/>
    <cellStyle name="SAPBEXstdData 2 12 4 2 4" xfId="33661" xr:uid="{00000000-0005-0000-0000-000006740000}"/>
    <cellStyle name="SAPBEXstdData 2 12 4 3" xfId="19488" xr:uid="{00000000-0005-0000-0000-000007740000}"/>
    <cellStyle name="SAPBEXstdData 2 12 4 3 2" xfId="19489" xr:uid="{00000000-0005-0000-0000-000008740000}"/>
    <cellStyle name="SAPBEXstdData 2 12 4 3 3" xfId="33662" xr:uid="{00000000-0005-0000-0000-000009740000}"/>
    <cellStyle name="SAPBEXstdData 2 12 4 3 4" xfId="33663" xr:uid="{00000000-0005-0000-0000-00000A740000}"/>
    <cellStyle name="SAPBEXstdData 2 12 4 4" xfId="19490" xr:uid="{00000000-0005-0000-0000-00000B740000}"/>
    <cellStyle name="SAPBEXstdData 2 12 4 4 2" xfId="19491" xr:uid="{00000000-0005-0000-0000-00000C740000}"/>
    <cellStyle name="SAPBEXstdData 2 12 4 4 3" xfId="33664" xr:uid="{00000000-0005-0000-0000-00000D740000}"/>
    <cellStyle name="SAPBEXstdData 2 12 4 4 4" xfId="33665" xr:uid="{00000000-0005-0000-0000-00000E740000}"/>
    <cellStyle name="SAPBEXstdData 2 12 4 5" xfId="19492" xr:uid="{00000000-0005-0000-0000-00000F740000}"/>
    <cellStyle name="SAPBEXstdData 2 12 4 5 2" xfId="19493" xr:uid="{00000000-0005-0000-0000-000010740000}"/>
    <cellStyle name="SAPBEXstdData 2 12 4 5 3" xfId="33666" xr:uid="{00000000-0005-0000-0000-000011740000}"/>
    <cellStyle name="SAPBEXstdData 2 12 4 5 4" xfId="33667" xr:uid="{00000000-0005-0000-0000-000012740000}"/>
    <cellStyle name="SAPBEXstdData 2 12 4 6" xfId="19494" xr:uid="{00000000-0005-0000-0000-000013740000}"/>
    <cellStyle name="SAPBEXstdData 2 12 4 6 2" xfId="19495" xr:uid="{00000000-0005-0000-0000-000014740000}"/>
    <cellStyle name="SAPBEXstdData 2 12 4 6 3" xfId="33668" xr:uid="{00000000-0005-0000-0000-000015740000}"/>
    <cellStyle name="SAPBEXstdData 2 12 4 6 4" xfId="33669" xr:uid="{00000000-0005-0000-0000-000016740000}"/>
    <cellStyle name="SAPBEXstdData 2 12 4 7" xfId="19496" xr:uid="{00000000-0005-0000-0000-000017740000}"/>
    <cellStyle name="SAPBEXstdData 2 12 4 7 2" xfId="19497" xr:uid="{00000000-0005-0000-0000-000018740000}"/>
    <cellStyle name="SAPBEXstdData 2 12 4 7 3" xfId="33670" xr:uid="{00000000-0005-0000-0000-000019740000}"/>
    <cellStyle name="SAPBEXstdData 2 12 4 7 4" xfId="33671" xr:uid="{00000000-0005-0000-0000-00001A740000}"/>
    <cellStyle name="SAPBEXstdData 2 12 4 8" xfId="19498" xr:uid="{00000000-0005-0000-0000-00001B740000}"/>
    <cellStyle name="SAPBEXstdData 2 12 4 9" xfId="33672" xr:uid="{00000000-0005-0000-0000-00001C740000}"/>
    <cellStyle name="SAPBEXstdData 2 12 5" xfId="19499" xr:uid="{00000000-0005-0000-0000-00001D740000}"/>
    <cellStyle name="SAPBEXstdData 2 12 5 10" xfId="33673" xr:uid="{00000000-0005-0000-0000-00001E740000}"/>
    <cellStyle name="SAPBEXstdData 2 12 5 2" xfId="19500" xr:uid="{00000000-0005-0000-0000-00001F740000}"/>
    <cellStyle name="SAPBEXstdData 2 12 5 2 2" xfId="19501" xr:uid="{00000000-0005-0000-0000-000020740000}"/>
    <cellStyle name="SAPBEXstdData 2 12 5 2 3" xfId="33674" xr:uid="{00000000-0005-0000-0000-000021740000}"/>
    <cellStyle name="SAPBEXstdData 2 12 5 2 4" xfId="33675" xr:uid="{00000000-0005-0000-0000-000022740000}"/>
    <cellStyle name="SAPBEXstdData 2 12 5 3" xfId="19502" xr:uid="{00000000-0005-0000-0000-000023740000}"/>
    <cellStyle name="SAPBEXstdData 2 12 5 3 2" xfId="19503" xr:uid="{00000000-0005-0000-0000-000024740000}"/>
    <cellStyle name="SAPBEXstdData 2 12 5 3 3" xfId="33676" xr:uid="{00000000-0005-0000-0000-000025740000}"/>
    <cellStyle name="SAPBEXstdData 2 12 5 3 4" xfId="33677" xr:uid="{00000000-0005-0000-0000-000026740000}"/>
    <cellStyle name="SAPBEXstdData 2 12 5 4" xfId="19504" xr:uid="{00000000-0005-0000-0000-000027740000}"/>
    <cellStyle name="SAPBEXstdData 2 12 5 4 2" xfId="19505" xr:uid="{00000000-0005-0000-0000-000028740000}"/>
    <cellStyle name="SAPBEXstdData 2 12 5 4 3" xfId="33678" xr:uid="{00000000-0005-0000-0000-000029740000}"/>
    <cellStyle name="SAPBEXstdData 2 12 5 4 4" xfId="33679" xr:uid="{00000000-0005-0000-0000-00002A740000}"/>
    <cellStyle name="SAPBEXstdData 2 12 5 5" xfId="19506" xr:uid="{00000000-0005-0000-0000-00002B740000}"/>
    <cellStyle name="SAPBEXstdData 2 12 5 5 2" xfId="19507" xr:uid="{00000000-0005-0000-0000-00002C740000}"/>
    <cellStyle name="SAPBEXstdData 2 12 5 5 3" xfId="33680" xr:uid="{00000000-0005-0000-0000-00002D740000}"/>
    <cellStyle name="SAPBEXstdData 2 12 5 5 4" xfId="33681" xr:uid="{00000000-0005-0000-0000-00002E740000}"/>
    <cellStyle name="SAPBEXstdData 2 12 5 6" xfId="19508" xr:uid="{00000000-0005-0000-0000-00002F740000}"/>
    <cellStyle name="SAPBEXstdData 2 12 5 6 2" xfId="19509" xr:uid="{00000000-0005-0000-0000-000030740000}"/>
    <cellStyle name="SAPBEXstdData 2 12 5 6 3" xfId="33682" xr:uid="{00000000-0005-0000-0000-000031740000}"/>
    <cellStyle name="SAPBEXstdData 2 12 5 6 4" xfId="33683" xr:uid="{00000000-0005-0000-0000-000032740000}"/>
    <cellStyle name="SAPBEXstdData 2 12 5 7" xfId="19510" xr:uid="{00000000-0005-0000-0000-000033740000}"/>
    <cellStyle name="SAPBEXstdData 2 12 5 7 2" xfId="19511" xr:uid="{00000000-0005-0000-0000-000034740000}"/>
    <cellStyle name="SAPBEXstdData 2 12 5 7 3" xfId="33684" xr:uid="{00000000-0005-0000-0000-000035740000}"/>
    <cellStyle name="SAPBEXstdData 2 12 5 7 4" xfId="33685" xr:uid="{00000000-0005-0000-0000-000036740000}"/>
    <cellStyle name="SAPBEXstdData 2 12 5 8" xfId="19512" xr:uid="{00000000-0005-0000-0000-000037740000}"/>
    <cellStyle name="SAPBEXstdData 2 12 5 9" xfId="33686" xr:uid="{00000000-0005-0000-0000-000038740000}"/>
    <cellStyle name="SAPBEXstdData 2 12 6" xfId="19513" xr:uid="{00000000-0005-0000-0000-000039740000}"/>
    <cellStyle name="SAPBEXstdData 2 12 6 2" xfId="19514" xr:uid="{00000000-0005-0000-0000-00003A740000}"/>
    <cellStyle name="SAPBEXstdData 2 12 6 3" xfId="33687" xr:uid="{00000000-0005-0000-0000-00003B740000}"/>
    <cellStyle name="SAPBEXstdData 2 12 6 4" xfId="33688" xr:uid="{00000000-0005-0000-0000-00003C740000}"/>
    <cellStyle name="SAPBEXstdData 2 12 7" xfId="19515" xr:uid="{00000000-0005-0000-0000-00003D740000}"/>
    <cellStyle name="SAPBEXstdData 2 12 7 2" xfId="19516" xr:uid="{00000000-0005-0000-0000-00003E740000}"/>
    <cellStyle name="SAPBEXstdData 2 12 7 3" xfId="33689" xr:uid="{00000000-0005-0000-0000-00003F740000}"/>
    <cellStyle name="SAPBEXstdData 2 12 7 4" xfId="33690" xr:uid="{00000000-0005-0000-0000-000040740000}"/>
    <cellStyle name="SAPBEXstdData 2 12 8" xfId="19517" xr:uid="{00000000-0005-0000-0000-000041740000}"/>
    <cellStyle name="SAPBEXstdData 2 12 8 2" xfId="19518" xr:uid="{00000000-0005-0000-0000-000042740000}"/>
    <cellStyle name="SAPBEXstdData 2 12 8 3" xfId="33691" xr:uid="{00000000-0005-0000-0000-000043740000}"/>
    <cellStyle name="SAPBEXstdData 2 12 8 4" xfId="33692" xr:uid="{00000000-0005-0000-0000-000044740000}"/>
    <cellStyle name="SAPBEXstdData 2 12 9" xfId="19519" xr:uid="{00000000-0005-0000-0000-000045740000}"/>
    <cellStyle name="SAPBEXstdData 2 12 9 2" xfId="19520" xr:uid="{00000000-0005-0000-0000-000046740000}"/>
    <cellStyle name="SAPBEXstdData 2 12 9 3" xfId="33693" xr:uid="{00000000-0005-0000-0000-000047740000}"/>
    <cellStyle name="SAPBEXstdData 2 12 9 4" xfId="33694" xr:uid="{00000000-0005-0000-0000-000048740000}"/>
    <cellStyle name="SAPBEXstdData 2 13" xfId="19521" xr:uid="{00000000-0005-0000-0000-000049740000}"/>
    <cellStyle name="SAPBEXstdData 2 13 10" xfId="33695" xr:uid="{00000000-0005-0000-0000-00004A740000}"/>
    <cellStyle name="SAPBEXstdData 2 13 2" xfId="19522" xr:uid="{00000000-0005-0000-0000-00004B740000}"/>
    <cellStyle name="SAPBEXstdData 2 13 2 2" xfId="19523" xr:uid="{00000000-0005-0000-0000-00004C740000}"/>
    <cellStyle name="SAPBEXstdData 2 13 2 3" xfId="33696" xr:uid="{00000000-0005-0000-0000-00004D740000}"/>
    <cellStyle name="SAPBEXstdData 2 13 2 4" xfId="33697" xr:uid="{00000000-0005-0000-0000-00004E740000}"/>
    <cellStyle name="SAPBEXstdData 2 13 3" xfId="19524" xr:uid="{00000000-0005-0000-0000-00004F740000}"/>
    <cellStyle name="SAPBEXstdData 2 13 3 2" xfId="19525" xr:uid="{00000000-0005-0000-0000-000050740000}"/>
    <cellStyle name="SAPBEXstdData 2 13 3 3" xfId="33698" xr:uid="{00000000-0005-0000-0000-000051740000}"/>
    <cellStyle name="SAPBEXstdData 2 13 3 4" xfId="33699" xr:uid="{00000000-0005-0000-0000-000052740000}"/>
    <cellStyle name="SAPBEXstdData 2 13 4" xfId="19526" xr:uid="{00000000-0005-0000-0000-000053740000}"/>
    <cellStyle name="SAPBEXstdData 2 13 4 2" xfId="19527" xr:uid="{00000000-0005-0000-0000-000054740000}"/>
    <cellStyle name="SAPBEXstdData 2 13 4 3" xfId="33700" xr:uid="{00000000-0005-0000-0000-000055740000}"/>
    <cellStyle name="SAPBEXstdData 2 13 4 4" xfId="33701" xr:uid="{00000000-0005-0000-0000-000056740000}"/>
    <cellStyle name="SAPBEXstdData 2 13 5" xfId="19528" xr:uid="{00000000-0005-0000-0000-000057740000}"/>
    <cellStyle name="SAPBEXstdData 2 13 5 2" xfId="19529" xr:uid="{00000000-0005-0000-0000-000058740000}"/>
    <cellStyle name="SAPBEXstdData 2 13 5 3" xfId="33702" xr:uid="{00000000-0005-0000-0000-000059740000}"/>
    <cellStyle name="SAPBEXstdData 2 13 5 4" xfId="33703" xr:uid="{00000000-0005-0000-0000-00005A740000}"/>
    <cellStyle name="SAPBEXstdData 2 13 6" xfId="19530" xr:uid="{00000000-0005-0000-0000-00005B740000}"/>
    <cellStyle name="SAPBEXstdData 2 13 6 2" xfId="19531" xr:uid="{00000000-0005-0000-0000-00005C740000}"/>
    <cellStyle name="SAPBEXstdData 2 13 6 3" xfId="33704" xr:uid="{00000000-0005-0000-0000-00005D740000}"/>
    <cellStyle name="SAPBEXstdData 2 13 6 4" xfId="33705" xr:uid="{00000000-0005-0000-0000-00005E740000}"/>
    <cellStyle name="SAPBEXstdData 2 13 7" xfId="19532" xr:uid="{00000000-0005-0000-0000-00005F740000}"/>
    <cellStyle name="SAPBEXstdData 2 13 7 2" xfId="19533" xr:uid="{00000000-0005-0000-0000-000060740000}"/>
    <cellStyle name="SAPBEXstdData 2 13 7 3" xfId="33706" xr:uid="{00000000-0005-0000-0000-000061740000}"/>
    <cellStyle name="SAPBEXstdData 2 13 7 4" xfId="33707" xr:uid="{00000000-0005-0000-0000-000062740000}"/>
    <cellStyle name="SAPBEXstdData 2 13 8" xfId="19534" xr:uid="{00000000-0005-0000-0000-000063740000}"/>
    <cellStyle name="SAPBEXstdData 2 13 9" xfId="33708" xr:uid="{00000000-0005-0000-0000-000064740000}"/>
    <cellStyle name="SAPBEXstdData 2 14" xfId="19535" xr:uid="{00000000-0005-0000-0000-000065740000}"/>
    <cellStyle name="SAPBEXstdData 2 14 10" xfId="33709" xr:uid="{00000000-0005-0000-0000-000066740000}"/>
    <cellStyle name="SAPBEXstdData 2 14 2" xfId="19536" xr:uid="{00000000-0005-0000-0000-000067740000}"/>
    <cellStyle name="SAPBEXstdData 2 14 2 2" xfId="19537" xr:uid="{00000000-0005-0000-0000-000068740000}"/>
    <cellStyle name="SAPBEXstdData 2 14 2 3" xfId="33710" xr:uid="{00000000-0005-0000-0000-000069740000}"/>
    <cellStyle name="SAPBEXstdData 2 14 2 4" xfId="33711" xr:uid="{00000000-0005-0000-0000-00006A740000}"/>
    <cellStyle name="SAPBEXstdData 2 14 3" xfId="19538" xr:uid="{00000000-0005-0000-0000-00006B740000}"/>
    <cellStyle name="SAPBEXstdData 2 14 3 2" xfId="19539" xr:uid="{00000000-0005-0000-0000-00006C740000}"/>
    <cellStyle name="SAPBEXstdData 2 14 3 3" xfId="33712" xr:uid="{00000000-0005-0000-0000-00006D740000}"/>
    <cellStyle name="SAPBEXstdData 2 14 3 4" xfId="33713" xr:uid="{00000000-0005-0000-0000-00006E740000}"/>
    <cellStyle name="SAPBEXstdData 2 14 4" xfId="19540" xr:uid="{00000000-0005-0000-0000-00006F740000}"/>
    <cellStyle name="SAPBEXstdData 2 14 4 2" xfId="19541" xr:uid="{00000000-0005-0000-0000-000070740000}"/>
    <cellStyle name="SAPBEXstdData 2 14 4 3" xfId="33714" xr:uid="{00000000-0005-0000-0000-000071740000}"/>
    <cellStyle name="SAPBEXstdData 2 14 4 4" xfId="33715" xr:uid="{00000000-0005-0000-0000-000072740000}"/>
    <cellStyle name="SAPBEXstdData 2 14 5" xfId="19542" xr:uid="{00000000-0005-0000-0000-000073740000}"/>
    <cellStyle name="SAPBEXstdData 2 14 5 2" xfId="19543" xr:uid="{00000000-0005-0000-0000-000074740000}"/>
    <cellStyle name="SAPBEXstdData 2 14 5 3" xfId="33716" xr:uid="{00000000-0005-0000-0000-000075740000}"/>
    <cellStyle name="SAPBEXstdData 2 14 5 4" xfId="33717" xr:uid="{00000000-0005-0000-0000-000076740000}"/>
    <cellStyle name="SAPBEXstdData 2 14 6" xfId="19544" xr:uid="{00000000-0005-0000-0000-000077740000}"/>
    <cellStyle name="SAPBEXstdData 2 14 6 2" xfId="19545" xr:uid="{00000000-0005-0000-0000-000078740000}"/>
    <cellStyle name="SAPBEXstdData 2 14 6 3" xfId="33718" xr:uid="{00000000-0005-0000-0000-000079740000}"/>
    <cellStyle name="SAPBEXstdData 2 14 6 4" xfId="33719" xr:uid="{00000000-0005-0000-0000-00007A740000}"/>
    <cellStyle name="SAPBEXstdData 2 14 7" xfId="19546" xr:uid="{00000000-0005-0000-0000-00007B740000}"/>
    <cellStyle name="SAPBEXstdData 2 14 7 2" xfId="19547" xr:uid="{00000000-0005-0000-0000-00007C740000}"/>
    <cellStyle name="SAPBEXstdData 2 14 7 3" xfId="33720" xr:uid="{00000000-0005-0000-0000-00007D740000}"/>
    <cellStyle name="SAPBEXstdData 2 14 7 4" xfId="33721" xr:uid="{00000000-0005-0000-0000-00007E740000}"/>
    <cellStyle name="SAPBEXstdData 2 14 8" xfId="19548" xr:uid="{00000000-0005-0000-0000-00007F740000}"/>
    <cellStyle name="SAPBEXstdData 2 14 9" xfId="33722" xr:uid="{00000000-0005-0000-0000-000080740000}"/>
    <cellStyle name="SAPBEXstdData 2 15" xfId="19549" xr:uid="{00000000-0005-0000-0000-000081740000}"/>
    <cellStyle name="SAPBEXstdData 2 15 10" xfId="33723" xr:uid="{00000000-0005-0000-0000-000082740000}"/>
    <cellStyle name="SAPBEXstdData 2 15 2" xfId="19550" xr:uid="{00000000-0005-0000-0000-000083740000}"/>
    <cellStyle name="SAPBEXstdData 2 15 2 2" xfId="19551" xr:uid="{00000000-0005-0000-0000-000084740000}"/>
    <cellStyle name="SAPBEXstdData 2 15 2 3" xfId="33724" xr:uid="{00000000-0005-0000-0000-000085740000}"/>
    <cellStyle name="SAPBEXstdData 2 15 2 4" xfId="33725" xr:uid="{00000000-0005-0000-0000-000086740000}"/>
    <cellStyle name="SAPBEXstdData 2 15 3" xfId="19552" xr:uid="{00000000-0005-0000-0000-000087740000}"/>
    <cellStyle name="SAPBEXstdData 2 15 3 2" xfId="19553" xr:uid="{00000000-0005-0000-0000-000088740000}"/>
    <cellStyle name="SAPBEXstdData 2 15 3 3" xfId="33726" xr:uid="{00000000-0005-0000-0000-000089740000}"/>
    <cellStyle name="SAPBEXstdData 2 15 3 4" xfId="33727" xr:uid="{00000000-0005-0000-0000-00008A740000}"/>
    <cellStyle name="SAPBEXstdData 2 15 4" xfId="19554" xr:uid="{00000000-0005-0000-0000-00008B740000}"/>
    <cellStyle name="SAPBEXstdData 2 15 4 2" xfId="19555" xr:uid="{00000000-0005-0000-0000-00008C740000}"/>
    <cellStyle name="SAPBEXstdData 2 15 4 3" xfId="33728" xr:uid="{00000000-0005-0000-0000-00008D740000}"/>
    <cellStyle name="SAPBEXstdData 2 15 4 4" xfId="33729" xr:uid="{00000000-0005-0000-0000-00008E740000}"/>
    <cellStyle name="SAPBEXstdData 2 15 5" xfId="19556" xr:uid="{00000000-0005-0000-0000-00008F740000}"/>
    <cellStyle name="SAPBEXstdData 2 15 5 2" xfId="19557" xr:uid="{00000000-0005-0000-0000-000090740000}"/>
    <cellStyle name="SAPBEXstdData 2 15 5 3" xfId="33730" xr:uid="{00000000-0005-0000-0000-000091740000}"/>
    <cellStyle name="SAPBEXstdData 2 15 5 4" xfId="33731" xr:uid="{00000000-0005-0000-0000-000092740000}"/>
    <cellStyle name="SAPBEXstdData 2 15 6" xfId="19558" xr:uid="{00000000-0005-0000-0000-000093740000}"/>
    <cellStyle name="SAPBEXstdData 2 15 6 2" xfId="19559" xr:uid="{00000000-0005-0000-0000-000094740000}"/>
    <cellStyle name="SAPBEXstdData 2 15 6 3" xfId="33732" xr:uid="{00000000-0005-0000-0000-000095740000}"/>
    <cellStyle name="SAPBEXstdData 2 15 6 4" xfId="33733" xr:uid="{00000000-0005-0000-0000-000096740000}"/>
    <cellStyle name="SAPBEXstdData 2 15 7" xfId="19560" xr:uid="{00000000-0005-0000-0000-000097740000}"/>
    <cellStyle name="SAPBEXstdData 2 15 7 2" xfId="19561" xr:uid="{00000000-0005-0000-0000-000098740000}"/>
    <cellStyle name="SAPBEXstdData 2 15 7 3" xfId="33734" xr:uid="{00000000-0005-0000-0000-000099740000}"/>
    <cellStyle name="SAPBEXstdData 2 15 7 4" xfId="33735" xr:uid="{00000000-0005-0000-0000-00009A740000}"/>
    <cellStyle name="SAPBEXstdData 2 15 8" xfId="19562" xr:uid="{00000000-0005-0000-0000-00009B740000}"/>
    <cellStyle name="SAPBEXstdData 2 15 9" xfId="33736" xr:uid="{00000000-0005-0000-0000-00009C740000}"/>
    <cellStyle name="SAPBEXstdData 2 16" xfId="19563" xr:uid="{00000000-0005-0000-0000-00009D740000}"/>
    <cellStyle name="SAPBEXstdData 2 16 10" xfId="33737" xr:uid="{00000000-0005-0000-0000-00009E740000}"/>
    <cellStyle name="SAPBEXstdData 2 16 2" xfId="19564" xr:uid="{00000000-0005-0000-0000-00009F740000}"/>
    <cellStyle name="SAPBEXstdData 2 16 2 2" xfId="19565" xr:uid="{00000000-0005-0000-0000-0000A0740000}"/>
    <cellStyle name="SAPBEXstdData 2 16 2 3" xfId="33738" xr:uid="{00000000-0005-0000-0000-0000A1740000}"/>
    <cellStyle name="SAPBEXstdData 2 16 2 4" xfId="33739" xr:uid="{00000000-0005-0000-0000-0000A2740000}"/>
    <cellStyle name="SAPBEXstdData 2 16 3" xfId="19566" xr:uid="{00000000-0005-0000-0000-0000A3740000}"/>
    <cellStyle name="SAPBEXstdData 2 16 3 2" xfId="19567" xr:uid="{00000000-0005-0000-0000-0000A4740000}"/>
    <cellStyle name="SAPBEXstdData 2 16 3 3" xfId="33740" xr:uid="{00000000-0005-0000-0000-0000A5740000}"/>
    <cellStyle name="SAPBEXstdData 2 16 3 4" xfId="33741" xr:uid="{00000000-0005-0000-0000-0000A6740000}"/>
    <cellStyle name="SAPBEXstdData 2 16 4" xfId="19568" xr:uid="{00000000-0005-0000-0000-0000A7740000}"/>
    <cellStyle name="SAPBEXstdData 2 16 4 2" xfId="19569" xr:uid="{00000000-0005-0000-0000-0000A8740000}"/>
    <cellStyle name="SAPBEXstdData 2 16 4 3" xfId="33742" xr:uid="{00000000-0005-0000-0000-0000A9740000}"/>
    <cellStyle name="SAPBEXstdData 2 16 4 4" xfId="33743" xr:uid="{00000000-0005-0000-0000-0000AA740000}"/>
    <cellStyle name="SAPBEXstdData 2 16 5" xfId="19570" xr:uid="{00000000-0005-0000-0000-0000AB740000}"/>
    <cellStyle name="SAPBEXstdData 2 16 5 2" xfId="19571" xr:uid="{00000000-0005-0000-0000-0000AC740000}"/>
    <cellStyle name="SAPBEXstdData 2 16 5 3" xfId="33744" xr:uid="{00000000-0005-0000-0000-0000AD740000}"/>
    <cellStyle name="SAPBEXstdData 2 16 5 4" xfId="33745" xr:uid="{00000000-0005-0000-0000-0000AE740000}"/>
    <cellStyle name="SAPBEXstdData 2 16 6" xfId="19572" xr:uid="{00000000-0005-0000-0000-0000AF740000}"/>
    <cellStyle name="SAPBEXstdData 2 16 6 2" xfId="19573" xr:uid="{00000000-0005-0000-0000-0000B0740000}"/>
    <cellStyle name="SAPBEXstdData 2 16 6 3" xfId="33746" xr:uid="{00000000-0005-0000-0000-0000B1740000}"/>
    <cellStyle name="SAPBEXstdData 2 16 6 4" xfId="33747" xr:uid="{00000000-0005-0000-0000-0000B2740000}"/>
    <cellStyle name="SAPBEXstdData 2 16 7" xfId="19574" xr:uid="{00000000-0005-0000-0000-0000B3740000}"/>
    <cellStyle name="SAPBEXstdData 2 16 7 2" xfId="19575" xr:uid="{00000000-0005-0000-0000-0000B4740000}"/>
    <cellStyle name="SAPBEXstdData 2 16 7 3" xfId="33748" xr:uid="{00000000-0005-0000-0000-0000B5740000}"/>
    <cellStyle name="SAPBEXstdData 2 16 7 4" xfId="33749" xr:uid="{00000000-0005-0000-0000-0000B6740000}"/>
    <cellStyle name="SAPBEXstdData 2 16 8" xfId="19576" xr:uid="{00000000-0005-0000-0000-0000B7740000}"/>
    <cellStyle name="SAPBEXstdData 2 16 9" xfId="33750" xr:uid="{00000000-0005-0000-0000-0000B8740000}"/>
    <cellStyle name="SAPBEXstdData 2 17" xfId="19577" xr:uid="{00000000-0005-0000-0000-0000B9740000}"/>
    <cellStyle name="SAPBEXstdData 2 17 2" xfId="19578" xr:uid="{00000000-0005-0000-0000-0000BA740000}"/>
    <cellStyle name="SAPBEXstdData 2 17 3" xfId="33751" xr:uid="{00000000-0005-0000-0000-0000BB740000}"/>
    <cellStyle name="SAPBEXstdData 2 17 4" xfId="33752" xr:uid="{00000000-0005-0000-0000-0000BC740000}"/>
    <cellStyle name="SAPBEXstdData 2 18" xfId="19579" xr:uid="{00000000-0005-0000-0000-0000BD740000}"/>
    <cellStyle name="SAPBEXstdData 2 18 2" xfId="19580" xr:uid="{00000000-0005-0000-0000-0000BE740000}"/>
    <cellStyle name="SAPBEXstdData 2 18 3" xfId="33753" xr:uid="{00000000-0005-0000-0000-0000BF740000}"/>
    <cellStyle name="SAPBEXstdData 2 18 4" xfId="33754" xr:uid="{00000000-0005-0000-0000-0000C0740000}"/>
    <cellStyle name="SAPBEXstdData 2 19" xfId="19581" xr:uid="{00000000-0005-0000-0000-0000C1740000}"/>
    <cellStyle name="SAPBEXstdData 2 19 2" xfId="19582" xr:uid="{00000000-0005-0000-0000-0000C2740000}"/>
    <cellStyle name="SAPBEXstdData 2 19 3" xfId="33755" xr:uid="{00000000-0005-0000-0000-0000C3740000}"/>
    <cellStyle name="SAPBEXstdData 2 19 4" xfId="33756" xr:uid="{00000000-0005-0000-0000-0000C4740000}"/>
    <cellStyle name="SAPBEXstdData 2 2" xfId="19583" xr:uid="{00000000-0005-0000-0000-0000C5740000}"/>
    <cellStyle name="SAPBEXstdData 2 2 10" xfId="19584" xr:uid="{00000000-0005-0000-0000-0000C6740000}"/>
    <cellStyle name="SAPBEXstdData 2 2 10 2" xfId="19585" xr:uid="{00000000-0005-0000-0000-0000C7740000}"/>
    <cellStyle name="SAPBEXstdData 2 2 10 3" xfId="33757" xr:uid="{00000000-0005-0000-0000-0000C8740000}"/>
    <cellStyle name="SAPBEXstdData 2 2 10 4" xfId="33758" xr:uid="{00000000-0005-0000-0000-0000C9740000}"/>
    <cellStyle name="SAPBEXstdData 2 2 11" xfId="19586" xr:uid="{00000000-0005-0000-0000-0000CA740000}"/>
    <cellStyle name="SAPBEXstdData 2 2 11 2" xfId="19587" xr:uid="{00000000-0005-0000-0000-0000CB740000}"/>
    <cellStyle name="SAPBEXstdData 2 2 11 3" xfId="33759" xr:uid="{00000000-0005-0000-0000-0000CC740000}"/>
    <cellStyle name="SAPBEXstdData 2 2 11 4" xfId="33760" xr:uid="{00000000-0005-0000-0000-0000CD740000}"/>
    <cellStyle name="SAPBEXstdData 2 2 12" xfId="19588" xr:uid="{00000000-0005-0000-0000-0000CE740000}"/>
    <cellStyle name="SAPBEXstdData 2 2 13" xfId="33761" xr:uid="{00000000-0005-0000-0000-0000CF740000}"/>
    <cellStyle name="SAPBEXstdData 2 2 14" xfId="33762" xr:uid="{00000000-0005-0000-0000-0000D0740000}"/>
    <cellStyle name="SAPBEXstdData 2 2 2" xfId="19589" xr:uid="{00000000-0005-0000-0000-0000D1740000}"/>
    <cellStyle name="SAPBEXstdData 2 2 2 10" xfId="33763" xr:uid="{00000000-0005-0000-0000-0000D2740000}"/>
    <cellStyle name="SAPBEXstdData 2 2 2 2" xfId="19590" xr:uid="{00000000-0005-0000-0000-0000D3740000}"/>
    <cellStyle name="SAPBEXstdData 2 2 2 2 2" xfId="19591" xr:uid="{00000000-0005-0000-0000-0000D4740000}"/>
    <cellStyle name="SAPBEXstdData 2 2 2 2 3" xfId="33764" xr:uid="{00000000-0005-0000-0000-0000D5740000}"/>
    <cellStyle name="SAPBEXstdData 2 2 2 2 4" xfId="33765" xr:uid="{00000000-0005-0000-0000-0000D6740000}"/>
    <cellStyle name="SAPBEXstdData 2 2 2 3" xfId="19592" xr:uid="{00000000-0005-0000-0000-0000D7740000}"/>
    <cellStyle name="SAPBEXstdData 2 2 2 3 2" xfId="19593" xr:uid="{00000000-0005-0000-0000-0000D8740000}"/>
    <cellStyle name="SAPBEXstdData 2 2 2 3 3" xfId="33766" xr:uid="{00000000-0005-0000-0000-0000D9740000}"/>
    <cellStyle name="SAPBEXstdData 2 2 2 3 4" xfId="33767" xr:uid="{00000000-0005-0000-0000-0000DA740000}"/>
    <cellStyle name="SAPBEXstdData 2 2 2 4" xfId="19594" xr:uid="{00000000-0005-0000-0000-0000DB740000}"/>
    <cellStyle name="SAPBEXstdData 2 2 2 4 2" xfId="19595" xr:uid="{00000000-0005-0000-0000-0000DC740000}"/>
    <cellStyle name="SAPBEXstdData 2 2 2 4 3" xfId="33768" xr:uid="{00000000-0005-0000-0000-0000DD740000}"/>
    <cellStyle name="SAPBEXstdData 2 2 2 4 4" xfId="33769" xr:uid="{00000000-0005-0000-0000-0000DE740000}"/>
    <cellStyle name="SAPBEXstdData 2 2 2 5" xfId="19596" xr:uid="{00000000-0005-0000-0000-0000DF740000}"/>
    <cellStyle name="SAPBEXstdData 2 2 2 5 2" xfId="19597" xr:uid="{00000000-0005-0000-0000-0000E0740000}"/>
    <cellStyle name="SAPBEXstdData 2 2 2 5 3" xfId="33770" xr:uid="{00000000-0005-0000-0000-0000E1740000}"/>
    <cellStyle name="SAPBEXstdData 2 2 2 5 4" xfId="33771" xr:uid="{00000000-0005-0000-0000-0000E2740000}"/>
    <cellStyle name="SAPBEXstdData 2 2 2 6" xfId="19598" xr:uid="{00000000-0005-0000-0000-0000E3740000}"/>
    <cellStyle name="SAPBEXstdData 2 2 2 6 2" xfId="19599" xr:uid="{00000000-0005-0000-0000-0000E4740000}"/>
    <cellStyle name="SAPBEXstdData 2 2 2 6 3" xfId="33772" xr:uid="{00000000-0005-0000-0000-0000E5740000}"/>
    <cellStyle name="SAPBEXstdData 2 2 2 6 4" xfId="33773" xr:uid="{00000000-0005-0000-0000-0000E6740000}"/>
    <cellStyle name="SAPBEXstdData 2 2 2 7" xfId="19600" xr:uid="{00000000-0005-0000-0000-0000E7740000}"/>
    <cellStyle name="SAPBEXstdData 2 2 2 7 2" xfId="19601" xr:uid="{00000000-0005-0000-0000-0000E8740000}"/>
    <cellStyle name="SAPBEXstdData 2 2 2 7 3" xfId="33774" xr:uid="{00000000-0005-0000-0000-0000E9740000}"/>
    <cellStyle name="SAPBEXstdData 2 2 2 7 4" xfId="33775" xr:uid="{00000000-0005-0000-0000-0000EA740000}"/>
    <cellStyle name="SAPBEXstdData 2 2 2 8" xfId="19602" xr:uid="{00000000-0005-0000-0000-0000EB740000}"/>
    <cellStyle name="SAPBEXstdData 2 2 2 9" xfId="33776" xr:uid="{00000000-0005-0000-0000-0000EC740000}"/>
    <cellStyle name="SAPBEXstdData 2 2 3" xfId="19603" xr:uid="{00000000-0005-0000-0000-0000ED740000}"/>
    <cellStyle name="SAPBEXstdData 2 2 3 10" xfId="33777" xr:uid="{00000000-0005-0000-0000-0000EE740000}"/>
    <cellStyle name="SAPBEXstdData 2 2 3 2" xfId="19604" xr:uid="{00000000-0005-0000-0000-0000EF740000}"/>
    <cellStyle name="SAPBEXstdData 2 2 3 2 2" xfId="19605" xr:uid="{00000000-0005-0000-0000-0000F0740000}"/>
    <cellStyle name="SAPBEXstdData 2 2 3 2 3" xfId="33778" xr:uid="{00000000-0005-0000-0000-0000F1740000}"/>
    <cellStyle name="SAPBEXstdData 2 2 3 2 4" xfId="33779" xr:uid="{00000000-0005-0000-0000-0000F2740000}"/>
    <cellStyle name="SAPBEXstdData 2 2 3 3" xfId="19606" xr:uid="{00000000-0005-0000-0000-0000F3740000}"/>
    <cellStyle name="SAPBEXstdData 2 2 3 3 2" xfId="19607" xr:uid="{00000000-0005-0000-0000-0000F4740000}"/>
    <cellStyle name="SAPBEXstdData 2 2 3 3 3" xfId="33780" xr:uid="{00000000-0005-0000-0000-0000F5740000}"/>
    <cellStyle name="SAPBEXstdData 2 2 3 3 4" xfId="33781" xr:uid="{00000000-0005-0000-0000-0000F6740000}"/>
    <cellStyle name="SAPBEXstdData 2 2 3 4" xfId="19608" xr:uid="{00000000-0005-0000-0000-0000F7740000}"/>
    <cellStyle name="SAPBEXstdData 2 2 3 4 2" xfId="19609" xr:uid="{00000000-0005-0000-0000-0000F8740000}"/>
    <cellStyle name="SAPBEXstdData 2 2 3 4 3" xfId="33782" xr:uid="{00000000-0005-0000-0000-0000F9740000}"/>
    <cellStyle name="SAPBEXstdData 2 2 3 4 4" xfId="33783" xr:uid="{00000000-0005-0000-0000-0000FA740000}"/>
    <cellStyle name="SAPBEXstdData 2 2 3 5" xfId="19610" xr:uid="{00000000-0005-0000-0000-0000FB740000}"/>
    <cellStyle name="SAPBEXstdData 2 2 3 5 2" xfId="19611" xr:uid="{00000000-0005-0000-0000-0000FC740000}"/>
    <cellStyle name="SAPBEXstdData 2 2 3 5 3" xfId="33784" xr:uid="{00000000-0005-0000-0000-0000FD740000}"/>
    <cellStyle name="SAPBEXstdData 2 2 3 5 4" xfId="33785" xr:uid="{00000000-0005-0000-0000-0000FE740000}"/>
    <cellStyle name="SAPBEXstdData 2 2 3 6" xfId="19612" xr:uid="{00000000-0005-0000-0000-0000FF740000}"/>
    <cellStyle name="SAPBEXstdData 2 2 3 6 2" xfId="19613" xr:uid="{00000000-0005-0000-0000-000000750000}"/>
    <cellStyle name="SAPBEXstdData 2 2 3 6 3" xfId="33786" xr:uid="{00000000-0005-0000-0000-000001750000}"/>
    <cellStyle name="SAPBEXstdData 2 2 3 6 4" xfId="33787" xr:uid="{00000000-0005-0000-0000-000002750000}"/>
    <cellStyle name="SAPBEXstdData 2 2 3 7" xfId="19614" xr:uid="{00000000-0005-0000-0000-000003750000}"/>
    <cellStyle name="SAPBEXstdData 2 2 3 7 2" xfId="19615" xr:uid="{00000000-0005-0000-0000-000004750000}"/>
    <cellStyle name="SAPBEXstdData 2 2 3 7 3" xfId="33788" xr:uid="{00000000-0005-0000-0000-000005750000}"/>
    <cellStyle name="SAPBEXstdData 2 2 3 7 4" xfId="33789" xr:uid="{00000000-0005-0000-0000-000006750000}"/>
    <cellStyle name="SAPBEXstdData 2 2 3 8" xfId="19616" xr:uid="{00000000-0005-0000-0000-000007750000}"/>
    <cellStyle name="SAPBEXstdData 2 2 3 9" xfId="33790" xr:uid="{00000000-0005-0000-0000-000008750000}"/>
    <cellStyle name="SAPBEXstdData 2 2 4" xfId="19617" xr:uid="{00000000-0005-0000-0000-000009750000}"/>
    <cellStyle name="SAPBEXstdData 2 2 4 10" xfId="33791" xr:uid="{00000000-0005-0000-0000-00000A750000}"/>
    <cellStyle name="SAPBEXstdData 2 2 4 2" xfId="19618" xr:uid="{00000000-0005-0000-0000-00000B750000}"/>
    <cellStyle name="SAPBEXstdData 2 2 4 2 2" xfId="19619" xr:uid="{00000000-0005-0000-0000-00000C750000}"/>
    <cellStyle name="SAPBEXstdData 2 2 4 2 3" xfId="33792" xr:uid="{00000000-0005-0000-0000-00000D750000}"/>
    <cellStyle name="SAPBEXstdData 2 2 4 2 4" xfId="33793" xr:uid="{00000000-0005-0000-0000-00000E750000}"/>
    <cellStyle name="SAPBEXstdData 2 2 4 3" xfId="19620" xr:uid="{00000000-0005-0000-0000-00000F750000}"/>
    <cellStyle name="SAPBEXstdData 2 2 4 3 2" xfId="19621" xr:uid="{00000000-0005-0000-0000-000010750000}"/>
    <cellStyle name="SAPBEXstdData 2 2 4 3 3" xfId="33794" xr:uid="{00000000-0005-0000-0000-000011750000}"/>
    <cellStyle name="SAPBEXstdData 2 2 4 3 4" xfId="33795" xr:uid="{00000000-0005-0000-0000-000012750000}"/>
    <cellStyle name="SAPBEXstdData 2 2 4 4" xfId="19622" xr:uid="{00000000-0005-0000-0000-000013750000}"/>
    <cellStyle name="SAPBEXstdData 2 2 4 4 2" xfId="19623" xr:uid="{00000000-0005-0000-0000-000014750000}"/>
    <cellStyle name="SAPBEXstdData 2 2 4 4 3" xfId="33796" xr:uid="{00000000-0005-0000-0000-000015750000}"/>
    <cellStyle name="SAPBEXstdData 2 2 4 4 4" xfId="33797" xr:uid="{00000000-0005-0000-0000-000016750000}"/>
    <cellStyle name="SAPBEXstdData 2 2 4 5" xfId="19624" xr:uid="{00000000-0005-0000-0000-000017750000}"/>
    <cellStyle name="SAPBEXstdData 2 2 4 5 2" xfId="19625" xr:uid="{00000000-0005-0000-0000-000018750000}"/>
    <cellStyle name="SAPBEXstdData 2 2 4 5 3" xfId="33798" xr:uid="{00000000-0005-0000-0000-000019750000}"/>
    <cellStyle name="SAPBEXstdData 2 2 4 5 4" xfId="33799" xr:uid="{00000000-0005-0000-0000-00001A750000}"/>
    <cellStyle name="SAPBEXstdData 2 2 4 6" xfId="19626" xr:uid="{00000000-0005-0000-0000-00001B750000}"/>
    <cellStyle name="SAPBEXstdData 2 2 4 6 2" xfId="19627" xr:uid="{00000000-0005-0000-0000-00001C750000}"/>
    <cellStyle name="SAPBEXstdData 2 2 4 6 3" xfId="33800" xr:uid="{00000000-0005-0000-0000-00001D750000}"/>
    <cellStyle name="SAPBEXstdData 2 2 4 6 4" xfId="33801" xr:uid="{00000000-0005-0000-0000-00001E750000}"/>
    <cellStyle name="SAPBEXstdData 2 2 4 7" xfId="19628" xr:uid="{00000000-0005-0000-0000-00001F750000}"/>
    <cellStyle name="SAPBEXstdData 2 2 4 7 2" xfId="19629" xr:uid="{00000000-0005-0000-0000-000020750000}"/>
    <cellStyle name="SAPBEXstdData 2 2 4 7 3" xfId="33802" xr:uid="{00000000-0005-0000-0000-000021750000}"/>
    <cellStyle name="SAPBEXstdData 2 2 4 7 4" xfId="33803" xr:uid="{00000000-0005-0000-0000-000022750000}"/>
    <cellStyle name="SAPBEXstdData 2 2 4 8" xfId="19630" xr:uid="{00000000-0005-0000-0000-000023750000}"/>
    <cellStyle name="SAPBEXstdData 2 2 4 9" xfId="33804" xr:uid="{00000000-0005-0000-0000-000024750000}"/>
    <cellStyle name="SAPBEXstdData 2 2 5" xfId="19631" xr:uid="{00000000-0005-0000-0000-000025750000}"/>
    <cellStyle name="SAPBEXstdData 2 2 5 10" xfId="33805" xr:uid="{00000000-0005-0000-0000-000026750000}"/>
    <cellStyle name="SAPBEXstdData 2 2 5 2" xfId="19632" xr:uid="{00000000-0005-0000-0000-000027750000}"/>
    <cellStyle name="SAPBEXstdData 2 2 5 2 2" xfId="19633" xr:uid="{00000000-0005-0000-0000-000028750000}"/>
    <cellStyle name="SAPBEXstdData 2 2 5 2 3" xfId="33806" xr:uid="{00000000-0005-0000-0000-000029750000}"/>
    <cellStyle name="SAPBEXstdData 2 2 5 2 4" xfId="33807" xr:uid="{00000000-0005-0000-0000-00002A750000}"/>
    <cellStyle name="SAPBEXstdData 2 2 5 3" xfId="19634" xr:uid="{00000000-0005-0000-0000-00002B750000}"/>
    <cellStyle name="SAPBEXstdData 2 2 5 3 2" xfId="19635" xr:uid="{00000000-0005-0000-0000-00002C750000}"/>
    <cellStyle name="SAPBEXstdData 2 2 5 3 3" xfId="33808" xr:uid="{00000000-0005-0000-0000-00002D750000}"/>
    <cellStyle name="SAPBEXstdData 2 2 5 3 4" xfId="33809" xr:uid="{00000000-0005-0000-0000-00002E750000}"/>
    <cellStyle name="SAPBEXstdData 2 2 5 4" xfId="19636" xr:uid="{00000000-0005-0000-0000-00002F750000}"/>
    <cellStyle name="SAPBEXstdData 2 2 5 4 2" xfId="19637" xr:uid="{00000000-0005-0000-0000-000030750000}"/>
    <cellStyle name="SAPBEXstdData 2 2 5 4 3" xfId="33810" xr:uid="{00000000-0005-0000-0000-000031750000}"/>
    <cellStyle name="SAPBEXstdData 2 2 5 4 4" xfId="33811" xr:uid="{00000000-0005-0000-0000-000032750000}"/>
    <cellStyle name="SAPBEXstdData 2 2 5 5" xfId="19638" xr:uid="{00000000-0005-0000-0000-000033750000}"/>
    <cellStyle name="SAPBEXstdData 2 2 5 5 2" xfId="19639" xr:uid="{00000000-0005-0000-0000-000034750000}"/>
    <cellStyle name="SAPBEXstdData 2 2 5 5 3" xfId="33812" xr:uid="{00000000-0005-0000-0000-000035750000}"/>
    <cellStyle name="SAPBEXstdData 2 2 5 5 4" xfId="33813" xr:uid="{00000000-0005-0000-0000-000036750000}"/>
    <cellStyle name="SAPBEXstdData 2 2 5 6" xfId="19640" xr:uid="{00000000-0005-0000-0000-000037750000}"/>
    <cellStyle name="SAPBEXstdData 2 2 5 6 2" xfId="19641" xr:uid="{00000000-0005-0000-0000-000038750000}"/>
    <cellStyle name="SAPBEXstdData 2 2 5 6 3" xfId="33814" xr:uid="{00000000-0005-0000-0000-000039750000}"/>
    <cellStyle name="SAPBEXstdData 2 2 5 6 4" xfId="33815" xr:uid="{00000000-0005-0000-0000-00003A750000}"/>
    <cellStyle name="SAPBEXstdData 2 2 5 7" xfId="19642" xr:uid="{00000000-0005-0000-0000-00003B750000}"/>
    <cellStyle name="SAPBEXstdData 2 2 5 7 2" xfId="19643" xr:uid="{00000000-0005-0000-0000-00003C750000}"/>
    <cellStyle name="SAPBEXstdData 2 2 5 7 3" xfId="33816" xr:uid="{00000000-0005-0000-0000-00003D750000}"/>
    <cellStyle name="SAPBEXstdData 2 2 5 7 4" xfId="33817" xr:uid="{00000000-0005-0000-0000-00003E750000}"/>
    <cellStyle name="SAPBEXstdData 2 2 5 8" xfId="19644" xr:uid="{00000000-0005-0000-0000-00003F750000}"/>
    <cellStyle name="SAPBEXstdData 2 2 5 9" xfId="33818" xr:uid="{00000000-0005-0000-0000-000040750000}"/>
    <cellStyle name="SAPBEXstdData 2 2 6" xfId="19645" xr:uid="{00000000-0005-0000-0000-000041750000}"/>
    <cellStyle name="SAPBEXstdData 2 2 6 2" xfId="19646" xr:uid="{00000000-0005-0000-0000-000042750000}"/>
    <cellStyle name="SAPBEXstdData 2 2 6 3" xfId="33819" xr:uid="{00000000-0005-0000-0000-000043750000}"/>
    <cellStyle name="SAPBEXstdData 2 2 6 4" xfId="33820" xr:uid="{00000000-0005-0000-0000-000044750000}"/>
    <cellStyle name="SAPBEXstdData 2 2 7" xfId="19647" xr:uid="{00000000-0005-0000-0000-000045750000}"/>
    <cellStyle name="SAPBEXstdData 2 2 7 2" xfId="19648" xr:uid="{00000000-0005-0000-0000-000046750000}"/>
    <cellStyle name="SAPBEXstdData 2 2 7 3" xfId="33821" xr:uid="{00000000-0005-0000-0000-000047750000}"/>
    <cellStyle name="SAPBEXstdData 2 2 7 4" xfId="33822" xr:uid="{00000000-0005-0000-0000-000048750000}"/>
    <cellStyle name="SAPBEXstdData 2 2 8" xfId="19649" xr:uid="{00000000-0005-0000-0000-000049750000}"/>
    <cellStyle name="SAPBEXstdData 2 2 8 2" xfId="19650" xr:uid="{00000000-0005-0000-0000-00004A750000}"/>
    <cellStyle name="SAPBEXstdData 2 2 8 3" xfId="33823" xr:uid="{00000000-0005-0000-0000-00004B750000}"/>
    <cellStyle name="SAPBEXstdData 2 2 8 4" xfId="33824" xr:uid="{00000000-0005-0000-0000-00004C750000}"/>
    <cellStyle name="SAPBEXstdData 2 2 9" xfId="19651" xr:uid="{00000000-0005-0000-0000-00004D750000}"/>
    <cellStyle name="SAPBEXstdData 2 2 9 2" xfId="19652" xr:uid="{00000000-0005-0000-0000-00004E750000}"/>
    <cellStyle name="SAPBEXstdData 2 2 9 3" xfId="33825" xr:uid="{00000000-0005-0000-0000-00004F750000}"/>
    <cellStyle name="SAPBEXstdData 2 2 9 4" xfId="33826" xr:uid="{00000000-0005-0000-0000-000050750000}"/>
    <cellStyle name="SAPBEXstdData 2 20" xfId="19653" xr:uid="{00000000-0005-0000-0000-000051750000}"/>
    <cellStyle name="SAPBEXstdData 2 20 2" xfId="19654" xr:uid="{00000000-0005-0000-0000-000052750000}"/>
    <cellStyle name="SAPBEXstdData 2 20 3" xfId="33827" xr:uid="{00000000-0005-0000-0000-000053750000}"/>
    <cellStyle name="SAPBEXstdData 2 20 4" xfId="33828" xr:uid="{00000000-0005-0000-0000-000054750000}"/>
    <cellStyle name="SAPBEXstdData 2 21" xfId="19655" xr:uid="{00000000-0005-0000-0000-000055750000}"/>
    <cellStyle name="SAPBEXstdData 2 21 2" xfId="19656" xr:uid="{00000000-0005-0000-0000-000056750000}"/>
    <cellStyle name="SAPBEXstdData 2 21 3" xfId="33829" xr:uid="{00000000-0005-0000-0000-000057750000}"/>
    <cellStyle name="SAPBEXstdData 2 21 4" xfId="33830" xr:uid="{00000000-0005-0000-0000-000058750000}"/>
    <cellStyle name="SAPBEXstdData 2 22" xfId="19657" xr:uid="{00000000-0005-0000-0000-000059750000}"/>
    <cellStyle name="SAPBEXstdData 2 22 2" xfId="19658" xr:uid="{00000000-0005-0000-0000-00005A750000}"/>
    <cellStyle name="SAPBEXstdData 2 22 3" xfId="33831" xr:uid="{00000000-0005-0000-0000-00005B750000}"/>
    <cellStyle name="SAPBEXstdData 2 22 4" xfId="33832" xr:uid="{00000000-0005-0000-0000-00005C750000}"/>
    <cellStyle name="SAPBEXstdData 2 23" xfId="19659" xr:uid="{00000000-0005-0000-0000-00005D750000}"/>
    <cellStyle name="SAPBEXstdData 2 24" xfId="33833" xr:uid="{00000000-0005-0000-0000-00005E750000}"/>
    <cellStyle name="SAPBEXstdData 2 25" xfId="33834" xr:uid="{00000000-0005-0000-0000-00005F750000}"/>
    <cellStyle name="SAPBEXstdData 2 3" xfId="19660" xr:uid="{00000000-0005-0000-0000-000060750000}"/>
    <cellStyle name="SAPBEXstdData 2 3 10" xfId="19661" xr:uid="{00000000-0005-0000-0000-000061750000}"/>
    <cellStyle name="SAPBEXstdData 2 3 10 2" xfId="19662" xr:uid="{00000000-0005-0000-0000-000062750000}"/>
    <cellStyle name="SAPBEXstdData 2 3 10 3" xfId="33835" xr:uid="{00000000-0005-0000-0000-000063750000}"/>
    <cellStyle name="SAPBEXstdData 2 3 10 4" xfId="33836" xr:uid="{00000000-0005-0000-0000-000064750000}"/>
    <cellStyle name="SAPBEXstdData 2 3 11" xfId="19663" xr:uid="{00000000-0005-0000-0000-000065750000}"/>
    <cellStyle name="SAPBEXstdData 2 3 11 2" xfId="19664" xr:uid="{00000000-0005-0000-0000-000066750000}"/>
    <cellStyle name="SAPBEXstdData 2 3 11 3" xfId="33837" xr:uid="{00000000-0005-0000-0000-000067750000}"/>
    <cellStyle name="SAPBEXstdData 2 3 11 4" xfId="33838" xr:uid="{00000000-0005-0000-0000-000068750000}"/>
    <cellStyle name="SAPBEXstdData 2 3 12" xfId="19665" xr:uid="{00000000-0005-0000-0000-000069750000}"/>
    <cellStyle name="SAPBEXstdData 2 3 13" xfId="33839" xr:uid="{00000000-0005-0000-0000-00006A750000}"/>
    <cellStyle name="SAPBEXstdData 2 3 14" xfId="33840" xr:uid="{00000000-0005-0000-0000-00006B750000}"/>
    <cellStyle name="SAPBEXstdData 2 3 2" xfId="19666" xr:uid="{00000000-0005-0000-0000-00006C750000}"/>
    <cellStyle name="SAPBEXstdData 2 3 2 10" xfId="33841" xr:uid="{00000000-0005-0000-0000-00006D750000}"/>
    <cellStyle name="SAPBEXstdData 2 3 2 2" xfId="19667" xr:uid="{00000000-0005-0000-0000-00006E750000}"/>
    <cellStyle name="SAPBEXstdData 2 3 2 2 2" xfId="19668" xr:uid="{00000000-0005-0000-0000-00006F750000}"/>
    <cellStyle name="SAPBEXstdData 2 3 2 2 3" xfId="33842" xr:uid="{00000000-0005-0000-0000-000070750000}"/>
    <cellStyle name="SAPBEXstdData 2 3 2 2 4" xfId="33843" xr:uid="{00000000-0005-0000-0000-000071750000}"/>
    <cellStyle name="SAPBEXstdData 2 3 2 3" xfId="19669" xr:uid="{00000000-0005-0000-0000-000072750000}"/>
    <cellStyle name="SAPBEXstdData 2 3 2 3 2" xfId="19670" xr:uid="{00000000-0005-0000-0000-000073750000}"/>
    <cellStyle name="SAPBEXstdData 2 3 2 3 3" xfId="33844" xr:uid="{00000000-0005-0000-0000-000074750000}"/>
    <cellStyle name="SAPBEXstdData 2 3 2 3 4" xfId="33845" xr:uid="{00000000-0005-0000-0000-000075750000}"/>
    <cellStyle name="SAPBEXstdData 2 3 2 4" xfId="19671" xr:uid="{00000000-0005-0000-0000-000076750000}"/>
    <cellStyle name="SAPBEXstdData 2 3 2 4 2" xfId="19672" xr:uid="{00000000-0005-0000-0000-000077750000}"/>
    <cellStyle name="SAPBEXstdData 2 3 2 4 3" xfId="33846" xr:uid="{00000000-0005-0000-0000-000078750000}"/>
    <cellStyle name="SAPBEXstdData 2 3 2 4 4" xfId="33847" xr:uid="{00000000-0005-0000-0000-000079750000}"/>
    <cellStyle name="SAPBEXstdData 2 3 2 5" xfId="19673" xr:uid="{00000000-0005-0000-0000-00007A750000}"/>
    <cellStyle name="SAPBEXstdData 2 3 2 5 2" xfId="19674" xr:uid="{00000000-0005-0000-0000-00007B750000}"/>
    <cellStyle name="SAPBEXstdData 2 3 2 5 3" xfId="33848" xr:uid="{00000000-0005-0000-0000-00007C750000}"/>
    <cellStyle name="SAPBEXstdData 2 3 2 5 4" xfId="33849" xr:uid="{00000000-0005-0000-0000-00007D750000}"/>
    <cellStyle name="SAPBEXstdData 2 3 2 6" xfId="19675" xr:uid="{00000000-0005-0000-0000-00007E750000}"/>
    <cellStyle name="SAPBEXstdData 2 3 2 6 2" xfId="19676" xr:uid="{00000000-0005-0000-0000-00007F750000}"/>
    <cellStyle name="SAPBEXstdData 2 3 2 6 3" xfId="33850" xr:uid="{00000000-0005-0000-0000-000080750000}"/>
    <cellStyle name="SAPBEXstdData 2 3 2 6 4" xfId="33851" xr:uid="{00000000-0005-0000-0000-000081750000}"/>
    <cellStyle name="SAPBEXstdData 2 3 2 7" xfId="19677" xr:uid="{00000000-0005-0000-0000-000082750000}"/>
    <cellStyle name="SAPBEXstdData 2 3 2 7 2" xfId="19678" xr:uid="{00000000-0005-0000-0000-000083750000}"/>
    <cellStyle name="SAPBEXstdData 2 3 2 7 3" xfId="33852" xr:uid="{00000000-0005-0000-0000-000084750000}"/>
    <cellStyle name="SAPBEXstdData 2 3 2 7 4" xfId="33853" xr:uid="{00000000-0005-0000-0000-000085750000}"/>
    <cellStyle name="SAPBEXstdData 2 3 2 8" xfId="19679" xr:uid="{00000000-0005-0000-0000-000086750000}"/>
    <cellStyle name="SAPBEXstdData 2 3 2 9" xfId="33854" xr:uid="{00000000-0005-0000-0000-000087750000}"/>
    <cellStyle name="SAPBEXstdData 2 3 3" xfId="19680" xr:uid="{00000000-0005-0000-0000-000088750000}"/>
    <cellStyle name="SAPBEXstdData 2 3 3 10" xfId="33855" xr:uid="{00000000-0005-0000-0000-000089750000}"/>
    <cellStyle name="SAPBEXstdData 2 3 3 2" xfId="19681" xr:uid="{00000000-0005-0000-0000-00008A750000}"/>
    <cellStyle name="SAPBEXstdData 2 3 3 2 2" xfId="19682" xr:uid="{00000000-0005-0000-0000-00008B750000}"/>
    <cellStyle name="SAPBEXstdData 2 3 3 2 3" xfId="33856" xr:uid="{00000000-0005-0000-0000-00008C750000}"/>
    <cellStyle name="SAPBEXstdData 2 3 3 2 4" xfId="33857" xr:uid="{00000000-0005-0000-0000-00008D750000}"/>
    <cellStyle name="SAPBEXstdData 2 3 3 3" xfId="19683" xr:uid="{00000000-0005-0000-0000-00008E750000}"/>
    <cellStyle name="SAPBEXstdData 2 3 3 3 2" xfId="19684" xr:uid="{00000000-0005-0000-0000-00008F750000}"/>
    <cellStyle name="SAPBEXstdData 2 3 3 3 3" xfId="33858" xr:uid="{00000000-0005-0000-0000-000090750000}"/>
    <cellStyle name="SAPBEXstdData 2 3 3 3 4" xfId="33859" xr:uid="{00000000-0005-0000-0000-000091750000}"/>
    <cellStyle name="SAPBEXstdData 2 3 3 4" xfId="19685" xr:uid="{00000000-0005-0000-0000-000092750000}"/>
    <cellStyle name="SAPBEXstdData 2 3 3 4 2" xfId="19686" xr:uid="{00000000-0005-0000-0000-000093750000}"/>
    <cellStyle name="SAPBEXstdData 2 3 3 4 3" xfId="33860" xr:uid="{00000000-0005-0000-0000-000094750000}"/>
    <cellStyle name="SAPBEXstdData 2 3 3 4 4" xfId="33861" xr:uid="{00000000-0005-0000-0000-000095750000}"/>
    <cellStyle name="SAPBEXstdData 2 3 3 5" xfId="19687" xr:uid="{00000000-0005-0000-0000-000096750000}"/>
    <cellStyle name="SAPBEXstdData 2 3 3 5 2" xfId="19688" xr:uid="{00000000-0005-0000-0000-000097750000}"/>
    <cellStyle name="SAPBEXstdData 2 3 3 5 3" xfId="33862" xr:uid="{00000000-0005-0000-0000-000098750000}"/>
    <cellStyle name="SAPBEXstdData 2 3 3 5 4" xfId="33863" xr:uid="{00000000-0005-0000-0000-000099750000}"/>
    <cellStyle name="SAPBEXstdData 2 3 3 6" xfId="19689" xr:uid="{00000000-0005-0000-0000-00009A750000}"/>
    <cellStyle name="SAPBEXstdData 2 3 3 6 2" xfId="19690" xr:uid="{00000000-0005-0000-0000-00009B750000}"/>
    <cellStyle name="SAPBEXstdData 2 3 3 6 3" xfId="33864" xr:uid="{00000000-0005-0000-0000-00009C750000}"/>
    <cellStyle name="SAPBEXstdData 2 3 3 6 4" xfId="33865" xr:uid="{00000000-0005-0000-0000-00009D750000}"/>
    <cellStyle name="SAPBEXstdData 2 3 3 7" xfId="19691" xr:uid="{00000000-0005-0000-0000-00009E750000}"/>
    <cellStyle name="SAPBEXstdData 2 3 3 7 2" xfId="19692" xr:uid="{00000000-0005-0000-0000-00009F750000}"/>
    <cellStyle name="SAPBEXstdData 2 3 3 7 3" xfId="33866" xr:uid="{00000000-0005-0000-0000-0000A0750000}"/>
    <cellStyle name="SAPBEXstdData 2 3 3 7 4" xfId="33867" xr:uid="{00000000-0005-0000-0000-0000A1750000}"/>
    <cellStyle name="SAPBEXstdData 2 3 3 8" xfId="19693" xr:uid="{00000000-0005-0000-0000-0000A2750000}"/>
    <cellStyle name="SAPBEXstdData 2 3 3 9" xfId="33868" xr:uid="{00000000-0005-0000-0000-0000A3750000}"/>
    <cellStyle name="SAPBEXstdData 2 3 4" xfId="19694" xr:uid="{00000000-0005-0000-0000-0000A4750000}"/>
    <cellStyle name="SAPBEXstdData 2 3 4 10" xfId="33869" xr:uid="{00000000-0005-0000-0000-0000A5750000}"/>
    <cellStyle name="SAPBEXstdData 2 3 4 2" xfId="19695" xr:uid="{00000000-0005-0000-0000-0000A6750000}"/>
    <cellStyle name="SAPBEXstdData 2 3 4 2 2" xfId="19696" xr:uid="{00000000-0005-0000-0000-0000A7750000}"/>
    <cellStyle name="SAPBEXstdData 2 3 4 2 3" xfId="33870" xr:uid="{00000000-0005-0000-0000-0000A8750000}"/>
    <cellStyle name="SAPBEXstdData 2 3 4 2 4" xfId="33871" xr:uid="{00000000-0005-0000-0000-0000A9750000}"/>
    <cellStyle name="SAPBEXstdData 2 3 4 3" xfId="19697" xr:uid="{00000000-0005-0000-0000-0000AA750000}"/>
    <cellStyle name="SAPBEXstdData 2 3 4 3 2" xfId="19698" xr:uid="{00000000-0005-0000-0000-0000AB750000}"/>
    <cellStyle name="SAPBEXstdData 2 3 4 3 3" xfId="33872" xr:uid="{00000000-0005-0000-0000-0000AC750000}"/>
    <cellStyle name="SAPBEXstdData 2 3 4 3 4" xfId="33873" xr:uid="{00000000-0005-0000-0000-0000AD750000}"/>
    <cellStyle name="SAPBEXstdData 2 3 4 4" xfId="19699" xr:uid="{00000000-0005-0000-0000-0000AE750000}"/>
    <cellStyle name="SAPBEXstdData 2 3 4 4 2" xfId="19700" xr:uid="{00000000-0005-0000-0000-0000AF750000}"/>
    <cellStyle name="SAPBEXstdData 2 3 4 4 3" xfId="33874" xr:uid="{00000000-0005-0000-0000-0000B0750000}"/>
    <cellStyle name="SAPBEXstdData 2 3 4 4 4" xfId="33875" xr:uid="{00000000-0005-0000-0000-0000B1750000}"/>
    <cellStyle name="SAPBEXstdData 2 3 4 5" xfId="19701" xr:uid="{00000000-0005-0000-0000-0000B2750000}"/>
    <cellStyle name="SAPBEXstdData 2 3 4 5 2" xfId="19702" xr:uid="{00000000-0005-0000-0000-0000B3750000}"/>
    <cellStyle name="SAPBEXstdData 2 3 4 5 3" xfId="33876" xr:uid="{00000000-0005-0000-0000-0000B4750000}"/>
    <cellStyle name="SAPBEXstdData 2 3 4 5 4" xfId="33877" xr:uid="{00000000-0005-0000-0000-0000B5750000}"/>
    <cellStyle name="SAPBEXstdData 2 3 4 6" xfId="19703" xr:uid="{00000000-0005-0000-0000-0000B6750000}"/>
    <cellStyle name="SAPBEXstdData 2 3 4 6 2" xfId="19704" xr:uid="{00000000-0005-0000-0000-0000B7750000}"/>
    <cellStyle name="SAPBEXstdData 2 3 4 6 3" xfId="33878" xr:uid="{00000000-0005-0000-0000-0000B8750000}"/>
    <cellStyle name="SAPBEXstdData 2 3 4 6 4" xfId="33879" xr:uid="{00000000-0005-0000-0000-0000B9750000}"/>
    <cellStyle name="SAPBEXstdData 2 3 4 7" xfId="19705" xr:uid="{00000000-0005-0000-0000-0000BA750000}"/>
    <cellStyle name="SAPBEXstdData 2 3 4 7 2" xfId="19706" xr:uid="{00000000-0005-0000-0000-0000BB750000}"/>
    <cellStyle name="SAPBEXstdData 2 3 4 7 3" xfId="33880" xr:uid="{00000000-0005-0000-0000-0000BC750000}"/>
    <cellStyle name="SAPBEXstdData 2 3 4 7 4" xfId="33881" xr:uid="{00000000-0005-0000-0000-0000BD750000}"/>
    <cellStyle name="SAPBEXstdData 2 3 4 8" xfId="19707" xr:uid="{00000000-0005-0000-0000-0000BE750000}"/>
    <cellStyle name="SAPBEXstdData 2 3 4 9" xfId="33882" xr:uid="{00000000-0005-0000-0000-0000BF750000}"/>
    <cellStyle name="SAPBEXstdData 2 3 5" xfId="19708" xr:uid="{00000000-0005-0000-0000-0000C0750000}"/>
    <cellStyle name="SAPBEXstdData 2 3 5 10" xfId="33883" xr:uid="{00000000-0005-0000-0000-0000C1750000}"/>
    <cellStyle name="SAPBEXstdData 2 3 5 2" xfId="19709" xr:uid="{00000000-0005-0000-0000-0000C2750000}"/>
    <cellStyle name="SAPBEXstdData 2 3 5 2 2" xfId="19710" xr:uid="{00000000-0005-0000-0000-0000C3750000}"/>
    <cellStyle name="SAPBEXstdData 2 3 5 2 3" xfId="33884" xr:uid="{00000000-0005-0000-0000-0000C4750000}"/>
    <cellStyle name="SAPBEXstdData 2 3 5 2 4" xfId="33885" xr:uid="{00000000-0005-0000-0000-0000C5750000}"/>
    <cellStyle name="SAPBEXstdData 2 3 5 3" xfId="19711" xr:uid="{00000000-0005-0000-0000-0000C6750000}"/>
    <cellStyle name="SAPBEXstdData 2 3 5 3 2" xfId="19712" xr:uid="{00000000-0005-0000-0000-0000C7750000}"/>
    <cellStyle name="SAPBEXstdData 2 3 5 3 3" xfId="33886" xr:uid="{00000000-0005-0000-0000-0000C8750000}"/>
    <cellStyle name="SAPBEXstdData 2 3 5 3 4" xfId="33887" xr:uid="{00000000-0005-0000-0000-0000C9750000}"/>
    <cellStyle name="SAPBEXstdData 2 3 5 4" xfId="19713" xr:uid="{00000000-0005-0000-0000-0000CA750000}"/>
    <cellStyle name="SAPBEXstdData 2 3 5 4 2" xfId="19714" xr:uid="{00000000-0005-0000-0000-0000CB750000}"/>
    <cellStyle name="SAPBEXstdData 2 3 5 4 3" xfId="33888" xr:uid="{00000000-0005-0000-0000-0000CC750000}"/>
    <cellStyle name="SAPBEXstdData 2 3 5 4 4" xfId="33889" xr:uid="{00000000-0005-0000-0000-0000CD750000}"/>
    <cellStyle name="SAPBEXstdData 2 3 5 5" xfId="19715" xr:uid="{00000000-0005-0000-0000-0000CE750000}"/>
    <cellStyle name="SAPBEXstdData 2 3 5 5 2" xfId="19716" xr:uid="{00000000-0005-0000-0000-0000CF750000}"/>
    <cellStyle name="SAPBEXstdData 2 3 5 5 3" xfId="33890" xr:uid="{00000000-0005-0000-0000-0000D0750000}"/>
    <cellStyle name="SAPBEXstdData 2 3 5 5 4" xfId="33891" xr:uid="{00000000-0005-0000-0000-0000D1750000}"/>
    <cellStyle name="SAPBEXstdData 2 3 5 6" xfId="19717" xr:uid="{00000000-0005-0000-0000-0000D2750000}"/>
    <cellStyle name="SAPBEXstdData 2 3 5 6 2" xfId="19718" xr:uid="{00000000-0005-0000-0000-0000D3750000}"/>
    <cellStyle name="SAPBEXstdData 2 3 5 6 3" xfId="33892" xr:uid="{00000000-0005-0000-0000-0000D4750000}"/>
    <cellStyle name="SAPBEXstdData 2 3 5 6 4" xfId="33893" xr:uid="{00000000-0005-0000-0000-0000D5750000}"/>
    <cellStyle name="SAPBEXstdData 2 3 5 7" xfId="19719" xr:uid="{00000000-0005-0000-0000-0000D6750000}"/>
    <cellStyle name="SAPBEXstdData 2 3 5 7 2" xfId="19720" xr:uid="{00000000-0005-0000-0000-0000D7750000}"/>
    <cellStyle name="SAPBEXstdData 2 3 5 7 3" xfId="33894" xr:uid="{00000000-0005-0000-0000-0000D8750000}"/>
    <cellStyle name="SAPBEXstdData 2 3 5 7 4" xfId="33895" xr:uid="{00000000-0005-0000-0000-0000D9750000}"/>
    <cellStyle name="SAPBEXstdData 2 3 5 8" xfId="19721" xr:uid="{00000000-0005-0000-0000-0000DA750000}"/>
    <cellStyle name="SAPBEXstdData 2 3 5 9" xfId="33896" xr:uid="{00000000-0005-0000-0000-0000DB750000}"/>
    <cellStyle name="SAPBEXstdData 2 3 6" xfId="19722" xr:uid="{00000000-0005-0000-0000-0000DC750000}"/>
    <cellStyle name="SAPBEXstdData 2 3 6 2" xfId="19723" xr:uid="{00000000-0005-0000-0000-0000DD750000}"/>
    <cellStyle name="SAPBEXstdData 2 3 6 3" xfId="33897" xr:uid="{00000000-0005-0000-0000-0000DE750000}"/>
    <cellStyle name="SAPBEXstdData 2 3 6 4" xfId="33898" xr:uid="{00000000-0005-0000-0000-0000DF750000}"/>
    <cellStyle name="SAPBEXstdData 2 3 7" xfId="19724" xr:uid="{00000000-0005-0000-0000-0000E0750000}"/>
    <cellStyle name="SAPBEXstdData 2 3 7 2" xfId="19725" xr:uid="{00000000-0005-0000-0000-0000E1750000}"/>
    <cellStyle name="SAPBEXstdData 2 3 7 3" xfId="33899" xr:uid="{00000000-0005-0000-0000-0000E2750000}"/>
    <cellStyle name="SAPBEXstdData 2 3 7 4" xfId="33900" xr:uid="{00000000-0005-0000-0000-0000E3750000}"/>
    <cellStyle name="SAPBEXstdData 2 3 8" xfId="19726" xr:uid="{00000000-0005-0000-0000-0000E4750000}"/>
    <cellStyle name="SAPBEXstdData 2 3 8 2" xfId="19727" xr:uid="{00000000-0005-0000-0000-0000E5750000}"/>
    <cellStyle name="SAPBEXstdData 2 3 8 3" xfId="33901" xr:uid="{00000000-0005-0000-0000-0000E6750000}"/>
    <cellStyle name="SAPBEXstdData 2 3 8 4" xfId="33902" xr:uid="{00000000-0005-0000-0000-0000E7750000}"/>
    <cellStyle name="SAPBEXstdData 2 3 9" xfId="19728" xr:uid="{00000000-0005-0000-0000-0000E8750000}"/>
    <cellStyle name="SAPBEXstdData 2 3 9 2" xfId="19729" xr:uid="{00000000-0005-0000-0000-0000E9750000}"/>
    <cellStyle name="SAPBEXstdData 2 3 9 3" xfId="33903" xr:uid="{00000000-0005-0000-0000-0000EA750000}"/>
    <cellStyle name="SAPBEXstdData 2 3 9 4" xfId="33904" xr:uid="{00000000-0005-0000-0000-0000EB750000}"/>
    <cellStyle name="SAPBEXstdData 2 4" xfId="19730" xr:uid="{00000000-0005-0000-0000-0000EC750000}"/>
    <cellStyle name="SAPBEXstdData 2 4 10" xfId="19731" xr:uid="{00000000-0005-0000-0000-0000ED750000}"/>
    <cellStyle name="SAPBEXstdData 2 4 10 2" xfId="19732" xr:uid="{00000000-0005-0000-0000-0000EE750000}"/>
    <cellStyle name="SAPBEXstdData 2 4 10 3" xfId="33905" xr:uid="{00000000-0005-0000-0000-0000EF750000}"/>
    <cellStyle name="SAPBEXstdData 2 4 10 4" xfId="33906" xr:uid="{00000000-0005-0000-0000-0000F0750000}"/>
    <cellStyle name="SAPBEXstdData 2 4 11" xfId="19733" xr:uid="{00000000-0005-0000-0000-0000F1750000}"/>
    <cellStyle name="SAPBEXstdData 2 4 11 2" xfId="19734" xr:uid="{00000000-0005-0000-0000-0000F2750000}"/>
    <cellStyle name="SAPBEXstdData 2 4 11 3" xfId="33907" xr:uid="{00000000-0005-0000-0000-0000F3750000}"/>
    <cellStyle name="SAPBEXstdData 2 4 11 4" xfId="33908" xr:uid="{00000000-0005-0000-0000-0000F4750000}"/>
    <cellStyle name="SAPBEXstdData 2 4 12" xfId="19735" xr:uid="{00000000-0005-0000-0000-0000F5750000}"/>
    <cellStyle name="SAPBEXstdData 2 4 13" xfId="33909" xr:uid="{00000000-0005-0000-0000-0000F6750000}"/>
    <cellStyle name="SAPBEXstdData 2 4 14" xfId="33910" xr:uid="{00000000-0005-0000-0000-0000F7750000}"/>
    <cellStyle name="SAPBEXstdData 2 4 2" xfId="19736" xr:uid="{00000000-0005-0000-0000-0000F8750000}"/>
    <cellStyle name="SAPBEXstdData 2 4 2 10" xfId="33911" xr:uid="{00000000-0005-0000-0000-0000F9750000}"/>
    <cellStyle name="SAPBEXstdData 2 4 2 2" xfId="19737" xr:uid="{00000000-0005-0000-0000-0000FA750000}"/>
    <cellStyle name="SAPBEXstdData 2 4 2 2 2" xfId="19738" xr:uid="{00000000-0005-0000-0000-0000FB750000}"/>
    <cellStyle name="SAPBEXstdData 2 4 2 2 3" xfId="33912" xr:uid="{00000000-0005-0000-0000-0000FC750000}"/>
    <cellStyle name="SAPBEXstdData 2 4 2 2 4" xfId="33913" xr:uid="{00000000-0005-0000-0000-0000FD750000}"/>
    <cellStyle name="SAPBEXstdData 2 4 2 3" xfId="19739" xr:uid="{00000000-0005-0000-0000-0000FE750000}"/>
    <cellStyle name="SAPBEXstdData 2 4 2 3 2" xfId="19740" xr:uid="{00000000-0005-0000-0000-0000FF750000}"/>
    <cellStyle name="SAPBEXstdData 2 4 2 3 3" xfId="33914" xr:uid="{00000000-0005-0000-0000-000000760000}"/>
    <cellStyle name="SAPBEXstdData 2 4 2 3 4" xfId="33915" xr:uid="{00000000-0005-0000-0000-000001760000}"/>
    <cellStyle name="SAPBEXstdData 2 4 2 4" xfId="19741" xr:uid="{00000000-0005-0000-0000-000002760000}"/>
    <cellStyle name="SAPBEXstdData 2 4 2 4 2" xfId="19742" xr:uid="{00000000-0005-0000-0000-000003760000}"/>
    <cellStyle name="SAPBEXstdData 2 4 2 4 3" xfId="33916" xr:uid="{00000000-0005-0000-0000-000004760000}"/>
    <cellStyle name="SAPBEXstdData 2 4 2 4 4" xfId="33917" xr:uid="{00000000-0005-0000-0000-000005760000}"/>
    <cellStyle name="SAPBEXstdData 2 4 2 5" xfId="19743" xr:uid="{00000000-0005-0000-0000-000006760000}"/>
    <cellStyle name="SAPBEXstdData 2 4 2 5 2" xfId="19744" xr:uid="{00000000-0005-0000-0000-000007760000}"/>
    <cellStyle name="SAPBEXstdData 2 4 2 5 3" xfId="33918" xr:uid="{00000000-0005-0000-0000-000008760000}"/>
    <cellStyle name="SAPBEXstdData 2 4 2 5 4" xfId="33919" xr:uid="{00000000-0005-0000-0000-000009760000}"/>
    <cellStyle name="SAPBEXstdData 2 4 2 6" xfId="19745" xr:uid="{00000000-0005-0000-0000-00000A760000}"/>
    <cellStyle name="SAPBEXstdData 2 4 2 6 2" xfId="19746" xr:uid="{00000000-0005-0000-0000-00000B760000}"/>
    <cellStyle name="SAPBEXstdData 2 4 2 6 3" xfId="33920" xr:uid="{00000000-0005-0000-0000-00000C760000}"/>
    <cellStyle name="SAPBEXstdData 2 4 2 6 4" xfId="33921" xr:uid="{00000000-0005-0000-0000-00000D760000}"/>
    <cellStyle name="SAPBEXstdData 2 4 2 7" xfId="19747" xr:uid="{00000000-0005-0000-0000-00000E760000}"/>
    <cellStyle name="SAPBEXstdData 2 4 2 7 2" xfId="19748" xr:uid="{00000000-0005-0000-0000-00000F760000}"/>
    <cellStyle name="SAPBEXstdData 2 4 2 7 3" xfId="33922" xr:uid="{00000000-0005-0000-0000-000010760000}"/>
    <cellStyle name="SAPBEXstdData 2 4 2 7 4" xfId="33923" xr:uid="{00000000-0005-0000-0000-000011760000}"/>
    <cellStyle name="SAPBEXstdData 2 4 2 8" xfId="19749" xr:uid="{00000000-0005-0000-0000-000012760000}"/>
    <cellStyle name="SAPBEXstdData 2 4 2 9" xfId="33924" xr:uid="{00000000-0005-0000-0000-000013760000}"/>
    <cellStyle name="SAPBEXstdData 2 4 3" xfId="19750" xr:uid="{00000000-0005-0000-0000-000014760000}"/>
    <cellStyle name="SAPBEXstdData 2 4 3 10" xfId="33925" xr:uid="{00000000-0005-0000-0000-000015760000}"/>
    <cellStyle name="SAPBEXstdData 2 4 3 2" xfId="19751" xr:uid="{00000000-0005-0000-0000-000016760000}"/>
    <cellStyle name="SAPBEXstdData 2 4 3 2 2" xfId="19752" xr:uid="{00000000-0005-0000-0000-000017760000}"/>
    <cellStyle name="SAPBEXstdData 2 4 3 2 3" xfId="33926" xr:uid="{00000000-0005-0000-0000-000018760000}"/>
    <cellStyle name="SAPBEXstdData 2 4 3 2 4" xfId="33927" xr:uid="{00000000-0005-0000-0000-000019760000}"/>
    <cellStyle name="SAPBEXstdData 2 4 3 3" xfId="19753" xr:uid="{00000000-0005-0000-0000-00001A760000}"/>
    <cellStyle name="SAPBEXstdData 2 4 3 3 2" xfId="19754" xr:uid="{00000000-0005-0000-0000-00001B760000}"/>
    <cellStyle name="SAPBEXstdData 2 4 3 3 3" xfId="33928" xr:uid="{00000000-0005-0000-0000-00001C760000}"/>
    <cellStyle name="SAPBEXstdData 2 4 3 3 4" xfId="33929" xr:uid="{00000000-0005-0000-0000-00001D760000}"/>
    <cellStyle name="SAPBEXstdData 2 4 3 4" xfId="19755" xr:uid="{00000000-0005-0000-0000-00001E760000}"/>
    <cellStyle name="SAPBEXstdData 2 4 3 4 2" xfId="19756" xr:uid="{00000000-0005-0000-0000-00001F760000}"/>
    <cellStyle name="SAPBEXstdData 2 4 3 4 3" xfId="33930" xr:uid="{00000000-0005-0000-0000-000020760000}"/>
    <cellStyle name="SAPBEXstdData 2 4 3 4 4" xfId="33931" xr:uid="{00000000-0005-0000-0000-000021760000}"/>
    <cellStyle name="SAPBEXstdData 2 4 3 5" xfId="19757" xr:uid="{00000000-0005-0000-0000-000022760000}"/>
    <cellStyle name="SAPBEXstdData 2 4 3 5 2" xfId="19758" xr:uid="{00000000-0005-0000-0000-000023760000}"/>
    <cellStyle name="SAPBEXstdData 2 4 3 5 3" xfId="33932" xr:uid="{00000000-0005-0000-0000-000024760000}"/>
    <cellStyle name="SAPBEXstdData 2 4 3 5 4" xfId="33933" xr:uid="{00000000-0005-0000-0000-000025760000}"/>
    <cellStyle name="SAPBEXstdData 2 4 3 6" xfId="19759" xr:uid="{00000000-0005-0000-0000-000026760000}"/>
    <cellStyle name="SAPBEXstdData 2 4 3 6 2" xfId="19760" xr:uid="{00000000-0005-0000-0000-000027760000}"/>
    <cellStyle name="SAPBEXstdData 2 4 3 6 3" xfId="33934" xr:uid="{00000000-0005-0000-0000-000028760000}"/>
    <cellStyle name="SAPBEXstdData 2 4 3 6 4" xfId="33935" xr:uid="{00000000-0005-0000-0000-000029760000}"/>
    <cellStyle name="SAPBEXstdData 2 4 3 7" xfId="19761" xr:uid="{00000000-0005-0000-0000-00002A760000}"/>
    <cellStyle name="SAPBEXstdData 2 4 3 7 2" xfId="19762" xr:uid="{00000000-0005-0000-0000-00002B760000}"/>
    <cellStyle name="SAPBEXstdData 2 4 3 7 3" xfId="33936" xr:uid="{00000000-0005-0000-0000-00002C760000}"/>
    <cellStyle name="SAPBEXstdData 2 4 3 7 4" xfId="33937" xr:uid="{00000000-0005-0000-0000-00002D760000}"/>
    <cellStyle name="SAPBEXstdData 2 4 3 8" xfId="19763" xr:uid="{00000000-0005-0000-0000-00002E760000}"/>
    <cellStyle name="SAPBEXstdData 2 4 3 9" xfId="33938" xr:uid="{00000000-0005-0000-0000-00002F760000}"/>
    <cellStyle name="SAPBEXstdData 2 4 4" xfId="19764" xr:uid="{00000000-0005-0000-0000-000030760000}"/>
    <cellStyle name="SAPBEXstdData 2 4 4 10" xfId="33939" xr:uid="{00000000-0005-0000-0000-000031760000}"/>
    <cellStyle name="SAPBEXstdData 2 4 4 2" xfId="19765" xr:uid="{00000000-0005-0000-0000-000032760000}"/>
    <cellStyle name="SAPBEXstdData 2 4 4 2 2" xfId="19766" xr:uid="{00000000-0005-0000-0000-000033760000}"/>
    <cellStyle name="SAPBEXstdData 2 4 4 2 3" xfId="33940" xr:uid="{00000000-0005-0000-0000-000034760000}"/>
    <cellStyle name="SAPBEXstdData 2 4 4 2 4" xfId="33941" xr:uid="{00000000-0005-0000-0000-000035760000}"/>
    <cellStyle name="SAPBEXstdData 2 4 4 3" xfId="19767" xr:uid="{00000000-0005-0000-0000-000036760000}"/>
    <cellStyle name="SAPBEXstdData 2 4 4 3 2" xfId="19768" xr:uid="{00000000-0005-0000-0000-000037760000}"/>
    <cellStyle name="SAPBEXstdData 2 4 4 3 3" xfId="33942" xr:uid="{00000000-0005-0000-0000-000038760000}"/>
    <cellStyle name="SAPBEXstdData 2 4 4 3 4" xfId="33943" xr:uid="{00000000-0005-0000-0000-000039760000}"/>
    <cellStyle name="SAPBEXstdData 2 4 4 4" xfId="19769" xr:uid="{00000000-0005-0000-0000-00003A760000}"/>
    <cellStyle name="SAPBEXstdData 2 4 4 4 2" xfId="19770" xr:uid="{00000000-0005-0000-0000-00003B760000}"/>
    <cellStyle name="SAPBEXstdData 2 4 4 4 3" xfId="33944" xr:uid="{00000000-0005-0000-0000-00003C760000}"/>
    <cellStyle name="SAPBEXstdData 2 4 4 4 4" xfId="33945" xr:uid="{00000000-0005-0000-0000-00003D760000}"/>
    <cellStyle name="SAPBEXstdData 2 4 4 5" xfId="19771" xr:uid="{00000000-0005-0000-0000-00003E760000}"/>
    <cellStyle name="SAPBEXstdData 2 4 4 5 2" xfId="19772" xr:uid="{00000000-0005-0000-0000-00003F760000}"/>
    <cellStyle name="SAPBEXstdData 2 4 4 5 3" xfId="33946" xr:uid="{00000000-0005-0000-0000-000040760000}"/>
    <cellStyle name="SAPBEXstdData 2 4 4 5 4" xfId="33947" xr:uid="{00000000-0005-0000-0000-000041760000}"/>
    <cellStyle name="SAPBEXstdData 2 4 4 6" xfId="19773" xr:uid="{00000000-0005-0000-0000-000042760000}"/>
    <cellStyle name="SAPBEXstdData 2 4 4 6 2" xfId="19774" xr:uid="{00000000-0005-0000-0000-000043760000}"/>
    <cellStyle name="SAPBEXstdData 2 4 4 6 3" xfId="33948" xr:uid="{00000000-0005-0000-0000-000044760000}"/>
    <cellStyle name="SAPBEXstdData 2 4 4 6 4" xfId="33949" xr:uid="{00000000-0005-0000-0000-000045760000}"/>
    <cellStyle name="SAPBEXstdData 2 4 4 7" xfId="19775" xr:uid="{00000000-0005-0000-0000-000046760000}"/>
    <cellStyle name="SAPBEXstdData 2 4 4 7 2" xfId="19776" xr:uid="{00000000-0005-0000-0000-000047760000}"/>
    <cellStyle name="SAPBEXstdData 2 4 4 7 3" xfId="33950" xr:uid="{00000000-0005-0000-0000-000048760000}"/>
    <cellStyle name="SAPBEXstdData 2 4 4 7 4" xfId="33951" xr:uid="{00000000-0005-0000-0000-000049760000}"/>
    <cellStyle name="SAPBEXstdData 2 4 4 8" xfId="19777" xr:uid="{00000000-0005-0000-0000-00004A760000}"/>
    <cellStyle name="SAPBEXstdData 2 4 4 9" xfId="33952" xr:uid="{00000000-0005-0000-0000-00004B760000}"/>
    <cellStyle name="SAPBEXstdData 2 4 5" xfId="19778" xr:uid="{00000000-0005-0000-0000-00004C760000}"/>
    <cellStyle name="SAPBEXstdData 2 4 5 10" xfId="33953" xr:uid="{00000000-0005-0000-0000-00004D760000}"/>
    <cellStyle name="SAPBEXstdData 2 4 5 2" xfId="19779" xr:uid="{00000000-0005-0000-0000-00004E760000}"/>
    <cellStyle name="SAPBEXstdData 2 4 5 2 2" xfId="19780" xr:uid="{00000000-0005-0000-0000-00004F760000}"/>
    <cellStyle name="SAPBEXstdData 2 4 5 2 3" xfId="33954" xr:uid="{00000000-0005-0000-0000-000050760000}"/>
    <cellStyle name="SAPBEXstdData 2 4 5 2 4" xfId="33955" xr:uid="{00000000-0005-0000-0000-000051760000}"/>
    <cellStyle name="SAPBEXstdData 2 4 5 3" xfId="19781" xr:uid="{00000000-0005-0000-0000-000052760000}"/>
    <cellStyle name="SAPBEXstdData 2 4 5 3 2" xfId="19782" xr:uid="{00000000-0005-0000-0000-000053760000}"/>
    <cellStyle name="SAPBEXstdData 2 4 5 3 3" xfId="33956" xr:uid="{00000000-0005-0000-0000-000054760000}"/>
    <cellStyle name="SAPBEXstdData 2 4 5 3 4" xfId="33957" xr:uid="{00000000-0005-0000-0000-000055760000}"/>
    <cellStyle name="SAPBEXstdData 2 4 5 4" xfId="19783" xr:uid="{00000000-0005-0000-0000-000056760000}"/>
    <cellStyle name="SAPBEXstdData 2 4 5 4 2" xfId="19784" xr:uid="{00000000-0005-0000-0000-000057760000}"/>
    <cellStyle name="SAPBEXstdData 2 4 5 4 3" xfId="33958" xr:uid="{00000000-0005-0000-0000-000058760000}"/>
    <cellStyle name="SAPBEXstdData 2 4 5 4 4" xfId="33959" xr:uid="{00000000-0005-0000-0000-000059760000}"/>
    <cellStyle name="SAPBEXstdData 2 4 5 5" xfId="19785" xr:uid="{00000000-0005-0000-0000-00005A760000}"/>
    <cellStyle name="SAPBEXstdData 2 4 5 5 2" xfId="19786" xr:uid="{00000000-0005-0000-0000-00005B760000}"/>
    <cellStyle name="SAPBEXstdData 2 4 5 5 3" xfId="33960" xr:uid="{00000000-0005-0000-0000-00005C760000}"/>
    <cellStyle name="SAPBEXstdData 2 4 5 5 4" xfId="33961" xr:uid="{00000000-0005-0000-0000-00005D760000}"/>
    <cellStyle name="SAPBEXstdData 2 4 5 6" xfId="19787" xr:uid="{00000000-0005-0000-0000-00005E760000}"/>
    <cellStyle name="SAPBEXstdData 2 4 5 6 2" xfId="19788" xr:uid="{00000000-0005-0000-0000-00005F760000}"/>
    <cellStyle name="SAPBEXstdData 2 4 5 6 3" xfId="33962" xr:uid="{00000000-0005-0000-0000-000060760000}"/>
    <cellStyle name="SAPBEXstdData 2 4 5 6 4" xfId="33963" xr:uid="{00000000-0005-0000-0000-000061760000}"/>
    <cellStyle name="SAPBEXstdData 2 4 5 7" xfId="19789" xr:uid="{00000000-0005-0000-0000-000062760000}"/>
    <cellStyle name="SAPBEXstdData 2 4 5 7 2" xfId="19790" xr:uid="{00000000-0005-0000-0000-000063760000}"/>
    <cellStyle name="SAPBEXstdData 2 4 5 7 3" xfId="33964" xr:uid="{00000000-0005-0000-0000-000064760000}"/>
    <cellStyle name="SAPBEXstdData 2 4 5 7 4" xfId="33965" xr:uid="{00000000-0005-0000-0000-000065760000}"/>
    <cellStyle name="SAPBEXstdData 2 4 5 8" xfId="19791" xr:uid="{00000000-0005-0000-0000-000066760000}"/>
    <cellStyle name="SAPBEXstdData 2 4 5 9" xfId="33966" xr:uid="{00000000-0005-0000-0000-000067760000}"/>
    <cellStyle name="SAPBEXstdData 2 4 6" xfId="19792" xr:uid="{00000000-0005-0000-0000-000068760000}"/>
    <cellStyle name="SAPBEXstdData 2 4 6 2" xfId="19793" xr:uid="{00000000-0005-0000-0000-000069760000}"/>
    <cellStyle name="SAPBEXstdData 2 4 6 3" xfId="33967" xr:uid="{00000000-0005-0000-0000-00006A760000}"/>
    <cellStyle name="SAPBEXstdData 2 4 6 4" xfId="33968" xr:uid="{00000000-0005-0000-0000-00006B760000}"/>
    <cellStyle name="SAPBEXstdData 2 4 7" xfId="19794" xr:uid="{00000000-0005-0000-0000-00006C760000}"/>
    <cellStyle name="SAPBEXstdData 2 4 7 2" xfId="19795" xr:uid="{00000000-0005-0000-0000-00006D760000}"/>
    <cellStyle name="SAPBEXstdData 2 4 7 3" xfId="33969" xr:uid="{00000000-0005-0000-0000-00006E760000}"/>
    <cellStyle name="SAPBEXstdData 2 4 7 4" xfId="33970" xr:uid="{00000000-0005-0000-0000-00006F760000}"/>
    <cellStyle name="SAPBEXstdData 2 4 8" xfId="19796" xr:uid="{00000000-0005-0000-0000-000070760000}"/>
    <cellStyle name="SAPBEXstdData 2 4 8 2" xfId="19797" xr:uid="{00000000-0005-0000-0000-000071760000}"/>
    <cellStyle name="SAPBEXstdData 2 4 8 3" xfId="33971" xr:uid="{00000000-0005-0000-0000-000072760000}"/>
    <cellStyle name="SAPBEXstdData 2 4 8 4" xfId="33972" xr:uid="{00000000-0005-0000-0000-000073760000}"/>
    <cellStyle name="SAPBEXstdData 2 4 9" xfId="19798" xr:uid="{00000000-0005-0000-0000-000074760000}"/>
    <cellStyle name="SAPBEXstdData 2 4 9 2" xfId="19799" xr:uid="{00000000-0005-0000-0000-000075760000}"/>
    <cellStyle name="SAPBEXstdData 2 4 9 3" xfId="33973" xr:uid="{00000000-0005-0000-0000-000076760000}"/>
    <cellStyle name="SAPBEXstdData 2 4 9 4" xfId="33974" xr:uid="{00000000-0005-0000-0000-000077760000}"/>
    <cellStyle name="SAPBEXstdData 2 5" xfId="19800" xr:uid="{00000000-0005-0000-0000-000078760000}"/>
    <cellStyle name="SAPBEXstdData 2 5 10" xfId="19801" xr:uid="{00000000-0005-0000-0000-000079760000}"/>
    <cellStyle name="SAPBEXstdData 2 5 10 2" xfId="19802" xr:uid="{00000000-0005-0000-0000-00007A760000}"/>
    <cellStyle name="SAPBEXstdData 2 5 10 3" xfId="33975" xr:uid="{00000000-0005-0000-0000-00007B760000}"/>
    <cellStyle name="SAPBEXstdData 2 5 10 4" xfId="33976" xr:uid="{00000000-0005-0000-0000-00007C760000}"/>
    <cellStyle name="SAPBEXstdData 2 5 11" xfId="19803" xr:uid="{00000000-0005-0000-0000-00007D760000}"/>
    <cellStyle name="SAPBEXstdData 2 5 11 2" xfId="19804" xr:uid="{00000000-0005-0000-0000-00007E760000}"/>
    <cellStyle name="SAPBEXstdData 2 5 11 3" xfId="33977" xr:uid="{00000000-0005-0000-0000-00007F760000}"/>
    <cellStyle name="SAPBEXstdData 2 5 11 4" xfId="33978" xr:uid="{00000000-0005-0000-0000-000080760000}"/>
    <cellStyle name="SAPBEXstdData 2 5 12" xfId="19805" xr:uid="{00000000-0005-0000-0000-000081760000}"/>
    <cellStyle name="SAPBEXstdData 2 5 13" xfId="33979" xr:uid="{00000000-0005-0000-0000-000082760000}"/>
    <cellStyle name="SAPBEXstdData 2 5 14" xfId="33980" xr:uid="{00000000-0005-0000-0000-000083760000}"/>
    <cellStyle name="SAPBEXstdData 2 5 2" xfId="19806" xr:uid="{00000000-0005-0000-0000-000084760000}"/>
    <cellStyle name="SAPBEXstdData 2 5 2 10" xfId="33981" xr:uid="{00000000-0005-0000-0000-000085760000}"/>
    <cellStyle name="SAPBEXstdData 2 5 2 2" xfId="19807" xr:uid="{00000000-0005-0000-0000-000086760000}"/>
    <cellStyle name="SAPBEXstdData 2 5 2 2 2" xfId="19808" xr:uid="{00000000-0005-0000-0000-000087760000}"/>
    <cellStyle name="SAPBEXstdData 2 5 2 2 3" xfId="33982" xr:uid="{00000000-0005-0000-0000-000088760000}"/>
    <cellStyle name="SAPBEXstdData 2 5 2 2 4" xfId="33983" xr:uid="{00000000-0005-0000-0000-000089760000}"/>
    <cellStyle name="SAPBEXstdData 2 5 2 3" xfId="19809" xr:uid="{00000000-0005-0000-0000-00008A760000}"/>
    <cellStyle name="SAPBEXstdData 2 5 2 3 2" xfId="19810" xr:uid="{00000000-0005-0000-0000-00008B760000}"/>
    <cellStyle name="SAPBEXstdData 2 5 2 3 3" xfId="33984" xr:uid="{00000000-0005-0000-0000-00008C760000}"/>
    <cellStyle name="SAPBEXstdData 2 5 2 3 4" xfId="33985" xr:uid="{00000000-0005-0000-0000-00008D760000}"/>
    <cellStyle name="SAPBEXstdData 2 5 2 4" xfId="19811" xr:uid="{00000000-0005-0000-0000-00008E760000}"/>
    <cellStyle name="SAPBEXstdData 2 5 2 4 2" xfId="19812" xr:uid="{00000000-0005-0000-0000-00008F760000}"/>
    <cellStyle name="SAPBEXstdData 2 5 2 4 3" xfId="33986" xr:uid="{00000000-0005-0000-0000-000090760000}"/>
    <cellStyle name="SAPBEXstdData 2 5 2 4 4" xfId="33987" xr:uid="{00000000-0005-0000-0000-000091760000}"/>
    <cellStyle name="SAPBEXstdData 2 5 2 5" xfId="19813" xr:uid="{00000000-0005-0000-0000-000092760000}"/>
    <cellStyle name="SAPBEXstdData 2 5 2 5 2" xfId="19814" xr:uid="{00000000-0005-0000-0000-000093760000}"/>
    <cellStyle name="SAPBEXstdData 2 5 2 5 3" xfId="33988" xr:uid="{00000000-0005-0000-0000-000094760000}"/>
    <cellStyle name="SAPBEXstdData 2 5 2 5 4" xfId="33989" xr:uid="{00000000-0005-0000-0000-000095760000}"/>
    <cellStyle name="SAPBEXstdData 2 5 2 6" xfId="19815" xr:uid="{00000000-0005-0000-0000-000096760000}"/>
    <cellStyle name="SAPBEXstdData 2 5 2 6 2" xfId="19816" xr:uid="{00000000-0005-0000-0000-000097760000}"/>
    <cellStyle name="SAPBEXstdData 2 5 2 6 3" xfId="33990" xr:uid="{00000000-0005-0000-0000-000098760000}"/>
    <cellStyle name="SAPBEXstdData 2 5 2 6 4" xfId="33991" xr:uid="{00000000-0005-0000-0000-000099760000}"/>
    <cellStyle name="SAPBEXstdData 2 5 2 7" xfId="19817" xr:uid="{00000000-0005-0000-0000-00009A760000}"/>
    <cellStyle name="SAPBEXstdData 2 5 2 7 2" xfId="19818" xr:uid="{00000000-0005-0000-0000-00009B760000}"/>
    <cellStyle name="SAPBEXstdData 2 5 2 7 3" xfId="33992" xr:uid="{00000000-0005-0000-0000-00009C760000}"/>
    <cellStyle name="SAPBEXstdData 2 5 2 7 4" xfId="33993" xr:uid="{00000000-0005-0000-0000-00009D760000}"/>
    <cellStyle name="SAPBEXstdData 2 5 2 8" xfId="19819" xr:uid="{00000000-0005-0000-0000-00009E760000}"/>
    <cellStyle name="SAPBEXstdData 2 5 2 9" xfId="33994" xr:uid="{00000000-0005-0000-0000-00009F760000}"/>
    <cellStyle name="SAPBEXstdData 2 5 3" xfId="19820" xr:uid="{00000000-0005-0000-0000-0000A0760000}"/>
    <cellStyle name="SAPBEXstdData 2 5 3 10" xfId="33995" xr:uid="{00000000-0005-0000-0000-0000A1760000}"/>
    <cellStyle name="SAPBEXstdData 2 5 3 2" xfId="19821" xr:uid="{00000000-0005-0000-0000-0000A2760000}"/>
    <cellStyle name="SAPBEXstdData 2 5 3 2 2" xfId="19822" xr:uid="{00000000-0005-0000-0000-0000A3760000}"/>
    <cellStyle name="SAPBEXstdData 2 5 3 2 3" xfId="33996" xr:uid="{00000000-0005-0000-0000-0000A4760000}"/>
    <cellStyle name="SAPBEXstdData 2 5 3 2 4" xfId="33997" xr:uid="{00000000-0005-0000-0000-0000A5760000}"/>
    <cellStyle name="SAPBEXstdData 2 5 3 3" xfId="19823" xr:uid="{00000000-0005-0000-0000-0000A6760000}"/>
    <cellStyle name="SAPBEXstdData 2 5 3 3 2" xfId="19824" xr:uid="{00000000-0005-0000-0000-0000A7760000}"/>
    <cellStyle name="SAPBEXstdData 2 5 3 3 3" xfId="33998" xr:uid="{00000000-0005-0000-0000-0000A8760000}"/>
    <cellStyle name="SAPBEXstdData 2 5 3 3 4" xfId="33999" xr:uid="{00000000-0005-0000-0000-0000A9760000}"/>
    <cellStyle name="SAPBEXstdData 2 5 3 4" xfId="19825" xr:uid="{00000000-0005-0000-0000-0000AA760000}"/>
    <cellStyle name="SAPBEXstdData 2 5 3 4 2" xfId="19826" xr:uid="{00000000-0005-0000-0000-0000AB760000}"/>
    <cellStyle name="SAPBEXstdData 2 5 3 4 3" xfId="34000" xr:uid="{00000000-0005-0000-0000-0000AC760000}"/>
    <cellStyle name="SAPBEXstdData 2 5 3 4 4" xfId="34001" xr:uid="{00000000-0005-0000-0000-0000AD760000}"/>
    <cellStyle name="SAPBEXstdData 2 5 3 5" xfId="19827" xr:uid="{00000000-0005-0000-0000-0000AE760000}"/>
    <cellStyle name="SAPBEXstdData 2 5 3 5 2" xfId="19828" xr:uid="{00000000-0005-0000-0000-0000AF760000}"/>
    <cellStyle name="SAPBEXstdData 2 5 3 5 3" xfId="34002" xr:uid="{00000000-0005-0000-0000-0000B0760000}"/>
    <cellStyle name="SAPBEXstdData 2 5 3 5 4" xfId="34003" xr:uid="{00000000-0005-0000-0000-0000B1760000}"/>
    <cellStyle name="SAPBEXstdData 2 5 3 6" xfId="19829" xr:uid="{00000000-0005-0000-0000-0000B2760000}"/>
    <cellStyle name="SAPBEXstdData 2 5 3 6 2" xfId="19830" xr:uid="{00000000-0005-0000-0000-0000B3760000}"/>
    <cellStyle name="SAPBEXstdData 2 5 3 6 3" xfId="34004" xr:uid="{00000000-0005-0000-0000-0000B4760000}"/>
    <cellStyle name="SAPBEXstdData 2 5 3 6 4" xfId="34005" xr:uid="{00000000-0005-0000-0000-0000B5760000}"/>
    <cellStyle name="SAPBEXstdData 2 5 3 7" xfId="19831" xr:uid="{00000000-0005-0000-0000-0000B6760000}"/>
    <cellStyle name="SAPBEXstdData 2 5 3 7 2" xfId="19832" xr:uid="{00000000-0005-0000-0000-0000B7760000}"/>
    <cellStyle name="SAPBEXstdData 2 5 3 7 3" xfId="34006" xr:uid="{00000000-0005-0000-0000-0000B8760000}"/>
    <cellStyle name="SAPBEXstdData 2 5 3 7 4" xfId="34007" xr:uid="{00000000-0005-0000-0000-0000B9760000}"/>
    <cellStyle name="SAPBEXstdData 2 5 3 8" xfId="19833" xr:uid="{00000000-0005-0000-0000-0000BA760000}"/>
    <cellStyle name="SAPBEXstdData 2 5 3 9" xfId="34008" xr:uid="{00000000-0005-0000-0000-0000BB760000}"/>
    <cellStyle name="SAPBEXstdData 2 5 4" xfId="19834" xr:uid="{00000000-0005-0000-0000-0000BC760000}"/>
    <cellStyle name="SAPBEXstdData 2 5 4 10" xfId="34009" xr:uid="{00000000-0005-0000-0000-0000BD760000}"/>
    <cellStyle name="SAPBEXstdData 2 5 4 2" xfId="19835" xr:uid="{00000000-0005-0000-0000-0000BE760000}"/>
    <cellStyle name="SAPBEXstdData 2 5 4 2 2" xfId="19836" xr:uid="{00000000-0005-0000-0000-0000BF760000}"/>
    <cellStyle name="SAPBEXstdData 2 5 4 2 3" xfId="34010" xr:uid="{00000000-0005-0000-0000-0000C0760000}"/>
    <cellStyle name="SAPBEXstdData 2 5 4 2 4" xfId="34011" xr:uid="{00000000-0005-0000-0000-0000C1760000}"/>
    <cellStyle name="SAPBEXstdData 2 5 4 3" xfId="19837" xr:uid="{00000000-0005-0000-0000-0000C2760000}"/>
    <cellStyle name="SAPBEXstdData 2 5 4 3 2" xfId="19838" xr:uid="{00000000-0005-0000-0000-0000C3760000}"/>
    <cellStyle name="SAPBEXstdData 2 5 4 3 3" xfId="34012" xr:uid="{00000000-0005-0000-0000-0000C4760000}"/>
    <cellStyle name="SAPBEXstdData 2 5 4 3 4" xfId="34013" xr:uid="{00000000-0005-0000-0000-0000C5760000}"/>
    <cellStyle name="SAPBEXstdData 2 5 4 4" xfId="19839" xr:uid="{00000000-0005-0000-0000-0000C6760000}"/>
    <cellStyle name="SAPBEXstdData 2 5 4 4 2" xfId="19840" xr:uid="{00000000-0005-0000-0000-0000C7760000}"/>
    <cellStyle name="SAPBEXstdData 2 5 4 4 3" xfId="34014" xr:uid="{00000000-0005-0000-0000-0000C8760000}"/>
    <cellStyle name="SAPBEXstdData 2 5 4 4 4" xfId="34015" xr:uid="{00000000-0005-0000-0000-0000C9760000}"/>
    <cellStyle name="SAPBEXstdData 2 5 4 5" xfId="19841" xr:uid="{00000000-0005-0000-0000-0000CA760000}"/>
    <cellStyle name="SAPBEXstdData 2 5 4 5 2" xfId="19842" xr:uid="{00000000-0005-0000-0000-0000CB760000}"/>
    <cellStyle name="SAPBEXstdData 2 5 4 5 3" xfId="34016" xr:uid="{00000000-0005-0000-0000-0000CC760000}"/>
    <cellStyle name="SAPBEXstdData 2 5 4 5 4" xfId="34017" xr:uid="{00000000-0005-0000-0000-0000CD760000}"/>
    <cellStyle name="SAPBEXstdData 2 5 4 6" xfId="19843" xr:uid="{00000000-0005-0000-0000-0000CE760000}"/>
    <cellStyle name="SAPBEXstdData 2 5 4 6 2" xfId="19844" xr:uid="{00000000-0005-0000-0000-0000CF760000}"/>
    <cellStyle name="SAPBEXstdData 2 5 4 6 3" xfId="34018" xr:uid="{00000000-0005-0000-0000-0000D0760000}"/>
    <cellStyle name="SAPBEXstdData 2 5 4 6 4" xfId="34019" xr:uid="{00000000-0005-0000-0000-0000D1760000}"/>
    <cellStyle name="SAPBEXstdData 2 5 4 7" xfId="19845" xr:uid="{00000000-0005-0000-0000-0000D2760000}"/>
    <cellStyle name="SAPBEXstdData 2 5 4 7 2" xfId="19846" xr:uid="{00000000-0005-0000-0000-0000D3760000}"/>
    <cellStyle name="SAPBEXstdData 2 5 4 7 3" xfId="34020" xr:uid="{00000000-0005-0000-0000-0000D4760000}"/>
    <cellStyle name="SAPBEXstdData 2 5 4 7 4" xfId="34021" xr:uid="{00000000-0005-0000-0000-0000D5760000}"/>
    <cellStyle name="SAPBEXstdData 2 5 4 8" xfId="19847" xr:uid="{00000000-0005-0000-0000-0000D6760000}"/>
    <cellStyle name="SAPBEXstdData 2 5 4 9" xfId="34022" xr:uid="{00000000-0005-0000-0000-0000D7760000}"/>
    <cellStyle name="SAPBEXstdData 2 5 5" xfId="19848" xr:uid="{00000000-0005-0000-0000-0000D8760000}"/>
    <cellStyle name="SAPBEXstdData 2 5 5 10" xfId="34023" xr:uid="{00000000-0005-0000-0000-0000D9760000}"/>
    <cellStyle name="SAPBEXstdData 2 5 5 2" xfId="19849" xr:uid="{00000000-0005-0000-0000-0000DA760000}"/>
    <cellStyle name="SAPBEXstdData 2 5 5 2 2" xfId="19850" xr:uid="{00000000-0005-0000-0000-0000DB760000}"/>
    <cellStyle name="SAPBEXstdData 2 5 5 2 3" xfId="34024" xr:uid="{00000000-0005-0000-0000-0000DC760000}"/>
    <cellStyle name="SAPBEXstdData 2 5 5 2 4" xfId="34025" xr:uid="{00000000-0005-0000-0000-0000DD760000}"/>
    <cellStyle name="SAPBEXstdData 2 5 5 3" xfId="19851" xr:uid="{00000000-0005-0000-0000-0000DE760000}"/>
    <cellStyle name="SAPBEXstdData 2 5 5 3 2" xfId="19852" xr:uid="{00000000-0005-0000-0000-0000DF760000}"/>
    <cellStyle name="SAPBEXstdData 2 5 5 3 3" xfId="34026" xr:uid="{00000000-0005-0000-0000-0000E0760000}"/>
    <cellStyle name="SAPBEXstdData 2 5 5 3 4" xfId="34027" xr:uid="{00000000-0005-0000-0000-0000E1760000}"/>
    <cellStyle name="SAPBEXstdData 2 5 5 4" xfId="19853" xr:uid="{00000000-0005-0000-0000-0000E2760000}"/>
    <cellStyle name="SAPBEXstdData 2 5 5 4 2" xfId="19854" xr:uid="{00000000-0005-0000-0000-0000E3760000}"/>
    <cellStyle name="SAPBEXstdData 2 5 5 4 3" xfId="34028" xr:uid="{00000000-0005-0000-0000-0000E4760000}"/>
    <cellStyle name="SAPBEXstdData 2 5 5 4 4" xfId="34029" xr:uid="{00000000-0005-0000-0000-0000E5760000}"/>
    <cellStyle name="SAPBEXstdData 2 5 5 5" xfId="19855" xr:uid="{00000000-0005-0000-0000-0000E6760000}"/>
    <cellStyle name="SAPBEXstdData 2 5 5 5 2" xfId="19856" xr:uid="{00000000-0005-0000-0000-0000E7760000}"/>
    <cellStyle name="SAPBEXstdData 2 5 5 5 3" xfId="34030" xr:uid="{00000000-0005-0000-0000-0000E8760000}"/>
    <cellStyle name="SAPBEXstdData 2 5 5 5 4" xfId="34031" xr:uid="{00000000-0005-0000-0000-0000E9760000}"/>
    <cellStyle name="SAPBEXstdData 2 5 5 6" xfId="19857" xr:uid="{00000000-0005-0000-0000-0000EA760000}"/>
    <cellStyle name="SAPBEXstdData 2 5 5 6 2" xfId="19858" xr:uid="{00000000-0005-0000-0000-0000EB760000}"/>
    <cellStyle name="SAPBEXstdData 2 5 5 6 3" xfId="34032" xr:uid="{00000000-0005-0000-0000-0000EC760000}"/>
    <cellStyle name="SAPBEXstdData 2 5 5 6 4" xfId="34033" xr:uid="{00000000-0005-0000-0000-0000ED760000}"/>
    <cellStyle name="SAPBEXstdData 2 5 5 7" xfId="19859" xr:uid="{00000000-0005-0000-0000-0000EE760000}"/>
    <cellStyle name="SAPBEXstdData 2 5 5 7 2" xfId="19860" xr:uid="{00000000-0005-0000-0000-0000EF760000}"/>
    <cellStyle name="SAPBEXstdData 2 5 5 7 3" xfId="34034" xr:uid="{00000000-0005-0000-0000-0000F0760000}"/>
    <cellStyle name="SAPBEXstdData 2 5 5 7 4" xfId="34035" xr:uid="{00000000-0005-0000-0000-0000F1760000}"/>
    <cellStyle name="SAPBEXstdData 2 5 5 8" xfId="19861" xr:uid="{00000000-0005-0000-0000-0000F2760000}"/>
    <cellStyle name="SAPBEXstdData 2 5 5 9" xfId="34036" xr:uid="{00000000-0005-0000-0000-0000F3760000}"/>
    <cellStyle name="SAPBEXstdData 2 5 6" xfId="19862" xr:uid="{00000000-0005-0000-0000-0000F4760000}"/>
    <cellStyle name="SAPBEXstdData 2 5 6 2" xfId="19863" xr:uid="{00000000-0005-0000-0000-0000F5760000}"/>
    <cellStyle name="SAPBEXstdData 2 5 6 3" xfId="34037" xr:uid="{00000000-0005-0000-0000-0000F6760000}"/>
    <cellStyle name="SAPBEXstdData 2 5 6 4" xfId="34038" xr:uid="{00000000-0005-0000-0000-0000F7760000}"/>
    <cellStyle name="SAPBEXstdData 2 5 7" xfId="19864" xr:uid="{00000000-0005-0000-0000-0000F8760000}"/>
    <cellStyle name="SAPBEXstdData 2 5 7 2" xfId="19865" xr:uid="{00000000-0005-0000-0000-0000F9760000}"/>
    <cellStyle name="SAPBEXstdData 2 5 7 3" xfId="34039" xr:uid="{00000000-0005-0000-0000-0000FA760000}"/>
    <cellStyle name="SAPBEXstdData 2 5 7 4" xfId="34040" xr:uid="{00000000-0005-0000-0000-0000FB760000}"/>
    <cellStyle name="SAPBEXstdData 2 5 8" xfId="19866" xr:uid="{00000000-0005-0000-0000-0000FC760000}"/>
    <cellStyle name="SAPBEXstdData 2 5 8 2" xfId="19867" xr:uid="{00000000-0005-0000-0000-0000FD760000}"/>
    <cellStyle name="SAPBEXstdData 2 5 8 3" xfId="34041" xr:uid="{00000000-0005-0000-0000-0000FE760000}"/>
    <cellStyle name="SAPBEXstdData 2 5 8 4" xfId="34042" xr:uid="{00000000-0005-0000-0000-0000FF760000}"/>
    <cellStyle name="SAPBEXstdData 2 5 9" xfId="19868" xr:uid="{00000000-0005-0000-0000-000000770000}"/>
    <cellStyle name="SAPBEXstdData 2 5 9 2" xfId="19869" xr:uid="{00000000-0005-0000-0000-000001770000}"/>
    <cellStyle name="SAPBEXstdData 2 5 9 3" xfId="34043" xr:uid="{00000000-0005-0000-0000-000002770000}"/>
    <cellStyle name="SAPBEXstdData 2 5 9 4" xfId="34044" xr:uid="{00000000-0005-0000-0000-000003770000}"/>
    <cellStyle name="SAPBEXstdData 2 6" xfId="19870" xr:uid="{00000000-0005-0000-0000-000004770000}"/>
    <cellStyle name="SAPBEXstdData 2 6 10" xfId="19871" xr:uid="{00000000-0005-0000-0000-000005770000}"/>
    <cellStyle name="SAPBEXstdData 2 6 10 2" xfId="19872" xr:uid="{00000000-0005-0000-0000-000006770000}"/>
    <cellStyle name="SAPBEXstdData 2 6 10 3" xfId="34045" xr:uid="{00000000-0005-0000-0000-000007770000}"/>
    <cellStyle name="SAPBEXstdData 2 6 10 4" xfId="34046" xr:uid="{00000000-0005-0000-0000-000008770000}"/>
    <cellStyle name="SAPBEXstdData 2 6 11" xfId="19873" xr:uid="{00000000-0005-0000-0000-000009770000}"/>
    <cellStyle name="SAPBEXstdData 2 6 11 2" xfId="19874" xr:uid="{00000000-0005-0000-0000-00000A770000}"/>
    <cellStyle name="SAPBEXstdData 2 6 11 3" xfId="34047" xr:uid="{00000000-0005-0000-0000-00000B770000}"/>
    <cellStyle name="SAPBEXstdData 2 6 11 4" xfId="34048" xr:uid="{00000000-0005-0000-0000-00000C770000}"/>
    <cellStyle name="SAPBEXstdData 2 6 12" xfId="19875" xr:uid="{00000000-0005-0000-0000-00000D770000}"/>
    <cellStyle name="SAPBEXstdData 2 6 13" xfId="34049" xr:uid="{00000000-0005-0000-0000-00000E770000}"/>
    <cellStyle name="SAPBEXstdData 2 6 14" xfId="34050" xr:uid="{00000000-0005-0000-0000-00000F770000}"/>
    <cellStyle name="SAPBEXstdData 2 6 2" xfId="19876" xr:uid="{00000000-0005-0000-0000-000010770000}"/>
    <cellStyle name="SAPBEXstdData 2 6 2 10" xfId="34051" xr:uid="{00000000-0005-0000-0000-000011770000}"/>
    <cellStyle name="SAPBEXstdData 2 6 2 2" xfId="19877" xr:uid="{00000000-0005-0000-0000-000012770000}"/>
    <cellStyle name="SAPBEXstdData 2 6 2 2 2" xfId="19878" xr:uid="{00000000-0005-0000-0000-000013770000}"/>
    <cellStyle name="SAPBEXstdData 2 6 2 2 3" xfId="34052" xr:uid="{00000000-0005-0000-0000-000014770000}"/>
    <cellStyle name="SAPBEXstdData 2 6 2 2 4" xfId="34053" xr:uid="{00000000-0005-0000-0000-000015770000}"/>
    <cellStyle name="SAPBEXstdData 2 6 2 3" xfId="19879" xr:uid="{00000000-0005-0000-0000-000016770000}"/>
    <cellStyle name="SAPBEXstdData 2 6 2 3 2" xfId="19880" xr:uid="{00000000-0005-0000-0000-000017770000}"/>
    <cellStyle name="SAPBEXstdData 2 6 2 3 3" xfId="34054" xr:uid="{00000000-0005-0000-0000-000018770000}"/>
    <cellStyle name="SAPBEXstdData 2 6 2 3 4" xfId="34055" xr:uid="{00000000-0005-0000-0000-000019770000}"/>
    <cellStyle name="SAPBEXstdData 2 6 2 4" xfId="19881" xr:uid="{00000000-0005-0000-0000-00001A770000}"/>
    <cellStyle name="SAPBEXstdData 2 6 2 4 2" xfId="19882" xr:uid="{00000000-0005-0000-0000-00001B770000}"/>
    <cellStyle name="SAPBEXstdData 2 6 2 4 3" xfId="34056" xr:uid="{00000000-0005-0000-0000-00001C770000}"/>
    <cellStyle name="SAPBEXstdData 2 6 2 4 4" xfId="34057" xr:uid="{00000000-0005-0000-0000-00001D770000}"/>
    <cellStyle name="SAPBEXstdData 2 6 2 5" xfId="19883" xr:uid="{00000000-0005-0000-0000-00001E770000}"/>
    <cellStyle name="SAPBEXstdData 2 6 2 5 2" xfId="19884" xr:uid="{00000000-0005-0000-0000-00001F770000}"/>
    <cellStyle name="SAPBEXstdData 2 6 2 5 3" xfId="34058" xr:uid="{00000000-0005-0000-0000-000020770000}"/>
    <cellStyle name="SAPBEXstdData 2 6 2 5 4" xfId="34059" xr:uid="{00000000-0005-0000-0000-000021770000}"/>
    <cellStyle name="SAPBEXstdData 2 6 2 6" xfId="19885" xr:uid="{00000000-0005-0000-0000-000022770000}"/>
    <cellStyle name="SAPBEXstdData 2 6 2 6 2" xfId="19886" xr:uid="{00000000-0005-0000-0000-000023770000}"/>
    <cellStyle name="SAPBEXstdData 2 6 2 6 3" xfId="34060" xr:uid="{00000000-0005-0000-0000-000024770000}"/>
    <cellStyle name="SAPBEXstdData 2 6 2 6 4" xfId="34061" xr:uid="{00000000-0005-0000-0000-000025770000}"/>
    <cellStyle name="SAPBEXstdData 2 6 2 7" xfId="19887" xr:uid="{00000000-0005-0000-0000-000026770000}"/>
    <cellStyle name="SAPBEXstdData 2 6 2 7 2" xfId="19888" xr:uid="{00000000-0005-0000-0000-000027770000}"/>
    <cellStyle name="SAPBEXstdData 2 6 2 7 3" xfId="34062" xr:uid="{00000000-0005-0000-0000-000028770000}"/>
    <cellStyle name="SAPBEXstdData 2 6 2 7 4" xfId="34063" xr:uid="{00000000-0005-0000-0000-000029770000}"/>
    <cellStyle name="SAPBEXstdData 2 6 2 8" xfId="19889" xr:uid="{00000000-0005-0000-0000-00002A770000}"/>
    <cellStyle name="SAPBEXstdData 2 6 2 9" xfId="34064" xr:uid="{00000000-0005-0000-0000-00002B770000}"/>
    <cellStyle name="SAPBEXstdData 2 6 3" xfId="19890" xr:uid="{00000000-0005-0000-0000-00002C770000}"/>
    <cellStyle name="SAPBEXstdData 2 6 3 10" xfId="34065" xr:uid="{00000000-0005-0000-0000-00002D770000}"/>
    <cellStyle name="SAPBEXstdData 2 6 3 2" xfId="19891" xr:uid="{00000000-0005-0000-0000-00002E770000}"/>
    <cellStyle name="SAPBEXstdData 2 6 3 2 2" xfId="19892" xr:uid="{00000000-0005-0000-0000-00002F770000}"/>
    <cellStyle name="SAPBEXstdData 2 6 3 2 3" xfId="34066" xr:uid="{00000000-0005-0000-0000-000030770000}"/>
    <cellStyle name="SAPBEXstdData 2 6 3 2 4" xfId="34067" xr:uid="{00000000-0005-0000-0000-000031770000}"/>
    <cellStyle name="SAPBEXstdData 2 6 3 3" xfId="19893" xr:uid="{00000000-0005-0000-0000-000032770000}"/>
    <cellStyle name="SAPBEXstdData 2 6 3 3 2" xfId="19894" xr:uid="{00000000-0005-0000-0000-000033770000}"/>
    <cellStyle name="SAPBEXstdData 2 6 3 3 3" xfId="34068" xr:uid="{00000000-0005-0000-0000-000034770000}"/>
    <cellStyle name="SAPBEXstdData 2 6 3 3 4" xfId="34069" xr:uid="{00000000-0005-0000-0000-000035770000}"/>
    <cellStyle name="SAPBEXstdData 2 6 3 4" xfId="19895" xr:uid="{00000000-0005-0000-0000-000036770000}"/>
    <cellStyle name="SAPBEXstdData 2 6 3 4 2" xfId="19896" xr:uid="{00000000-0005-0000-0000-000037770000}"/>
    <cellStyle name="SAPBEXstdData 2 6 3 4 3" xfId="34070" xr:uid="{00000000-0005-0000-0000-000038770000}"/>
    <cellStyle name="SAPBEXstdData 2 6 3 4 4" xfId="34071" xr:uid="{00000000-0005-0000-0000-000039770000}"/>
    <cellStyle name="SAPBEXstdData 2 6 3 5" xfId="19897" xr:uid="{00000000-0005-0000-0000-00003A770000}"/>
    <cellStyle name="SAPBEXstdData 2 6 3 5 2" xfId="19898" xr:uid="{00000000-0005-0000-0000-00003B770000}"/>
    <cellStyle name="SAPBEXstdData 2 6 3 5 3" xfId="34072" xr:uid="{00000000-0005-0000-0000-00003C770000}"/>
    <cellStyle name="SAPBEXstdData 2 6 3 5 4" xfId="34073" xr:uid="{00000000-0005-0000-0000-00003D770000}"/>
    <cellStyle name="SAPBEXstdData 2 6 3 6" xfId="19899" xr:uid="{00000000-0005-0000-0000-00003E770000}"/>
    <cellStyle name="SAPBEXstdData 2 6 3 6 2" xfId="19900" xr:uid="{00000000-0005-0000-0000-00003F770000}"/>
    <cellStyle name="SAPBEXstdData 2 6 3 6 3" xfId="34074" xr:uid="{00000000-0005-0000-0000-000040770000}"/>
    <cellStyle name="SAPBEXstdData 2 6 3 6 4" xfId="34075" xr:uid="{00000000-0005-0000-0000-000041770000}"/>
    <cellStyle name="SAPBEXstdData 2 6 3 7" xfId="19901" xr:uid="{00000000-0005-0000-0000-000042770000}"/>
    <cellStyle name="SAPBEXstdData 2 6 3 7 2" xfId="19902" xr:uid="{00000000-0005-0000-0000-000043770000}"/>
    <cellStyle name="SAPBEXstdData 2 6 3 7 3" xfId="34076" xr:uid="{00000000-0005-0000-0000-000044770000}"/>
    <cellStyle name="SAPBEXstdData 2 6 3 7 4" xfId="34077" xr:uid="{00000000-0005-0000-0000-000045770000}"/>
    <cellStyle name="SAPBEXstdData 2 6 3 8" xfId="19903" xr:uid="{00000000-0005-0000-0000-000046770000}"/>
    <cellStyle name="SAPBEXstdData 2 6 3 9" xfId="34078" xr:uid="{00000000-0005-0000-0000-000047770000}"/>
    <cellStyle name="SAPBEXstdData 2 6 4" xfId="19904" xr:uid="{00000000-0005-0000-0000-000048770000}"/>
    <cellStyle name="SAPBEXstdData 2 6 4 10" xfId="34079" xr:uid="{00000000-0005-0000-0000-000049770000}"/>
    <cellStyle name="SAPBEXstdData 2 6 4 2" xfId="19905" xr:uid="{00000000-0005-0000-0000-00004A770000}"/>
    <cellStyle name="SAPBEXstdData 2 6 4 2 2" xfId="19906" xr:uid="{00000000-0005-0000-0000-00004B770000}"/>
    <cellStyle name="SAPBEXstdData 2 6 4 2 3" xfId="34080" xr:uid="{00000000-0005-0000-0000-00004C770000}"/>
    <cellStyle name="SAPBEXstdData 2 6 4 2 4" xfId="34081" xr:uid="{00000000-0005-0000-0000-00004D770000}"/>
    <cellStyle name="SAPBEXstdData 2 6 4 3" xfId="19907" xr:uid="{00000000-0005-0000-0000-00004E770000}"/>
    <cellStyle name="SAPBEXstdData 2 6 4 3 2" xfId="19908" xr:uid="{00000000-0005-0000-0000-00004F770000}"/>
    <cellStyle name="SAPBEXstdData 2 6 4 3 3" xfId="34082" xr:uid="{00000000-0005-0000-0000-000050770000}"/>
    <cellStyle name="SAPBEXstdData 2 6 4 3 4" xfId="34083" xr:uid="{00000000-0005-0000-0000-000051770000}"/>
    <cellStyle name="SAPBEXstdData 2 6 4 4" xfId="19909" xr:uid="{00000000-0005-0000-0000-000052770000}"/>
    <cellStyle name="SAPBEXstdData 2 6 4 4 2" xfId="19910" xr:uid="{00000000-0005-0000-0000-000053770000}"/>
    <cellStyle name="SAPBEXstdData 2 6 4 4 3" xfId="34084" xr:uid="{00000000-0005-0000-0000-000054770000}"/>
    <cellStyle name="SAPBEXstdData 2 6 4 4 4" xfId="34085" xr:uid="{00000000-0005-0000-0000-000055770000}"/>
    <cellStyle name="SAPBEXstdData 2 6 4 5" xfId="19911" xr:uid="{00000000-0005-0000-0000-000056770000}"/>
    <cellStyle name="SAPBEXstdData 2 6 4 5 2" xfId="19912" xr:uid="{00000000-0005-0000-0000-000057770000}"/>
    <cellStyle name="SAPBEXstdData 2 6 4 5 3" xfId="34086" xr:uid="{00000000-0005-0000-0000-000058770000}"/>
    <cellStyle name="SAPBEXstdData 2 6 4 5 4" xfId="34087" xr:uid="{00000000-0005-0000-0000-000059770000}"/>
    <cellStyle name="SAPBEXstdData 2 6 4 6" xfId="19913" xr:uid="{00000000-0005-0000-0000-00005A770000}"/>
    <cellStyle name="SAPBEXstdData 2 6 4 6 2" xfId="19914" xr:uid="{00000000-0005-0000-0000-00005B770000}"/>
    <cellStyle name="SAPBEXstdData 2 6 4 6 3" xfId="34088" xr:uid="{00000000-0005-0000-0000-00005C770000}"/>
    <cellStyle name="SAPBEXstdData 2 6 4 6 4" xfId="34089" xr:uid="{00000000-0005-0000-0000-00005D770000}"/>
    <cellStyle name="SAPBEXstdData 2 6 4 7" xfId="19915" xr:uid="{00000000-0005-0000-0000-00005E770000}"/>
    <cellStyle name="SAPBEXstdData 2 6 4 7 2" xfId="19916" xr:uid="{00000000-0005-0000-0000-00005F770000}"/>
    <cellStyle name="SAPBEXstdData 2 6 4 7 3" xfId="34090" xr:uid="{00000000-0005-0000-0000-000060770000}"/>
    <cellStyle name="SAPBEXstdData 2 6 4 7 4" xfId="34091" xr:uid="{00000000-0005-0000-0000-000061770000}"/>
    <cellStyle name="SAPBEXstdData 2 6 4 8" xfId="19917" xr:uid="{00000000-0005-0000-0000-000062770000}"/>
    <cellStyle name="SAPBEXstdData 2 6 4 9" xfId="34092" xr:uid="{00000000-0005-0000-0000-000063770000}"/>
    <cellStyle name="SAPBEXstdData 2 6 5" xfId="19918" xr:uid="{00000000-0005-0000-0000-000064770000}"/>
    <cellStyle name="SAPBEXstdData 2 6 5 10" xfId="34093" xr:uid="{00000000-0005-0000-0000-000065770000}"/>
    <cellStyle name="SAPBEXstdData 2 6 5 2" xfId="19919" xr:uid="{00000000-0005-0000-0000-000066770000}"/>
    <cellStyle name="SAPBEXstdData 2 6 5 2 2" xfId="19920" xr:uid="{00000000-0005-0000-0000-000067770000}"/>
    <cellStyle name="SAPBEXstdData 2 6 5 2 3" xfId="34094" xr:uid="{00000000-0005-0000-0000-000068770000}"/>
    <cellStyle name="SAPBEXstdData 2 6 5 2 4" xfId="34095" xr:uid="{00000000-0005-0000-0000-000069770000}"/>
    <cellStyle name="SAPBEXstdData 2 6 5 3" xfId="19921" xr:uid="{00000000-0005-0000-0000-00006A770000}"/>
    <cellStyle name="SAPBEXstdData 2 6 5 3 2" xfId="19922" xr:uid="{00000000-0005-0000-0000-00006B770000}"/>
    <cellStyle name="SAPBEXstdData 2 6 5 3 3" xfId="34096" xr:uid="{00000000-0005-0000-0000-00006C770000}"/>
    <cellStyle name="SAPBEXstdData 2 6 5 3 4" xfId="34097" xr:uid="{00000000-0005-0000-0000-00006D770000}"/>
    <cellStyle name="SAPBEXstdData 2 6 5 4" xfId="19923" xr:uid="{00000000-0005-0000-0000-00006E770000}"/>
    <cellStyle name="SAPBEXstdData 2 6 5 4 2" xfId="19924" xr:uid="{00000000-0005-0000-0000-00006F770000}"/>
    <cellStyle name="SAPBEXstdData 2 6 5 4 3" xfId="34098" xr:uid="{00000000-0005-0000-0000-000070770000}"/>
    <cellStyle name="SAPBEXstdData 2 6 5 4 4" xfId="34099" xr:uid="{00000000-0005-0000-0000-000071770000}"/>
    <cellStyle name="SAPBEXstdData 2 6 5 5" xfId="19925" xr:uid="{00000000-0005-0000-0000-000072770000}"/>
    <cellStyle name="SAPBEXstdData 2 6 5 5 2" xfId="19926" xr:uid="{00000000-0005-0000-0000-000073770000}"/>
    <cellStyle name="SAPBEXstdData 2 6 5 5 3" xfId="34100" xr:uid="{00000000-0005-0000-0000-000074770000}"/>
    <cellStyle name="SAPBEXstdData 2 6 5 5 4" xfId="34101" xr:uid="{00000000-0005-0000-0000-000075770000}"/>
    <cellStyle name="SAPBEXstdData 2 6 5 6" xfId="19927" xr:uid="{00000000-0005-0000-0000-000076770000}"/>
    <cellStyle name="SAPBEXstdData 2 6 5 6 2" xfId="19928" xr:uid="{00000000-0005-0000-0000-000077770000}"/>
    <cellStyle name="SAPBEXstdData 2 6 5 6 3" xfId="34102" xr:uid="{00000000-0005-0000-0000-000078770000}"/>
    <cellStyle name="SAPBEXstdData 2 6 5 6 4" xfId="34103" xr:uid="{00000000-0005-0000-0000-000079770000}"/>
    <cellStyle name="SAPBEXstdData 2 6 5 7" xfId="19929" xr:uid="{00000000-0005-0000-0000-00007A770000}"/>
    <cellStyle name="SAPBEXstdData 2 6 5 7 2" xfId="19930" xr:uid="{00000000-0005-0000-0000-00007B770000}"/>
    <cellStyle name="SAPBEXstdData 2 6 5 7 3" xfId="34104" xr:uid="{00000000-0005-0000-0000-00007C770000}"/>
    <cellStyle name="SAPBEXstdData 2 6 5 7 4" xfId="34105" xr:uid="{00000000-0005-0000-0000-00007D770000}"/>
    <cellStyle name="SAPBEXstdData 2 6 5 8" xfId="19931" xr:uid="{00000000-0005-0000-0000-00007E770000}"/>
    <cellStyle name="SAPBEXstdData 2 6 5 9" xfId="34106" xr:uid="{00000000-0005-0000-0000-00007F770000}"/>
    <cellStyle name="SAPBEXstdData 2 6 6" xfId="19932" xr:uid="{00000000-0005-0000-0000-000080770000}"/>
    <cellStyle name="SAPBEXstdData 2 6 6 2" xfId="19933" xr:uid="{00000000-0005-0000-0000-000081770000}"/>
    <cellStyle name="SAPBEXstdData 2 6 6 3" xfId="34107" xr:uid="{00000000-0005-0000-0000-000082770000}"/>
    <cellStyle name="SAPBEXstdData 2 6 6 4" xfId="34108" xr:uid="{00000000-0005-0000-0000-000083770000}"/>
    <cellStyle name="SAPBEXstdData 2 6 7" xfId="19934" xr:uid="{00000000-0005-0000-0000-000084770000}"/>
    <cellStyle name="SAPBEXstdData 2 6 7 2" xfId="19935" xr:uid="{00000000-0005-0000-0000-000085770000}"/>
    <cellStyle name="SAPBEXstdData 2 6 7 3" xfId="34109" xr:uid="{00000000-0005-0000-0000-000086770000}"/>
    <cellStyle name="SAPBEXstdData 2 6 7 4" xfId="34110" xr:uid="{00000000-0005-0000-0000-000087770000}"/>
    <cellStyle name="SAPBEXstdData 2 6 8" xfId="19936" xr:uid="{00000000-0005-0000-0000-000088770000}"/>
    <cellStyle name="SAPBEXstdData 2 6 8 2" xfId="19937" xr:uid="{00000000-0005-0000-0000-000089770000}"/>
    <cellStyle name="SAPBEXstdData 2 6 8 3" xfId="34111" xr:uid="{00000000-0005-0000-0000-00008A770000}"/>
    <cellStyle name="SAPBEXstdData 2 6 8 4" xfId="34112" xr:uid="{00000000-0005-0000-0000-00008B770000}"/>
    <cellStyle name="SAPBEXstdData 2 6 9" xfId="19938" xr:uid="{00000000-0005-0000-0000-00008C770000}"/>
    <cellStyle name="SAPBEXstdData 2 6 9 2" xfId="19939" xr:uid="{00000000-0005-0000-0000-00008D770000}"/>
    <cellStyle name="SAPBEXstdData 2 6 9 3" xfId="34113" xr:uid="{00000000-0005-0000-0000-00008E770000}"/>
    <cellStyle name="SAPBEXstdData 2 6 9 4" xfId="34114" xr:uid="{00000000-0005-0000-0000-00008F770000}"/>
    <cellStyle name="SAPBEXstdData 2 7" xfId="19940" xr:uid="{00000000-0005-0000-0000-000090770000}"/>
    <cellStyle name="SAPBEXstdData 2 7 10" xfId="19941" xr:uid="{00000000-0005-0000-0000-000091770000}"/>
    <cellStyle name="SAPBEXstdData 2 7 10 2" xfId="19942" xr:uid="{00000000-0005-0000-0000-000092770000}"/>
    <cellStyle name="SAPBEXstdData 2 7 10 3" xfId="34115" xr:uid="{00000000-0005-0000-0000-000093770000}"/>
    <cellStyle name="SAPBEXstdData 2 7 10 4" xfId="34116" xr:uid="{00000000-0005-0000-0000-000094770000}"/>
    <cellStyle name="SAPBEXstdData 2 7 11" xfId="19943" xr:uid="{00000000-0005-0000-0000-000095770000}"/>
    <cellStyle name="SAPBEXstdData 2 7 11 2" xfId="19944" xr:uid="{00000000-0005-0000-0000-000096770000}"/>
    <cellStyle name="SAPBEXstdData 2 7 11 3" xfId="34117" xr:uid="{00000000-0005-0000-0000-000097770000}"/>
    <cellStyle name="SAPBEXstdData 2 7 11 4" xfId="34118" xr:uid="{00000000-0005-0000-0000-000098770000}"/>
    <cellStyle name="SAPBEXstdData 2 7 12" xfId="19945" xr:uid="{00000000-0005-0000-0000-000099770000}"/>
    <cellStyle name="SAPBEXstdData 2 7 13" xfId="34119" xr:uid="{00000000-0005-0000-0000-00009A770000}"/>
    <cellStyle name="SAPBEXstdData 2 7 14" xfId="34120" xr:uid="{00000000-0005-0000-0000-00009B770000}"/>
    <cellStyle name="SAPBEXstdData 2 7 2" xfId="19946" xr:uid="{00000000-0005-0000-0000-00009C770000}"/>
    <cellStyle name="SAPBEXstdData 2 7 2 10" xfId="34121" xr:uid="{00000000-0005-0000-0000-00009D770000}"/>
    <cellStyle name="SAPBEXstdData 2 7 2 2" xfId="19947" xr:uid="{00000000-0005-0000-0000-00009E770000}"/>
    <cellStyle name="SAPBEXstdData 2 7 2 2 2" xfId="19948" xr:uid="{00000000-0005-0000-0000-00009F770000}"/>
    <cellStyle name="SAPBEXstdData 2 7 2 2 3" xfId="34122" xr:uid="{00000000-0005-0000-0000-0000A0770000}"/>
    <cellStyle name="SAPBEXstdData 2 7 2 2 4" xfId="34123" xr:uid="{00000000-0005-0000-0000-0000A1770000}"/>
    <cellStyle name="SAPBEXstdData 2 7 2 3" xfId="19949" xr:uid="{00000000-0005-0000-0000-0000A2770000}"/>
    <cellStyle name="SAPBEXstdData 2 7 2 3 2" xfId="19950" xr:uid="{00000000-0005-0000-0000-0000A3770000}"/>
    <cellStyle name="SAPBEXstdData 2 7 2 3 3" xfId="34124" xr:uid="{00000000-0005-0000-0000-0000A4770000}"/>
    <cellStyle name="SAPBEXstdData 2 7 2 3 4" xfId="34125" xr:uid="{00000000-0005-0000-0000-0000A5770000}"/>
    <cellStyle name="SAPBEXstdData 2 7 2 4" xfId="19951" xr:uid="{00000000-0005-0000-0000-0000A6770000}"/>
    <cellStyle name="SAPBEXstdData 2 7 2 4 2" xfId="19952" xr:uid="{00000000-0005-0000-0000-0000A7770000}"/>
    <cellStyle name="SAPBEXstdData 2 7 2 4 3" xfId="34126" xr:uid="{00000000-0005-0000-0000-0000A8770000}"/>
    <cellStyle name="SAPBEXstdData 2 7 2 4 4" xfId="34127" xr:uid="{00000000-0005-0000-0000-0000A9770000}"/>
    <cellStyle name="SAPBEXstdData 2 7 2 5" xfId="19953" xr:uid="{00000000-0005-0000-0000-0000AA770000}"/>
    <cellStyle name="SAPBEXstdData 2 7 2 5 2" xfId="19954" xr:uid="{00000000-0005-0000-0000-0000AB770000}"/>
    <cellStyle name="SAPBEXstdData 2 7 2 5 3" xfId="34128" xr:uid="{00000000-0005-0000-0000-0000AC770000}"/>
    <cellStyle name="SAPBEXstdData 2 7 2 5 4" xfId="34129" xr:uid="{00000000-0005-0000-0000-0000AD770000}"/>
    <cellStyle name="SAPBEXstdData 2 7 2 6" xfId="19955" xr:uid="{00000000-0005-0000-0000-0000AE770000}"/>
    <cellStyle name="SAPBEXstdData 2 7 2 6 2" xfId="19956" xr:uid="{00000000-0005-0000-0000-0000AF770000}"/>
    <cellStyle name="SAPBEXstdData 2 7 2 6 3" xfId="34130" xr:uid="{00000000-0005-0000-0000-0000B0770000}"/>
    <cellStyle name="SAPBEXstdData 2 7 2 6 4" xfId="34131" xr:uid="{00000000-0005-0000-0000-0000B1770000}"/>
    <cellStyle name="SAPBEXstdData 2 7 2 7" xfId="19957" xr:uid="{00000000-0005-0000-0000-0000B2770000}"/>
    <cellStyle name="SAPBEXstdData 2 7 2 7 2" xfId="19958" xr:uid="{00000000-0005-0000-0000-0000B3770000}"/>
    <cellStyle name="SAPBEXstdData 2 7 2 7 3" xfId="34132" xr:uid="{00000000-0005-0000-0000-0000B4770000}"/>
    <cellStyle name="SAPBEXstdData 2 7 2 7 4" xfId="34133" xr:uid="{00000000-0005-0000-0000-0000B5770000}"/>
    <cellStyle name="SAPBEXstdData 2 7 2 8" xfId="19959" xr:uid="{00000000-0005-0000-0000-0000B6770000}"/>
    <cellStyle name="SAPBEXstdData 2 7 2 9" xfId="34134" xr:uid="{00000000-0005-0000-0000-0000B7770000}"/>
    <cellStyle name="SAPBEXstdData 2 7 3" xfId="19960" xr:uid="{00000000-0005-0000-0000-0000B8770000}"/>
    <cellStyle name="SAPBEXstdData 2 7 3 10" xfId="34135" xr:uid="{00000000-0005-0000-0000-0000B9770000}"/>
    <cellStyle name="SAPBEXstdData 2 7 3 2" xfId="19961" xr:uid="{00000000-0005-0000-0000-0000BA770000}"/>
    <cellStyle name="SAPBEXstdData 2 7 3 2 2" xfId="19962" xr:uid="{00000000-0005-0000-0000-0000BB770000}"/>
    <cellStyle name="SAPBEXstdData 2 7 3 2 3" xfId="34136" xr:uid="{00000000-0005-0000-0000-0000BC770000}"/>
    <cellStyle name="SAPBEXstdData 2 7 3 2 4" xfId="34137" xr:uid="{00000000-0005-0000-0000-0000BD770000}"/>
    <cellStyle name="SAPBEXstdData 2 7 3 3" xfId="19963" xr:uid="{00000000-0005-0000-0000-0000BE770000}"/>
    <cellStyle name="SAPBEXstdData 2 7 3 3 2" xfId="19964" xr:uid="{00000000-0005-0000-0000-0000BF770000}"/>
    <cellStyle name="SAPBEXstdData 2 7 3 3 3" xfId="34138" xr:uid="{00000000-0005-0000-0000-0000C0770000}"/>
    <cellStyle name="SAPBEXstdData 2 7 3 3 4" xfId="34139" xr:uid="{00000000-0005-0000-0000-0000C1770000}"/>
    <cellStyle name="SAPBEXstdData 2 7 3 4" xfId="19965" xr:uid="{00000000-0005-0000-0000-0000C2770000}"/>
    <cellStyle name="SAPBEXstdData 2 7 3 4 2" xfId="19966" xr:uid="{00000000-0005-0000-0000-0000C3770000}"/>
    <cellStyle name="SAPBEXstdData 2 7 3 4 3" xfId="34140" xr:uid="{00000000-0005-0000-0000-0000C4770000}"/>
    <cellStyle name="SAPBEXstdData 2 7 3 4 4" xfId="34141" xr:uid="{00000000-0005-0000-0000-0000C5770000}"/>
    <cellStyle name="SAPBEXstdData 2 7 3 5" xfId="19967" xr:uid="{00000000-0005-0000-0000-0000C6770000}"/>
    <cellStyle name="SAPBEXstdData 2 7 3 5 2" xfId="19968" xr:uid="{00000000-0005-0000-0000-0000C7770000}"/>
    <cellStyle name="SAPBEXstdData 2 7 3 5 3" xfId="34142" xr:uid="{00000000-0005-0000-0000-0000C8770000}"/>
    <cellStyle name="SAPBEXstdData 2 7 3 5 4" xfId="34143" xr:uid="{00000000-0005-0000-0000-0000C9770000}"/>
    <cellStyle name="SAPBEXstdData 2 7 3 6" xfId="19969" xr:uid="{00000000-0005-0000-0000-0000CA770000}"/>
    <cellStyle name="SAPBEXstdData 2 7 3 6 2" xfId="19970" xr:uid="{00000000-0005-0000-0000-0000CB770000}"/>
    <cellStyle name="SAPBEXstdData 2 7 3 6 3" xfId="34144" xr:uid="{00000000-0005-0000-0000-0000CC770000}"/>
    <cellStyle name="SAPBEXstdData 2 7 3 6 4" xfId="34145" xr:uid="{00000000-0005-0000-0000-0000CD770000}"/>
    <cellStyle name="SAPBEXstdData 2 7 3 7" xfId="19971" xr:uid="{00000000-0005-0000-0000-0000CE770000}"/>
    <cellStyle name="SAPBEXstdData 2 7 3 7 2" xfId="19972" xr:uid="{00000000-0005-0000-0000-0000CF770000}"/>
    <cellStyle name="SAPBEXstdData 2 7 3 7 3" xfId="34146" xr:uid="{00000000-0005-0000-0000-0000D0770000}"/>
    <cellStyle name="SAPBEXstdData 2 7 3 7 4" xfId="34147" xr:uid="{00000000-0005-0000-0000-0000D1770000}"/>
    <cellStyle name="SAPBEXstdData 2 7 3 8" xfId="19973" xr:uid="{00000000-0005-0000-0000-0000D2770000}"/>
    <cellStyle name="SAPBEXstdData 2 7 3 9" xfId="34148" xr:uid="{00000000-0005-0000-0000-0000D3770000}"/>
    <cellStyle name="SAPBEXstdData 2 7 4" xfId="19974" xr:uid="{00000000-0005-0000-0000-0000D4770000}"/>
    <cellStyle name="SAPBEXstdData 2 7 4 10" xfId="34149" xr:uid="{00000000-0005-0000-0000-0000D5770000}"/>
    <cellStyle name="SAPBEXstdData 2 7 4 2" xfId="19975" xr:uid="{00000000-0005-0000-0000-0000D6770000}"/>
    <cellStyle name="SAPBEXstdData 2 7 4 2 2" xfId="19976" xr:uid="{00000000-0005-0000-0000-0000D7770000}"/>
    <cellStyle name="SAPBEXstdData 2 7 4 2 3" xfId="34150" xr:uid="{00000000-0005-0000-0000-0000D8770000}"/>
    <cellStyle name="SAPBEXstdData 2 7 4 2 4" xfId="34151" xr:uid="{00000000-0005-0000-0000-0000D9770000}"/>
    <cellStyle name="SAPBEXstdData 2 7 4 3" xfId="19977" xr:uid="{00000000-0005-0000-0000-0000DA770000}"/>
    <cellStyle name="SAPBEXstdData 2 7 4 3 2" xfId="19978" xr:uid="{00000000-0005-0000-0000-0000DB770000}"/>
    <cellStyle name="SAPBEXstdData 2 7 4 3 3" xfId="34152" xr:uid="{00000000-0005-0000-0000-0000DC770000}"/>
    <cellStyle name="SAPBEXstdData 2 7 4 3 4" xfId="34153" xr:uid="{00000000-0005-0000-0000-0000DD770000}"/>
    <cellStyle name="SAPBEXstdData 2 7 4 4" xfId="19979" xr:uid="{00000000-0005-0000-0000-0000DE770000}"/>
    <cellStyle name="SAPBEXstdData 2 7 4 4 2" xfId="19980" xr:uid="{00000000-0005-0000-0000-0000DF770000}"/>
    <cellStyle name="SAPBEXstdData 2 7 4 4 3" xfId="34154" xr:uid="{00000000-0005-0000-0000-0000E0770000}"/>
    <cellStyle name="SAPBEXstdData 2 7 4 4 4" xfId="34155" xr:uid="{00000000-0005-0000-0000-0000E1770000}"/>
    <cellStyle name="SAPBEXstdData 2 7 4 5" xfId="19981" xr:uid="{00000000-0005-0000-0000-0000E2770000}"/>
    <cellStyle name="SAPBEXstdData 2 7 4 5 2" xfId="19982" xr:uid="{00000000-0005-0000-0000-0000E3770000}"/>
    <cellStyle name="SAPBEXstdData 2 7 4 5 3" xfId="34156" xr:uid="{00000000-0005-0000-0000-0000E4770000}"/>
    <cellStyle name="SAPBEXstdData 2 7 4 5 4" xfId="34157" xr:uid="{00000000-0005-0000-0000-0000E5770000}"/>
    <cellStyle name="SAPBEXstdData 2 7 4 6" xfId="19983" xr:uid="{00000000-0005-0000-0000-0000E6770000}"/>
    <cellStyle name="SAPBEXstdData 2 7 4 6 2" xfId="19984" xr:uid="{00000000-0005-0000-0000-0000E7770000}"/>
    <cellStyle name="SAPBEXstdData 2 7 4 6 3" xfId="34158" xr:uid="{00000000-0005-0000-0000-0000E8770000}"/>
    <cellStyle name="SAPBEXstdData 2 7 4 6 4" xfId="34159" xr:uid="{00000000-0005-0000-0000-0000E9770000}"/>
    <cellStyle name="SAPBEXstdData 2 7 4 7" xfId="19985" xr:uid="{00000000-0005-0000-0000-0000EA770000}"/>
    <cellStyle name="SAPBEXstdData 2 7 4 7 2" xfId="19986" xr:uid="{00000000-0005-0000-0000-0000EB770000}"/>
    <cellStyle name="SAPBEXstdData 2 7 4 7 3" xfId="34160" xr:uid="{00000000-0005-0000-0000-0000EC770000}"/>
    <cellStyle name="SAPBEXstdData 2 7 4 7 4" xfId="34161" xr:uid="{00000000-0005-0000-0000-0000ED770000}"/>
    <cellStyle name="SAPBEXstdData 2 7 4 8" xfId="19987" xr:uid="{00000000-0005-0000-0000-0000EE770000}"/>
    <cellStyle name="SAPBEXstdData 2 7 4 9" xfId="34162" xr:uid="{00000000-0005-0000-0000-0000EF770000}"/>
    <cellStyle name="SAPBEXstdData 2 7 5" xfId="19988" xr:uid="{00000000-0005-0000-0000-0000F0770000}"/>
    <cellStyle name="SAPBEXstdData 2 7 5 10" xfId="34163" xr:uid="{00000000-0005-0000-0000-0000F1770000}"/>
    <cellStyle name="SAPBEXstdData 2 7 5 2" xfId="19989" xr:uid="{00000000-0005-0000-0000-0000F2770000}"/>
    <cellStyle name="SAPBEXstdData 2 7 5 2 2" xfId="19990" xr:uid="{00000000-0005-0000-0000-0000F3770000}"/>
    <cellStyle name="SAPBEXstdData 2 7 5 2 3" xfId="34164" xr:uid="{00000000-0005-0000-0000-0000F4770000}"/>
    <cellStyle name="SAPBEXstdData 2 7 5 2 4" xfId="34165" xr:uid="{00000000-0005-0000-0000-0000F5770000}"/>
    <cellStyle name="SAPBEXstdData 2 7 5 3" xfId="19991" xr:uid="{00000000-0005-0000-0000-0000F6770000}"/>
    <cellStyle name="SAPBEXstdData 2 7 5 3 2" xfId="19992" xr:uid="{00000000-0005-0000-0000-0000F7770000}"/>
    <cellStyle name="SAPBEXstdData 2 7 5 3 3" xfId="34166" xr:uid="{00000000-0005-0000-0000-0000F8770000}"/>
    <cellStyle name="SAPBEXstdData 2 7 5 3 4" xfId="34167" xr:uid="{00000000-0005-0000-0000-0000F9770000}"/>
    <cellStyle name="SAPBEXstdData 2 7 5 4" xfId="19993" xr:uid="{00000000-0005-0000-0000-0000FA770000}"/>
    <cellStyle name="SAPBEXstdData 2 7 5 4 2" xfId="19994" xr:uid="{00000000-0005-0000-0000-0000FB770000}"/>
    <cellStyle name="SAPBEXstdData 2 7 5 4 3" xfId="34168" xr:uid="{00000000-0005-0000-0000-0000FC770000}"/>
    <cellStyle name="SAPBEXstdData 2 7 5 4 4" xfId="34169" xr:uid="{00000000-0005-0000-0000-0000FD770000}"/>
    <cellStyle name="SAPBEXstdData 2 7 5 5" xfId="19995" xr:uid="{00000000-0005-0000-0000-0000FE770000}"/>
    <cellStyle name="SAPBEXstdData 2 7 5 5 2" xfId="19996" xr:uid="{00000000-0005-0000-0000-0000FF770000}"/>
    <cellStyle name="SAPBEXstdData 2 7 5 5 3" xfId="34170" xr:uid="{00000000-0005-0000-0000-000000780000}"/>
    <cellStyle name="SAPBEXstdData 2 7 5 5 4" xfId="34171" xr:uid="{00000000-0005-0000-0000-000001780000}"/>
    <cellStyle name="SAPBEXstdData 2 7 5 6" xfId="19997" xr:uid="{00000000-0005-0000-0000-000002780000}"/>
    <cellStyle name="SAPBEXstdData 2 7 5 6 2" xfId="19998" xr:uid="{00000000-0005-0000-0000-000003780000}"/>
    <cellStyle name="SAPBEXstdData 2 7 5 6 3" xfId="34172" xr:uid="{00000000-0005-0000-0000-000004780000}"/>
    <cellStyle name="SAPBEXstdData 2 7 5 6 4" xfId="34173" xr:uid="{00000000-0005-0000-0000-000005780000}"/>
    <cellStyle name="SAPBEXstdData 2 7 5 7" xfId="19999" xr:uid="{00000000-0005-0000-0000-000006780000}"/>
    <cellStyle name="SAPBEXstdData 2 7 5 7 2" xfId="20000" xr:uid="{00000000-0005-0000-0000-000007780000}"/>
    <cellStyle name="SAPBEXstdData 2 7 5 7 3" xfId="34174" xr:uid="{00000000-0005-0000-0000-000008780000}"/>
    <cellStyle name="SAPBEXstdData 2 7 5 7 4" xfId="34175" xr:uid="{00000000-0005-0000-0000-000009780000}"/>
    <cellStyle name="SAPBEXstdData 2 7 5 8" xfId="20001" xr:uid="{00000000-0005-0000-0000-00000A780000}"/>
    <cellStyle name="SAPBEXstdData 2 7 5 9" xfId="34176" xr:uid="{00000000-0005-0000-0000-00000B780000}"/>
    <cellStyle name="SAPBEXstdData 2 7 6" xfId="20002" xr:uid="{00000000-0005-0000-0000-00000C780000}"/>
    <cellStyle name="SAPBEXstdData 2 7 6 2" xfId="20003" xr:uid="{00000000-0005-0000-0000-00000D780000}"/>
    <cellStyle name="SAPBEXstdData 2 7 6 3" xfId="34177" xr:uid="{00000000-0005-0000-0000-00000E780000}"/>
    <cellStyle name="SAPBEXstdData 2 7 6 4" xfId="34178" xr:uid="{00000000-0005-0000-0000-00000F780000}"/>
    <cellStyle name="SAPBEXstdData 2 7 7" xfId="20004" xr:uid="{00000000-0005-0000-0000-000010780000}"/>
    <cellStyle name="SAPBEXstdData 2 7 7 2" xfId="20005" xr:uid="{00000000-0005-0000-0000-000011780000}"/>
    <cellStyle name="SAPBEXstdData 2 7 7 3" xfId="34179" xr:uid="{00000000-0005-0000-0000-000012780000}"/>
    <cellStyle name="SAPBEXstdData 2 7 7 4" xfId="34180" xr:uid="{00000000-0005-0000-0000-000013780000}"/>
    <cellStyle name="SAPBEXstdData 2 7 8" xfId="20006" xr:uid="{00000000-0005-0000-0000-000014780000}"/>
    <cellStyle name="SAPBEXstdData 2 7 8 2" xfId="20007" xr:uid="{00000000-0005-0000-0000-000015780000}"/>
    <cellStyle name="SAPBEXstdData 2 7 8 3" xfId="34181" xr:uid="{00000000-0005-0000-0000-000016780000}"/>
    <cellStyle name="SAPBEXstdData 2 7 8 4" xfId="34182" xr:uid="{00000000-0005-0000-0000-000017780000}"/>
    <cellStyle name="SAPBEXstdData 2 7 9" xfId="20008" xr:uid="{00000000-0005-0000-0000-000018780000}"/>
    <cellStyle name="SAPBEXstdData 2 7 9 2" xfId="20009" xr:uid="{00000000-0005-0000-0000-000019780000}"/>
    <cellStyle name="SAPBEXstdData 2 7 9 3" xfId="34183" xr:uid="{00000000-0005-0000-0000-00001A780000}"/>
    <cellStyle name="SAPBEXstdData 2 7 9 4" xfId="34184" xr:uid="{00000000-0005-0000-0000-00001B780000}"/>
    <cellStyle name="SAPBEXstdData 2 8" xfId="20010" xr:uid="{00000000-0005-0000-0000-00001C780000}"/>
    <cellStyle name="SAPBEXstdData 2 8 10" xfId="20011" xr:uid="{00000000-0005-0000-0000-00001D780000}"/>
    <cellStyle name="SAPBEXstdData 2 8 10 2" xfId="20012" xr:uid="{00000000-0005-0000-0000-00001E780000}"/>
    <cellStyle name="SAPBEXstdData 2 8 10 3" xfId="34185" xr:uid="{00000000-0005-0000-0000-00001F780000}"/>
    <cellStyle name="SAPBEXstdData 2 8 10 4" xfId="34186" xr:uid="{00000000-0005-0000-0000-000020780000}"/>
    <cellStyle name="SAPBEXstdData 2 8 11" xfId="20013" xr:uid="{00000000-0005-0000-0000-000021780000}"/>
    <cellStyle name="SAPBEXstdData 2 8 11 2" xfId="20014" xr:uid="{00000000-0005-0000-0000-000022780000}"/>
    <cellStyle name="SAPBEXstdData 2 8 11 3" xfId="34187" xr:uid="{00000000-0005-0000-0000-000023780000}"/>
    <cellStyle name="SAPBEXstdData 2 8 11 4" xfId="34188" xr:uid="{00000000-0005-0000-0000-000024780000}"/>
    <cellStyle name="SAPBEXstdData 2 8 12" xfId="20015" xr:uid="{00000000-0005-0000-0000-000025780000}"/>
    <cellStyle name="SAPBEXstdData 2 8 13" xfId="34189" xr:uid="{00000000-0005-0000-0000-000026780000}"/>
    <cellStyle name="SAPBEXstdData 2 8 14" xfId="34190" xr:uid="{00000000-0005-0000-0000-000027780000}"/>
    <cellStyle name="SAPBEXstdData 2 8 2" xfId="20016" xr:uid="{00000000-0005-0000-0000-000028780000}"/>
    <cellStyle name="SAPBEXstdData 2 8 2 10" xfId="34191" xr:uid="{00000000-0005-0000-0000-000029780000}"/>
    <cellStyle name="SAPBEXstdData 2 8 2 2" xfId="20017" xr:uid="{00000000-0005-0000-0000-00002A780000}"/>
    <cellStyle name="SAPBEXstdData 2 8 2 2 2" xfId="20018" xr:uid="{00000000-0005-0000-0000-00002B780000}"/>
    <cellStyle name="SAPBEXstdData 2 8 2 2 3" xfId="34192" xr:uid="{00000000-0005-0000-0000-00002C780000}"/>
    <cellStyle name="SAPBEXstdData 2 8 2 2 4" xfId="34193" xr:uid="{00000000-0005-0000-0000-00002D780000}"/>
    <cellStyle name="SAPBEXstdData 2 8 2 3" xfId="20019" xr:uid="{00000000-0005-0000-0000-00002E780000}"/>
    <cellStyle name="SAPBEXstdData 2 8 2 3 2" xfId="20020" xr:uid="{00000000-0005-0000-0000-00002F780000}"/>
    <cellStyle name="SAPBEXstdData 2 8 2 3 3" xfId="34194" xr:uid="{00000000-0005-0000-0000-000030780000}"/>
    <cellStyle name="SAPBEXstdData 2 8 2 3 4" xfId="34195" xr:uid="{00000000-0005-0000-0000-000031780000}"/>
    <cellStyle name="SAPBEXstdData 2 8 2 4" xfId="20021" xr:uid="{00000000-0005-0000-0000-000032780000}"/>
    <cellStyle name="SAPBEXstdData 2 8 2 4 2" xfId="20022" xr:uid="{00000000-0005-0000-0000-000033780000}"/>
    <cellStyle name="SAPBEXstdData 2 8 2 4 3" xfId="34196" xr:uid="{00000000-0005-0000-0000-000034780000}"/>
    <cellStyle name="SAPBEXstdData 2 8 2 4 4" xfId="34197" xr:uid="{00000000-0005-0000-0000-000035780000}"/>
    <cellStyle name="SAPBEXstdData 2 8 2 5" xfId="20023" xr:uid="{00000000-0005-0000-0000-000036780000}"/>
    <cellStyle name="SAPBEXstdData 2 8 2 5 2" xfId="20024" xr:uid="{00000000-0005-0000-0000-000037780000}"/>
    <cellStyle name="SAPBEXstdData 2 8 2 5 3" xfId="34198" xr:uid="{00000000-0005-0000-0000-000038780000}"/>
    <cellStyle name="SAPBEXstdData 2 8 2 5 4" xfId="34199" xr:uid="{00000000-0005-0000-0000-000039780000}"/>
    <cellStyle name="SAPBEXstdData 2 8 2 6" xfId="20025" xr:uid="{00000000-0005-0000-0000-00003A780000}"/>
    <cellStyle name="SAPBEXstdData 2 8 2 6 2" xfId="20026" xr:uid="{00000000-0005-0000-0000-00003B780000}"/>
    <cellStyle name="SAPBEXstdData 2 8 2 6 3" xfId="34200" xr:uid="{00000000-0005-0000-0000-00003C780000}"/>
    <cellStyle name="SAPBEXstdData 2 8 2 6 4" xfId="34201" xr:uid="{00000000-0005-0000-0000-00003D780000}"/>
    <cellStyle name="SAPBEXstdData 2 8 2 7" xfId="20027" xr:uid="{00000000-0005-0000-0000-00003E780000}"/>
    <cellStyle name="SAPBEXstdData 2 8 2 7 2" xfId="20028" xr:uid="{00000000-0005-0000-0000-00003F780000}"/>
    <cellStyle name="SAPBEXstdData 2 8 2 7 3" xfId="34202" xr:uid="{00000000-0005-0000-0000-000040780000}"/>
    <cellStyle name="SAPBEXstdData 2 8 2 7 4" xfId="34203" xr:uid="{00000000-0005-0000-0000-000041780000}"/>
    <cellStyle name="SAPBEXstdData 2 8 2 8" xfId="20029" xr:uid="{00000000-0005-0000-0000-000042780000}"/>
    <cellStyle name="SAPBEXstdData 2 8 2 9" xfId="34204" xr:uid="{00000000-0005-0000-0000-000043780000}"/>
    <cellStyle name="SAPBEXstdData 2 8 3" xfId="20030" xr:uid="{00000000-0005-0000-0000-000044780000}"/>
    <cellStyle name="SAPBEXstdData 2 8 3 10" xfId="34205" xr:uid="{00000000-0005-0000-0000-000045780000}"/>
    <cellStyle name="SAPBEXstdData 2 8 3 2" xfId="20031" xr:uid="{00000000-0005-0000-0000-000046780000}"/>
    <cellStyle name="SAPBEXstdData 2 8 3 2 2" xfId="20032" xr:uid="{00000000-0005-0000-0000-000047780000}"/>
    <cellStyle name="SAPBEXstdData 2 8 3 2 3" xfId="34206" xr:uid="{00000000-0005-0000-0000-000048780000}"/>
    <cellStyle name="SAPBEXstdData 2 8 3 2 4" xfId="34207" xr:uid="{00000000-0005-0000-0000-000049780000}"/>
    <cellStyle name="SAPBEXstdData 2 8 3 3" xfId="20033" xr:uid="{00000000-0005-0000-0000-00004A780000}"/>
    <cellStyle name="SAPBEXstdData 2 8 3 3 2" xfId="20034" xr:uid="{00000000-0005-0000-0000-00004B780000}"/>
    <cellStyle name="SAPBEXstdData 2 8 3 3 3" xfId="34208" xr:uid="{00000000-0005-0000-0000-00004C780000}"/>
    <cellStyle name="SAPBEXstdData 2 8 3 3 4" xfId="34209" xr:uid="{00000000-0005-0000-0000-00004D780000}"/>
    <cellStyle name="SAPBEXstdData 2 8 3 4" xfId="20035" xr:uid="{00000000-0005-0000-0000-00004E780000}"/>
    <cellStyle name="SAPBEXstdData 2 8 3 4 2" xfId="20036" xr:uid="{00000000-0005-0000-0000-00004F780000}"/>
    <cellStyle name="SAPBEXstdData 2 8 3 4 3" xfId="34210" xr:uid="{00000000-0005-0000-0000-000050780000}"/>
    <cellStyle name="SAPBEXstdData 2 8 3 4 4" xfId="34211" xr:uid="{00000000-0005-0000-0000-000051780000}"/>
    <cellStyle name="SAPBEXstdData 2 8 3 5" xfId="20037" xr:uid="{00000000-0005-0000-0000-000052780000}"/>
    <cellStyle name="SAPBEXstdData 2 8 3 5 2" xfId="20038" xr:uid="{00000000-0005-0000-0000-000053780000}"/>
    <cellStyle name="SAPBEXstdData 2 8 3 5 3" xfId="34212" xr:uid="{00000000-0005-0000-0000-000054780000}"/>
    <cellStyle name="SAPBEXstdData 2 8 3 5 4" xfId="34213" xr:uid="{00000000-0005-0000-0000-000055780000}"/>
    <cellStyle name="SAPBEXstdData 2 8 3 6" xfId="20039" xr:uid="{00000000-0005-0000-0000-000056780000}"/>
    <cellStyle name="SAPBEXstdData 2 8 3 6 2" xfId="20040" xr:uid="{00000000-0005-0000-0000-000057780000}"/>
    <cellStyle name="SAPBEXstdData 2 8 3 6 3" xfId="34214" xr:uid="{00000000-0005-0000-0000-000058780000}"/>
    <cellStyle name="SAPBEXstdData 2 8 3 6 4" xfId="34215" xr:uid="{00000000-0005-0000-0000-000059780000}"/>
    <cellStyle name="SAPBEXstdData 2 8 3 7" xfId="20041" xr:uid="{00000000-0005-0000-0000-00005A780000}"/>
    <cellStyle name="SAPBEXstdData 2 8 3 7 2" xfId="20042" xr:uid="{00000000-0005-0000-0000-00005B780000}"/>
    <cellStyle name="SAPBEXstdData 2 8 3 7 3" xfId="34216" xr:uid="{00000000-0005-0000-0000-00005C780000}"/>
    <cellStyle name="SAPBEXstdData 2 8 3 7 4" xfId="34217" xr:uid="{00000000-0005-0000-0000-00005D780000}"/>
    <cellStyle name="SAPBEXstdData 2 8 3 8" xfId="20043" xr:uid="{00000000-0005-0000-0000-00005E780000}"/>
    <cellStyle name="SAPBEXstdData 2 8 3 9" xfId="34218" xr:uid="{00000000-0005-0000-0000-00005F780000}"/>
    <cellStyle name="SAPBEXstdData 2 8 4" xfId="20044" xr:uid="{00000000-0005-0000-0000-000060780000}"/>
    <cellStyle name="SAPBEXstdData 2 8 4 10" xfId="34219" xr:uid="{00000000-0005-0000-0000-000061780000}"/>
    <cellStyle name="SAPBEXstdData 2 8 4 2" xfId="20045" xr:uid="{00000000-0005-0000-0000-000062780000}"/>
    <cellStyle name="SAPBEXstdData 2 8 4 2 2" xfId="20046" xr:uid="{00000000-0005-0000-0000-000063780000}"/>
    <cellStyle name="SAPBEXstdData 2 8 4 2 3" xfId="34220" xr:uid="{00000000-0005-0000-0000-000064780000}"/>
    <cellStyle name="SAPBEXstdData 2 8 4 2 4" xfId="34221" xr:uid="{00000000-0005-0000-0000-000065780000}"/>
    <cellStyle name="SAPBEXstdData 2 8 4 3" xfId="20047" xr:uid="{00000000-0005-0000-0000-000066780000}"/>
    <cellStyle name="SAPBEXstdData 2 8 4 3 2" xfId="20048" xr:uid="{00000000-0005-0000-0000-000067780000}"/>
    <cellStyle name="SAPBEXstdData 2 8 4 3 3" xfId="34222" xr:uid="{00000000-0005-0000-0000-000068780000}"/>
    <cellStyle name="SAPBEXstdData 2 8 4 3 4" xfId="34223" xr:uid="{00000000-0005-0000-0000-000069780000}"/>
    <cellStyle name="SAPBEXstdData 2 8 4 4" xfId="20049" xr:uid="{00000000-0005-0000-0000-00006A780000}"/>
    <cellStyle name="SAPBEXstdData 2 8 4 4 2" xfId="20050" xr:uid="{00000000-0005-0000-0000-00006B780000}"/>
    <cellStyle name="SAPBEXstdData 2 8 4 4 3" xfId="34224" xr:uid="{00000000-0005-0000-0000-00006C780000}"/>
    <cellStyle name="SAPBEXstdData 2 8 4 4 4" xfId="34225" xr:uid="{00000000-0005-0000-0000-00006D780000}"/>
    <cellStyle name="SAPBEXstdData 2 8 4 5" xfId="20051" xr:uid="{00000000-0005-0000-0000-00006E780000}"/>
    <cellStyle name="SAPBEXstdData 2 8 4 5 2" xfId="20052" xr:uid="{00000000-0005-0000-0000-00006F780000}"/>
    <cellStyle name="SAPBEXstdData 2 8 4 5 3" xfId="34226" xr:uid="{00000000-0005-0000-0000-000070780000}"/>
    <cellStyle name="SAPBEXstdData 2 8 4 5 4" xfId="34227" xr:uid="{00000000-0005-0000-0000-000071780000}"/>
    <cellStyle name="SAPBEXstdData 2 8 4 6" xfId="20053" xr:uid="{00000000-0005-0000-0000-000072780000}"/>
    <cellStyle name="SAPBEXstdData 2 8 4 6 2" xfId="20054" xr:uid="{00000000-0005-0000-0000-000073780000}"/>
    <cellStyle name="SAPBEXstdData 2 8 4 6 3" xfId="34228" xr:uid="{00000000-0005-0000-0000-000074780000}"/>
    <cellStyle name="SAPBEXstdData 2 8 4 6 4" xfId="34229" xr:uid="{00000000-0005-0000-0000-000075780000}"/>
    <cellStyle name="SAPBEXstdData 2 8 4 7" xfId="20055" xr:uid="{00000000-0005-0000-0000-000076780000}"/>
    <cellStyle name="SAPBEXstdData 2 8 4 7 2" xfId="20056" xr:uid="{00000000-0005-0000-0000-000077780000}"/>
    <cellStyle name="SAPBEXstdData 2 8 4 7 3" xfId="34230" xr:uid="{00000000-0005-0000-0000-000078780000}"/>
    <cellStyle name="SAPBEXstdData 2 8 4 7 4" xfId="34231" xr:uid="{00000000-0005-0000-0000-000079780000}"/>
    <cellStyle name="SAPBEXstdData 2 8 4 8" xfId="20057" xr:uid="{00000000-0005-0000-0000-00007A780000}"/>
    <cellStyle name="SAPBEXstdData 2 8 4 9" xfId="34232" xr:uid="{00000000-0005-0000-0000-00007B780000}"/>
    <cellStyle name="SAPBEXstdData 2 8 5" xfId="20058" xr:uid="{00000000-0005-0000-0000-00007C780000}"/>
    <cellStyle name="SAPBEXstdData 2 8 5 10" xfId="34233" xr:uid="{00000000-0005-0000-0000-00007D780000}"/>
    <cellStyle name="SAPBEXstdData 2 8 5 2" xfId="20059" xr:uid="{00000000-0005-0000-0000-00007E780000}"/>
    <cellStyle name="SAPBEXstdData 2 8 5 2 2" xfId="20060" xr:uid="{00000000-0005-0000-0000-00007F780000}"/>
    <cellStyle name="SAPBEXstdData 2 8 5 2 3" xfId="34234" xr:uid="{00000000-0005-0000-0000-000080780000}"/>
    <cellStyle name="SAPBEXstdData 2 8 5 2 4" xfId="34235" xr:uid="{00000000-0005-0000-0000-000081780000}"/>
    <cellStyle name="SAPBEXstdData 2 8 5 3" xfId="20061" xr:uid="{00000000-0005-0000-0000-000082780000}"/>
    <cellStyle name="SAPBEXstdData 2 8 5 3 2" xfId="20062" xr:uid="{00000000-0005-0000-0000-000083780000}"/>
    <cellStyle name="SAPBEXstdData 2 8 5 3 3" xfId="34236" xr:uid="{00000000-0005-0000-0000-000084780000}"/>
    <cellStyle name="SAPBEXstdData 2 8 5 3 4" xfId="34237" xr:uid="{00000000-0005-0000-0000-000085780000}"/>
    <cellStyle name="SAPBEXstdData 2 8 5 4" xfId="20063" xr:uid="{00000000-0005-0000-0000-000086780000}"/>
    <cellStyle name="SAPBEXstdData 2 8 5 4 2" xfId="20064" xr:uid="{00000000-0005-0000-0000-000087780000}"/>
    <cellStyle name="SAPBEXstdData 2 8 5 4 3" xfId="34238" xr:uid="{00000000-0005-0000-0000-000088780000}"/>
    <cellStyle name="SAPBEXstdData 2 8 5 4 4" xfId="34239" xr:uid="{00000000-0005-0000-0000-000089780000}"/>
    <cellStyle name="SAPBEXstdData 2 8 5 5" xfId="20065" xr:uid="{00000000-0005-0000-0000-00008A780000}"/>
    <cellStyle name="SAPBEXstdData 2 8 5 5 2" xfId="20066" xr:uid="{00000000-0005-0000-0000-00008B780000}"/>
    <cellStyle name="SAPBEXstdData 2 8 5 5 3" xfId="34240" xr:uid="{00000000-0005-0000-0000-00008C780000}"/>
    <cellStyle name="SAPBEXstdData 2 8 5 5 4" xfId="34241" xr:uid="{00000000-0005-0000-0000-00008D780000}"/>
    <cellStyle name="SAPBEXstdData 2 8 5 6" xfId="20067" xr:uid="{00000000-0005-0000-0000-00008E780000}"/>
    <cellStyle name="SAPBEXstdData 2 8 5 6 2" xfId="20068" xr:uid="{00000000-0005-0000-0000-00008F780000}"/>
    <cellStyle name="SAPBEXstdData 2 8 5 6 3" xfId="34242" xr:uid="{00000000-0005-0000-0000-000090780000}"/>
    <cellStyle name="SAPBEXstdData 2 8 5 6 4" xfId="34243" xr:uid="{00000000-0005-0000-0000-000091780000}"/>
    <cellStyle name="SAPBEXstdData 2 8 5 7" xfId="20069" xr:uid="{00000000-0005-0000-0000-000092780000}"/>
    <cellStyle name="SAPBEXstdData 2 8 5 7 2" xfId="20070" xr:uid="{00000000-0005-0000-0000-000093780000}"/>
    <cellStyle name="SAPBEXstdData 2 8 5 7 3" xfId="34244" xr:uid="{00000000-0005-0000-0000-000094780000}"/>
    <cellStyle name="SAPBEXstdData 2 8 5 7 4" xfId="34245" xr:uid="{00000000-0005-0000-0000-000095780000}"/>
    <cellStyle name="SAPBEXstdData 2 8 5 8" xfId="20071" xr:uid="{00000000-0005-0000-0000-000096780000}"/>
    <cellStyle name="SAPBEXstdData 2 8 5 9" xfId="34246" xr:uid="{00000000-0005-0000-0000-000097780000}"/>
    <cellStyle name="SAPBEXstdData 2 8 6" xfId="20072" xr:uid="{00000000-0005-0000-0000-000098780000}"/>
    <cellStyle name="SAPBEXstdData 2 8 6 2" xfId="20073" xr:uid="{00000000-0005-0000-0000-000099780000}"/>
    <cellStyle name="SAPBEXstdData 2 8 6 3" xfId="34247" xr:uid="{00000000-0005-0000-0000-00009A780000}"/>
    <cellStyle name="SAPBEXstdData 2 8 6 4" xfId="34248" xr:uid="{00000000-0005-0000-0000-00009B780000}"/>
    <cellStyle name="SAPBEXstdData 2 8 7" xfId="20074" xr:uid="{00000000-0005-0000-0000-00009C780000}"/>
    <cellStyle name="SAPBEXstdData 2 8 7 2" xfId="20075" xr:uid="{00000000-0005-0000-0000-00009D780000}"/>
    <cellStyle name="SAPBEXstdData 2 8 7 3" xfId="34249" xr:uid="{00000000-0005-0000-0000-00009E780000}"/>
    <cellStyle name="SAPBEXstdData 2 8 7 4" xfId="34250" xr:uid="{00000000-0005-0000-0000-00009F780000}"/>
    <cellStyle name="SAPBEXstdData 2 8 8" xfId="20076" xr:uid="{00000000-0005-0000-0000-0000A0780000}"/>
    <cellStyle name="SAPBEXstdData 2 8 8 2" xfId="20077" xr:uid="{00000000-0005-0000-0000-0000A1780000}"/>
    <cellStyle name="SAPBEXstdData 2 8 8 3" xfId="34251" xr:uid="{00000000-0005-0000-0000-0000A2780000}"/>
    <cellStyle name="SAPBEXstdData 2 8 8 4" xfId="34252" xr:uid="{00000000-0005-0000-0000-0000A3780000}"/>
    <cellStyle name="SAPBEXstdData 2 8 9" xfId="20078" xr:uid="{00000000-0005-0000-0000-0000A4780000}"/>
    <cellStyle name="SAPBEXstdData 2 8 9 2" xfId="20079" xr:uid="{00000000-0005-0000-0000-0000A5780000}"/>
    <cellStyle name="SAPBEXstdData 2 8 9 3" xfId="34253" xr:uid="{00000000-0005-0000-0000-0000A6780000}"/>
    <cellStyle name="SAPBEXstdData 2 8 9 4" xfId="34254" xr:uid="{00000000-0005-0000-0000-0000A7780000}"/>
    <cellStyle name="SAPBEXstdData 2 9" xfId="20080" xr:uid="{00000000-0005-0000-0000-0000A8780000}"/>
    <cellStyle name="SAPBEXstdData 2 9 10" xfId="20081" xr:uid="{00000000-0005-0000-0000-0000A9780000}"/>
    <cellStyle name="SAPBEXstdData 2 9 10 2" xfId="20082" xr:uid="{00000000-0005-0000-0000-0000AA780000}"/>
    <cellStyle name="SAPBEXstdData 2 9 10 3" xfId="34255" xr:uid="{00000000-0005-0000-0000-0000AB780000}"/>
    <cellStyle name="SAPBEXstdData 2 9 10 4" xfId="34256" xr:uid="{00000000-0005-0000-0000-0000AC780000}"/>
    <cellStyle name="SAPBEXstdData 2 9 11" xfId="20083" xr:uid="{00000000-0005-0000-0000-0000AD780000}"/>
    <cellStyle name="SAPBEXstdData 2 9 11 2" xfId="20084" xr:uid="{00000000-0005-0000-0000-0000AE780000}"/>
    <cellStyle name="SAPBEXstdData 2 9 11 3" xfId="34257" xr:uid="{00000000-0005-0000-0000-0000AF780000}"/>
    <cellStyle name="SAPBEXstdData 2 9 11 4" xfId="34258" xr:uid="{00000000-0005-0000-0000-0000B0780000}"/>
    <cellStyle name="SAPBEXstdData 2 9 12" xfId="20085" xr:uid="{00000000-0005-0000-0000-0000B1780000}"/>
    <cellStyle name="SAPBEXstdData 2 9 13" xfId="34259" xr:uid="{00000000-0005-0000-0000-0000B2780000}"/>
    <cellStyle name="SAPBEXstdData 2 9 14" xfId="34260" xr:uid="{00000000-0005-0000-0000-0000B3780000}"/>
    <cellStyle name="SAPBEXstdData 2 9 2" xfId="20086" xr:uid="{00000000-0005-0000-0000-0000B4780000}"/>
    <cellStyle name="SAPBEXstdData 2 9 2 10" xfId="34261" xr:uid="{00000000-0005-0000-0000-0000B5780000}"/>
    <cellStyle name="SAPBEXstdData 2 9 2 2" xfId="20087" xr:uid="{00000000-0005-0000-0000-0000B6780000}"/>
    <cellStyle name="SAPBEXstdData 2 9 2 2 2" xfId="20088" xr:uid="{00000000-0005-0000-0000-0000B7780000}"/>
    <cellStyle name="SAPBEXstdData 2 9 2 2 3" xfId="34262" xr:uid="{00000000-0005-0000-0000-0000B8780000}"/>
    <cellStyle name="SAPBEXstdData 2 9 2 2 4" xfId="34263" xr:uid="{00000000-0005-0000-0000-0000B9780000}"/>
    <cellStyle name="SAPBEXstdData 2 9 2 3" xfId="20089" xr:uid="{00000000-0005-0000-0000-0000BA780000}"/>
    <cellStyle name="SAPBEXstdData 2 9 2 3 2" xfId="20090" xr:uid="{00000000-0005-0000-0000-0000BB780000}"/>
    <cellStyle name="SAPBEXstdData 2 9 2 3 3" xfId="34264" xr:uid="{00000000-0005-0000-0000-0000BC780000}"/>
    <cellStyle name="SAPBEXstdData 2 9 2 3 4" xfId="34265" xr:uid="{00000000-0005-0000-0000-0000BD780000}"/>
    <cellStyle name="SAPBEXstdData 2 9 2 4" xfId="20091" xr:uid="{00000000-0005-0000-0000-0000BE780000}"/>
    <cellStyle name="SAPBEXstdData 2 9 2 4 2" xfId="20092" xr:uid="{00000000-0005-0000-0000-0000BF780000}"/>
    <cellStyle name="SAPBEXstdData 2 9 2 4 3" xfId="34266" xr:uid="{00000000-0005-0000-0000-0000C0780000}"/>
    <cellStyle name="SAPBEXstdData 2 9 2 4 4" xfId="34267" xr:uid="{00000000-0005-0000-0000-0000C1780000}"/>
    <cellStyle name="SAPBEXstdData 2 9 2 5" xfId="20093" xr:uid="{00000000-0005-0000-0000-0000C2780000}"/>
    <cellStyle name="SAPBEXstdData 2 9 2 5 2" xfId="20094" xr:uid="{00000000-0005-0000-0000-0000C3780000}"/>
    <cellStyle name="SAPBEXstdData 2 9 2 5 3" xfId="34268" xr:uid="{00000000-0005-0000-0000-0000C4780000}"/>
    <cellStyle name="SAPBEXstdData 2 9 2 5 4" xfId="34269" xr:uid="{00000000-0005-0000-0000-0000C5780000}"/>
    <cellStyle name="SAPBEXstdData 2 9 2 6" xfId="20095" xr:uid="{00000000-0005-0000-0000-0000C6780000}"/>
    <cellStyle name="SAPBEXstdData 2 9 2 6 2" xfId="20096" xr:uid="{00000000-0005-0000-0000-0000C7780000}"/>
    <cellStyle name="SAPBEXstdData 2 9 2 6 3" xfId="34270" xr:uid="{00000000-0005-0000-0000-0000C8780000}"/>
    <cellStyle name="SAPBEXstdData 2 9 2 6 4" xfId="34271" xr:uid="{00000000-0005-0000-0000-0000C9780000}"/>
    <cellStyle name="SAPBEXstdData 2 9 2 7" xfId="20097" xr:uid="{00000000-0005-0000-0000-0000CA780000}"/>
    <cellStyle name="SAPBEXstdData 2 9 2 7 2" xfId="20098" xr:uid="{00000000-0005-0000-0000-0000CB780000}"/>
    <cellStyle name="SAPBEXstdData 2 9 2 7 3" xfId="34272" xr:uid="{00000000-0005-0000-0000-0000CC780000}"/>
    <cellStyle name="SAPBEXstdData 2 9 2 7 4" xfId="34273" xr:uid="{00000000-0005-0000-0000-0000CD780000}"/>
    <cellStyle name="SAPBEXstdData 2 9 2 8" xfId="20099" xr:uid="{00000000-0005-0000-0000-0000CE780000}"/>
    <cellStyle name="SAPBEXstdData 2 9 2 9" xfId="34274" xr:uid="{00000000-0005-0000-0000-0000CF780000}"/>
    <cellStyle name="SAPBEXstdData 2 9 3" xfId="20100" xr:uid="{00000000-0005-0000-0000-0000D0780000}"/>
    <cellStyle name="SAPBEXstdData 2 9 3 10" xfId="34275" xr:uid="{00000000-0005-0000-0000-0000D1780000}"/>
    <cellStyle name="SAPBEXstdData 2 9 3 2" xfId="20101" xr:uid="{00000000-0005-0000-0000-0000D2780000}"/>
    <cellStyle name="SAPBEXstdData 2 9 3 2 2" xfId="20102" xr:uid="{00000000-0005-0000-0000-0000D3780000}"/>
    <cellStyle name="SAPBEXstdData 2 9 3 2 3" xfId="34276" xr:uid="{00000000-0005-0000-0000-0000D4780000}"/>
    <cellStyle name="SAPBEXstdData 2 9 3 2 4" xfId="34277" xr:uid="{00000000-0005-0000-0000-0000D5780000}"/>
    <cellStyle name="SAPBEXstdData 2 9 3 3" xfId="20103" xr:uid="{00000000-0005-0000-0000-0000D6780000}"/>
    <cellStyle name="SAPBEXstdData 2 9 3 3 2" xfId="20104" xr:uid="{00000000-0005-0000-0000-0000D7780000}"/>
    <cellStyle name="SAPBEXstdData 2 9 3 3 3" xfId="34278" xr:uid="{00000000-0005-0000-0000-0000D8780000}"/>
    <cellStyle name="SAPBEXstdData 2 9 3 3 4" xfId="34279" xr:uid="{00000000-0005-0000-0000-0000D9780000}"/>
    <cellStyle name="SAPBEXstdData 2 9 3 4" xfId="20105" xr:uid="{00000000-0005-0000-0000-0000DA780000}"/>
    <cellStyle name="SAPBEXstdData 2 9 3 4 2" xfId="20106" xr:uid="{00000000-0005-0000-0000-0000DB780000}"/>
    <cellStyle name="SAPBEXstdData 2 9 3 4 3" xfId="34280" xr:uid="{00000000-0005-0000-0000-0000DC780000}"/>
    <cellStyle name="SAPBEXstdData 2 9 3 4 4" xfId="34281" xr:uid="{00000000-0005-0000-0000-0000DD780000}"/>
    <cellStyle name="SAPBEXstdData 2 9 3 5" xfId="20107" xr:uid="{00000000-0005-0000-0000-0000DE780000}"/>
    <cellStyle name="SAPBEXstdData 2 9 3 5 2" xfId="20108" xr:uid="{00000000-0005-0000-0000-0000DF780000}"/>
    <cellStyle name="SAPBEXstdData 2 9 3 5 3" xfId="34282" xr:uid="{00000000-0005-0000-0000-0000E0780000}"/>
    <cellStyle name="SAPBEXstdData 2 9 3 5 4" xfId="34283" xr:uid="{00000000-0005-0000-0000-0000E1780000}"/>
    <cellStyle name="SAPBEXstdData 2 9 3 6" xfId="20109" xr:uid="{00000000-0005-0000-0000-0000E2780000}"/>
    <cellStyle name="SAPBEXstdData 2 9 3 6 2" xfId="20110" xr:uid="{00000000-0005-0000-0000-0000E3780000}"/>
    <cellStyle name="SAPBEXstdData 2 9 3 6 3" xfId="34284" xr:uid="{00000000-0005-0000-0000-0000E4780000}"/>
    <cellStyle name="SAPBEXstdData 2 9 3 6 4" xfId="34285" xr:uid="{00000000-0005-0000-0000-0000E5780000}"/>
    <cellStyle name="SAPBEXstdData 2 9 3 7" xfId="20111" xr:uid="{00000000-0005-0000-0000-0000E6780000}"/>
    <cellStyle name="SAPBEXstdData 2 9 3 7 2" xfId="20112" xr:uid="{00000000-0005-0000-0000-0000E7780000}"/>
    <cellStyle name="SAPBEXstdData 2 9 3 7 3" xfId="34286" xr:uid="{00000000-0005-0000-0000-0000E8780000}"/>
    <cellStyle name="SAPBEXstdData 2 9 3 7 4" xfId="34287" xr:uid="{00000000-0005-0000-0000-0000E9780000}"/>
    <cellStyle name="SAPBEXstdData 2 9 3 8" xfId="20113" xr:uid="{00000000-0005-0000-0000-0000EA780000}"/>
    <cellStyle name="SAPBEXstdData 2 9 3 9" xfId="34288" xr:uid="{00000000-0005-0000-0000-0000EB780000}"/>
    <cellStyle name="SAPBEXstdData 2 9 4" xfId="20114" xr:uid="{00000000-0005-0000-0000-0000EC780000}"/>
    <cellStyle name="SAPBEXstdData 2 9 4 10" xfId="34289" xr:uid="{00000000-0005-0000-0000-0000ED780000}"/>
    <cellStyle name="SAPBEXstdData 2 9 4 2" xfId="20115" xr:uid="{00000000-0005-0000-0000-0000EE780000}"/>
    <cellStyle name="SAPBEXstdData 2 9 4 2 2" xfId="20116" xr:uid="{00000000-0005-0000-0000-0000EF780000}"/>
    <cellStyle name="SAPBEXstdData 2 9 4 2 3" xfId="34290" xr:uid="{00000000-0005-0000-0000-0000F0780000}"/>
    <cellStyle name="SAPBEXstdData 2 9 4 2 4" xfId="34291" xr:uid="{00000000-0005-0000-0000-0000F1780000}"/>
    <cellStyle name="SAPBEXstdData 2 9 4 3" xfId="20117" xr:uid="{00000000-0005-0000-0000-0000F2780000}"/>
    <cellStyle name="SAPBEXstdData 2 9 4 3 2" xfId="20118" xr:uid="{00000000-0005-0000-0000-0000F3780000}"/>
    <cellStyle name="SAPBEXstdData 2 9 4 3 3" xfId="34292" xr:uid="{00000000-0005-0000-0000-0000F4780000}"/>
    <cellStyle name="SAPBEXstdData 2 9 4 3 4" xfId="34293" xr:uid="{00000000-0005-0000-0000-0000F5780000}"/>
    <cellStyle name="SAPBEXstdData 2 9 4 4" xfId="20119" xr:uid="{00000000-0005-0000-0000-0000F6780000}"/>
    <cellStyle name="SAPBEXstdData 2 9 4 4 2" xfId="20120" xr:uid="{00000000-0005-0000-0000-0000F7780000}"/>
    <cellStyle name="SAPBEXstdData 2 9 4 4 3" xfId="34294" xr:uid="{00000000-0005-0000-0000-0000F8780000}"/>
    <cellStyle name="SAPBEXstdData 2 9 4 4 4" xfId="34295" xr:uid="{00000000-0005-0000-0000-0000F9780000}"/>
    <cellStyle name="SAPBEXstdData 2 9 4 5" xfId="20121" xr:uid="{00000000-0005-0000-0000-0000FA780000}"/>
    <cellStyle name="SAPBEXstdData 2 9 4 5 2" xfId="20122" xr:uid="{00000000-0005-0000-0000-0000FB780000}"/>
    <cellStyle name="SAPBEXstdData 2 9 4 5 3" xfId="34296" xr:uid="{00000000-0005-0000-0000-0000FC780000}"/>
    <cellStyle name="SAPBEXstdData 2 9 4 5 4" xfId="34297" xr:uid="{00000000-0005-0000-0000-0000FD780000}"/>
    <cellStyle name="SAPBEXstdData 2 9 4 6" xfId="20123" xr:uid="{00000000-0005-0000-0000-0000FE780000}"/>
    <cellStyle name="SAPBEXstdData 2 9 4 6 2" xfId="20124" xr:uid="{00000000-0005-0000-0000-0000FF780000}"/>
    <cellStyle name="SAPBEXstdData 2 9 4 6 3" xfId="34298" xr:uid="{00000000-0005-0000-0000-000000790000}"/>
    <cellStyle name="SAPBEXstdData 2 9 4 6 4" xfId="34299" xr:uid="{00000000-0005-0000-0000-000001790000}"/>
    <cellStyle name="SAPBEXstdData 2 9 4 7" xfId="20125" xr:uid="{00000000-0005-0000-0000-000002790000}"/>
    <cellStyle name="SAPBEXstdData 2 9 4 7 2" xfId="20126" xr:uid="{00000000-0005-0000-0000-000003790000}"/>
    <cellStyle name="SAPBEXstdData 2 9 4 7 3" xfId="34300" xr:uid="{00000000-0005-0000-0000-000004790000}"/>
    <cellStyle name="SAPBEXstdData 2 9 4 7 4" xfId="34301" xr:uid="{00000000-0005-0000-0000-000005790000}"/>
    <cellStyle name="SAPBEXstdData 2 9 4 8" xfId="20127" xr:uid="{00000000-0005-0000-0000-000006790000}"/>
    <cellStyle name="SAPBEXstdData 2 9 4 9" xfId="34302" xr:uid="{00000000-0005-0000-0000-000007790000}"/>
    <cellStyle name="SAPBEXstdData 2 9 5" xfId="20128" xr:uid="{00000000-0005-0000-0000-000008790000}"/>
    <cellStyle name="SAPBEXstdData 2 9 5 10" xfId="34303" xr:uid="{00000000-0005-0000-0000-000009790000}"/>
    <cellStyle name="SAPBEXstdData 2 9 5 2" xfId="20129" xr:uid="{00000000-0005-0000-0000-00000A790000}"/>
    <cellStyle name="SAPBEXstdData 2 9 5 2 2" xfId="20130" xr:uid="{00000000-0005-0000-0000-00000B790000}"/>
    <cellStyle name="SAPBEXstdData 2 9 5 2 3" xfId="34304" xr:uid="{00000000-0005-0000-0000-00000C790000}"/>
    <cellStyle name="SAPBEXstdData 2 9 5 2 4" xfId="34305" xr:uid="{00000000-0005-0000-0000-00000D790000}"/>
    <cellStyle name="SAPBEXstdData 2 9 5 3" xfId="20131" xr:uid="{00000000-0005-0000-0000-00000E790000}"/>
    <cellStyle name="SAPBEXstdData 2 9 5 3 2" xfId="20132" xr:uid="{00000000-0005-0000-0000-00000F790000}"/>
    <cellStyle name="SAPBEXstdData 2 9 5 3 3" xfId="34306" xr:uid="{00000000-0005-0000-0000-000010790000}"/>
    <cellStyle name="SAPBEXstdData 2 9 5 3 4" xfId="34307" xr:uid="{00000000-0005-0000-0000-000011790000}"/>
    <cellStyle name="SAPBEXstdData 2 9 5 4" xfId="20133" xr:uid="{00000000-0005-0000-0000-000012790000}"/>
    <cellStyle name="SAPBEXstdData 2 9 5 4 2" xfId="20134" xr:uid="{00000000-0005-0000-0000-000013790000}"/>
    <cellStyle name="SAPBEXstdData 2 9 5 4 3" xfId="34308" xr:uid="{00000000-0005-0000-0000-000014790000}"/>
    <cellStyle name="SAPBEXstdData 2 9 5 4 4" xfId="34309" xr:uid="{00000000-0005-0000-0000-000015790000}"/>
    <cellStyle name="SAPBEXstdData 2 9 5 5" xfId="20135" xr:uid="{00000000-0005-0000-0000-000016790000}"/>
    <cellStyle name="SAPBEXstdData 2 9 5 5 2" xfId="20136" xr:uid="{00000000-0005-0000-0000-000017790000}"/>
    <cellStyle name="SAPBEXstdData 2 9 5 5 3" xfId="34310" xr:uid="{00000000-0005-0000-0000-000018790000}"/>
    <cellStyle name="SAPBEXstdData 2 9 5 5 4" xfId="34311" xr:uid="{00000000-0005-0000-0000-000019790000}"/>
    <cellStyle name="SAPBEXstdData 2 9 5 6" xfId="20137" xr:uid="{00000000-0005-0000-0000-00001A790000}"/>
    <cellStyle name="SAPBEXstdData 2 9 5 6 2" xfId="20138" xr:uid="{00000000-0005-0000-0000-00001B790000}"/>
    <cellStyle name="SAPBEXstdData 2 9 5 6 3" xfId="34312" xr:uid="{00000000-0005-0000-0000-00001C790000}"/>
    <cellStyle name="SAPBEXstdData 2 9 5 6 4" xfId="34313" xr:uid="{00000000-0005-0000-0000-00001D790000}"/>
    <cellStyle name="SAPBEXstdData 2 9 5 7" xfId="20139" xr:uid="{00000000-0005-0000-0000-00001E790000}"/>
    <cellStyle name="SAPBEXstdData 2 9 5 7 2" xfId="20140" xr:uid="{00000000-0005-0000-0000-00001F790000}"/>
    <cellStyle name="SAPBEXstdData 2 9 5 7 3" xfId="34314" xr:uid="{00000000-0005-0000-0000-000020790000}"/>
    <cellStyle name="SAPBEXstdData 2 9 5 7 4" xfId="34315" xr:uid="{00000000-0005-0000-0000-000021790000}"/>
    <cellStyle name="SAPBEXstdData 2 9 5 8" xfId="20141" xr:uid="{00000000-0005-0000-0000-000022790000}"/>
    <cellStyle name="SAPBEXstdData 2 9 5 9" xfId="34316" xr:uid="{00000000-0005-0000-0000-000023790000}"/>
    <cellStyle name="SAPBEXstdData 2 9 6" xfId="20142" xr:uid="{00000000-0005-0000-0000-000024790000}"/>
    <cellStyle name="SAPBEXstdData 2 9 6 2" xfId="20143" xr:uid="{00000000-0005-0000-0000-000025790000}"/>
    <cellStyle name="SAPBEXstdData 2 9 6 3" xfId="34317" xr:uid="{00000000-0005-0000-0000-000026790000}"/>
    <cellStyle name="SAPBEXstdData 2 9 6 4" xfId="34318" xr:uid="{00000000-0005-0000-0000-000027790000}"/>
    <cellStyle name="SAPBEXstdData 2 9 7" xfId="20144" xr:uid="{00000000-0005-0000-0000-000028790000}"/>
    <cellStyle name="SAPBEXstdData 2 9 7 2" xfId="20145" xr:uid="{00000000-0005-0000-0000-000029790000}"/>
    <cellStyle name="SAPBEXstdData 2 9 7 3" xfId="34319" xr:uid="{00000000-0005-0000-0000-00002A790000}"/>
    <cellStyle name="SAPBEXstdData 2 9 7 4" xfId="34320" xr:uid="{00000000-0005-0000-0000-00002B790000}"/>
    <cellStyle name="SAPBEXstdData 2 9 8" xfId="20146" xr:uid="{00000000-0005-0000-0000-00002C790000}"/>
    <cellStyle name="SAPBEXstdData 2 9 8 2" xfId="20147" xr:uid="{00000000-0005-0000-0000-00002D790000}"/>
    <cellStyle name="SAPBEXstdData 2 9 8 3" xfId="34321" xr:uid="{00000000-0005-0000-0000-00002E790000}"/>
    <cellStyle name="SAPBEXstdData 2 9 8 4" xfId="34322" xr:uid="{00000000-0005-0000-0000-00002F790000}"/>
    <cellStyle name="SAPBEXstdData 2 9 9" xfId="20148" xr:uid="{00000000-0005-0000-0000-000030790000}"/>
    <cellStyle name="SAPBEXstdData 2 9 9 2" xfId="20149" xr:uid="{00000000-0005-0000-0000-000031790000}"/>
    <cellStyle name="SAPBEXstdData 2 9 9 3" xfId="34323" xr:uid="{00000000-0005-0000-0000-000032790000}"/>
    <cellStyle name="SAPBEXstdData 2 9 9 4" xfId="34324" xr:uid="{00000000-0005-0000-0000-000033790000}"/>
    <cellStyle name="SAPBEXstdData 3" xfId="20150" xr:uid="{00000000-0005-0000-0000-000034790000}"/>
    <cellStyle name="SAPBEXstdData 4" xfId="34325" xr:uid="{00000000-0005-0000-0000-000035790000}"/>
    <cellStyle name="SAPBEXstdDataEmph" xfId="20151" xr:uid="{00000000-0005-0000-0000-000036790000}"/>
    <cellStyle name="SAPBEXstdDataEmph 2" xfId="20152" xr:uid="{00000000-0005-0000-0000-000037790000}"/>
    <cellStyle name="SAPBEXstdDataEmph 2 10" xfId="20153" xr:uid="{00000000-0005-0000-0000-000038790000}"/>
    <cellStyle name="SAPBEXstdDataEmph 2 10 10" xfId="20154" xr:uid="{00000000-0005-0000-0000-000039790000}"/>
    <cellStyle name="SAPBEXstdDataEmph 2 10 10 2" xfId="20155" xr:uid="{00000000-0005-0000-0000-00003A790000}"/>
    <cellStyle name="SAPBEXstdDataEmph 2 10 10 3" xfId="34326" xr:uid="{00000000-0005-0000-0000-00003B790000}"/>
    <cellStyle name="SAPBEXstdDataEmph 2 10 10 4" xfId="34327" xr:uid="{00000000-0005-0000-0000-00003C790000}"/>
    <cellStyle name="SAPBEXstdDataEmph 2 10 11" xfId="20156" xr:uid="{00000000-0005-0000-0000-00003D790000}"/>
    <cellStyle name="SAPBEXstdDataEmph 2 10 11 2" xfId="20157" xr:uid="{00000000-0005-0000-0000-00003E790000}"/>
    <cellStyle name="SAPBEXstdDataEmph 2 10 11 3" xfId="34328" xr:uid="{00000000-0005-0000-0000-00003F790000}"/>
    <cellStyle name="SAPBEXstdDataEmph 2 10 11 4" xfId="34329" xr:uid="{00000000-0005-0000-0000-000040790000}"/>
    <cellStyle name="SAPBEXstdDataEmph 2 10 12" xfId="20158" xr:uid="{00000000-0005-0000-0000-000041790000}"/>
    <cellStyle name="SAPBEXstdDataEmph 2 10 13" xfId="34330" xr:uid="{00000000-0005-0000-0000-000042790000}"/>
    <cellStyle name="SAPBEXstdDataEmph 2 10 14" xfId="34331" xr:uid="{00000000-0005-0000-0000-000043790000}"/>
    <cellStyle name="SAPBEXstdDataEmph 2 10 2" xfId="20159" xr:uid="{00000000-0005-0000-0000-000044790000}"/>
    <cellStyle name="SAPBEXstdDataEmph 2 10 2 10" xfId="34332" xr:uid="{00000000-0005-0000-0000-000045790000}"/>
    <cellStyle name="SAPBEXstdDataEmph 2 10 2 2" xfId="20160" xr:uid="{00000000-0005-0000-0000-000046790000}"/>
    <cellStyle name="SAPBEXstdDataEmph 2 10 2 2 2" xfId="20161" xr:uid="{00000000-0005-0000-0000-000047790000}"/>
    <cellStyle name="SAPBEXstdDataEmph 2 10 2 2 3" xfId="34333" xr:uid="{00000000-0005-0000-0000-000048790000}"/>
    <cellStyle name="SAPBEXstdDataEmph 2 10 2 2 4" xfId="34334" xr:uid="{00000000-0005-0000-0000-000049790000}"/>
    <cellStyle name="SAPBEXstdDataEmph 2 10 2 3" xfId="20162" xr:uid="{00000000-0005-0000-0000-00004A790000}"/>
    <cellStyle name="SAPBEXstdDataEmph 2 10 2 3 2" xfId="20163" xr:uid="{00000000-0005-0000-0000-00004B790000}"/>
    <cellStyle name="SAPBEXstdDataEmph 2 10 2 3 3" xfId="34335" xr:uid="{00000000-0005-0000-0000-00004C790000}"/>
    <cellStyle name="SAPBEXstdDataEmph 2 10 2 3 4" xfId="34336" xr:uid="{00000000-0005-0000-0000-00004D790000}"/>
    <cellStyle name="SAPBEXstdDataEmph 2 10 2 4" xfId="20164" xr:uid="{00000000-0005-0000-0000-00004E790000}"/>
    <cellStyle name="SAPBEXstdDataEmph 2 10 2 4 2" xfId="20165" xr:uid="{00000000-0005-0000-0000-00004F790000}"/>
    <cellStyle name="SAPBEXstdDataEmph 2 10 2 4 3" xfId="34337" xr:uid="{00000000-0005-0000-0000-000050790000}"/>
    <cellStyle name="SAPBEXstdDataEmph 2 10 2 4 4" xfId="34338" xr:uid="{00000000-0005-0000-0000-000051790000}"/>
    <cellStyle name="SAPBEXstdDataEmph 2 10 2 5" xfId="20166" xr:uid="{00000000-0005-0000-0000-000052790000}"/>
    <cellStyle name="SAPBEXstdDataEmph 2 10 2 5 2" xfId="20167" xr:uid="{00000000-0005-0000-0000-000053790000}"/>
    <cellStyle name="SAPBEXstdDataEmph 2 10 2 5 3" xfId="34339" xr:uid="{00000000-0005-0000-0000-000054790000}"/>
    <cellStyle name="SAPBEXstdDataEmph 2 10 2 5 4" xfId="34340" xr:uid="{00000000-0005-0000-0000-000055790000}"/>
    <cellStyle name="SAPBEXstdDataEmph 2 10 2 6" xfId="20168" xr:uid="{00000000-0005-0000-0000-000056790000}"/>
    <cellStyle name="SAPBEXstdDataEmph 2 10 2 6 2" xfId="20169" xr:uid="{00000000-0005-0000-0000-000057790000}"/>
    <cellStyle name="SAPBEXstdDataEmph 2 10 2 6 3" xfId="34341" xr:uid="{00000000-0005-0000-0000-000058790000}"/>
    <cellStyle name="SAPBEXstdDataEmph 2 10 2 6 4" xfId="34342" xr:uid="{00000000-0005-0000-0000-000059790000}"/>
    <cellStyle name="SAPBEXstdDataEmph 2 10 2 7" xfId="20170" xr:uid="{00000000-0005-0000-0000-00005A790000}"/>
    <cellStyle name="SAPBEXstdDataEmph 2 10 2 7 2" xfId="20171" xr:uid="{00000000-0005-0000-0000-00005B790000}"/>
    <cellStyle name="SAPBEXstdDataEmph 2 10 2 7 3" xfId="34343" xr:uid="{00000000-0005-0000-0000-00005C790000}"/>
    <cellStyle name="SAPBEXstdDataEmph 2 10 2 7 4" xfId="34344" xr:uid="{00000000-0005-0000-0000-00005D790000}"/>
    <cellStyle name="SAPBEXstdDataEmph 2 10 2 8" xfId="20172" xr:uid="{00000000-0005-0000-0000-00005E790000}"/>
    <cellStyle name="SAPBEXstdDataEmph 2 10 2 9" xfId="34345" xr:uid="{00000000-0005-0000-0000-00005F790000}"/>
    <cellStyle name="SAPBEXstdDataEmph 2 10 3" xfId="20173" xr:uid="{00000000-0005-0000-0000-000060790000}"/>
    <cellStyle name="SAPBEXstdDataEmph 2 10 3 10" xfId="34346" xr:uid="{00000000-0005-0000-0000-000061790000}"/>
    <cellStyle name="SAPBEXstdDataEmph 2 10 3 2" xfId="20174" xr:uid="{00000000-0005-0000-0000-000062790000}"/>
    <cellStyle name="SAPBEXstdDataEmph 2 10 3 2 2" xfId="20175" xr:uid="{00000000-0005-0000-0000-000063790000}"/>
    <cellStyle name="SAPBEXstdDataEmph 2 10 3 2 3" xfId="34347" xr:uid="{00000000-0005-0000-0000-000064790000}"/>
    <cellStyle name="SAPBEXstdDataEmph 2 10 3 2 4" xfId="34348" xr:uid="{00000000-0005-0000-0000-000065790000}"/>
    <cellStyle name="SAPBEXstdDataEmph 2 10 3 3" xfId="20176" xr:uid="{00000000-0005-0000-0000-000066790000}"/>
    <cellStyle name="SAPBEXstdDataEmph 2 10 3 3 2" xfId="20177" xr:uid="{00000000-0005-0000-0000-000067790000}"/>
    <cellStyle name="SAPBEXstdDataEmph 2 10 3 3 3" xfId="34349" xr:uid="{00000000-0005-0000-0000-000068790000}"/>
    <cellStyle name="SAPBEXstdDataEmph 2 10 3 3 4" xfId="34350" xr:uid="{00000000-0005-0000-0000-000069790000}"/>
    <cellStyle name="SAPBEXstdDataEmph 2 10 3 4" xfId="20178" xr:uid="{00000000-0005-0000-0000-00006A790000}"/>
    <cellStyle name="SAPBEXstdDataEmph 2 10 3 4 2" xfId="20179" xr:uid="{00000000-0005-0000-0000-00006B790000}"/>
    <cellStyle name="SAPBEXstdDataEmph 2 10 3 4 3" xfId="34351" xr:uid="{00000000-0005-0000-0000-00006C790000}"/>
    <cellStyle name="SAPBEXstdDataEmph 2 10 3 4 4" xfId="34352" xr:uid="{00000000-0005-0000-0000-00006D790000}"/>
    <cellStyle name="SAPBEXstdDataEmph 2 10 3 5" xfId="20180" xr:uid="{00000000-0005-0000-0000-00006E790000}"/>
    <cellStyle name="SAPBEXstdDataEmph 2 10 3 5 2" xfId="20181" xr:uid="{00000000-0005-0000-0000-00006F790000}"/>
    <cellStyle name="SAPBEXstdDataEmph 2 10 3 5 3" xfId="34353" xr:uid="{00000000-0005-0000-0000-000070790000}"/>
    <cellStyle name="SAPBEXstdDataEmph 2 10 3 5 4" xfId="34354" xr:uid="{00000000-0005-0000-0000-000071790000}"/>
    <cellStyle name="SAPBEXstdDataEmph 2 10 3 6" xfId="20182" xr:uid="{00000000-0005-0000-0000-000072790000}"/>
    <cellStyle name="SAPBEXstdDataEmph 2 10 3 6 2" xfId="20183" xr:uid="{00000000-0005-0000-0000-000073790000}"/>
    <cellStyle name="SAPBEXstdDataEmph 2 10 3 6 3" xfId="34355" xr:uid="{00000000-0005-0000-0000-000074790000}"/>
    <cellStyle name="SAPBEXstdDataEmph 2 10 3 6 4" xfId="34356" xr:uid="{00000000-0005-0000-0000-000075790000}"/>
    <cellStyle name="SAPBEXstdDataEmph 2 10 3 7" xfId="20184" xr:uid="{00000000-0005-0000-0000-000076790000}"/>
    <cellStyle name="SAPBEXstdDataEmph 2 10 3 7 2" xfId="20185" xr:uid="{00000000-0005-0000-0000-000077790000}"/>
    <cellStyle name="SAPBEXstdDataEmph 2 10 3 7 3" xfId="34357" xr:uid="{00000000-0005-0000-0000-000078790000}"/>
    <cellStyle name="SAPBEXstdDataEmph 2 10 3 7 4" xfId="34358" xr:uid="{00000000-0005-0000-0000-000079790000}"/>
    <cellStyle name="SAPBEXstdDataEmph 2 10 3 8" xfId="20186" xr:uid="{00000000-0005-0000-0000-00007A790000}"/>
    <cellStyle name="SAPBEXstdDataEmph 2 10 3 9" xfId="34359" xr:uid="{00000000-0005-0000-0000-00007B790000}"/>
    <cellStyle name="SAPBEXstdDataEmph 2 10 4" xfId="20187" xr:uid="{00000000-0005-0000-0000-00007C790000}"/>
    <cellStyle name="SAPBEXstdDataEmph 2 10 4 10" xfId="34360" xr:uid="{00000000-0005-0000-0000-00007D790000}"/>
    <cellStyle name="SAPBEXstdDataEmph 2 10 4 2" xfId="20188" xr:uid="{00000000-0005-0000-0000-00007E790000}"/>
    <cellStyle name="SAPBEXstdDataEmph 2 10 4 2 2" xfId="20189" xr:uid="{00000000-0005-0000-0000-00007F790000}"/>
    <cellStyle name="SAPBEXstdDataEmph 2 10 4 2 3" xfId="34361" xr:uid="{00000000-0005-0000-0000-000080790000}"/>
    <cellStyle name="SAPBEXstdDataEmph 2 10 4 2 4" xfId="34362" xr:uid="{00000000-0005-0000-0000-000081790000}"/>
    <cellStyle name="SAPBEXstdDataEmph 2 10 4 3" xfId="20190" xr:uid="{00000000-0005-0000-0000-000082790000}"/>
    <cellStyle name="SAPBEXstdDataEmph 2 10 4 3 2" xfId="20191" xr:uid="{00000000-0005-0000-0000-000083790000}"/>
    <cellStyle name="SAPBEXstdDataEmph 2 10 4 3 3" xfId="34363" xr:uid="{00000000-0005-0000-0000-000084790000}"/>
    <cellStyle name="SAPBEXstdDataEmph 2 10 4 3 4" xfId="34364" xr:uid="{00000000-0005-0000-0000-000085790000}"/>
    <cellStyle name="SAPBEXstdDataEmph 2 10 4 4" xfId="20192" xr:uid="{00000000-0005-0000-0000-000086790000}"/>
    <cellStyle name="SAPBEXstdDataEmph 2 10 4 4 2" xfId="20193" xr:uid="{00000000-0005-0000-0000-000087790000}"/>
    <cellStyle name="SAPBEXstdDataEmph 2 10 4 4 3" xfId="34365" xr:uid="{00000000-0005-0000-0000-000088790000}"/>
    <cellStyle name="SAPBEXstdDataEmph 2 10 4 4 4" xfId="34366" xr:uid="{00000000-0005-0000-0000-000089790000}"/>
    <cellStyle name="SAPBEXstdDataEmph 2 10 4 5" xfId="20194" xr:uid="{00000000-0005-0000-0000-00008A790000}"/>
    <cellStyle name="SAPBEXstdDataEmph 2 10 4 5 2" xfId="20195" xr:uid="{00000000-0005-0000-0000-00008B790000}"/>
    <cellStyle name="SAPBEXstdDataEmph 2 10 4 5 3" xfId="34367" xr:uid="{00000000-0005-0000-0000-00008C790000}"/>
    <cellStyle name="SAPBEXstdDataEmph 2 10 4 5 4" xfId="34368" xr:uid="{00000000-0005-0000-0000-00008D790000}"/>
    <cellStyle name="SAPBEXstdDataEmph 2 10 4 6" xfId="20196" xr:uid="{00000000-0005-0000-0000-00008E790000}"/>
    <cellStyle name="SAPBEXstdDataEmph 2 10 4 6 2" xfId="20197" xr:uid="{00000000-0005-0000-0000-00008F790000}"/>
    <cellStyle name="SAPBEXstdDataEmph 2 10 4 6 3" xfId="34369" xr:uid="{00000000-0005-0000-0000-000090790000}"/>
    <cellStyle name="SAPBEXstdDataEmph 2 10 4 6 4" xfId="34370" xr:uid="{00000000-0005-0000-0000-000091790000}"/>
    <cellStyle name="SAPBEXstdDataEmph 2 10 4 7" xfId="20198" xr:uid="{00000000-0005-0000-0000-000092790000}"/>
    <cellStyle name="SAPBEXstdDataEmph 2 10 4 7 2" xfId="20199" xr:uid="{00000000-0005-0000-0000-000093790000}"/>
    <cellStyle name="SAPBEXstdDataEmph 2 10 4 7 3" xfId="34371" xr:uid="{00000000-0005-0000-0000-000094790000}"/>
    <cellStyle name="SAPBEXstdDataEmph 2 10 4 7 4" xfId="34372" xr:uid="{00000000-0005-0000-0000-000095790000}"/>
    <cellStyle name="SAPBEXstdDataEmph 2 10 4 8" xfId="20200" xr:uid="{00000000-0005-0000-0000-000096790000}"/>
    <cellStyle name="SAPBEXstdDataEmph 2 10 4 9" xfId="34373" xr:uid="{00000000-0005-0000-0000-000097790000}"/>
    <cellStyle name="SAPBEXstdDataEmph 2 10 5" xfId="20201" xr:uid="{00000000-0005-0000-0000-000098790000}"/>
    <cellStyle name="SAPBEXstdDataEmph 2 10 5 10" xfId="34374" xr:uid="{00000000-0005-0000-0000-000099790000}"/>
    <cellStyle name="SAPBEXstdDataEmph 2 10 5 2" xfId="20202" xr:uid="{00000000-0005-0000-0000-00009A790000}"/>
    <cellStyle name="SAPBEXstdDataEmph 2 10 5 2 2" xfId="20203" xr:uid="{00000000-0005-0000-0000-00009B790000}"/>
    <cellStyle name="SAPBEXstdDataEmph 2 10 5 2 3" xfId="34375" xr:uid="{00000000-0005-0000-0000-00009C790000}"/>
    <cellStyle name="SAPBEXstdDataEmph 2 10 5 2 4" xfId="34376" xr:uid="{00000000-0005-0000-0000-00009D790000}"/>
    <cellStyle name="SAPBEXstdDataEmph 2 10 5 3" xfId="20204" xr:uid="{00000000-0005-0000-0000-00009E790000}"/>
    <cellStyle name="SAPBEXstdDataEmph 2 10 5 3 2" xfId="20205" xr:uid="{00000000-0005-0000-0000-00009F790000}"/>
    <cellStyle name="SAPBEXstdDataEmph 2 10 5 3 3" xfId="34377" xr:uid="{00000000-0005-0000-0000-0000A0790000}"/>
    <cellStyle name="SAPBEXstdDataEmph 2 10 5 3 4" xfId="34378" xr:uid="{00000000-0005-0000-0000-0000A1790000}"/>
    <cellStyle name="SAPBEXstdDataEmph 2 10 5 4" xfId="20206" xr:uid="{00000000-0005-0000-0000-0000A2790000}"/>
    <cellStyle name="SAPBEXstdDataEmph 2 10 5 4 2" xfId="20207" xr:uid="{00000000-0005-0000-0000-0000A3790000}"/>
    <cellStyle name="SAPBEXstdDataEmph 2 10 5 4 3" xfId="34379" xr:uid="{00000000-0005-0000-0000-0000A4790000}"/>
    <cellStyle name="SAPBEXstdDataEmph 2 10 5 4 4" xfId="34380" xr:uid="{00000000-0005-0000-0000-0000A5790000}"/>
    <cellStyle name="SAPBEXstdDataEmph 2 10 5 5" xfId="20208" xr:uid="{00000000-0005-0000-0000-0000A6790000}"/>
    <cellStyle name="SAPBEXstdDataEmph 2 10 5 5 2" xfId="20209" xr:uid="{00000000-0005-0000-0000-0000A7790000}"/>
    <cellStyle name="SAPBEXstdDataEmph 2 10 5 5 3" xfId="34381" xr:uid="{00000000-0005-0000-0000-0000A8790000}"/>
    <cellStyle name="SAPBEXstdDataEmph 2 10 5 5 4" xfId="34382" xr:uid="{00000000-0005-0000-0000-0000A9790000}"/>
    <cellStyle name="SAPBEXstdDataEmph 2 10 5 6" xfId="20210" xr:uid="{00000000-0005-0000-0000-0000AA790000}"/>
    <cellStyle name="SAPBEXstdDataEmph 2 10 5 6 2" xfId="20211" xr:uid="{00000000-0005-0000-0000-0000AB790000}"/>
    <cellStyle name="SAPBEXstdDataEmph 2 10 5 6 3" xfId="34383" xr:uid="{00000000-0005-0000-0000-0000AC790000}"/>
    <cellStyle name="SAPBEXstdDataEmph 2 10 5 6 4" xfId="34384" xr:uid="{00000000-0005-0000-0000-0000AD790000}"/>
    <cellStyle name="SAPBEXstdDataEmph 2 10 5 7" xfId="20212" xr:uid="{00000000-0005-0000-0000-0000AE790000}"/>
    <cellStyle name="SAPBEXstdDataEmph 2 10 5 7 2" xfId="20213" xr:uid="{00000000-0005-0000-0000-0000AF790000}"/>
    <cellStyle name="SAPBEXstdDataEmph 2 10 5 7 3" xfId="34385" xr:uid="{00000000-0005-0000-0000-0000B0790000}"/>
    <cellStyle name="SAPBEXstdDataEmph 2 10 5 7 4" xfId="34386" xr:uid="{00000000-0005-0000-0000-0000B1790000}"/>
    <cellStyle name="SAPBEXstdDataEmph 2 10 5 8" xfId="20214" xr:uid="{00000000-0005-0000-0000-0000B2790000}"/>
    <cellStyle name="SAPBEXstdDataEmph 2 10 5 9" xfId="34387" xr:uid="{00000000-0005-0000-0000-0000B3790000}"/>
    <cellStyle name="SAPBEXstdDataEmph 2 10 6" xfId="20215" xr:uid="{00000000-0005-0000-0000-0000B4790000}"/>
    <cellStyle name="SAPBEXstdDataEmph 2 10 6 2" xfId="20216" xr:uid="{00000000-0005-0000-0000-0000B5790000}"/>
    <cellStyle name="SAPBEXstdDataEmph 2 10 6 3" xfId="34388" xr:uid="{00000000-0005-0000-0000-0000B6790000}"/>
    <cellStyle name="SAPBEXstdDataEmph 2 10 6 4" xfId="34389" xr:uid="{00000000-0005-0000-0000-0000B7790000}"/>
    <cellStyle name="SAPBEXstdDataEmph 2 10 7" xfId="20217" xr:uid="{00000000-0005-0000-0000-0000B8790000}"/>
    <cellStyle name="SAPBEXstdDataEmph 2 10 7 2" xfId="20218" xr:uid="{00000000-0005-0000-0000-0000B9790000}"/>
    <cellStyle name="SAPBEXstdDataEmph 2 10 7 3" xfId="34390" xr:uid="{00000000-0005-0000-0000-0000BA790000}"/>
    <cellStyle name="SAPBEXstdDataEmph 2 10 7 4" xfId="34391" xr:uid="{00000000-0005-0000-0000-0000BB790000}"/>
    <cellStyle name="SAPBEXstdDataEmph 2 10 8" xfId="20219" xr:uid="{00000000-0005-0000-0000-0000BC790000}"/>
    <cellStyle name="SAPBEXstdDataEmph 2 10 8 2" xfId="20220" xr:uid="{00000000-0005-0000-0000-0000BD790000}"/>
    <cellStyle name="SAPBEXstdDataEmph 2 10 8 3" xfId="34392" xr:uid="{00000000-0005-0000-0000-0000BE790000}"/>
    <cellStyle name="SAPBEXstdDataEmph 2 10 8 4" xfId="34393" xr:uid="{00000000-0005-0000-0000-0000BF790000}"/>
    <cellStyle name="SAPBEXstdDataEmph 2 10 9" xfId="20221" xr:uid="{00000000-0005-0000-0000-0000C0790000}"/>
    <cellStyle name="SAPBEXstdDataEmph 2 10 9 2" xfId="20222" xr:uid="{00000000-0005-0000-0000-0000C1790000}"/>
    <cellStyle name="SAPBEXstdDataEmph 2 10 9 3" xfId="34394" xr:uid="{00000000-0005-0000-0000-0000C2790000}"/>
    <cellStyle name="SAPBEXstdDataEmph 2 10 9 4" xfId="34395" xr:uid="{00000000-0005-0000-0000-0000C3790000}"/>
    <cellStyle name="SAPBEXstdDataEmph 2 11" xfId="20223" xr:uid="{00000000-0005-0000-0000-0000C4790000}"/>
    <cellStyle name="SAPBEXstdDataEmph 2 11 10" xfId="20224" xr:uid="{00000000-0005-0000-0000-0000C5790000}"/>
    <cellStyle name="SAPBEXstdDataEmph 2 11 10 2" xfId="20225" xr:uid="{00000000-0005-0000-0000-0000C6790000}"/>
    <cellStyle name="SAPBEXstdDataEmph 2 11 10 3" xfId="34396" xr:uid="{00000000-0005-0000-0000-0000C7790000}"/>
    <cellStyle name="SAPBEXstdDataEmph 2 11 10 4" xfId="34397" xr:uid="{00000000-0005-0000-0000-0000C8790000}"/>
    <cellStyle name="SAPBEXstdDataEmph 2 11 11" xfId="20226" xr:uid="{00000000-0005-0000-0000-0000C9790000}"/>
    <cellStyle name="SAPBEXstdDataEmph 2 11 11 2" xfId="20227" xr:uid="{00000000-0005-0000-0000-0000CA790000}"/>
    <cellStyle name="SAPBEXstdDataEmph 2 11 11 3" xfId="34398" xr:uid="{00000000-0005-0000-0000-0000CB790000}"/>
    <cellStyle name="SAPBEXstdDataEmph 2 11 11 4" xfId="34399" xr:uid="{00000000-0005-0000-0000-0000CC790000}"/>
    <cellStyle name="SAPBEXstdDataEmph 2 11 12" xfId="20228" xr:uid="{00000000-0005-0000-0000-0000CD790000}"/>
    <cellStyle name="SAPBEXstdDataEmph 2 11 13" xfId="34400" xr:uid="{00000000-0005-0000-0000-0000CE790000}"/>
    <cellStyle name="SAPBEXstdDataEmph 2 11 14" xfId="34401" xr:uid="{00000000-0005-0000-0000-0000CF790000}"/>
    <cellStyle name="SAPBEXstdDataEmph 2 11 2" xfId="20229" xr:uid="{00000000-0005-0000-0000-0000D0790000}"/>
    <cellStyle name="SAPBEXstdDataEmph 2 11 2 10" xfId="34402" xr:uid="{00000000-0005-0000-0000-0000D1790000}"/>
    <cellStyle name="SAPBEXstdDataEmph 2 11 2 2" xfId="20230" xr:uid="{00000000-0005-0000-0000-0000D2790000}"/>
    <cellStyle name="SAPBEXstdDataEmph 2 11 2 2 2" xfId="20231" xr:uid="{00000000-0005-0000-0000-0000D3790000}"/>
    <cellStyle name="SAPBEXstdDataEmph 2 11 2 2 3" xfId="34403" xr:uid="{00000000-0005-0000-0000-0000D4790000}"/>
    <cellStyle name="SAPBEXstdDataEmph 2 11 2 2 4" xfId="34404" xr:uid="{00000000-0005-0000-0000-0000D5790000}"/>
    <cellStyle name="SAPBEXstdDataEmph 2 11 2 3" xfId="20232" xr:uid="{00000000-0005-0000-0000-0000D6790000}"/>
    <cellStyle name="SAPBEXstdDataEmph 2 11 2 3 2" xfId="20233" xr:uid="{00000000-0005-0000-0000-0000D7790000}"/>
    <cellStyle name="SAPBEXstdDataEmph 2 11 2 3 3" xfId="34405" xr:uid="{00000000-0005-0000-0000-0000D8790000}"/>
    <cellStyle name="SAPBEXstdDataEmph 2 11 2 3 4" xfId="34406" xr:uid="{00000000-0005-0000-0000-0000D9790000}"/>
    <cellStyle name="SAPBEXstdDataEmph 2 11 2 4" xfId="20234" xr:uid="{00000000-0005-0000-0000-0000DA790000}"/>
    <cellStyle name="SAPBEXstdDataEmph 2 11 2 4 2" xfId="20235" xr:uid="{00000000-0005-0000-0000-0000DB790000}"/>
    <cellStyle name="SAPBEXstdDataEmph 2 11 2 4 3" xfId="34407" xr:uid="{00000000-0005-0000-0000-0000DC790000}"/>
    <cellStyle name="SAPBEXstdDataEmph 2 11 2 4 4" xfId="34408" xr:uid="{00000000-0005-0000-0000-0000DD790000}"/>
    <cellStyle name="SAPBEXstdDataEmph 2 11 2 5" xfId="20236" xr:uid="{00000000-0005-0000-0000-0000DE790000}"/>
    <cellStyle name="SAPBEXstdDataEmph 2 11 2 5 2" xfId="20237" xr:uid="{00000000-0005-0000-0000-0000DF790000}"/>
    <cellStyle name="SAPBEXstdDataEmph 2 11 2 5 3" xfId="34409" xr:uid="{00000000-0005-0000-0000-0000E0790000}"/>
    <cellStyle name="SAPBEXstdDataEmph 2 11 2 5 4" xfId="34410" xr:uid="{00000000-0005-0000-0000-0000E1790000}"/>
    <cellStyle name="SAPBEXstdDataEmph 2 11 2 6" xfId="20238" xr:uid="{00000000-0005-0000-0000-0000E2790000}"/>
    <cellStyle name="SAPBEXstdDataEmph 2 11 2 6 2" xfId="20239" xr:uid="{00000000-0005-0000-0000-0000E3790000}"/>
    <cellStyle name="SAPBEXstdDataEmph 2 11 2 6 3" xfId="34411" xr:uid="{00000000-0005-0000-0000-0000E4790000}"/>
    <cellStyle name="SAPBEXstdDataEmph 2 11 2 6 4" xfId="34412" xr:uid="{00000000-0005-0000-0000-0000E5790000}"/>
    <cellStyle name="SAPBEXstdDataEmph 2 11 2 7" xfId="20240" xr:uid="{00000000-0005-0000-0000-0000E6790000}"/>
    <cellStyle name="SAPBEXstdDataEmph 2 11 2 7 2" xfId="20241" xr:uid="{00000000-0005-0000-0000-0000E7790000}"/>
    <cellStyle name="SAPBEXstdDataEmph 2 11 2 7 3" xfId="34413" xr:uid="{00000000-0005-0000-0000-0000E8790000}"/>
    <cellStyle name="SAPBEXstdDataEmph 2 11 2 7 4" xfId="34414" xr:uid="{00000000-0005-0000-0000-0000E9790000}"/>
    <cellStyle name="SAPBEXstdDataEmph 2 11 2 8" xfId="20242" xr:uid="{00000000-0005-0000-0000-0000EA790000}"/>
    <cellStyle name="SAPBEXstdDataEmph 2 11 2 9" xfId="34415" xr:uid="{00000000-0005-0000-0000-0000EB790000}"/>
    <cellStyle name="SAPBEXstdDataEmph 2 11 3" xfId="20243" xr:uid="{00000000-0005-0000-0000-0000EC790000}"/>
    <cellStyle name="SAPBEXstdDataEmph 2 11 3 10" xfId="34416" xr:uid="{00000000-0005-0000-0000-0000ED790000}"/>
    <cellStyle name="SAPBEXstdDataEmph 2 11 3 2" xfId="20244" xr:uid="{00000000-0005-0000-0000-0000EE790000}"/>
    <cellStyle name="SAPBEXstdDataEmph 2 11 3 2 2" xfId="20245" xr:uid="{00000000-0005-0000-0000-0000EF790000}"/>
    <cellStyle name="SAPBEXstdDataEmph 2 11 3 2 3" xfId="34417" xr:uid="{00000000-0005-0000-0000-0000F0790000}"/>
    <cellStyle name="SAPBEXstdDataEmph 2 11 3 2 4" xfId="34418" xr:uid="{00000000-0005-0000-0000-0000F1790000}"/>
    <cellStyle name="SAPBEXstdDataEmph 2 11 3 3" xfId="20246" xr:uid="{00000000-0005-0000-0000-0000F2790000}"/>
    <cellStyle name="SAPBEXstdDataEmph 2 11 3 3 2" xfId="20247" xr:uid="{00000000-0005-0000-0000-0000F3790000}"/>
    <cellStyle name="SAPBEXstdDataEmph 2 11 3 3 3" xfId="34419" xr:uid="{00000000-0005-0000-0000-0000F4790000}"/>
    <cellStyle name="SAPBEXstdDataEmph 2 11 3 3 4" xfId="34420" xr:uid="{00000000-0005-0000-0000-0000F5790000}"/>
    <cellStyle name="SAPBEXstdDataEmph 2 11 3 4" xfId="20248" xr:uid="{00000000-0005-0000-0000-0000F6790000}"/>
    <cellStyle name="SAPBEXstdDataEmph 2 11 3 4 2" xfId="20249" xr:uid="{00000000-0005-0000-0000-0000F7790000}"/>
    <cellStyle name="SAPBEXstdDataEmph 2 11 3 4 3" xfId="34421" xr:uid="{00000000-0005-0000-0000-0000F8790000}"/>
    <cellStyle name="SAPBEXstdDataEmph 2 11 3 4 4" xfId="34422" xr:uid="{00000000-0005-0000-0000-0000F9790000}"/>
    <cellStyle name="SAPBEXstdDataEmph 2 11 3 5" xfId="20250" xr:uid="{00000000-0005-0000-0000-0000FA790000}"/>
    <cellStyle name="SAPBEXstdDataEmph 2 11 3 5 2" xfId="20251" xr:uid="{00000000-0005-0000-0000-0000FB790000}"/>
    <cellStyle name="SAPBEXstdDataEmph 2 11 3 5 3" xfId="34423" xr:uid="{00000000-0005-0000-0000-0000FC790000}"/>
    <cellStyle name="SAPBEXstdDataEmph 2 11 3 5 4" xfId="34424" xr:uid="{00000000-0005-0000-0000-0000FD790000}"/>
    <cellStyle name="SAPBEXstdDataEmph 2 11 3 6" xfId="20252" xr:uid="{00000000-0005-0000-0000-0000FE790000}"/>
    <cellStyle name="SAPBEXstdDataEmph 2 11 3 6 2" xfId="20253" xr:uid="{00000000-0005-0000-0000-0000FF790000}"/>
    <cellStyle name="SAPBEXstdDataEmph 2 11 3 6 3" xfId="34425" xr:uid="{00000000-0005-0000-0000-0000007A0000}"/>
    <cellStyle name="SAPBEXstdDataEmph 2 11 3 6 4" xfId="34426" xr:uid="{00000000-0005-0000-0000-0000017A0000}"/>
    <cellStyle name="SAPBEXstdDataEmph 2 11 3 7" xfId="20254" xr:uid="{00000000-0005-0000-0000-0000027A0000}"/>
    <cellStyle name="SAPBEXstdDataEmph 2 11 3 7 2" xfId="20255" xr:uid="{00000000-0005-0000-0000-0000037A0000}"/>
    <cellStyle name="SAPBEXstdDataEmph 2 11 3 7 3" xfId="34427" xr:uid="{00000000-0005-0000-0000-0000047A0000}"/>
    <cellStyle name="SAPBEXstdDataEmph 2 11 3 7 4" xfId="34428" xr:uid="{00000000-0005-0000-0000-0000057A0000}"/>
    <cellStyle name="SAPBEXstdDataEmph 2 11 3 8" xfId="20256" xr:uid="{00000000-0005-0000-0000-0000067A0000}"/>
    <cellStyle name="SAPBEXstdDataEmph 2 11 3 9" xfId="34429" xr:uid="{00000000-0005-0000-0000-0000077A0000}"/>
    <cellStyle name="SAPBEXstdDataEmph 2 11 4" xfId="20257" xr:uid="{00000000-0005-0000-0000-0000087A0000}"/>
    <cellStyle name="SAPBEXstdDataEmph 2 11 4 10" xfId="34430" xr:uid="{00000000-0005-0000-0000-0000097A0000}"/>
    <cellStyle name="SAPBEXstdDataEmph 2 11 4 2" xfId="20258" xr:uid="{00000000-0005-0000-0000-00000A7A0000}"/>
    <cellStyle name="SAPBEXstdDataEmph 2 11 4 2 2" xfId="20259" xr:uid="{00000000-0005-0000-0000-00000B7A0000}"/>
    <cellStyle name="SAPBEXstdDataEmph 2 11 4 2 3" xfId="34431" xr:uid="{00000000-0005-0000-0000-00000C7A0000}"/>
    <cellStyle name="SAPBEXstdDataEmph 2 11 4 2 4" xfId="34432" xr:uid="{00000000-0005-0000-0000-00000D7A0000}"/>
    <cellStyle name="SAPBEXstdDataEmph 2 11 4 3" xfId="20260" xr:uid="{00000000-0005-0000-0000-00000E7A0000}"/>
    <cellStyle name="SAPBEXstdDataEmph 2 11 4 3 2" xfId="20261" xr:uid="{00000000-0005-0000-0000-00000F7A0000}"/>
    <cellStyle name="SAPBEXstdDataEmph 2 11 4 3 3" xfId="34433" xr:uid="{00000000-0005-0000-0000-0000107A0000}"/>
    <cellStyle name="SAPBEXstdDataEmph 2 11 4 3 4" xfId="34434" xr:uid="{00000000-0005-0000-0000-0000117A0000}"/>
    <cellStyle name="SAPBEXstdDataEmph 2 11 4 4" xfId="20262" xr:uid="{00000000-0005-0000-0000-0000127A0000}"/>
    <cellStyle name="SAPBEXstdDataEmph 2 11 4 4 2" xfId="20263" xr:uid="{00000000-0005-0000-0000-0000137A0000}"/>
    <cellStyle name="SAPBEXstdDataEmph 2 11 4 4 3" xfId="34435" xr:uid="{00000000-0005-0000-0000-0000147A0000}"/>
    <cellStyle name="SAPBEXstdDataEmph 2 11 4 4 4" xfId="34436" xr:uid="{00000000-0005-0000-0000-0000157A0000}"/>
    <cellStyle name="SAPBEXstdDataEmph 2 11 4 5" xfId="20264" xr:uid="{00000000-0005-0000-0000-0000167A0000}"/>
    <cellStyle name="SAPBEXstdDataEmph 2 11 4 5 2" xfId="20265" xr:uid="{00000000-0005-0000-0000-0000177A0000}"/>
    <cellStyle name="SAPBEXstdDataEmph 2 11 4 5 3" xfId="34437" xr:uid="{00000000-0005-0000-0000-0000187A0000}"/>
    <cellStyle name="SAPBEXstdDataEmph 2 11 4 5 4" xfId="34438" xr:uid="{00000000-0005-0000-0000-0000197A0000}"/>
    <cellStyle name="SAPBEXstdDataEmph 2 11 4 6" xfId="20266" xr:uid="{00000000-0005-0000-0000-00001A7A0000}"/>
    <cellStyle name="SAPBEXstdDataEmph 2 11 4 6 2" xfId="20267" xr:uid="{00000000-0005-0000-0000-00001B7A0000}"/>
    <cellStyle name="SAPBEXstdDataEmph 2 11 4 6 3" xfId="34439" xr:uid="{00000000-0005-0000-0000-00001C7A0000}"/>
    <cellStyle name="SAPBEXstdDataEmph 2 11 4 6 4" xfId="34440" xr:uid="{00000000-0005-0000-0000-00001D7A0000}"/>
    <cellStyle name="SAPBEXstdDataEmph 2 11 4 7" xfId="20268" xr:uid="{00000000-0005-0000-0000-00001E7A0000}"/>
    <cellStyle name="SAPBEXstdDataEmph 2 11 4 7 2" xfId="20269" xr:uid="{00000000-0005-0000-0000-00001F7A0000}"/>
    <cellStyle name="SAPBEXstdDataEmph 2 11 4 7 3" xfId="34441" xr:uid="{00000000-0005-0000-0000-0000207A0000}"/>
    <cellStyle name="SAPBEXstdDataEmph 2 11 4 7 4" xfId="34442" xr:uid="{00000000-0005-0000-0000-0000217A0000}"/>
    <cellStyle name="SAPBEXstdDataEmph 2 11 4 8" xfId="20270" xr:uid="{00000000-0005-0000-0000-0000227A0000}"/>
    <cellStyle name="SAPBEXstdDataEmph 2 11 4 9" xfId="34443" xr:uid="{00000000-0005-0000-0000-0000237A0000}"/>
    <cellStyle name="SAPBEXstdDataEmph 2 11 5" xfId="20271" xr:uid="{00000000-0005-0000-0000-0000247A0000}"/>
    <cellStyle name="SAPBEXstdDataEmph 2 11 5 10" xfId="34444" xr:uid="{00000000-0005-0000-0000-0000257A0000}"/>
    <cellStyle name="SAPBEXstdDataEmph 2 11 5 2" xfId="20272" xr:uid="{00000000-0005-0000-0000-0000267A0000}"/>
    <cellStyle name="SAPBEXstdDataEmph 2 11 5 2 2" xfId="20273" xr:uid="{00000000-0005-0000-0000-0000277A0000}"/>
    <cellStyle name="SAPBEXstdDataEmph 2 11 5 2 3" xfId="34445" xr:uid="{00000000-0005-0000-0000-0000287A0000}"/>
    <cellStyle name="SAPBEXstdDataEmph 2 11 5 2 4" xfId="34446" xr:uid="{00000000-0005-0000-0000-0000297A0000}"/>
    <cellStyle name="SAPBEXstdDataEmph 2 11 5 3" xfId="20274" xr:uid="{00000000-0005-0000-0000-00002A7A0000}"/>
    <cellStyle name="SAPBEXstdDataEmph 2 11 5 3 2" xfId="20275" xr:uid="{00000000-0005-0000-0000-00002B7A0000}"/>
    <cellStyle name="SAPBEXstdDataEmph 2 11 5 3 3" xfId="34447" xr:uid="{00000000-0005-0000-0000-00002C7A0000}"/>
    <cellStyle name="SAPBEXstdDataEmph 2 11 5 3 4" xfId="34448" xr:uid="{00000000-0005-0000-0000-00002D7A0000}"/>
    <cellStyle name="SAPBEXstdDataEmph 2 11 5 4" xfId="20276" xr:uid="{00000000-0005-0000-0000-00002E7A0000}"/>
    <cellStyle name="SAPBEXstdDataEmph 2 11 5 4 2" xfId="20277" xr:uid="{00000000-0005-0000-0000-00002F7A0000}"/>
    <cellStyle name="SAPBEXstdDataEmph 2 11 5 4 3" xfId="34449" xr:uid="{00000000-0005-0000-0000-0000307A0000}"/>
    <cellStyle name="SAPBEXstdDataEmph 2 11 5 4 4" xfId="34450" xr:uid="{00000000-0005-0000-0000-0000317A0000}"/>
    <cellStyle name="SAPBEXstdDataEmph 2 11 5 5" xfId="20278" xr:uid="{00000000-0005-0000-0000-0000327A0000}"/>
    <cellStyle name="SAPBEXstdDataEmph 2 11 5 5 2" xfId="20279" xr:uid="{00000000-0005-0000-0000-0000337A0000}"/>
    <cellStyle name="SAPBEXstdDataEmph 2 11 5 5 3" xfId="34451" xr:uid="{00000000-0005-0000-0000-0000347A0000}"/>
    <cellStyle name="SAPBEXstdDataEmph 2 11 5 5 4" xfId="34452" xr:uid="{00000000-0005-0000-0000-0000357A0000}"/>
    <cellStyle name="SAPBEXstdDataEmph 2 11 5 6" xfId="20280" xr:uid="{00000000-0005-0000-0000-0000367A0000}"/>
    <cellStyle name="SAPBEXstdDataEmph 2 11 5 6 2" xfId="20281" xr:uid="{00000000-0005-0000-0000-0000377A0000}"/>
    <cellStyle name="SAPBEXstdDataEmph 2 11 5 6 3" xfId="34453" xr:uid="{00000000-0005-0000-0000-0000387A0000}"/>
    <cellStyle name="SAPBEXstdDataEmph 2 11 5 6 4" xfId="34454" xr:uid="{00000000-0005-0000-0000-0000397A0000}"/>
    <cellStyle name="SAPBEXstdDataEmph 2 11 5 7" xfId="20282" xr:uid="{00000000-0005-0000-0000-00003A7A0000}"/>
    <cellStyle name="SAPBEXstdDataEmph 2 11 5 7 2" xfId="20283" xr:uid="{00000000-0005-0000-0000-00003B7A0000}"/>
    <cellStyle name="SAPBEXstdDataEmph 2 11 5 7 3" xfId="34455" xr:uid="{00000000-0005-0000-0000-00003C7A0000}"/>
    <cellStyle name="SAPBEXstdDataEmph 2 11 5 7 4" xfId="34456" xr:uid="{00000000-0005-0000-0000-00003D7A0000}"/>
    <cellStyle name="SAPBEXstdDataEmph 2 11 5 8" xfId="20284" xr:uid="{00000000-0005-0000-0000-00003E7A0000}"/>
    <cellStyle name="SAPBEXstdDataEmph 2 11 5 9" xfId="34457" xr:uid="{00000000-0005-0000-0000-00003F7A0000}"/>
    <cellStyle name="SAPBEXstdDataEmph 2 11 6" xfId="20285" xr:uid="{00000000-0005-0000-0000-0000407A0000}"/>
    <cellStyle name="SAPBEXstdDataEmph 2 11 6 2" xfId="20286" xr:uid="{00000000-0005-0000-0000-0000417A0000}"/>
    <cellStyle name="SAPBEXstdDataEmph 2 11 6 3" xfId="34458" xr:uid="{00000000-0005-0000-0000-0000427A0000}"/>
    <cellStyle name="SAPBEXstdDataEmph 2 11 6 4" xfId="34459" xr:uid="{00000000-0005-0000-0000-0000437A0000}"/>
    <cellStyle name="SAPBEXstdDataEmph 2 11 7" xfId="20287" xr:uid="{00000000-0005-0000-0000-0000447A0000}"/>
    <cellStyle name="SAPBEXstdDataEmph 2 11 7 2" xfId="20288" xr:uid="{00000000-0005-0000-0000-0000457A0000}"/>
    <cellStyle name="SAPBEXstdDataEmph 2 11 7 3" xfId="34460" xr:uid="{00000000-0005-0000-0000-0000467A0000}"/>
    <cellStyle name="SAPBEXstdDataEmph 2 11 7 4" xfId="34461" xr:uid="{00000000-0005-0000-0000-0000477A0000}"/>
    <cellStyle name="SAPBEXstdDataEmph 2 11 8" xfId="20289" xr:uid="{00000000-0005-0000-0000-0000487A0000}"/>
    <cellStyle name="SAPBEXstdDataEmph 2 11 8 2" xfId="20290" xr:uid="{00000000-0005-0000-0000-0000497A0000}"/>
    <cellStyle name="SAPBEXstdDataEmph 2 11 8 3" xfId="34462" xr:uid="{00000000-0005-0000-0000-00004A7A0000}"/>
    <cellStyle name="SAPBEXstdDataEmph 2 11 8 4" xfId="34463" xr:uid="{00000000-0005-0000-0000-00004B7A0000}"/>
    <cellStyle name="SAPBEXstdDataEmph 2 11 9" xfId="20291" xr:uid="{00000000-0005-0000-0000-00004C7A0000}"/>
    <cellStyle name="SAPBEXstdDataEmph 2 11 9 2" xfId="20292" xr:uid="{00000000-0005-0000-0000-00004D7A0000}"/>
    <cellStyle name="SAPBEXstdDataEmph 2 11 9 3" xfId="34464" xr:uid="{00000000-0005-0000-0000-00004E7A0000}"/>
    <cellStyle name="SAPBEXstdDataEmph 2 11 9 4" xfId="34465" xr:uid="{00000000-0005-0000-0000-00004F7A0000}"/>
    <cellStyle name="SAPBEXstdDataEmph 2 12" xfId="20293" xr:uid="{00000000-0005-0000-0000-0000507A0000}"/>
    <cellStyle name="SAPBEXstdDataEmph 2 12 10" xfId="20294" xr:uid="{00000000-0005-0000-0000-0000517A0000}"/>
    <cellStyle name="SAPBEXstdDataEmph 2 12 10 2" xfId="20295" xr:uid="{00000000-0005-0000-0000-0000527A0000}"/>
    <cellStyle name="SAPBEXstdDataEmph 2 12 10 3" xfId="34466" xr:uid="{00000000-0005-0000-0000-0000537A0000}"/>
    <cellStyle name="SAPBEXstdDataEmph 2 12 10 4" xfId="34467" xr:uid="{00000000-0005-0000-0000-0000547A0000}"/>
    <cellStyle name="SAPBEXstdDataEmph 2 12 11" xfId="20296" xr:uid="{00000000-0005-0000-0000-0000557A0000}"/>
    <cellStyle name="SAPBEXstdDataEmph 2 12 11 2" xfId="20297" xr:uid="{00000000-0005-0000-0000-0000567A0000}"/>
    <cellStyle name="SAPBEXstdDataEmph 2 12 11 3" xfId="34468" xr:uid="{00000000-0005-0000-0000-0000577A0000}"/>
    <cellStyle name="SAPBEXstdDataEmph 2 12 11 4" xfId="34469" xr:uid="{00000000-0005-0000-0000-0000587A0000}"/>
    <cellStyle name="SAPBEXstdDataEmph 2 12 12" xfId="20298" xr:uid="{00000000-0005-0000-0000-0000597A0000}"/>
    <cellStyle name="SAPBEXstdDataEmph 2 12 13" xfId="34470" xr:uid="{00000000-0005-0000-0000-00005A7A0000}"/>
    <cellStyle name="SAPBEXstdDataEmph 2 12 14" xfId="34471" xr:uid="{00000000-0005-0000-0000-00005B7A0000}"/>
    <cellStyle name="SAPBEXstdDataEmph 2 12 2" xfId="20299" xr:uid="{00000000-0005-0000-0000-00005C7A0000}"/>
    <cellStyle name="SAPBEXstdDataEmph 2 12 2 10" xfId="34472" xr:uid="{00000000-0005-0000-0000-00005D7A0000}"/>
    <cellStyle name="SAPBEXstdDataEmph 2 12 2 2" xfId="20300" xr:uid="{00000000-0005-0000-0000-00005E7A0000}"/>
    <cellStyle name="SAPBEXstdDataEmph 2 12 2 2 2" xfId="20301" xr:uid="{00000000-0005-0000-0000-00005F7A0000}"/>
    <cellStyle name="SAPBEXstdDataEmph 2 12 2 2 3" xfId="34473" xr:uid="{00000000-0005-0000-0000-0000607A0000}"/>
    <cellStyle name="SAPBEXstdDataEmph 2 12 2 2 4" xfId="34474" xr:uid="{00000000-0005-0000-0000-0000617A0000}"/>
    <cellStyle name="SAPBEXstdDataEmph 2 12 2 3" xfId="20302" xr:uid="{00000000-0005-0000-0000-0000627A0000}"/>
    <cellStyle name="SAPBEXstdDataEmph 2 12 2 3 2" xfId="20303" xr:uid="{00000000-0005-0000-0000-0000637A0000}"/>
    <cellStyle name="SAPBEXstdDataEmph 2 12 2 3 3" xfId="34475" xr:uid="{00000000-0005-0000-0000-0000647A0000}"/>
    <cellStyle name="SAPBEXstdDataEmph 2 12 2 3 4" xfId="34476" xr:uid="{00000000-0005-0000-0000-0000657A0000}"/>
    <cellStyle name="SAPBEXstdDataEmph 2 12 2 4" xfId="20304" xr:uid="{00000000-0005-0000-0000-0000667A0000}"/>
    <cellStyle name="SAPBEXstdDataEmph 2 12 2 4 2" xfId="20305" xr:uid="{00000000-0005-0000-0000-0000677A0000}"/>
    <cellStyle name="SAPBEXstdDataEmph 2 12 2 4 3" xfId="34477" xr:uid="{00000000-0005-0000-0000-0000687A0000}"/>
    <cellStyle name="SAPBEXstdDataEmph 2 12 2 4 4" xfId="34478" xr:uid="{00000000-0005-0000-0000-0000697A0000}"/>
    <cellStyle name="SAPBEXstdDataEmph 2 12 2 5" xfId="20306" xr:uid="{00000000-0005-0000-0000-00006A7A0000}"/>
    <cellStyle name="SAPBEXstdDataEmph 2 12 2 5 2" xfId="20307" xr:uid="{00000000-0005-0000-0000-00006B7A0000}"/>
    <cellStyle name="SAPBEXstdDataEmph 2 12 2 5 3" xfId="34479" xr:uid="{00000000-0005-0000-0000-00006C7A0000}"/>
    <cellStyle name="SAPBEXstdDataEmph 2 12 2 5 4" xfId="34480" xr:uid="{00000000-0005-0000-0000-00006D7A0000}"/>
    <cellStyle name="SAPBEXstdDataEmph 2 12 2 6" xfId="20308" xr:uid="{00000000-0005-0000-0000-00006E7A0000}"/>
    <cellStyle name="SAPBEXstdDataEmph 2 12 2 6 2" xfId="20309" xr:uid="{00000000-0005-0000-0000-00006F7A0000}"/>
    <cellStyle name="SAPBEXstdDataEmph 2 12 2 6 3" xfId="34481" xr:uid="{00000000-0005-0000-0000-0000707A0000}"/>
    <cellStyle name="SAPBEXstdDataEmph 2 12 2 6 4" xfId="34482" xr:uid="{00000000-0005-0000-0000-0000717A0000}"/>
    <cellStyle name="SAPBEXstdDataEmph 2 12 2 7" xfId="20310" xr:uid="{00000000-0005-0000-0000-0000727A0000}"/>
    <cellStyle name="SAPBEXstdDataEmph 2 12 2 7 2" xfId="20311" xr:uid="{00000000-0005-0000-0000-0000737A0000}"/>
    <cellStyle name="SAPBEXstdDataEmph 2 12 2 7 3" xfId="34483" xr:uid="{00000000-0005-0000-0000-0000747A0000}"/>
    <cellStyle name="SAPBEXstdDataEmph 2 12 2 7 4" xfId="34484" xr:uid="{00000000-0005-0000-0000-0000757A0000}"/>
    <cellStyle name="SAPBEXstdDataEmph 2 12 2 8" xfId="20312" xr:uid="{00000000-0005-0000-0000-0000767A0000}"/>
    <cellStyle name="SAPBEXstdDataEmph 2 12 2 9" xfId="34485" xr:uid="{00000000-0005-0000-0000-0000777A0000}"/>
    <cellStyle name="SAPBEXstdDataEmph 2 12 3" xfId="20313" xr:uid="{00000000-0005-0000-0000-0000787A0000}"/>
    <cellStyle name="SAPBEXstdDataEmph 2 12 3 10" xfId="34486" xr:uid="{00000000-0005-0000-0000-0000797A0000}"/>
    <cellStyle name="SAPBEXstdDataEmph 2 12 3 2" xfId="20314" xr:uid="{00000000-0005-0000-0000-00007A7A0000}"/>
    <cellStyle name="SAPBEXstdDataEmph 2 12 3 2 2" xfId="20315" xr:uid="{00000000-0005-0000-0000-00007B7A0000}"/>
    <cellStyle name="SAPBEXstdDataEmph 2 12 3 2 3" xfId="34487" xr:uid="{00000000-0005-0000-0000-00007C7A0000}"/>
    <cellStyle name="SAPBEXstdDataEmph 2 12 3 2 4" xfId="34488" xr:uid="{00000000-0005-0000-0000-00007D7A0000}"/>
    <cellStyle name="SAPBEXstdDataEmph 2 12 3 3" xfId="20316" xr:uid="{00000000-0005-0000-0000-00007E7A0000}"/>
    <cellStyle name="SAPBEXstdDataEmph 2 12 3 3 2" xfId="20317" xr:uid="{00000000-0005-0000-0000-00007F7A0000}"/>
    <cellStyle name="SAPBEXstdDataEmph 2 12 3 3 3" xfId="34489" xr:uid="{00000000-0005-0000-0000-0000807A0000}"/>
    <cellStyle name="SAPBEXstdDataEmph 2 12 3 3 4" xfId="34490" xr:uid="{00000000-0005-0000-0000-0000817A0000}"/>
    <cellStyle name="SAPBEXstdDataEmph 2 12 3 4" xfId="20318" xr:uid="{00000000-0005-0000-0000-0000827A0000}"/>
    <cellStyle name="SAPBEXstdDataEmph 2 12 3 4 2" xfId="20319" xr:uid="{00000000-0005-0000-0000-0000837A0000}"/>
    <cellStyle name="SAPBEXstdDataEmph 2 12 3 4 3" xfId="34491" xr:uid="{00000000-0005-0000-0000-0000847A0000}"/>
    <cellStyle name="SAPBEXstdDataEmph 2 12 3 4 4" xfId="34492" xr:uid="{00000000-0005-0000-0000-0000857A0000}"/>
    <cellStyle name="SAPBEXstdDataEmph 2 12 3 5" xfId="20320" xr:uid="{00000000-0005-0000-0000-0000867A0000}"/>
    <cellStyle name="SAPBEXstdDataEmph 2 12 3 5 2" xfId="20321" xr:uid="{00000000-0005-0000-0000-0000877A0000}"/>
    <cellStyle name="SAPBEXstdDataEmph 2 12 3 5 3" xfId="34493" xr:uid="{00000000-0005-0000-0000-0000887A0000}"/>
    <cellStyle name="SAPBEXstdDataEmph 2 12 3 5 4" xfId="34494" xr:uid="{00000000-0005-0000-0000-0000897A0000}"/>
    <cellStyle name="SAPBEXstdDataEmph 2 12 3 6" xfId="20322" xr:uid="{00000000-0005-0000-0000-00008A7A0000}"/>
    <cellStyle name="SAPBEXstdDataEmph 2 12 3 6 2" xfId="20323" xr:uid="{00000000-0005-0000-0000-00008B7A0000}"/>
    <cellStyle name="SAPBEXstdDataEmph 2 12 3 6 3" xfId="34495" xr:uid="{00000000-0005-0000-0000-00008C7A0000}"/>
    <cellStyle name="SAPBEXstdDataEmph 2 12 3 6 4" xfId="34496" xr:uid="{00000000-0005-0000-0000-00008D7A0000}"/>
    <cellStyle name="SAPBEXstdDataEmph 2 12 3 7" xfId="20324" xr:uid="{00000000-0005-0000-0000-00008E7A0000}"/>
    <cellStyle name="SAPBEXstdDataEmph 2 12 3 7 2" xfId="20325" xr:uid="{00000000-0005-0000-0000-00008F7A0000}"/>
    <cellStyle name="SAPBEXstdDataEmph 2 12 3 7 3" xfId="34497" xr:uid="{00000000-0005-0000-0000-0000907A0000}"/>
    <cellStyle name="SAPBEXstdDataEmph 2 12 3 7 4" xfId="34498" xr:uid="{00000000-0005-0000-0000-0000917A0000}"/>
    <cellStyle name="SAPBEXstdDataEmph 2 12 3 8" xfId="20326" xr:uid="{00000000-0005-0000-0000-0000927A0000}"/>
    <cellStyle name="SAPBEXstdDataEmph 2 12 3 9" xfId="34499" xr:uid="{00000000-0005-0000-0000-0000937A0000}"/>
    <cellStyle name="SAPBEXstdDataEmph 2 12 4" xfId="20327" xr:uid="{00000000-0005-0000-0000-0000947A0000}"/>
    <cellStyle name="SAPBEXstdDataEmph 2 12 4 10" xfId="34500" xr:uid="{00000000-0005-0000-0000-0000957A0000}"/>
    <cellStyle name="SAPBEXstdDataEmph 2 12 4 2" xfId="20328" xr:uid="{00000000-0005-0000-0000-0000967A0000}"/>
    <cellStyle name="SAPBEXstdDataEmph 2 12 4 2 2" xfId="20329" xr:uid="{00000000-0005-0000-0000-0000977A0000}"/>
    <cellStyle name="SAPBEXstdDataEmph 2 12 4 2 3" xfId="34501" xr:uid="{00000000-0005-0000-0000-0000987A0000}"/>
    <cellStyle name="SAPBEXstdDataEmph 2 12 4 2 4" xfId="34502" xr:uid="{00000000-0005-0000-0000-0000997A0000}"/>
    <cellStyle name="SAPBEXstdDataEmph 2 12 4 3" xfId="20330" xr:uid="{00000000-0005-0000-0000-00009A7A0000}"/>
    <cellStyle name="SAPBEXstdDataEmph 2 12 4 3 2" xfId="20331" xr:uid="{00000000-0005-0000-0000-00009B7A0000}"/>
    <cellStyle name="SAPBEXstdDataEmph 2 12 4 3 3" xfId="34503" xr:uid="{00000000-0005-0000-0000-00009C7A0000}"/>
    <cellStyle name="SAPBEXstdDataEmph 2 12 4 3 4" xfId="34504" xr:uid="{00000000-0005-0000-0000-00009D7A0000}"/>
    <cellStyle name="SAPBEXstdDataEmph 2 12 4 4" xfId="20332" xr:uid="{00000000-0005-0000-0000-00009E7A0000}"/>
    <cellStyle name="SAPBEXstdDataEmph 2 12 4 4 2" xfId="20333" xr:uid="{00000000-0005-0000-0000-00009F7A0000}"/>
    <cellStyle name="SAPBEXstdDataEmph 2 12 4 4 3" xfId="34505" xr:uid="{00000000-0005-0000-0000-0000A07A0000}"/>
    <cellStyle name="SAPBEXstdDataEmph 2 12 4 4 4" xfId="34506" xr:uid="{00000000-0005-0000-0000-0000A17A0000}"/>
    <cellStyle name="SAPBEXstdDataEmph 2 12 4 5" xfId="20334" xr:uid="{00000000-0005-0000-0000-0000A27A0000}"/>
    <cellStyle name="SAPBEXstdDataEmph 2 12 4 5 2" xfId="20335" xr:uid="{00000000-0005-0000-0000-0000A37A0000}"/>
    <cellStyle name="SAPBEXstdDataEmph 2 12 4 5 3" xfId="34507" xr:uid="{00000000-0005-0000-0000-0000A47A0000}"/>
    <cellStyle name="SAPBEXstdDataEmph 2 12 4 5 4" xfId="34508" xr:uid="{00000000-0005-0000-0000-0000A57A0000}"/>
    <cellStyle name="SAPBEXstdDataEmph 2 12 4 6" xfId="20336" xr:uid="{00000000-0005-0000-0000-0000A67A0000}"/>
    <cellStyle name="SAPBEXstdDataEmph 2 12 4 6 2" xfId="20337" xr:uid="{00000000-0005-0000-0000-0000A77A0000}"/>
    <cellStyle name="SAPBEXstdDataEmph 2 12 4 6 3" xfId="34509" xr:uid="{00000000-0005-0000-0000-0000A87A0000}"/>
    <cellStyle name="SAPBEXstdDataEmph 2 12 4 6 4" xfId="34510" xr:uid="{00000000-0005-0000-0000-0000A97A0000}"/>
    <cellStyle name="SAPBEXstdDataEmph 2 12 4 7" xfId="20338" xr:uid="{00000000-0005-0000-0000-0000AA7A0000}"/>
    <cellStyle name="SAPBEXstdDataEmph 2 12 4 7 2" xfId="20339" xr:uid="{00000000-0005-0000-0000-0000AB7A0000}"/>
    <cellStyle name="SAPBEXstdDataEmph 2 12 4 7 3" xfId="34511" xr:uid="{00000000-0005-0000-0000-0000AC7A0000}"/>
    <cellStyle name="SAPBEXstdDataEmph 2 12 4 7 4" xfId="34512" xr:uid="{00000000-0005-0000-0000-0000AD7A0000}"/>
    <cellStyle name="SAPBEXstdDataEmph 2 12 4 8" xfId="20340" xr:uid="{00000000-0005-0000-0000-0000AE7A0000}"/>
    <cellStyle name="SAPBEXstdDataEmph 2 12 4 9" xfId="34513" xr:uid="{00000000-0005-0000-0000-0000AF7A0000}"/>
    <cellStyle name="SAPBEXstdDataEmph 2 12 5" xfId="20341" xr:uid="{00000000-0005-0000-0000-0000B07A0000}"/>
    <cellStyle name="SAPBEXstdDataEmph 2 12 5 10" xfId="34514" xr:uid="{00000000-0005-0000-0000-0000B17A0000}"/>
    <cellStyle name="SAPBEXstdDataEmph 2 12 5 2" xfId="20342" xr:uid="{00000000-0005-0000-0000-0000B27A0000}"/>
    <cellStyle name="SAPBEXstdDataEmph 2 12 5 2 2" xfId="20343" xr:uid="{00000000-0005-0000-0000-0000B37A0000}"/>
    <cellStyle name="SAPBEXstdDataEmph 2 12 5 2 3" xfId="34515" xr:uid="{00000000-0005-0000-0000-0000B47A0000}"/>
    <cellStyle name="SAPBEXstdDataEmph 2 12 5 2 4" xfId="34516" xr:uid="{00000000-0005-0000-0000-0000B57A0000}"/>
    <cellStyle name="SAPBEXstdDataEmph 2 12 5 3" xfId="20344" xr:uid="{00000000-0005-0000-0000-0000B67A0000}"/>
    <cellStyle name="SAPBEXstdDataEmph 2 12 5 3 2" xfId="20345" xr:uid="{00000000-0005-0000-0000-0000B77A0000}"/>
    <cellStyle name="SAPBEXstdDataEmph 2 12 5 3 3" xfId="34517" xr:uid="{00000000-0005-0000-0000-0000B87A0000}"/>
    <cellStyle name="SAPBEXstdDataEmph 2 12 5 3 4" xfId="34518" xr:uid="{00000000-0005-0000-0000-0000B97A0000}"/>
    <cellStyle name="SAPBEXstdDataEmph 2 12 5 4" xfId="20346" xr:uid="{00000000-0005-0000-0000-0000BA7A0000}"/>
    <cellStyle name="SAPBEXstdDataEmph 2 12 5 4 2" xfId="20347" xr:uid="{00000000-0005-0000-0000-0000BB7A0000}"/>
    <cellStyle name="SAPBEXstdDataEmph 2 12 5 4 3" xfId="34519" xr:uid="{00000000-0005-0000-0000-0000BC7A0000}"/>
    <cellStyle name="SAPBEXstdDataEmph 2 12 5 4 4" xfId="34520" xr:uid="{00000000-0005-0000-0000-0000BD7A0000}"/>
    <cellStyle name="SAPBEXstdDataEmph 2 12 5 5" xfId="20348" xr:uid="{00000000-0005-0000-0000-0000BE7A0000}"/>
    <cellStyle name="SAPBEXstdDataEmph 2 12 5 5 2" xfId="20349" xr:uid="{00000000-0005-0000-0000-0000BF7A0000}"/>
    <cellStyle name="SAPBEXstdDataEmph 2 12 5 5 3" xfId="34521" xr:uid="{00000000-0005-0000-0000-0000C07A0000}"/>
    <cellStyle name="SAPBEXstdDataEmph 2 12 5 5 4" xfId="34522" xr:uid="{00000000-0005-0000-0000-0000C17A0000}"/>
    <cellStyle name="SAPBEXstdDataEmph 2 12 5 6" xfId="20350" xr:uid="{00000000-0005-0000-0000-0000C27A0000}"/>
    <cellStyle name="SAPBEXstdDataEmph 2 12 5 6 2" xfId="20351" xr:uid="{00000000-0005-0000-0000-0000C37A0000}"/>
    <cellStyle name="SAPBEXstdDataEmph 2 12 5 6 3" xfId="34523" xr:uid="{00000000-0005-0000-0000-0000C47A0000}"/>
    <cellStyle name="SAPBEXstdDataEmph 2 12 5 6 4" xfId="34524" xr:uid="{00000000-0005-0000-0000-0000C57A0000}"/>
    <cellStyle name="SAPBEXstdDataEmph 2 12 5 7" xfId="20352" xr:uid="{00000000-0005-0000-0000-0000C67A0000}"/>
    <cellStyle name="SAPBEXstdDataEmph 2 12 5 7 2" xfId="20353" xr:uid="{00000000-0005-0000-0000-0000C77A0000}"/>
    <cellStyle name="SAPBEXstdDataEmph 2 12 5 7 3" xfId="34525" xr:uid="{00000000-0005-0000-0000-0000C87A0000}"/>
    <cellStyle name="SAPBEXstdDataEmph 2 12 5 7 4" xfId="34526" xr:uid="{00000000-0005-0000-0000-0000C97A0000}"/>
    <cellStyle name="SAPBEXstdDataEmph 2 12 5 8" xfId="20354" xr:uid="{00000000-0005-0000-0000-0000CA7A0000}"/>
    <cellStyle name="SAPBEXstdDataEmph 2 12 5 9" xfId="34527" xr:uid="{00000000-0005-0000-0000-0000CB7A0000}"/>
    <cellStyle name="SAPBEXstdDataEmph 2 12 6" xfId="20355" xr:uid="{00000000-0005-0000-0000-0000CC7A0000}"/>
    <cellStyle name="SAPBEXstdDataEmph 2 12 6 2" xfId="20356" xr:uid="{00000000-0005-0000-0000-0000CD7A0000}"/>
    <cellStyle name="SAPBEXstdDataEmph 2 12 6 3" xfId="34528" xr:uid="{00000000-0005-0000-0000-0000CE7A0000}"/>
    <cellStyle name="SAPBEXstdDataEmph 2 12 6 4" xfId="34529" xr:uid="{00000000-0005-0000-0000-0000CF7A0000}"/>
    <cellStyle name="SAPBEXstdDataEmph 2 12 7" xfId="20357" xr:uid="{00000000-0005-0000-0000-0000D07A0000}"/>
    <cellStyle name="SAPBEXstdDataEmph 2 12 7 2" xfId="20358" xr:uid="{00000000-0005-0000-0000-0000D17A0000}"/>
    <cellStyle name="SAPBEXstdDataEmph 2 12 7 3" xfId="34530" xr:uid="{00000000-0005-0000-0000-0000D27A0000}"/>
    <cellStyle name="SAPBEXstdDataEmph 2 12 7 4" xfId="34531" xr:uid="{00000000-0005-0000-0000-0000D37A0000}"/>
    <cellStyle name="SAPBEXstdDataEmph 2 12 8" xfId="20359" xr:uid="{00000000-0005-0000-0000-0000D47A0000}"/>
    <cellStyle name="SAPBEXstdDataEmph 2 12 8 2" xfId="20360" xr:uid="{00000000-0005-0000-0000-0000D57A0000}"/>
    <cellStyle name="SAPBEXstdDataEmph 2 12 8 3" xfId="34532" xr:uid="{00000000-0005-0000-0000-0000D67A0000}"/>
    <cellStyle name="SAPBEXstdDataEmph 2 12 8 4" xfId="34533" xr:uid="{00000000-0005-0000-0000-0000D77A0000}"/>
    <cellStyle name="SAPBEXstdDataEmph 2 12 9" xfId="20361" xr:uid="{00000000-0005-0000-0000-0000D87A0000}"/>
    <cellStyle name="SAPBEXstdDataEmph 2 12 9 2" xfId="20362" xr:uid="{00000000-0005-0000-0000-0000D97A0000}"/>
    <cellStyle name="SAPBEXstdDataEmph 2 12 9 3" xfId="34534" xr:uid="{00000000-0005-0000-0000-0000DA7A0000}"/>
    <cellStyle name="SAPBEXstdDataEmph 2 12 9 4" xfId="34535" xr:uid="{00000000-0005-0000-0000-0000DB7A0000}"/>
    <cellStyle name="SAPBEXstdDataEmph 2 13" xfId="20363" xr:uid="{00000000-0005-0000-0000-0000DC7A0000}"/>
    <cellStyle name="SAPBEXstdDataEmph 2 13 10" xfId="34536" xr:uid="{00000000-0005-0000-0000-0000DD7A0000}"/>
    <cellStyle name="SAPBEXstdDataEmph 2 13 2" xfId="20364" xr:uid="{00000000-0005-0000-0000-0000DE7A0000}"/>
    <cellStyle name="SAPBEXstdDataEmph 2 13 2 2" xfId="20365" xr:uid="{00000000-0005-0000-0000-0000DF7A0000}"/>
    <cellStyle name="SAPBEXstdDataEmph 2 13 2 3" xfId="34537" xr:uid="{00000000-0005-0000-0000-0000E07A0000}"/>
    <cellStyle name="SAPBEXstdDataEmph 2 13 2 4" xfId="34538" xr:uid="{00000000-0005-0000-0000-0000E17A0000}"/>
    <cellStyle name="SAPBEXstdDataEmph 2 13 3" xfId="20366" xr:uid="{00000000-0005-0000-0000-0000E27A0000}"/>
    <cellStyle name="SAPBEXstdDataEmph 2 13 3 2" xfId="20367" xr:uid="{00000000-0005-0000-0000-0000E37A0000}"/>
    <cellStyle name="SAPBEXstdDataEmph 2 13 3 3" xfId="34539" xr:uid="{00000000-0005-0000-0000-0000E47A0000}"/>
    <cellStyle name="SAPBEXstdDataEmph 2 13 3 4" xfId="34540" xr:uid="{00000000-0005-0000-0000-0000E57A0000}"/>
    <cellStyle name="SAPBEXstdDataEmph 2 13 4" xfId="20368" xr:uid="{00000000-0005-0000-0000-0000E67A0000}"/>
    <cellStyle name="SAPBEXstdDataEmph 2 13 4 2" xfId="20369" xr:uid="{00000000-0005-0000-0000-0000E77A0000}"/>
    <cellStyle name="SAPBEXstdDataEmph 2 13 4 3" xfId="34541" xr:uid="{00000000-0005-0000-0000-0000E87A0000}"/>
    <cellStyle name="SAPBEXstdDataEmph 2 13 4 4" xfId="34542" xr:uid="{00000000-0005-0000-0000-0000E97A0000}"/>
    <cellStyle name="SAPBEXstdDataEmph 2 13 5" xfId="20370" xr:uid="{00000000-0005-0000-0000-0000EA7A0000}"/>
    <cellStyle name="SAPBEXstdDataEmph 2 13 5 2" xfId="20371" xr:uid="{00000000-0005-0000-0000-0000EB7A0000}"/>
    <cellStyle name="SAPBEXstdDataEmph 2 13 5 3" xfId="34543" xr:uid="{00000000-0005-0000-0000-0000EC7A0000}"/>
    <cellStyle name="SAPBEXstdDataEmph 2 13 5 4" xfId="34544" xr:uid="{00000000-0005-0000-0000-0000ED7A0000}"/>
    <cellStyle name="SAPBEXstdDataEmph 2 13 6" xfId="20372" xr:uid="{00000000-0005-0000-0000-0000EE7A0000}"/>
    <cellStyle name="SAPBEXstdDataEmph 2 13 6 2" xfId="20373" xr:uid="{00000000-0005-0000-0000-0000EF7A0000}"/>
    <cellStyle name="SAPBEXstdDataEmph 2 13 6 3" xfId="34545" xr:uid="{00000000-0005-0000-0000-0000F07A0000}"/>
    <cellStyle name="SAPBEXstdDataEmph 2 13 6 4" xfId="34546" xr:uid="{00000000-0005-0000-0000-0000F17A0000}"/>
    <cellStyle name="SAPBEXstdDataEmph 2 13 7" xfId="20374" xr:uid="{00000000-0005-0000-0000-0000F27A0000}"/>
    <cellStyle name="SAPBEXstdDataEmph 2 13 7 2" xfId="20375" xr:uid="{00000000-0005-0000-0000-0000F37A0000}"/>
    <cellStyle name="SAPBEXstdDataEmph 2 13 7 3" xfId="34547" xr:uid="{00000000-0005-0000-0000-0000F47A0000}"/>
    <cellStyle name="SAPBEXstdDataEmph 2 13 7 4" xfId="34548" xr:uid="{00000000-0005-0000-0000-0000F57A0000}"/>
    <cellStyle name="SAPBEXstdDataEmph 2 13 8" xfId="20376" xr:uid="{00000000-0005-0000-0000-0000F67A0000}"/>
    <cellStyle name="SAPBEXstdDataEmph 2 13 9" xfId="34549" xr:uid="{00000000-0005-0000-0000-0000F77A0000}"/>
    <cellStyle name="SAPBEXstdDataEmph 2 14" xfId="20377" xr:uid="{00000000-0005-0000-0000-0000F87A0000}"/>
    <cellStyle name="SAPBEXstdDataEmph 2 14 10" xfId="34550" xr:uid="{00000000-0005-0000-0000-0000F97A0000}"/>
    <cellStyle name="SAPBEXstdDataEmph 2 14 2" xfId="20378" xr:uid="{00000000-0005-0000-0000-0000FA7A0000}"/>
    <cellStyle name="SAPBEXstdDataEmph 2 14 2 2" xfId="20379" xr:uid="{00000000-0005-0000-0000-0000FB7A0000}"/>
    <cellStyle name="SAPBEXstdDataEmph 2 14 2 3" xfId="34551" xr:uid="{00000000-0005-0000-0000-0000FC7A0000}"/>
    <cellStyle name="SAPBEXstdDataEmph 2 14 2 4" xfId="34552" xr:uid="{00000000-0005-0000-0000-0000FD7A0000}"/>
    <cellStyle name="SAPBEXstdDataEmph 2 14 3" xfId="20380" xr:uid="{00000000-0005-0000-0000-0000FE7A0000}"/>
    <cellStyle name="SAPBEXstdDataEmph 2 14 3 2" xfId="20381" xr:uid="{00000000-0005-0000-0000-0000FF7A0000}"/>
    <cellStyle name="SAPBEXstdDataEmph 2 14 3 3" xfId="34553" xr:uid="{00000000-0005-0000-0000-0000007B0000}"/>
    <cellStyle name="SAPBEXstdDataEmph 2 14 3 4" xfId="34554" xr:uid="{00000000-0005-0000-0000-0000017B0000}"/>
    <cellStyle name="SAPBEXstdDataEmph 2 14 4" xfId="20382" xr:uid="{00000000-0005-0000-0000-0000027B0000}"/>
    <cellStyle name="SAPBEXstdDataEmph 2 14 4 2" xfId="20383" xr:uid="{00000000-0005-0000-0000-0000037B0000}"/>
    <cellStyle name="SAPBEXstdDataEmph 2 14 4 3" xfId="34555" xr:uid="{00000000-0005-0000-0000-0000047B0000}"/>
    <cellStyle name="SAPBEXstdDataEmph 2 14 4 4" xfId="34556" xr:uid="{00000000-0005-0000-0000-0000057B0000}"/>
    <cellStyle name="SAPBEXstdDataEmph 2 14 5" xfId="20384" xr:uid="{00000000-0005-0000-0000-0000067B0000}"/>
    <cellStyle name="SAPBEXstdDataEmph 2 14 5 2" xfId="20385" xr:uid="{00000000-0005-0000-0000-0000077B0000}"/>
    <cellStyle name="SAPBEXstdDataEmph 2 14 5 3" xfId="34557" xr:uid="{00000000-0005-0000-0000-0000087B0000}"/>
    <cellStyle name="SAPBEXstdDataEmph 2 14 5 4" xfId="34558" xr:uid="{00000000-0005-0000-0000-0000097B0000}"/>
    <cellStyle name="SAPBEXstdDataEmph 2 14 6" xfId="20386" xr:uid="{00000000-0005-0000-0000-00000A7B0000}"/>
    <cellStyle name="SAPBEXstdDataEmph 2 14 6 2" xfId="20387" xr:uid="{00000000-0005-0000-0000-00000B7B0000}"/>
    <cellStyle name="SAPBEXstdDataEmph 2 14 6 3" xfId="34559" xr:uid="{00000000-0005-0000-0000-00000C7B0000}"/>
    <cellStyle name="SAPBEXstdDataEmph 2 14 6 4" xfId="34560" xr:uid="{00000000-0005-0000-0000-00000D7B0000}"/>
    <cellStyle name="SAPBEXstdDataEmph 2 14 7" xfId="20388" xr:uid="{00000000-0005-0000-0000-00000E7B0000}"/>
    <cellStyle name="SAPBEXstdDataEmph 2 14 7 2" xfId="20389" xr:uid="{00000000-0005-0000-0000-00000F7B0000}"/>
    <cellStyle name="SAPBEXstdDataEmph 2 14 7 3" xfId="34561" xr:uid="{00000000-0005-0000-0000-0000107B0000}"/>
    <cellStyle name="SAPBEXstdDataEmph 2 14 7 4" xfId="34562" xr:uid="{00000000-0005-0000-0000-0000117B0000}"/>
    <cellStyle name="SAPBEXstdDataEmph 2 14 8" xfId="20390" xr:uid="{00000000-0005-0000-0000-0000127B0000}"/>
    <cellStyle name="SAPBEXstdDataEmph 2 14 9" xfId="34563" xr:uid="{00000000-0005-0000-0000-0000137B0000}"/>
    <cellStyle name="SAPBEXstdDataEmph 2 15" xfId="20391" xr:uid="{00000000-0005-0000-0000-0000147B0000}"/>
    <cellStyle name="SAPBEXstdDataEmph 2 15 10" xfId="34564" xr:uid="{00000000-0005-0000-0000-0000157B0000}"/>
    <cellStyle name="SAPBEXstdDataEmph 2 15 2" xfId="20392" xr:uid="{00000000-0005-0000-0000-0000167B0000}"/>
    <cellStyle name="SAPBEXstdDataEmph 2 15 2 2" xfId="20393" xr:uid="{00000000-0005-0000-0000-0000177B0000}"/>
    <cellStyle name="SAPBEXstdDataEmph 2 15 2 3" xfId="34565" xr:uid="{00000000-0005-0000-0000-0000187B0000}"/>
    <cellStyle name="SAPBEXstdDataEmph 2 15 2 4" xfId="34566" xr:uid="{00000000-0005-0000-0000-0000197B0000}"/>
    <cellStyle name="SAPBEXstdDataEmph 2 15 3" xfId="20394" xr:uid="{00000000-0005-0000-0000-00001A7B0000}"/>
    <cellStyle name="SAPBEXstdDataEmph 2 15 3 2" xfId="20395" xr:uid="{00000000-0005-0000-0000-00001B7B0000}"/>
    <cellStyle name="SAPBEXstdDataEmph 2 15 3 3" xfId="34567" xr:uid="{00000000-0005-0000-0000-00001C7B0000}"/>
    <cellStyle name="SAPBEXstdDataEmph 2 15 3 4" xfId="34568" xr:uid="{00000000-0005-0000-0000-00001D7B0000}"/>
    <cellStyle name="SAPBEXstdDataEmph 2 15 4" xfId="20396" xr:uid="{00000000-0005-0000-0000-00001E7B0000}"/>
    <cellStyle name="SAPBEXstdDataEmph 2 15 4 2" xfId="20397" xr:uid="{00000000-0005-0000-0000-00001F7B0000}"/>
    <cellStyle name="SAPBEXstdDataEmph 2 15 4 3" xfId="34569" xr:uid="{00000000-0005-0000-0000-0000207B0000}"/>
    <cellStyle name="SAPBEXstdDataEmph 2 15 4 4" xfId="34570" xr:uid="{00000000-0005-0000-0000-0000217B0000}"/>
    <cellStyle name="SAPBEXstdDataEmph 2 15 5" xfId="20398" xr:uid="{00000000-0005-0000-0000-0000227B0000}"/>
    <cellStyle name="SAPBEXstdDataEmph 2 15 5 2" xfId="20399" xr:uid="{00000000-0005-0000-0000-0000237B0000}"/>
    <cellStyle name="SAPBEXstdDataEmph 2 15 5 3" xfId="34571" xr:uid="{00000000-0005-0000-0000-0000247B0000}"/>
    <cellStyle name="SAPBEXstdDataEmph 2 15 5 4" xfId="34572" xr:uid="{00000000-0005-0000-0000-0000257B0000}"/>
    <cellStyle name="SAPBEXstdDataEmph 2 15 6" xfId="20400" xr:uid="{00000000-0005-0000-0000-0000267B0000}"/>
    <cellStyle name="SAPBEXstdDataEmph 2 15 6 2" xfId="20401" xr:uid="{00000000-0005-0000-0000-0000277B0000}"/>
    <cellStyle name="SAPBEXstdDataEmph 2 15 6 3" xfId="34573" xr:uid="{00000000-0005-0000-0000-0000287B0000}"/>
    <cellStyle name="SAPBEXstdDataEmph 2 15 6 4" xfId="34574" xr:uid="{00000000-0005-0000-0000-0000297B0000}"/>
    <cellStyle name="SAPBEXstdDataEmph 2 15 7" xfId="20402" xr:uid="{00000000-0005-0000-0000-00002A7B0000}"/>
    <cellStyle name="SAPBEXstdDataEmph 2 15 7 2" xfId="20403" xr:uid="{00000000-0005-0000-0000-00002B7B0000}"/>
    <cellStyle name="SAPBEXstdDataEmph 2 15 7 3" xfId="34575" xr:uid="{00000000-0005-0000-0000-00002C7B0000}"/>
    <cellStyle name="SAPBEXstdDataEmph 2 15 7 4" xfId="34576" xr:uid="{00000000-0005-0000-0000-00002D7B0000}"/>
    <cellStyle name="SAPBEXstdDataEmph 2 15 8" xfId="20404" xr:uid="{00000000-0005-0000-0000-00002E7B0000}"/>
    <cellStyle name="SAPBEXstdDataEmph 2 15 9" xfId="34577" xr:uid="{00000000-0005-0000-0000-00002F7B0000}"/>
    <cellStyle name="SAPBEXstdDataEmph 2 16" xfId="20405" xr:uid="{00000000-0005-0000-0000-0000307B0000}"/>
    <cellStyle name="SAPBEXstdDataEmph 2 16 10" xfId="34578" xr:uid="{00000000-0005-0000-0000-0000317B0000}"/>
    <cellStyle name="SAPBEXstdDataEmph 2 16 2" xfId="20406" xr:uid="{00000000-0005-0000-0000-0000327B0000}"/>
    <cellStyle name="SAPBEXstdDataEmph 2 16 2 2" xfId="20407" xr:uid="{00000000-0005-0000-0000-0000337B0000}"/>
    <cellStyle name="SAPBEXstdDataEmph 2 16 2 3" xfId="34579" xr:uid="{00000000-0005-0000-0000-0000347B0000}"/>
    <cellStyle name="SAPBEXstdDataEmph 2 16 2 4" xfId="34580" xr:uid="{00000000-0005-0000-0000-0000357B0000}"/>
    <cellStyle name="SAPBEXstdDataEmph 2 16 3" xfId="20408" xr:uid="{00000000-0005-0000-0000-0000367B0000}"/>
    <cellStyle name="SAPBEXstdDataEmph 2 16 3 2" xfId="20409" xr:uid="{00000000-0005-0000-0000-0000377B0000}"/>
    <cellStyle name="SAPBEXstdDataEmph 2 16 3 3" xfId="34581" xr:uid="{00000000-0005-0000-0000-0000387B0000}"/>
    <cellStyle name="SAPBEXstdDataEmph 2 16 3 4" xfId="34582" xr:uid="{00000000-0005-0000-0000-0000397B0000}"/>
    <cellStyle name="SAPBEXstdDataEmph 2 16 4" xfId="20410" xr:uid="{00000000-0005-0000-0000-00003A7B0000}"/>
    <cellStyle name="SAPBEXstdDataEmph 2 16 4 2" xfId="20411" xr:uid="{00000000-0005-0000-0000-00003B7B0000}"/>
    <cellStyle name="SAPBEXstdDataEmph 2 16 4 3" xfId="34583" xr:uid="{00000000-0005-0000-0000-00003C7B0000}"/>
    <cellStyle name="SAPBEXstdDataEmph 2 16 4 4" xfId="34584" xr:uid="{00000000-0005-0000-0000-00003D7B0000}"/>
    <cellStyle name="SAPBEXstdDataEmph 2 16 5" xfId="20412" xr:uid="{00000000-0005-0000-0000-00003E7B0000}"/>
    <cellStyle name="SAPBEXstdDataEmph 2 16 5 2" xfId="20413" xr:uid="{00000000-0005-0000-0000-00003F7B0000}"/>
    <cellStyle name="SAPBEXstdDataEmph 2 16 5 3" xfId="34585" xr:uid="{00000000-0005-0000-0000-0000407B0000}"/>
    <cellStyle name="SAPBEXstdDataEmph 2 16 5 4" xfId="34586" xr:uid="{00000000-0005-0000-0000-0000417B0000}"/>
    <cellStyle name="SAPBEXstdDataEmph 2 16 6" xfId="20414" xr:uid="{00000000-0005-0000-0000-0000427B0000}"/>
    <cellStyle name="SAPBEXstdDataEmph 2 16 6 2" xfId="20415" xr:uid="{00000000-0005-0000-0000-0000437B0000}"/>
    <cellStyle name="SAPBEXstdDataEmph 2 16 6 3" xfId="34587" xr:uid="{00000000-0005-0000-0000-0000447B0000}"/>
    <cellStyle name="SAPBEXstdDataEmph 2 16 6 4" xfId="34588" xr:uid="{00000000-0005-0000-0000-0000457B0000}"/>
    <cellStyle name="SAPBEXstdDataEmph 2 16 7" xfId="20416" xr:uid="{00000000-0005-0000-0000-0000467B0000}"/>
    <cellStyle name="SAPBEXstdDataEmph 2 16 7 2" xfId="20417" xr:uid="{00000000-0005-0000-0000-0000477B0000}"/>
    <cellStyle name="SAPBEXstdDataEmph 2 16 7 3" xfId="34589" xr:uid="{00000000-0005-0000-0000-0000487B0000}"/>
    <cellStyle name="SAPBEXstdDataEmph 2 16 7 4" xfId="34590" xr:uid="{00000000-0005-0000-0000-0000497B0000}"/>
    <cellStyle name="SAPBEXstdDataEmph 2 16 8" xfId="20418" xr:uid="{00000000-0005-0000-0000-00004A7B0000}"/>
    <cellStyle name="SAPBEXstdDataEmph 2 16 9" xfId="34591" xr:uid="{00000000-0005-0000-0000-00004B7B0000}"/>
    <cellStyle name="SAPBEXstdDataEmph 2 17" xfId="20419" xr:uid="{00000000-0005-0000-0000-00004C7B0000}"/>
    <cellStyle name="SAPBEXstdDataEmph 2 17 2" xfId="20420" xr:uid="{00000000-0005-0000-0000-00004D7B0000}"/>
    <cellStyle name="SAPBEXstdDataEmph 2 17 3" xfId="34592" xr:uid="{00000000-0005-0000-0000-00004E7B0000}"/>
    <cellStyle name="SAPBEXstdDataEmph 2 17 4" xfId="34593" xr:uid="{00000000-0005-0000-0000-00004F7B0000}"/>
    <cellStyle name="SAPBEXstdDataEmph 2 18" xfId="20421" xr:uid="{00000000-0005-0000-0000-0000507B0000}"/>
    <cellStyle name="SAPBEXstdDataEmph 2 18 2" xfId="20422" xr:uid="{00000000-0005-0000-0000-0000517B0000}"/>
    <cellStyle name="SAPBEXstdDataEmph 2 18 3" xfId="34594" xr:uid="{00000000-0005-0000-0000-0000527B0000}"/>
    <cellStyle name="SAPBEXstdDataEmph 2 18 4" xfId="34595" xr:uid="{00000000-0005-0000-0000-0000537B0000}"/>
    <cellStyle name="SAPBEXstdDataEmph 2 19" xfId="20423" xr:uid="{00000000-0005-0000-0000-0000547B0000}"/>
    <cellStyle name="SAPBEXstdDataEmph 2 19 2" xfId="20424" xr:uid="{00000000-0005-0000-0000-0000557B0000}"/>
    <cellStyle name="SAPBEXstdDataEmph 2 19 3" xfId="34596" xr:uid="{00000000-0005-0000-0000-0000567B0000}"/>
    <cellStyle name="SAPBEXstdDataEmph 2 19 4" xfId="34597" xr:uid="{00000000-0005-0000-0000-0000577B0000}"/>
    <cellStyle name="SAPBEXstdDataEmph 2 2" xfId="20425" xr:uid="{00000000-0005-0000-0000-0000587B0000}"/>
    <cellStyle name="SAPBEXstdDataEmph 2 2 10" xfId="20426" xr:uid="{00000000-0005-0000-0000-0000597B0000}"/>
    <cellStyle name="SAPBEXstdDataEmph 2 2 10 2" xfId="20427" xr:uid="{00000000-0005-0000-0000-00005A7B0000}"/>
    <cellStyle name="SAPBEXstdDataEmph 2 2 10 3" xfId="34598" xr:uid="{00000000-0005-0000-0000-00005B7B0000}"/>
    <cellStyle name="SAPBEXstdDataEmph 2 2 10 4" xfId="34599" xr:uid="{00000000-0005-0000-0000-00005C7B0000}"/>
    <cellStyle name="SAPBEXstdDataEmph 2 2 11" xfId="20428" xr:uid="{00000000-0005-0000-0000-00005D7B0000}"/>
    <cellStyle name="SAPBEXstdDataEmph 2 2 11 2" xfId="20429" xr:uid="{00000000-0005-0000-0000-00005E7B0000}"/>
    <cellStyle name="SAPBEXstdDataEmph 2 2 11 3" xfId="34600" xr:uid="{00000000-0005-0000-0000-00005F7B0000}"/>
    <cellStyle name="SAPBEXstdDataEmph 2 2 11 4" xfId="34601" xr:uid="{00000000-0005-0000-0000-0000607B0000}"/>
    <cellStyle name="SAPBEXstdDataEmph 2 2 12" xfId="20430" xr:uid="{00000000-0005-0000-0000-0000617B0000}"/>
    <cellStyle name="SAPBEXstdDataEmph 2 2 13" xfId="34602" xr:uid="{00000000-0005-0000-0000-0000627B0000}"/>
    <cellStyle name="SAPBEXstdDataEmph 2 2 14" xfId="34603" xr:uid="{00000000-0005-0000-0000-0000637B0000}"/>
    <cellStyle name="SAPBEXstdDataEmph 2 2 2" xfId="20431" xr:uid="{00000000-0005-0000-0000-0000647B0000}"/>
    <cellStyle name="SAPBEXstdDataEmph 2 2 2 10" xfId="34604" xr:uid="{00000000-0005-0000-0000-0000657B0000}"/>
    <cellStyle name="SAPBEXstdDataEmph 2 2 2 2" xfId="20432" xr:uid="{00000000-0005-0000-0000-0000667B0000}"/>
    <cellStyle name="SAPBEXstdDataEmph 2 2 2 2 2" xfId="20433" xr:uid="{00000000-0005-0000-0000-0000677B0000}"/>
    <cellStyle name="SAPBEXstdDataEmph 2 2 2 2 3" xfId="34605" xr:uid="{00000000-0005-0000-0000-0000687B0000}"/>
    <cellStyle name="SAPBEXstdDataEmph 2 2 2 2 4" xfId="34606" xr:uid="{00000000-0005-0000-0000-0000697B0000}"/>
    <cellStyle name="SAPBEXstdDataEmph 2 2 2 3" xfId="20434" xr:uid="{00000000-0005-0000-0000-00006A7B0000}"/>
    <cellStyle name="SAPBEXstdDataEmph 2 2 2 3 2" xfId="20435" xr:uid="{00000000-0005-0000-0000-00006B7B0000}"/>
    <cellStyle name="SAPBEXstdDataEmph 2 2 2 3 3" xfId="34607" xr:uid="{00000000-0005-0000-0000-00006C7B0000}"/>
    <cellStyle name="SAPBEXstdDataEmph 2 2 2 3 4" xfId="34608" xr:uid="{00000000-0005-0000-0000-00006D7B0000}"/>
    <cellStyle name="SAPBEXstdDataEmph 2 2 2 4" xfId="20436" xr:uid="{00000000-0005-0000-0000-00006E7B0000}"/>
    <cellStyle name="SAPBEXstdDataEmph 2 2 2 4 2" xfId="20437" xr:uid="{00000000-0005-0000-0000-00006F7B0000}"/>
    <cellStyle name="SAPBEXstdDataEmph 2 2 2 4 3" xfId="34609" xr:uid="{00000000-0005-0000-0000-0000707B0000}"/>
    <cellStyle name="SAPBEXstdDataEmph 2 2 2 4 4" xfId="34610" xr:uid="{00000000-0005-0000-0000-0000717B0000}"/>
    <cellStyle name="SAPBEXstdDataEmph 2 2 2 5" xfId="20438" xr:uid="{00000000-0005-0000-0000-0000727B0000}"/>
    <cellStyle name="SAPBEXstdDataEmph 2 2 2 5 2" xfId="20439" xr:uid="{00000000-0005-0000-0000-0000737B0000}"/>
    <cellStyle name="SAPBEXstdDataEmph 2 2 2 5 3" xfId="34611" xr:uid="{00000000-0005-0000-0000-0000747B0000}"/>
    <cellStyle name="SAPBEXstdDataEmph 2 2 2 5 4" xfId="34612" xr:uid="{00000000-0005-0000-0000-0000757B0000}"/>
    <cellStyle name="SAPBEXstdDataEmph 2 2 2 6" xfId="20440" xr:uid="{00000000-0005-0000-0000-0000767B0000}"/>
    <cellStyle name="SAPBEXstdDataEmph 2 2 2 6 2" xfId="20441" xr:uid="{00000000-0005-0000-0000-0000777B0000}"/>
    <cellStyle name="SAPBEXstdDataEmph 2 2 2 6 3" xfId="34613" xr:uid="{00000000-0005-0000-0000-0000787B0000}"/>
    <cellStyle name="SAPBEXstdDataEmph 2 2 2 6 4" xfId="34614" xr:uid="{00000000-0005-0000-0000-0000797B0000}"/>
    <cellStyle name="SAPBEXstdDataEmph 2 2 2 7" xfId="20442" xr:uid="{00000000-0005-0000-0000-00007A7B0000}"/>
    <cellStyle name="SAPBEXstdDataEmph 2 2 2 7 2" xfId="20443" xr:uid="{00000000-0005-0000-0000-00007B7B0000}"/>
    <cellStyle name="SAPBEXstdDataEmph 2 2 2 7 3" xfId="34615" xr:uid="{00000000-0005-0000-0000-00007C7B0000}"/>
    <cellStyle name="SAPBEXstdDataEmph 2 2 2 7 4" xfId="34616" xr:uid="{00000000-0005-0000-0000-00007D7B0000}"/>
    <cellStyle name="SAPBEXstdDataEmph 2 2 2 8" xfId="20444" xr:uid="{00000000-0005-0000-0000-00007E7B0000}"/>
    <cellStyle name="SAPBEXstdDataEmph 2 2 2 9" xfId="34617" xr:uid="{00000000-0005-0000-0000-00007F7B0000}"/>
    <cellStyle name="SAPBEXstdDataEmph 2 2 3" xfId="20445" xr:uid="{00000000-0005-0000-0000-0000807B0000}"/>
    <cellStyle name="SAPBEXstdDataEmph 2 2 3 10" xfId="34618" xr:uid="{00000000-0005-0000-0000-0000817B0000}"/>
    <cellStyle name="SAPBEXstdDataEmph 2 2 3 2" xfId="20446" xr:uid="{00000000-0005-0000-0000-0000827B0000}"/>
    <cellStyle name="SAPBEXstdDataEmph 2 2 3 2 2" xfId="20447" xr:uid="{00000000-0005-0000-0000-0000837B0000}"/>
    <cellStyle name="SAPBEXstdDataEmph 2 2 3 2 3" xfId="34619" xr:uid="{00000000-0005-0000-0000-0000847B0000}"/>
    <cellStyle name="SAPBEXstdDataEmph 2 2 3 2 4" xfId="34620" xr:uid="{00000000-0005-0000-0000-0000857B0000}"/>
    <cellStyle name="SAPBEXstdDataEmph 2 2 3 3" xfId="20448" xr:uid="{00000000-0005-0000-0000-0000867B0000}"/>
    <cellStyle name="SAPBEXstdDataEmph 2 2 3 3 2" xfId="20449" xr:uid="{00000000-0005-0000-0000-0000877B0000}"/>
    <cellStyle name="SAPBEXstdDataEmph 2 2 3 3 3" xfId="34621" xr:uid="{00000000-0005-0000-0000-0000887B0000}"/>
    <cellStyle name="SAPBEXstdDataEmph 2 2 3 3 4" xfId="34622" xr:uid="{00000000-0005-0000-0000-0000897B0000}"/>
    <cellStyle name="SAPBEXstdDataEmph 2 2 3 4" xfId="20450" xr:uid="{00000000-0005-0000-0000-00008A7B0000}"/>
    <cellStyle name="SAPBEXstdDataEmph 2 2 3 4 2" xfId="20451" xr:uid="{00000000-0005-0000-0000-00008B7B0000}"/>
    <cellStyle name="SAPBEXstdDataEmph 2 2 3 4 3" xfId="34623" xr:uid="{00000000-0005-0000-0000-00008C7B0000}"/>
    <cellStyle name="SAPBEXstdDataEmph 2 2 3 4 4" xfId="34624" xr:uid="{00000000-0005-0000-0000-00008D7B0000}"/>
    <cellStyle name="SAPBEXstdDataEmph 2 2 3 5" xfId="20452" xr:uid="{00000000-0005-0000-0000-00008E7B0000}"/>
    <cellStyle name="SAPBEXstdDataEmph 2 2 3 5 2" xfId="20453" xr:uid="{00000000-0005-0000-0000-00008F7B0000}"/>
    <cellStyle name="SAPBEXstdDataEmph 2 2 3 5 3" xfId="34625" xr:uid="{00000000-0005-0000-0000-0000907B0000}"/>
    <cellStyle name="SAPBEXstdDataEmph 2 2 3 5 4" xfId="34626" xr:uid="{00000000-0005-0000-0000-0000917B0000}"/>
    <cellStyle name="SAPBEXstdDataEmph 2 2 3 6" xfId="20454" xr:uid="{00000000-0005-0000-0000-0000927B0000}"/>
    <cellStyle name="SAPBEXstdDataEmph 2 2 3 6 2" xfId="20455" xr:uid="{00000000-0005-0000-0000-0000937B0000}"/>
    <cellStyle name="SAPBEXstdDataEmph 2 2 3 6 3" xfId="34627" xr:uid="{00000000-0005-0000-0000-0000947B0000}"/>
    <cellStyle name="SAPBEXstdDataEmph 2 2 3 6 4" xfId="34628" xr:uid="{00000000-0005-0000-0000-0000957B0000}"/>
    <cellStyle name="SAPBEXstdDataEmph 2 2 3 7" xfId="20456" xr:uid="{00000000-0005-0000-0000-0000967B0000}"/>
    <cellStyle name="SAPBEXstdDataEmph 2 2 3 7 2" xfId="20457" xr:uid="{00000000-0005-0000-0000-0000977B0000}"/>
    <cellStyle name="SAPBEXstdDataEmph 2 2 3 7 3" xfId="34629" xr:uid="{00000000-0005-0000-0000-0000987B0000}"/>
    <cellStyle name="SAPBEXstdDataEmph 2 2 3 7 4" xfId="34630" xr:uid="{00000000-0005-0000-0000-0000997B0000}"/>
    <cellStyle name="SAPBEXstdDataEmph 2 2 3 8" xfId="20458" xr:uid="{00000000-0005-0000-0000-00009A7B0000}"/>
    <cellStyle name="SAPBEXstdDataEmph 2 2 3 9" xfId="34631" xr:uid="{00000000-0005-0000-0000-00009B7B0000}"/>
    <cellStyle name="SAPBEXstdDataEmph 2 2 4" xfId="20459" xr:uid="{00000000-0005-0000-0000-00009C7B0000}"/>
    <cellStyle name="SAPBEXstdDataEmph 2 2 4 10" xfId="34632" xr:uid="{00000000-0005-0000-0000-00009D7B0000}"/>
    <cellStyle name="SAPBEXstdDataEmph 2 2 4 2" xfId="20460" xr:uid="{00000000-0005-0000-0000-00009E7B0000}"/>
    <cellStyle name="SAPBEXstdDataEmph 2 2 4 2 2" xfId="20461" xr:uid="{00000000-0005-0000-0000-00009F7B0000}"/>
    <cellStyle name="SAPBEXstdDataEmph 2 2 4 2 3" xfId="34633" xr:uid="{00000000-0005-0000-0000-0000A07B0000}"/>
    <cellStyle name="SAPBEXstdDataEmph 2 2 4 2 4" xfId="34634" xr:uid="{00000000-0005-0000-0000-0000A17B0000}"/>
    <cellStyle name="SAPBEXstdDataEmph 2 2 4 3" xfId="20462" xr:uid="{00000000-0005-0000-0000-0000A27B0000}"/>
    <cellStyle name="SAPBEXstdDataEmph 2 2 4 3 2" xfId="20463" xr:uid="{00000000-0005-0000-0000-0000A37B0000}"/>
    <cellStyle name="SAPBEXstdDataEmph 2 2 4 3 3" xfId="34635" xr:uid="{00000000-0005-0000-0000-0000A47B0000}"/>
    <cellStyle name="SAPBEXstdDataEmph 2 2 4 3 4" xfId="34636" xr:uid="{00000000-0005-0000-0000-0000A57B0000}"/>
    <cellStyle name="SAPBEXstdDataEmph 2 2 4 4" xfId="20464" xr:uid="{00000000-0005-0000-0000-0000A67B0000}"/>
    <cellStyle name="SAPBEXstdDataEmph 2 2 4 4 2" xfId="20465" xr:uid="{00000000-0005-0000-0000-0000A77B0000}"/>
    <cellStyle name="SAPBEXstdDataEmph 2 2 4 4 3" xfId="34637" xr:uid="{00000000-0005-0000-0000-0000A87B0000}"/>
    <cellStyle name="SAPBEXstdDataEmph 2 2 4 4 4" xfId="34638" xr:uid="{00000000-0005-0000-0000-0000A97B0000}"/>
    <cellStyle name="SAPBEXstdDataEmph 2 2 4 5" xfId="20466" xr:uid="{00000000-0005-0000-0000-0000AA7B0000}"/>
    <cellStyle name="SAPBEXstdDataEmph 2 2 4 5 2" xfId="20467" xr:uid="{00000000-0005-0000-0000-0000AB7B0000}"/>
    <cellStyle name="SAPBEXstdDataEmph 2 2 4 5 3" xfId="34639" xr:uid="{00000000-0005-0000-0000-0000AC7B0000}"/>
    <cellStyle name="SAPBEXstdDataEmph 2 2 4 5 4" xfId="34640" xr:uid="{00000000-0005-0000-0000-0000AD7B0000}"/>
    <cellStyle name="SAPBEXstdDataEmph 2 2 4 6" xfId="20468" xr:uid="{00000000-0005-0000-0000-0000AE7B0000}"/>
    <cellStyle name="SAPBEXstdDataEmph 2 2 4 6 2" xfId="20469" xr:uid="{00000000-0005-0000-0000-0000AF7B0000}"/>
    <cellStyle name="SAPBEXstdDataEmph 2 2 4 6 3" xfId="34641" xr:uid="{00000000-0005-0000-0000-0000B07B0000}"/>
    <cellStyle name="SAPBEXstdDataEmph 2 2 4 6 4" xfId="34642" xr:uid="{00000000-0005-0000-0000-0000B17B0000}"/>
    <cellStyle name="SAPBEXstdDataEmph 2 2 4 7" xfId="20470" xr:uid="{00000000-0005-0000-0000-0000B27B0000}"/>
    <cellStyle name="SAPBEXstdDataEmph 2 2 4 7 2" xfId="20471" xr:uid="{00000000-0005-0000-0000-0000B37B0000}"/>
    <cellStyle name="SAPBEXstdDataEmph 2 2 4 7 3" xfId="34643" xr:uid="{00000000-0005-0000-0000-0000B47B0000}"/>
    <cellStyle name="SAPBEXstdDataEmph 2 2 4 7 4" xfId="34644" xr:uid="{00000000-0005-0000-0000-0000B57B0000}"/>
    <cellStyle name="SAPBEXstdDataEmph 2 2 4 8" xfId="20472" xr:uid="{00000000-0005-0000-0000-0000B67B0000}"/>
    <cellStyle name="SAPBEXstdDataEmph 2 2 4 9" xfId="34645" xr:uid="{00000000-0005-0000-0000-0000B77B0000}"/>
    <cellStyle name="SAPBEXstdDataEmph 2 2 5" xfId="20473" xr:uid="{00000000-0005-0000-0000-0000B87B0000}"/>
    <cellStyle name="SAPBEXstdDataEmph 2 2 5 10" xfId="34646" xr:uid="{00000000-0005-0000-0000-0000B97B0000}"/>
    <cellStyle name="SAPBEXstdDataEmph 2 2 5 2" xfId="20474" xr:uid="{00000000-0005-0000-0000-0000BA7B0000}"/>
    <cellStyle name="SAPBEXstdDataEmph 2 2 5 2 2" xfId="20475" xr:uid="{00000000-0005-0000-0000-0000BB7B0000}"/>
    <cellStyle name="SAPBEXstdDataEmph 2 2 5 2 3" xfId="34647" xr:uid="{00000000-0005-0000-0000-0000BC7B0000}"/>
    <cellStyle name="SAPBEXstdDataEmph 2 2 5 2 4" xfId="34648" xr:uid="{00000000-0005-0000-0000-0000BD7B0000}"/>
    <cellStyle name="SAPBEXstdDataEmph 2 2 5 3" xfId="20476" xr:uid="{00000000-0005-0000-0000-0000BE7B0000}"/>
    <cellStyle name="SAPBEXstdDataEmph 2 2 5 3 2" xfId="20477" xr:uid="{00000000-0005-0000-0000-0000BF7B0000}"/>
    <cellStyle name="SAPBEXstdDataEmph 2 2 5 3 3" xfId="34649" xr:uid="{00000000-0005-0000-0000-0000C07B0000}"/>
    <cellStyle name="SAPBEXstdDataEmph 2 2 5 3 4" xfId="34650" xr:uid="{00000000-0005-0000-0000-0000C17B0000}"/>
    <cellStyle name="SAPBEXstdDataEmph 2 2 5 4" xfId="20478" xr:uid="{00000000-0005-0000-0000-0000C27B0000}"/>
    <cellStyle name="SAPBEXstdDataEmph 2 2 5 4 2" xfId="20479" xr:uid="{00000000-0005-0000-0000-0000C37B0000}"/>
    <cellStyle name="SAPBEXstdDataEmph 2 2 5 4 3" xfId="34651" xr:uid="{00000000-0005-0000-0000-0000C47B0000}"/>
    <cellStyle name="SAPBEXstdDataEmph 2 2 5 4 4" xfId="34652" xr:uid="{00000000-0005-0000-0000-0000C57B0000}"/>
    <cellStyle name="SAPBEXstdDataEmph 2 2 5 5" xfId="20480" xr:uid="{00000000-0005-0000-0000-0000C67B0000}"/>
    <cellStyle name="SAPBEXstdDataEmph 2 2 5 5 2" xfId="20481" xr:uid="{00000000-0005-0000-0000-0000C77B0000}"/>
    <cellStyle name="SAPBEXstdDataEmph 2 2 5 5 3" xfId="34653" xr:uid="{00000000-0005-0000-0000-0000C87B0000}"/>
    <cellStyle name="SAPBEXstdDataEmph 2 2 5 5 4" xfId="34654" xr:uid="{00000000-0005-0000-0000-0000C97B0000}"/>
    <cellStyle name="SAPBEXstdDataEmph 2 2 5 6" xfId="20482" xr:uid="{00000000-0005-0000-0000-0000CA7B0000}"/>
    <cellStyle name="SAPBEXstdDataEmph 2 2 5 6 2" xfId="20483" xr:uid="{00000000-0005-0000-0000-0000CB7B0000}"/>
    <cellStyle name="SAPBEXstdDataEmph 2 2 5 6 3" xfId="34655" xr:uid="{00000000-0005-0000-0000-0000CC7B0000}"/>
    <cellStyle name="SAPBEXstdDataEmph 2 2 5 6 4" xfId="34656" xr:uid="{00000000-0005-0000-0000-0000CD7B0000}"/>
    <cellStyle name="SAPBEXstdDataEmph 2 2 5 7" xfId="20484" xr:uid="{00000000-0005-0000-0000-0000CE7B0000}"/>
    <cellStyle name="SAPBEXstdDataEmph 2 2 5 7 2" xfId="20485" xr:uid="{00000000-0005-0000-0000-0000CF7B0000}"/>
    <cellStyle name="SAPBEXstdDataEmph 2 2 5 7 3" xfId="34657" xr:uid="{00000000-0005-0000-0000-0000D07B0000}"/>
    <cellStyle name="SAPBEXstdDataEmph 2 2 5 7 4" xfId="34658" xr:uid="{00000000-0005-0000-0000-0000D17B0000}"/>
    <cellStyle name="SAPBEXstdDataEmph 2 2 5 8" xfId="20486" xr:uid="{00000000-0005-0000-0000-0000D27B0000}"/>
    <cellStyle name="SAPBEXstdDataEmph 2 2 5 9" xfId="34659" xr:uid="{00000000-0005-0000-0000-0000D37B0000}"/>
    <cellStyle name="SAPBEXstdDataEmph 2 2 6" xfId="20487" xr:uid="{00000000-0005-0000-0000-0000D47B0000}"/>
    <cellStyle name="SAPBEXstdDataEmph 2 2 6 2" xfId="20488" xr:uid="{00000000-0005-0000-0000-0000D57B0000}"/>
    <cellStyle name="SAPBEXstdDataEmph 2 2 6 3" xfId="34660" xr:uid="{00000000-0005-0000-0000-0000D67B0000}"/>
    <cellStyle name="SAPBEXstdDataEmph 2 2 6 4" xfId="34661" xr:uid="{00000000-0005-0000-0000-0000D77B0000}"/>
    <cellStyle name="SAPBEXstdDataEmph 2 2 7" xfId="20489" xr:uid="{00000000-0005-0000-0000-0000D87B0000}"/>
    <cellStyle name="SAPBEXstdDataEmph 2 2 7 2" xfId="20490" xr:uid="{00000000-0005-0000-0000-0000D97B0000}"/>
    <cellStyle name="SAPBEXstdDataEmph 2 2 7 3" xfId="34662" xr:uid="{00000000-0005-0000-0000-0000DA7B0000}"/>
    <cellStyle name="SAPBEXstdDataEmph 2 2 7 4" xfId="34663" xr:uid="{00000000-0005-0000-0000-0000DB7B0000}"/>
    <cellStyle name="SAPBEXstdDataEmph 2 2 8" xfId="20491" xr:uid="{00000000-0005-0000-0000-0000DC7B0000}"/>
    <cellStyle name="SAPBEXstdDataEmph 2 2 8 2" xfId="20492" xr:uid="{00000000-0005-0000-0000-0000DD7B0000}"/>
    <cellStyle name="SAPBEXstdDataEmph 2 2 8 3" xfId="34664" xr:uid="{00000000-0005-0000-0000-0000DE7B0000}"/>
    <cellStyle name="SAPBEXstdDataEmph 2 2 8 4" xfId="34665" xr:uid="{00000000-0005-0000-0000-0000DF7B0000}"/>
    <cellStyle name="SAPBEXstdDataEmph 2 2 9" xfId="20493" xr:uid="{00000000-0005-0000-0000-0000E07B0000}"/>
    <cellStyle name="SAPBEXstdDataEmph 2 2 9 2" xfId="20494" xr:uid="{00000000-0005-0000-0000-0000E17B0000}"/>
    <cellStyle name="SAPBEXstdDataEmph 2 2 9 3" xfId="34666" xr:uid="{00000000-0005-0000-0000-0000E27B0000}"/>
    <cellStyle name="SAPBEXstdDataEmph 2 2 9 4" xfId="34667" xr:uid="{00000000-0005-0000-0000-0000E37B0000}"/>
    <cellStyle name="SAPBEXstdDataEmph 2 20" xfId="20495" xr:uid="{00000000-0005-0000-0000-0000E47B0000}"/>
    <cellStyle name="SAPBEXstdDataEmph 2 20 2" xfId="20496" xr:uid="{00000000-0005-0000-0000-0000E57B0000}"/>
    <cellStyle name="SAPBEXstdDataEmph 2 20 3" xfId="34668" xr:uid="{00000000-0005-0000-0000-0000E67B0000}"/>
    <cellStyle name="SAPBEXstdDataEmph 2 20 4" xfId="34669" xr:uid="{00000000-0005-0000-0000-0000E77B0000}"/>
    <cellStyle name="SAPBEXstdDataEmph 2 21" xfId="20497" xr:uid="{00000000-0005-0000-0000-0000E87B0000}"/>
    <cellStyle name="SAPBEXstdDataEmph 2 21 2" xfId="20498" xr:uid="{00000000-0005-0000-0000-0000E97B0000}"/>
    <cellStyle name="SAPBEXstdDataEmph 2 21 3" xfId="34670" xr:uid="{00000000-0005-0000-0000-0000EA7B0000}"/>
    <cellStyle name="SAPBEXstdDataEmph 2 21 4" xfId="34671" xr:uid="{00000000-0005-0000-0000-0000EB7B0000}"/>
    <cellStyle name="SAPBEXstdDataEmph 2 22" xfId="20499" xr:uid="{00000000-0005-0000-0000-0000EC7B0000}"/>
    <cellStyle name="SAPBEXstdDataEmph 2 22 2" xfId="20500" xr:uid="{00000000-0005-0000-0000-0000ED7B0000}"/>
    <cellStyle name="SAPBEXstdDataEmph 2 22 3" xfId="34672" xr:uid="{00000000-0005-0000-0000-0000EE7B0000}"/>
    <cellStyle name="SAPBEXstdDataEmph 2 22 4" xfId="34673" xr:uid="{00000000-0005-0000-0000-0000EF7B0000}"/>
    <cellStyle name="SAPBEXstdDataEmph 2 23" xfId="20501" xr:uid="{00000000-0005-0000-0000-0000F07B0000}"/>
    <cellStyle name="SAPBEXstdDataEmph 2 24" xfId="34674" xr:uid="{00000000-0005-0000-0000-0000F17B0000}"/>
    <cellStyle name="SAPBEXstdDataEmph 2 25" xfId="34675" xr:uid="{00000000-0005-0000-0000-0000F27B0000}"/>
    <cellStyle name="SAPBEXstdDataEmph 2 3" xfId="20502" xr:uid="{00000000-0005-0000-0000-0000F37B0000}"/>
    <cellStyle name="SAPBEXstdDataEmph 2 3 10" xfId="20503" xr:uid="{00000000-0005-0000-0000-0000F47B0000}"/>
    <cellStyle name="SAPBEXstdDataEmph 2 3 10 2" xfId="20504" xr:uid="{00000000-0005-0000-0000-0000F57B0000}"/>
    <cellStyle name="SAPBEXstdDataEmph 2 3 10 3" xfId="34676" xr:uid="{00000000-0005-0000-0000-0000F67B0000}"/>
    <cellStyle name="SAPBEXstdDataEmph 2 3 10 4" xfId="34677" xr:uid="{00000000-0005-0000-0000-0000F77B0000}"/>
    <cellStyle name="SAPBEXstdDataEmph 2 3 11" xfId="20505" xr:uid="{00000000-0005-0000-0000-0000F87B0000}"/>
    <cellStyle name="SAPBEXstdDataEmph 2 3 11 2" xfId="20506" xr:uid="{00000000-0005-0000-0000-0000F97B0000}"/>
    <cellStyle name="SAPBEXstdDataEmph 2 3 11 3" xfId="34678" xr:uid="{00000000-0005-0000-0000-0000FA7B0000}"/>
    <cellStyle name="SAPBEXstdDataEmph 2 3 11 4" xfId="34679" xr:uid="{00000000-0005-0000-0000-0000FB7B0000}"/>
    <cellStyle name="SAPBEXstdDataEmph 2 3 12" xfId="20507" xr:uid="{00000000-0005-0000-0000-0000FC7B0000}"/>
    <cellStyle name="SAPBEXstdDataEmph 2 3 13" xfId="34680" xr:uid="{00000000-0005-0000-0000-0000FD7B0000}"/>
    <cellStyle name="SAPBEXstdDataEmph 2 3 14" xfId="34681" xr:uid="{00000000-0005-0000-0000-0000FE7B0000}"/>
    <cellStyle name="SAPBEXstdDataEmph 2 3 2" xfId="20508" xr:uid="{00000000-0005-0000-0000-0000FF7B0000}"/>
    <cellStyle name="SAPBEXstdDataEmph 2 3 2 10" xfId="34682" xr:uid="{00000000-0005-0000-0000-0000007C0000}"/>
    <cellStyle name="SAPBEXstdDataEmph 2 3 2 2" xfId="20509" xr:uid="{00000000-0005-0000-0000-0000017C0000}"/>
    <cellStyle name="SAPBEXstdDataEmph 2 3 2 2 2" xfId="20510" xr:uid="{00000000-0005-0000-0000-0000027C0000}"/>
    <cellStyle name="SAPBEXstdDataEmph 2 3 2 2 3" xfId="34683" xr:uid="{00000000-0005-0000-0000-0000037C0000}"/>
    <cellStyle name="SAPBEXstdDataEmph 2 3 2 2 4" xfId="34684" xr:uid="{00000000-0005-0000-0000-0000047C0000}"/>
    <cellStyle name="SAPBEXstdDataEmph 2 3 2 3" xfId="20511" xr:uid="{00000000-0005-0000-0000-0000057C0000}"/>
    <cellStyle name="SAPBEXstdDataEmph 2 3 2 3 2" xfId="20512" xr:uid="{00000000-0005-0000-0000-0000067C0000}"/>
    <cellStyle name="SAPBEXstdDataEmph 2 3 2 3 3" xfId="34685" xr:uid="{00000000-0005-0000-0000-0000077C0000}"/>
    <cellStyle name="SAPBEXstdDataEmph 2 3 2 3 4" xfId="34686" xr:uid="{00000000-0005-0000-0000-0000087C0000}"/>
    <cellStyle name="SAPBEXstdDataEmph 2 3 2 4" xfId="20513" xr:uid="{00000000-0005-0000-0000-0000097C0000}"/>
    <cellStyle name="SAPBEXstdDataEmph 2 3 2 4 2" xfId="20514" xr:uid="{00000000-0005-0000-0000-00000A7C0000}"/>
    <cellStyle name="SAPBEXstdDataEmph 2 3 2 4 3" xfId="34687" xr:uid="{00000000-0005-0000-0000-00000B7C0000}"/>
    <cellStyle name="SAPBEXstdDataEmph 2 3 2 4 4" xfId="34688" xr:uid="{00000000-0005-0000-0000-00000C7C0000}"/>
    <cellStyle name="SAPBEXstdDataEmph 2 3 2 5" xfId="20515" xr:uid="{00000000-0005-0000-0000-00000D7C0000}"/>
    <cellStyle name="SAPBEXstdDataEmph 2 3 2 5 2" xfId="20516" xr:uid="{00000000-0005-0000-0000-00000E7C0000}"/>
    <cellStyle name="SAPBEXstdDataEmph 2 3 2 5 3" xfId="34689" xr:uid="{00000000-0005-0000-0000-00000F7C0000}"/>
    <cellStyle name="SAPBEXstdDataEmph 2 3 2 5 4" xfId="34690" xr:uid="{00000000-0005-0000-0000-0000107C0000}"/>
    <cellStyle name="SAPBEXstdDataEmph 2 3 2 6" xfId="20517" xr:uid="{00000000-0005-0000-0000-0000117C0000}"/>
    <cellStyle name="SAPBEXstdDataEmph 2 3 2 6 2" xfId="20518" xr:uid="{00000000-0005-0000-0000-0000127C0000}"/>
    <cellStyle name="SAPBEXstdDataEmph 2 3 2 6 3" xfId="34691" xr:uid="{00000000-0005-0000-0000-0000137C0000}"/>
    <cellStyle name="SAPBEXstdDataEmph 2 3 2 6 4" xfId="34692" xr:uid="{00000000-0005-0000-0000-0000147C0000}"/>
    <cellStyle name="SAPBEXstdDataEmph 2 3 2 7" xfId="20519" xr:uid="{00000000-0005-0000-0000-0000157C0000}"/>
    <cellStyle name="SAPBEXstdDataEmph 2 3 2 7 2" xfId="20520" xr:uid="{00000000-0005-0000-0000-0000167C0000}"/>
    <cellStyle name="SAPBEXstdDataEmph 2 3 2 7 3" xfId="34693" xr:uid="{00000000-0005-0000-0000-0000177C0000}"/>
    <cellStyle name="SAPBEXstdDataEmph 2 3 2 7 4" xfId="34694" xr:uid="{00000000-0005-0000-0000-0000187C0000}"/>
    <cellStyle name="SAPBEXstdDataEmph 2 3 2 8" xfId="20521" xr:uid="{00000000-0005-0000-0000-0000197C0000}"/>
    <cellStyle name="SAPBEXstdDataEmph 2 3 2 9" xfId="34695" xr:uid="{00000000-0005-0000-0000-00001A7C0000}"/>
    <cellStyle name="SAPBEXstdDataEmph 2 3 3" xfId="20522" xr:uid="{00000000-0005-0000-0000-00001B7C0000}"/>
    <cellStyle name="SAPBEXstdDataEmph 2 3 3 10" xfId="34696" xr:uid="{00000000-0005-0000-0000-00001C7C0000}"/>
    <cellStyle name="SAPBEXstdDataEmph 2 3 3 2" xfId="20523" xr:uid="{00000000-0005-0000-0000-00001D7C0000}"/>
    <cellStyle name="SAPBEXstdDataEmph 2 3 3 2 2" xfId="20524" xr:uid="{00000000-0005-0000-0000-00001E7C0000}"/>
    <cellStyle name="SAPBEXstdDataEmph 2 3 3 2 3" xfId="34697" xr:uid="{00000000-0005-0000-0000-00001F7C0000}"/>
    <cellStyle name="SAPBEXstdDataEmph 2 3 3 2 4" xfId="34698" xr:uid="{00000000-0005-0000-0000-0000207C0000}"/>
    <cellStyle name="SAPBEXstdDataEmph 2 3 3 3" xfId="20525" xr:uid="{00000000-0005-0000-0000-0000217C0000}"/>
    <cellStyle name="SAPBEXstdDataEmph 2 3 3 3 2" xfId="20526" xr:uid="{00000000-0005-0000-0000-0000227C0000}"/>
    <cellStyle name="SAPBEXstdDataEmph 2 3 3 3 3" xfId="34699" xr:uid="{00000000-0005-0000-0000-0000237C0000}"/>
    <cellStyle name="SAPBEXstdDataEmph 2 3 3 3 4" xfId="34700" xr:uid="{00000000-0005-0000-0000-0000247C0000}"/>
    <cellStyle name="SAPBEXstdDataEmph 2 3 3 4" xfId="20527" xr:uid="{00000000-0005-0000-0000-0000257C0000}"/>
    <cellStyle name="SAPBEXstdDataEmph 2 3 3 4 2" xfId="20528" xr:uid="{00000000-0005-0000-0000-0000267C0000}"/>
    <cellStyle name="SAPBEXstdDataEmph 2 3 3 4 3" xfId="34701" xr:uid="{00000000-0005-0000-0000-0000277C0000}"/>
    <cellStyle name="SAPBEXstdDataEmph 2 3 3 4 4" xfId="34702" xr:uid="{00000000-0005-0000-0000-0000287C0000}"/>
    <cellStyle name="SAPBEXstdDataEmph 2 3 3 5" xfId="20529" xr:uid="{00000000-0005-0000-0000-0000297C0000}"/>
    <cellStyle name="SAPBEXstdDataEmph 2 3 3 5 2" xfId="20530" xr:uid="{00000000-0005-0000-0000-00002A7C0000}"/>
    <cellStyle name="SAPBEXstdDataEmph 2 3 3 5 3" xfId="34703" xr:uid="{00000000-0005-0000-0000-00002B7C0000}"/>
    <cellStyle name="SAPBEXstdDataEmph 2 3 3 5 4" xfId="34704" xr:uid="{00000000-0005-0000-0000-00002C7C0000}"/>
    <cellStyle name="SAPBEXstdDataEmph 2 3 3 6" xfId="20531" xr:uid="{00000000-0005-0000-0000-00002D7C0000}"/>
    <cellStyle name="SAPBEXstdDataEmph 2 3 3 6 2" xfId="20532" xr:uid="{00000000-0005-0000-0000-00002E7C0000}"/>
    <cellStyle name="SAPBEXstdDataEmph 2 3 3 6 3" xfId="34705" xr:uid="{00000000-0005-0000-0000-00002F7C0000}"/>
    <cellStyle name="SAPBEXstdDataEmph 2 3 3 6 4" xfId="34706" xr:uid="{00000000-0005-0000-0000-0000307C0000}"/>
    <cellStyle name="SAPBEXstdDataEmph 2 3 3 7" xfId="20533" xr:uid="{00000000-0005-0000-0000-0000317C0000}"/>
    <cellStyle name="SAPBEXstdDataEmph 2 3 3 7 2" xfId="20534" xr:uid="{00000000-0005-0000-0000-0000327C0000}"/>
    <cellStyle name="SAPBEXstdDataEmph 2 3 3 7 3" xfId="34707" xr:uid="{00000000-0005-0000-0000-0000337C0000}"/>
    <cellStyle name="SAPBEXstdDataEmph 2 3 3 7 4" xfId="34708" xr:uid="{00000000-0005-0000-0000-0000347C0000}"/>
    <cellStyle name="SAPBEXstdDataEmph 2 3 3 8" xfId="20535" xr:uid="{00000000-0005-0000-0000-0000357C0000}"/>
    <cellStyle name="SAPBEXstdDataEmph 2 3 3 9" xfId="34709" xr:uid="{00000000-0005-0000-0000-0000367C0000}"/>
    <cellStyle name="SAPBEXstdDataEmph 2 3 4" xfId="20536" xr:uid="{00000000-0005-0000-0000-0000377C0000}"/>
    <cellStyle name="SAPBEXstdDataEmph 2 3 4 10" xfId="34710" xr:uid="{00000000-0005-0000-0000-0000387C0000}"/>
    <cellStyle name="SAPBEXstdDataEmph 2 3 4 2" xfId="20537" xr:uid="{00000000-0005-0000-0000-0000397C0000}"/>
    <cellStyle name="SAPBEXstdDataEmph 2 3 4 2 2" xfId="20538" xr:uid="{00000000-0005-0000-0000-00003A7C0000}"/>
    <cellStyle name="SAPBEXstdDataEmph 2 3 4 2 3" xfId="34711" xr:uid="{00000000-0005-0000-0000-00003B7C0000}"/>
    <cellStyle name="SAPBEXstdDataEmph 2 3 4 2 4" xfId="34712" xr:uid="{00000000-0005-0000-0000-00003C7C0000}"/>
    <cellStyle name="SAPBEXstdDataEmph 2 3 4 3" xfId="20539" xr:uid="{00000000-0005-0000-0000-00003D7C0000}"/>
    <cellStyle name="SAPBEXstdDataEmph 2 3 4 3 2" xfId="20540" xr:uid="{00000000-0005-0000-0000-00003E7C0000}"/>
    <cellStyle name="SAPBEXstdDataEmph 2 3 4 3 3" xfId="34713" xr:uid="{00000000-0005-0000-0000-00003F7C0000}"/>
    <cellStyle name="SAPBEXstdDataEmph 2 3 4 3 4" xfId="34714" xr:uid="{00000000-0005-0000-0000-0000407C0000}"/>
    <cellStyle name="SAPBEXstdDataEmph 2 3 4 4" xfId="20541" xr:uid="{00000000-0005-0000-0000-0000417C0000}"/>
    <cellStyle name="SAPBEXstdDataEmph 2 3 4 4 2" xfId="20542" xr:uid="{00000000-0005-0000-0000-0000427C0000}"/>
    <cellStyle name="SAPBEXstdDataEmph 2 3 4 4 3" xfId="34715" xr:uid="{00000000-0005-0000-0000-0000437C0000}"/>
    <cellStyle name="SAPBEXstdDataEmph 2 3 4 4 4" xfId="34716" xr:uid="{00000000-0005-0000-0000-0000447C0000}"/>
    <cellStyle name="SAPBEXstdDataEmph 2 3 4 5" xfId="20543" xr:uid="{00000000-0005-0000-0000-0000457C0000}"/>
    <cellStyle name="SAPBEXstdDataEmph 2 3 4 5 2" xfId="20544" xr:uid="{00000000-0005-0000-0000-0000467C0000}"/>
    <cellStyle name="SAPBEXstdDataEmph 2 3 4 5 3" xfId="34717" xr:uid="{00000000-0005-0000-0000-0000477C0000}"/>
    <cellStyle name="SAPBEXstdDataEmph 2 3 4 5 4" xfId="34718" xr:uid="{00000000-0005-0000-0000-0000487C0000}"/>
    <cellStyle name="SAPBEXstdDataEmph 2 3 4 6" xfId="20545" xr:uid="{00000000-0005-0000-0000-0000497C0000}"/>
    <cellStyle name="SAPBEXstdDataEmph 2 3 4 6 2" xfId="20546" xr:uid="{00000000-0005-0000-0000-00004A7C0000}"/>
    <cellStyle name="SAPBEXstdDataEmph 2 3 4 6 3" xfId="34719" xr:uid="{00000000-0005-0000-0000-00004B7C0000}"/>
    <cellStyle name="SAPBEXstdDataEmph 2 3 4 6 4" xfId="34720" xr:uid="{00000000-0005-0000-0000-00004C7C0000}"/>
    <cellStyle name="SAPBEXstdDataEmph 2 3 4 7" xfId="20547" xr:uid="{00000000-0005-0000-0000-00004D7C0000}"/>
    <cellStyle name="SAPBEXstdDataEmph 2 3 4 7 2" xfId="20548" xr:uid="{00000000-0005-0000-0000-00004E7C0000}"/>
    <cellStyle name="SAPBEXstdDataEmph 2 3 4 7 3" xfId="34721" xr:uid="{00000000-0005-0000-0000-00004F7C0000}"/>
    <cellStyle name="SAPBEXstdDataEmph 2 3 4 7 4" xfId="34722" xr:uid="{00000000-0005-0000-0000-0000507C0000}"/>
    <cellStyle name="SAPBEXstdDataEmph 2 3 4 8" xfId="20549" xr:uid="{00000000-0005-0000-0000-0000517C0000}"/>
    <cellStyle name="SAPBEXstdDataEmph 2 3 4 9" xfId="34723" xr:uid="{00000000-0005-0000-0000-0000527C0000}"/>
    <cellStyle name="SAPBEXstdDataEmph 2 3 5" xfId="20550" xr:uid="{00000000-0005-0000-0000-0000537C0000}"/>
    <cellStyle name="SAPBEXstdDataEmph 2 3 5 10" xfId="34724" xr:uid="{00000000-0005-0000-0000-0000547C0000}"/>
    <cellStyle name="SAPBEXstdDataEmph 2 3 5 2" xfId="20551" xr:uid="{00000000-0005-0000-0000-0000557C0000}"/>
    <cellStyle name="SAPBEXstdDataEmph 2 3 5 2 2" xfId="20552" xr:uid="{00000000-0005-0000-0000-0000567C0000}"/>
    <cellStyle name="SAPBEXstdDataEmph 2 3 5 2 3" xfId="34725" xr:uid="{00000000-0005-0000-0000-0000577C0000}"/>
    <cellStyle name="SAPBEXstdDataEmph 2 3 5 2 4" xfId="34726" xr:uid="{00000000-0005-0000-0000-0000587C0000}"/>
    <cellStyle name="SAPBEXstdDataEmph 2 3 5 3" xfId="20553" xr:uid="{00000000-0005-0000-0000-0000597C0000}"/>
    <cellStyle name="SAPBEXstdDataEmph 2 3 5 3 2" xfId="20554" xr:uid="{00000000-0005-0000-0000-00005A7C0000}"/>
    <cellStyle name="SAPBEXstdDataEmph 2 3 5 3 3" xfId="34727" xr:uid="{00000000-0005-0000-0000-00005B7C0000}"/>
    <cellStyle name="SAPBEXstdDataEmph 2 3 5 3 4" xfId="34728" xr:uid="{00000000-0005-0000-0000-00005C7C0000}"/>
    <cellStyle name="SAPBEXstdDataEmph 2 3 5 4" xfId="20555" xr:uid="{00000000-0005-0000-0000-00005D7C0000}"/>
    <cellStyle name="SAPBEXstdDataEmph 2 3 5 4 2" xfId="20556" xr:uid="{00000000-0005-0000-0000-00005E7C0000}"/>
    <cellStyle name="SAPBEXstdDataEmph 2 3 5 4 3" xfId="34729" xr:uid="{00000000-0005-0000-0000-00005F7C0000}"/>
    <cellStyle name="SAPBEXstdDataEmph 2 3 5 4 4" xfId="34730" xr:uid="{00000000-0005-0000-0000-0000607C0000}"/>
    <cellStyle name="SAPBEXstdDataEmph 2 3 5 5" xfId="20557" xr:uid="{00000000-0005-0000-0000-0000617C0000}"/>
    <cellStyle name="SAPBEXstdDataEmph 2 3 5 5 2" xfId="20558" xr:uid="{00000000-0005-0000-0000-0000627C0000}"/>
    <cellStyle name="SAPBEXstdDataEmph 2 3 5 5 3" xfId="34731" xr:uid="{00000000-0005-0000-0000-0000637C0000}"/>
    <cellStyle name="SAPBEXstdDataEmph 2 3 5 5 4" xfId="34732" xr:uid="{00000000-0005-0000-0000-0000647C0000}"/>
    <cellStyle name="SAPBEXstdDataEmph 2 3 5 6" xfId="20559" xr:uid="{00000000-0005-0000-0000-0000657C0000}"/>
    <cellStyle name="SAPBEXstdDataEmph 2 3 5 6 2" xfId="20560" xr:uid="{00000000-0005-0000-0000-0000667C0000}"/>
    <cellStyle name="SAPBEXstdDataEmph 2 3 5 6 3" xfId="34733" xr:uid="{00000000-0005-0000-0000-0000677C0000}"/>
    <cellStyle name="SAPBEXstdDataEmph 2 3 5 6 4" xfId="34734" xr:uid="{00000000-0005-0000-0000-0000687C0000}"/>
    <cellStyle name="SAPBEXstdDataEmph 2 3 5 7" xfId="20561" xr:uid="{00000000-0005-0000-0000-0000697C0000}"/>
    <cellStyle name="SAPBEXstdDataEmph 2 3 5 7 2" xfId="20562" xr:uid="{00000000-0005-0000-0000-00006A7C0000}"/>
    <cellStyle name="SAPBEXstdDataEmph 2 3 5 7 3" xfId="34735" xr:uid="{00000000-0005-0000-0000-00006B7C0000}"/>
    <cellStyle name="SAPBEXstdDataEmph 2 3 5 7 4" xfId="34736" xr:uid="{00000000-0005-0000-0000-00006C7C0000}"/>
    <cellStyle name="SAPBEXstdDataEmph 2 3 5 8" xfId="20563" xr:uid="{00000000-0005-0000-0000-00006D7C0000}"/>
    <cellStyle name="SAPBEXstdDataEmph 2 3 5 9" xfId="34737" xr:uid="{00000000-0005-0000-0000-00006E7C0000}"/>
    <cellStyle name="SAPBEXstdDataEmph 2 3 6" xfId="20564" xr:uid="{00000000-0005-0000-0000-00006F7C0000}"/>
    <cellStyle name="SAPBEXstdDataEmph 2 3 6 2" xfId="20565" xr:uid="{00000000-0005-0000-0000-0000707C0000}"/>
    <cellStyle name="SAPBEXstdDataEmph 2 3 6 3" xfId="34738" xr:uid="{00000000-0005-0000-0000-0000717C0000}"/>
    <cellStyle name="SAPBEXstdDataEmph 2 3 6 4" xfId="34739" xr:uid="{00000000-0005-0000-0000-0000727C0000}"/>
    <cellStyle name="SAPBEXstdDataEmph 2 3 7" xfId="20566" xr:uid="{00000000-0005-0000-0000-0000737C0000}"/>
    <cellStyle name="SAPBEXstdDataEmph 2 3 7 2" xfId="20567" xr:uid="{00000000-0005-0000-0000-0000747C0000}"/>
    <cellStyle name="SAPBEXstdDataEmph 2 3 7 3" xfId="34740" xr:uid="{00000000-0005-0000-0000-0000757C0000}"/>
    <cellStyle name="SAPBEXstdDataEmph 2 3 7 4" xfId="34741" xr:uid="{00000000-0005-0000-0000-0000767C0000}"/>
    <cellStyle name="SAPBEXstdDataEmph 2 3 8" xfId="20568" xr:uid="{00000000-0005-0000-0000-0000777C0000}"/>
    <cellStyle name="SAPBEXstdDataEmph 2 3 8 2" xfId="20569" xr:uid="{00000000-0005-0000-0000-0000787C0000}"/>
    <cellStyle name="SAPBEXstdDataEmph 2 3 8 3" xfId="34742" xr:uid="{00000000-0005-0000-0000-0000797C0000}"/>
    <cellStyle name="SAPBEXstdDataEmph 2 3 8 4" xfId="34743" xr:uid="{00000000-0005-0000-0000-00007A7C0000}"/>
    <cellStyle name="SAPBEXstdDataEmph 2 3 9" xfId="20570" xr:uid="{00000000-0005-0000-0000-00007B7C0000}"/>
    <cellStyle name="SAPBEXstdDataEmph 2 3 9 2" xfId="20571" xr:uid="{00000000-0005-0000-0000-00007C7C0000}"/>
    <cellStyle name="SAPBEXstdDataEmph 2 3 9 3" xfId="34744" xr:uid="{00000000-0005-0000-0000-00007D7C0000}"/>
    <cellStyle name="SAPBEXstdDataEmph 2 3 9 4" xfId="34745" xr:uid="{00000000-0005-0000-0000-00007E7C0000}"/>
    <cellStyle name="SAPBEXstdDataEmph 2 4" xfId="20572" xr:uid="{00000000-0005-0000-0000-00007F7C0000}"/>
    <cellStyle name="SAPBEXstdDataEmph 2 4 10" xfId="20573" xr:uid="{00000000-0005-0000-0000-0000807C0000}"/>
    <cellStyle name="SAPBEXstdDataEmph 2 4 10 2" xfId="20574" xr:uid="{00000000-0005-0000-0000-0000817C0000}"/>
    <cellStyle name="SAPBEXstdDataEmph 2 4 10 3" xfId="34746" xr:uid="{00000000-0005-0000-0000-0000827C0000}"/>
    <cellStyle name="SAPBEXstdDataEmph 2 4 10 4" xfId="34747" xr:uid="{00000000-0005-0000-0000-0000837C0000}"/>
    <cellStyle name="SAPBEXstdDataEmph 2 4 11" xfId="20575" xr:uid="{00000000-0005-0000-0000-0000847C0000}"/>
    <cellStyle name="SAPBEXstdDataEmph 2 4 11 2" xfId="20576" xr:uid="{00000000-0005-0000-0000-0000857C0000}"/>
    <cellStyle name="SAPBEXstdDataEmph 2 4 11 3" xfId="34748" xr:uid="{00000000-0005-0000-0000-0000867C0000}"/>
    <cellStyle name="SAPBEXstdDataEmph 2 4 11 4" xfId="34749" xr:uid="{00000000-0005-0000-0000-0000877C0000}"/>
    <cellStyle name="SAPBEXstdDataEmph 2 4 12" xfId="20577" xr:uid="{00000000-0005-0000-0000-0000887C0000}"/>
    <cellStyle name="SAPBEXstdDataEmph 2 4 13" xfId="34750" xr:uid="{00000000-0005-0000-0000-0000897C0000}"/>
    <cellStyle name="SAPBEXstdDataEmph 2 4 14" xfId="34751" xr:uid="{00000000-0005-0000-0000-00008A7C0000}"/>
    <cellStyle name="SAPBEXstdDataEmph 2 4 2" xfId="20578" xr:uid="{00000000-0005-0000-0000-00008B7C0000}"/>
    <cellStyle name="SAPBEXstdDataEmph 2 4 2 10" xfId="34752" xr:uid="{00000000-0005-0000-0000-00008C7C0000}"/>
    <cellStyle name="SAPBEXstdDataEmph 2 4 2 2" xfId="20579" xr:uid="{00000000-0005-0000-0000-00008D7C0000}"/>
    <cellStyle name="SAPBEXstdDataEmph 2 4 2 2 2" xfId="20580" xr:uid="{00000000-0005-0000-0000-00008E7C0000}"/>
    <cellStyle name="SAPBEXstdDataEmph 2 4 2 2 3" xfId="34753" xr:uid="{00000000-0005-0000-0000-00008F7C0000}"/>
    <cellStyle name="SAPBEXstdDataEmph 2 4 2 2 4" xfId="34754" xr:uid="{00000000-0005-0000-0000-0000907C0000}"/>
    <cellStyle name="SAPBEXstdDataEmph 2 4 2 3" xfId="20581" xr:uid="{00000000-0005-0000-0000-0000917C0000}"/>
    <cellStyle name="SAPBEXstdDataEmph 2 4 2 3 2" xfId="20582" xr:uid="{00000000-0005-0000-0000-0000927C0000}"/>
    <cellStyle name="SAPBEXstdDataEmph 2 4 2 3 3" xfId="34755" xr:uid="{00000000-0005-0000-0000-0000937C0000}"/>
    <cellStyle name="SAPBEXstdDataEmph 2 4 2 3 4" xfId="34756" xr:uid="{00000000-0005-0000-0000-0000947C0000}"/>
    <cellStyle name="SAPBEXstdDataEmph 2 4 2 4" xfId="20583" xr:uid="{00000000-0005-0000-0000-0000957C0000}"/>
    <cellStyle name="SAPBEXstdDataEmph 2 4 2 4 2" xfId="20584" xr:uid="{00000000-0005-0000-0000-0000967C0000}"/>
    <cellStyle name="SAPBEXstdDataEmph 2 4 2 4 3" xfId="34757" xr:uid="{00000000-0005-0000-0000-0000977C0000}"/>
    <cellStyle name="SAPBEXstdDataEmph 2 4 2 4 4" xfId="34758" xr:uid="{00000000-0005-0000-0000-0000987C0000}"/>
    <cellStyle name="SAPBEXstdDataEmph 2 4 2 5" xfId="20585" xr:uid="{00000000-0005-0000-0000-0000997C0000}"/>
    <cellStyle name="SAPBEXstdDataEmph 2 4 2 5 2" xfId="20586" xr:uid="{00000000-0005-0000-0000-00009A7C0000}"/>
    <cellStyle name="SAPBEXstdDataEmph 2 4 2 5 3" xfId="34759" xr:uid="{00000000-0005-0000-0000-00009B7C0000}"/>
    <cellStyle name="SAPBEXstdDataEmph 2 4 2 5 4" xfId="34760" xr:uid="{00000000-0005-0000-0000-00009C7C0000}"/>
    <cellStyle name="SAPBEXstdDataEmph 2 4 2 6" xfId="20587" xr:uid="{00000000-0005-0000-0000-00009D7C0000}"/>
    <cellStyle name="SAPBEXstdDataEmph 2 4 2 6 2" xfId="20588" xr:uid="{00000000-0005-0000-0000-00009E7C0000}"/>
    <cellStyle name="SAPBEXstdDataEmph 2 4 2 6 3" xfId="34761" xr:uid="{00000000-0005-0000-0000-00009F7C0000}"/>
    <cellStyle name="SAPBEXstdDataEmph 2 4 2 6 4" xfId="34762" xr:uid="{00000000-0005-0000-0000-0000A07C0000}"/>
    <cellStyle name="SAPBEXstdDataEmph 2 4 2 7" xfId="20589" xr:uid="{00000000-0005-0000-0000-0000A17C0000}"/>
    <cellStyle name="SAPBEXstdDataEmph 2 4 2 7 2" xfId="20590" xr:uid="{00000000-0005-0000-0000-0000A27C0000}"/>
    <cellStyle name="SAPBEXstdDataEmph 2 4 2 7 3" xfId="34763" xr:uid="{00000000-0005-0000-0000-0000A37C0000}"/>
    <cellStyle name="SAPBEXstdDataEmph 2 4 2 7 4" xfId="34764" xr:uid="{00000000-0005-0000-0000-0000A47C0000}"/>
    <cellStyle name="SAPBEXstdDataEmph 2 4 2 8" xfId="20591" xr:uid="{00000000-0005-0000-0000-0000A57C0000}"/>
    <cellStyle name="SAPBEXstdDataEmph 2 4 2 9" xfId="34765" xr:uid="{00000000-0005-0000-0000-0000A67C0000}"/>
    <cellStyle name="SAPBEXstdDataEmph 2 4 3" xfId="20592" xr:uid="{00000000-0005-0000-0000-0000A77C0000}"/>
    <cellStyle name="SAPBEXstdDataEmph 2 4 3 10" xfId="34766" xr:uid="{00000000-0005-0000-0000-0000A87C0000}"/>
    <cellStyle name="SAPBEXstdDataEmph 2 4 3 2" xfId="20593" xr:uid="{00000000-0005-0000-0000-0000A97C0000}"/>
    <cellStyle name="SAPBEXstdDataEmph 2 4 3 2 2" xfId="20594" xr:uid="{00000000-0005-0000-0000-0000AA7C0000}"/>
    <cellStyle name="SAPBEXstdDataEmph 2 4 3 2 3" xfId="34767" xr:uid="{00000000-0005-0000-0000-0000AB7C0000}"/>
    <cellStyle name="SAPBEXstdDataEmph 2 4 3 2 4" xfId="34768" xr:uid="{00000000-0005-0000-0000-0000AC7C0000}"/>
    <cellStyle name="SAPBEXstdDataEmph 2 4 3 3" xfId="20595" xr:uid="{00000000-0005-0000-0000-0000AD7C0000}"/>
    <cellStyle name="SAPBEXstdDataEmph 2 4 3 3 2" xfId="20596" xr:uid="{00000000-0005-0000-0000-0000AE7C0000}"/>
    <cellStyle name="SAPBEXstdDataEmph 2 4 3 3 3" xfId="34769" xr:uid="{00000000-0005-0000-0000-0000AF7C0000}"/>
    <cellStyle name="SAPBEXstdDataEmph 2 4 3 3 4" xfId="34770" xr:uid="{00000000-0005-0000-0000-0000B07C0000}"/>
    <cellStyle name="SAPBEXstdDataEmph 2 4 3 4" xfId="20597" xr:uid="{00000000-0005-0000-0000-0000B17C0000}"/>
    <cellStyle name="SAPBEXstdDataEmph 2 4 3 4 2" xfId="20598" xr:uid="{00000000-0005-0000-0000-0000B27C0000}"/>
    <cellStyle name="SAPBEXstdDataEmph 2 4 3 4 3" xfId="34771" xr:uid="{00000000-0005-0000-0000-0000B37C0000}"/>
    <cellStyle name="SAPBEXstdDataEmph 2 4 3 4 4" xfId="34772" xr:uid="{00000000-0005-0000-0000-0000B47C0000}"/>
    <cellStyle name="SAPBEXstdDataEmph 2 4 3 5" xfId="20599" xr:uid="{00000000-0005-0000-0000-0000B57C0000}"/>
    <cellStyle name="SAPBEXstdDataEmph 2 4 3 5 2" xfId="20600" xr:uid="{00000000-0005-0000-0000-0000B67C0000}"/>
    <cellStyle name="SAPBEXstdDataEmph 2 4 3 5 3" xfId="34773" xr:uid="{00000000-0005-0000-0000-0000B77C0000}"/>
    <cellStyle name="SAPBEXstdDataEmph 2 4 3 5 4" xfId="34774" xr:uid="{00000000-0005-0000-0000-0000B87C0000}"/>
    <cellStyle name="SAPBEXstdDataEmph 2 4 3 6" xfId="20601" xr:uid="{00000000-0005-0000-0000-0000B97C0000}"/>
    <cellStyle name="SAPBEXstdDataEmph 2 4 3 6 2" xfId="20602" xr:uid="{00000000-0005-0000-0000-0000BA7C0000}"/>
    <cellStyle name="SAPBEXstdDataEmph 2 4 3 6 3" xfId="34775" xr:uid="{00000000-0005-0000-0000-0000BB7C0000}"/>
    <cellStyle name="SAPBEXstdDataEmph 2 4 3 6 4" xfId="34776" xr:uid="{00000000-0005-0000-0000-0000BC7C0000}"/>
    <cellStyle name="SAPBEXstdDataEmph 2 4 3 7" xfId="20603" xr:uid="{00000000-0005-0000-0000-0000BD7C0000}"/>
    <cellStyle name="SAPBEXstdDataEmph 2 4 3 7 2" xfId="20604" xr:uid="{00000000-0005-0000-0000-0000BE7C0000}"/>
    <cellStyle name="SAPBEXstdDataEmph 2 4 3 7 3" xfId="34777" xr:uid="{00000000-0005-0000-0000-0000BF7C0000}"/>
    <cellStyle name="SAPBEXstdDataEmph 2 4 3 7 4" xfId="34778" xr:uid="{00000000-0005-0000-0000-0000C07C0000}"/>
    <cellStyle name="SAPBEXstdDataEmph 2 4 3 8" xfId="20605" xr:uid="{00000000-0005-0000-0000-0000C17C0000}"/>
    <cellStyle name="SAPBEXstdDataEmph 2 4 3 9" xfId="34779" xr:uid="{00000000-0005-0000-0000-0000C27C0000}"/>
    <cellStyle name="SAPBEXstdDataEmph 2 4 4" xfId="20606" xr:uid="{00000000-0005-0000-0000-0000C37C0000}"/>
    <cellStyle name="SAPBEXstdDataEmph 2 4 4 10" xfId="34780" xr:uid="{00000000-0005-0000-0000-0000C47C0000}"/>
    <cellStyle name="SAPBEXstdDataEmph 2 4 4 2" xfId="20607" xr:uid="{00000000-0005-0000-0000-0000C57C0000}"/>
    <cellStyle name="SAPBEXstdDataEmph 2 4 4 2 2" xfId="20608" xr:uid="{00000000-0005-0000-0000-0000C67C0000}"/>
    <cellStyle name="SAPBEXstdDataEmph 2 4 4 2 3" xfId="34781" xr:uid="{00000000-0005-0000-0000-0000C77C0000}"/>
    <cellStyle name="SAPBEXstdDataEmph 2 4 4 2 4" xfId="34782" xr:uid="{00000000-0005-0000-0000-0000C87C0000}"/>
    <cellStyle name="SAPBEXstdDataEmph 2 4 4 3" xfId="20609" xr:uid="{00000000-0005-0000-0000-0000C97C0000}"/>
    <cellStyle name="SAPBEXstdDataEmph 2 4 4 3 2" xfId="20610" xr:uid="{00000000-0005-0000-0000-0000CA7C0000}"/>
    <cellStyle name="SAPBEXstdDataEmph 2 4 4 3 3" xfId="34783" xr:uid="{00000000-0005-0000-0000-0000CB7C0000}"/>
    <cellStyle name="SAPBEXstdDataEmph 2 4 4 3 4" xfId="34784" xr:uid="{00000000-0005-0000-0000-0000CC7C0000}"/>
    <cellStyle name="SAPBEXstdDataEmph 2 4 4 4" xfId="20611" xr:uid="{00000000-0005-0000-0000-0000CD7C0000}"/>
    <cellStyle name="SAPBEXstdDataEmph 2 4 4 4 2" xfId="20612" xr:uid="{00000000-0005-0000-0000-0000CE7C0000}"/>
    <cellStyle name="SAPBEXstdDataEmph 2 4 4 4 3" xfId="34785" xr:uid="{00000000-0005-0000-0000-0000CF7C0000}"/>
    <cellStyle name="SAPBEXstdDataEmph 2 4 4 4 4" xfId="34786" xr:uid="{00000000-0005-0000-0000-0000D07C0000}"/>
    <cellStyle name="SAPBEXstdDataEmph 2 4 4 5" xfId="20613" xr:uid="{00000000-0005-0000-0000-0000D17C0000}"/>
    <cellStyle name="SAPBEXstdDataEmph 2 4 4 5 2" xfId="20614" xr:uid="{00000000-0005-0000-0000-0000D27C0000}"/>
    <cellStyle name="SAPBEXstdDataEmph 2 4 4 5 3" xfId="34787" xr:uid="{00000000-0005-0000-0000-0000D37C0000}"/>
    <cellStyle name="SAPBEXstdDataEmph 2 4 4 5 4" xfId="34788" xr:uid="{00000000-0005-0000-0000-0000D47C0000}"/>
    <cellStyle name="SAPBEXstdDataEmph 2 4 4 6" xfId="20615" xr:uid="{00000000-0005-0000-0000-0000D57C0000}"/>
    <cellStyle name="SAPBEXstdDataEmph 2 4 4 6 2" xfId="20616" xr:uid="{00000000-0005-0000-0000-0000D67C0000}"/>
    <cellStyle name="SAPBEXstdDataEmph 2 4 4 6 3" xfId="34789" xr:uid="{00000000-0005-0000-0000-0000D77C0000}"/>
    <cellStyle name="SAPBEXstdDataEmph 2 4 4 6 4" xfId="34790" xr:uid="{00000000-0005-0000-0000-0000D87C0000}"/>
    <cellStyle name="SAPBEXstdDataEmph 2 4 4 7" xfId="20617" xr:uid="{00000000-0005-0000-0000-0000D97C0000}"/>
    <cellStyle name="SAPBEXstdDataEmph 2 4 4 7 2" xfId="20618" xr:uid="{00000000-0005-0000-0000-0000DA7C0000}"/>
    <cellStyle name="SAPBEXstdDataEmph 2 4 4 7 3" xfId="34791" xr:uid="{00000000-0005-0000-0000-0000DB7C0000}"/>
    <cellStyle name="SAPBEXstdDataEmph 2 4 4 7 4" xfId="34792" xr:uid="{00000000-0005-0000-0000-0000DC7C0000}"/>
    <cellStyle name="SAPBEXstdDataEmph 2 4 4 8" xfId="20619" xr:uid="{00000000-0005-0000-0000-0000DD7C0000}"/>
    <cellStyle name="SAPBEXstdDataEmph 2 4 4 9" xfId="34793" xr:uid="{00000000-0005-0000-0000-0000DE7C0000}"/>
    <cellStyle name="SAPBEXstdDataEmph 2 4 5" xfId="20620" xr:uid="{00000000-0005-0000-0000-0000DF7C0000}"/>
    <cellStyle name="SAPBEXstdDataEmph 2 4 5 10" xfId="34794" xr:uid="{00000000-0005-0000-0000-0000E07C0000}"/>
    <cellStyle name="SAPBEXstdDataEmph 2 4 5 2" xfId="20621" xr:uid="{00000000-0005-0000-0000-0000E17C0000}"/>
    <cellStyle name="SAPBEXstdDataEmph 2 4 5 2 2" xfId="20622" xr:uid="{00000000-0005-0000-0000-0000E27C0000}"/>
    <cellStyle name="SAPBEXstdDataEmph 2 4 5 2 3" xfId="34795" xr:uid="{00000000-0005-0000-0000-0000E37C0000}"/>
    <cellStyle name="SAPBEXstdDataEmph 2 4 5 2 4" xfId="34796" xr:uid="{00000000-0005-0000-0000-0000E47C0000}"/>
    <cellStyle name="SAPBEXstdDataEmph 2 4 5 3" xfId="20623" xr:uid="{00000000-0005-0000-0000-0000E57C0000}"/>
    <cellStyle name="SAPBEXstdDataEmph 2 4 5 3 2" xfId="20624" xr:uid="{00000000-0005-0000-0000-0000E67C0000}"/>
    <cellStyle name="SAPBEXstdDataEmph 2 4 5 3 3" xfId="34797" xr:uid="{00000000-0005-0000-0000-0000E77C0000}"/>
    <cellStyle name="SAPBEXstdDataEmph 2 4 5 3 4" xfId="34798" xr:uid="{00000000-0005-0000-0000-0000E87C0000}"/>
    <cellStyle name="SAPBEXstdDataEmph 2 4 5 4" xfId="20625" xr:uid="{00000000-0005-0000-0000-0000E97C0000}"/>
    <cellStyle name="SAPBEXstdDataEmph 2 4 5 4 2" xfId="20626" xr:uid="{00000000-0005-0000-0000-0000EA7C0000}"/>
    <cellStyle name="SAPBEXstdDataEmph 2 4 5 4 3" xfId="34799" xr:uid="{00000000-0005-0000-0000-0000EB7C0000}"/>
    <cellStyle name="SAPBEXstdDataEmph 2 4 5 4 4" xfId="34800" xr:uid="{00000000-0005-0000-0000-0000EC7C0000}"/>
    <cellStyle name="SAPBEXstdDataEmph 2 4 5 5" xfId="20627" xr:uid="{00000000-0005-0000-0000-0000ED7C0000}"/>
    <cellStyle name="SAPBEXstdDataEmph 2 4 5 5 2" xfId="20628" xr:uid="{00000000-0005-0000-0000-0000EE7C0000}"/>
    <cellStyle name="SAPBEXstdDataEmph 2 4 5 5 3" xfId="34801" xr:uid="{00000000-0005-0000-0000-0000EF7C0000}"/>
    <cellStyle name="SAPBEXstdDataEmph 2 4 5 5 4" xfId="34802" xr:uid="{00000000-0005-0000-0000-0000F07C0000}"/>
    <cellStyle name="SAPBEXstdDataEmph 2 4 5 6" xfId="20629" xr:uid="{00000000-0005-0000-0000-0000F17C0000}"/>
    <cellStyle name="SAPBEXstdDataEmph 2 4 5 6 2" xfId="20630" xr:uid="{00000000-0005-0000-0000-0000F27C0000}"/>
    <cellStyle name="SAPBEXstdDataEmph 2 4 5 6 3" xfId="34803" xr:uid="{00000000-0005-0000-0000-0000F37C0000}"/>
    <cellStyle name="SAPBEXstdDataEmph 2 4 5 6 4" xfId="34804" xr:uid="{00000000-0005-0000-0000-0000F47C0000}"/>
    <cellStyle name="SAPBEXstdDataEmph 2 4 5 7" xfId="20631" xr:uid="{00000000-0005-0000-0000-0000F57C0000}"/>
    <cellStyle name="SAPBEXstdDataEmph 2 4 5 7 2" xfId="20632" xr:uid="{00000000-0005-0000-0000-0000F67C0000}"/>
    <cellStyle name="SAPBEXstdDataEmph 2 4 5 7 3" xfId="34805" xr:uid="{00000000-0005-0000-0000-0000F77C0000}"/>
    <cellStyle name="SAPBEXstdDataEmph 2 4 5 7 4" xfId="34806" xr:uid="{00000000-0005-0000-0000-0000F87C0000}"/>
    <cellStyle name="SAPBEXstdDataEmph 2 4 5 8" xfId="20633" xr:uid="{00000000-0005-0000-0000-0000F97C0000}"/>
    <cellStyle name="SAPBEXstdDataEmph 2 4 5 9" xfId="34807" xr:uid="{00000000-0005-0000-0000-0000FA7C0000}"/>
    <cellStyle name="SAPBEXstdDataEmph 2 4 6" xfId="20634" xr:uid="{00000000-0005-0000-0000-0000FB7C0000}"/>
    <cellStyle name="SAPBEXstdDataEmph 2 4 6 2" xfId="20635" xr:uid="{00000000-0005-0000-0000-0000FC7C0000}"/>
    <cellStyle name="SAPBEXstdDataEmph 2 4 6 3" xfId="34808" xr:uid="{00000000-0005-0000-0000-0000FD7C0000}"/>
    <cellStyle name="SAPBEXstdDataEmph 2 4 6 4" xfId="34809" xr:uid="{00000000-0005-0000-0000-0000FE7C0000}"/>
    <cellStyle name="SAPBEXstdDataEmph 2 4 7" xfId="20636" xr:uid="{00000000-0005-0000-0000-0000FF7C0000}"/>
    <cellStyle name="SAPBEXstdDataEmph 2 4 7 2" xfId="20637" xr:uid="{00000000-0005-0000-0000-0000007D0000}"/>
    <cellStyle name="SAPBEXstdDataEmph 2 4 7 3" xfId="34810" xr:uid="{00000000-0005-0000-0000-0000017D0000}"/>
    <cellStyle name="SAPBEXstdDataEmph 2 4 7 4" xfId="34811" xr:uid="{00000000-0005-0000-0000-0000027D0000}"/>
    <cellStyle name="SAPBEXstdDataEmph 2 4 8" xfId="20638" xr:uid="{00000000-0005-0000-0000-0000037D0000}"/>
    <cellStyle name="SAPBEXstdDataEmph 2 4 8 2" xfId="20639" xr:uid="{00000000-0005-0000-0000-0000047D0000}"/>
    <cellStyle name="SAPBEXstdDataEmph 2 4 8 3" xfId="34812" xr:uid="{00000000-0005-0000-0000-0000057D0000}"/>
    <cellStyle name="SAPBEXstdDataEmph 2 4 8 4" xfId="34813" xr:uid="{00000000-0005-0000-0000-0000067D0000}"/>
    <cellStyle name="SAPBEXstdDataEmph 2 4 9" xfId="20640" xr:uid="{00000000-0005-0000-0000-0000077D0000}"/>
    <cellStyle name="SAPBEXstdDataEmph 2 4 9 2" xfId="20641" xr:uid="{00000000-0005-0000-0000-0000087D0000}"/>
    <cellStyle name="SAPBEXstdDataEmph 2 4 9 3" xfId="34814" xr:uid="{00000000-0005-0000-0000-0000097D0000}"/>
    <cellStyle name="SAPBEXstdDataEmph 2 4 9 4" xfId="34815" xr:uid="{00000000-0005-0000-0000-00000A7D0000}"/>
    <cellStyle name="SAPBEXstdDataEmph 2 5" xfId="20642" xr:uid="{00000000-0005-0000-0000-00000B7D0000}"/>
    <cellStyle name="SAPBEXstdDataEmph 2 5 10" xfId="20643" xr:uid="{00000000-0005-0000-0000-00000C7D0000}"/>
    <cellStyle name="SAPBEXstdDataEmph 2 5 10 2" xfId="20644" xr:uid="{00000000-0005-0000-0000-00000D7D0000}"/>
    <cellStyle name="SAPBEXstdDataEmph 2 5 10 3" xfId="34816" xr:uid="{00000000-0005-0000-0000-00000E7D0000}"/>
    <cellStyle name="SAPBEXstdDataEmph 2 5 10 4" xfId="34817" xr:uid="{00000000-0005-0000-0000-00000F7D0000}"/>
    <cellStyle name="SAPBEXstdDataEmph 2 5 11" xfId="20645" xr:uid="{00000000-0005-0000-0000-0000107D0000}"/>
    <cellStyle name="SAPBEXstdDataEmph 2 5 11 2" xfId="20646" xr:uid="{00000000-0005-0000-0000-0000117D0000}"/>
    <cellStyle name="SAPBEXstdDataEmph 2 5 11 3" xfId="34818" xr:uid="{00000000-0005-0000-0000-0000127D0000}"/>
    <cellStyle name="SAPBEXstdDataEmph 2 5 11 4" xfId="34819" xr:uid="{00000000-0005-0000-0000-0000137D0000}"/>
    <cellStyle name="SAPBEXstdDataEmph 2 5 12" xfId="20647" xr:uid="{00000000-0005-0000-0000-0000147D0000}"/>
    <cellStyle name="SAPBEXstdDataEmph 2 5 13" xfId="34820" xr:uid="{00000000-0005-0000-0000-0000157D0000}"/>
    <cellStyle name="SAPBEXstdDataEmph 2 5 14" xfId="34821" xr:uid="{00000000-0005-0000-0000-0000167D0000}"/>
    <cellStyle name="SAPBEXstdDataEmph 2 5 2" xfId="20648" xr:uid="{00000000-0005-0000-0000-0000177D0000}"/>
    <cellStyle name="SAPBEXstdDataEmph 2 5 2 10" xfId="34822" xr:uid="{00000000-0005-0000-0000-0000187D0000}"/>
    <cellStyle name="SAPBEXstdDataEmph 2 5 2 2" xfId="20649" xr:uid="{00000000-0005-0000-0000-0000197D0000}"/>
    <cellStyle name="SAPBEXstdDataEmph 2 5 2 2 2" xfId="20650" xr:uid="{00000000-0005-0000-0000-00001A7D0000}"/>
    <cellStyle name="SAPBEXstdDataEmph 2 5 2 2 3" xfId="34823" xr:uid="{00000000-0005-0000-0000-00001B7D0000}"/>
    <cellStyle name="SAPBEXstdDataEmph 2 5 2 2 4" xfId="34824" xr:uid="{00000000-0005-0000-0000-00001C7D0000}"/>
    <cellStyle name="SAPBEXstdDataEmph 2 5 2 3" xfId="20651" xr:uid="{00000000-0005-0000-0000-00001D7D0000}"/>
    <cellStyle name="SAPBEXstdDataEmph 2 5 2 3 2" xfId="20652" xr:uid="{00000000-0005-0000-0000-00001E7D0000}"/>
    <cellStyle name="SAPBEXstdDataEmph 2 5 2 3 3" xfId="34825" xr:uid="{00000000-0005-0000-0000-00001F7D0000}"/>
    <cellStyle name="SAPBEXstdDataEmph 2 5 2 3 4" xfId="34826" xr:uid="{00000000-0005-0000-0000-0000207D0000}"/>
    <cellStyle name="SAPBEXstdDataEmph 2 5 2 4" xfId="20653" xr:uid="{00000000-0005-0000-0000-0000217D0000}"/>
    <cellStyle name="SAPBEXstdDataEmph 2 5 2 4 2" xfId="20654" xr:uid="{00000000-0005-0000-0000-0000227D0000}"/>
    <cellStyle name="SAPBEXstdDataEmph 2 5 2 4 3" xfId="34827" xr:uid="{00000000-0005-0000-0000-0000237D0000}"/>
    <cellStyle name="SAPBEXstdDataEmph 2 5 2 4 4" xfId="34828" xr:uid="{00000000-0005-0000-0000-0000247D0000}"/>
    <cellStyle name="SAPBEXstdDataEmph 2 5 2 5" xfId="20655" xr:uid="{00000000-0005-0000-0000-0000257D0000}"/>
    <cellStyle name="SAPBEXstdDataEmph 2 5 2 5 2" xfId="20656" xr:uid="{00000000-0005-0000-0000-0000267D0000}"/>
    <cellStyle name="SAPBEXstdDataEmph 2 5 2 5 3" xfId="34829" xr:uid="{00000000-0005-0000-0000-0000277D0000}"/>
    <cellStyle name="SAPBEXstdDataEmph 2 5 2 5 4" xfId="34830" xr:uid="{00000000-0005-0000-0000-0000287D0000}"/>
    <cellStyle name="SAPBEXstdDataEmph 2 5 2 6" xfId="20657" xr:uid="{00000000-0005-0000-0000-0000297D0000}"/>
    <cellStyle name="SAPBEXstdDataEmph 2 5 2 6 2" xfId="20658" xr:uid="{00000000-0005-0000-0000-00002A7D0000}"/>
    <cellStyle name="SAPBEXstdDataEmph 2 5 2 6 3" xfId="34831" xr:uid="{00000000-0005-0000-0000-00002B7D0000}"/>
    <cellStyle name="SAPBEXstdDataEmph 2 5 2 6 4" xfId="34832" xr:uid="{00000000-0005-0000-0000-00002C7D0000}"/>
    <cellStyle name="SAPBEXstdDataEmph 2 5 2 7" xfId="20659" xr:uid="{00000000-0005-0000-0000-00002D7D0000}"/>
    <cellStyle name="SAPBEXstdDataEmph 2 5 2 7 2" xfId="20660" xr:uid="{00000000-0005-0000-0000-00002E7D0000}"/>
    <cellStyle name="SAPBEXstdDataEmph 2 5 2 7 3" xfId="34833" xr:uid="{00000000-0005-0000-0000-00002F7D0000}"/>
    <cellStyle name="SAPBEXstdDataEmph 2 5 2 7 4" xfId="34834" xr:uid="{00000000-0005-0000-0000-0000307D0000}"/>
    <cellStyle name="SAPBEXstdDataEmph 2 5 2 8" xfId="20661" xr:uid="{00000000-0005-0000-0000-0000317D0000}"/>
    <cellStyle name="SAPBEXstdDataEmph 2 5 2 9" xfId="34835" xr:uid="{00000000-0005-0000-0000-0000327D0000}"/>
    <cellStyle name="SAPBEXstdDataEmph 2 5 3" xfId="20662" xr:uid="{00000000-0005-0000-0000-0000337D0000}"/>
    <cellStyle name="SAPBEXstdDataEmph 2 5 3 10" xfId="34836" xr:uid="{00000000-0005-0000-0000-0000347D0000}"/>
    <cellStyle name="SAPBEXstdDataEmph 2 5 3 2" xfId="20663" xr:uid="{00000000-0005-0000-0000-0000357D0000}"/>
    <cellStyle name="SAPBEXstdDataEmph 2 5 3 2 2" xfId="20664" xr:uid="{00000000-0005-0000-0000-0000367D0000}"/>
    <cellStyle name="SAPBEXstdDataEmph 2 5 3 2 3" xfId="34837" xr:uid="{00000000-0005-0000-0000-0000377D0000}"/>
    <cellStyle name="SAPBEXstdDataEmph 2 5 3 2 4" xfId="34838" xr:uid="{00000000-0005-0000-0000-0000387D0000}"/>
    <cellStyle name="SAPBEXstdDataEmph 2 5 3 3" xfId="20665" xr:uid="{00000000-0005-0000-0000-0000397D0000}"/>
    <cellStyle name="SAPBEXstdDataEmph 2 5 3 3 2" xfId="20666" xr:uid="{00000000-0005-0000-0000-00003A7D0000}"/>
    <cellStyle name="SAPBEXstdDataEmph 2 5 3 3 3" xfId="34839" xr:uid="{00000000-0005-0000-0000-00003B7D0000}"/>
    <cellStyle name="SAPBEXstdDataEmph 2 5 3 3 4" xfId="34840" xr:uid="{00000000-0005-0000-0000-00003C7D0000}"/>
    <cellStyle name="SAPBEXstdDataEmph 2 5 3 4" xfId="20667" xr:uid="{00000000-0005-0000-0000-00003D7D0000}"/>
    <cellStyle name="SAPBEXstdDataEmph 2 5 3 4 2" xfId="20668" xr:uid="{00000000-0005-0000-0000-00003E7D0000}"/>
    <cellStyle name="SAPBEXstdDataEmph 2 5 3 4 3" xfId="34841" xr:uid="{00000000-0005-0000-0000-00003F7D0000}"/>
    <cellStyle name="SAPBEXstdDataEmph 2 5 3 4 4" xfId="34842" xr:uid="{00000000-0005-0000-0000-0000407D0000}"/>
    <cellStyle name="SAPBEXstdDataEmph 2 5 3 5" xfId="20669" xr:uid="{00000000-0005-0000-0000-0000417D0000}"/>
    <cellStyle name="SAPBEXstdDataEmph 2 5 3 5 2" xfId="20670" xr:uid="{00000000-0005-0000-0000-0000427D0000}"/>
    <cellStyle name="SAPBEXstdDataEmph 2 5 3 5 3" xfId="34843" xr:uid="{00000000-0005-0000-0000-0000437D0000}"/>
    <cellStyle name="SAPBEXstdDataEmph 2 5 3 5 4" xfId="34844" xr:uid="{00000000-0005-0000-0000-0000447D0000}"/>
    <cellStyle name="SAPBEXstdDataEmph 2 5 3 6" xfId="20671" xr:uid="{00000000-0005-0000-0000-0000457D0000}"/>
    <cellStyle name="SAPBEXstdDataEmph 2 5 3 6 2" xfId="20672" xr:uid="{00000000-0005-0000-0000-0000467D0000}"/>
    <cellStyle name="SAPBEXstdDataEmph 2 5 3 6 3" xfId="34845" xr:uid="{00000000-0005-0000-0000-0000477D0000}"/>
    <cellStyle name="SAPBEXstdDataEmph 2 5 3 6 4" xfId="34846" xr:uid="{00000000-0005-0000-0000-0000487D0000}"/>
    <cellStyle name="SAPBEXstdDataEmph 2 5 3 7" xfId="20673" xr:uid="{00000000-0005-0000-0000-0000497D0000}"/>
    <cellStyle name="SAPBEXstdDataEmph 2 5 3 7 2" xfId="20674" xr:uid="{00000000-0005-0000-0000-00004A7D0000}"/>
    <cellStyle name="SAPBEXstdDataEmph 2 5 3 7 3" xfId="34847" xr:uid="{00000000-0005-0000-0000-00004B7D0000}"/>
    <cellStyle name="SAPBEXstdDataEmph 2 5 3 7 4" xfId="34848" xr:uid="{00000000-0005-0000-0000-00004C7D0000}"/>
    <cellStyle name="SAPBEXstdDataEmph 2 5 3 8" xfId="20675" xr:uid="{00000000-0005-0000-0000-00004D7D0000}"/>
    <cellStyle name="SAPBEXstdDataEmph 2 5 3 9" xfId="34849" xr:uid="{00000000-0005-0000-0000-00004E7D0000}"/>
    <cellStyle name="SAPBEXstdDataEmph 2 5 4" xfId="20676" xr:uid="{00000000-0005-0000-0000-00004F7D0000}"/>
    <cellStyle name="SAPBEXstdDataEmph 2 5 4 10" xfId="34850" xr:uid="{00000000-0005-0000-0000-0000507D0000}"/>
    <cellStyle name="SAPBEXstdDataEmph 2 5 4 2" xfId="20677" xr:uid="{00000000-0005-0000-0000-0000517D0000}"/>
    <cellStyle name="SAPBEXstdDataEmph 2 5 4 2 2" xfId="20678" xr:uid="{00000000-0005-0000-0000-0000527D0000}"/>
    <cellStyle name="SAPBEXstdDataEmph 2 5 4 2 3" xfId="34851" xr:uid="{00000000-0005-0000-0000-0000537D0000}"/>
    <cellStyle name="SAPBEXstdDataEmph 2 5 4 2 4" xfId="34852" xr:uid="{00000000-0005-0000-0000-0000547D0000}"/>
    <cellStyle name="SAPBEXstdDataEmph 2 5 4 3" xfId="20679" xr:uid="{00000000-0005-0000-0000-0000557D0000}"/>
    <cellStyle name="SAPBEXstdDataEmph 2 5 4 3 2" xfId="20680" xr:uid="{00000000-0005-0000-0000-0000567D0000}"/>
    <cellStyle name="SAPBEXstdDataEmph 2 5 4 3 3" xfId="34853" xr:uid="{00000000-0005-0000-0000-0000577D0000}"/>
    <cellStyle name="SAPBEXstdDataEmph 2 5 4 3 4" xfId="34854" xr:uid="{00000000-0005-0000-0000-0000587D0000}"/>
    <cellStyle name="SAPBEXstdDataEmph 2 5 4 4" xfId="20681" xr:uid="{00000000-0005-0000-0000-0000597D0000}"/>
    <cellStyle name="SAPBEXstdDataEmph 2 5 4 4 2" xfId="20682" xr:uid="{00000000-0005-0000-0000-00005A7D0000}"/>
    <cellStyle name="SAPBEXstdDataEmph 2 5 4 4 3" xfId="34855" xr:uid="{00000000-0005-0000-0000-00005B7D0000}"/>
    <cellStyle name="SAPBEXstdDataEmph 2 5 4 4 4" xfId="34856" xr:uid="{00000000-0005-0000-0000-00005C7D0000}"/>
    <cellStyle name="SAPBEXstdDataEmph 2 5 4 5" xfId="20683" xr:uid="{00000000-0005-0000-0000-00005D7D0000}"/>
    <cellStyle name="SAPBEXstdDataEmph 2 5 4 5 2" xfId="20684" xr:uid="{00000000-0005-0000-0000-00005E7D0000}"/>
    <cellStyle name="SAPBEXstdDataEmph 2 5 4 5 3" xfId="34857" xr:uid="{00000000-0005-0000-0000-00005F7D0000}"/>
    <cellStyle name="SAPBEXstdDataEmph 2 5 4 5 4" xfId="34858" xr:uid="{00000000-0005-0000-0000-0000607D0000}"/>
    <cellStyle name="SAPBEXstdDataEmph 2 5 4 6" xfId="20685" xr:uid="{00000000-0005-0000-0000-0000617D0000}"/>
    <cellStyle name="SAPBEXstdDataEmph 2 5 4 6 2" xfId="20686" xr:uid="{00000000-0005-0000-0000-0000627D0000}"/>
    <cellStyle name="SAPBEXstdDataEmph 2 5 4 6 3" xfId="34859" xr:uid="{00000000-0005-0000-0000-0000637D0000}"/>
    <cellStyle name="SAPBEXstdDataEmph 2 5 4 6 4" xfId="34860" xr:uid="{00000000-0005-0000-0000-0000647D0000}"/>
    <cellStyle name="SAPBEXstdDataEmph 2 5 4 7" xfId="20687" xr:uid="{00000000-0005-0000-0000-0000657D0000}"/>
    <cellStyle name="SAPBEXstdDataEmph 2 5 4 7 2" xfId="20688" xr:uid="{00000000-0005-0000-0000-0000667D0000}"/>
    <cellStyle name="SAPBEXstdDataEmph 2 5 4 7 3" xfId="34861" xr:uid="{00000000-0005-0000-0000-0000677D0000}"/>
    <cellStyle name="SAPBEXstdDataEmph 2 5 4 7 4" xfId="34862" xr:uid="{00000000-0005-0000-0000-0000687D0000}"/>
    <cellStyle name="SAPBEXstdDataEmph 2 5 4 8" xfId="20689" xr:uid="{00000000-0005-0000-0000-0000697D0000}"/>
    <cellStyle name="SAPBEXstdDataEmph 2 5 4 9" xfId="34863" xr:uid="{00000000-0005-0000-0000-00006A7D0000}"/>
    <cellStyle name="SAPBEXstdDataEmph 2 5 5" xfId="20690" xr:uid="{00000000-0005-0000-0000-00006B7D0000}"/>
    <cellStyle name="SAPBEXstdDataEmph 2 5 5 10" xfId="34864" xr:uid="{00000000-0005-0000-0000-00006C7D0000}"/>
    <cellStyle name="SAPBEXstdDataEmph 2 5 5 2" xfId="20691" xr:uid="{00000000-0005-0000-0000-00006D7D0000}"/>
    <cellStyle name="SAPBEXstdDataEmph 2 5 5 2 2" xfId="20692" xr:uid="{00000000-0005-0000-0000-00006E7D0000}"/>
    <cellStyle name="SAPBEXstdDataEmph 2 5 5 2 3" xfId="34865" xr:uid="{00000000-0005-0000-0000-00006F7D0000}"/>
    <cellStyle name="SAPBEXstdDataEmph 2 5 5 2 4" xfId="34866" xr:uid="{00000000-0005-0000-0000-0000707D0000}"/>
    <cellStyle name="SAPBEXstdDataEmph 2 5 5 3" xfId="20693" xr:uid="{00000000-0005-0000-0000-0000717D0000}"/>
    <cellStyle name="SAPBEXstdDataEmph 2 5 5 3 2" xfId="20694" xr:uid="{00000000-0005-0000-0000-0000727D0000}"/>
    <cellStyle name="SAPBEXstdDataEmph 2 5 5 3 3" xfId="34867" xr:uid="{00000000-0005-0000-0000-0000737D0000}"/>
    <cellStyle name="SAPBEXstdDataEmph 2 5 5 3 4" xfId="34868" xr:uid="{00000000-0005-0000-0000-0000747D0000}"/>
    <cellStyle name="SAPBEXstdDataEmph 2 5 5 4" xfId="20695" xr:uid="{00000000-0005-0000-0000-0000757D0000}"/>
    <cellStyle name="SAPBEXstdDataEmph 2 5 5 4 2" xfId="20696" xr:uid="{00000000-0005-0000-0000-0000767D0000}"/>
    <cellStyle name="SAPBEXstdDataEmph 2 5 5 4 3" xfId="34869" xr:uid="{00000000-0005-0000-0000-0000777D0000}"/>
    <cellStyle name="SAPBEXstdDataEmph 2 5 5 4 4" xfId="34870" xr:uid="{00000000-0005-0000-0000-0000787D0000}"/>
    <cellStyle name="SAPBEXstdDataEmph 2 5 5 5" xfId="20697" xr:uid="{00000000-0005-0000-0000-0000797D0000}"/>
    <cellStyle name="SAPBEXstdDataEmph 2 5 5 5 2" xfId="20698" xr:uid="{00000000-0005-0000-0000-00007A7D0000}"/>
    <cellStyle name="SAPBEXstdDataEmph 2 5 5 5 3" xfId="34871" xr:uid="{00000000-0005-0000-0000-00007B7D0000}"/>
    <cellStyle name="SAPBEXstdDataEmph 2 5 5 5 4" xfId="34872" xr:uid="{00000000-0005-0000-0000-00007C7D0000}"/>
    <cellStyle name="SAPBEXstdDataEmph 2 5 5 6" xfId="20699" xr:uid="{00000000-0005-0000-0000-00007D7D0000}"/>
    <cellStyle name="SAPBEXstdDataEmph 2 5 5 6 2" xfId="20700" xr:uid="{00000000-0005-0000-0000-00007E7D0000}"/>
    <cellStyle name="SAPBEXstdDataEmph 2 5 5 6 3" xfId="34873" xr:uid="{00000000-0005-0000-0000-00007F7D0000}"/>
    <cellStyle name="SAPBEXstdDataEmph 2 5 5 6 4" xfId="34874" xr:uid="{00000000-0005-0000-0000-0000807D0000}"/>
    <cellStyle name="SAPBEXstdDataEmph 2 5 5 7" xfId="20701" xr:uid="{00000000-0005-0000-0000-0000817D0000}"/>
    <cellStyle name="SAPBEXstdDataEmph 2 5 5 7 2" xfId="20702" xr:uid="{00000000-0005-0000-0000-0000827D0000}"/>
    <cellStyle name="SAPBEXstdDataEmph 2 5 5 7 3" xfId="34875" xr:uid="{00000000-0005-0000-0000-0000837D0000}"/>
    <cellStyle name="SAPBEXstdDataEmph 2 5 5 7 4" xfId="34876" xr:uid="{00000000-0005-0000-0000-0000847D0000}"/>
    <cellStyle name="SAPBEXstdDataEmph 2 5 5 8" xfId="20703" xr:uid="{00000000-0005-0000-0000-0000857D0000}"/>
    <cellStyle name="SAPBEXstdDataEmph 2 5 5 9" xfId="34877" xr:uid="{00000000-0005-0000-0000-0000867D0000}"/>
    <cellStyle name="SAPBEXstdDataEmph 2 5 6" xfId="20704" xr:uid="{00000000-0005-0000-0000-0000877D0000}"/>
    <cellStyle name="SAPBEXstdDataEmph 2 5 6 2" xfId="20705" xr:uid="{00000000-0005-0000-0000-0000887D0000}"/>
    <cellStyle name="SAPBEXstdDataEmph 2 5 6 3" xfId="34878" xr:uid="{00000000-0005-0000-0000-0000897D0000}"/>
    <cellStyle name="SAPBEXstdDataEmph 2 5 6 4" xfId="34879" xr:uid="{00000000-0005-0000-0000-00008A7D0000}"/>
    <cellStyle name="SAPBEXstdDataEmph 2 5 7" xfId="20706" xr:uid="{00000000-0005-0000-0000-00008B7D0000}"/>
    <cellStyle name="SAPBEXstdDataEmph 2 5 7 2" xfId="20707" xr:uid="{00000000-0005-0000-0000-00008C7D0000}"/>
    <cellStyle name="SAPBEXstdDataEmph 2 5 7 3" xfId="34880" xr:uid="{00000000-0005-0000-0000-00008D7D0000}"/>
    <cellStyle name="SAPBEXstdDataEmph 2 5 7 4" xfId="34881" xr:uid="{00000000-0005-0000-0000-00008E7D0000}"/>
    <cellStyle name="SAPBEXstdDataEmph 2 5 8" xfId="20708" xr:uid="{00000000-0005-0000-0000-00008F7D0000}"/>
    <cellStyle name="SAPBEXstdDataEmph 2 5 8 2" xfId="20709" xr:uid="{00000000-0005-0000-0000-0000907D0000}"/>
    <cellStyle name="SAPBEXstdDataEmph 2 5 8 3" xfId="34882" xr:uid="{00000000-0005-0000-0000-0000917D0000}"/>
    <cellStyle name="SAPBEXstdDataEmph 2 5 8 4" xfId="34883" xr:uid="{00000000-0005-0000-0000-0000927D0000}"/>
    <cellStyle name="SAPBEXstdDataEmph 2 5 9" xfId="20710" xr:uid="{00000000-0005-0000-0000-0000937D0000}"/>
    <cellStyle name="SAPBEXstdDataEmph 2 5 9 2" xfId="20711" xr:uid="{00000000-0005-0000-0000-0000947D0000}"/>
    <cellStyle name="SAPBEXstdDataEmph 2 5 9 3" xfId="34884" xr:uid="{00000000-0005-0000-0000-0000957D0000}"/>
    <cellStyle name="SAPBEXstdDataEmph 2 5 9 4" xfId="34885" xr:uid="{00000000-0005-0000-0000-0000967D0000}"/>
    <cellStyle name="SAPBEXstdDataEmph 2 6" xfId="20712" xr:uid="{00000000-0005-0000-0000-0000977D0000}"/>
    <cellStyle name="SAPBEXstdDataEmph 2 6 10" xfId="20713" xr:uid="{00000000-0005-0000-0000-0000987D0000}"/>
    <cellStyle name="SAPBEXstdDataEmph 2 6 10 2" xfId="20714" xr:uid="{00000000-0005-0000-0000-0000997D0000}"/>
    <cellStyle name="SAPBEXstdDataEmph 2 6 10 3" xfId="34886" xr:uid="{00000000-0005-0000-0000-00009A7D0000}"/>
    <cellStyle name="SAPBEXstdDataEmph 2 6 10 4" xfId="34887" xr:uid="{00000000-0005-0000-0000-00009B7D0000}"/>
    <cellStyle name="SAPBEXstdDataEmph 2 6 11" xfId="20715" xr:uid="{00000000-0005-0000-0000-00009C7D0000}"/>
    <cellStyle name="SAPBEXstdDataEmph 2 6 11 2" xfId="20716" xr:uid="{00000000-0005-0000-0000-00009D7D0000}"/>
    <cellStyle name="SAPBEXstdDataEmph 2 6 11 3" xfId="34888" xr:uid="{00000000-0005-0000-0000-00009E7D0000}"/>
    <cellStyle name="SAPBEXstdDataEmph 2 6 11 4" xfId="34889" xr:uid="{00000000-0005-0000-0000-00009F7D0000}"/>
    <cellStyle name="SAPBEXstdDataEmph 2 6 12" xfId="20717" xr:uid="{00000000-0005-0000-0000-0000A07D0000}"/>
    <cellStyle name="SAPBEXstdDataEmph 2 6 13" xfId="34890" xr:uid="{00000000-0005-0000-0000-0000A17D0000}"/>
    <cellStyle name="SAPBEXstdDataEmph 2 6 14" xfId="34891" xr:uid="{00000000-0005-0000-0000-0000A27D0000}"/>
    <cellStyle name="SAPBEXstdDataEmph 2 6 2" xfId="20718" xr:uid="{00000000-0005-0000-0000-0000A37D0000}"/>
    <cellStyle name="SAPBEXstdDataEmph 2 6 2 10" xfId="34892" xr:uid="{00000000-0005-0000-0000-0000A47D0000}"/>
    <cellStyle name="SAPBEXstdDataEmph 2 6 2 2" xfId="20719" xr:uid="{00000000-0005-0000-0000-0000A57D0000}"/>
    <cellStyle name="SAPBEXstdDataEmph 2 6 2 2 2" xfId="20720" xr:uid="{00000000-0005-0000-0000-0000A67D0000}"/>
    <cellStyle name="SAPBEXstdDataEmph 2 6 2 2 3" xfId="34893" xr:uid="{00000000-0005-0000-0000-0000A77D0000}"/>
    <cellStyle name="SAPBEXstdDataEmph 2 6 2 2 4" xfId="34894" xr:uid="{00000000-0005-0000-0000-0000A87D0000}"/>
    <cellStyle name="SAPBEXstdDataEmph 2 6 2 3" xfId="20721" xr:uid="{00000000-0005-0000-0000-0000A97D0000}"/>
    <cellStyle name="SAPBEXstdDataEmph 2 6 2 3 2" xfId="20722" xr:uid="{00000000-0005-0000-0000-0000AA7D0000}"/>
    <cellStyle name="SAPBEXstdDataEmph 2 6 2 3 3" xfId="34895" xr:uid="{00000000-0005-0000-0000-0000AB7D0000}"/>
    <cellStyle name="SAPBEXstdDataEmph 2 6 2 3 4" xfId="34896" xr:uid="{00000000-0005-0000-0000-0000AC7D0000}"/>
    <cellStyle name="SAPBEXstdDataEmph 2 6 2 4" xfId="20723" xr:uid="{00000000-0005-0000-0000-0000AD7D0000}"/>
    <cellStyle name="SAPBEXstdDataEmph 2 6 2 4 2" xfId="20724" xr:uid="{00000000-0005-0000-0000-0000AE7D0000}"/>
    <cellStyle name="SAPBEXstdDataEmph 2 6 2 4 3" xfId="34897" xr:uid="{00000000-0005-0000-0000-0000AF7D0000}"/>
    <cellStyle name="SAPBEXstdDataEmph 2 6 2 4 4" xfId="34898" xr:uid="{00000000-0005-0000-0000-0000B07D0000}"/>
    <cellStyle name="SAPBEXstdDataEmph 2 6 2 5" xfId="20725" xr:uid="{00000000-0005-0000-0000-0000B17D0000}"/>
    <cellStyle name="SAPBEXstdDataEmph 2 6 2 5 2" xfId="20726" xr:uid="{00000000-0005-0000-0000-0000B27D0000}"/>
    <cellStyle name="SAPBEXstdDataEmph 2 6 2 5 3" xfId="34899" xr:uid="{00000000-0005-0000-0000-0000B37D0000}"/>
    <cellStyle name="SAPBEXstdDataEmph 2 6 2 5 4" xfId="34900" xr:uid="{00000000-0005-0000-0000-0000B47D0000}"/>
    <cellStyle name="SAPBEXstdDataEmph 2 6 2 6" xfId="20727" xr:uid="{00000000-0005-0000-0000-0000B57D0000}"/>
    <cellStyle name="SAPBEXstdDataEmph 2 6 2 6 2" xfId="20728" xr:uid="{00000000-0005-0000-0000-0000B67D0000}"/>
    <cellStyle name="SAPBEXstdDataEmph 2 6 2 6 3" xfId="34901" xr:uid="{00000000-0005-0000-0000-0000B77D0000}"/>
    <cellStyle name="SAPBEXstdDataEmph 2 6 2 6 4" xfId="34902" xr:uid="{00000000-0005-0000-0000-0000B87D0000}"/>
    <cellStyle name="SAPBEXstdDataEmph 2 6 2 7" xfId="20729" xr:uid="{00000000-0005-0000-0000-0000B97D0000}"/>
    <cellStyle name="SAPBEXstdDataEmph 2 6 2 7 2" xfId="20730" xr:uid="{00000000-0005-0000-0000-0000BA7D0000}"/>
    <cellStyle name="SAPBEXstdDataEmph 2 6 2 7 3" xfId="34903" xr:uid="{00000000-0005-0000-0000-0000BB7D0000}"/>
    <cellStyle name="SAPBEXstdDataEmph 2 6 2 7 4" xfId="34904" xr:uid="{00000000-0005-0000-0000-0000BC7D0000}"/>
    <cellStyle name="SAPBEXstdDataEmph 2 6 2 8" xfId="20731" xr:uid="{00000000-0005-0000-0000-0000BD7D0000}"/>
    <cellStyle name="SAPBEXstdDataEmph 2 6 2 9" xfId="34905" xr:uid="{00000000-0005-0000-0000-0000BE7D0000}"/>
    <cellStyle name="SAPBEXstdDataEmph 2 6 3" xfId="20732" xr:uid="{00000000-0005-0000-0000-0000BF7D0000}"/>
    <cellStyle name="SAPBEXstdDataEmph 2 6 3 10" xfId="34906" xr:uid="{00000000-0005-0000-0000-0000C07D0000}"/>
    <cellStyle name="SAPBEXstdDataEmph 2 6 3 2" xfId="20733" xr:uid="{00000000-0005-0000-0000-0000C17D0000}"/>
    <cellStyle name="SAPBEXstdDataEmph 2 6 3 2 2" xfId="20734" xr:uid="{00000000-0005-0000-0000-0000C27D0000}"/>
    <cellStyle name="SAPBEXstdDataEmph 2 6 3 2 3" xfId="34907" xr:uid="{00000000-0005-0000-0000-0000C37D0000}"/>
    <cellStyle name="SAPBEXstdDataEmph 2 6 3 2 4" xfId="34908" xr:uid="{00000000-0005-0000-0000-0000C47D0000}"/>
    <cellStyle name="SAPBEXstdDataEmph 2 6 3 3" xfId="20735" xr:uid="{00000000-0005-0000-0000-0000C57D0000}"/>
    <cellStyle name="SAPBEXstdDataEmph 2 6 3 3 2" xfId="20736" xr:uid="{00000000-0005-0000-0000-0000C67D0000}"/>
    <cellStyle name="SAPBEXstdDataEmph 2 6 3 3 3" xfId="34909" xr:uid="{00000000-0005-0000-0000-0000C77D0000}"/>
    <cellStyle name="SAPBEXstdDataEmph 2 6 3 3 4" xfId="34910" xr:uid="{00000000-0005-0000-0000-0000C87D0000}"/>
    <cellStyle name="SAPBEXstdDataEmph 2 6 3 4" xfId="20737" xr:uid="{00000000-0005-0000-0000-0000C97D0000}"/>
    <cellStyle name="SAPBEXstdDataEmph 2 6 3 4 2" xfId="20738" xr:uid="{00000000-0005-0000-0000-0000CA7D0000}"/>
    <cellStyle name="SAPBEXstdDataEmph 2 6 3 4 3" xfId="34911" xr:uid="{00000000-0005-0000-0000-0000CB7D0000}"/>
    <cellStyle name="SAPBEXstdDataEmph 2 6 3 4 4" xfId="34912" xr:uid="{00000000-0005-0000-0000-0000CC7D0000}"/>
    <cellStyle name="SAPBEXstdDataEmph 2 6 3 5" xfId="20739" xr:uid="{00000000-0005-0000-0000-0000CD7D0000}"/>
    <cellStyle name="SAPBEXstdDataEmph 2 6 3 5 2" xfId="20740" xr:uid="{00000000-0005-0000-0000-0000CE7D0000}"/>
    <cellStyle name="SAPBEXstdDataEmph 2 6 3 5 3" xfId="34913" xr:uid="{00000000-0005-0000-0000-0000CF7D0000}"/>
    <cellStyle name="SAPBEXstdDataEmph 2 6 3 5 4" xfId="34914" xr:uid="{00000000-0005-0000-0000-0000D07D0000}"/>
    <cellStyle name="SAPBEXstdDataEmph 2 6 3 6" xfId="20741" xr:uid="{00000000-0005-0000-0000-0000D17D0000}"/>
    <cellStyle name="SAPBEXstdDataEmph 2 6 3 6 2" xfId="20742" xr:uid="{00000000-0005-0000-0000-0000D27D0000}"/>
    <cellStyle name="SAPBEXstdDataEmph 2 6 3 6 3" xfId="34915" xr:uid="{00000000-0005-0000-0000-0000D37D0000}"/>
    <cellStyle name="SAPBEXstdDataEmph 2 6 3 6 4" xfId="34916" xr:uid="{00000000-0005-0000-0000-0000D47D0000}"/>
    <cellStyle name="SAPBEXstdDataEmph 2 6 3 7" xfId="20743" xr:uid="{00000000-0005-0000-0000-0000D57D0000}"/>
    <cellStyle name="SAPBEXstdDataEmph 2 6 3 7 2" xfId="20744" xr:uid="{00000000-0005-0000-0000-0000D67D0000}"/>
    <cellStyle name="SAPBEXstdDataEmph 2 6 3 7 3" xfId="34917" xr:uid="{00000000-0005-0000-0000-0000D77D0000}"/>
    <cellStyle name="SAPBEXstdDataEmph 2 6 3 7 4" xfId="34918" xr:uid="{00000000-0005-0000-0000-0000D87D0000}"/>
    <cellStyle name="SAPBEXstdDataEmph 2 6 3 8" xfId="20745" xr:uid="{00000000-0005-0000-0000-0000D97D0000}"/>
    <cellStyle name="SAPBEXstdDataEmph 2 6 3 9" xfId="34919" xr:uid="{00000000-0005-0000-0000-0000DA7D0000}"/>
    <cellStyle name="SAPBEXstdDataEmph 2 6 4" xfId="20746" xr:uid="{00000000-0005-0000-0000-0000DB7D0000}"/>
    <cellStyle name="SAPBEXstdDataEmph 2 6 4 10" xfId="34920" xr:uid="{00000000-0005-0000-0000-0000DC7D0000}"/>
    <cellStyle name="SAPBEXstdDataEmph 2 6 4 2" xfId="20747" xr:uid="{00000000-0005-0000-0000-0000DD7D0000}"/>
    <cellStyle name="SAPBEXstdDataEmph 2 6 4 2 2" xfId="20748" xr:uid="{00000000-0005-0000-0000-0000DE7D0000}"/>
    <cellStyle name="SAPBEXstdDataEmph 2 6 4 2 3" xfId="34921" xr:uid="{00000000-0005-0000-0000-0000DF7D0000}"/>
    <cellStyle name="SAPBEXstdDataEmph 2 6 4 2 4" xfId="34922" xr:uid="{00000000-0005-0000-0000-0000E07D0000}"/>
    <cellStyle name="SAPBEXstdDataEmph 2 6 4 3" xfId="20749" xr:uid="{00000000-0005-0000-0000-0000E17D0000}"/>
    <cellStyle name="SAPBEXstdDataEmph 2 6 4 3 2" xfId="20750" xr:uid="{00000000-0005-0000-0000-0000E27D0000}"/>
    <cellStyle name="SAPBEXstdDataEmph 2 6 4 3 3" xfId="34923" xr:uid="{00000000-0005-0000-0000-0000E37D0000}"/>
    <cellStyle name="SAPBEXstdDataEmph 2 6 4 3 4" xfId="34924" xr:uid="{00000000-0005-0000-0000-0000E47D0000}"/>
    <cellStyle name="SAPBEXstdDataEmph 2 6 4 4" xfId="20751" xr:uid="{00000000-0005-0000-0000-0000E57D0000}"/>
    <cellStyle name="SAPBEXstdDataEmph 2 6 4 4 2" xfId="20752" xr:uid="{00000000-0005-0000-0000-0000E67D0000}"/>
    <cellStyle name="SAPBEXstdDataEmph 2 6 4 4 3" xfId="34925" xr:uid="{00000000-0005-0000-0000-0000E77D0000}"/>
    <cellStyle name="SAPBEXstdDataEmph 2 6 4 4 4" xfId="34926" xr:uid="{00000000-0005-0000-0000-0000E87D0000}"/>
    <cellStyle name="SAPBEXstdDataEmph 2 6 4 5" xfId="20753" xr:uid="{00000000-0005-0000-0000-0000E97D0000}"/>
    <cellStyle name="SAPBEXstdDataEmph 2 6 4 5 2" xfId="20754" xr:uid="{00000000-0005-0000-0000-0000EA7D0000}"/>
    <cellStyle name="SAPBEXstdDataEmph 2 6 4 5 3" xfId="34927" xr:uid="{00000000-0005-0000-0000-0000EB7D0000}"/>
    <cellStyle name="SAPBEXstdDataEmph 2 6 4 5 4" xfId="34928" xr:uid="{00000000-0005-0000-0000-0000EC7D0000}"/>
    <cellStyle name="SAPBEXstdDataEmph 2 6 4 6" xfId="20755" xr:uid="{00000000-0005-0000-0000-0000ED7D0000}"/>
    <cellStyle name="SAPBEXstdDataEmph 2 6 4 6 2" xfId="20756" xr:uid="{00000000-0005-0000-0000-0000EE7D0000}"/>
    <cellStyle name="SAPBEXstdDataEmph 2 6 4 6 3" xfId="34929" xr:uid="{00000000-0005-0000-0000-0000EF7D0000}"/>
    <cellStyle name="SAPBEXstdDataEmph 2 6 4 6 4" xfId="34930" xr:uid="{00000000-0005-0000-0000-0000F07D0000}"/>
    <cellStyle name="SAPBEXstdDataEmph 2 6 4 7" xfId="20757" xr:uid="{00000000-0005-0000-0000-0000F17D0000}"/>
    <cellStyle name="SAPBEXstdDataEmph 2 6 4 7 2" xfId="20758" xr:uid="{00000000-0005-0000-0000-0000F27D0000}"/>
    <cellStyle name="SAPBEXstdDataEmph 2 6 4 7 3" xfId="34931" xr:uid="{00000000-0005-0000-0000-0000F37D0000}"/>
    <cellStyle name="SAPBEXstdDataEmph 2 6 4 7 4" xfId="34932" xr:uid="{00000000-0005-0000-0000-0000F47D0000}"/>
    <cellStyle name="SAPBEXstdDataEmph 2 6 4 8" xfId="20759" xr:uid="{00000000-0005-0000-0000-0000F57D0000}"/>
    <cellStyle name="SAPBEXstdDataEmph 2 6 4 9" xfId="34933" xr:uid="{00000000-0005-0000-0000-0000F67D0000}"/>
    <cellStyle name="SAPBEXstdDataEmph 2 6 5" xfId="20760" xr:uid="{00000000-0005-0000-0000-0000F77D0000}"/>
    <cellStyle name="SAPBEXstdDataEmph 2 6 5 10" xfId="34934" xr:uid="{00000000-0005-0000-0000-0000F87D0000}"/>
    <cellStyle name="SAPBEXstdDataEmph 2 6 5 2" xfId="20761" xr:uid="{00000000-0005-0000-0000-0000F97D0000}"/>
    <cellStyle name="SAPBEXstdDataEmph 2 6 5 2 2" xfId="20762" xr:uid="{00000000-0005-0000-0000-0000FA7D0000}"/>
    <cellStyle name="SAPBEXstdDataEmph 2 6 5 2 3" xfId="34935" xr:uid="{00000000-0005-0000-0000-0000FB7D0000}"/>
    <cellStyle name="SAPBEXstdDataEmph 2 6 5 2 4" xfId="34936" xr:uid="{00000000-0005-0000-0000-0000FC7D0000}"/>
    <cellStyle name="SAPBEXstdDataEmph 2 6 5 3" xfId="20763" xr:uid="{00000000-0005-0000-0000-0000FD7D0000}"/>
    <cellStyle name="SAPBEXstdDataEmph 2 6 5 3 2" xfId="20764" xr:uid="{00000000-0005-0000-0000-0000FE7D0000}"/>
    <cellStyle name="SAPBEXstdDataEmph 2 6 5 3 3" xfId="34937" xr:uid="{00000000-0005-0000-0000-0000FF7D0000}"/>
    <cellStyle name="SAPBEXstdDataEmph 2 6 5 3 4" xfId="34938" xr:uid="{00000000-0005-0000-0000-0000007E0000}"/>
    <cellStyle name="SAPBEXstdDataEmph 2 6 5 4" xfId="20765" xr:uid="{00000000-0005-0000-0000-0000017E0000}"/>
    <cellStyle name="SAPBEXstdDataEmph 2 6 5 4 2" xfId="20766" xr:uid="{00000000-0005-0000-0000-0000027E0000}"/>
    <cellStyle name="SAPBEXstdDataEmph 2 6 5 4 3" xfId="34939" xr:uid="{00000000-0005-0000-0000-0000037E0000}"/>
    <cellStyle name="SAPBEXstdDataEmph 2 6 5 4 4" xfId="34940" xr:uid="{00000000-0005-0000-0000-0000047E0000}"/>
    <cellStyle name="SAPBEXstdDataEmph 2 6 5 5" xfId="20767" xr:uid="{00000000-0005-0000-0000-0000057E0000}"/>
    <cellStyle name="SAPBEXstdDataEmph 2 6 5 5 2" xfId="20768" xr:uid="{00000000-0005-0000-0000-0000067E0000}"/>
    <cellStyle name="SAPBEXstdDataEmph 2 6 5 5 3" xfId="34941" xr:uid="{00000000-0005-0000-0000-0000077E0000}"/>
    <cellStyle name="SAPBEXstdDataEmph 2 6 5 5 4" xfId="34942" xr:uid="{00000000-0005-0000-0000-0000087E0000}"/>
    <cellStyle name="SAPBEXstdDataEmph 2 6 5 6" xfId="20769" xr:uid="{00000000-0005-0000-0000-0000097E0000}"/>
    <cellStyle name="SAPBEXstdDataEmph 2 6 5 6 2" xfId="20770" xr:uid="{00000000-0005-0000-0000-00000A7E0000}"/>
    <cellStyle name="SAPBEXstdDataEmph 2 6 5 6 3" xfId="34943" xr:uid="{00000000-0005-0000-0000-00000B7E0000}"/>
    <cellStyle name="SAPBEXstdDataEmph 2 6 5 6 4" xfId="34944" xr:uid="{00000000-0005-0000-0000-00000C7E0000}"/>
    <cellStyle name="SAPBEXstdDataEmph 2 6 5 7" xfId="20771" xr:uid="{00000000-0005-0000-0000-00000D7E0000}"/>
    <cellStyle name="SAPBEXstdDataEmph 2 6 5 7 2" xfId="20772" xr:uid="{00000000-0005-0000-0000-00000E7E0000}"/>
    <cellStyle name="SAPBEXstdDataEmph 2 6 5 7 3" xfId="34945" xr:uid="{00000000-0005-0000-0000-00000F7E0000}"/>
    <cellStyle name="SAPBEXstdDataEmph 2 6 5 7 4" xfId="34946" xr:uid="{00000000-0005-0000-0000-0000107E0000}"/>
    <cellStyle name="SAPBEXstdDataEmph 2 6 5 8" xfId="20773" xr:uid="{00000000-0005-0000-0000-0000117E0000}"/>
    <cellStyle name="SAPBEXstdDataEmph 2 6 5 9" xfId="34947" xr:uid="{00000000-0005-0000-0000-0000127E0000}"/>
    <cellStyle name="SAPBEXstdDataEmph 2 6 6" xfId="20774" xr:uid="{00000000-0005-0000-0000-0000137E0000}"/>
    <cellStyle name="SAPBEXstdDataEmph 2 6 6 2" xfId="20775" xr:uid="{00000000-0005-0000-0000-0000147E0000}"/>
    <cellStyle name="SAPBEXstdDataEmph 2 6 6 3" xfId="34948" xr:uid="{00000000-0005-0000-0000-0000157E0000}"/>
    <cellStyle name="SAPBEXstdDataEmph 2 6 6 4" xfId="34949" xr:uid="{00000000-0005-0000-0000-0000167E0000}"/>
    <cellStyle name="SAPBEXstdDataEmph 2 6 7" xfId="20776" xr:uid="{00000000-0005-0000-0000-0000177E0000}"/>
    <cellStyle name="SAPBEXstdDataEmph 2 6 7 2" xfId="20777" xr:uid="{00000000-0005-0000-0000-0000187E0000}"/>
    <cellStyle name="SAPBEXstdDataEmph 2 6 7 3" xfId="34950" xr:uid="{00000000-0005-0000-0000-0000197E0000}"/>
    <cellStyle name="SAPBEXstdDataEmph 2 6 7 4" xfId="34951" xr:uid="{00000000-0005-0000-0000-00001A7E0000}"/>
    <cellStyle name="SAPBEXstdDataEmph 2 6 8" xfId="20778" xr:uid="{00000000-0005-0000-0000-00001B7E0000}"/>
    <cellStyle name="SAPBEXstdDataEmph 2 6 8 2" xfId="20779" xr:uid="{00000000-0005-0000-0000-00001C7E0000}"/>
    <cellStyle name="SAPBEXstdDataEmph 2 6 8 3" xfId="34952" xr:uid="{00000000-0005-0000-0000-00001D7E0000}"/>
    <cellStyle name="SAPBEXstdDataEmph 2 6 8 4" xfId="34953" xr:uid="{00000000-0005-0000-0000-00001E7E0000}"/>
    <cellStyle name="SAPBEXstdDataEmph 2 6 9" xfId="20780" xr:uid="{00000000-0005-0000-0000-00001F7E0000}"/>
    <cellStyle name="SAPBEXstdDataEmph 2 6 9 2" xfId="20781" xr:uid="{00000000-0005-0000-0000-0000207E0000}"/>
    <cellStyle name="SAPBEXstdDataEmph 2 6 9 3" xfId="34954" xr:uid="{00000000-0005-0000-0000-0000217E0000}"/>
    <cellStyle name="SAPBEXstdDataEmph 2 6 9 4" xfId="34955" xr:uid="{00000000-0005-0000-0000-0000227E0000}"/>
    <cellStyle name="SAPBEXstdDataEmph 2 7" xfId="20782" xr:uid="{00000000-0005-0000-0000-0000237E0000}"/>
    <cellStyle name="SAPBEXstdDataEmph 2 7 10" xfId="20783" xr:uid="{00000000-0005-0000-0000-0000247E0000}"/>
    <cellStyle name="SAPBEXstdDataEmph 2 7 10 2" xfId="20784" xr:uid="{00000000-0005-0000-0000-0000257E0000}"/>
    <cellStyle name="SAPBEXstdDataEmph 2 7 10 3" xfId="34956" xr:uid="{00000000-0005-0000-0000-0000267E0000}"/>
    <cellStyle name="SAPBEXstdDataEmph 2 7 10 4" xfId="34957" xr:uid="{00000000-0005-0000-0000-0000277E0000}"/>
    <cellStyle name="SAPBEXstdDataEmph 2 7 11" xfId="20785" xr:uid="{00000000-0005-0000-0000-0000287E0000}"/>
    <cellStyle name="SAPBEXstdDataEmph 2 7 11 2" xfId="20786" xr:uid="{00000000-0005-0000-0000-0000297E0000}"/>
    <cellStyle name="SAPBEXstdDataEmph 2 7 11 3" xfId="34958" xr:uid="{00000000-0005-0000-0000-00002A7E0000}"/>
    <cellStyle name="SAPBEXstdDataEmph 2 7 11 4" xfId="34959" xr:uid="{00000000-0005-0000-0000-00002B7E0000}"/>
    <cellStyle name="SAPBEXstdDataEmph 2 7 12" xfId="20787" xr:uid="{00000000-0005-0000-0000-00002C7E0000}"/>
    <cellStyle name="SAPBEXstdDataEmph 2 7 13" xfId="34960" xr:uid="{00000000-0005-0000-0000-00002D7E0000}"/>
    <cellStyle name="SAPBEXstdDataEmph 2 7 14" xfId="34961" xr:uid="{00000000-0005-0000-0000-00002E7E0000}"/>
    <cellStyle name="SAPBEXstdDataEmph 2 7 2" xfId="20788" xr:uid="{00000000-0005-0000-0000-00002F7E0000}"/>
    <cellStyle name="SAPBEXstdDataEmph 2 7 2 10" xfId="34962" xr:uid="{00000000-0005-0000-0000-0000307E0000}"/>
    <cellStyle name="SAPBEXstdDataEmph 2 7 2 2" xfId="20789" xr:uid="{00000000-0005-0000-0000-0000317E0000}"/>
    <cellStyle name="SAPBEXstdDataEmph 2 7 2 2 2" xfId="20790" xr:uid="{00000000-0005-0000-0000-0000327E0000}"/>
    <cellStyle name="SAPBEXstdDataEmph 2 7 2 2 3" xfId="34963" xr:uid="{00000000-0005-0000-0000-0000337E0000}"/>
    <cellStyle name="SAPBEXstdDataEmph 2 7 2 2 4" xfId="34964" xr:uid="{00000000-0005-0000-0000-0000347E0000}"/>
    <cellStyle name="SAPBEXstdDataEmph 2 7 2 3" xfId="20791" xr:uid="{00000000-0005-0000-0000-0000357E0000}"/>
    <cellStyle name="SAPBEXstdDataEmph 2 7 2 3 2" xfId="20792" xr:uid="{00000000-0005-0000-0000-0000367E0000}"/>
    <cellStyle name="SAPBEXstdDataEmph 2 7 2 3 3" xfId="34965" xr:uid="{00000000-0005-0000-0000-0000377E0000}"/>
    <cellStyle name="SAPBEXstdDataEmph 2 7 2 3 4" xfId="34966" xr:uid="{00000000-0005-0000-0000-0000387E0000}"/>
    <cellStyle name="SAPBEXstdDataEmph 2 7 2 4" xfId="20793" xr:uid="{00000000-0005-0000-0000-0000397E0000}"/>
    <cellStyle name="SAPBEXstdDataEmph 2 7 2 4 2" xfId="20794" xr:uid="{00000000-0005-0000-0000-00003A7E0000}"/>
    <cellStyle name="SAPBEXstdDataEmph 2 7 2 4 3" xfId="34967" xr:uid="{00000000-0005-0000-0000-00003B7E0000}"/>
    <cellStyle name="SAPBEXstdDataEmph 2 7 2 4 4" xfId="34968" xr:uid="{00000000-0005-0000-0000-00003C7E0000}"/>
    <cellStyle name="SAPBEXstdDataEmph 2 7 2 5" xfId="20795" xr:uid="{00000000-0005-0000-0000-00003D7E0000}"/>
    <cellStyle name="SAPBEXstdDataEmph 2 7 2 5 2" xfId="20796" xr:uid="{00000000-0005-0000-0000-00003E7E0000}"/>
    <cellStyle name="SAPBEXstdDataEmph 2 7 2 5 3" xfId="34969" xr:uid="{00000000-0005-0000-0000-00003F7E0000}"/>
    <cellStyle name="SAPBEXstdDataEmph 2 7 2 5 4" xfId="34970" xr:uid="{00000000-0005-0000-0000-0000407E0000}"/>
    <cellStyle name="SAPBEXstdDataEmph 2 7 2 6" xfId="20797" xr:uid="{00000000-0005-0000-0000-0000417E0000}"/>
    <cellStyle name="SAPBEXstdDataEmph 2 7 2 6 2" xfId="20798" xr:uid="{00000000-0005-0000-0000-0000427E0000}"/>
    <cellStyle name="SAPBEXstdDataEmph 2 7 2 6 3" xfId="34971" xr:uid="{00000000-0005-0000-0000-0000437E0000}"/>
    <cellStyle name="SAPBEXstdDataEmph 2 7 2 6 4" xfId="34972" xr:uid="{00000000-0005-0000-0000-0000447E0000}"/>
    <cellStyle name="SAPBEXstdDataEmph 2 7 2 7" xfId="20799" xr:uid="{00000000-0005-0000-0000-0000457E0000}"/>
    <cellStyle name="SAPBEXstdDataEmph 2 7 2 7 2" xfId="20800" xr:uid="{00000000-0005-0000-0000-0000467E0000}"/>
    <cellStyle name="SAPBEXstdDataEmph 2 7 2 7 3" xfId="34973" xr:uid="{00000000-0005-0000-0000-0000477E0000}"/>
    <cellStyle name="SAPBEXstdDataEmph 2 7 2 7 4" xfId="34974" xr:uid="{00000000-0005-0000-0000-0000487E0000}"/>
    <cellStyle name="SAPBEXstdDataEmph 2 7 2 8" xfId="20801" xr:uid="{00000000-0005-0000-0000-0000497E0000}"/>
    <cellStyle name="SAPBEXstdDataEmph 2 7 2 9" xfId="34975" xr:uid="{00000000-0005-0000-0000-00004A7E0000}"/>
    <cellStyle name="SAPBEXstdDataEmph 2 7 3" xfId="20802" xr:uid="{00000000-0005-0000-0000-00004B7E0000}"/>
    <cellStyle name="SAPBEXstdDataEmph 2 7 3 10" xfId="34976" xr:uid="{00000000-0005-0000-0000-00004C7E0000}"/>
    <cellStyle name="SAPBEXstdDataEmph 2 7 3 2" xfId="20803" xr:uid="{00000000-0005-0000-0000-00004D7E0000}"/>
    <cellStyle name="SAPBEXstdDataEmph 2 7 3 2 2" xfId="20804" xr:uid="{00000000-0005-0000-0000-00004E7E0000}"/>
    <cellStyle name="SAPBEXstdDataEmph 2 7 3 2 3" xfId="34977" xr:uid="{00000000-0005-0000-0000-00004F7E0000}"/>
    <cellStyle name="SAPBEXstdDataEmph 2 7 3 2 4" xfId="34978" xr:uid="{00000000-0005-0000-0000-0000507E0000}"/>
    <cellStyle name="SAPBEXstdDataEmph 2 7 3 3" xfId="20805" xr:uid="{00000000-0005-0000-0000-0000517E0000}"/>
    <cellStyle name="SAPBEXstdDataEmph 2 7 3 3 2" xfId="20806" xr:uid="{00000000-0005-0000-0000-0000527E0000}"/>
    <cellStyle name="SAPBEXstdDataEmph 2 7 3 3 3" xfId="34979" xr:uid="{00000000-0005-0000-0000-0000537E0000}"/>
    <cellStyle name="SAPBEXstdDataEmph 2 7 3 3 4" xfId="34980" xr:uid="{00000000-0005-0000-0000-0000547E0000}"/>
    <cellStyle name="SAPBEXstdDataEmph 2 7 3 4" xfId="20807" xr:uid="{00000000-0005-0000-0000-0000557E0000}"/>
    <cellStyle name="SAPBEXstdDataEmph 2 7 3 4 2" xfId="20808" xr:uid="{00000000-0005-0000-0000-0000567E0000}"/>
    <cellStyle name="SAPBEXstdDataEmph 2 7 3 4 3" xfId="34981" xr:uid="{00000000-0005-0000-0000-0000577E0000}"/>
    <cellStyle name="SAPBEXstdDataEmph 2 7 3 4 4" xfId="34982" xr:uid="{00000000-0005-0000-0000-0000587E0000}"/>
    <cellStyle name="SAPBEXstdDataEmph 2 7 3 5" xfId="20809" xr:uid="{00000000-0005-0000-0000-0000597E0000}"/>
    <cellStyle name="SAPBEXstdDataEmph 2 7 3 5 2" xfId="20810" xr:uid="{00000000-0005-0000-0000-00005A7E0000}"/>
    <cellStyle name="SAPBEXstdDataEmph 2 7 3 5 3" xfId="34983" xr:uid="{00000000-0005-0000-0000-00005B7E0000}"/>
    <cellStyle name="SAPBEXstdDataEmph 2 7 3 5 4" xfId="34984" xr:uid="{00000000-0005-0000-0000-00005C7E0000}"/>
    <cellStyle name="SAPBEXstdDataEmph 2 7 3 6" xfId="20811" xr:uid="{00000000-0005-0000-0000-00005D7E0000}"/>
    <cellStyle name="SAPBEXstdDataEmph 2 7 3 6 2" xfId="20812" xr:uid="{00000000-0005-0000-0000-00005E7E0000}"/>
    <cellStyle name="SAPBEXstdDataEmph 2 7 3 6 3" xfId="34985" xr:uid="{00000000-0005-0000-0000-00005F7E0000}"/>
    <cellStyle name="SAPBEXstdDataEmph 2 7 3 6 4" xfId="34986" xr:uid="{00000000-0005-0000-0000-0000607E0000}"/>
    <cellStyle name="SAPBEXstdDataEmph 2 7 3 7" xfId="20813" xr:uid="{00000000-0005-0000-0000-0000617E0000}"/>
    <cellStyle name="SAPBEXstdDataEmph 2 7 3 7 2" xfId="20814" xr:uid="{00000000-0005-0000-0000-0000627E0000}"/>
    <cellStyle name="SAPBEXstdDataEmph 2 7 3 7 3" xfId="34987" xr:uid="{00000000-0005-0000-0000-0000637E0000}"/>
    <cellStyle name="SAPBEXstdDataEmph 2 7 3 7 4" xfId="34988" xr:uid="{00000000-0005-0000-0000-0000647E0000}"/>
    <cellStyle name="SAPBEXstdDataEmph 2 7 3 8" xfId="20815" xr:uid="{00000000-0005-0000-0000-0000657E0000}"/>
    <cellStyle name="SAPBEXstdDataEmph 2 7 3 9" xfId="34989" xr:uid="{00000000-0005-0000-0000-0000667E0000}"/>
    <cellStyle name="SAPBEXstdDataEmph 2 7 4" xfId="20816" xr:uid="{00000000-0005-0000-0000-0000677E0000}"/>
    <cellStyle name="SAPBEXstdDataEmph 2 7 4 10" xfId="34990" xr:uid="{00000000-0005-0000-0000-0000687E0000}"/>
    <cellStyle name="SAPBEXstdDataEmph 2 7 4 2" xfId="20817" xr:uid="{00000000-0005-0000-0000-0000697E0000}"/>
    <cellStyle name="SAPBEXstdDataEmph 2 7 4 2 2" xfId="20818" xr:uid="{00000000-0005-0000-0000-00006A7E0000}"/>
    <cellStyle name="SAPBEXstdDataEmph 2 7 4 2 3" xfId="34991" xr:uid="{00000000-0005-0000-0000-00006B7E0000}"/>
    <cellStyle name="SAPBEXstdDataEmph 2 7 4 2 4" xfId="34992" xr:uid="{00000000-0005-0000-0000-00006C7E0000}"/>
    <cellStyle name="SAPBEXstdDataEmph 2 7 4 3" xfId="20819" xr:uid="{00000000-0005-0000-0000-00006D7E0000}"/>
    <cellStyle name="SAPBEXstdDataEmph 2 7 4 3 2" xfId="20820" xr:uid="{00000000-0005-0000-0000-00006E7E0000}"/>
    <cellStyle name="SAPBEXstdDataEmph 2 7 4 3 3" xfId="34993" xr:uid="{00000000-0005-0000-0000-00006F7E0000}"/>
    <cellStyle name="SAPBEXstdDataEmph 2 7 4 3 4" xfId="34994" xr:uid="{00000000-0005-0000-0000-0000707E0000}"/>
    <cellStyle name="SAPBEXstdDataEmph 2 7 4 4" xfId="20821" xr:uid="{00000000-0005-0000-0000-0000717E0000}"/>
    <cellStyle name="SAPBEXstdDataEmph 2 7 4 4 2" xfId="20822" xr:uid="{00000000-0005-0000-0000-0000727E0000}"/>
    <cellStyle name="SAPBEXstdDataEmph 2 7 4 4 3" xfId="34995" xr:uid="{00000000-0005-0000-0000-0000737E0000}"/>
    <cellStyle name="SAPBEXstdDataEmph 2 7 4 4 4" xfId="34996" xr:uid="{00000000-0005-0000-0000-0000747E0000}"/>
    <cellStyle name="SAPBEXstdDataEmph 2 7 4 5" xfId="20823" xr:uid="{00000000-0005-0000-0000-0000757E0000}"/>
    <cellStyle name="SAPBEXstdDataEmph 2 7 4 5 2" xfId="20824" xr:uid="{00000000-0005-0000-0000-0000767E0000}"/>
    <cellStyle name="SAPBEXstdDataEmph 2 7 4 5 3" xfId="34997" xr:uid="{00000000-0005-0000-0000-0000777E0000}"/>
    <cellStyle name="SAPBEXstdDataEmph 2 7 4 5 4" xfId="34998" xr:uid="{00000000-0005-0000-0000-0000787E0000}"/>
    <cellStyle name="SAPBEXstdDataEmph 2 7 4 6" xfId="20825" xr:uid="{00000000-0005-0000-0000-0000797E0000}"/>
    <cellStyle name="SAPBEXstdDataEmph 2 7 4 6 2" xfId="20826" xr:uid="{00000000-0005-0000-0000-00007A7E0000}"/>
    <cellStyle name="SAPBEXstdDataEmph 2 7 4 6 3" xfId="34999" xr:uid="{00000000-0005-0000-0000-00007B7E0000}"/>
    <cellStyle name="SAPBEXstdDataEmph 2 7 4 6 4" xfId="35000" xr:uid="{00000000-0005-0000-0000-00007C7E0000}"/>
    <cellStyle name="SAPBEXstdDataEmph 2 7 4 7" xfId="20827" xr:uid="{00000000-0005-0000-0000-00007D7E0000}"/>
    <cellStyle name="SAPBEXstdDataEmph 2 7 4 7 2" xfId="20828" xr:uid="{00000000-0005-0000-0000-00007E7E0000}"/>
    <cellStyle name="SAPBEXstdDataEmph 2 7 4 7 3" xfId="35001" xr:uid="{00000000-0005-0000-0000-00007F7E0000}"/>
    <cellStyle name="SAPBEXstdDataEmph 2 7 4 7 4" xfId="35002" xr:uid="{00000000-0005-0000-0000-0000807E0000}"/>
    <cellStyle name="SAPBEXstdDataEmph 2 7 4 8" xfId="20829" xr:uid="{00000000-0005-0000-0000-0000817E0000}"/>
    <cellStyle name="SAPBEXstdDataEmph 2 7 4 9" xfId="35003" xr:uid="{00000000-0005-0000-0000-0000827E0000}"/>
    <cellStyle name="SAPBEXstdDataEmph 2 7 5" xfId="20830" xr:uid="{00000000-0005-0000-0000-0000837E0000}"/>
    <cellStyle name="SAPBEXstdDataEmph 2 7 5 10" xfId="35004" xr:uid="{00000000-0005-0000-0000-0000847E0000}"/>
    <cellStyle name="SAPBEXstdDataEmph 2 7 5 2" xfId="20831" xr:uid="{00000000-0005-0000-0000-0000857E0000}"/>
    <cellStyle name="SAPBEXstdDataEmph 2 7 5 2 2" xfId="20832" xr:uid="{00000000-0005-0000-0000-0000867E0000}"/>
    <cellStyle name="SAPBEXstdDataEmph 2 7 5 2 3" xfId="35005" xr:uid="{00000000-0005-0000-0000-0000877E0000}"/>
    <cellStyle name="SAPBEXstdDataEmph 2 7 5 2 4" xfId="35006" xr:uid="{00000000-0005-0000-0000-0000887E0000}"/>
    <cellStyle name="SAPBEXstdDataEmph 2 7 5 3" xfId="20833" xr:uid="{00000000-0005-0000-0000-0000897E0000}"/>
    <cellStyle name="SAPBEXstdDataEmph 2 7 5 3 2" xfId="20834" xr:uid="{00000000-0005-0000-0000-00008A7E0000}"/>
    <cellStyle name="SAPBEXstdDataEmph 2 7 5 3 3" xfId="35007" xr:uid="{00000000-0005-0000-0000-00008B7E0000}"/>
    <cellStyle name="SAPBEXstdDataEmph 2 7 5 3 4" xfId="35008" xr:uid="{00000000-0005-0000-0000-00008C7E0000}"/>
    <cellStyle name="SAPBEXstdDataEmph 2 7 5 4" xfId="20835" xr:uid="{00000000-0005-0000-0000-00008D7E0000}"/>
    <cellStyle name="SAPBEXstdDataEmph 2 7 5 4 2" xfId="20836" xr:uid="{00000000-0005-0000-0000-00008E7E0000}"/>
    <cellStyle name="SAPBEXstdDataEmph 2 7 5 4 3" xfId="35009" xr:uid="{00000000-0005-0000-0000-00008F7E0000}"/>
    <cellStyle name="SAPBEXstdDataEmph 2 7 5 4 4" xfId="35010" xr:uid="{00000000-0005-0000-0000-0000907E0000}"/>
    <cellStyle name="SAPBEXstdDataEmph 2 7 5 5" xfId="20837" xr:uid="{00000000-0005-0000-0000-0000917E0000}"/>
    <cellStyle name="SAPBEXstdDataEmph 2 7 5 5 2" xfId="20838" xr:uid="{00000000-0005-0000-0000-0000927E0000}"/>
    <cellStyle name="SAPBEXstdDataEmph 2 7 5 5 3" xfId="35011" xr:uid="{00000000-0005-0000-0000-0000937E0000}"/>
    <cellStyle name="SAPBEXstdDataEmph 2 7 5 5 4" xfId="35012" xr:uid="{00000000-0005-0000-0000-0000947E0000}"/>
    <cellStyle name="SAPBEXstdDataEmph 2 7 5 6" xfId="20839" xr:uid="{00000000-0005-0000-0000-0000957E0000}"/>
    <cellStyle name="SAPBEXstdDataEmph 2 7 5 6 2" xfId="20840" xr:uid="{00000000-0005-0000-0000-0000967E0000}"/>
    <cellStyle name="SAPBEXstdDataEmph 2 7 5 6 3" xfId="35013" xr:uid="{00000000-0005-0000-0000-0000977E0000}"/>
    <cellStyle name="SAPBEXstdDataEmph 2 7 5 6 4" xfId="35014" xr:uid="{00000000-0005-0000-0000-0000987E0000}"/>
    <cellStyle name="SAPBEXstdDataEmph 2 7 5 7" xfId="20841" xr:uid="{00000000-0005-0000-0000-0000997E0000}"/>
    <cellStyle name="SAPBEXstdDataEmph 2 7 5 7 2" xfId="20842" xr:uid="{00000000-0005-0000-0000-00009A7E0000}"/>
    <cellStyle name="SAPBEXstdDataEmph 2 7 5 7 3" xfId="35015" xr:uid="{00000000-0005-0000-0000-00009B7E0000}"/>
    <cellStyle name="SAPBEXstdDataEmph 2 7 5 7 4" xfId="35016" xr:uid="{00000000-0005-0000-0000-00009C7E0000}"/>
    <cellStyle name="SAPBEXstdDataEmph 2 7 5 8" xfId="20843" xr:uid="{00000000-0005-0000-0000-00009D7E0000}"/>
    <cellStyle name="SAPBEXstdDataEmph 2 7 5 9" xfId="35017" xr:uid="{00000000-0005-0000-0000-00009E7E0000}"/>
    <cellStyle name="SAPBEXstdDataEmph 2 7 6" xfId="20844" xr:uid="{00000000-0005-0000-0000-00009F7E0000}"/>
    <cellStyle name="SAPBEXstdDataEmph 2 7 6 2" xfId="20845" xr:uid="{00000000-0005-0000-0000-0000A07E0000}"/>
    <cellStyle name="SAPBEXstdDataEmph 2 7 6 3" xfId="35018" xr:uid="{00000000-0005-0000-0000-0000A17E0000}"/>
    <cellStyle name="SAPBEXstdDataEmph 2 7 6 4" xfId="35019" xr:uid="{00000000-0005-0000-0000-0000A27E0000}"/>
    <cellStyle name="SAPBEXstdDataEmph 2 7 7" xfId="20846" xr:uid="{00000000-0005-0000-0000-0000A37E0000}"/>
    <cellStyle name="SAPBEXstdDataEmph 2 7 7 2" xfId="20847" xr:uid="{00000000-0005-0000-0000-0000A47E0000}"/>
    <cellStyle name="SAPBEXstdDataEmph 2 7 7 3" xfId="35020" xr:uid="{00000000-0005-0000-0000-0000A57E0000}"/>
    <cellStyle name="SAPBEXstdDataEmph 2 7 7 4" xfId="35021" xr:uid="{00000000-0005-0000-0000-0000A67E0000}"/>
    <cellStyle name="SAPBEXstdDataEmph 2 7 8" xfId="20848" xr:uid="{00000000-0005-0000-0000-0000A77E0000}"/>
    <cellStyle name="SAPBEXstdDataEmph 2 7 8 2" xfId="20849" xr:uid="{00000000-0005-0000-0000-0000A87E0000}"/>
    <cellStyle name="SAPBEXstdDataEmph 2 7 8 3" xfId="35022" xr:uid="{00000000-0005-0000-0000-0000A97E0000}"/>
    <cellStyle name="SAPBEXstdDataEmph 2 7 8 4" xfId="35023" xr:uid="{00000000-0005-0000-0000-0000AA7E0000}"/>
    <cellStyle name="SAPBEXstdDataEmph 2 7 9" xfId="20850" xr:uid="{00000000-0005-0000-0000-0000AB7E0000}"/>
    <cellStyle name="SAPBEXstdDataEmph 2 7 9 2" xfId="20851" xr:uid="{00000000-0005-0000-0000-0000AC7E0000}"/>
    <cellStyle name="SAPBEXstdDataEmph 2 7 9 3" xfId="35024" xr:uid="{00000000-0005-0000-0000-0000AD7E0000}"/>
    <cellStyle name="SAPBEXstdDataEmph 2 7 9 4" xfId="35025" xr:uid="{00000000-0005-0000-0000-0000AE7E0000}"/>
    <cellStyle name="SAPBEXstdDataEmph 2 8" xfId="20852" xr:uid="{00000000-0005-0000-0000-0000AF7E0000}"/>
    <cellStyle name="SAPBEXstdDataEmph 2 8 10" xfId="20853" xr:uid="{00000000-0005-0000-0000-0000B07E0000}"/>
    <cellStyle name="SAPBEXstdDataEmph 2 8 10 2" xfId="20854" xr:uid="{00000000-0005-0000-0000-0000B17E0000}"/>
    <cellStyle name="SAPBEXstdDataEmph 2 8 10 3" xfId="35026" xr:uid="{00000000-0005-0000-0000-0000B27E0000}"/>
    <cellStyle name="SAPBEXstdDataEmph 2 8 10 4" xfId="35027" xr:uid="{00000000-0005-0000-0000-0000B37E0000}"/>
    <cellStyle name="SAPBEXstdDataEmph 2 8 11" xfId="20855" xr:uid="{00000000-0005-0000-0000-0000B47E0000}"/>
    <cellStyle name="SAPBEXstdDataEmph 2 8 11 2" xfId="20856" xr:uid="{00000000-0005-0000-0000-0000B57E0000}"/>
    <cellStyle name="SAPBEXstdDataEmph 2 8 11 3" xfId="35028" xr:uid="{00000000-0005-0000-0000-0000B67E0000}"/>
    <cellStyle name="SAPBEXstdDataEmph 2 8 11 4" xfId="35029" xr:uid="{00000000-0005-0000-0000-0000B77E0000}"/>
    <cellStyle name="SAPBEXstdDataEmph 2 8 12" xfId="20857" xr:uid="{00000000-0005-0000-0000-0000B87E0000}"/>
    <cellStyle name="SAPBEXstdDataEmph 2 8 13" xfId="35030" xr:uid="{00000000-0005-0000-0000-0000B97E0000}"/>
    <cellStyle name="SAPBEXstdDataEmph 2 8 14" xfId="35031" xr:uid="{00000000-0005-0000-0000-0000BA7E0000}"/>
    <cellStyle name="SAPBEXstdDataEmph 2 8 2" xfId="20858" xr:uid="{00000000-0005-0000-0000-0000BB7E0000}"/>
    <cellStyle name="SAPBEXstdDataEmph 2 8 2 10" xfId="35032" xr:uid="{00000000-0005-0000-0000-0000BC7E0000}"/>
    <cellStyle name="SAPBEXstdDataEmph 2 8 2 2" xfId="20859" xr:uid="{00000000-0005-0000-0000-0000BD7E0000}"/>
    <cellStyle name="SAPBEXstdDataEmph 2 8 2 2 2" xfId="20860" xr:uid="{00000000-0005-0000-0000-0000BE7E0000}"/>
    <cellStyle name="SAPBEXstdDataEmph 2 8 2 2 3" xfId="35033" xr:uid="{00000000-0005-0000-0000-0000BF7E0000}"/>
    <cellStyle name="SAPBEXstdDataEmph 2 8 2 2 4" xfId="35034" xr:uid="{00000000-0005-0000-0000-0000C07E0000}"/>
    <cellStyle name="SAPBEXstdDataEmph 2 8 2 3" xfId="20861" xr:uid="{00000000-0005-0000-0000-0000C17E0000}"/>
    <cellStyle name="SAPBEXstdDataEmph 2 8 2 3 2" xfId="20862" xr:uid="{00000000-0005-0000-0000-0000C27E0000}"/>
    <cellStyle name="SAPBEXstdDataEmph 2 8 2 3 3" xfId="35035" xr:uid="{00000000-0005-0000-0000-0000C37E0000}"/>
    <cellStyle name="SAPBEXstdDataEmph 2 8 2 3 4" xfId="35036" xr:uid="{00000000-0005-0000-0000-0000C47E0000}"/>
    <cellStyle name="SAPBEXstdDataEmph 2 8 2 4" xfId="20863" xr:uid="{00000000-0005-0000-0000-0000C57E0000}"/>
    <cellStyle name="SAPBEXstdDataEmph 2 8 2 4 2" xfId="20864" xr:uid="{00000000-0005-0000-0000-0000C67E0000}"/>
    <cellStyle name="SAPBEXstdDataEmph 2 8 2 4 3" xfId="35037" xr:uid="{00000000-0005-0000-0000-0000C77E0000}"/>
    <cellStyle name="SAPBEXstdDataEmph 2 8 2 4 4" xfId="35038" xr:uid="{00000000-0005-0000-0000-0000C87E0000}"/>
    <cellStyle name="SAPBEXstdDataEmph 2 8 2 5" xfId="20865" xr:uid="{00000000-0005-0000-0000-0000C97E0000}"/>
    <cellStyle name="SAPBEXstdDataEmph 2 8 2 5 2" xfId="20866" xr:uid="{00000000-0005-0000-0000-0000CA7E0000}"/>
    <cellStyle name="SAPBEXstdDataEmph 2 8 2 5 3" xfId="35039" xr:uid="{00000000-0005-0000-0000-0000CB7E0000}"/>
    <cellStyle name="SAPBEXstdDataEmph 2 8 2 5 4" xfId="35040" xr:uid="{00000000-0005-0000-0000-0000CC7E0000}"/>
    <cellStyle name="SAPBEXstdDataEmph 2 8 2 6" xfId="20867" xr:uid="{00000000-0005-0000-0000-0000CD7E0000}"/>
    <cellStyle name="SAPBEXstdDataEmph 2 8 2 6 2" xfId="20868" xr:uid="{00000000-0005-0000-0000-0000CE7E0000}"/>
    <cellStyle name="SAPBEXstdDataEmph 2 8 2 6 3" xfId="35041" xr:uid="{00000000-0005-0000-0000-0000CF7E0000}"/>
    <cellStyle name="SAPBEXstdDataEmph 2 8 2 6 4" xfId="35042" xr:uid="{00000000-0005-0000-0000-0000D07E0000}"/>
    <cellStyle name="SAPBEXstdDataEmph 2 8 2 7" xfId="20869" xr:uid="{00000000-0005-0000-0000-0000D17E0000}"/>
    <cellStyle name="SAPBEXstdDataEmph 2 8 2 7 2" xfId="20870" xr:uid="{00000000-0005-0000-0000-0000D27E0000}"/>
    <cellStyle name="SAPBEXstdDataEmph 2 8 2 7 3" xfId="35043" xr:uid="{00000000-0005-0000-0000-0000D37E0000}"/>
    <cellStyle name="SAPBEXstdDataEmph 2 8 2 7 4" xfId="35044" xr:uid="{00000000-0005-0000-0000-0000D47E0000}"/>
    <cellStyle name="SAPBEXstdDataEmph 2 8 2 8" xfId="20871" xr:uid="{00000000-0005-0000-0000-0000D57E0000}"/>
    <cellStyle name="SAPBEXstdDataEmph 2 8 2 9" xfId="35045" xr:uid="{00000000-0005-0000-0000-0000D67E0000}"/>
    <cellStyle name="SAPBEXstdDataEmph 2 8 3" xfId="20872" xr:uid="{00000000-0005-0000-0000-0000D77E0000}"/>
    <cellStyle name="SAPBEXstdDataEmph 2 8 3 10" xfId="35046" xr:uid="{00000000-0005-0000-0000-0000D87E0000}"/>
    <cellStyle name="SAPBEXstdDataEmph 2 8 3 2" xfId="20873" xr:uid="{00000000-0005-0000-0000-0000D97E0000}"/>
    <cellStyle name="SAPBEXstdDataEmph 2 8 3 2 2" xfId="20874" xr:uid="{00000000-0005-0000-0000-0000DA7E0000}"/>
    <cellStyle name="SAPBEXstdDataEmph 2 8 3 2 3" xfId="35047" xr:uid="{00000000-0005-0000-0000-0000DB7E0000}"/>
    <cellStyle name="SAPBEXstdDataEmph 2 8 3 2 4" xfId="35048" xr:uid="{00000000-0005-0000-0000-0000DC7E0000}"/>
    <cellStyle name="SAPBEXstdDataEmph 2 8 3 3" xfId="20875" xr:uid="{00000000-0005-0000-0000-0000DD7E0000}"/>
    <cellStyle name="SAPBEXstdDataEmph 2 8 3 3 2" xfId="20876" xr:uid="{00000000-0005-0000-0000-0000DE7E0000}"/>
    <cellStyle name="SAPBEXstdDataEmph 2 8 3 3 3" xfId="35049" xr:uid="{00000000-0005-0000-0000-0000DF7E0000}"/>
    <cellStyle name="SAPBEXstdDataEmph 2 8 3 3 4" xfId="35050" xr:uid="{00000000-0005-0000-0000-0000E07E0000}"/>
    <cellStyle name="SAPBEXstdDataEmph 2 8 3 4" xfId="20877" xr:uid="{00000000-0005-0000-0000-0000E17E0000}"/>
    <cellStyle name="SAPBEXstdDataEmph 2 8 3 4 2" xfId="20878" xr:uid="{00000000-0005-0000-0000-0000E27E0000}"/>
    <cellStyle name="SAPBEXstdDataEmph 2 8 3 4 3" xfId="35051" xr:uid="{00000000-0005-0000-0000-0000E37E0000}"/>
    <cellStyle name="SAPBEXstdDataEmph 2 8 3 4 4" xfId="35052" xr:uid="{00000000-0005-0000-0000-0000E47E0000}"/>
    <cellStyle name="SAPBEXstdDataEmph 2 8 3 5" xfId="20879" xr:uid="{00000000-0005-0000-0000-0000E57E0000}"/>
    <cellStyle name="SAPBEXstdDataEmph 2 8 3 5 2" xfId="20880" xr:uid="{00000000-0005-0000-0000-0000E67E0000}"/>
    <cellStyle name="SAPBEXstdDataEmph 2 8 3 5 3" xfId="35053" xr:uid="{00000000-0005-0000-0000-0000E77E0000}"/>
    <cellStyle name="SAPBEXstdDataEmph 2 8 3 5 4" xfId="35054" xr:uid="{00000000-0005-0000-0000-0000E87E0000}"/>
    <cellStyle name="SAPBEXstdDataEmph 2 8 3 6" xfId="20881" xr:uid="{00000000-0005-0000-0000-0000E97E0000}"/>
    <cellStyle name="SAPBEXstdDataEmph 2 8 3 6 2" xfId="20882" xr:uid="{00000000-0005-0000-0000-0000EA7E0000}"/>
    <cellStyle name="SAPBEXstdDataEmph 2 8 3 6 3" xfId="35055" xr:uid="{00000000-0005-0000-0000-0000EB7E0000}"/>
    <cellStyle name="SAPBEXstdDataEmph 2 8 3 6 4" xfId="35056" xr:uid="{00000000-0005-0000-0000-0000EC7E0000}"/>
    <cellStyle name="SAPBEXstdDataEmph 2 8 3 7" xfId="20883" xr:uid="{00000000-0005-0000-0000-0000ED7E0000}"/>
    <cellStyle name="SAPBEXstdDataEmph 2 8 3 7 2" xfId="20884" xr:uid="{00000000-0005-0000-0000-0000EE7E0000}"/>
    <cellStyle name="SAPBEXstdDataEmph 2 8 3 7 3" xfId="35057" xr:uid="{00000000-0005-0000-0000-0000EF7E0000}"/>
    <cellStyle name="SAPBEXstdDataEmph 2 8 3 7 4" xfId="35058" xr:uid="{00000000-0005-0000-0000-0000F07E0000}"/>
    <cellStyle name="SAPBEXstdDataEmph 2 8 3 8" xfId="20885" xr:uid="{00000000-0005-0000-0000-0000F17E0000}"/>
    <cellStyle name="SAPBEXstdDataEmph 2 8 3 9" xfId="35059" xr:uid="{00000000-0005-0000-0000-0000F27E0000}"/>
    <cellStyle name="SAPBEXstdDataEmph 2 8 4" xfId="20886" xr:uid="{00000000-0005-0000-0000-0000F37E0000}"/>
    <cellStyle name="SAPBEXstdDataEmph 2 8 4 10" xfId="35060" xr:uid="{00000000-0005-0000-0000-0000F47E0000}"/>
    <cellStyle name="SAPBEXstdDataEmph 2 8 4 2" xfId="20887" xr:uid="{00000000-0005-0000-0000-0000F57E0000}"/>
    <cellStyle name="SAPBEXstdDataEmph 2 8 4 2 2" xfId="20888" xr:uid="{00000000-0005-0000-0000-0000F67E0000}"/>
    <cellStyle name="SAPBEXstdDataEmph 2 8 4 2 3" xfId="35061" xr:uid="{00000000-0005-0000-0000-0000F77E0000}"/>
    <cellStyle name="SAPBEXstdDataEmph 2 8 4 2 4" xfId="35062" xr:uid="{00000000-0005-0000-0000-0000F87E0000}"/>
    <cellStyle name="SAPBEXstdDataEmph 2 8 4 3" xfId="20889" xr:uid="{00000000-0005-0000-0000-0000F97E0000}"/>
    <cellStyle name="SAPBEXstdDataEmph 2 8 4 3 2" xfId="20890" xr:uid="{00000000-0005-0000-0000-0000FA7E0000}"/>
    <cellStyle name="SAPBEXstdDataEmph 2 8 4 3 3" xfId="35063" xr:uid="{00000000-0005-0000-0000-0000FB7E0000}"/>
    <cellStyle name="SAPBEXstdDataEmph 2 8 4 3 4" xfId="35064" xr:uid="{00000000-0005-0000-0000-0000FC7E0000}"/>
    <cellStyle name="SAPBEXstdDataEmph 2 8 4 4" xfId="20891" xr:uid="{00000000-0005-0000-0000-0000FD7E0000}"/>
    <cellStyle name="SAPBEXstdDataEmph 2 8 4 4 2" xfId="20892" xr:uid="{00000000-0005-0000-0000-0000FE7E0000}"/>
    <cellStyle name="SAPBEXstdDataEmph 2 8 4 4 3" xfId="35065" xr:uid="{00000000-0005-0000-0000-0000FF7E0000}"/>
    <cellStyle name="SAPBEXstdDataEmph 2 8 4 4 4" xfId="35066" xr:uid="{00000000-0005-0000-0000-0000007F0000}"/>
    <cellStyle name="SAPBEXstdDataEmph 2 8 4 5" xfId="20893" xr:uid="{00000000-0005-0000-0000-0000017F0000}"/>
    <cellStyle name="SAPBEXstdDataEmph 2 8 4 5 2" xfId="20894" xr:uid="{00000000-0005-0000-0000-0000027F0000}"/>
    <cellStyle name="SAPBEXstdDataEmph 2 8 4 5 3" xfId="35067" xr:uid="{00000000-0005-0000-0000-0000037F0000}"/>
    <cellStyle name="SAPBEXstdDataEmph 2 8 4 5 4" xfId="35068" xr:uid="{00000000-0005-0000-0000-0000047F0000}"/>
    <cellStyle name="SAPBEXstdDataEmph 2 8 4 6" xfId="20895" xr:uid="{00000000-0005-0000-0000-0000057F0000}"/>
    <cellStyle name="SAPBEXstdDataEmph 2 8 4 6 2" xfId="20896" xr:uid="{00000000-0005-0000-0000-0000067F0000}"/>
    <cellStyle name="SAPBEXstdDataEmph 2 8 4 6 3" xfId="35069" xr:uid="{00000000-0005-0000-0000-0000077F0000}"/>
    <cellStyle name="SAPBEXstdDataEmph 2 8 4 6 4" xfId="35070" xr:uid="{00000000-0005-0000-0000-0000087F0000}"/>
    <cellStyle name="SAPBEXstdDataEmph 2 8 4 7" xfId="20897" xr:uid="{00000000-0005-0000-0000-0000097F0000}"/>
    <cellStyle name="SAPBEXstdDataEmph 2 8 4 7 2" xfId="20898" xr:uid="{00000000-0005-0000-0000-00000A7F0000}"/>
    <cellStyle name="SAPBEXstdDataEmph 2 8 4 7 3" xfId="35071" xr:uid="{00000000-0005-0000-0000-00000B7F0000}"/>
    <cellStyle name="SAPBEXstdDataEmph 2 8 4 7 4" xfId="35072" xr:uid="{00000000-0005-0000-0000-00000C7F0000}"/>
    <cellStyle name="SAPBEXstdDataEmph 2 8 4 8" xfId="20899" xr:uid="{00000000-0005-0000-0000-00000D7F0000}"/>
    <cellStyle name="SAPBEXstdDataEmph 2 8 4 9" xfId="35073" xr:uid="{00000000-0005-0000-0000-00000E7F0000}"/>
    <cellStyle name="SAPBEXstdDataEmph 2 8 5" xfId="20900" xr:uid="{00000000-0005-0000-0000-00000F7F0000}"/>
    <cellStyle name="SAPBEXstdDataEmph 2 8 5 10" xfId="35074" xr:uid="{00000000-0005-0000-0000-0000107F0000}"/>
    <cellStyle name="SAPBEXstdDataEmph 2 8 5 2" xfId="20901" xr:uid="{00000000-0005-0000-0000-0000117F0000}"/>
    <cellStyle name="SAPBEXstdDataEmph 2 8 5 2 2" xfId="20902" xr:uid="{00000000-0005-0000-0000-0000127F0000}"/>
    <cellStyle name="SAPBEXstdDataEmph 2 8 5 2 3" xfId="35075" xr:uid="{00000000-0005-0000-0000-0000137F0000}"/>
    <cellStyle name="SAPBEXstdDataEmph 2 8 5 2 4" xfId="35076" xr:uid="{00000000-0005-0000-0000-0000147F0000}"/>
    <cellStyle name="SAPBEXstdDataEmph 2 8 5 3" xfId="20903" xr:uid="{00000000-0005-0000-0000-0000157F0000}"/>
    <cellStyle name="SAPBEXstdDataEmph 2 8 5 3 2" xfId="20904" xr:uid="{00000000-0005-0000-0000-0000167F0000}"/>
    <cellStyle name="SAPBEXstdDataEmph 2 8 5 3 3" xfId="35077" xr:uid="{00000000-0005-0000-0000-0000177F0000}"/>
    <cellStyle name="SAPBEXstdDataEmph 2 8 5 3 4" xfId="35078" xr:uid="{00000000-0005-0000-0000-0000187F0000}"/>
    <cellStyle name="SAPBEXstdDataEmph 2 8 5 4" xfId="20905" xr:uid="{00000000-0005-0000-0000-0000197F0000}"/>
    <cellStyle name="SAPBEXstdDataEmph 2 8 5 4 2" xfId="20906" xr:uid="{00000000-0005-0000-0000-00001A7F0000}"/>
    <cellStyle name="SAPBEXstdDataEmph 2 8 5 4 3" xfId="35079" xr:uid="{00000000-0005-0000-0000-00001B7F0000}"/>
    <cellStyle name="SAPBEXstdDataEmph 2 8 5 4 4" xfId="35080" xr:uid="{00000000-0005-0000-0000-00001C7F0000}"/>
    <cellStyle name="SAPBEXstdDataEmph 2 8 5 5" xfId="20907" xr:uid="{00000000-0005-0000-0000-00001D7F0000}"/>
    <cellStyle name="SAPBEXstdDataEmph 2 8 5 5 2" xfId="20908" xr:uid="{00000000-0005-0000-0000-00001E7F0000}"/>
    <cellStyle name="SAPBEXstdDataEmph 2 8 5 5 3" xfId="35081" xr:uid="{00000000-0005-0000-0000-00001F7F0000}"/>
    <cellStyle name="SAPBEXstdDataEmph 2 8 5 5 4" xfId="35082" xr:uid="{00000000-0005-0000-0000-0000207F0000}"/>
    <cellStyle name="SAPBEXstdDataEmph 2 8 5 6" xfId="20909" xr:uid="{00000000-0005-0000-0000-0000217F0000}"/>
    <cellStyle name="SAPBEXstdDataEmph 2 8 5 6 2" xfId="20910" xr:uid="{00000000-0005-0000-0000-0000227F0000}"/>
    <cellStyle name="SAPBEXstdDataEmph 2 8 5 6 3" xfId="35083" xr:uid="{00000000-0005-0000-0000-0000237F0000}"/>
    <cellStyle name="SAPBEXstdDataEmph 2 8 5 6 4" xfId="35084" xr:uid="{00000000-0005-0000-0000-0000247F0000}"/>
    <cellStyle name="SAPBEXstdDataEmph 2 8 5 7" xfId="20911" xr:uid="{00000000-0005-0000-0000-0000257F0000}"/>
    <cellStyle name="SAPBEXstdDataEmph 2 8 5 7 2" xfId="20912" xr:uid="{00000000-0005-0000-0000-0000267F0000}"/>
    <cellStyle name="SAPBEXstdDataEmph 2 8 5 7 3" xfId="35085" xr:uid="{00000000-0005-0000-0000-0000277F0000}"/>
    <cellStyle name="SAPBEXstdDataEmph 2 8 5 7 4" xfId="35086" xr:uid="{00000000-0005-0000-0000-0000287F0000}"/>
    <cellStyle name="SAPBEXstdDataEmph 2 8 5 8" xfId="20913" xr:uid="{00000000-0005-0000-0000-0000297F0000}"/>
    <cellStyle name="SAPBEXstdDataEmph 2 8 5 9" xfId="35087" xr:uid="{00000000-0005-0000-0000-00002A7F0000}"/>
    <cellStyle name="SAPBEXstdDataEmph 2 8 6" xfId="20914" xr:uid="{00000000-0005-0000-0000-00002B7F0000}"/>
    <cellStyle name="SAPBEXstdDataEmph 2 8 6 2" xfId="20915" xr:uid="{00000000-0005-0000-0000-00002C7F0000}"/>
    <cellStyle name="SAPBEXstdDataEmph 2 8 6 3" xfId="35088" xr:uid="{00000000-0005-0000-0000-00002D7F0000}"/>
    <cellStyle name="SAPBEXstdDataEmph 2 8 6 4" xfId="35089" xr:uid="{00000000-0005-0000-0000-00002E7F0000}"/>
    <cellStyle name="SAPBEXstdDataEmph 2 8 7" xfId="20916" xr:uid="{00000000-0005-0000-0000-00002F7F0000}"/>
    <cellStyle name="SAPBEXstdDataEmph 2 8 7 2" xfId="20917" xr:uid="{00000000-0005-0000-0000-0000307F0000}"/>
    <cellStyle name="SAPBEXstdDataEmph 2 8 7 3" xfId="35090" xr:uid="{00000000-0005-0000-0000-0000317F0000}"/>
    <cellStyle name="SAPBEXstdDataEmph 2 8 7 4" xfId="35091" xr:uid="{00000000-0005-0000-0000-0000327F0000}"/>
    <cellStyle name="SAPBEXstdDataEmph 2 8 8" xfId="20918" xr:uid="{00000000-0005-0000-0000-0000337F0000}"/>
    <cellStyle name="SAPBEXstdDataEmph 2 8 8 2" xfId="20919" xr:uid="{00000000-0005-0000-0000-0000347F0000}"/>
    <cellStyle name="SAPBEXstdDataEmph 2 8 8 3" xfId="35092" xr:uid="{00000000-0005-0000-0000-0000357F0000}"/>
    <cellStyle name="SAPBEXstdDataEmph 2 8 8 4" xfId="35093" xr:uid="{00000000-0005-0000-0000-0000367F0000}"/>
    <cellStyle name="SAPBEXstdDataEmph 2 8 9" xfId="20920" xr:uid="{00000000-0005-0000-0000-0000377F0000}"/>
    <cellStyle name="SAPBEXstdDataEmph 2 8 9 2" xfId="20921" xr:uid="{00000000-0005-0000-0000-0000387F0000}"/>
    <cellStyle name="SAPBEXstdDataEmph 2 8 9 3" xfId="35094" xr:uid="{00000000-0005-0000-0000-0000397F0000}"/>
    <cellStyle name="SAPBEXstdDataEmph 2 8 9 4" xfId="35095" xr:uid="{00000000-0005-0000-0000-00003A7F0000}"/>
    <cellStyle name="SAPBEXstdDataEmph 2 9" xfId="20922" xr:uid="{00000000-0005-0000-0000-00003B7F0000}"/>
    <cellStyle name="SAPBEXstdDataEmph 2 9 10" xfId="20923" xr:uid="{00000000-0005-0000-0000-00003C7F0000}"/>
    <cellStyle name="SAPBEXstdDataEmph 2 9 10 2" xfId="20924" xr:uid="{00000000-0005-0000-0000-00003D7F0000}"/>
    <cellStyle name="SAPBEXstdDataEmph 2 9 10 3" xfId="35096" xr:uid="{00000000-0005-0000-0000-00003E7F0000}"/>
    <cellStyle name="SAPBEXstdDataEmph 2 9 10 4" xfId="35097" xr:uid="{00000000-0005-0000-0000-00003F7F0000}"/>
    <cellStyle name="SAPBEXstdDataEmph 2 9 11" xfId="20925" xr:uid="{00000000-0005-0000-0000-0000407F0000}"/>
    <cellStyle name="SAPBEXstdDataEmph 2 9 11 2" xfId="20926" xr:uid="{00000000-0005-0000-0000-0000417F0000}"/>
    <cellStyle name="SAPBEXstdDataEmph 2 9 11 3" xfId="35098" xr:uid="{00000000-0005-0000-0000-0000427F0000}"/>
    <cellStyle name="SAPBEXstdDataEmph 2 9 11 4" xfId="35099" xr:uid="{00000000-0005-0000-0000-0000437F0000}"/>
    <cellStyle name="SAPBEXstdDataEmph 2 9 12" xfId="20927" xr:uid="{00000000-0005-0000-0000-0000447F0000}"/>
    <cellStyle name="SAPBEXstdDataEmph 2 9 13" xfId="35100" xr:uid="{00000000-0005-0000-0000-0000457F0000}"/>
    <cellStyle name="SAPBEXstdDataEmph 2 9 14" xfId="35101" xr:uid="{00000000-0005-0000-0000-0000467F0000}"/>
    <cellStyle name="SAPBEXstdDataEmph 2 9 2" xfId="20928" xr:uid="{00000000-0005-0000-0000-0000477F0000}"/>
    <cellStyle name="SAPBEXstdDataEmph 2 9 2 10" xfId="35102" xr:uid="{00000000-0005-0000-0000-0000487F0000}"/>
    <cellStyle name="SAPBEXstdDataEmph 2 9 2 2" xfId="20929" xr:uid="{00000000-0005-0000-0000-0000497F0000}"/>
    <cellStyle name="SAPBEXstdDataEmph 2 9 2 2 2" xfId="20930" xr:uid="{00000000-0005-0000-0000-00004A7F0000}"/>
    <cellStyle name="SAPBEXstdDataEmph 2 9 2 2 3" xfId="35103" xr:uid="{00000000-0005-0000-0000-00004B7F0000}"/>
    <cellStyle name="SAPBEXstdDataEmph 2 9 2 2 4" xfId="35104" xr:uid="{00000000-0005-0000-0000-00004C7F0000}"/>
    <cellStyle name="SAPBEXstdDataEmph 2 9 2 3" xfId="20931" xr:uid="{00000000-0005-0000-0000-00004D7F0000}"/>
    <cellStyle name="SAPBEXstdDataEmph 2 9 2 3 2" xfId="20932" xr:uid="{00000000-0005-0000-0000-00004E7F0000}"/>
    <cellStyle name="SAPBEXstdDataEmph 2 9 2 3 3" xfId="35105" xr:uid="{00000000-0005-0000-0000-00004F7F0000}"/>
    <cellStyle name="SAPBEXstdDataEmph 2 9 2 3 4" xfId="35106" xr:uid="{00000000-0005-0000-0000-0000507F0000}"/>
    <cellStyle name="SAPBEXstdDataEmph 2 9 2 4" xfId="20933" xr:uid="{00000000-0005-0000-0000-0000517F0000}"/>
    <cellStyle name="SAPBEXstdDataEmph 2 9 2 4 2" xfId="20934" xr:uid="{00000000-0005-0000-0000-0000527F0000}"/>
    <cellStyle name="SAPBEXstdDataEmph 2 9 2 4 3" xfId="35107" xr:uid="{00000000-0005-0000-0000-0000537F0000}"/>
    <cellStyle name="SAPBEXstdDataEmph 2 9 2 4 4" xfId="35108" xr:uid="{00000000-0005-0000-0000-0000547F0000}"/>
    <cellStyle name="SAPBEXstdDataEmph 2 9 2 5" xfId="20935" xr:uid="{00000000-0005-0000-0000-0000557F0000}"/>
    <cellStyle name="SAPBEXstdDataEmph 2 9 2 5 2" xfId="20936" xr:uid="{00000000-0005-0000-0000-0000567F0000}"/>
    <cellStyle name="SAPBEXstdDataEmph 2 9 2 5 3" xfId="35109" xr:uid="{00000000-0005-0000-0000-0000577F0000}"/>
    <cellStyle name="SAPBEXstdDataEmph 2 9 2 5 4" xfId="35110" xr:uid="{00000000-0005-0000-0000-0000587F0000}"/>
    <cellStyle name="SAPBEXstdDataEmph 2 9 2 6" xfId="20937" xr:uid="{00000000-0005-0000-0000-0000597F0000}"/>
    <cellStyle name="SAPBEXstdDataEmph 2 9 2 6 2" xfId="20938" xr:uid="{00000000-0005-0000-0000-00005A7F0000}"/>
    <cellStyle name="SAPBEXstdDataEmph 2 9 2 6 3" xfId="35111" xr:uid="{00000000-0005-0000-0000-00005B7F0000}"/>
    <cellStyle name="SAPBEXstdDataEmph 2 9 2 6 4" xfId="35112" xr:uid="{00000000-0005-0000-0000-00005C7F0000}"/>
    <cellStyle name="SAPBEXstdDataEmph 2 9 2 7" xfId="20939" xr:uid="{00000000-0005-0000-0000-00005D7F0000}"/>
    <cellStyle name="SAPBEXstdDataEmph 2 9 2 7 2" xfId="20940" xr:uid="{00000000-0005-0000-0000-00005E7F0000}"/>
    <cellStyle name="SAPBEXstdDataEmph 2 9 2 7 3" xfId="35113" xr:uid="{00000000-0005-0000-0000-00005F7F0000}"/>
    <cellStyle name="SAPBEXstdDataEmph 2 9 2 7 4" xfId="35114" xr:uid="{00000000-0005-0000-0000-0000607F0000}"/>
    <cellStyle name="SAPBEXstdDataEmph 2 9 2 8" xfId="20941" xr:uid="{00000000-0005-0000-0000-0000617F0000}"/>
    <cellStyle name="SAPBEXstdDataEmph 2 9 2 9" xfId="35115" xr:uid="{00000000-0005-0000-0000-0000627F0000}"/>
    <cellStyle name="SAPBEXstdDataEmph 2 9 3" xfId="20942" xr:uid="{00000000-0005-0000-0000-0000637F0000}"/>
    <cellStyle name="SAPBEXstdDataEmph 2 9 3 10" xfId="35116" xr:uid="{00000000-0005-0000-0000-0000647F0000}"/>
    <cellStyle name="SAPBEXstdDataEmph 2 9 3 2" xfId="20943" xr:uid="{00000000-0005-0000-0000-0000657F0000}"/>
    <cellStyle name="SAPBEXstdDataEmph 2 9 3 2 2" xfId="20944" xr:uid="{00000000-0005-0000-0000-0000667F0000}"/>
    <cellStyle name="SAPBEXstdDataEmph 2 9 3 2 3" xfId="35117" xr:uid="{00000000-0005-0000-0000-0000677F0000}"/>
    <cellStyle name="SAPBEXstdDataEmph 2 9 3 2 4" xfId="35118" xr:uid="{00000000-0005-0000-0000-0000687F0000}"/>
    <cellStyle name="SAPBEXstdDataEmph 2 9 3 3" xfId="20945" xr:uid="{00000000-0005-0000-0000-0000697F0000}"/>
    <cellStyle name="SAPBEXstdDataEmph 2 9 3 3 2" xfId="20946" xr:uid="{00000000-0005-0000-0000-00006A7F0000}"/>
    <cellStyle name="SAPBEXstdDataEmph 2 9 3 3 3" xfId="35119" xr:uid="{00000000-0005-0000-0000-00006B7F0000}"/>
    <cellStyle name="SAPBEXstdDataEmph 2 9 3 3 4" xfId="35120" xr:uid="{00000000-0005-0000-0000-00006C7F0000}"/>
    <cellStyle name="SAPBEXstdDataEmph 2 9 3 4" xfId="20947" xr:uid="{00000000-0005-0000-0000-00006D7F0000}"/>
    <cellStyle name="SAPBEXstdDataEmph 2 9 3 4 2" xfId="20948" xr:uid="{00000000-0005-0000-0000-00006E7F0000}"/>
    <cellStyle name="SAPBEXstdDataEmph 2 9 3 4 3" xfId="35121" xr:uid="{00000000-0005-0000-0000-00006F7F0000}"/>
    <cellStyle name="SAPBEXstdDataEmph 2 9 3 4 4" xfId="35122" xr:uid="{00000000-0005-0000-0000-0000707F0000}"/>
    <cellStyle name="SAPBEXstdDataEmph 2 9 3 5" xfId="20949" xr:uid="{00000000-0005-0000-0000-0000717F0000}"/>
    <cellStyle name="SAPBEXstdDataEmph 2 9 3 5 2" xfId="20950" xr:uid="{00000000-0005-0000-0000-0000727F0000}"/>
    <cellStyle name="SAPBEXstdDataEmph 2 9 3 5 3" xfId="35123" xr:uid="{00000000-0005-0000-0000-0000737F0000}"/>
    <cellStyle name="SAPBEXstdDataEmph 2 9 3 5 4" xfId="35124" xr:uid="{00000000-0005-0000-0000-0000747F0000}"/>
    <cellStyle name="SAPBEXstdDataEmph 2 9 3 6" xfId="20951" xr:uid="{00000000-0005-0000-0000-0000757F0000}"/>
    <cellStyle name="SAPBEXstdDataEmph 2 9 3 6 2" xfId="20952" xr:uid="{00000000-0005-0000-0000-0000767F0000}"/>
    <cellStyle name="SAPBEXstdDataEmph 2 9 3 6 3" xfId="35125" xr:uid="{00000000-0005-0000-0000-0000777F0000}"/>
    <cellStyle name="SAPBEXstdDataEmph 2 9 3 6 4" xfId="35126" xr:uid="{00000000-0005-0000-0000-0000787F0000}"/>
    <cellStyle name="SAPBEXstdDataEmph 2 9 3 7" xfId="20953" xr:uid="{00000000-0005-0000-0000-0000797F0000}"/>
    <cellStyle name="SAPBEXstdDataEmph 2 9 3 7 2" xfId="20954" xr:uid="{00000000-0005-0000-0000-00007A7F0000}"/>
    <cellStyle name="SAPBEXstdDataEmph 2 9 3 7 3" xfId="35127" xr:uid="{00000000-0005-0000-0000-00007B7F0000}"/>
    <cellStyle name="SAPBEXstdDataEmph 2 9 3 7 4" xfId="35128" xr:uid="{00000000-0005-0000-0000-00007C7F0000}"/>
    <cellStyle name="SAPBEXstdDataEmph 2 9 3 8" xfId="20955" xr:uid="{00000000-0005-0000-0000-00007D7F0000}"/>
    <cellStyle name="SAPBEXstdDataEmph 2 9 3 9" xfId="35129" xr:uid="{00000000-0005-0000-0000-00007E7F0000}"/>
    <cellStyle name="SAPBEXstdDataEmph 2 9 4" xfId="20956" xr:uid="{00000000-0005-0000-0000-00007F7F0000}"/>
    <cellStyle name="SAPBEXstdDataEmph 2 9 4 10" xfId="35130" xr:uid="{00000000-0005-0000-0000-0000807F0000}"/>
    <cellStyle name="SAPBEXstdDataEmph 2 9 4 2" xfId="20957" xr:uid="{00000000-0005-0000-0000-0000817F0000}"/>
    <cellStyle name="SAPBEXstdDataEmph 2 9 4 2 2" xfId="20958" xr:uid="{00000000-0005-0000-0000-0000827F0000}"/>
    <cellStyle name="SAPBEXstdDataEmph 2 9 4 2 3" xfId="35131" xr:uid="{00000000-0005-0000-0000-0000837F0000}"/>
    <cellStyle name="SAPBEXstdDataEmph 2 9 4 2 4" xfId="35132" xr:uid="{00000000-0005-0000-0000-0000847F0000}"/>
    <cellStyle name="SAPBEXstdDataEmph 2 9 4 3" xfId="20959" xr:uid="{00000000-0005-0000-0000-0000857F0000}"/>
    <cellStyle name="SAPBEXstdDataEmph 2 9 4 3 2" xfId="20960" xr:uid="{00000000-0005-0000-0000-0000867F0000}"/>
    <cellStyle name="SAPBEXstdDataEmph 2 9 4 3 3" xfId="35133" xr:uid="{00000000-0005-0000-0000-0000877F0000}"/>
    <cellStyle name="SAPBEXstdDataEmph 2 9 4 3 4" xfId="35134" xr:uid="{00000000-0005-0000-0000-0000887F0000}"/>
    <cellStyle name="SAPBEXstdDataEmph 2 9 4 4" xfId="20961" xr:uid="{00000000-0005-0000-0000-0000897F0000}"/>
    <cellStyle name="SAPBEXstdDataEmph 2 9 4 4 2" xfId="20962" xr:uid="{00000000-0005-0000-0000-00008A7F0000}"/>
    <cellStyle name="SAPBEXstdDataEmph 2 9 4 4 3" xfId="35135" xr:uid="{00000000-0005-0000-0000-00008B7F0000}"/>
    <cellStyle name="SAPBEXstdDataEmph 2 9 4 4 4" xfId="35136" xr:uid="{00000000-0005-0000-0000-00008C7F0000}"/>
    <cellStyle name="SAPBEXstdDataEmph 2 9 4 5" xfId="20963" xr:uid="{00000000-0005-0000-0000-00008D7F0000}"/>
    <cellStyle name="SAPBEXstdDataEmph 2 9 4 5 2" xfId="20964" xr:uid="{00000000-0005-0000-0000-00008E7F0000}"/>
    <cellStyle name="SAPBEXstdDataEmph 2 9 4 5 3" xfId="35137" xr:uid="{00000000-0005-0000-0000-00008F7F0000}"/>
    <cellStyle name="SAPBEXstdDataEmph 2 9 4 5 4" xfId="35138" xr:uid="{00000000-0005-0000-0000-0000907F0000}"/>
    <cellStyle name="SAPBEXstdDataEmph 2 9 4 6" xfId="20965" xr:uid="{00000000-0005-0000-0000-0000917F0000}"/>
    <cellStyle name="SAPBEXstdDataEmph 2 9 4 6 2" xfId="20966" xr:uid="{00000000-0005-0000-0000-0000927F0000}"/>
    <cellStyle name="SAPBEXstdDataEmph 2 9 4 6 3" xfId="35139" xr:uid="{00000000-0005-0000-0000-0000937F0000}"/>
    <cellStyle name="SAPBEXstdDataEmph 2 9 4 6 4" xfId="35140" xr:uid="{00000000-0005-0000-0000-0000947F0000}"/>
    <cellStyle name="SAPBEXstdDataEmph 2 9 4 7" xfId="20967" xr:uid="{00000000-0005-0000-0000-0000957F0000}"/>
    <cellStyle name="SAPBEXstdDataEmph 2 9 4 7 2" xfId="20968" xr:uid="{00000000-0005-0000-0000-0000967F0000}"/>
    <cellStyle name="SAPBEXstdDataEmph 2 9 4 7 3" xfId="35141" xr:uid="{00000000-0005-0000-0000-0000977F0000}"/>
    <cellStyle name="SAPBEXstdDataEmph 2 9 4 7 4" xfId="35142" xr:uid="{00000000-0005-0000-0000-0000987F0000}"/>
    <cellStyle name="SAPBEXstdDataEmph 2 9 4 8" xfId="20969" xr:uid="{00000000-0005-0000-0000-0000997F0000}"/>
    <cellStyle name="SAPBEXstdDataEmph 2 9 4 9" xfId="35143" xr:uid="{00000000-0005-0000-0000-00009A7F0000}"/>
    <cellStyle name="SAPBEXstdDataEmph 2 9 5" xfId="20970" xr:uid="{00000000-0005-0000-0000-00009B7F0000}"/>
    <cellStyle name="SAPBEXstdDataEmph 2 9 5 10" xfId="35144" xr:uid="{00000000-0005-0000-0000-00009C7F0000}"/>
    <cellStyle name="SAPBEXstdDataEmph 2 9 5 2" xfId="20971" xr:uid="{00000000-0005-0000-0000-00009D7F0000}"/>
    <cellStyle name="SAPBEXstdDataEmph 2 9 5 2 2" xfId="20972" xr:uid="{00000000-0005-0000-0000-00009E7F0000}"/>
    <cellStyle name="SAPBEXstdDataEmph 2 9 5 2 3" xfId="35145" xr:uid="{00000000-0005-0000-0000-00009F7F0000}"/>
    <cellStyle name="SAPBEXstdDataEmph 2 9 5 2 4" xfId="35146" xr:uid="{00000000-0005-0000-0000-0000A07F0000}"/>
    <cellStyle name="SAPBEXstdDataEmph 2 9 5 3" xfId="20973" xr:uid="{00000000-0005-0000-0000-0000A17F0000}"/>
    <cellStyle name="SAPBEXstdDataEmph 2 9 5 3 2" xfId="20974" xr:uid="{00000000-0005-0000-0000-0000A27F0000}"/>
    <cellStyle name="SAPBEXstdDataEmph 2 9 5 3 3" xfId="35147" xr:uid="{00000000-0005-0000-0000-0000A37F0000}"/>
    <cellStyle name="SAPBEXstdDataEmph 2 9 5 3 4" xfId="35148" xr:uid="{00000000-0005-0000-0000-0000A47F0000}"/>
    <cellStyle name="SAPBEXstdDataEmph 2 9 5 4" xfId="20975" xr:uid="{00000000-0005-0000-0000-0000A57F0000}"/>
    <cellStyle name="SAPBEXstdDataEmph 2 9 5 4 2" xfId="20976" xr:uid="{00000000-0005-0000-0000-0000A67F0000}"/>
    <cellStyle name="SAPBEXstdDataEmph 2 9 5 4 3" xfId="35149" xr:uid="{00000000-0005-0000-0000-0000A77F0000}"/>
    <cellStyle name="SAPBEXstdDataEmph 2 9 5 4 4" xfId="35150" xr:uid="{00000000-0005-0000-0000-0000A87F0000}"/>
    <cellStyle name="SAPBEXstdDataEmph 2 9 5 5" xfId="20977" xr:uid="{00000000-0005-0000-0000-0000A97F0000}"/>
    <cellStyle name="SAPBEXstdDataEmph 2 9 5 5 2" xfId="20978" xr:uid="{00000000-0005-0000-0000-0000AA7F0000}"/>
    <cellStyle name="SAPBEXstdDataEmph 2 9 5 5 3" xfId="35151" xr:uid="{00000000-0005-0000-0000-0000AB7F0000}"/>
    <cellStyle name="SAPBEXstdDataEmph 2 9 5 5 4" xfId="35152" xr:uid="{00000000-0005-0000-0000-0000AC7F0000}"/>
    <cellStyle name="SAPBEXstdDataEmph 2 9 5 6" xfId="20979" xr:uid="{00000000-0005-0000-0000-0000AD7F0000}"/>
    <cellStyle name="SAPBEXstdDataEmph 2 9 5 6 2" xfId="20980" xr:uid="{00000000-0005-0000-0000-0000AE7F0000}"/>
    <cellStyle name="SAPBEXstdDataEmph 2 9 5 6 3" xfId="35153" xr:uid="{00000000-0005-0000-0000-0000AF7F0000}"/>
    <cellStyle name="SAPBEXstdDataEmph 2 9 5 6 4" xfId="35154" xr:uid="{00000000-0005-0000-0000-0000B07F0000}"/>
    <cellStyle name="SAPBEXstdDataEmph 2 9 5 7" xfId="20981" xr:uid="{00000000-0005-0000-0000-0000B17F0000}"/>
    <cellStyle name="SAPBEXstdDataEmph 2 9 5 7 2" xfId="20982" xr:uid="{00000000-0005-0000-0000-0000B27F0000}"/>
    <cellStyle name="SAPBEXstdDataEmph 2 9 5 7 3" xfId="35155" xr:uid="{00000000-0005-0000-0000-0000B37F0000}"/>
    <cellStyle name="SAPBEXstdDataEmph 2 9 5 7 4" xfId="35156" xr:uid="{00000000-0005-0000-0000-0000B47F0000}"/>
    <cellStyle name="SAPBEXstdDataEmph 2 9 5 8" xfId="20983" xr:uid="{00000000-0005-0000-0000-0000B57F0000}"/>
    <cellStyle name="SAPBEXstdDataEmph 2 9 5 9" xfId="35157" xr:uid="{00000000-0005-0000-0000-0000B67F0000}"/>
    <cellStyle name="SAPBEXstdDataEmph 2 9 6" xfId="20984" xr:uid="{00000000-0005-0000-0000-0000B77F0000}"/>
    <cellStyle name="SAPBEXstdDataEmph 2 9 6 2" xfId="20985" xr:uid="{00000000-0005-0000-0000-0000B87F0000}"/>
    <cellStyle name="SAPBEXstdDataEmph 2 9 6 3" xfId="35158" xr:uid="{00000000-0005-0000-0000-0000B97F0000}"/>
    <cellStyle name="SAPBEXstdDataEmph 2 9 6 4" xfId="35159" xr:uid="{00000000-0005-0000-0000-0000BA7F0000}"/>
    <cellStyle name="SAPBEXstdDataEmph 2 9 7" xfId="20986" xr:uid="{00000000-0005-0000-0000-0000BB7F0000}"/>
    <cellStyle name="SAPBEXstdDataEmph 2 9 7 2" xfId="20987" xr:uid="{00000000-0005-0000-0000-0000BC7F0000}"/>
    <cellStyle name="SAPBEXstdDataEmph 2 9 7 3" xfId="35160" xr:uid="{00000000-0005-0000-0000-0000BD7F0000}"/>
    <cellStyle name="SAPBEXstdDataEmph 2 9 7 4" xfId="35161" xr:uid="{00000000-0005-0000-0000-0000BE7F0000}"/>
    <cellStyle name="SAPBEXstdDataEmph 2 9 8" xfId="20988" xr:uid="{00000000-0005-0000-0000-0000BF7F0000}"/>
    <cellStyle name="SAPBEXstdDataEmph 2 9 8 2" xfId="20989" xr:uid="{00000000-0005-0000-0000-0000C07F0000}"/>
    <cellStyle name="SAPBEXstdDataEmph 2 9 8 3" xfId="35162" xr:uid="{00000000-0005-0000-0000-0000C17F0000}"/>
    <cellStyle name="SAPBEXstdDataEmph 2 9 8 4" xfId="35163" xr:uid="{00000000-0005-0000-0000-0000C27F0000}"/>
    <cellStyle name="SAPBEXstdDataEmph 2 9 9" xfId="20990" xr:uid="{00000000-0005-0000-0000-0000C37F0000}"/>
    <cellStyle name="SAPBEXstdDataEmph 2 9 9 2" xfId="20991" xr:uid="{00000000-0005-0000-0000-0000C47F0000}"/>
    <cellStyle name="SAPBEXstdDataEmph 2 9 9 3" xfId="35164" xr:uid="{00000000-0005-0000-0000-0000C57F0000}"/>
    <cellStyle name="SAPBEXstdDataEmph 2 9 9 4" xfId="35165" xr:uid="{00000000-0005-0000-0000-0000C67F0000}"/>
    <cellStyle name="SAPBEXstdDataEmph 3" xfId="20992" xr:uid="{00000000-0005-0000-0000-0000C77F0000}"/>
    <cellStyle name="SAPBEXstdDataEmph 4" xfId="35166" xr:uid="{00000000-0005-0000-0000-0000C87F0000}"/>
    <cellStyle name="SAPBEXstdItem" xfId="20993" xr:uid="{00000000-0005-0000-0000-0000C97F0000}"/>
    <cellStyle name="SAPBEXstdItem 2" xfId="20994" xr:uid="{00000000-0005-0000-0000-0000CA7F0000}"/>
    <cellStyle name="SAPBEXstdItem 2 10" xfId="20995" xr:uid="{00000000-0005-0000-0000-0000CB7F0000}"/>
    <cellStyle name="SAPBEXstdItem 2 10 10" xfId="20996" xr:uid="{00000000-0005-0000-0000-0000CC7F0000}"/>
    <cellStyle name="SAPBEXstdItem 2 10 10 2" xfId="20997" xr:uid="{00000000-0005-0000-0000-0000CD7F0000}"/>
    <cellStyle name="SAPBEXstdItem 2 10 10 3" xfId="35167" xr:uid="{00000000-0005-0000-0000-0000CE7F0000}"/>
    <cellStyle name="SAPBEXstdItem 2 10 10 4" xfId="35168" xr:uid="{00000000-0005-0000-0000-0000CF7F0000}"/>
    <cellStyle name="SAPBEXstdItem 2 10 11" xfId="20998" xr:uid="{00000000-0005-0000-0000-0000D07F0000}"/>
    <cellStyle name="SAPBEXstdItem 2 10 11 2" xfId="20999" xr:uid="{00000000-0005-0000-0000-0000D17F0000}"/>
    <cellStyle name="SAPBEXstdItem 2 10 11 3" xfId="35169" xr:uid="{00000000-0005-0000-0000-0000D27F0000}"/>
    <cellStyle name="SAPBEXstdItem 2 10 11 4" xfId="35170" xr:uid="{00000000-0005-0000-0000-0000D37F0000}"/>
    <cellStyle name="SAPBEXstdItem 2 10 12" xfId="21000" xr:uid="{00000000-0005-0000-0000-0000D47F0000}"/>
    <cellStyle name="SAPBEXstdItem 2 10 13" xfId="35171" xr:uid="{00000000-0005-0000-0000-0000D57F0000}"/>
    <cellStyle name="SAPBEXstdItem 2 10 14" xfId="35172" xr:uid="{00000000-0005-0000-0000-0000D67F0000}"/>
    <cellStyle name="SAPBEXstdItem 2 10 2" xfId="21001" xr:uid="{00000000-0005-0000-0000-0000D77F0000}"/>
    <cellStyle name="SAPBEXstdItem 2 10 2 10" xfId="35173" xr:uid="{00000000-0005-0000-0000-0000D87F0000}"/>
    <cellStyle name="SAPBEXstdItem 2 10 2 2" xfId="21002" xr:uid="{00000000-0005-0000-0000-0000D97F0000}"/>
    <cellStyle name="SAPBEXstdItem 2 10 2 2 2" xfId="21003" xr:uid="{00000000-0005-0000-0000-0000DA7F0000}"/>
    <cellStyle name="SAPBEXstdItem 2 10 2 2 3" xfId="35174" xr:uid="{00000000-0005-0000-0000-0000DB7F0000}"/>
    <cellStyle name="SAPBEXstdItem 2 10 2 2 4" xfId="35175" xr:uid="{00000000-0005-0000-0000-0000DC7F0000}"/>
    <cellStyle name="SAPBEXstdItem 2 10 2 3" xfId="21004" xr:uid="{00000000-0005-0000-0000-0000DD7F0000}"/>
    <cellStyle name="SAPBEXstdItem 2 10 2 3 2" xfId="21005" xr:uid="{00000000-0005-0000-0000-0000DE7F0000}"/>
    <cellStyle name="SAPBEXstdItem 2 10 2 3 3" xfId="35176" xr:uid="{00000000-0005-0000-0000-0000DF7F0000}"/>
    <cellStyle name="SAPBEXstdItem 2 10 2 3 4" xfId="35177" xr:uid="{00000000-0005-0000-0000-0000E07F0000}"/>
    <cellStyle name="SAPBEXstdItem 2 10 2 4" xfId="21006" xr:uid="{00000000-0005-0000-0000-0000E17F0000}"/>
    <cellStyle name="SAPBEXstdItem 2 10 2 4 2" xfId="21007" xr:uid="{00000000-0005-0000-0000-0000E27F0000}"/>
    <cellStyle name="SAPBEXstdItem 2 10 2 4 3" xfId="35178" xr:uid="{00000000-0005-0000-0000-0000E37F0000}"/>
    <cellStyle name="SAPBEXstdItem 2 10 2 4 4" xfId="35179" xr:uid="{00000000-0005-0000-0000-0000E47F0000}"/>
    <cellStyle name="SAPBEXstdItem 2 10 2 5" xfId="21008" xr:uid="{00000000-0005-0000-0000-0000E57F0000}"/>
    <cellStyle name="SAPBEXstdItem 2 10 2 5 2" xfId="21009" xr:uid="{00000000-0005-0000-0000-0000E67F0000}"/>
    <cellStyle name="SAPBEXstdItem 2 10 2 5 3" xfId="35180" xr:uid="{00000000-0005-0000-0000-0000E77F0000}"/>
    <cellStyle name="SAPBEXstdItem 2 10 2 5 4" xfId="35181" xr:uid="{00000000-0005-0000-0000-0000E87F0000}"/>
    <cellStyle name="SAPBEXstdItem 2 10 2 6" xfId="21010" xr:uid="{00000000-0005-0000-0000-0000E97F0000}"/>
    <cellStyle name="SAPBEXstdItem 2 10 2 6 2" xfId="21011" xr:uid="{00000000-0005-0000-0000-0000EA7F0000}"/>
    <cellStyle name="SAPBEXstdItem 2 10 2 6 3" xfId="35182" xr:uid="{00000000-0005-0000-0000-0000EB7F0000}"/>
    <cellStyle name="SAPBEXstdItem 2 10 2 6 4" xfId="35183" xr:uid="{00000000-0005-0000-0000-0000EC7F0000}"/>
    <cellStyle name="SAPBEXstdItem 2 10 2 7" xfId="21012" xr:uid="{00000000-0005-0000-0000-0000ED7F0000}"/>
    <cellStyle name="SAPBEXstdItem 2 10 2 7 2" xfId="21013" xr:uid="{00000000-0005-0000-0000-0000EE7F0000}"/>
    <cellStyle name="SAPBEXstdItem 2 10 2 7 3" xfId="35184" xr:uid="{00000000-0005-0000-0000-0000EF7F0000}"/>
    <cellStyle name="SAPBEXstdItem 2 10 2 7 4" xfId="35185" xr:uid="{00000000-0005-0000-0000-0000F07F0000}"/>
    <cellStyle name="SAPBEXstdItem 2 10 2 8" xfId="21014" xr:uid="{00000000-0005-0000-0000-0000F17F0000}"/>
    <cellStyle name="SAPBEXstdItem 2 10 2 9" xfId="35186" xr:uid="{00000000-0005-0000-0000-0000F27F0000}"/>
    <cellStyle name="SAPBEXstdItem 2 10 3" xfId="21015" xr:uid="{00000000-0005-0000-0000-0000F37F0000}"/>
    <cellStyle name="SAPBEXstdItem 2 10 3 10" xfId="35187" xr:uid="{00000000-0005-0000-0000-0000F47F0000}"/>
    <cellStyle name="SAPBEXstdItem 2 10 3 2" xfId="21016" xr:uid="{00000000-0005-0000-0000-0000F57F0000}"/>
    <cellStyle name="SAPBEXstdItem 2 10 3 2 2" xfId="21017" xr:uid="{00000000-0005-0000-0000-0000F67F0000}"/>
    <cellStyle name="SAPBEXstdItem 2 10 3 2 3" xfId="35188" xr:uid="{00000000-0005-0000-0000-0000F77F0000}"/>
    <cellStyle name="SAPBEXstdItem 2 10 3 2 4" xfId="35189" xr:uid="{00000000-0005-0000-0000-0000F87F0000}"/>
    <cellStyle name="SAPBEXstdItem 2 10 3 3" xfId="21018" xr:uid="{00000000-0005-0000-0000-0000F97F0000}"/>
    <cellStyle name="SAPBEXstdItem 2 10 3 3 2" xfId="21019" xr:uid="{00000000-0005-0000-0000-0000FA7F0000}"/>
    <cellStyle name="SAPBEXstdItem 2 10 3 3 3" xfId="35190" xr:uid="{00000000-0005-0000-0000-0000FB7F0000}"/>
    <cellStyle name="SAPBEXstdItem 2 10 3 3 4" xfId="35191" xr:uid="{00000000-0005-0000-0000-0000FC7F0000}"/>
    <cellStyle name="SAPBEXstdItem 2 10 3 4" xfId="21020" xr:uid="{00000000-0005-0000-0000-0000FD7F0000}"/>
    <cellStyle name="SAPBEXstdItem 2 10 3 4 2" xfId="21021" xr:uid="{00000000-0005-0000-0000-0000FE7F0000}"/>
    <cellStyle name="SAPBEXstdItem 2 10 3 4 3" xfId="35192" xr:uid="{00000000-0005-0000-0000-0000FF7F0000}"/>
    <cellStyle name="SAPBEXstdItem 2 10 3 4 4" xfId="35193" xr:uid="{00000000-0005-0000-0000-000000800000}"/>
    <cellStyle name="SAPBEXstdItem 2 10 3 5" xfId="21022" xr:uid="{00000000-0005-0000-0000-000001800000}"/>
    <cellStyle name="SAPBEXstdItem 2 10 3 5 2" xfId="21023" xr:uid="{00000000-0005-0000-0000-000002800000}"/>
    <cellStyle name="SAPBEXstdItem 2 10 3 5 3" xfId="35194" xr:uid="{00000000-0005-0000-0000-000003800000}"/>
    <cellStyle name="SAPBEXstdItem 2 10 3 5 4" xfId="35195" xr:uid="{00000000-0005-0000-0000-000004800000}"/>
    <cellStyle name="SAPBEXstdItem 2 10 3 6" xfId="21024" xr:uid="{00000000-0005-0000-0000-000005800000}"/>
    <cellStyle name="SAPBEXstdItem 2 10 3 6 2" xfId="21025" xr:uid="{00000000-0005-0000-0000-000006800000}"/>
    <cellStyle name="SAPBEXstdItem 2 10 3 6 3" xfId="35196" xr:uid="{00000000-0005-0000-0000-000007800000}"/>
    <cellStyle name="SAPBEXstdItem 2 10 3 6 4" xfId="35197" xr:uid="{00000000-0005-0000-0000-000008800000}"/>
    <cellStyle name="SAPBEXstdItem 2 10 3 7" xfId="21026" xr:uid="{00000000-0005-0000-0000-000009800000}"/>
    <cellStyle name="SAPBEXstdItem 2 10 3 7 2" xfId="21027" xr:uid="{00000000-0005-0000-0000-00000A800000}"/>
    <cellStyle name="SAPBEXstdItem 2 10 3 7 3" xfId="35198" xr:uid="{00000000-0005-0000-0000-00000B800000}"/>
    <cellStyle name="SAPBEXstdItem 2 10 3 7 4" xfId="35199" xr:uid="{00000000-0005-0000-0000-00000C800000}"/>
    <cellStyle name="SAPBEXstdItem 2 10 3 8" xfId="21028" xr:uid="{00000000-0005-0000-0000-00000D800000}"/>
    <cellStyle name="SAPBEXstdItem 2 10 3 9" xfId="35200" xr:uid="{00000000-0005-0000-0000-00000E800000}"/>
    <cellStyle name="SAPBEXstdItem 2 10 4" xfId="21029" xr:uid="{00000000-0005-0000-0000-00000F800000}"/>
    <cellStyle name="SAPBEXstdItem 2 10 4 10" xfId="35201" xr:uid="{00000000-0005-0000-0000-000010800000}"/>
    <cellStyle name="SAPBEXstdItem 2 10 4 2" xfId="21030" xr:uid="{00000000-0005-0000-0000-000011800000}"/>
    <cellStyle name="SAPBEXstdItem 2 10 4 2 2" xfId="21031" xr:uid="{00000000-0005-0000-0000-000012800000}"/>
    <cellStyle name="SAPBEXstdItem 2 10 4 2 3" xfId="35202" xr:uid="{00000000-0005-0000-0000-000013800000}"/>
    <cellStyle name="SAPBEXstdItem 2 10 4 2 4" xfId="35203" xr:uid="{00000000-0005-0000-0000-000014800000}"/>
    <cellStyle name="SAPBEXstdItem 2 10 4 3" xfId="21032" xr:uid="{00000000-0005-0000-0000-000015800000}"/>
    <cellStyle name="SAPBEXstdItem 2 10 4 3 2" xfId="21033" xr:uid="{00000000-0005-0000-0000-000016800000}"/>
    <cellStyle name="SAPBEXstdItem 2 10 4 3 3" xfId="35204" xr:uid="{00000000-0005-0000-0000-000017800000}"/>
    <cellStyle name="SAPBEXstdItem 2 10 4 3 4" xfId="35205" xr:uid="{00000000-0005-0000-0000-000018800000}"/>
    <cellStyle name="SAPBEXstdItem 2 10 4 4" xfId="21034" xr:uid="{00000000-0005-0000-0000-000019800000}"/>
    <cellStyle name="SAPBEXstdItem 2 10 4 4 2" xfId="21035" xr:uid="{00000000-0005-0000-0000-00001A800000}"/>
    <cellStyle name="SAPBEXstdItem 2 10 4 4 3" xfId="35206" xr:uid="{00000000-0005-0000-0000-00001B800000}"/>
    <cellStyle name="SAPBEXstdItem 2 10 4 4 4" xfId="35207" xr:uid="{00000000-0005-0000-0000-00001C800000}"/>
    <cellStyle name="SAPBEXstdItem 2 10 4 5" xfId="21036" xr:uid="{00000000-0005-0000-0000-00001D800000}"/>
    <cellStyle name="SAPBEXstdItem 2 10 4 5 2" xfId="21037" xr:uid="{00000000-0005-0000-0000-00001E800000}"/>
    <cellStyle name="SAPBEXstdItem 2 10 4 5 3" xfId="35208" xr:uid="{00000000-0005-0000-0000-00001F800000}"/>
    <cellStyle name="SAPBEXstdItem 2 10 4 5 4" xfId="35209" xr:uid="{00000000-0005-0000-0000-000020800000}"/>
    <cellStyle name="SAPBEXstdItem 2 10 4 6" xfId="21038" xr:uid="{00000000-0005-0000-0000-000021800000}"/>
    <cellStyle name="SAPBEXstdItem 2 10 4 6 2" xfId="21039" xr:uid="{00000000-0005-0000-0000-000022800000}"/>
    <cellStyle name="SAPBEXstdItem 2 10 4 6 3" xfId="35210" xr:uid="{00000000-0005-0000-0000-000023800000}"/>
    <cellStyle name="SAPBEXstdItem 2 10 4 6 4" xfId="35211" xr:uid="{00000000-0005-0000-0000-000024800000}"/>
    <cellStyle name="SAPBEXstdItem 2 10 4 7" xfId="21040" xr:uid="{00000000-0005-0000-0000-000025800000}"/>
    <cellStyle name="SAPBEXstdItem 2 10 4 7 2" xfId="21041" xr:uid="{00000000-0005-0000-0000-000026800000}"/>
    <cellStyle name="SAPBEXstdItem 2 10 4 7 3" xfId="35212" xr:uid="{00000000-0005-0000-0000-000027800000}"/>
    <cellStyle name="SAPBEXstdItem 2 10 4 7 4" xfId="35213" xr:uid="{00000000-0005-0000-0000-000028800000}"/>
    <cellStyle name="SAPBEXstdItem 2 10 4 8" xfId="21042" xr:uid="{00000000-0005-0000-0000-000029800000}"/>
    <cellStyle name="SAPBEXstdItem 2 10 4 9" xfId="35214" xr:uid="{00000000-0005-0000-0000-00002A800000}"/>
    <cellStyle name="SAPBEXstdItem 2 10 5" xfId="21043" xr:uid="{00000000-0005-0000-0000-00002B800000}"/>
    <cellStyle name="SAPBEXstdItem 2 10 5 10" xfId="35215" xr:uid="{00000000-0005-0000-0000-00002C800000}"/>
    <cellStyle name="SAPBEXstdItem 2 10 5 2" xfId="21044" xr:uid="{00000000-0005-0000-0000-00002D800000}"/>
    <cellStyle name="SAPBEXstdItem 2 10 5 2 2" xfId="21045" xr:uid="{00000000-0005-0000-0000-00002E800000}"/>
    <cellStyle name="SAPBEXstdItem 2 10 5 2 3" xfId="35216" xr:uid="{00000000-0005-0000-0000-00002F800000}"/>
    <cellStyle name="SAPBEXstdItem 2 10 5 2 4" xfId="35217" xr:uid="{00000000-0005-0000-0000-000030800000}"/>
    <cellStyle name="SAPBEXstdItem 2 10 5 3" xfId="21046" xr:uid="{00000000-0005-0000-0000-000031800000}"/>
    <cellStyle name="SAPBEXstdItem 2 10 5 3 2" xfId="21047" xr:uid="{00000000-0005-0000-0000-000032800000}"/>
    <cellStyle name="SAPBEXstdItem 2 10 5 3 3" xfId="35218" xr:uid="{00000000-0005-0000-0000-000033800000}"/>
    <cellStyle name="SAPBEXstdItem 2 10 5 3 4" xfId="35219" xr:uid="{00000000-0005-0000-0000-000034800000}"/>
    <cellStyle name="SAPBEXstdItem 2 10 5 4" xfId="21048" xr:uid="{00000000-0005-0000-0000-000035800000}"/>
    <cellStyle name="SAPBEXstdItem 2 10 5 4 2" xfId="21049" xr:uid="{00000000-0005-0000-0000-000036800000}"/>
    <cellStyle name="SAPBEXstdItem 2 10 5 4 3" xfId="35220" xr:uid="{00000000-0005-0000-0000-000037800000}"/>
    <cellStyle name="SAPBEXstdItem 2 10 5 4 4" xfId="35221" xr:uid="{00000000-0005-0000-0000-000038800000}"/>
    <cellStyle name="SAPBEXstdItem 2 10 5 5" xfId="21050" xr:uid="{00000000-0005-0000-0000-000039800000}"/>
    <cellStyle name="SAPBEXstdItem 2 10 5 5 2" xfId="21051" xr:uid="{00000000-0005-0000-0000-00003A800000}"/>
    <cellStyle name="SAPBEXstdItem 2 10 5 5 3" xfId="35222" xr:uid="{00000000-0005-0000-0000-00003B800000}"/>
    <cellStyle name="SAPBEXstdItem 2 10 5 5 4" xfId="35223" xr:uid="{00000000-0005-0000-0000-00003C800000}"/>
    <cellStyle name="SAPBEXstdItem 2 10 5 6" xfId="21052" xr:uid="{00000000-0005-0000-0000-00003D800000}"/>
    <cellStyle name="SAPBEXstdItem 2 10 5 6 2" xfId="21053" xr:uid="{00000000-0005-0000-0000-00003E800000}"/>
    <cellStyle name="SAPBEXstdItem 2 10 5 6 3" xfId="35224" xr:uid="{00000000-0005-0000-0000-00003F800000}"/>
    <cellStyle name="SAPBEXstdItem 2 10 5 6 4" xfId="35225" xr:uid="{00000000-0005-0000-0000-000040800000}"/>
    <cellStyle name="SAPBEXstdItem 2 10 5 7" xfId="21054" xr:uid="{00000000-0005-0000-0000-000041800000}"/>
    <cellStyle name="SAPBEXstdItem 2 10 5 7 2" xfId="21055" xr:uid="{00000000-0005-0000-0000-000042800000}"/>
    <cellStyle name="SAPBEXstdItem 2 10 5 7 3" xfId="35226" xr:uid="{00000000-0005-0000-0000-000043800000}"/>
    <cellStyle name="SAPBEXstdItem 2 10 5 7 4" xfId="35227" xr:uid="{00000000-0005-0000-0000-000044800000}"/>
    <cellStyle name="SAPBEXstdItem 2 10 5 8" xfId="21056" xr:uid="{00000000-0005-0000-0000-000045800000}"/>
    <cellStyle name="SAPBEXstdItem 2 10 5 9" xfId="35228" xr:uid="{00000000-0005-0000-0000-000046800000}"/>
    <cellStyle name="SAPBEXstdItem 2 10 6" xfId="21057" xr:uid="{00000000-0005-0000-0000-000047800000}"/>
    <cellStyle name="SAPBEXstdItem 2 10 6 2" xfId="21058" xr:uid="{00000000-0005-0000-0000-000048800000}"/>
    <cellStyle name="SAPBEXstdItem 2 10 6 3" xfId="35229" xr:uid="{00000000-0005-0000-0000-000049800000}"/>
    <cellStyle name="SAPBEXstdItem 2 10 6 4" xfId="35230" xr:uid="{00000000-0005-0000-0000-00004A800000}"/>
    <cellStyle name="SAPBEXstdItem 2 10 7" xfId="21059" xr:uid="{00000000-0005-0000-0000-00004B800000}"/>
    <cellStyle name="SAPBEXstdItem 2 10 7 2" xfId="21060" xr:uid="{00000000-0005-0000-0000-00004C800000}"/>
    <cellStyle name="SAPBEXstdItem 2 10 7 3" xfId="35231" xr:uid="{00000000-0005-0000-0000-00004D800000}"/>
    <cellStyle name="SAPBEXstdItem 2 10 7 4" xfId="35232" xr:uid="{00000000-0005-0000-0000-00004E800000}"/>
    <cellStyle name="SAPBEXstdItem 2 10 8" xfId="21061" xr:uid="{00000000-0005-0000-0000-00004F800000}"/>
    <cellStyle name="SAPBEXstdItem 2 10 8 2" xfId="21062" xr:uid="{00000000-0005-0000-0000-000050800000}"/>
    <cellStyle name="SAPBEXstdItem 2 10 8 3" xfId="35233" xr:uid="{00000000-0005-0000-0000-000051800000}"/>
    <cellStyle name="SAPBEXstdItem 2 10 8 4" xfId="35234" xr:uid="{00000000-0005-0000-0000-000052800000}"/>
    <cellStyle name="SAPBEXstdItem 2 10 9" xfId="21063" xr:uid="{00000000-0005-0000-0000-000053800000}"/>
    <cellStyle name="SAPBEXstdItem 2 10 9 2" xfId="21064" xr:uid="{00000000-0005-0000-0000-000054800000}"/>
    <cellStyle name="SAPBEXstdItem 2 10 9 3" xfId="35235" xr:uid="{00000000-0005-0000-0000-000055800000}"/>
    <cellStyle name="SAPBEXstdItem 2 10 9 4" xfId="35236" xr:uid="{00000000-0005-0000-0000-000056800000}"/>
    <cellStyle name="SAPBEXstdItem 2 11" xfId="21065" xr:uid="{00000000-0005-0000-0000-000057800000}"/>
    <cellStyle name="SAPBEXstdItem 2 11 10" xfId="21066" xr:uid="{00000000-0005-0000-0000-000058800000}"/>
    <cellStyle name="SAPBEXstdItem 2 11 10 2" xfId="21067" xr:uid="{00000000-0005-0000-0000-000059800000}"/>
    <cellStyle name="SAPBEXstdItem 2 11 10 3" xfId="35237" xr:uid="{00000000-0005-0000-0000-00005A800000}"/>
    <cellStyle name="SAPBEXstdItem 2 11 10 4" xfId="35238" xr:uid="{00000000-0005-0000-0000-00005B800000}"/>
    <cellStyle name="SAPBEXstdItem 2 11 11" xfId="21068" xr:uid="{00000000-0005-0000-0000-00005C800000}"/>
    <cellStyle name="SAPBEXstdItem 2 11 11 2" xfId="21069" xr:uid="{00000000-0005-0000-0000-00005D800000}"/>
    <cellStyle name="SAPBEXstdItem 2 11 11 3" xfId="35239" xr:uid="{00000000-0005-0000-0000-00005E800000}"/>
    <cellStyle name="SAPBEXstdItem 2 11 11 4" xfId="35240" xr:uid="{00000000-0005-0000-0000-00005F800000}"/>
    <cellStyle name="SAPBEXstdItem 2 11 12" xfId="21070" xr:uid="{00000000-0005-0000-0000-000060800000}"/>
    <cellStyle name="SAPBEXstdItem 2 11 13" xfId="35241" xr:uid="{00000000-0005-0000-0000-000061800000}"/>
    <cellStyle name="SAPBEXstdItem 2 11 14" xfId="35242" xr:uid="{00000000-0005-0000-0000-000062800000}"/>
    <cellStyle name="SAPBEXstdItem 2 11 2" xfId="21071" xr:uid="{00000000-0005-0000-0000-000063800000}"/>
    <cellStyle name="SAPBEXstdItem 2 11 2 10" xfId="35243" xr:uid="{00000000-0005-0000-0000-000064800000}"/>
    <cellStyle name="SAPBEXstdItem 2 11 2 2" xfId="21072" xr:uid="{00000000-0005-0000-0000-000065800000}"/>
    <cellStyle name="SAPBEXstdItem 2 11 2 2 2" xfId="21073" xr:uid="{00000000-0005-0000-0000-000066800000}"/>
    <cellStyle name="SAPBEXstdItem 2 11 2 2 3" xfId="35244" xr:uid="{00000000-0005-0000-0000-000067800000}"/>
    <cellStyle name="SAPBEXstdItem 2 11 2 2 4" xfId="35245" xr:uid="{00000000-0005-0000-0000-000068800000}"/>
    <cellStyle name="SAPBEXstdItem 2 11 2 3" xfId="21074" xr:uid="{00000000-0005-0000-0000-000069800000}"/>
    <cellStyle name="SAPBEXstdItem 2 11 2 3 2" xfId="21075" xr:uid="{00000000-0005-0000-0000-00006A800000}"/>
    <cellStyle name="SAPBEXstdItem 2 11 2 3 3" xfId="35246" xr:uid="{00000000-0005-0000-0000-00006B800000}"/>
    <cellStyle name="SAPBEXstdItem 2 11 2 3 4" xfId="35247" xr:uid="{00000000-0005-0000-0000-00006C800000}"/>
    <cellStyle name="SAPBEXstdItem 2 11 2 4" xfId="21076" xr:uid="{00000000-0005-0000-0000-00006D800000}"/>
    <cellStyle name="SAPBEXstdItem 2 11 2 4 2" xfId="21077" xr:uid="{00000000-0005-0000-0000-00006E800000}"/>
    <cellStyle name="SAPBEXstdItem 2 11 2 4 3" xfId="35248" xr:uid="{00000000-0005-0000-0000-00006F800000}"/>
    <cellStyle name="SAPBEXstdItem 2 11 2 4 4" xfId="35249" xr:uid="{00000000-0005-0000-0000-000070800000}"/>
    <cellStyle name="SAPBEXstdItem 2 11 2 5" xfId="21078" xr:uid="{00000000-0005-0000-0000-000071800000}"/>
    <cellStyle name="SAPBEXstdItem 2 11 2 5 2" xfId="21079" xr:uid="{00000000-0005-0000-0000-000072800000}"/>
    <cellStyle name="SAPBEXstdItem 2 11 2 5 3" xfId="35250" xr:uid="{00000000-0005-0000-0000-000073800000}"/>
    <cellStyle name="SAPBEXstdItem 2 11 2 5 4" xfId="35251" xr:uid="{00000000-0005-0000-0000-000074800000}"/>
    <cellStyle name="SAPBEXstdItem 2 11 2 6" xfId="21080" xr:uid="{00000000-0005-0000-0000-000075800000}"/>
    <cellStyle name="SAPBEXstdItem 2 11 2 6 2" xfId="21081" xr:uid="{00000000-0005-0000-0000-000076800000}"/>
    <cellStyle name="SAPBEXstdItem 2 11 2 6 3" xfId="35252" xr:uid="{00000000-0005-0000-0000-000077800000}"/>
    <cellStyle name="SAPBEXstdItem 2 11 2 6 4" xfId="35253" xr:uid="{00000000-0005-0000-0000-000078800000}"/>
    <cellStyle name="SAPBEXstdItem 2 11 2 7" xfId="21082" xr:uid="{00000000-0005-0000-0000-000079800000}"/>
    <cellStyle name="SAPBEXstdItem 2 11 2 7 2" xfId="21083" xr:uid="{00000000-0005-0000-0000-00007A800000}"/>
    <cellStyle name="SAPBEXstdItem 2 11 2 7 3" xfId="35254" xr:uid="{00000000-0005-0000-0000-00007B800000}"/>
    <cellStyle name="SAPBEXstdItem 2 11 2 7 4" xfId="35255" xr:uid="{00000000-0005-0000-0000-00007C800000}"/>
    <cellStyle name="SAPBEXstdItem 2 11 2 8" xfId="21084" xr:uid="{00000000-0005-0000-0000-00007D800000}"/>
    <cellStyle name="SAPBEXstdItem 2 11 2 9" xfId="35256" xr:uid="{00000000-0005-0000-0000-00007E800000}"/>
    <cellStyle name="SAPBEXstdItem 2 11 3" xfId="21085" xr:uid="{00000000-0005-0000-0000-00007F800000}"/>
    <cellStyle name="SAPBEXstdItem 2 11 3 10" xfId="35257" xr:uid="{00000000-0005-0000-0000-000080800000}"/>
    <cellStyle name="SAPBEXstdItem 2 11 3 2" xfId="21086" xr:uid="{00000000-0005-0000-0000-000081800000}"/>
    <cellStyle name="SAPBEXstdItem 2 11 3 2 2" xfId="21087" xr:uid="{00000000-0005-0000-0000-000082800000}"/>
    <cellStyle name="SAPBEXstdItem 2 11 3 2 3" xfId="35258" xr:uid="{00000000-0005-0000-0000-000083800000}"/>
    <cellStyle name="SAPBEXstdItem 2 11 3 2 4" xfId="35259" xr:uid="{00000000-0005-0000-0000-000084800000}"/>
    <cellStyle name="SAPBEXstdItem 2 11 3 3" xfId="21088" xr:uid="{00000000-0005-0000-0000-000085800000}"/>
    <cellStyle name="SAPBEXstdItem 2 11 3 3 2" xfId="21089" xr:uid="{00000000-0005-0000-0000-000086800000}"/>
    <cellStyle name="SAPBEXstdItem 2 11 3 3 3" xfId="35260" xr:uid="{00000000-0005-0000-0000-000087800000}"/>
    <cellStyle name="SAPBEXstdItem 2 11 3 3 4" xfId="35261" xr:uid="{00000000-0005-0000-0000-000088800000}"/>
    <cellStyle name="SAPBEXstdItem 2 11 3 4" xfId="21090" xr:uid="{00000000-0005-0000-0000-000089800000}"/>
    <cellStyle name="SAPBEXstdItem 2 11 3 4 2" xfId="21091" xr:uid="{00000000-0005-0000-0000-00008A800000}"/>
    <cellStyle name="SAPBEXstdItem 2 11 3 4 3" xfId="35262" xr:uid="{00000000-0005-0000-0000-00008B800000}"/>
    <cellStyle name="SAPBEXstdItem 2 11 3 4 4" xfId="35263" xr:uid="{00000000-0005-0000-0000-00008C800000}"/>
    <cellStyle name="SAPBEXstdItem 2 11 3 5" xfId="21092" xr:uid="{00000000-0005-0000-0000-00008D800000}"/>
    <cellStyle name="SAPBEXstdItem 2 11 3 5 2" xfId="21093" xr:uid="{00000000-0005-0000-0000-00008E800000}"/>
    <cellStyle name="SAPBEXstdItem 2 11 3 5 3" xfId="35264" xr:uid="{00000000-0005-0000-0000-00008F800000}"/>
    <cellStyle name="SAPBEXstdItem 2 11 3 5 4" xfId="35265" xr:uid="{00000000-0005-0000-0000-000090800000}"/>
    <cellStyle name="SAPBEXstdItem 2 11 3 6" xfId="21094" xr:uid="{00000000-0005-0000-0000-000091800000}"/>
    <cellStyle name="SAPBEXstdItem 2 11 3 6 2" xfId="21095" xr:uid="{00000000-0005-0000-0000-000092800000}"/>
    <cellStyle name="SAPBEXstdItem 2 11 3 6 3" xfId="35266" xr:uid="{00000000-0005-0000-0000-000093800000}"/>
    <cellStyle name="SAPBEXstdItem 2 11 3 6 4" xfId="35267" xr:uid="{00000000-0005-0000-0000-000094800000}"/>
    <cellStyle name="SAPBEXstdItem 2 11 3 7" xfId="21096" xr:uid="{00000000-0005-0000-0000-000095800000}"/>
    <cellStyle name="SAPBEXstdItem 2 11 3 7 2" xfId="21097" xr:uid="{00000000-0005-0000-0000-000096800000}"/>
    <cellStyle name="SAPBEXstdItem 2 11 3 7 3" xfId="35268" xr:uid="{00000000-0005-0000-0000-000097800000}"/>
    <cellStyle name="SAPBEXstdItem 2 11 3 7 4" xfId="35269" xr:uid="{00000000-0005-0000-0000-000098800000}"/>
    <cellStyle name="SAPBEXstdItem 2 11 3 8" xfId="21098" xr:uid="{00000000-0005-0000-0000-000099800000}"/>
    <cellStyle name="SAPBEXstdItem 2 11 3 9" xfId="35270" xr:uid="{00000000-0005-0000-0000-00009A800000}"/>
    <cellStyle name="SAPBEXstdItem 2 11 4" xfId="21099" xr:uid="{00000000-0005-0000-0000-00009B800000}"/>
    <cellStyle name="SAPBEXstdItem 2 11 4 10" xfId="35271" xr:uid="{00000000-0005-0000-0000-00009C800000}"/>
    <cellStyle name="SAPBEXstdItem 2 11 4 2" xfId="21100" xr:uid="{00000000-0005-0000-0000-00009D800000}"/>
    <cellStyle name="SAPBEXstdItem 2 11 4 2 2" xfId="21101" xr:uid="{00000000-0005-0000-0000-00009E800000}"/>
    <cellStyle name="SAPBEXstdItem 2 11 4 2 3" xfId="35272" xr:uid="{00000000-0005-0000-0000-00009F800000}"/>
    <cellStyle name="SAPBEXstdItem 2 11 4 2 4" xfId="35273" xr:uid="{00000000-0005-0000-0000-0000A0800000}"/>
    <cellStyle name="SAPBEXstdItem 2 11 4 3" xfId="21102" xr:uid="{00000000-0005-0000-0000-0000A1800000}"/>
    <cellStyle name="SAPBEXstdItem 2 11 4 3 2" xfId="21103" xr:uid="{00000000-0005-0000-0000-0000A2800000}"/>
    <cellStyle name="SAPBEXstdItem 2 11 4 3 3" xfId="35274" xr:uid="{00000000-0005-0000-0000-0000A3800000}"/>
    <cellStyle name="SAPBEXstdItem 2 11 4 3 4" xfId="35275" xr:uid="{00000000-0005-0000-0000-0000A4800000}"/>
    <cellStyle name="SAPBEXstdItem 2 11 4 4" xfId="21104" xr:uid="{00000000-0005-0000-0000-0000A5800000}"/>
    <cellStyle name="SAPBEXstdItem 2 11 4 4 2" xfId="21105" xr:uid="{00000000-0005-0000-0000-0000A6800000}"/>
    <cellStyle name="SAPBEXstdItem 2 11 4 4 3" xfId="35276" xr:uid="{00000000-0005-0000-0000-0000A7800000}"/>
    <cellStyle name="SAPBEXstdItem 2 11 4 4 4" xfId="35277" xr:uid="{00000000-0005-0000-0000-0000A8800000}"/>
    <cellStyle name="SAPBEXstdItem 2 11 4 5" xfId="21106" xr:uid="{00000000-0005-0000-0000-0000A9800000}"/>
    <cellStyle name="SAPBEXstdItem 2 11 4 5 2" xfId="21107" xr:uid="{00000000-0005-0000-0000-0000AA800000}"/>
    <cellStyle name="SAPBEXstdItem 2 11 4 5 3" xfId="35278" xr:uid="{00000000-0005-0000-0000-0000AB800000}"/>
    <cellStyle name="SAPBEXstdItem 2 11 4 5 4" xfId="35279" xr:uid="{00000000-0005-0000-0000-0000AC800000}"/>
    <cellStyle name="SAPBEXstdItem 2 11 4 6" xfId="21108" xr:uid="{00000000-0005-0000-0000-0000AD800000}"/>
    <cellStyle name="SAPBEXstdItem 2 11 4 6 2" xfId="21109" xr:uid="{00000000-0005-0000-0000-0000AE800000}"/>
    <cellStyle name="SAPBEXstdItem 2 11 4 6 3" xfId="35280" xr:uid="{00000000-0005-0000-0000-0000AF800000}"/>
    <cellStyle name="SAPBEXstdItem 2 11 4 6 4" xfId="35281" xr:uid="{00000000-0005-0000-0000-0000B0800000}"/>
    <cellStyle name="SAPBEXstdItem 2 11 4 7" xfId="21110" xr:uid="{00000000-0005-0000-0000-0000B1800000}"/>
    <cellStyle name="SAPBEXstdItem 2 11 4 7 2" xfId="21111" xr:uid="{00000000-0005-0000-0000-0000B2800000}"/>
    <cellStyle name="SAPBEXstdItem 2 11 4 7 3" xfId="35282" xr:uid="{00000000-0005-0000-0000-0000B3800000}"/>
    <cellStyle name="SAPBEXstdItem 2 11 4 7 4" xfId="35283" xr:uid="{00000000-0005-0000-0000-0000B4800000}"/>
    <cellStyle name="SAPBEXstdItem 2 11 4 8" xfId="21112" xr:uid="{00000000-0005-0000-0000-0000B5800000}"/>
    <cellStyle name="SAPBEXstdItem 2 11 4 9" xfId="35284" xr:uid="{00000000-0005-0000-0000-0000B6800000}"/>
    <cellStyle name="SAPBEXstdItem 2 11 5" xfId="21113" xr:uid="{00000000-0005-0000-0000-0000B7800000}"/>
    <cellStyle name="SAPBEXstdItem 2 11 5 10" xfId="35285" xr:uid="{00000000-0005-0000-0000-0000B8800000}"/>
    <cellStyle name="SAPBEXstdItem 2 11 5 2" xfId="21114" xr:uid="{00000000-0005-0000-0000-0000B9800000}"/>
    <cellStyle name="SAPBEXstdItem 2 11 5 2 2" xfId="21115" xr:uid="{00000000-0005-0000-0000-0000BA800000}"/>
    <cellStyle name="SAPBEXstdItem 2 11 5 2 3" xfId="35286" xr:uid="{00000000-0005-0000-0000-0000BB800000}"/>
    <cellStyle name="SAPBEXstdItem 2 11 5 2 4" xfId="35287" xr:uid="{00000000-0005-0000-0000-0000BC800000}"/>
    <cellStyle name="SAPBEXstdItem 2 11 5 3" xfId="21116" xr:uid="{00000000-0005-0000-0000-0000BD800000}"/>
    <cellStyle name="SAPBEXstdItem 2 11 5 3 2" xfId="21117" xr:uid="{00000000-0005-0000-0000-0000BE800000}"/>
    <cellStyle name="SAPBEXstdItem 2 11 5 3 3" xfId="35288" xr:uid="{00000000-0005-0000-0000-0000BF800000}"/>
    <cellStyle name="SAPBEXstdItem 2 11 5 3 4" xfId="35289" xr:uid="{00000000-0005-0000-0000-0000C0800000}"/>
    <cellStyle name="SAPBEXstdItem 2 11 5 4" xfId="21118" xr:uid="{00000000-0005-0000-0000-0000C1800000}"/>
    <cellStyle name="SAPBEXstdItem 2 11 5 4 2" xfId="21119" xr:uid="{00000000-0005-0000-0000-0000C2800000}"/>
    <cellStyle name="SAPBEXstdItem 2 11 5 4 3" xfId="35290" xr:uid="{00000000-0005-0000-0000-0000C3800000}"/>
    <cellStyle name="SAPBEXstdItem 2 11 5 4 4" xfId="35291" xr:uid="{00000000-0005-0000-0000-0000C4800000}"/>
    <cellStyle name="SAPBEXstdItem 2 11 5 5" xfId="21120" xr:uid="{00000000-0005-0000-0000-0000C5800000}"/>
    <cellStyle name="SAPBEXstdItem 2 11 5 5 2" xfId="21121" xr:uid="{00000000-0005-0000-0000-0000C6800000}"/>
    <cellStyle name="SAPBEXstdItem 2 11 5 5 3" xfId="35292" xr:uid="{00000000-0005-0000-0000-0000C7800000}"/>
    <cellStyle name="SAPBEXstdItem 2 11 5 5 4" xfId="35293" xr:uid="{00000000-0005-0000-0000-0000C8800000}"/>
    <cellStyle name="SAPBEXstdItem 2 11 5 6" xfId="21122" xr:uid="{00000000-0005-0000-0000-0000C9800000}"/>
    <cellStyle name="SAPBEXstdItem 2 11 5 6 2" xfId="21123" xr:uid="{00000000-0005-0000-0000-0000CA800000}"/>
    <cellStyle name="SAPBEXstdItem 2 11 5 6 3" xfId="35294" xr:uid="{00000000-0005-0000-0000-0000CB800000}"/>
    <cellStyle name="SAPBEXstdItem 2 11 5 6 4" xfId="35295" xr:uid="{00000000-0005-0000-0000-0000CC800000}"/>
    <cellStyle name="SAPBEXstdItem 2 11 5 7" xfId="21124" xr:uid="{00000000-0005-0000-0000-0000CD800000}"/>
    <cellStyle name="SAPBEXstdItem 2 11 5 7 2" xfId="21125" xr:uid="{00000000-0005-0000-0000-0000CE800000}"/>
    <cellStyle name="SAPBEXstdItem 2 11 5 7 3" xfId="35296" xr:uid="{00000000-0005-0000-0000-0000CF800000}"/>
    <cellStyle name="SAPBEXstdItem 2 11 5 7 4" xfId="35297" xr:uid="{00000000-0005-0000-0000-0000D0800000}"/>
    <cellStyle name="SAPBEXstdItem 2 11 5 8" xfId="21126" xr:uid="{00000000-0005-0000-0000-0000D1800000}"/>
    <cellStyle name="SAPBEXstdItem 2 11 5 9" xfId="35298" xr:uid="{00000000-0005-0000-0000-0000D2800000}"/>
    <cellStyle name="SAPBEXstdItem 2 11 6" xfId="21127" xr:uid="{00000000-0005-0000-0000-0000D3800000}"/>
    <cellStyle name="SAPBEXstdItem 2 11 6 2" xfId="21128" xr:uid="{00000000-0005-0000-0000-0000D4800000}"/>
    <cellStyle name="SAPBEXstdItem 2 11 6 3" xfId="35299" xr:uid="{00000000-0005-0000-0000-0000D5800000}"/>
    <cellStyle name="SAPBEXstdItem 2 11 6 4" xfId="35300" xr:uid="{00000000-0005-0000-0000-0000D6800000}"/>
    <cellStyle name="SAPBEXstdItem 2 11 7" xfId="21129" xr:uid="{00000000-0005-0000-0000-0000D7800000}"/>
    <cellStyle name="SAPBEXstdItem 2 11 7 2" xfId="21130" xr:uid="{00000000-0005-0000-0000-0000D8800000}"/>
    <cellStyle name="SAPBEXstdItem 2 11 7 3" xfId="35301" xr:uid="{00000000-0005-0000-0000-0000D9800000}"/>
    <cellStyle name="SAPBEXstdItem 2 11 7 4" xfId="35302" xr:uid="{00000000-0005-0000-0000-0000DA800000}"/>
    <cellStyle name="SAPBEXstdItem 2 11 8" xfId="21131" xr:uid="{00000000-0005-0000-0000-0000DB800000}"/>
    <cellStyle name="SAPBEXstdItem 2 11 8 2" xfId="21132" xr:uid="{00000000-0005-0000-0000-0000DC800000}"/>
    <cellStyle name="SAPBEXstdItem 2 11 8 3" xfId="35303" xr:uid="{00000000-0005-0000-0000-0000DD800000}"/>
    <cellStyle name="SAPBEXstdItem 2 11 8 4" xfId="35304" xr:uid="{00000000-0005-0000-0000-0000DE800000}"/>
    <cellStyle name="SAPBEXstdItem 2 11 9" xfId="21133" xr:uid="{00000000-0005-0000-0000-0000DF800000}"/>
    <cellStyle name="SAPBEXstdItem 2 11 9 2" xfId="21134" xr:uid="{00000000-0005-0000-0000-0000E0800000}"/>
    <cellStyle name="SAPBEXstdItem 2 11 9 3" xfId="35305" xr:uid="{00000000-0005-0000-0000-0000E1800000}"/>
    <cellStyle name="SAPBEXstdItem 2 11 9 4" xfId="35306" xr:uid="{00000000-0005-0000-0000-0000E2800000}"/>
    <cellStyle name="SAPBEXstdItem 2 12" xfId="21135" xr:uid="{00000000-0005-0000-0000-0000E3800000}"/>
    <cellStyle name="SAPBEXstdItem 2 12 10" xfId="21136" xr:uid="{00000000-0005-0000-0000-0000E4800000}"/>
    <cellStyle name="SAPBEXstdItem 2 12 10 2" xfId="21137" xr:uid="{00000000-0005-0000-0000-0000E5800000}"/>
    <cellStyle name="SAPBEXstdItem 2 12 10 3" xfId="35307" xr:uid="{00000000-0005-0000-0000-0000E6800000}"/>
    <cellStyle name="SAPBEXstdItem 2 12 10 4" xfId="35308" xr:uid="{00000000-0005-0000-0000-0000E7800000}"/>
    <cellStyle name="SAPBEXstdItem 2 12 11" xfId="21138" xr:uid="{00000000-0005-0000-0000-0000E8800000}"/>
    <cellStyle name="SAPBEXstdItem 2 12 11 2" xfId="21139" xr:uid="{00000000-0005-0000-0000-0000E9800000}"/>
    <cellStyle name="SAPBEXstdItem 2 12 11 3" xfId="35309" xr:uid="{00000000-0005-0000-0000-0000EA800000}"/>
    <cellStyle name="SAPBEXstdItem 2 12 11 4" xfId="35310" xr:uid="{00000000-0005-0000-0000-0000EB800000}"/>
    <cellStyle name="SAPBEXstdItem 2 12 12" xfId="21140" xr:uid="{00000000-0005-0000-0000-0000EC800000}"/>
    <cellStyle name="SAPBEXstdItem 2 12 13" xfId="35311" xr:uid="{00000000-0005-0000-0000-0000ED800000}"/>
    <cellStyle name="SAPBEXstdItem 2 12 14" xfId="35312" xr:uid="{00000000-0005-0000-0000-0000EE800000}"/>
    <cellStyle name="SAPBEXstdItem 2 12 2" xfId="21141" xr:uid="{00000000-0005-0000-0000-0000EF800000}"/>
    <cellStyle name="SAPBEXstdItem 2 12 2 10" xfId="35313" xr:uid="{00000000-0005-0000-0000-0000F0800000}"/>
    <cellStyle name="SAPBEXstdItem 2 12 2 2" xfId="21142" xr:uid="{00000000-0005-0000-0000-0000F1800000}"/>
    <cellStyle name="SAPBEXstdItem 2 12 2 2 2" xfId="21143" xr:uid="{00000000-0005-0000-0000-0000F2800000}"/>
    <cellStyle name="SAPBEXstdItem 2 12 2 2 3" xfId="35314" xr:uid="{00000000-0005-0000-0000-0000F3800000}"/>
    <cellStyle name="SAPBEXstdItem 2 12 2 2 4" xfId="35315" xr:uid="{00000000-0005-0000-0000-0000F4800000}"/>
    <cellStyle name="SAPBEXstdItem 2 12 2 3" xfId="21144" xr:uid="{00000000-0005-0000-0000-0000F5800000}"/>
    <cellStyle name="SAPBEXstdItem 2 12 2 3 2" xfId="21145" xr:uid="{00000000-0005-0000-0000-0000F6800000}"/>
    <cellStyle name="SAPBEXstdItem 2 12 2 3 3" xfId="35316" xr:uid="{00000000-0005-0000-0000-0000F7800000}"/>
    <cellStyle name="SAPBEXstdItem 2 12 2 3 4" xfId="35317" xr:uid="{00000000-0005-0000-0000-0000F8800000}"/>
    <cellStyle name="SAPBEXstdItem 2 12 2 4" xfId="21146" xr:uid="{00000000-0005-0000-0000-0000F9800000}"/>
    <cellStyle name="SAPBEXstdItem 2 12 2 4 2" xfId="21147" xr:uid="{00000000-0005-0000-0000-0000FA800000}"/>
    <cellStyle name="SAPBEXstdItem 2 12 2 4 3" xfId="35318" xr:uid="{00000000-0005-0000-0000-0000FB800000}"/>
    <cellStyle name="SAPBEXstdItem 2 12 2 4 4" xfId="35319" xr:uid="{00000000-0005-0000-0000-0000FC800000}"/>
    <cellStyle name="SAPBEXstdItem 2 12 2 5" xfId="21148" xr:uid="{00000000-0005-0000-0000-0000FD800000}"/>
    <cellStyle name="SAPBEXstdItem 2 12 2 5 2" xfId="21149" xr:uid="{00000000-0005-0000-0000-0000FE800000}"/>
    <cellStyle name="SAPBEXstdItem 2 12 2 5 3" xfId="35320" xr:uid="{00000000-0005-0000-0000-0000FF800000}"/>
    <cellStyle name="SAPBEXstdItem 2 12 2 5 4" xfId="35321" xr:uid="{00000000-0005-0000-0000-000000810000}"/>
    <cellStyle name="SAPBEXstdItem 2 12 2 6" xfId="21150" xr:uid="{00000000-0005-0000-0000-000001810000}"/>
    <cellStyle name="SAPBEXstdItem 2 12 2 6 2" xfId="21151" xr:uid="{00000000-0005-0000-0000-000002810000}"/>
    <cellStyle name="SAPBEXstdItem 2 12 2 6 3" xfId="35322" xr:uid="{00000000-0005-0000-0000-000003810000}"/>
    <cellStyle name="SAPBEXstdItem 2 12 2 6 4" xfId="35323" xr:uid="{00000000-0005-0000-0000-000004810000}"/>
    <cellStyle name="SAPBEXstdItem 2 12 2 7" xfId="21152" xr:uid="{00000000-0005-0000-0000-000005810000}"/>
    <cellStyle name="SAPBEXstdItem 2 12 2 7 2" xfId="21153" xr:uid="{00000000-0005-0000-0000-000006810000}"/>
    <cellStyle name="SAPBEXstdItem 2 12 2 7 3" xfId="35324" xr:uid="{00000000-0005-0000-0000-000007810000}"/>
    <cellStyle name="SAPBEXstdItem 2 12 2 7 4" xfId="35325" xr:uid="{00000000-0005-0000-0000-000008810000}"/>
    <cellStyle name="SAPBEXstdItem 2 12 2 8" xfId="21154" xr:uid="{00000000-0005-0000-0000-000009810000}"/>
    <cellStyle name="SAPBEXstdItem 2 12 2 9" xfId="35326" xr:uid="{00000000-0005-0000-0000-00000A810000}"/>
    <cellStyle name="SAPBEXstdItem 2 12 3" xfId="21155" xr:uid="{00000000-0005-0000-0000-00000B810000}"/>
    <cellStyle name="SAPBEXstdItem 2 12 3 10" xfId="35327" xr:uid="{00000000-0005-0000-0000-00000C810000}"/>
    <cellStyle name="SAPBEXstdItem 2 12 3 2" xfId="21156" xr:uid="{00000000-0005-0000-0000-00000D810000}"/>
    <cellStyle name="SAPBEXstdItem 2 12 3 2 2" xfId="21157" xr:uid="{00000000-0005-0000-0000-00000E810000}"/>
    <cellStyle name="SAPBEXstdItem 2 12 3 2 3" xfId="35328" xr:uid="{00000000-0005-0000-0000-00000F810000}"/>
    <cellStyle name="SAPBEXstdItem 2 12 3 2 4" xfId="35329" xr:uid="{00000000-0005-0000-0000-000010810000}"/>
    <cellStyle name="SAPBEXstdItem 2 12 3 3" xfId="21158" xr:uid="{00000000-0005-0000-0000-000011810000}"/>
    <cellStyle name="SAPBEXstdItem 2 12 3 3 2" xfId="21159" xr:uid="{00000000-0005-0000-0000-000012810000}"/>
    <cellStyle name="SAPBEXstdItem 2 12 3 3 3" xfId="35330" xr:uid="{00000000-0005-0000-0000-000013810000}"/>
    <cellStyle name="SAPBEXstdItem 2 12 3 3 4" xfId="35331" xr:uid="{00000000-0005-0000-0000-000014810000}"/>
    <cellStyle name="SAPBEXstdItem 2 12 3 4" xfId="21160" xr:uid="{00000000-0005-0000-0000-000015810000}"/>
    <cellStyle name="SAPBEXstdItem 2 12 3 4 2" xfId="21161" xr:uid="{00000000-0005-0000-0000-000016810000}"/>
    <cellStyle name="SAPBEXstdItem 2 12 3 4 3" xfId="35332" xr:uid="{00000000-0005-0000-0000-000017810000}"/>
    <cellStyle name="SAPBEXstdItem 2 12 3 4 4" xfId="35333" xr:uid="{00000000-0005-0000-0000-000018810000}"/>
    <cellStyle name="SAPBEXstdItem 2 12 3 5" xfId="21162" xr:uid="{00000000-0005-0000-0000-000019810000}"/>
    <cellStyle name="SAPBEXstdItem 2 12 3 5 2" xfId="21163" xr:uid="{00000000-0005-0000-0000-00001A810000}"/>
    <cellStyle name="SAPBEXstdItem 2 12 3 5 3" xfId="35334" xr:uid="{00000000-0005-0000-0000-00001B810000}"/>
    <cellStyle name="SAPBEXstdItem 2 12 3 5 4" xfId="35335" xr:uid="{00000000-0005-0000-0000-00001C810000}"/>
    <cellStyle name="SAPBEXstdItem 2 12 3 6" xfId="21164" xr:uid="{00000000-0005-0000-0000-00001D810000}"/>
    <cellStyle name="SAPBEXstdItem 2 12 3 6 2" xfId="21165" xr:uid="{00000000-0005-0000-0000-00001E810000}"/>
    <cellStyle name="SAPBEXstdItem 2 12 3 6 3" xfId="35336" xr:uid="{00000000-0005-0000-0000-00001F810000}"/>
    <cellStyle name="SAPBEXstdItem 2 12 3 6 4" xfId="35337" xr:uid="{00000000-0005-0000-0000-000020810000}"/>
    <cellStyle name="SAPBEXstdItem 2 12 3 7" xfId="21166" xr:uid="{00000000-0005-0000-0000-000021810000}"/>
    <cellStyle name="SAPBEXstdItem 2 12 3 7 2" xfId="21167" xr:uid="{00000000-0005-0000-0000-000022810000}"/>
    <cellStyle name="SAPBEXstdItem 2 12 3 7 3" xfId="35338" xr:uid="{00000000-0005-0000-0000-000023810000}"/>
    <cellStyle name="SAPBEXstdItem 2 12 3 7 4" xfId="35339" xr:uid="{00000000-0005-0000-0000-000024810000}"/>
    <cellStyle name="SAPBEXstdItem 2 12 3 8" xfId="21168" xr:uid="{00000000-0005-0000-0000-000025810000}"/>
    <cellStyle name="SAPBEXstdItem 2 12 3 9" xfId="35340" xr:uid="{00000000-0005-0000-0000-000026810000}"/>
    <cellStyle name="SAPBEXstdItem 2 12 4" xfId="21169" xr:uid="{00000000-0005-0000-0000-000027810000}"/>
    <cellStyle name="SAPBEXstdItem 2 12 4 10" xfId="35341" xr:uid="{00000000-0005-0000-0000-000028810000}"/>
    <cellStyle name="SAPBEXstdItem 2 12 4 2" xfId="21170" xr:uid="{00000000-0005-0000-0000-000029810000}"/>
    <cellStyle name="SAPBEXstdItem 2 12 4 2 2" xfId="21171" xr:uid="{00000000-0005-0000-0000-00002A810000}"/>
    <cellStyle name="SAPBEXstdItem 2 12 4 2 3" xfId="35342" xr:uid="{00000000-0005-0000-0000-00002B810000}"/>
    <cellStyle name="SAPBEXstdItem 2 12 4 2 4" xfId="35343" xr:uid="{00000000-0005-0000-0000-00002C810000}"/>
    <cellStyle name="SAPBEXstdItem 2 12 4 3" xfId="21172" xr:uid="{00000000-0005-0000-0000-00002D810000}"/>
    <cellStyle name="SAPBEXstdItem 2 12 4 3 2" xfId="21173" xr:uid="{00000000-0005-0000-0000-00002E810000}"/>
    <cellStyle name="SAPBEXstdItem 2 12 4 3 3" xfId="35344" xr:uid="{00000000-0005-0000-0000-00002F810000}"/>
    <cellStyle name="SAPBEXstdItem 2 12 4 3 4" xfId="35345" xr:uid="{00000000-0005-0000-0000-000030810000}"/>
    <cellStyle name="SAPBEXstdItem 2 12 4 4" xfId="21174" xr:uid="{00000000-0005-0000-0000-000031810000}"/>
    <cellStyle name="SAPBEXstdItem 2 12 4 4 2" xfId="21175" xr:uid="{00000000-0005-0000-0000-000032810000}"/>
    <cellStyle name="SAPBEXstdItem 2 12 4 4 3" xfId="35346" xr:uid="{00000000-0005-0000-0000-000033810000}"/>
    <cellStyle name="SAPBEXstdItem 2 12 4 4 4" xfId="35347" xr:uid="{00000000-0005-0000-0000-000034810000}"/>
    <cellStyle name="SAPBEXstdItem 2 12 4 5" xfId="21176" xr:uid="{00000000-0005-0000-0000-000035810000}"/>
    <cellStyle name="SAPBEXstdItem 2 12 4 5 2" xfId="21177" xr:uid="{00000000-0005-0000-0000-000036810000}"/>
    <cellStyle name="SAPBEXstdItem 2 12 4 5 3" xfId="35348" xr:uid="{00000000-0005-0000-0000-000037810000}"/>
    <cellStyle name="SAPBEXstdItem 2 12 4 5 4" xfId="35349" xr:uid="{00000000-0005-0000-0000-000038810000}"/>
    <cellStyle name="SAPBEXstdItem 2 12 4 6" xfId="21178" xr:uid="{00000000-0005-0000-0000-000039810000}"/>
    <cellStyle name="SAPBEXstdItem 2 12 4 6 2" xfId="21179" xr:uid="{00000000-0005-0000-0000-00003A810000}"/>
    <cellStyle name="SAPBEXstdItem 2 12 4 6 3" xfId="35350" xr:uid="{00000000-0005-0000-0000-00003B810000}"/>
    <cellStyle name="SAPBEXstdItem 2 12 4 6 4" xfId="35351" xr:uid="{00000000-0005-0000-0000-00003C810000}"/>
    <cellStyle name="SAPBEXstdItem 2 12 4 7" xfId="21180" xr:uid="{00000000-0005-0000-0000-00003D810000}"/>
    <cellStyle name="SAPBEXstdItem 2 12 4 7 2" xfId="21181" xr:uid="{00000000-0005-0000-0000-00003E810000}"/>
    <cellStyle name="SAPBEXstdItem 2 12 4 7 3" xfId="35352" xr:uid="{00000000-0005-0000-0000-00003F810000}"/>
    <cellStyle name="SAPBEXstdItem 2 12 4 7 4" xfId="35353" xr:uid="{00000000-0005-0000-0000-000040810000}"/>
    <cellStyle name="SAPBEXstdItem 2 12 4 8" xfId="21182" xr:uid="{00000000-0005-0000-0000-000041810000}"/>
    <cellStyle name="SAPBEXstdItem 2 12 4 9" xfId="35354" xr:uid="{00000000-0005-0000-0000-000042810000}"/>
    <cellStyle name="SAPBEXstdItem 2 12 5" xfId="21183" xr:uid="{00000000-0005-0000-0000-000043810000}"/>
    <cellStyle name="SAPBEXstdItem 2 12 5 10" xfId="35355" xr:uid="{00000000-0005-0000-0000-000044810000}"/>
    <cellStyle name="SAPBEXstdItem 2 12 5 2" xfId="21184" xr:uid="{00000000-0005-0000-0000-000045810000}"/>
    <cellStyle name="SAPBEXstdItem 2 12 5 2 2" xfId="21185" xr:uid="{00000000-0005-0000-0000-000046810000}"/>
    <cellStyle name="SAPBEXstdItem 2 12 5 2 3" xfId="35356" xr:uid="{00000000-0005-0000-0000-000047810000}"/>
    <cellStyle name="SAPBEXstdItem 2 12 5 2 4" xfId="35357" xr:uid="{00000000-0005-0000-0000-000048810000}"/>
    <cellStyle name="SAPBEXstdItem 2 12 5 3" xfId="21186" xr:uid="{00000000-0005-0000-0000-000049810000}"/>
    <cellStyle name="SAPBEXstdItem 2 12 5 3 2" xfId="21187" xr:uid="{00000000-0005-0000-0000-00004A810000}"/>
    <cellStyle name="SAPBEXstdItem 2 12 5 3 3" xfId="35358" xr:uid="{00000000-0005-0000-0000-00004B810000}"/>
    <cellStyle name="SAPBEXstdItem 2 12 5 3 4" xfId="35359" xr:uid="{00000000-0005-0000-0000-00004C810000}"/>
    <cellStyle name="SAPBEXstdItem 2 12 5 4" xfId="21188" xr:uid="{00000000-0005-0000-0000-00004D810000}"/>
    <cellStyle name="SAPBEXstdItem 2 12 5 4 2" xfId="21189" xr:uid="{00000000-0005-0000-0000-00004E810000}"/>
    <cellStyle name="SAPBEXstdItem 2 12 5 4 3" xfId="35360" xr:uid="{00000000-0005-0000-0000-00004F810000}"/>
    <cellStyle name="SAPBEXstdItem 2 12 5 4 4" xfId="35361" xr:uid="{00000000-0005-0000-0000-000050810000}"/>
    <cellStyle name="SAPBEXstdItem 2 12 5 5" xfId="21190" xr:uid="{00000000-0005-0000-0000-000051810000}"/>
    <cellStyle name="SAPBEXstdItem 2 12 5 5 2" xfId="21191" xr:uid="{00000000-0005-0000-0000-000052810000}"/>
    <cellStyle name="SAPBEXstdItem 2 12 5 5 3" xfId="35362" xr:uid="{00000000-0005-0000-0000-000053810000}"/>
    <cellStyle name="SAPBEXstdItem 2 12 5 5 4" xfId="35363" xr:uid="{00000000-0005-0000-0000-000054810000}"/>
    <cellStyle name="SAPBEXstdItem 2 12 5 6" xfId="21192" xr:uid="{00000000-0005-0000-0000-000055810000}"/>
    <cellStyle name="SAPBEXstdItem 2 12 5 6 2" xfId="21193" xr:uid="{00000000-0005-0000-0000-000056810000}"/>
    <cellStyle name="SAPBEXstdItem 2 12 5 6 3" xfId="35364" xr:uid="{00000000-0005-0000-0000-000057810000}"/>
    <cellStyle name="SAPBEXstdItem 2 12 5 6 4" xfId="35365" xr:uid="{00000000-0005-0000-0000-000058810000}"/>
    <cellStyle name="SAPBEXstdItem 2 12 5 7" xfId="21194" xr:uid="{00000000-0005-0000-0000-000059810000}"/>
    <cellStyle name="SAPBEXstdItem 2 12 5 7 2" xfId="21195" xr:uid="{00000000-0005-0000-0000-00005A810000}"/>
    <cellStyle name="SAPBEXstdItem 2 12 5 7 3" xfId="35366" xr:uid="{00000000-0005-0000-0000-00005B810000}"/>
    <cellStyle name="SAPBEXstdItem 2 12 5 7 4" xfId="35367" xr:uid="{00000000-0005-0000-0000-00005C810000}"/>
    <cellStyle name="SAPBEXstdItem 2 12 5 8" xfId="21196" xr:uid="{00000000-0005-0000-0000-00005D810000}"/>
    <cellStyle name="SAPBEXstdItem 2 12 5 9" xfId="35368" xr:uid="{00000000-0005-0000-0000-00005E810000}"/>
    <cellStyle name="SAPBEXstdItem 2 12 6" xfId="21197" xr:uid="{00000000-0005-0000-0000-00005F810000}"/>
    <cellStyle name="SAPBEXstdItem 2 12 6 2" xfId="21198" xr:uid="{00000000-0005-0000-0000-000060810000}"/>
    <cellStyle name="SAPBEXstdItem 2 12 6 3" xfId="35369" xr:uid="{00000000-0005-0000-0000-000061810000}"/>
    <cellStyle name="SAPBEXstdItem 2 12 6 4" xfId="35370" xr:uid="{00000000-0005-0000-0000-000062810000}"/>
    <cellStyle name="SAPBEXstdItem 2 12 7" xfId="21199" xr:uid="{00000000-0005-0000-0000-000063810000}"/>
    <cellStyle name="SAPBEXstdItem 2 12 7 2" xfId="21200" xr:uid="{00000000-0005-0000-0000-000064810000}"/>
    <cellStyle name="SAPBEXstdItem 2 12 7 3" xfId="35371" xr:uid="{00000000-0005-0000-0000-000065810000}"/>
    <cellStyle name="SAPBEXstdItem 2 12 7 4" xfId="35372" xr:uid="{00000000-0005-0000-0000-000066810000}"/>
    <cellStyle name="SAPBEXstdItem 2 12 8" xfId="21201" xr:uid="{00000000-0005-0000-0000-000067810000}"/>
    <cellStyle name="SAPBEXstdItem 2 12 8 2" xfId="21202" xr:uid="{00000000-0005-0000-0000-000068810000}"/>
    <cellStyle name="SAPBEXstdItem 2 12 8 3" xfId="35373" xr:uid="{00000000-0005-0000-0000-000069810000}"/>
    <cellStyle name="SAPBEXstdItem 2 12 8 4" xfId="35374" xr:uid="{00000000-0005-0000-0000-00006A810000}"/>
    <cellStyle name="SAPBEXstdItem 2 12 9" xfId="21203" xr:uid="{00000000-0005-0000-0000-00006B810000}"/>
    <cellStyle name="SAPBEXstdItem 2 12 9 2" xfId="21204" xr:uid="{00000000-0005-0000-0000-00006C810000}"/>
    <cellStyle name="SAPBEXstdItem 2 12 9 3" xfId="35375" xr:uid="{00000000-0005-0000-0000-00006D810000}"/>
    <cellStyle name="SAPBEXstdItem 2 12 9 4" xfId="35376" xr:uid="{00000000-0005-0000-0000-00006E810000}"/>
    <cellStyle name="SAPBEXstdItem 2 13" xfId="21205" xr:uid="{00000000-0005-0000-0000-00006F810000}"/>
    <cellStyle name="SAPBEXstdItem 2 13 10" xfId="35377" xr:uid="{00000000-0005-0000-0000-000070810000}"/>
    <cellStyle name="SAPBEXstdItem 2 13 2" xfId="21206" xr:uid="{00000000-0005-0000-0000-000071810000}"/>
    <cellStyle name="SAPBEXstdItem 2 13 2 2" xfId="21207" xr:uid="{00000000-0005-0000-0000-000072810000}"/>
    <cellStyle name="SAPBEXstdItem 2 13 2 3" xfId="35378" xr:uid="{00000000-0005-0000-0000-000073810000}"/>
    <cellStyle name="SAPBEXstdItem 2 13 2 4" xfId="35379" xr:uid="{00000000-0005-0000-0000-000074810000}"/>
    <cellStyle name="SAPBEXstdItem 2 13 3" xfId="21208" xr:uid="{00000000-0005-0000-0000-000075810000}"/>
    <cellStyle name="SAPBEXstdItem 2 13 3 2" xfId="21209" xr:uid="{00000000-0005-0000-0000-000076810000}"/>
    <cellStyle name="SAPBEXstdItem 2 13 3 3" xfId="35380" xr:uid="{00000000-0005-0000-0000-000077810000}"/>
    <cellStyle name="SAPBEXstdItem 2 13 3 4" xfId="35381" xr:uid="{00000000-0005-0000-0000-000078810000}"/>
    <cellStyle name="SAPBEXstdItem 2 13 4" xfId="21210" xr:uid="{00000000-0005-0000-0000-000079810000}"/>
    <cellStyle name="SAPBEXstdItem 2 13 4 2" xfId="21211" xr:uid="{00000000-0005-0000-0000-00007A810000}"/>
    <cellStyle name="SAPBEXstdItem 2 13 4 3" xfId="35382" xr:uid="{00000000-0005-0000-0000-00007B810000}"/>
    <cellStyle name="SAPBEXstdItem 2 13 4 4" xfId="35383" xr:uid="{00000000-0005-0000-0000-00007C810000}"/>
    <cellStyle name="SAPBEXstdItem 2 13 5" xfId="21212" xr:uid="{00000000-0005-0000-0000-00007D810000}"/>
    <cellStyle name="SAPBEXstdItem 2 13 5 2" xfId="21213" xr:uid="{00000000-0005-0000-0000-00007E810000}"/>
    <cellStyle name="SAPBEXstdItem 2 13 5 3" xfId="35384" xr:uid="{00000000-0005-0000-0000-00007F810000}"/>
    <cellStyle name="SAPBEXstdItem 2 13 5 4" xfId="35385" xr:uid="{00000000-0005-0000-0000-000080810000}"/>
    <cellStyle name="SAPBEXstdItem 2 13 6" xfId="21214" xr:uid="{00000000-0005-0000-0000-000081810000}"/>
    <cellStyle name="SAPBEXstdItem 2 13 6 2" xfId="21215" xr:uid="{00000000-0005-0000-0000-000082810000}"/>
    <cellStyle name="SAPBEXstdItem 2 13 6 3" xfId="35386" xr:uid="{00000000-0005-0000-0000-000083810000}"/>
    <cellStyle name="SAPBEXstdItem 2 13 6 4" xfId="35387" xr:uid="{00000000-0005-0000-0000-000084810000}"/>
    <cellStyle name="SAPBEXstdItem 2 13 7" xfId="21216" xr:uid="{00000000-0005-0000-0000-000085810000}"/>
    <cellStyle name="SAPBEXstdItem 2 13 7 2" xfId="21217" xr:uid="{00000000-0005-0000-0000-000086810000}"/>
    <cellStyle name="SAPBEXstdItem 2 13 7 3" xfId="35388" xr:uid="{00000000-0005-0000-0000-000087810000}"/>
    <cellStyle name="SAPBEXstdItem 2 13 7 4" xfId="35389" xr:uid="{00000000-0005-0000-0000-000088810000}"/>
    <cellStyle name="SAPBEXstdItem 2 13 8" xfId="21218" xr:uid="{00000000-0005-0000-0000-000089810000}"/>
    <cellStyle name="SAPBEXstdItem 2 13 9" xfId="35390" xr:uid="{00000000-0005-0000-0000-00008A810000}"/>
    <cellStyle name="SAPBEXstdItem 2 14" xfId="21219" xr:uid="{00000000-0005-0000-0000-00008B810000}"/>
    <cellStyle name="SAPBEXstdItem 2 14 10" xfId="35391" xr:uid="{00000000-0005-0000-0000-00008C810000}"/>
    <cellStyle name="SAPBEXstdItem 2 14 2" xfId="21220" xr:uid="{00000000-0005-0000-0000-00008D810000}"/>
    <cellStyle name="SAPBEXstdItem 2 14 2 2" xfId="21221" xr:uid="{00000000-0005-0000-0000-00008E810000}"/>
    <cellStyle name="SAPBEXstdItem 2 14 2 3" xfId="35392" xr:uid="{00000000-0005-0000-0000-00008F810000}"/>
    <cellStyle name="SAPBEXstdItem 2 14 2 4" xfId="35393" xr:uid="{00000000-0005-0000-0000-000090810000}"/>
    <cellStyle name="SAPBEXstdItem 2 14 3" xfId="21222" xr:uid="{00000000-0005-0000-0000-000091810000}"/>
    <cellStyle name="SAPBEXstdItem 2 14 3 2" xfId="21223" xr:uid="{00000000-0005-0000-0000-000092810000}"/>
    <cellStyle name="SAPBEXstdItem 2 14 3 3" xfId="35394" xr:uid="{00000000-0005-0000-0000-000093810000}"/>
    <cellStyle name="SAPBEXstdItem 2 14 3 4" xfId="35395" xr:uid="{00000000-0005-0000-0000-000094810000}"/>
    <cellStyle name="SAPBEXstdItem 2 14 4" xfId="21224" xr:uid="{00000000-0005-0000-0000-000095810000}"/>
    <cellStyle name="SAPBEXstdItem 2 14 4 2" xfId="21225" xr:uid="{00000000-0005-0000-0000-000096810000}"/>
    <cellStyle name="SAPBEXstdItem 2 14 4 3" xfId="35396" xr:uid="{00000000-0005-0000-0000-000097810000}"/>
    <cellStyle name="SAPBEXstdItem 2 14 4 4" xfId="35397" xr:uid="{00000000-0005-0000-0000-000098810000}"/>
    <cellStyle name="SAPBEXstdItem 2 14 5" xfId="21226" xr:uid="{00000000-0005-0000-0000-000099810000}"/>
    <cellStyle name="SAPBEXstdItem 2 14 5 2" xfId="21227" xr:uid="{00000000-0005-0000-0000-00009A810000}"/>
    <cellStyle name="SAPBEXstdItem 2 14 5 3" xfId="35398" xr:uid="{00000000-0005-0000-0000-00009B810000}"/>
    <cellStyle name="SAPBEXstdItem 2 14 5 4" xfId="35399" xr:uid="{00000000-0005-0000-0000-00009C810000}"/>
    <cellStyle name="SAPBEXstdItem 2 14 6" xfId="21228" xr:uid="{00000000-0005-0000-0000-00009D810000}"/>
    <cellStyle name="SAPBEXstdItem 2 14 6 2" xfId="21229" xr:uid="{00000000-0005-0000-0000-00009E810000}"/>
    <cellStyle name="SAPBEXstdItem 2 14 6 3" xfId="35400" xr:uid="{00000000-0005-0000-0000-00009F810000}"/>
    <cellStyle name="SAPBEXstdItem 2 14 6 4" xfId="35401" xr:uid="{00000000-0005-0000-0000-0000A0810000}"/>
    <cellStyle name="SAPBEXstdItem 2 14 7" xfId="21230" xr:uid="{00000000-0005-0000-0000-0000A1810000}"/>
    <cellStyle name="SAPBEXstdItem 2 14 7 2" xfId="21231" xr:uid="{00000000-0005-0000-0000-0000A2810000}"/>
    <cellStyle name="SAPBEXstdItem 2 14 7 3" xfId="35402" xr:uid="{00000000-0005-0000-0000-0000A3810000}"/>
    <cellStyle name="SAPBEXstdItem 2 14 7 4" xfId="35403" xr:uid="{00000000-0005-0000-0000-0000A4810000}"/>
    <cellStyle name="SAPBEXstdItem 2 14 8" xfId="21232" xr:uid="{00000000-0005-0000-0000-0000A5810000}"/>
    <cellStyle name="SAPBEXstdItem 2 14 9" xfId="35404" xr:uid="{00000000-0005-0000-0000-0000A6810000}"/>
    <cellStyle name="SAPBEXstdItem 2 15" xfId="21233" xr:uid="{00000000-0005-0000-0000-0000A7810000}"/>
    <cellStyle name="SAPBEXstdItem 2 15 10" xfId="35405" xr:uid="{00000000-0005-0000-0000-0000A8810000}"/>
    <cellStyle name="SAPBEXstdItem 2 15 2" xfId="21234" xr:uid="{00000000-0005-0000-0000-0000A9810000}"/>
    <cellStyle name="SAPBEXstdItem 2 15 2 2" xfId="21235" xr:uid="{00000000-0005-0000-0000-0000AA810000}"/>
    <cellStyle name="SAPBEXstdItem 2 15 2 3" xfId="35406" xr:uid="{00000000-0005-0000-0000-0000AB810000}"/>
    <cellStyle name="SAPBEXstdItem 2 15 2 4" xfId="35407" xr:uid="{00000000-0005-0000-0000-0000AC810000}"/>
    <cellStyle name="SAPBEXstdItem 2 15 3" xfId="21236" xr:uid="{00000000-0005-0000-0000-0000AD810000}"/>
    <cellStyle name="SAPBEXstdItem 2 15 3 2" xfId="21237" xr:uid="{00000000-0005-0000-0000-0000AE810000}"/>
    <cellStyle name="SAPBEXstdItem 2 15 3 3" xfId="35408" xr:uid="{00000000-0005-0000-0000-0000AF810000}"/>
    <cellStyle name="SAPBEXstdItem 2 15 3 4" xfId="35409" xr:uid="{00000000-0005-0000-0000-0000B0810000}"/>
    <cellStyle name="SAPBEXstdItem 2 15 4" xfId="21238" xr:uid="{00000000-0005-0000-0000-0000B1810000}"/>
    <cellStyle name="SAPBEXstdItem 2 15 4 2" xfId="21239" xr:uid="{00000000-0005-0000-0000-0000B2810000}"/>
    <cellStyle name="SAPBEXstdItem 2 15 4 3" xfId="35410" xr:uid="{00000000-0005-0000-0000-0000B3810000}"/>
    <cellStyle name="SAPBEXstdItem 2 15 4 4" xfId="35411" xr:uid="{00000000-0005-0000-0000-0000B4810000}"/>
    <cellStyle name="SAPBEXstdItem 2 15 5" xfId="21240" xr:uid="{00000000-0005-0000-0000-0000B5810000}"/>
    <cellStyle name="SAPBEXstdItem 2 15 5 2" xfId="21241" xr:uid="{00000000-0005-0000-0000-0000B6810000}"/>
    <cellStyle name="SAPBEXstdItem 2 15 5 3" xfId="35412" xr:uid="{00000000-0005-0000-0000-0000B7810000}"/>
    <cellStyle name="SAPBEXstdItem 2 15 5 4" xfId="35413" xr:uid="{00000000-0005-0000-0000-0000B8810000}"/>
    <cellStyle name="SAPBEXstdItem 2 15 6" xfId="21242" xr:uid="{00000000-0005-0000-0000-0000B9810000}"/>
    <cellStyle name="SAPBEXstdItem 2 15 6 2" xfId="21243" xr:uid="{00000000-0005-0000-0000-0000BA810000}"/>
    <cellStyle name="SAPBEXstdItem 2 15 6 3" xfId="35414" xr:uid="{00000000-0005-0000-0000-0000BB810000}"/>
    <cellStyle name="SAPBEXstdItem 2 15 6 4" xfId="35415" xr:uid="{00000000-0005-0000-0000-0000BC810000}"/>
    <cellStyle name="SAPBEXstdItem 2 15 7" xfId="21244" xr:uid="{00000000-0005-0000-0000-0000BD810000}"/>
    <cellStyle name="SAPBEXstdItem 2 15 7 2" xfId="21245" xr:uid="{00000000-0005-0000-0000-0000BE810000}"/>
    <cellStyle name="SAPBEXstdItem 2 15 7 3" xfId="35416" xr:uid="{00000000-0005-0000-0000-0000BF810000}"/>
    <cellStyle name="SAPBEXstdItem 2 15 7 4" xfId="35417" xr:uid="{00000000-0005-0000-0000-0000C0810000}"/>
    <cellStyle name="SAPBEXstdItem 2 15 8" xfId="21246" xr:uid="{00000000-0005-0000-0000-0000C1810000}"/>
    <cellStyle name="SAPBEXstdItem 2 15 9" xfId="35418" xr:uid="{00000000-0005-0000-0000-0000C2810000}"/>
    <cellStyle name="SAPBEXstdItem 2 16" xfId="21247" xr:uid="{00000000-0005-0000-0000-0000C3810000}"/>
    <cellStyle name="SAPBEXstdItem 2 16 10" xfId="35419" xr:uid="{00000000-0005-0000-0000-0000C4810000}"/>
    <cellStyle name="SAPBEXstdItem 2 16 2" xfId="21248" xr:uid="{00000000-0005-0000-0000-0000C5810000}"/>
    <cellStyle name="SAPBEXstdItem 2 16 2 2" xfId="21249" xr:uid="{00000000-0005-0000-0000-0000C6810000}"/>
    <cellStyle name="SAPBEXstdItem 2 16 2 3" xfId="35420" xr:uid="{00000000-0005-0000-0000-0000C7810000}"/>
    <cellStyle name="SAPBEXstdItem 2 16 2 4" xfId="35421" xr:uid="{00000000-0005-0000-0000-0000C8810000}"/>
    <cellStyle name="SAPBEXstdItem 2 16 3" xfId="21250" xr:uid="{00000000-0005-0000-0000-0000C9810000}"/>
    <cellStyle name="SAPBEXstdItem 2 16 3 2" xfId="21251" xr:uid="{00000000-0005-0000-0000-0000CA810000}"/>
    <cellStyle name="SAPBEXstdItem 2 16 3 3" xfId="35422" xr:uid="{00000000-0005-0000-0000-0000CB810000}"/>
    <cellStyle name="SAPBEXstdItem 2 16 3 4" xfId="35423" xr:uid="{00000000-0005-0000-0000-0000CC810000}"/>
    <cellStyle name="SAPBEXstdItem 2 16 4" xfId="21252" xr:uid="{00000000-0005-0000-0000-0000CD810000}"/>
    <cellStyle name="SAPBEXstdItem 2 16 4 2" xfId="21253" xr:uid="{00000000-0005-0000-0000-0000CE810000}"/>
    <cellStyle name="SAPBEXstdItem 2 16 4 3" xfId="35424" xr:uid="{00000000-0005-0000-0000-0000CF810000}"/>
    <cellStyle name="SAPBEXstdItem 2 16 4 4" xfId="35425" xr:uid="{00000000-0005-0000-0000-0000D0810000}"/>
    <cellStyle name="SAPBEXstdItem 2 16 5" xfId="21254" xr:uid="{00000000-0005-0000-0000-0000D1810000}"/>
    <cellStyle name="SAPBEXstdItem 2 16 5 2" xfId="21255" xr:uid="{00000000-0005-0000-0000-0000D2810000}"/>
    <cellStyle name="SAPBEXstdItem 2 16 5 3" xfId="35426" xr:uid="{00000000-0005-0000-0000-0000D3810000}"/>
    <cellStyle name="SAPBEXstdItem 2 16 5 4" xfId="35427" xr:uid="{00000000-0005-0000-0000-0000D4810000}"/>
    <cellStyle name="SAPBEXstdItem 2 16 6" xfId="21256" xr:uid="{00000000-0005-0000-0000-0000D5810000}"/>
    <cellStyle name="SAPBEXstdItem 2 16 6 2" xfId="21257" xr:uid="{00000000-0005-0000-0000-0000D6810000}"/>
    <cellStyle name="SAPBEXstdItem 2 16 6 3" xfId="35428" xr:uid="{00000000-0005-0000-0000-0000D7810000}"/>
    <cellStyle name="SAPBEXstdItem 2 16 6 4" xfId="35429" xr:uid="{00000000-0005-0000-0000-0000D8810000}"/>
    <cellStyle name="SAPBEXstdItem 2 16 7" xfId="21258" xr:uid="{00000000-0005-0000-0000-0000D9810000}"/>
    <cellStyle name="SAPBEXstdItem 2 16 7 2" xfId="21259" xr:uid="{00000000-0005-0000-0000-0000DA810000}"/>
    <cellStyle name="SAPBEXstdItem 2 16 7 3" xfId="35430" xr:uid="{00000000-0005-0000-0000-0000DB810000}"/>
    <cellStyle name="SAPBEXstdItem 2 16 7 4" xfId="35431" xr:uid="{00000000-0005-0000-0000-0000DC810000}"/>
    <cellStyle name="SAPBEXstdItem 2 16 8" xfId="21260" xr:uid="{00000000-0005-0000-0000-0000DD810000}"/>
    <cellStyle name="SAPBEXstdItem 2 16 9" xfId="35432" xr:uid="{00000000-0005-0000-0000-0000DE810000}"/>
    <cellStyle name="SAPBEXstdItem 2 17" xfId="21261" xr:uid="{00000000-0005-0000-0000-0000DF810000}"/>
    <cellStyle name="SAPBEXstdItem 2 17 2" xfId="21262" xr:uid="{00000000-0005-0000-0000-0000E0810000}"/>
    <cellStyle name="SAPBEXstdItem 2 17 3" xfId="35433" xr:uid="{00000000-0005-0000-0000-0000E1810000}"/>
    <cellStyle name="SAPBEXstdItem 2 17 4" xfId="35434" xr:uid="{00000000-0005-0000-0000-0000E2810000}"/>
    <cellStyle name="SAPBEXstdItem 2 18" xfId="21263" xr:uid="{00000000-0005-0000-0000-0000E3810000}"/>
    <cellStyle name="SAPBEXstdItem 2 18 2" xfId="21264" xr:uid="{00000000-0005-0000-0000-0000E4810000}"/>
    <cellStyle name="SAPBEXstdItem 2 18 3" xfId="35435" xr:uid="{00000000-0005-0000-0000-0000E5810000}"/>
    <cellStyle name="SAPBEXstdItem 2 18 4" xfId="35436" xr:uid="{00000000-0005-0000-0000-0000E6810000}"/>
    <cellStyle name="SAPBEXstdItem 2 19" xfId="21265" xr:uid="{00000000-0005-0000-0000-0000E7810000}"/>
    <cellStyle name="SAPBEXstdItem 2 19 2" xfId="21266" xr:uid="{00000000-0005-0000-0000-0000E8810000}"/>
    <cellStyle name="SAPBEXstdItem 2 19 3" xfId="35437" xr:uid="{00000000-0005-0000-0000-0000E9810000}"/>
    <cellStyle name="SAPBEXstdItem 2 19 4" xfId="35438" xr:uid="{00000000-0005-0000-0000-0000EA810000}"/>
    <cellStyle name="SAPBEXstdItem 2 2" xfId="21267" xr:uid="{00000000-0005-0000-0000-0000EB810000}"/>
    <cellStyle name="SAPBEXstdItem 2 2 10" xfId="21268" xr:uid="{00000000-0005-0000-0000-0000EC810000}"/>
    <cellStyle name="SAPBEXstdItem 2 2 10 2" xfId="21269" xr:uid="{00000000-0005-0000-0000-0000ED810000}"/>
    <cellStyle name="SAPBEXstdItem 2 2 10 3" xfId="35439" xr:uid="{00000000-0005-0000-0000-0000EE810000}"/>
    <cellStyle name="SAPBEXstdItem 2 2 10 4" xfId="35440" xr:uid="{00000000-0005-0000-0000-0000EF810000}"/>
    <cellStyle name="SAPBEXstdItem 2 2 11" xfId="21270" xr:uid="{00000000-0005-0000-0000-0000F0810000}"/>
    <cellStyle name="SAPBEXstdItem 2 2 11 2" xfId="21271" xr:uid="{00000000-0005-0000-0000-0000F1810000}"/>
    <cellStyle name="SAPBEXstdItem 2 2 11 3" xfId="35441" xr:uid="{00000000-0005-0000-0000-0000F2810000}"/>
    <cellStyle name="SAPBEXstdItem 2 2 11 4" xfId="35442" xr:uid="{00000000-0005-0000-0000-0000F3810000}"/>
    <cellStyle name="SAPBEXstdItem 2 2 12" xfId="21272" xr:uid="{00000000-0005-0000-0000-0000F4810000}"/>
    <cellStyle name="SAPBEXstdItem 2 2 13" xfId="35443" xr:uid="{00000000-0005-0000-0000-0000F5810000}"/>
    <cellStyle name="SAPBEXstdItem 2 2 14" xfId="35444" xr:uid="{00000000-0005-0000-0000-0000F6810000}"/>
    <cellStyle name="SAPBEXstdItem 2 2 2" xfId="21273" xr:uid="{00000000-0005-0000-0000-0000F7810000}"/>
    <cellStyle name="SAPBEXstdItem 2 2 2 10" xfId="35445" xr:uid="{00000000-0005-0000-0000-0000F8810000}"/>
    <cellStyle name="SAPBEXstdItem 2 2 2 2" xfId="21274" xr:uid="{00000000-0005-0000-0000-0000F9810000}"/>
    <cellStyle name="SAPBEXstdItem 2 2 2 2 2" xfId="21275" xr:uid="{00000000-0005-0000-0000-0000FA810000}"/>
    <cellStyle name="SAPBEXstdItem 2 2 2 2 3" xfId="35446" xr:uid="{00000000-0005-0000-0000-0000FB810000}"/>
    <cellStyle name="SAPBEXstdItem 2 2 2 2 4" xfId="35447" xr:uid="{00000000-0005-0000-0000-0000FC810000}"/>
    <cellStyle name="SAPBEXstdItem 2 2 2 3" xfId="21276" xr:uid="{00000000-0005-0000-0000-0000FD810000}"/>
    <cellStyle name="SAPBEXstdItem 2 2 2 3 2" xfId="21277" xr:uid="{00000000-0005-0000-0000-0000FE810000}"/>
    <cellStyle name="SAPBEXstdItem 2 2 2 3 3" xfId="35448" xr:uid="{00000000-0005-0000-0000-0000FF810000}"/>
    <cellStyle name="SAPBEXstdItem 2 2 2 3 4" xfId="35449" xr:uid="{00000000-0005-0000-0000-000000820000}"/>
    <cellStyle name="SAPBEXstdItem 2 2 2 4" xfId="21278" xr:uid="{00000000-0005-0000-0000-000001820000}"/>
    <cellStyle name="SAPBEXstdItem 2 2 2 4 2" xfId="21279" xr:uid="{00000000-0005-0000-0000-000002820000}"/>
    <cellStyle name="SAPBEXstdItem 2 2 2 4 3" xfId="35450" xr:uid="{00000000-0005-0000-0000-000003820000}"/>
    <cellStyle name="SAPBEXstdItem 2 2 2 4 4" xfId="35451" xr:uid="{00000000-0005-0000-0000-000004820000}"/>
    <cellStyle name="SAPBEXstdItem 2 2 2 5" xfId="21280" xr:uid="{00000000-0005-0000-0000-000005820000}"/>
    <cellStyle name="SAPBEXstdItem 2 2 2 5 2" xfId="21281" xr:uid="{00000000-0005-0000-0000-000006820000}"/>
    <cellStyle name="SAPBEXstdItem 2 2 2 5 3" xfId="35452" xr:uid="{00000000-0005-0000-0000-000007820000}"/>
    <cellStyle name="SAPBEXstdItem 2 2 2 5 4" xfId="35453" xr:uid="{00000000-0005-0000-0000-000008820000}"/>
    <cellStyle name="SAPBEXstdItem 2 2 2 6" xfId="21282" xr:uid="{00000000-0005-0000-0000-000009820000}"/>
    <cellStyle name="SAPBEXstdItem 2 2 2 6 2" xfId="21283" xr:uid="{00000000-0005-0000-0000-00000A820000}"/>
    <cellStyle name="SAPBEXstdItem 2 2 2 6 3" xfId="35454" xr:uid="{00000000-0005-0000-0000-00000B820000}"/>
    <cellStyle name="SAPBEXstdItem 2 2 2 6 4" xfId="35455" xr:uid="{00000000-0005-0000-0000-00000C820000}"/>
    <cellStyle name="SAPBEXstdItem 2 2 2 7" xfId="21284" xr:uid="{00000000-0005-0000-0000-00000D820000}"/>
    <cellStyle name="SAPBEXstdItem 2 2 2 7 2" xfId="21285" xr:uid="{00000000-0005-0000-0000-00000E820000}"/>
    <cellStyle name="SAPBEXstdItem 2 2 2 7 3" xfId="35456" xr:uid="{00000000-0005-0000-0000-00000F820000}"/>
    <cellStyle name="SAPBEXstdItem 2 2 2 7 4" xfId="35457" xr:uid="{00000000-0005-0000-0000-000010820000}"/>
    <cellStyle name="SAPBEXstdItem 2 2 2 8" xfId="21286" xr:uid="{00000000-0005-0000-0000-000011820000}"/>
    <cellStyle name="SAPBEXstdItem 2 2 2 9" xfId="35458" xr:uid="{00000000-0005-0000-0000-000012820000}"/>
    <cellStyle name="SAPBEXstdItem 2 2 3" xfId="21287" xr:uid="{00000000-0005-0000-0000-000013820000}"/>
    <cellStyle name="SAPBEXstdItem 2 2 3 10" xfId="35459" xr:uid="{00000000-0005-0000-0000-000014820000}"/>
    <cellStyle name="SAPBEXstdItem 2 2 3 2" xfId="21288" xr:uid="{00000000-0005-0000-0000-000015820000}"/>
    <cellStyle name="SAPBEXstdItem 2 2 3 2 2" xfId="21289" xr:uid="{00000000-0005-0000-0000-000016820000}"/>
    <cellStyle name="SAPBEXstdItem 2 2 3 2 3" xfId="35460" xr:uid="{00000000-0005-0000-0000-000017820000}"/>
    <cellStyle name="SAPBEXstdItem 2 2 3 2 4" xfId="35461" xr:uid="{00000000-0005-0000-0000-000018820000}"/>
    <cellStyle name="SAPBEXstdItem 2 2 3 3" xfId="21290" xr:uid="{00000000-0005-0000-0000-000019820000}"/>
    <cellStyle name="SAPBEXstdItem 2 2 3 3 2" xfId="21291" xr:uid="{00000000-0005-0000-0000-00001A820000}"/>
    <cellStyle name="SAPBEXstdItem 2 2 3 3 3" xfId="35462" xr:uid="{00000000-0005-0000-0000-00001B820000}"/>
    <cellStyle name="SAPBEXstdItem 2 2 3 3 4" xfId="35463" xr:uid="{00000000-0005-0000-0000-00001C820000}"/>
    <cellStyle name="SAPBEXstdItem 2 2 3 4" xfId="21292" xr:uid="{00000000-0005-0000-0000-00001D820000}"/>
    <cellStyle name="SAPBEXstdItem 2 2 3 4 2" xfId="21293" xr:uid="{00000000-0005-0000-0000-00001E820000}"/>
    <cellStyle name="SAPBEXstdItem 2 2 3 4 3" xfId="35464" xr:uid="{00000000-0005-0000-0000-00001F820000}"/>
    <cellStyle name="SAPBEXstdItem 2 2 3 4 4" xfId="35465" xr:uid="{00000000-0005-0000-0000-000020820000}"/>
    <cellStyle name="SAPBEXstdItem 2 2 3 5" xfId="21294" xr:uid="{00000000-0005-0000-0000-000021820000}"/>
    <cellStyle name="SAPBEXstdItem 2 2 3 5 2" xfId="21295" xr:uid="{00000000-0005-0000-0000-000022820000}"/>
    <cellStyle name="SAPBEXstdItem 2 2 3 5 3" xfId="35466" xr:uid="{00000000-0005-0000-0000-000023820000}"/>
    <cellStyle name="SAPBEXstdItem 2 2 3 5 4" xfId="35467" xr:uid="{00000000-0005-0000-0000-000024820000}"/>
    <cellStyle name="SAPBEXstdItem 2 2 3 6" xfId="21296" xr:uid="{00000000-0005-0000-0000-000025820000}"/>
    <cellStyle name="SAPBEXstdItem 2 2 3 6 2" xfId="21297" xr:uid="{00000000-0005-0000-0000-000026820000}"/>
    <cellStyle name="SAPBEXstdItem 2 2 3 6 3" xfId="35468" xr:uid="{00000000-0005-0000-0000-000027820000}"/>
    <cellStyle name="SAPBEXstdItem 2 2 3 6 4" xfId="35469" xr:uid="{00000000-0005-0000-0000-000028820000}"/>
    <cellStyle name="SAPBEXstdItem 2 2 3 7" xfId="21298" xr:uid="{00000000-0005-0000-0000-000029820000}"/>
    <cellStyle name="SAPBEXstdItem 2 2 3 7 2" xfId="21299" xr:uid="{00000000-0005-0000-0000-00002A820000}"/>
    <cellStyle name="SAPBEXstdItem 2 2 3 7 3" xfId="35470" xr:uid="{00000000-0005-0000-0000-00002B820000}"/>
    <cellStyle name="SAPBEXstdItem 2 2 3 7 4" xfId="35471" xr:uid="{00000000-0005-0000-0000-00002C820000}"/>
    <cellStyle name="SAPBEXstdItem 2 2 3 8" xfId="21300" xr:uid="{00000000-0005-0000-0000-00002D820000}"/>
    <cellStyle name="SAPBEXstdItem 2 2 3 9" xfId="35472" xr:uid="{00000000-0005-0000-0000-00002E820000}"/>
    <cellStyle name="SAPBEXstdItem 2 2 4" xfId="21301" xr:uid="{00000000-0005-0000-0000-00002F820000}"/>
    <cellStyle name="SAPBEXstdItem 2 2 4 10" xfId="35473" xr:uid="{00000000-0005-0000-0000-000030820000}"/>
    <cellStyle name="SAPBEXstdItem 2 2 4 2" xfId="21302" xr:uid="{00000000-0005-0000-0000-000031820000}"/>
    <cellStyle name="SAPBEXstdItem 2 2 4 2 2" xfId="21303" xr:uid="{00000000-0005-0000-0000-000032820000}"/>
    <cellStyle name="SAPBEXstdItem 2 2 4 2 3" xfId="35474" xr:uid="{00000000-0005-0000-0000-000033820000}"/>
    <cellStyle name="SAPBEXstdItem 2 2 4 2 4" xfId="35475" xr:uid="{00000000-0005-0000-0000-000034820000}"/>
    <cellStyle name="SAPBEXstdItem 2 2 4 3" xfId="21304" xr:uid="{00000000-0005-0000-0000-000035820000}"/>
    <cellStyle name="SAPBEXstdItem 2 2 4 3 2" xfId="21305" xr:uid="{00000000-0005-0000-0000-000036820000}"/>
    <cellStyle name="SAPBEXstdItem 2 2 4 3 3" xfId="35476" xr:uid="{00000000-0005-0000-0000-000037820000}"/>
    <cellStyle name="SAPBEXstdItem 2 2 4 3 4" xfId="35477" xr:uid="{00000000-0005-0000-0000-000038820000}"/>
    <cellStyle name="SAPBEXstdItem 2 2 4 4" xfId="21306" xr:uid="{00000000-0005-0000-0000-000039820000}"/>
    <cellStyle name="SAPBEXstdItem 2 2 4 4 2" xfId="21307" xr:uid="{00000000-0005-0000-0000-00003A820000}"/>
    <cellStyle name="SAPBEXstdItem 2 2 4 4 3" xfId="35478" xr:uid="{00000000-0005-0000-0000-00003B820000}"/>
    <cellStyle name="SAPBEXstdItem 2 2 4 4 4" xfId="35479" xr:uid="{00000000-0005-0000-0000-00003C820000}"/>
    <cellStyle name="SAPBEXstdItem 2 2 4 5" xfId="21308" xr:uid="{00000000-0005-0000-0000-00003D820000}"/>
    <cellStyle name="SAPBEXstdItem 2 2 4 5 2" xfId="21309" xr:uid="{00000000-0005-0000-0000-00003E820000}"/>
    <cellStyle name="SAPBEXstdItem 2 2 4 5 3" xfId="35480" xr:uid="{00000000-0005-0000-0000-00003F820000}"/>
    <cellStyle name="SAPBEXstdItem 2 2 4 5 4" xfId="35481" xr:uid="{00000000-0005-0000-0000-000040820000}"/>
    <cellStyle name="SAPBEXstdItem 2 2 4 6" xfId="21310" xr:uid="{00000000-0005-0000-0000-000041820000}"/>
    <cellStyle name="SAPBEXstdItem 2 2 4 6 2" xfId="21311" xr:uid="{00000000-0005-0000-0000-000042820000}"/>
    <cellStyle name="SAPBEXstdItem 2 2 4 6 3" xfId="35482" xr:uid="{00000000-0005-0000-0000-000043820000}"/>
    <cellStyle name="SAPBEXstdItem 2 2 4 6 4" xfId="35483" xr:uid="{00000000-0005-0000-0000-000044820000}"/>
    <cellStyle name="SAPBEXstdItem 2 2 4 7" xfId="21312" xr:uid="{00000000-0005-0000-0000-000045820000}"/>
    <cellStyle name="SAPBEXstdItem 2 2 4 7 2" xfId="21313" xr:uid="{00000000-0005-0000-0000-000046820000}"/>
    <cellStyle name="SAPBEXstdItem 2 2 4 7 3" xfId="35484" xr:uid="{00000000-0005-0000-0000-000047820000}"/>
    <cellStyle name="SAPBEXstdItem 2 2 4 7 4" xfId="35485" xr:uid="{00000000-0005-0000-0000-000048820000}"/>
    <cellStyle name="SAPBEXstdItem 2 2 4 8" xfId="21314" xr:uid="{00000000-0005-0000-0000-000049820000}"/>
    <cellStyle name="SAPBEXstdItem 2 2 4 9" xfId="35486" xr:uid="{00000000-0005-0000-0000-00004A820000}"/>
    <cellStyle name="SAPBEXstdItem 2 2 5" xfId="21315" xr:uid="{00000000-0005-0000-0000-00004B820000}"/>
    <cellStyle name="SAPBEXstdItem 2 2 5 10" xfId="35487" xr:uid="{00000000-0005-0000-0000-00004C820000}"/>
    <cellStyle name="SAPBEXstdItem 2 2 5 2" xfId="21316" xr:uid="{00000000-0005-0000-0000-00004D820000}"/>
    <cellStyle name="SAPBEXstdItem 2 2 5 2 2" xfId="21317" xr:uid="{00000000-0005-0000-0000-00004E820000}"/>
    <cellStyle name="SAPBEXstdItem 2 2 5 2 3" xfId="35488" xr:uid="{00000000-0005-0000-0000-00004F820000}"/>
    <cellStyle name="SAPBEXstdItem 2 2 5 2 4" xfId="35489" xr:uid="{00000000-0005-0000-0000-000050820000}"/>
    <cellStyle name="SAPBEXstdItem 2 2 5 3" xfId="21318" xr:uid="{00000000-0005-0000-0000-000051820000}"/>
    <cellStyle name="SAPBEXstdItem 2 2 5 3 2" xfId="21319" xr:uid="{00000000-0005-0000-0000-000052820000}"/>
    <cellStyle name="SAPBEXstdItem 2 2 5 3 3" xfId="35490" xr:uid="{00000000-0005-0000-0000-000053820000}"/>
    <cellStyle name="SAPBEXstdItem 2 2 5 3 4" xfId="35491" xr:uid="{00000000-0005-0000-0000-000054820000}"/>
    <cellStyle name="SAPBEXstdItem 2 2 5 4" xfId="21320" xr:uid="{00000000-0005-0000-0000-000055820000}"/>
    <cellStyle name="SAPBEXstdItem 2 2 5 4 2" xfId="21321" xr:uid="{00000000-0005-0000-0000-000056820000}"/>
    <cellStyle name="SAPBEXstdItem 2 2 5 4 3" xfId="35492" xr:uid="{00000000-0005-0000-0000-000057820000}"/>
    <cellStyle name="SAPBEXstdItem 2 2 5 4 4" xfId="35493" xr:uid="{00000000-0005-0000-0000-000058820000}"/>
    <cellStyle name="SAPBEXstdItem 2 2 5 5" xfId="21322" xr:uid="{00000000-0005-0000-0000-000059820000}"/>
    <cellStyle name="SAPBEXstdItem 2 2 5 5 2" xfId="21323" xr:uid="{00000000-0005-0000-0000-00005A820000}"/>
    <cellStyle name="SAPBEXstdItem 2 2 5 5 3" xfId="35494" xr:uid="{00000000-0005-0000-0000-00005B820000}"/>
    <cellStyle name="SAPBEXstdItem 2 2 5 5 4" xfId="35495" xr:uid="{00000000-0005-0000-0000-00005C820000}"/>
    <cellStyle name="SAPBEXstdItem 2 2 5 6" xfId="21324" xr:uid="{00000000-0005-0000-0000-00005D820000}"/>
    <cellStyle name="SAPBEXstdItem 2 2 5 6 2" xfId="21325" xr:uid="{00000000-0005-0000-0000-00005E820000}"/>
    <cellStyle name="SAPBEXstdItem 2 2 5 6 3" xfId="35496" xr:uid="{00000000-0005-0000-0000-00005F820000}"/>
    <cellStyle name="SAPBEXstdItem 2 2 5 6 4" xfId="35497" xr:uid="{00000000-0005-0000-0000-000060820000}"/>
    <cellStyle name="SAPBEXstdItem 2 2 5 7" xfId="21326" xr:uid="{00000000-0005-0000-0000-000061820000}"/>
    <cellStyle name="SAPBEXstdItem 2 2 5 7 2" xfId="21327" xr:uid="{00000000-0005-0000-0000-000062820000}"/>
    <cellStyle name="SAPBEXstdItem 2 2 5 7 3" xfId="35498" xr:uid="{00000000-0005-0000-0000-000063820000}"/>
    <cellStyle name="SAPBEXstdItem 2 2 5 7 4" xfId="35499" xr:uid="{00000000-0005-0000-0000-000064820000}"/>
    <cellStyle name="SAPBEXstdItem 2 2 5 8" xfId="21328" xr:uid="{00000000-0005-0000-0000-000065820000}"/>
    <cellStyle name="SAPBEXstdItem 2 2 5 9" xfId="35500" xr:uid="{00000000-0005-0000-0000-000066820000}"/>
    <cellStyle name="SAPBEXstdItem 2 2 6" xfId="21329" xr:uid="{00000000-0005-0000-0000-000067820000}"/>
    <cellStyle name="SAPBEXstdItem 2 2 6 2" xfId="21330" xr:uid="{00000000-0005-0000-0000-000068820000}"/>
    <cellStyle name="SAPBEXstdItem 2 2 6 3" xfId="35501" xr:uid="{00000000-0005-0000-0000-000069820000}"/>
    <cellStyle name="SAPBEXstdItem 2 2 6 4" xfId="35502" xr:uid="{00000000-0005-0000-0000-00006A820000}"/>
    <cellStyle name="SAPBEXstdItem 2 2 7" xfId="21331" xr:uid="{00000000-0005-0000-0000-00006B820000}"/>
    <cellStyle name="SAPBEXstdItem 2 2 7 2" xfId="21332" xr:uid="{00000000-0005-0000-0000-00006C820000}"/>
    <cellStyle name="SAPBEXstdItem 2 2 7 3" xfId="35503" xr:uid="{00000000-0005-0000-0000-00006D820000}"/>
    <cellStyle name="SAPBEXstdItem 2 2 7 4" xfId="35504" xr:uid="{00000000-0005-0000-0000-00006E820000}"/>
    <cellStyle name="SAPBEXstdItem 2 2 8" xfId="21333" xr:uid="{00000000-0005-0000-0000-00006F820000}"/>
    <cellStyle name="SAPBEXstdItem 2 2 8 2" xfId="21334" xr:uid="{00000000-0005-0000-0000-000070820000}"/>
    <cellStyle name="SAPBEXstdItem 2 2 8 3" xfId="35505" xr:uid="{00000000-0005-0000-0000-000071820000}"/>
    <cellStyle name="SAPBEXstdItem 2 2 8 4" xfId="35506" xr:uid="{00000000-0005-0000-0000-000072820000}"/>
    <cellStyle name="SAPBEXstdItem 2 2 9" xfId="21335" xr:uid="{00000000-0005-0000-0000-000073820000}"/>
    <cellStyle name="SAPBEXstdItem 2 2 9 2" xfId="21336" xr:uid="{00000000-0005-0000-0000-000074820000}"/>
    <cellStyle name="SAPBEXstdItem 2 2 9 3" xfId="35507" xr:uid="{00000000-0005-0000-0000-000075820000}"/>
    <cellStyle name="SAPBEXstdItem 2 2 9 4" xfId="35508" xr:uid="{00000000-0005-0000-0000-000076820000}"/>
    <cellStyle name="SAPBEXstdItem 2 20" xfId="21337" xr:uid="{00000000-0005-0000-0000-000077820000}"/>
    <cellStyle name="SAPBEXstdItem 2 20 2" xfId="21338" xr:uid="{00000000-0005-0000-0000-000078820000}"/>
    <cellStyle name="SAPBEXstdItem 2 20 3" xfId="35509" xr:uid="{00000000-0005-0000-0000-000079820000}"/>
    <cellStyle name="SAPBEXstdItem 2 20 4" xfId="35510" xr:uid="{00000000-0005-0000-0000-00007A820000}"/>
    <cellStyle name="SAPBEXstdItem 2 21" xfId="21339" xr:uid="{00000000-0005-0000-0000-00007B820000}"/>
    <cellStyle name="SAPBEXstdItem 2 21 2" xfId="21340" xr:uid="{00000000-0005-0000-0000-00007C820000}"/>
    <cellStyle name="SAPBEXstdItem 2 21 3" xfId="35511" xr:uid="{00000000-0005-0000-0000-00007D820000}"/>
    <cellStyle name="SAPBEXstdItem 2 21 4" xfId="35512" xr:uid="{00000000-0005-0000-0000-00007E820000}"/>
    <cellStyle name="SAPBEXstdItem 2 22" xfId="21341" xr:uid="{00000000-0005-0000-0000-00007F820000}"/>
    <cellStyle name="SAPBEXstdItem 2 22 2" xfId="21342" xr:uid="{00000000-0005-0000-0000-000080820000}"/>
    <cellStyle name="SAPBEXstdItem 2 22 3" xfId="35513" xr:uid="{00000000-0005-0000-0000-000081820000}"/>
    <cellStyle name="SAPBEXstdItem 2 22 4" xfId="35514" xr:uid="{00000000-0005-0000-0000-000082820000}"/>
    <cellStyle name="SAPBEXstdItem 2 23" xfId="21343" xr:uid="{00000000-0005-0000-0000-000083820000}"/>
    <cellStyle name="SAPBEXstdItem 2 24" xfId="35515" xr:uid="{00000000-0005-0000-0000-000084820000}"/>
    <cellStyle name="SAPBEXstdItem 2 25" xfId="35516" xr:uid="{00000000-0005-0000-0000-000085820000}"/>
    <cellStyle name="SAPBEXstdItem 2 3" xfId="21344" xr:uid="{00000000-0005-0000-0000-000086820000}"/>
    <cellStyle name="SAPBEXstdItem 2 3 10" xfId="21345" xr:uid="{00000000-0005-0000-0000-000087820000}"/>
    <cellStyle name="SAPBEXstdItem 2 3 10 2" xfId="21346" xr:uid="{00000000-0005-0000-0000-000088820000}"/>
    <cellStyle name="SAPBEXstdItem 2 3 10 3" xfId="35517" xr:uid="{00000000-0005-0000-0000-000089820000}"/>
    <cellStyle name="SAPBEXstdItem 2 3 10 4" xfId="35518" xr:uid="{00000000-0005-0000-0000-00008A820000}"/>
    <cellStyle name="SAPBEXstdItem 2 3 11" xfId="21347" xr:uid="{00000000-0005-0000-0000-00008B820000}"/>
    <cellStyle name="SAPBEXstdItem 2 3 11 2" xfId="21348" xr:uid="{00000000-0005-0000-0000-00008C820000}"/>
    <cellStyle name="SAPBEXstdItem 2 3 11 3" xfId="35519" xr:uid="{00000000-0005-0000-0000-00008D820000}"/>
    <cellStyle name="SAPBEXstdItem 2 3 11 4" xfId="35520" xr:uid="{00000000-0005-0000-0000-00008E820000}"/>
    <cellStyle name="SAPBEXstdItem 2 3 12" xfId="21349" xr:uid="{00000000-0005-0000-0000-00008F820000}"/>
    <cellStyle name="SAPBEXstdItem 2 3 13" xfId="35521" xr:uid="{00000000-0005-0000-0000-000090820000}"/>
    <cellStyle name="SAPBEXstdItem 2 3 14" xfId="35522" xr:uid="{00000000-0005-0000-0000-000091820000}"/>
    <cellStyle name="SAPBEXstdItem 2 3 2" xfId="21350" xr:uid="{00000000-0005-0000-0000-000092820000}"/>
    <cellStyle name="SAPBEXstdItem 2 3 2 10" xfId="35523" xr:uid="{00000000-0005-0000-0000-000093820000}"/>
    <cellStyle name="SAPBEXstdItem 2 3 2 2" xfId="21351" xr:uid="{00000000-0005-0000-0000-000094820000}"/>
    <cellStyle name="SAPBEXstdItem 2 3 2 2 2" xfId="21352" xr:uid="{00000000-0005-0000-0000-000095820000}"/>
    <cellStyle name="SAPBEXstdItem 2 3 2 2 3" xfId="35524" xr:uid="{00000000-0005-0000-0000-000096820000}"/>
    <cellStyle name="SAPBEXstdItem 2 3 2 2 4" xfId="35525" xr:uid="{00000000-0005-0000-0000-000097820000}"/>
    <cellStyle name="SAPBEXstdItem 2 3 2 3" xfId="21353" xr:uid="{00000000-0005-0000-0000-000098820000}"/>
    <cellStyle name="SAPBEXstdItem 2 3 2 3 2" xfId="21354" xr:uid="{00000000-0005-0000-0000-000099820000}"/>
    <cellStyle name="SAPBEXstdItem 2 3 2 3 3" xfId="35526" xr:uid="{00000000-0005-0000-0000-00009A820000}"/>
    <cellStyle name="SAPBEXstdItem 2 3 2 3 4" xfId="35527" xr:uid="{00000000-0005-0000-0000-00009B820000}"/>
    <cellStyle name="SAPBEXstdItem 2 3 2 4" xfId="21355" xr:uid="{00000000-0005-0000-0000-00009C820000}"/>
    <cellStyle name="SAPBEXstdItem 2 3 2 4 2" xfId="21356" xr:uid="{00000000-0005-0000-0000-00009D820000}"/>
    <cellStyle name="SAPBEXstdItem 2 3 2 4 3" xfId="35528" xr:uid="{00000000-0005-0000-0000-00009E820000}"/>
    <cellStyle name="SAPBEXstdItem 2 3 2 4 4" xfId="35529" xr:uid="{00000000-0005-0000-0000-00009F820000}"/>
    <cellStyle name="SAPBEXstdItem 2 3 2 5" xfId="21357" xr:uid="{00000000-0005-0000-0000-0000A0820000}"/>
    <cellStyle name="SAPBEXstdItem 2 3 2 5 2" xfId="21358" xr:uid="{00000000-0005-0000-0000-0000A1820000}"/>
    <cellStyle name="SAPBEXstdItem 2 3 2 5 3" xfId="35530" xr:uid="{00000000-0005-0000-0000-0000A2820000}"/>
    <cellStyle name="SAPBEXstdItem 2 3 2 5 4" xfId="35531" xr:uid="{00000000-0005-0000-0000-0000A3820000}"/>
    <cellStyle name="SAPBEXstdItem 2 3 2 6" xfId="21359" xr:uid="{00000000-0005-0000-0000-0000A4820000}"/>
    <cellStyle name="SAPBEXstdItem 2 3 2 6 2" xfId="21360" xr:uid="{00000000-0005-0000-0000-0000A5820000}"/>
    <cellStyle name="SAPBEXstdItem 2 3 2 6 3" xfId="35532" xr:uid="{00000000-0005-0000-0000-0000A6820000}"/>
    <cellStyle name="SAPBEXstdItem 2 3 2 6 4" xfId="35533" xr:uid="{00000000-0005-0000-0000-0000A7820000}"/>
    <cellStyle name="SAPBEXstdItem 2 3 2 7" xfId="21361" xr:uid="{00000000-0005-0000-0000-0000A8820000}"/>
    <cellStyle name="SAPBEXstdItem 2 3 2 7 2" xfId="21362" xr:uid="{00000000-0005-0000-0000-0000A9820000}"/>
    <cellStyle name="SAPBEXstdItem 2 3 2 7 3" xfId="35534" xr:uid="{00000000-0005-0000-0000-0000AA820000}"/>
    <cellStyle name="SAPBEXstdItem 2 3 2 7 4" xfId="35535" xr:uid="{00000000-0005-0000-0000-0000AB820000}"/>
    <cellStyle name="SAPBEXstdItem 2 3 2 8" xfId="21363" xr:uid="{00000000-0005-0000-0000-0000AC820000}"/>
    <cellStyle name="SAPBEXstdItem 2 3 2 9" xfId="35536" xr:uid="{00000000-0005-0000-0000-0000AD820000}"/>
    <cellStyle name="SAPBEXstdItem 2 3 3" xfId="21364" xr:uid="{00000000-0005-0000-0000-0000AE820000}"/>
    <cellStyle name="SAPBEXstdItem 2 3 3 10" xfId="35537" xr:uid="{00000000-0005-0000-0000-0000AF820000}"/>
    <cellStyle name="SAPBEXstdItem 2 3 3 2" xfId="21365" xr:uid="{00000000-0005-0000-0000-0000B0820000}"/>
    <cellStyle name="SAPBEXstdItem 2 3 3 2 2" xfId="21366" xr:uid="{00000000-0005-0000-0000-0000B1820000}"/>
    <cellStyle name="SAPBEXstdItem 2 3 3 2 3" xfId="35538" xr:uid="{00000000-0005-0000-0000-0000B2820000}"/>
    <cellStyle name="SAPBEXstdItem 2 3 3 2 4" xfId="35539" xr:uid="{00000000-0005-0000-0000-0000B3820000}"/>
    <cellStyle name="SAPBEXstdItem 2 3 3 3" xfId="21367" xr:uid="{00000000-0005-0000-0000-0000B4820000}"/>
    <cellStyle name="SAPBEXstdItem 2 3 3 3 2" xfId="21368" xr:uid="{00000000-0005-0000-0000-0000B5820000}"/>
    <cellStyle name="SAPBEXstdItem 2 3 3 3 3" xfId="35540" xr:uid="{00000000-0005-0000-0000-0000B6820000}"/>
    <cellStyle name="SAPBEXstdItem 2 3 3 3 4" xfId="35541" xr:uid="{00000000-0005-0000-0000-0000B7820000}"/>
    <cellStyle name="SAPBEXstdItem 2 3 3 4" xfId="21369" xr:uid="{00000000-0005-0000-0000-0000B8820000}"/>
    <cellStyle name="SAPBEXstdItem 2 3 3 4 2" xfId="21370" xr:uid="{00000000-0005-0000-0000-0000B9820000}"/>
    <cellStyle name="SAPBEXstdItem 2 3 3 4 3" xfId="35542" xr:uid="{00000000-0005-0000-0000-0000BA820000}"/>
    <cellStyle name="SAPBEXstdItem 2 3 3 4 4" xfId="35543" xr:uid="{00000000-0005-0000-0000-0000BB820000}"/>
    <cellStyle name="SAPBEXstdItem 2 3 3 5" xfId="21371" xr:uid="{00000000-0005-0000-0000-0000BC820000}"/>
    <cellStyle name="SAPBEXstdItem 2 3 3 5 2" xfId="21372" xr:uid="{00000000-0005-0000-0000-0000BD820000}"/>
    <cellStyle name="SAPBEXstdItem 2 3 3 5 3" xfId="35544" xr:uid="{00000000-0005-0000-0000-0000BE820000}"/>
    <cellStyle name="SAPBEXstdItem 2 3 3 5 4" xfId="35545" xr:uid="{00000000-0005-0000-0000-0000BF820000}"/>
    <cellStyle name="SAPBEXstdItem 2 3 3 6" xfId="21373" xr:uid="{00000000-0005-0000-0000-0000C0820000}"/>
    <cellStyle name="SAPBEXstdItem 2 3 3 6 2" xfId="21374" xr:uid="{00000000-0005-0000-0000-0000C1820000}"/>
    <cellStyle name="SAPBEXstdItem 2 3 3 6 3" xfId="35546" xr:uid="{00000000-0005-0000-0000-0000C2820000}"/>
    <cellStyle name="SAPBEXstdItem 2 3 3 6 4" xfId="35547" xr:uid="{00000000-0005-0000-0000-0000C3820000}"/>
    <cellStyle name="SAPBEXstdItem 2 3 3 7" xfId="21375" xr:uid="{00000000-0005-0000-0000-0000C4820000}"/>
    <cellStyle name="SAPBEXstdItem 2 3 3 7 2" xfId="21376" xr:uid="{00000000-0005-0000-0000-0000C5820000}"/>
    <cellStyle name="SAPBEXstdItem 2 3 3 7 3" xfId="35548" xr:uid="{00000000-0005-0000-0000-0000C6820000}"/>
    <cellStyle name="SAPBEXstdItem 2 3 3 7 4" xfId="35549" xr:uid="{00000000-0005-0000-0000-0000C7820000}"/>
    <cellStyle name="SAPBEXstdItem 2 3 3 8" xfId="21377" xr:uid="{00000000-0005-0000-0000-0000C8820000}"/>
    <cellStyle name="SAPBEXstdItem 2 3 3 9" xfId="35550" xr:uid="{00000000-0005-0000-0000-0000C9820000}"/>
    <cellStyle name="SAPBEXstdItem 2 3 4" xfId="21378" xr:uid="{00000000-0005-0000-0000-0000CA820000}"/>
    <cellStyle name="SAPBEXstdItem 2 3 4 10" xfId="35551" xr:uid="{00000000-0005-0000-0000-0000CB820000}"/>
    <cellStyle name="SAPBEXstdItem 2 3 4 2" xfId="21379" xr:uid="{00000000-0005-0000-0000-0000CC820000}"/>
    <cellStyle name="SAPBEXstdItem 2 3 4 2 2" xfId="21380" xr:uid="{00000000-0005-0000-0000-0000CD820000}"/>
    <cellStyle name="SAPBEXstdItem 2 3 4 2 3" xfId="35552" xr:uid="{00000000-0005-0000-0000-0000CE820000}"/>
    <cellStyle name="SAPBEXstdItem 2 3 4 2 4" xfId="35553" xr:uid="{00000000-0005-0000-0000-0000CF820000}"/>
    <cellStyle name="SAPBEXstdItem 2 3 4 3" xfId="21381" xr:uid="{00000000-0005-0000-0000-0000D0820000}"/>
    <cellStyle name="SAPBEXstdItem 2 3 4 3 2" xfId="21382" xr:uid="{00000000-0005-0000-0000-0000D1820000}"/>
    <cellStyle name="SAPBEXstdItem 2 3 4 3 3" xfId="35554" xr:uid="{00000000-0005-0000-0000-0000D2820000}"/>
    <cellStyle name="SAPBEXstdItem 2 3 4 3 4" xfId="35555" xr:uid="{00000000-0005-0000-0000-0000D3820000}"/>
    <cellStyle name="SAPBEXstdItem 2 3 4 4" xfId="21383" xr:uid="{00000000-0005-0000-0000-0000D4820000}"/>
    <cellStyle name="SAPBEXstdItem 2 3 4 4 2" xfId="21384" xr:uid="{00000000-0005-0000-0000-0000D5820000}"/>
    <cellStyle name="SAPBEXstdItem 2 3 4 4 3" xfId="35556" xr:uid="{00000000-0005-0000-0000-0000D6820000}"/>
    <cellStyle name="SAPBEXstdItem 2 3 4 4 4" xfId="35557" xr:uid="{00000000-0005-0000-0000-0000D7820000}"/>
    <cellStyle name="SAPBEXstdItem 2 3 4 5" xfId="21385" xr:uid="{00000000-0005-0000-0000-0000D8820000}"/>
    <cellStyle name="SAPBEXstdItem 2 3 4 5 2" xfId="21386" xr:uid="{00000000-0005-0000-0000-0000D9820000}"/>
    <cellStyle name="SAPBEXstdItem 2 3 4 5 3" xfId="35558" xr:uid="{00000000-0005-0000-0000-0000DA820000}"/>
    <cellStyle name="SAPBEXstdItem 2 3 4 5 4" xfId="35559" xr:uid="{00000000-0005-0000-0000-0000DB820000}"/>
    <cellStyle name="SAPBEXstdItem 2 3 4 6" xfId="21387" xr:uid="{00000000-0005-0000-0000-0000DC820000}"/>
    <cellStyle name="SAPBEXstdItem 2 3 4 6 2" xfId="21388" xr:uid="{00000000-0005-0000-0000-0000DD820000}"/>
    <cellStyle name="SAPBEXstdItem 2 3 4 6 3" xfId="35560" xr:uid="{00000000-0005-0000-0000-0000DE820000}"/>
    <cellStyle name="SAPBEXstdItem 2 3 4 6 4" xfId="35561" xr:uid="{00000000-0005-0000-0000-0000DF820000}"/>
    <cellStyle name="SAPBEXstdItem 2 3 4 7" xfId="21389" xr:uid="{00000000-0005-0000-0000-0000E0820000}"/>
    <cellStyle name="SAPBEXstdItem 2 3 4 7 2" xfId="21390" xr:uid="{00000000-0005-0000-0000-0000E1820000}"/>
    <cellStyle name="SAPBEXstdItem 2 3 4 7 3" xfId="35562" xr:uid="{00000000-0005-0000-0000-0000E2820000}"/>
    <cellStyle name="SAPBEXstdItem 2 3 4 7 4" xfId="35563" xr:uid="{00000000-0005-0000-0000-0000E3820000}"/>
    <cellStyle name="SAPBEXstdItem 2 3 4 8" xfId="21391" xr:uid="{00000000-0005-0000-0000-0000E4820000}"/>
    <cellStyle name="SAPBEXstdItem 2 3 4 9" xfId="35564" xr:uid="{00000000-0005-0000-0000-0000E5820000}"/>
    <cellStyle name="SAPBEXstdItem 2 3 5" xfId="21392" xr:uid="{00000000-0005-0000-0000-0000E6820000}"/>
    <cellStyle name="SAPBEXstdItem 2 3 5 10" xfId="35565" xr:uid="{00000000-0005-0000-0000-0000E7820000}"/>
    <cellStyle name="SAPBEXstdItem 2 3 5 2" xfId="21393" xr:uid="{00000000-0005-0000-0000-0000E8820000}"/>
    <cellStyle name="SAPBEXstdItem 2 3 5 2 2" xfId="21394" xr:uid="{00000000-0005-0000-0000-0000E9820000}"/>
    <cellStyle name="SAPBEXstdItem 2 3 5 2 3" xfId="35566" xr:uid="{00000000-0005-0000-0000-0000EA820000}"/>
    <cellStyle name="SAPBEXstdItem 2 3 5 2 4" xfId="35567" xr:uid="{00000000-0005-0000-0000-0000EB820000}"/>
    <cellStyle name="SAPBEXstdItem 2 3 5 3" xfId="21395" xr:uid="{00000000-0005-0000-0000-0000EC820000}"/>
    <cellStyle name="SAPBEXstdItem 2 3 5 3 2" xfId="21396" xr:uid="{00000000-0005-0000-0000-0000ED820000}"/>
    <cellStyle name="SAPBEXstdItem 2 3 5 3 3" xfId="35568" xr:uid="{00000000-0005-0000-0000-0000EE820000}"/>
    <cellStyle name="SAPBEXstdItem 2 3 5 3 4" xfId="35569" xr:uid="{00000000-0005-0000-0000-0000EF820000}"/>
    <cellStyle name="SAPBEXstdItem 2 3 5 4" xfId="21397" xr:uid="{00000000-0005-0000-0000-0000F0820000}"/>
    <cellStyle name="SAPBEXstdItem 2 3 5 4 2" xfId="21398" xr:uid="{00000000-0005-0000-0000-0000F1820000}"/>
    <cellStyle name="SAPBEXstdItem 2 3 5 4 3" xfId="35570" xr:uid="{00000000-0005-0000-0000-0000F2820000}"/>
    <cellStyle name="SAPBEXstdItem 2 3 5 4 4" xfId="35571" xr:uid="{00000000-0005-0000-0000-0000F3820000}"/>
    <cellStyle name="SAPBEXstdItem 2 3 5 5" xfId="21399" xr:uid="{00000000-0005-0000-0000-0000F4820000}"/>
    <cellStyle name="SAPBEXstdItem 2 3 5 5 2" xfId="21400" xr:uid="{00000000-0005-0000-0000-0000F5820000}"/>
    <cellStyle name="SAPBEXstdItem 2 3 5 5 3" xfId="35572" xr:uid="{00000000-0005-0000-0000-0000F6820000}"/>
    <cellStyle name="SAPBEXstdItem 2 3 5 5 4" xfId="35573" xr:uid="{00000000-0005-0000-0000-0000F7820000}"/>
    <cellStyle name="SAPBEXstdItem 2 3 5 6" xfId="21401" xr:uid="{00000000-0005-0000-0000-0000F8820000}"/>
    <cellStyle name="SAPBEXstdItem 2 3 5 6 2" xfId="21402" xr:uid="{00000000-0005-0000-0000-0000F9820000}"/>
    <cellStyle name="SAPBEXstdItem 2 3 5 6 3" xfId="35574" xr:uid="{00000000-0005-0000-0000-0000FA820000}"/>
    <cellStyle name="SAPBEXstdItem 2 3 5 6 4" xfId="35575" xr:uid="{00000000-0005-0000-0000-0000FB820000}"/>
    <cellStyle name="SAPBEXstdItem 2 3 5 7" xfId="21403" xr:uid="{00000000-0005-0000-0000-0000FC820000}"/>
    <cellStyle name="SAPBEXstdItem 2 3 5 7 2" xfId="21404" xr:uid="{00000000-0005-0000-0000-0000FD820000}"/>
    <cellStyle name="SAPBEXstdItem 2 3 5 7 3" xfId="35576" xr:uid="{00000000-0005-0000-0000-0000FE820000}"/>
    <cellStyle name="SAPBEXstdItem 2 3 5 7 4" xfId="35577" xr:uid="{00000000-0005-0000-0000-0000FF820000}"/>
    <cellStyle name="SAPBEXstdItem 2 3 5 8" xfId="21405" xr:uid="{00000000-0005-0000-0000-000000830000}"/>
    <cellStyle name="SAPBEXstdItem 2 3 5 9" xfId="35578" xr:uid="{00000000-0005-0000-0000-000001830000}"/>
    <cellStyle name="SAPBEXstdItem 2 3 6" xfId="21406" xr:uid="{00000000-0005-0000-0000-000002830000}"/>
    <cellStyle name="SAPBEXstdItem 2 3 6 2" xfId="21407" xr:uid="{00000000-0005-0000-0000-000003830000}"/>
    <cellStyle name="SAPBEXstdItem 2 3 6 3" xfId="35579" xr:uid="{00000000-0005-0000-0000-000004830000}"/>
    <cellStyle name="SAPBEXstdItem 2 3 6 4" xfId="35580" xr:uid="{00000000-0005-0000-0000-000005830000}"/>
    <cellStyle name="SAPBEXstdItem 2 3 7" xfId="21408" xr:uid="{00000000-0005-0000-0000-000006830000}"/>
    <cellStyle name="SAPBEXstdItem 2 3 7 2" xfId="21409" xr:uid="{00000000-0005-0000-0000-000007830000}"/>
    <cellStyle name="SAPBEXstdItem 2 3 7 3" xfId="35581" xr:uid="{00000000-0005-0000-0000-000008830000}"/>
    <cellStyle name="SAPBEXstdItem 2 3 7 4" xfId="35582" xr:uid="{00000000-0005-0000-0000-000009830000}"/>
    <cellStyle name="SAPBEXstdItem 2 3 8" xfId="21410" xr:uid="{00000000-0005-0000-0000-00000A830000}"/>
    <cellStyle name="SAPBEXstdItem 2 3 8 2" xfId="21411" xr:uid="{00000000-0005-0000-0000-00000B830000}"/>
    <cellStyle name="SAPBEXstdItem 2 3 8 3" xfId="35583" xr:uid="{00000000-0005-0000-0000-00000C830000}"/>
    <cellStyle name="SAPBEXstdItem 2 3 8 4" xfId="35584" xr:uid="{00000000-0005-0000-0000-00000D830000}"/>
    <cellStyle name="SAPBEXstdItem 2 3 9" xfId="21412" xr:uid="{00000000-0005-0000-0000-00000E830000}"/>
    <cellStyle name="SAPBEXstdItem 2 3 9 2" xfId="21413" xr:uid="{00000000-0005-0000-0000-00000F830000}"/>
    <cellStyle name="SAPBEXstdItem 2 3 9 3" xfId="35585" xr:uid="{00000000-0005-0000-0000-000010830000}"/>
    <cellStyle name="SAPBEXstdItem 2 3 9 4" xfId="35586" xr:uid="{00000000-0005-0000-0000-000011830000}"/>
    <cellStyle name="SAPBEXstdItem 2 4" xfId="21414" xr:uid="{00000000-0005-0000-0000-000012830000}"/>
    <cellStyle name="SAPBEXstdItem 2 4 10" xfId="21415" xr:uid="{00000000-0005-0000-0000-000013830000}"/>
    <cellStyle name="SAPBEXstdItem 2 4 10 2" xfId="21416" xr:uid="{00000000-0005-0000-0000-000014830000}"/>
    <cellStyle name="SAPBEXstdItem 2 4 10 3" xfId="35587" xr:uid="{00000000-0005-0000-0000-000015830000}"/>
    <cellStyle name="SAPBEXstdItem 2 4 10 4" xfId="35588" xr:uid="{00000000-0005-0000-0000-000016830000}"/>
    <cellStyle name="SAPBEXstdItem 2 4 11" xfId="21417" xr:uid="{00000000-0005-0000-0000-000017830000}"/>
    <cellStyle name="SAPBEXstdItem 2 4 11 2" xfId="21418" xr:uid="{00000000-0005-0000-0000-000018830000}"/>
    <cellStyle name="SAPBEXstdItem 2 4 11 3" xfId="35589" xr:uid="{00000000-0005-0000-0000-000019830000}"/>
    <cellStyle name="SAPBEXstdItem 2 4 11 4" xfId="35590" xr:uid="{00000000-0005-0000-0000-00001A830000}"/>
    <cellStyle name="SAPBEXstdItem 2 4 12" xfId="21419" xr:uid="{00000000-0005-0000-0000-00001B830000}"/>
    <cellStyle name="SAPBEXstdItem 2 4 13" xfId="35591" xr:uid="{00000000-0005-0000-0000-00001C830000}"/>
    <cellStyle name="SAPBEXstdItem 2 4 14" xfId="35592" xr:uid="{00000000-0005-0000-0000-00001D830000}"/>
    <cellStyle name="SAPBEXstdItem 2 4 2" xfId="21420" xr:uid="{00000000-0005-0000-0000-00001E830000}"/>
    <cellStyle name="SAPBEXstdItem 2 4 2 10" xfId="35593" xr:uid="{00000000-0005-0000-0000-00001F830000}"/>
    <cellStyle name="SAPBEXstdItem 2 4 2 2" xfId="21421" xr:uid="{00000000-0005-0000-0000-000020830000}"/>
    <cellStyle name="SAPBEXstdItem 2 4 2 2 2" xfId="21422" xr:uid="{00000000-0005-0000-0000-000021830000}"/>
    <cellStyle name="SAPBEXstdItem 2 4 2 2 3" xfId="35594" xr:uid="{00000000-0005-0000-0000-000022830000}"/>
    <cellStyle name="SAPBEXstdItem 2 4 2 2 4" xfId="35595" xr:uid="{00000000-0005-0000-0000-000023830000}"/>
    <cellStyle name="SAPBEXstdItem 2 4 2 3" xfId="21423" xr:uid="{00000000-0005-0000-0000-000024830000}"/>
    <cellStyle name="SAPBEXstdItem 2 4 2 3 2" xfId="21424" xr:uid="{00000000-0005-0000-0000-000025830000}"/>
    <cellStyle name="SAPBEXstdItem 2 4 2 3 3" xfId="35596" xr:uid="{00000000-0005-0000-0000-000026830000}"/>
    <cellStyle name="SAPBEXstdItem 2 4 2 3 4" xfId="35597" xr:uid="{00000000-0005-0000-0000-000027830000}"/>
    <cellStyle name="SAPBEXstdItem 2 4 2 4" xfId="21425" xr:uid="{00000000-0005-0000-0000-000028830000}"/>
    <cellStyle name="SAPBEXstdItem 2 4 2 4 2" xfId="21426" xr:uid="{00000000-0005-0000-0000-000029830000}"/>
    <cellStyle name="SAPBEXstdItem 2 4 2 4 3" xfId="35598" xr:uid="{00000000-0005-0000-0000-00002A830000}"/>
    <cellStyle name="SAPBEXstdItem 2 4 2 4 4" xfId="35599" xr:uid="{00000000-0005-0000-0000-00002B830000}"/>
    <cellStyle name="SAPBEXstdItem 2 4 2 5" xfId="21427" xr:uid="{00000000-0005-0000-0000-00002C830000}"/>
    <cellStyle name="SAPBEXstdItem 2 4 2 5 2" xfId="21428" xr:uid="{00000000-0005-0000-0000-00002D830000}"/>
    <cellStyle name="SAPBEXstdItem 2 4 2 5 3" xfId="35600" xr:uid="{00000000-0005-0000-0000-00002E830000}"/>
    <cellStyle name="SAPBEXstdItem 2 4 2 5 4" xfId="35601" xr:uid="{00000000-0005-0000-0000-00002F830000}"/>
    <cellStyle name="SAPBEXstdItem 2 4 2 6" xfId="21429" xr:uid="{00000000-0005-0000-0000-000030830000}"/>
    <cellStyle name="SAPBEXstdItem 2 4 2 6 2" xfId="21430" xr:uid="{00000000-0005-0000-0000-000031830000}"/>
    <cellStyle name="SAPBEXstdItem 2 4 2 6 3" xfId="35602" xr:uid="{00000000-0005-0000-0000-000032830000}"/>
    <cellStyle name="SAPBEXstdItem 2 4 2 6 4" xfId="35603" xr:uid="{00000000-0005-0000-0000-000033830000}"/>
    <cellStyle name="SAPBEXstdItem 2 4 2 7" xfId="21431" xr:uid="{00000000-0005-0000-0000-000034830000}"/>
    <cellStyle name="SAPBEXstdItem 2 4 2 7 2" xfId="21432" xr:uid="{00000000-0005-0000-0000-000035830000}"/>
    <cellStyle name="SAPBEXstdItem 2 4 2 7 3" xfId="35604" xr:uid="{00000000-0005-0000-0000-000036830000}"/>
    <cellStyle name="SAPBEXstdItem 2 4 2 7 4" xfId="35605" xr:uid="{00000000-0005-0000-0000-000037830000}"/>
    <cellStyle name="SAPBEXstdItem 2 4 2 8" xfId="21433" xr:uid="{00000000-0005-0000-0000-000038830000}"/>
    <cellStyle name="SAPBEXstdItem 2 4 2 9" xfId="35606" xr:uid="{00000000-0005-0000-0000-000039830000}"/>
    <cellStyle name="SAPBEXstdItem 2 4 3" xfId="21434" xr:uid="{00000000-0005-0000-0000-00003A830000}"/>
    <cellStyle name="SAPBEXstdItem 2 4 3 10" xfId="35607" xr:uid="{00000000-0005-0000-0000-00003B830000}"/>
    <cellStyle name="SAPBEXstdItem 2 4 3 2" xfId="21435" xr:uid="{00000000-0005-0000-0000-00003C830000}"/>
    <cellStyle name="SAPBEXstdItem 2 4 3 2 2" xfId="21436" xr:uid="{00000000-0005-0000-0000-00003D830000}"/>
    <cellStyle name="SAPBEXstdItem 2 4 3 2 3" xfId="35608" xr:uid="{00000000-0005-0000-0000-00003E830000}"/>
    <cellStyle name="SAPBEXstdItem 2 4 3 2 4" xfId="35609" xr:uid="{00000000-0005-0000-0000-00003F830000}"/>
    <cellStyle name="SAPBEXstdItem 2 4 3 3" xfId="21437" xr:uid="{00000000-0005-0000-0000-000040830000}"/>
    <cellStyle name="SAPBEXstdItem 2 4 3 3 2" xfId="21438" xr:uid="{00000000-0005-0000-0000-000041830000}"/>
    <cellStyle name="SAPBEXstdItem 2 4 3 3 3" xfId="35610" xr:uid="{00000000-0005-0000-0000-000042830000}"/>
    <cellStyle name="SAPBEXstdItem 2 4 3 3 4" xfId="35611" xr:uid="{00000000-0005-0000-0000-000043830000}"/>
    <cellStyle name="SAPBEXstdItem 2 4 3 4" xfId="21439" xr:uid="{00000000-0005-0000-0000-000044830000}"/>
    <cellStyle name="SAPBEXstdItem 2 4 3 4 2" xfId="21440" xr:uid="{00000000-0005-0000-0000-000045830000}"/>
    <cellStyle name="SAPBEXstdItem 2 4 3 4 3" xfId="35612" xr:uid="{00000000-0005-0000-0000-000046830000}"/>
    <cellStyle name="SAPBEXstdItem 2 4 3 4 4" xfId="35613" xr:uid="{00000000-0005-0000-0000-000047830000}"/>
    <cellStyle name="SAPBEXstdItem 2 4 3 5" xfId="21441" xr:uid="{00000000-0005-0000-0000-000048830000}"/>
    <cellStyle name="SAPBEXstdItem 2 4 3 5 2" xfId="21442" xr:uid="{00000000-0005-0000-0000-000049830000}"/>
    <cellStyle name="SAPBEXstdItem 2 4 3 5 3" xfId="35614" xr:uid="{00000000-0005-0000-0000-00004A830000}"/>
    <cellStyle name="SAPBEXstdItem 2 4 3 5 4" xfId="35615" xr:uid="{00000000-0005-0000-0000-00004B830000}"/>
    <cellStyle name="SAPBEXstdItem 2 4 3 6" xfId="21443" xr:uid="{00000000-0005-0000-0000-00004C830000}"/>
    <cellStyle name="SAPBEXstdItem 2 4 3 6 2" xfId="21444" xr:uid="{00000000-0005-0000-0000-00004D830000}"/>
    <cellStyle name="SAPBEXstdItem 2 4 3 6 3" xfId="35616" xr:uid="{00000000-0005-0000-0000-00004E830000}"/>
    <cellStyle name="SAPBEXstdItem 2 4 3 6 4" xfId="35617" xr:uid="{00000000-0005-0000-0000-00004F830000}"/>
    <cellStyle name="SAPBEXstdItem 2 4 3 7" xfId="21445" xr:uid="{00000000-0005-0000-0000-000050830000}"/>
    <cellStyle name="SAPBEXstdItem 2 4 3 7 2" xfId="21446" xr:uid="{00000000-0005-0000-0000-000051830000}"/>
    <cellStyle name="SAPBEXstdItem 2 4 3 7 3" xfId="35618" xr:uid="{00000000-0005-0000-0000-000052830000}"/>
    <cellStyle name="SAPBEXstdItem 2 4 3 7 4" xfId="35619" xr:uid="{00000000-0005-0000-0000-000053830000}"/>
    <cellStyle name="SAPBEXstdItem 2 4 3 8" xfId="21447" xr:uid="{00000000-0005-0000-0000-000054830000}"/>
    <cellStyle name="SAPBEXstdItem 2 4 3 9" xfId="35620" xr:uid="{00000000-0005-0000-0000-000055830000}"/>
    <cellStyle name="SAPBEXstdItem 2 4 4" xfId="21448" xr:uid="{00000000-0005-0000-0000-000056830000}"/>
    <cellStyle name="SAPBEXstdItem 2 4 4 10" xfId="35621" xr:uid="{00000000-0005-0000-0000-000057830000}"/>
    <cellStyle name="SAPBEXstdItem 2 4 4 2" xfId="21449" xr:uid="{00000000-0005-0000-0000-000058830000}"/>
    <cellStyle name="SAPBEXstdItem 2 4 4 2 2" xfId="21450" xr:uid="{00000000-0005-0000-0000-000059830000}"/>
    <cellStyle name="SAPBEXstdItem 2 4 4 2 3" xfId="35622" xr:uid="{00000000-0005-0000-0000-00005A830000}"/>
    <cellStyle name="SAPBEXstdItem 2 4 4 2 4" xfId="35623" xr:uid="{00000000-0005-0000-0000-00005B830000}"/>
    <cellStyle name="SAPBEXstdItem 2 4 4 3" xfId="21451" xr:uid="{00000000-0005-0000-0000-00005C830000}"/>
    <cellStyle name="SAPBEXstdItem 2 4 4 3 2" xfId="21452" xr:uid="{00000000-0005-0000-0000-00005D830000}"/>
    <cellStyle name="SAPBEXstdItem 2 4 4 3 3" xfId="35624" xr:uid="{00000000-0005-0000-0000-00005E830000}"/>
    <cellStyle name="SAPBEXstdItem 2 4 4 3 4" xfId="35625" xr:uid="{00000000-0005-0000-0000-00005F830000}"/>
    <cellStyle name="SAPBEXstdItem 2 4 4 4" xfId="21453" xr:uid="{00000000-0005-0000-0000-000060830000}"/>
    <cellStyle name="SAPBEXstdItem 2 4 4 4 2" xfId="21454" xr:uid="{00000000-0005-0000-0000-000061830000}"/>
    <cellStyle name="SAPBEXstdItem 2 4 4 4 3" xfId="35626" xr:uid="{00000000-0005-0000-0000-000062830000}"/>
    <cellStyle name="SAPBEXstdItem 2 4 4 4 4" xfId="35627" xr:uid="{00000000-0005-0000-0000-000063830000}"/>
    <cellStyle name="SAPBEXstdItem 2 4 4 5" xfId="21455" xr:uid="{00000000-0005-0000-0000-000064830000}"/>
    <cellStyle name="SAPBEXstdItem 2 4 4 5 2" xfId="21456" xr:uid="{00000000-0005-0000-0000-000065830000}"/>
    <cellStyle name="SAPBEXstdItem 2 4 4 5 3" xfId="35628" xr:uid="{00000000-0005-0000-0000-000066830000}"/>
    <cellStyle name="SAPBEXstdItem 2 4 4 5 4" xfId="35629" xr:uid="{00000000-0005-0000-0000-000067830000}"/>
    <cellStyle name="SAPBEXstdItem 2 4 4 6" xfId="21457" xr:uid="{00000000-0005-0000-0000-000068830000}"/>
    <cellStyle name="SAPBEXstdItem 2 4 4 6 2" xfId="21458" xr:uid="{00000000-0005-0000-0000-000069830000}"/>
    <cellStyle name="SAPBEXstdItem 2 4 4 6 3" xfId="35630" xr:uid="{00000000-0005-0000-0000-00006A830000}"/>
    <cellStyle name="SAPBEXstdItem 2 4 4 6 4" xfId="35631" xr:uid="{00000000-0005-0000-0000-00006B830000}"/>
    <cellStyle name="SAPBEXstdItem 2 4 4 7" xfId="21459" xr:uid="{00000000-0005-0000-0000-00006C830000}"/>
    <cellStyle name="SAPBEXstdItem 2 4 4 7 2" xfId="21460" xr:uid="{00000000-0005-0000-0000-00006D830000}"/>
    <cellStyle name="SAPBEXstdItem 2 4 4 7 3" xfId="35632" xr:uid="{00000000-0005-0000-0000-00006E830000}"/>
    <cellStyle name="SAPBEXstdItem 2 4 4 7 4" xfId="35633" xr:uid="{00000000-0005-0000-0000-00006F830000}"/>
    <cellStyle name="SAPBEXstdItem 2 4 4 8" xfId="21461" xr:uid="{00000000-0005-0000-0000-000070830000}"/>
    <cellStyle name="SAPBEXstdItem 2 4 4 9" xfId="35634" xr:uid="{00000000-0005-0000-0000-000071830000}"/>
    <cellStyle name="SAPBEXstdItem 2 4 5" xfId="21462" xr:uid="{00000000-0005-0000-0000-000072830000}"/>
    <cellStyle name="SAPBEXstdItem 2 4 5 10" xfId="35635" xr:uid="{00000000-0005-0000-0000-000073830000}"/>
    <cellStyle name="SAPBEXstdItem 2 4 5 2" xfId="21463" xr:uid="{00000000-0005-0000-0000-000074830000}"/>
    <cellStyle name="SAPBEXstdItem 2 4 5 2 2" xfId="21464" xr:uid="{00000000-0005-0000-0000-000075830000}"/>
    <cellStyle name="SAPBEXstdItem 2 4 5 2 3" xfId="35636" xr:uid="{00000000-0005-0000-0000-000076830000}"/>
    <cellStyle name="SAPBEXstdItem 2 4 5 2 4" xfId="35637" xr:uid="{00000000-0005-0000-0000-000077830000}"/>
    <cellStyle name="SAPBEXstdItem 2 4 5 3" xfId="21465" xr:uid="{00000000-0005-0000-0000-000078830000}"/>
    <cellStyle name="SAPBEXstdItem 2 4 5 3 2" xfId="21466" xr:uid="{00000000-0005-0000-0000-000079830000}"/>
    <cellStyle name="SAPBEXstdItem 2 4 5 3 3" xfId="35638" xr:uid="{00000000-0005-0000-0000-00007A830000}"/>
    <cellStyle name="SAPBEXstdItem 2 4 5 3 4" xfId="35639" xr:uid="{00000000-0005-0000-0000-00007B830000}"/>
    <cellStyle name="SAPBEXstdItem 2 4 5 4" xfId="21467" xr:uid="{00000000-0005-0000-0000-00007C830000}"/>
    <cellStyle name="SAPBEXstdItem 2 4 5 4 2" xfId="21468" xr:uid="{00000000-0005-0000-0000-00007D830000}"/>
    <cellStyle name="SAPBEXstdItem 2 4 5 4 3" xfId="35640" xr:uid="{00000000-0005-0000-0000-00007E830000}"/>
    <cellStyle name="SAPBEXstdItem 2 4 5 4 4" xfId="35641" xr:uid="{00000000-0005-0000-0000-00007F830000}"/>
    <cellStyle name="SAPBEXstdItem 2 4 5 5" xfId="21469" xr:uid="{00000000-0005-0000-0000-000080830000}"/>
    <cellStyle name="SAPBEXstdItem 2 4 5 5 2" xfId="21470" xr:uid="{00000000-0005-0000-0000-000081830000}"/>
    <cellStyle name="SAPBEXstdItem 2 4 5 5 3" xfId="35642" xr:uid="{00000000-0005-0000-0000-000082830000}"/>
    <cellStyle name="SAPBEXstdItem 2 4 5 5 4" xfId="35643" xr:uid="{00000000-0005-0000-0000-000083830000}"/>
    <cellStyle name="SAPBEXstdItem 2 4 5 6" xfId="21471" xr:uid="{00000000-0005-0000-0000-000084830000}"/>
    <cellStyle name="SAPBEXstdItem 2 4 5 6 2" xfId="21472" xr:uid="{00000000-0005-0000-0000-000085830000}"/>
    <cellStyle name="SAPBEXstdItem 2 4 5 6 3" xfId="35644" xr:uid="{00000000-0005-0000-0000-000086830000}"/>
    <cellStyle name="SAPBEXstdItem 2 4 5 6 4" xfId="35645" xr:uid="{00000000-0005-0000-0000-000087830000}"/>
    <cellStyle name="SAPBEXstdItem 2 4 5 7" xfId="21473" xr:uid="{00000000-0005-0000-0000-000088830000}"/>
    <cellStyle name="SAPBEXstdItem 2 4 5 7 2" xfId="21474" xr:uid="{00000000-0005-0000-0000-000089830000}"/>
    <cellStyle name="SAPBEXstdItem 2 4 5 7 3" xfId="35646" xr:uid="{00000000-0005-0000-0000-00008A830000}"/>
    <cellStyle name="SAPBEXstdItem 2 4 5 7 4" xfId="35647" xr:uid="{00000000-0005-0000-0000-00008B830000}"/>
    <cellStyle name="SAPBEXstdItem 2 4 5 8" xfId="21475" xr:uid="{00000000-0005-0000-0000-00008C830000}"/>
    <cellStyle name="SAPBEXstdItem 2 4 5 9" xfId="35648" xr:uid="{00000000-0005-0000-0000-00008D830000}"/>
    <cellStyle name="SAPBEXstdItem 2 4 6" xfId="21476" xr:uid="{00000000-0005-0000-0000-00008E830000}"/>
    <cellStyle name="SAPBEXstdItem 2 4 6 2" xfId="21477" xr:uid="{00000000-0005-0000-0000-00008F830000}"/>
    <cellStyle name="SAPBEXstdItem 2 4 6 3" xfId="35649" xr:uid="{00000000-0005-0000-0000-000090830000}"/>
    <cellStyle name="SAPBEXstdItem 2 4 6 4" xfId="35650" xr:uid="{00000000-0005-0000-0000-000091830000}"/>
    <cellStyle name="SAPBEXstdItem 2 4 7" xfId="21478" xr:uid="{00000000-0005-0000-0000-000092830000}"/>
    <cellStyle name="SAPBEXstdItem 2 4 7 2" xfId="21479" xr:uid="{00000000-0005-0000-0000-000093830000}"/>
    <cellStyle name="SAPBEXstdItem 2 4 7 3" xfId="35651" xr:uid="{00000000-0005-0000-0000-000094830000}"/>
    <cellStyle name="SAPBEXstdItem 2 4 7 4" xfId="35652" xr:uid="{00000000-0005-0000-0000-000095830000}"/>
    <cellStyle name="SAPBEXstdItem 2 4 8" xfId="21480" xr:uid="{00000000-0005-0000-0000-000096830000}"/>
    <cellStyle name="SAPBEXstdItem 2 4 8 2" xfId="21481" xr:uid="{00000000-0005-0000-0000-000097830000}"/>
    <cellStyle name="SAPBEXstdItem 2 4 8 3" xfId="35653" xr:uid="{00000000-0005-0000-0000-000098830000}"/>
    <cellStyle name="SAPBEXstdItem 2 4 8 4" xfId="35654" xr:uid="{00000000-0005-0000-0000-000099830000}"/>
    <cellStyle name="SAPBEXstdItem 2 4 9" xfId="21482" xr:uid="{00000000-0005-0000-0000-00009A830000}"/>
    <cellStyle name="SAPBEXstdItem 2 4 9 2" xfId="21483" xr:uid="{00000000-0005-0000-0000-00009B830000}"/>
    <cellStyle name="SAPBEXstdItem 2 4 9 3" xfId="35655" xr:uid="{00000000-0005-0000-0000-00009C830000}"/>
    <cellStyle name="SAPBEXstdItem 2 4 9 4" xfId="35656" xr:uid="{00000000-0005-0000-0000-00009D830000}"/>
    <cellStyle name="SAPBEXstdItem 2 5" xfId="21484" xr:uid="{00000000-0005-0000-0000-00009E830000}"/>
    <cellStyle name="SAPBEXstdItem 2 5 10" xfId="21485" xr:uid="{00000000-0005-0000-0000-00009F830000}"/>
    <cellStyle name="SAPBEXstdItem 2 5 10 2" xfId="21486" xr:uid="{00000000-0005-0000-0000-0000A0830000}"/>
    <cellStyle name="SAPBEXstdItem 2 5 10 3" xfId="35657" xr:uid="{00000000-0005-0000-0000-0000A1830000}"/>
    <cellStyle name="SAPBEXstdItem 2 5 10 4" xfId="35658" xr:uid="{00000000-0005-0000-0000-0000A2830000}"/>
    <cellStyle name="SAPBEXstdItem 2 5 11" xfId="21487" xr:uid="{00000000-0005-0000-0000-0000A3830000}"/>
    <cellStyle name="SAPBEXstdItem 2 5 11 2" xfId="21488" xr:uid="{00000000-0005-0000-0000-0000A4830000}"/>
    <cellStyle name="SAPBEXstdItem 2 5 11 3" xfId="35659" xr:uid="{00000000-0005-0000-0000-0000A5830000}"/>
    <cellStyle name="SAPBEXstdItem 2 5 11 4" xfId="35660" xr:uid="{00000000-0005-0000-0000-0000A6830000}"/>
    <cellStyle name="SAPBEXstdItem 2 5 12" xfId="21489" xr:uid="{00000000-0005-0000-0000-0000A7830000}"/>
    <cellStyle name="SAPBEXstdItem 2 5 13" xfId="35661" xr:uid="{00000000-0005-0000-0000-0000A8830000}"/>
    <cellStyle name="SAPBEXstdItem 2 5 14" xfId="35662" xr:uid="{00000000-0005-0000-0000-0000A9830000}"/>
    <cellStyle name="SAPBEXstdItem 2 5 2" xfId="21490" xr:uid="{00000000-0005-0000-0000-0000AA830000}"/>
    <cellStyle name="SAPBEXstdItem 2 5 2 10" xfId="35663" xr:uid="{00000000-0005-0000-0000-0000AB830000}"/>
    <cellStyle name="SAPBEXstdItem 2 5 2 2" xfId="21491" xr:uid="{00000000-0005-0000-0000-0000AC830000}"/>
    <cellStyle name="SAPBEXstdItem 2 5 2 2 2" xfId="21492" xr:uid="{00000000-0005-0000-0000-0000AD830000}"/>
    <cellStyle name="SAPBEXstdItem 2 5 2 2 3" xfId="35664" xr:uid="{00000000-0005-0000-0000-0000AE830000}"/>
    <cellStyle name="SAPBEXstdItem 2 5 2 2 4" xfId="35665" xr:uid="{00000000-0005-0000-0000-0000AF830000}"/>
    <cellStyle name="SAPBEXstdItem 2 5 2 3" xfId="21493" xr:uid="{00000000-0005-0000-0000-0000B0830000}"/>
    <cellStyle name="SAPBEXstdItem 2 5 2 3 2" xfId="21494" xr:uid="{00000000-0005-0000-0000-0000B1830000}"/>
    <cellStyle name="SAPBEXstdItem 2 5 2 3 3" xfId="35666" xr:uid="{00000000-0005-0000-0000-0000B2830000}"/>
    <cellStyle name="SAPBEXstdItem 2 5 2 3 4" xfId="35667" xr:uid="{00000000-0005-0000-0000-0000B3830000}"/>
    <cellStyle name="SAPBEXstdItem 2 5 2 4" xfId="21495" xr:uid="{00000000-0005-0000-0000-0000B4830000}"/>
    <cellStyle name="SAPBEXstdItem 2 5 2 4 2" xfId="21496" xr:uid="{00000000-0005-0000-0000-0000B5830000}"/>
    <cellStyle name="SAPBEXstdItem 2 5 2 4 3" xfId="35668" xr:uid="{00000000-0005-0000-0000-0000B6830000}"/>
    <cellStyle name="SAPBEXstdItem 2 5 2 4 4" xfId="35669" xr:uid="{00000000-0005-0000-0000-0000B7830000}"/>
    <cellStyle name="SAPBEXstdItem 2 5 2 5" xfId="21497" xr:uid="{00000000-0005-0000-0000-0000B8830000}"/>
    <cellStyle name="SAPBEXstdItem 2 5 2 5 2" xfId="21498" xr:uid="{00000000-0005-0000-0000-0000B9830000}"/>
    <cellStyle name="SAPBEXstdItem 2 5 2 5 3" xfId="35670" xr:uid="{00000000-0005-0000-0000-0000BA830000}"/>
    <cellStyle name="SAPBEXstdItem 2 5 2 5 4" xfId="35671" xr:uid="{00000000-0005-0000-0000-0000BB830000}"/>
    <cellStyle name="SAPBEXstdItem 2 5 2 6" xfId="21499" xr:uid="{00000000-0005-0000-0000-0000BC830000}"/>
    <cellStyle name="SAPBEXstdItem 2 5 2 6 2" xfId="21500" xr:uid="{00000000-0005-0000-0000-0000BD830000}"/>
    <cellStyle name="SAPBEXstdItem 2 5 2 6 3" xfId="35672" xr:uid="{00000000-0005-0000-0000-0000BE830000}"/>
    <cellStyle name="SAPBEXstdItem 2 5 2 6 4" xfId="35673" xr:uid="{00000000-0005-0000-0000-0000BF830000}"/>
    <cellStyle name="SAPBEXstdItem 2 5 2 7" xfId="21501" xr:uid="{00000000-0005-0000-0000-0000C0830000}"/>
    <cellStyle name="SAPBEXstdItem 2 5 2 7 2" xfId="21502" xr:uid="{00000000-0005-0000-0000-0000C1830000}"/>
    <cellStyle name="SAPBEXstdItem 2 5 2 7 3" xfId="35674" xr:uid="{00000000-0005-0000-0000-0000C2830000}"/>
    <cellStyle name="SAPBEXstdItem 2 5 2 7 4" xfId="35675" xr:uid="{00000000-0005-0000-0000-0000C3830000}"/>
    <cellStyle name="SAPBEXstdItem 2 5 2 8" xfId="21503" xr:uid="{00000000-0005-0000-0000-0000C4830000}"/>
    <cellStyle name="SAPBEXstdItem 2 5 2 9" xfId="35676" xr:uid="{00000000-0005-0000-0000-0000C5830000}"/>
    <cellStyle name="SAPBEXstdItem 2 5 3" xfId="21504" xr:uid="{00000000-0005-0000-0000-0000C6830000}"/>
    <cellStyle name="SAPBEXstdItem 2 5 3 10" xfId="35677" xr:uid="{00000000-0005-0000-0000-0000C7830000}"/>
    <cellStyle name="SAPBEXstdItem 2 5 3 2" xfId="21505" xr:uid="{00000000-0005-0000-0000-0000C8830000}"/>
    <cellStyle name="SAPBEXstdItem 2 5 3 2 2" xfId="21506" xr:uid="{00000000-0005-0000-0000-0000C9830000}"/>
    <cellStyle name="SAPBEXstdItem 2 5 3 2 3" xfId="35678" xr:uid="{00000000-0005-0000-0000-0000CA830000}"/>
    <cellStyle name="SAPBEXstdItem 2 5 3 2 4" xfId="35679" xr:uid="{00000000-0005-0000-0000-0000CB830000}"/>
    <cellStyle name="SAPBEXstdItem 2 5 3 3" xfId="21507" xr:uid="{00000000-0005-0000-0000-0000CC830000}"/>
    <cellStyle name="SAPBEXstdItem 2 5 3 3 2" xfId="21508" xr:uid="{00000000-0005-0000-0000-0000CD830000}"/>
    <cellStyle name="SAPBEXstdItem 2 5 3 3 3" xfId="35680" xr:uid="{00000000-0005-0000-0000-0000CE830000}"/>
    <cellStyle name="SAPBEXstdItem 2 5 3 3 4" xfId="35681" xr:uid="{00000000-0005-0000-0000-0000CF830000}"/>
    <cellStyle name="SAPBEXstdItem 2 5 3 4" xfId="21509" xr:uid="{00000000-0005-0000-0000-0000D0830000}"/>
    <cellStyle name="SAPBEXstdItem 2 5 3 4 2" xfId="21510" xr:uid="{00000000-0005-0000-0000-0000D1830000}"/>
    <cellStyle name="SAPBEXstdItem 2 5 3 4 3" xfId="35682" xr:uid="{00000000-0005-0000-0000-0000D2830000}"/>
    <cellStyle name="SAPBEXstdItem 2 5 3 4 4" xfId="35683" xr:uid="{00000000-0005-0000-0000-0000D3830000}"/>
    <cellStyle name="SAPBEXstdItem 2 5 3 5" xfId="21511" xr:uid="{00000000-0005-0000-0000-0000D4830000}"/>
    <cellStyle name="SAPBEXstdItem 2 5 3 5 2" xfId="21512" xr:uid="{00000000-0005-0000-0000-0000D5830000}"/>
    <cellStyle name="SAPBEXstdItem 2 5 3 5 3" xfId="35684" xr:uid="{00000000-0005-0000-0000-0000D6830000}"/>
    <cellStyle name="SAPBEXstdItem 2 5 3 5 4" xfId="35685" xr:uid="{00000000-0005-0000-0000-0000D7830000}"/>
    <cellStyle name="SAPBEXstdItem 2 5 3 6" xfId="21513" xr:uid="{00000000-0005-0000-0000-0000D8830000}"/>
    <cellStyle name="SAPBEXstdItem 2 5 3 6 2" xfId="21514" xr:uid="{00000000-0005-0000-0000-0000D9830000}"/>
    <cellStyle name="SAPBEXstdItem 2 5 3 6 3" xfId="35686" xr:uid="{00000000-0005-0000-0000-0000DA830000}"/>
    <cellStyle name="SAPBEXstdItem 2 5 3 6 4" xfId="35687" xr:uid="{00000000-0005-0000-0000-0000DB830000}"/>
    <cellStyle name="SAPBEXstdItem 2 5 3 7" xfId="21515" xr:uid="{00000000-0005-0000-0000-0000DC830000}"/>
    <cellStyle name="SAPBEXstdItem 2 5 3 7 2" xfId="21516" xr:uid="{00000000-0005-0000-0000-0000DD830000}"/>
    <cellStyle name="SAPBEXstdItem 2 5 3 7 3" xfId="35688" xr:uid="{00000000-0005-0000-0000-0000DE830000}"/>
    <cellStyle name="SAPBEXstdItem 2 5 3 7 4" xfId="35689" xr:uid="{00000000-0005-0000-0000-0000DF830000}"/>
    <cellStyle name="SAPBEXstdItem 2 5 3 8" xfId="21517" xr:uid="{00000000-0005-0000-0000-0000E0830000}"/>
    <cellStyle name="SAPBEXstdItem 2 5 3 9" xfId="35690" xr:uid="{00000000-0005-0000-0000-0000E1830000}"/>
    <cellStyle name="SAPBEXstdItem 2 5 4" xfId="21518" xr:uid="{00000000-0005-0000-0000-0000E2830000}"/>
    <cellStyle name="SAPBEXstdItem 2 5 4 10" xfId="35691" xr:uid="{00000000-0005-0000-0000-0000E3830000}"/>
    <cellStyle name="SAPBEXstdItem 2 5 4 2" xfId="21519" xr:uid="{00000000-0005-0000-0000-0000E4830000}"/>
    <cellStyle name="SAPBEXstdItem 2 5 4 2 2" xfId="21520" xr:uid="{00000000-0005-0000-0000-0000E5830000}"/>
    <cellStyle name="SAPBEXstdItem 2 5 4 2 3" xfId="35692" xr:uid="{00000000-0005-0000-0000-0000E6830000}"/>
    <cellStyle name="SAPBEXstdItem 2 5 4 2 4" xfId="35693" xr:uid="{00000000-0005-0000-0000-0000E7830000}"/>
    <cellStyle name="SAPBEXstdItem 2 5 4 3" xfId="21521" xr:uid="{00000000-0005-0000-0000-0000E8830000}"/>
    <cellStyle name="SAPBEXstdItem 2 5 4 3 2" xfId="21522" xr:uid="{00000000-0005-0000-0000-0000E9830000}"/>
    <cellStyle name="SAPBEXstdItem 2 5 4 3 3" xfId="35694" xr:uid="{00000000-0005-0000-0000-0000EA830000}"/>
    <cellStyle name="SAPBEXstdItem 2 5 4 3 4" xfId="35695" xr:uid="{00000000-0005-0000-0000-0000EB830000}"/>
    <cellStyle name="SAPBEXstdItem 2 5 4 4" xfId="21523" xr:uid="{00000000-0005-0000-0000-0000EC830000}"/>
    <cellStyle name="SAPBEXstdItem 2 5 4 4 2" xfId="21524" xr:uid="{00000000-0005-0000-0000-0000ED830000}"/>
    <cellStyle name="SAPBEXstdItem 2 5 4 4 3" xfId="35696" xr:uid="{00000000-0005-0000-0000-0000EE830000}"/>
    <cellStyle name="SAPBEXstdItem 2 5 4 4 4" xfId="35697" xr:uid="{00000000-0005-0000-0000-0000EF830000}"/>
    <cellStyle name="SAPBEXstdItem 2 5 4 5" xfId="21525" xr:uid="{00000000-0005-0000-0000-0000F0830000}"/>
    <cellStyle name="SAPBEXstdItem 2 5 4 5 2" xfId="21526" xr:uid="{00000000-0005-0000-0000-0000F1830000}"/>
    <cellStyle name="SAPBEXstdItem 2 5 4 5 3" xfId="35698" xr:uid="{00000000-0005-0000-0000-0000F2830000}"/>
    <cellStyle name="SAPBEXstdItem 2 5 4 5 4" xfId="35699" xr:uid="{00000000-0005-0000-0000-0000F3830000}"/>
    <cellStyle name="SAPBEXstdItem 2 5 4 6" xfId="21527" xr:uid="{00000000-0005-0000-0000-0000F4830000}"/>
    <cellStyle name="SAPBEXstdItem 2 5 4 6 2" xfId="21528" xr:uid="{00000000-0005-0000-0000-0000F5830000}"/>
    <cellStyle name="SAPBEXstdItem 2 5 4 6 3" xfId="35700" xr:uid="{00000000-0005-0000-0000-0000F6830000}"/>
    <cellStyle name="SAPBEXstdItem 2 5 4 6 4" xfId="35701" xr:uid="{00000000-0005-0000-0000-0000F7830000}"/>
    <cellStyle name="SAPBEXstdItem 2 5 4 7" xfId="21529" xr:uid="{00000000-0005-0000-0000-0000F8830000}"/>
    <cellStyle name="SAPBEXstdItem 2 5 4 7 2" xfId="21530" xr:uid="{00000000-0005-0000-0000-0000F9830000}"/>
    <cellStyle name="SAPBEXstdItem 2 5 4 7 3" xfId="35702" xr:uid="{00000000-0005-0000-0000-0000FA830000}"/>
    <cellStyle name="SAPBEXstdItem 2 5 4 7 4" xfId="35703" xr:uid="{00000000-0005-0000-0000-0000FB830000}"/>
    <cellStyle name="SAPBEXstdItem 2 5 4 8" xfId="21531" xr:uid="{00000000-0005-0000-0000-0000FC830000}"/>
    <cellStyle name="SAPBEXstdItem 2 5 4 9" xfId="35704" xr:uid="{00000000-0005-0000-0000-0000FD830000}"/>
    <cellStyle name="SAPBEXstdItem 2 5 5" xfId="21532" xr:uid="{00000000-0005-0000-0000-0000FE830000}"/>
    <cellStyle name="SAPBEXstdItem 2 5 5 10" xfId="35705" xr:uid="{00000000-0005-0000-0000-0000FF830000}"/>
    <cellStyle name="SAPBEXstdItem 2 5 5 2" xfId="21533" xr:uid="{00000000-0005-0000-0000-000000840000}"/>
    <cellStyle name="SAPBEXstdItem 2 5 5 2 2" xfId="21534" xr:uid="{00000000-0005-0000-0000-000001840000}"/>
    <cellStyle name="SAPBEXstdItem 2 5 5 2 3" xfId="35706" xr:uid="{00000000-0005-0000-0000-000002840000}"/>
    <cellStyle name="SAPBEXstdItem 2 5 5 2 4" xfId="35707" xr:uid="{00000000-0005-0000-0000-000003840000}"/>
    <cellStyle name="SAPBEXstdItem 2 5 5 3" xfId="21535" xr:uid="{00000000-0005-0000-0000-000004840000}"/>
    <cellStyle name="SAPBEXstdItem 2 5 5 3 2" xfId="21536" xr:uid="{00000000-0005-0000-0000-000005840000}"/>
    <cellStyle name="SAPBEXstdItem 2 5 5 3 3" xfId="35708" xr:uid="{00000000-0005-0000-0000-000006840000}"/>
    <cellStyle name="SAPBEXstdItem 2 5 5 3 4" xfId="35709" xr:uid="{00000000-0005-0000-0000-000007840000}"/>
    <cellStyle name="SAPBEXstdItem 2 5 5 4" xfId="21537" xr:uid="{00000000-0005-0000-0000-000008840000}"/>
    <cellStyle name="SAPBEXstdItem 2 5 5 4 2" xfId="21538" xr:uid="{00000000-0005-0000-0000-000009840000}"/>
    <cellStyle name="SAPBEXstdItem 2 5 5 4 3" xfId="35710" xr:uid="{00000000-0005-0000-0000-00000A840000}"/>
    <cellStyle name="SAPBEXstdItem 2 5 5 4 4" xfId="35711" xr:uid="{00000000-0005-0000-0000-00000B840000}"/>
    <cellStyle name="SAPBEXstdItem 2 5 5 5" xfId="21539" xr:uid="{00000000-0005-0000-0000-00000C840000}"/>
    <cellStyle name="SAPBEXstdItem 2 5 5 5 2" xfId="21540" xr:uid="{00000000-0005-0000-0000-00000D840000}"/>
    <cellStyle name="SAPBEXstdItem 2 5 5 5 3" xfId="35712" xr:uid="{00000000-0005-0000-0000-00000E840000}"/>
    <cellStyle name="SAPBEXstdItem 2 5 5 5 4" xfId="35713" xr:uid="{00000000-0005-0000-0000-00000F840000}"/>
    <cellStyle name="SAPBEXstdItem 2 5 5 6" xfId="21541" xr:uid="{00000000-0005-0000-0000-000010840000}"/>
    <cellStyle name="SAPBEXstdItem 2 5 5 6 2" xfId="21542" xr:uid="{00000000-0005-0000-0000-000011840000}"/>
    <cellStyle name="SAPBEXstdItem 2 5 5 6 3" xfId="35714" xr:uid="{00000000-0005-0000-0000-000012840000}"/>
    <cellStyle name="SAPBEXstdItem 2 5 5 6 4" xfId="35715" xr:uid="{00000000-0005-0000-0000-000013840000}"/>
    <cellStyle name="SAPBEXstdItem 2 5 5 7" xfId="21543" xr:uid="{00000000-0005-0000-0000-000014840000}"/>
    <cellStyle name="SAPBEXstdItem 2 5 5 7 2" xfId="21544" xr:uid="{00000000-0005-0000-0000-000015840000}"/>
    <cellStyle name="SAPBEXstdItem 2 5 5 7 3" xfId="35716" xr:uid="{00000000-0005-0000-0000-000016840000}"/>
    <cellStyle name="SAPBEXstdItem 2 5 5 7 4" xfId="35717" xr:uid="{00000000-0005-0000-0000-000017840000}"/>
    <cellStyle name="SAPBEXstdItem 2 5 5 8" xfId="21545" xr:uid="{00000000-0005-0000-0000-000018840000}"/>
    <cellStyle name="SAPBEXstdItem 2 5 5 9" xfId="35718" xr:uid="{00000000-0005-0000-0000-000019840000}"/>
    <cellStyle name="SAPBEXstdItem 2 5 6" xfId="21546" xr:uid="{00000000-0005-0000-0000-00001A840000}"/>
    <cellStyle name="SAPBEXstdItem 2 5 6 2" xfId="21547" xr:uid="{00000000-0005-0000-0000-00001B840000}"/>
    <cellStyle name="SAPBEXstdItem 2 5 6 3" xfId="35719" xr:uid="{00000000-0005-0000-0000-00001C840000}"/>
    <cellStyle name="SAPBEXstdItem 2 5 6 4" xfId="35720" xr:uid="{00000000-0005-0000-0000-00001D840000}"/>
    <cellStyle name="SAPBEXstdItem 2 5 7" xfId="21548" xr:uid="{00000000-0005-0000-0000-00001E840000}"/>
    <cellStyle name="SAPBEXstdItem 2 5 7 2" xfId="21549" xr:uid="{00000000-0005-0000-0000-00001F840000}"/>
    <cellStyle name="SAPBEXstdItem 2 5 7 3" xfId="35721" xr:uid="{00000000-0005-0000-0000-000020840000}"/>
    <cellStyle name="SAPBEXstdItem 2 5 7 4" xfId="35722" xr:uid="{00000000-0005-0000-0000-000021840000}"/>
    <cellStyle name="SAPBEXstdItem 2 5 8" xfId="21550" xr:uid="{00000000-0005-0000-0000-000022840000}"/>
    <cellStyle name="SAPBEXstdItem 2 5 8 2" xfId="21551" xr:uid="{00000000-0005-0000-0000-000023840000}"/>
    <cellStyle name="SAPBEXstdItem 2 5 8 3" xfId="35723" xr:uid="{00000000-0005-0000-0000-000024840000}"/>
    <cellStyle name="SAPBEXstdItem 2 5 8 4" xfId="35724" xr:uid="{00000000-0005-0000-0000-000025840000}"/>
    <cellStyle name="SAPBEXstdItem 2 5 9" xfId="21552" xr:uid="{00000000-0005-0000-0000-000026840000}"/>
    <cellStyle name="SAPBEXstdItem 2 5 9 2" xfId="21553" xr:uid="{00000000-0005-0000-0000-000027840000}"/>
    <cellStyle name="SAPBEXstdItem 2 5 9 3" xfId="35725" xr:uid="{00000000-0005-0000-0000-000028840000}"/>
    <cellStyle name="SAPBEXstdItem 2 5 9 4" xfId="35726" xr:uid="{00000000-0005-0000-0000-000029840000}"/>
    <cellStyle name="SAPBEXstdItem 2 6" xfId="21554" xr:uid="{00000000-0005-0000-0000-00002A840000}"/>
    <cellStyle name="SAPBEXstdItem 2 6 10" xfId="21555" xr:uid="{00000000-0005-0000-0000-00002B840000}"/>
    <cellStyle name="SAPBEXstdItem 2 6 10 2" xfId="21556" xr:uid="{00000000-0005-0000-0000-00002C840000}"/>
    <cellStyle name="SAPBEXstdItem 2 6 10 3" xfId="35727" xr:uid="{00000000-0005-0000-0000-00002D840000}"/>
    <cellStyle name="SAPBEXstdItem 2 6 10 4" xfId="35728" xr:uid="{00000000-0005-0000-0000-00002E840000}"/>
    <cellStyle name="SAPBEXstdItem 2 6 11" xfId="21557" xr:uid="{00000000-0005-0000-0000-00002F840000}"/>
    <cellStyle name="SAPBEXstdItem 2 6 11 2" xfId="21558" xr:uid="{00000000-0005-0000-0000-000030840000}"/>
    <cellStyle name="SAPBEXstdItem 2 6 11 3" xfId="35729" xr:uid="{00000000-0005-0000-0000-000031840000}"/>
    <cellStyle name="SAPBEXstdItem 2 6 11 4" xfId="35730" xr:uid="{00000000-0005-0000-0000-000032840000}"/>
    <cellStyle name="SAPBEXstdItem 2 6 12" xfId="21559" xr:uid="{00000000-0005-0000-0000-000033840000}"/>
    <cellStyle name="SAPBEXstdItem 2 6 13" xfId="35731" xr:uid="{00000000-0005-0000-0000-000034840000}"/>
    <cellStyle name="SAPBEXstdItem 2 6 14" xfId="35732" xr:uid="{00000000-0005-0000-0000-000035840000}"/>
    <cellStyle name="SAPBEXstdItem 2 6 2" xfId="21560" xr:uid="{00000000-0005-0000-0000-000036840000}"/>
    <cellStyle name="SAPBEXstdItem 2 6 2 10" xfId="35733" xr:uid="{00000000-0005-0000-0000-000037840000}"/>
    <cellStyle name="SAPBEXstdItem 2 6 2 2" xfId="21561" xr:uid="{00000000-0005-0000-0000-000038840000}"/>
    <cellStyle name="SAPBEXstdItem 2 6 2 2 2" xfId="21562" xr:uid="{00000000-0005-0000-0000-000039840000}"/>
    <cellStyle name="SAPBEXstdItem 2 6 2 2 3" xfId="35734" xr:uid="{00000000-0005-0000-0000-00003A840000}"/>
    <cellStyle name="SAPBEXstdItem 2 6 2 2 4" xfId="35735" xr:uid="{00000000-0005-0000-0000-00003B840000}"/>
    <cellStyle name="SAPBEXstdItem 2 6 2 3" xfId="21563" xr:uid="{00000000-0005-0000-0000-00003C840000}"/>
    <cellStyle name="SAPBEXstdItem 2 6 2 3 2" xfId="21564" xr:uid="{00000000-0005-0000-0000-00003D840000}"/>
    <cellStyle name="SAPBEXstdItem 2 6 2 3 3" xfId="35736" xr:uid="{00000000-0005-0000-0000-00003E840000}"/>
    <cellStyle name="SAPBEXstdItem 2 6 2 3 4" xfId="35737" xr:uid="{00000000-0005-0000-0000-00003F840000}"/>
    <cellStyle name="SAPBEXstdItem 2 6 2 4" xfId="21565" xr:uid="{00000000-0005-0000-0000-000040840000}"/>
    <cellStyle name="SAPBEXstdItem 2 6 2 4 2" xfId="21566" xr:uid="{00000000-0005-0000-0000-000041840000}"/>
    <cellStyle name="SAPBEXstdItem 2 6 2 4 3" xfId="35738" xr:uid="{00000000-0005-0000-0000-000042840000}"/>
    <cellStyle name="SAPBEXstdItem 2 6 2 4 4" xfId="35739" xr:uid="{00000000-0005-0000-0000-000043840000}"/>
    <cellStyle name="SAPBEXstdItem 2 6 2 5" xfId="21567" xr:uid="{00000000-0005-0000-0000-000044840000}"/>
    <cellStyle name="SAPBEXstdItem 2 6 2 5 2" xfId="21568" xr:uid="{00000000-0005-0000-0000-000045840000}"/>
    <cellStyle name="SAPBEXstdItem 2 6 2 5 3" xfId="35740" xr:uid="{00000000-0005-0000-0000-000046840000}"/>
    <cellStyle name="SAPBEXstdItem 2 6 2 5 4" xfId="35741" xr:uid="{00000000-0005-0000-0000-000047840000}"/>
    <cellStyle name="SAPBEXstdItem 2 6 2 6" xfId="21569" xr:uid="{00000000-0005-0000-0000-000048840000}"/>
    <cellStyle name="SAPBEXstdItem 2 6 2 6 2" xfId="21570" xr:uid="{00000000-0005-0000-0000-000049840000}"/>
    <cellStyle name="SAPBEXstdItem 2 6 2 6 3" xfId="35742" xr:uid="{00000000-0005-0000-0000-00004A840000}"/>
    <cellStyle name="SAPBEXstdItem 2 6 2 6 4" xfId="35743" xr:uid="{00000000-0005-0000-0000-00004B840000}"/>
    <cellStyle name="SAPBEXstdItem 2 6 2 7" xfId="21571" xr:uid="{00000000-0005-0000-0000-00004C840000}"/>
    <cellStyle name="SAPBEXstdItem 2 6 2 7 2" xfId="21572" xr:uid="{00000000-0005-0000-0000-00004D840000}"/>
    <cellStyle name="SAPBEXstdItem 2 6 2 7 3" xfId="35744" xr:uid="{00000000-0005-0000-0000-00004E840000}"/>
    <cellStyle name="SAPBEXstdItem 2 6 2 7 4" xfId="35745" xr:uid="{00000000-0005-0000-0000-00004F840000}"/>
    <cellStyle name="SAPBEXstdItem 2 6 2 8" xfId="21573" xr:uid="{00000000-0005-0000-0000-000050840000}"/>
    <cellStyle name="SAPBEXstdItem 2 6 2 9" xfId="35746" xr:uid="{00000000-0005-0000-0000-000051840000}"/>
    <cellStyle name="SAPBEXstdItem 2 6 3" xfId="21574" xr:uid="{00000000-0005-0000-0000-000052840000}"/>
    <cellStyle name="SAPBEXstdItem 2 6 3 10" xfId="35747" xr:uid="{00000000-0005-0000-0000-000053840000}"/>
    <cellStyle name="SAPBEXstdItem 2 6 3 2" xfId="21575" xr:uid="{00000000-0005-0000-0000-000054840000}"/>
    <cellStyle name="SAPBEXstdItem 2 6 3 2 2" xfId="21576" xr:uid="{00000000-0005-0000-0000-000055840000}"/>
    <cellStyle name="SAPBEXstdItem 2 6 3 2 3" xfId="35748" xr:uid="{00000000-0005-0000-0000-000056840000}"/>
    <cellStyle name="SAPBEXstdItem 2 6 3 2 4" xfId="35749" xr:uid="{00000000-0005-0000-0000-000057840000}"/>
    <cellStyle name="SAPBEXstdItem 2 6 3 3" xfId="21577" xr:uid="{00000000-0005-0000-0000-000058840000}"/>
    <cellStyle name="SAPBEXstdItem 2 6 3 3 2" xfId="21578" xr:uid="{00000000-0005-0000-0000-000059840000}"/>
    <cellStyle name="SAPBEXstdItem 2 6 3 3 3" xfId="35750" xr:uid="{00000000-0005-0000-0000-00005A840000}"/>
    <cellStyle name="SAPBEXstdItem 2 6 3 3 4" xfId="35751" xr:uid="{00000000-0005-0000-0000-00005B840000}"/>
    <cellStyle name="SAPBEXstdItem 2 6 3 4" xfId="21579" xr:uid="{00000000-0005-0000-0000-00005C840000}"/>
    <cellStyle name="SAPBEXstdItem 2 6 3 4 2" xfId="21580" xr:uid="{00000000-0005-0000-0000-00005D840000}"/>
    <cellStyle name="SAPBEXstdItem 2 6 3 4 3" xfId="35752" xr:uid="{00000000-0005-0000-0000-00005E840000}"/>
    <cellStyle name="SAPBEXstdItem 2 6 3 4 4" xfId="35753" xr:uid="{00000000-0005-0000-0000-00005F840000}"/>
    <cellStyle name="SAPBEXstdItem 2 6 3 5" xfId="21581" xr:uid="{00000000-0005-0000-0000-000060840000}"/>
    <cellStyle name="SAPBEXstdItem 2 6 3 5 2" xfId="21582" xr:uid="{00000000-0005-0000-0000-000061840000}"/>
    <cellStyle name="SAPBEXstdItem 2 6 3 5 3" xfId="35754" xr:uid="{00000000-0005-0000-0000-000062840000}"/>
    <cellStyle name="SAPBEXstdItem 2 6 3 5 4" xfId="35755" xr:uid="{00000000-0005-0000-0000-000063840000}"/>
    <cellStyle name="SAPBEXstdItem 2 6 3 6" xfId="21583" xr:uid="{00000000-0005-0000-0000-000064840000}"/>
    <cellStyle name="SAPBEXstdItem 2 6 3 6 2" xfId="21584" xr:uid="{00000000-0005-0000-0000-000065840000}"/>
    <cellStyle name="SAPBEXstdItem 2 6 3 6 3" xfId="35756" xr:uid="{00000000-0005-0000-0000-000066840000}"/>
    <cellStyle name="SAPBEXstdItem 2 6 3 6 4" xfId="35757" xr:uid="{00000000-0005-0000-0000-000067840000}"/>
    <cellStyle name="SAPBEXstdItem 2 6 3 7" xfId="21585" xr:uid="{00000000-0005-0000-0000-000068840000}"/>
    <cellStyle name="SAPBEXstdItem 2 6 3 7 2" xfId="21586" xr:uid="{00000000-0005-0000-0000-000069840000}"/>
    <cellStyle name="SAPBEXstdItem 2 6 3 7 3" xfId="35758" xr:uid="{00000000-0005-0000-0000-00006A840000}"/>
    <cellStyle name="SAPBEXstdItem 2 6 3 7 4" xfId="35759" xr:uid="{00000000-0005-0000-0000-00006B840000}"/>
    <cellStyle name="SAPBEXstdItem 2 6 3 8" xfId="21587" xr:uid="{00000000-0005-0000-0000-00006C840000}"/>
    <cellStyle name="SAPBEXstdItem 2 6 3 9" xfId="35760" xr:uid="{00000000-0005-0000-0000-00006D840000}"/>
    <cellStyle name="SAPBEXstdItem 2 6 4" xfId="21588" xr:uid="{00000000-0005-0000-0000-00006E840000}"/>
    <cellStyle name="SAPBEXstdItem 2 6 4 10" xfId="35761" xr:uid="{00000000-0005-0000-0000-00006F840000}"/>
    <cellStyle name="SAPBEXstdItem 2 6 4 2" xfId="21589" xr:uid="{00000000-0005-0000-0000-000070840000}"/>
    <cellStyle name="SAPBEXstdItem 2 6 4 2 2" xfId="21590" xr:uid="{00000000-0005-0000-0000-000071840000}"/>
    <cellStyle name="SAPBEXstdItem 2 6 4 2 3" xfId="35762" xr:uid="{00000000-0005-0000-0000-000072840000}"/>
    <cellStyle name="SAPBEXstdItem 2 6 4 2 4" xfId="35763" xr:uid="{00000000-0005-0000-0000-000073840000}"/>
    <cellStyle name="SAPBEXstdItem 2 6 4 3" xfId="21591" xr:uid="{00000000-0005-0000-0000-000074840000}"/>
    <cellStyle name="SAPBEXstdItem 2 6 4 3 2" xfId="21592" xr:uid="{00000000-0005-0000-0000-000075840000}"/>
    <cellStyle name="SAPBEXstdItem 2 6 4 3 3" xfId="35764" xr:uid="{00000000-0005-0000-0000-000076840000}"/>
    <cellStyle name="SAPBEXstdItem 2 6 4 3 4" xfId="35765" xr:uid="{00000000-0005-0000-0000-000077840000}"/>
    <cellStyle name="SAPBEXstdItem 2 6 4 4" xfId="21593" xr:uid="{00000000-0005-0000-0000-000078840000}"/>
    <cellStyle name="SAPBEXstdItem 2 6 4 4 2" xfId="21594" xr:uid="{00000000-0005-0000-0000-000079840000}"/>
    <cellStyle name="SAPBEXstdItem 2 6 4 4 3" xfId="35766" xr:uid="{00000000-0005-0000-0000-00007A840000}"/>
    <cellStyle name="SAPBEXstdItem 2 6 4 4 4" xfId="35767" xr:uid="{00000000-0005-0000-0000-00007B840000}"/>
    <cellStyle name="SAPBEXstdItem 2 6 4 5" xfId="21595" xr:uid="{00000000-0005-0000-0000-00007C840000}"/>
    <cellStyle name="SAPBEXstdItem 2 6 4 5 2" xfId="21596" xr:uid="{00000000-0005-0000-0000-00007D840000}"/>
    <cellStyle name="SAPBEXstdItem 2 6 4 5 3" xfId="35768" xr:uid="{00000000-0005-0000-0000-00007E840000}"/>
    <cellStyle name="SAPBEXstdItem 2 6 4 5 4" xfId="35769" xr:uid="{00000000-0005-0000-0000-00007F840000}"/>
    <cellStyle name="SAPBEXstdItem 2 6 4 6" xfId="21597" xr:uid="{00000000-0005-0000-0000-000080840000}"/>
    <cellStyle name="SAPBEXstdItem 2 6 4 6 2" xfId="21598" xr:uid="{00000000-0005-0000-0000-000081840000}"/>
    <cellStyle name="SAPBEXstdItem 2 6 4 6 3" xfId="35770" xr:uid="{00000000-0005-0000-0000-000082840000}"/>
    <cellStyle name="SAPBEXstdItem 2 6 4 6 4" xfId="35771" xr:uid="{00000000-0005-0000-0000-000083840000}"/>
    <cellStyle name="SAPBEXstdItem 2 6 4 7" xfId="21599" xr:uid="{00000000-0005-0000-0000-000084840000}"/>
    <cellStyle name="SAPBEXstdItem 2 6 4 7 2" xfId="21600" xr:uid="{00000000-0005-0000-0000-000085840000}"/>
    <cellStyle name="SAPBEXstdItem 2 6 4 7 3" xfId="35772" xr:uid="{00000000-0005-0000-0000-000086840000}"/>
    <cellStyle name="SAPBEXstdItem 2 6 4 7 4" xfId="35773" xr:uid="{00000000-0005-0000-0000-000087840000}"/>
    <cellStyle name="SAPBEXstdItem 2 6 4 8" xfId="21601" xr:uid="{00000000-0005-0000-0000-000088840000}"/>
    <cellStyle name="SAPBEXstdItem 2 6 4 9" xfId="35774" xr:uid="{00000000-0005-0000-0000-000089840000}"/>
    <cellStyle name="SAPBEXstdItem 2 6 5" xfId="21602" xr:uid="{00000000-0005-0000-0000-00008A840000}"/>
    <cellStyle name="SAPBEXstdItem 2 6 5 10" xfId="35775" xr:uid="{00000000-0005-0000-0000-00008B840000}"/>
    <cellStyle name="SAPBEXstdItem 2 6 5 2" xfId="21603" xr:uid="{00000000-0005-0000-0000-00008C840000}"/>
    <cellStyle name="SAPBEXstdItem 2 6 5 2 2" xfId="21604" xr:uid="{00000000-0005-0000-0000-00008D840000}"/>
    <cellStyle name="SAPBEXstdItem 2 6 5 2 3" xfId="35776" xr:uid="{00000000-0005-0000-0000-00008E840000}"/>
    <cellStyle name="SAPBEXstdItem 2 6 5 2 4" xfId="35777" xr:uid="{00000000-0005-0000-0000-00008F840000}"/>
    <cellStyle name="SAPBEXstdItem 2 6 5 3" xfId="21605" xr:uid="{00000000-0005-0000-0000-000090840000}"/>
    <cellStyle name="SAPBEXstdItem 2 6 5 3 2" xfId="21606" xr:uid="{00000000-0005-0000-0000-000091840000}"/>
    <cellStyle name="SAPBEXstdItem 2 6 5 3 3" xfId="35778" xr:uid="{00000000-0005-0000-0000-000092840000}"/>
    <cellStyle name="SAPBEXstdItem 2 6 5 3 4" xfId="35779" xr:uid="{00000000-0005-0000-0000-000093840000}"/>
    <cellStyle name="SAPBEXstdItem 2 6 5 4" xfId="21607" xr:uid="{00000000-0005-0000-0000-000094840000}"/>
    <cellStyle name="SAPBEXstdItem 2 6 5 4 2" xfId="21608" xr:uid="{00000000-0005-0000-0000-000095840000}"/>
    <cellStyle name="SAPBEXstdItem 2 6 5 4 3" xfId="35780" xr:uid="{00000000-0005-0000-0000-000096840000}"/>
    <cellStyle name="SAPBEXstdItem 2 6 5 4 4" xfId="35781" xr:uid="{00000000-0005-0000-0000-000097840000}"/>
    <cellStyle name="SAPBEXstdItem 2 6 5 5" xfId="21609" xr:uid="{00000000-0005-0000-0000-000098840000}"/>
    <cellStyle name="SAPBEXstdItem 2 6 5 5 2" xfId="21610" xr:uid="{00000000-0005-0000-0000-000099840000}"/>
    <cellStyle name="SAPBEXstdItem 2 6 5 5 3" xfId="35782" xr:uid="{00000000-0005-0000-0000-00009A840000}"/>
    <cellStyle name="SAPBEXstdItem 2 6 5 5 4" xfId="35783" xr:uid="{00000000-0005-0000-0000-00009B840000}"/>
    <cellStyle name="SAPBEXstdItem 2 6 5 6" xfId="21611" xr:uid="{00000000-0005-0000-0000-00009C840000}"/>
    <cellStyle name="SAPBEXstdItem 2 6 5 6 2" xfId="21612" xr:uid="{00000000-0005-0000-0000-00009D840000}"/>
    <cellStyle name="SAPBEXstdItem 2 6 5 6 3" xfId="35784" xr:uid="{00000000-0005-0000-0000-00009E840000}"/>
    <cellStyle name="SAPBEXstdItem 2 6 5 6 4" xfId="35785" xr:uid="{00000000-0005-0000-0000-00009F840000}"/>
    <cellStyle name="SAPBEXstdItem 2 6 5 7" xfId="21613" xr:uid="{00000000-0005-0000-0000-0000A0840000}"/>
    <cellStyle name="SAPBEXstdItem 2 6 5 7 2" xfId="21614" xr:uid="{00000000-0005-0000-0000-0000A1840000}"/>
    <cellStyle name="SAPBEXstdItem 2 6 5 7 3" xfId="35786" xr:uid="{00000000-0005-0000-0000-0000A2840000}"/>
    <cellStyle name="SAPBEXstdItem 2 6 5 7 4" xfId="35787" xr:uid="{00000000-0005-0000-0000-0000A3840000}"/>
    <cellStyle name="SAPBEXstdItem 2 6 5 8" xfId="21615" xr:uid="{00000000-0005-0000-0000-0000A4840000}"/>
    <cellStyle name="SAPBEXstdItem 2 6 5 9" xfId="35788" xr:uid="{00000000-0005-0000-0000-0000A5840000}"/>
    <cellStyle name="SAPBEXstdItem 2 6 6" xfId="21616" xr:uid="{00000000-0005-0000-0000-0000A6840000}"/>
    <cellStyle name="SAPBEXstdItem 2 6 6 2" xfId="21617" xr:uid="{00000000-0005-0000-0000-0000A7840000}"/>
    <cellStyle name="SAPBEXstdItem 2 6 6 3" xfId="35789" xr:uid="{00000000-0005-0000-0000-0000A8840000}"/>
    <cellStyle name="SAPBEXstdItem 2 6 6 4" xfId="35790" xr:uid="{00000000-0005-0000-0000-0000A9840000}"/>
    <cellStyle name="SAPBEXstdItem 2 6 7" xfId="21618" xr:uid="{00000000-0005-0000-0000-0000AA840000}"/>
    <cellStyle name="SAPBEXstdItem 2 6 7 2" xfId="21619" xr:uid="{00000000-0005-0000-0000-0000AB840000}"/>
    <cellStyle name="SAPBEXstdItem 2 6 7 3" xfId="35791" xr:uid="{00000000-0005-0000-0000-0000AC840000}"/>
    <cellStyle name="SAPBEXstdItem 2 6 7 4" xfId="35792" xr:uid="{00000000-0005-0000-0000-0000AD840000}"/>
    <cellStyle name="SAPBEXstdItem 2 6 8" xfId="21620" xr:uid="{00000000-0005-0000-0000-0000AE840000}"/>
    <cellStyle name="SAPBEXstdItem 2 6 8 2" xfId="21621" xr:uid="{00000000-0005-0000-0000-0000AF840000}"/>
    <cellStyle name="SAPBEXstdItem 2 6 8 3" xfId="35793" xr:uid="{00000000-0005-0000-0000-0000B0840000}"/>
    <cellStyle name="SAPBEXstdItem 2 6 8 4" xfId="35794" xr:uid="{00000000-0005-0000-0000-0000B1840000}"/>
    <cellStyle name="SAPBEXstdItem 2 6 9" xfId="21622" xr:uid="{00000000-0005-0000-0000-0000B2840000}"/>
    <cellStyle name="SAPBEXstdItem 2 6 9 2" xfId="21623" xr:uid="{00000000-0005-0000-0000-0000B3840000}"/>
    <cellStyle name="SAPBEXstdItem 2 6 9 3" xfId="35795" xr:uid="{00000000-0005-0000-0000-0000B4840000}"/>
    <cellStyle name="SAPBEXstdItem 2 6 9 4" xfId="35796" xr:uid="{00000000-0005-0000-0000-0000B5840000}"/>
    <cellStyle name="SAPBEXstdItem 2 7" xfId="21624" xr:uid="{00000000-0005-0000-0000-0000B6840000}"/>
    <cellStyle name="SAPBEXstdItem 2 7 10" xfId="21625" xr:uid="{00000000-0005-0000-0000-0000B7840000}"/>
    <cellStyle name="SAPBEXstdItem 2 7 10 2" xfId="21626" xr:uid="{00000000-0005-0000-0000-0000B8840000}"/>
    <cellStyle name="SAPBEXstdItem 2 7 10 3" xfId="35797" xr:uid="{00000000-0005-0000-0000-0000B9840000}"/>
    <cellStyle name="SAPBEXstdItem 2 7 10 4" xfId="35798" xr:uid="{00000000-0005-0000-0000-0000BA840000}"/>
    <cellStyle name="SAPBEXstdItem 2 7 11" xfId="21627" xr:uid="{00000000-0005-0000-0000-0000BB840000}"/>
    <cellStyle name="SAPBEXstdItem 2 7 11 2" xfId="21628" xr:uid="{00000000-0005-0000-0000-0000BC840000}"/>
    <cellStyle name="SAPBEXstdItem 2 7 11 3" xfId="35799" xr:uid="{00000000-0005-0000-0000-0000BD840000}"/>
    <cellStyle name="SAPBEXstdItem 2 7 11 4" xfId="35800" xr:uid="{00000000-0005-0000-0000-0000BE840000}"/>
    <cellStyle name="SAPBEXstdItem 2 7 12" xfId="21629" xr:uid="{00000000-0005-0000-0000-0000BF840000}"/>
    <cellStyle name="SAPBEXstdItem 2 7 13" xfId="35801" xr:uid="{00000000-0005-0000-0000-0000C0840000}"/>
    <cellStyle name="SAPBEXstdItem 2 7 14" xfId="35802" xr:uid="{00000000-0005-0000-0000-0000C1840000}"/>
    <cellStyle name="SAPBEXstdItem 2 7 2" xfId="21630" xr:uid="{00000000-0005-0000-0000-0000C2840000}"/>
    <cellStyle name="SAPBEXstdItem 2 7 2 10" xfId="35803" xr:uid="{00000000-0005-0000-0000-0000C3840000}"/>
    <cellStyle name="SAPBEXstdItem 2 7 2 2" xfId="21631" xr:uid="{00000000-0005-0000-0000-0000C4840000}"/>
    <cellStyle name="SAPBEXstdItem 2 7 2 2 2" xfId="21632" xr:uid="{00000000-0005-0000-0000-0000C5840000}"/>
    <cellStyle name="SAPBEXstdItem 2 7 2 2 3" xfId="35804" xr:uid="{00000000-0005-0000-0000-0000C6840000}"/>
    <cellStyle name="SAPBEXstdItem 2 7 2 2 4" xfId="35805" xr:uid="{00000000-0005-0000-0000-0000C7840000}"/>
    <cellStyle name="SAPBEXstdItem 2 7 2 3" xfId="21633" xr:uid="{00000000-0005-0000-0000-0000C8840000}"/>
    <cellStyle name="SAPBEXstdItem 2 7 2 3 2" xfId="21634" xr:uid="{00000000-0005-0000-0000-0000C9840000}"/>
    <cellStyle name="SAPBEXstdItem 2 7 2 3 3" xfId="35806" xr:uid="{00000000-0005-0000-0000-0000CA840000}"/>
    <cellStyle name="SAPBEXstdItem 2 7 2 3 4" xfId="35807" xr:uid="{00000000-0005-0000-0000-0000CB840000}"/>
    <cellStyle name="SAPBEXstdItem 2 7 2 4" xfId="21635" xr:uid="{00000000-0005-0000-0000-0000CC840000}"/>
    <cellStyle name="SAPBEXstdItem 2 7 2 4 2" xfId="21636" xr:uid="{00000000-0005-0000-0000-0000CD840000}"/>
    <cellStyle name="SAPBEXstdItem 2 7 2 4 3" xfId="35808" xr:uid="{00000000-0005-0000-0000-0000CE840000}"/>
    <cellStyle name="SAPBEXstdItem 2 7 2 4 4" xfId="35809" xr:uid="{00000000-0005-0000-0000-0000CF840000}"/>
    <cellStyle name="SAPBEXstdItem 2 7 2 5" xfId="21637" xr:uid="{00000000-0005-0000-0000-0000D0840000}"/>
    <cellStyle name="SAPBEXstdItem 2 7 2 5 2" xfId="21638" xr:uid="{00000000-0005-0000-0000-0000D1840000}"/>
    <cellStyle name="SAPBEXstdItem 2 7 2 5 3" xfId="35810" xr:uid="{00000000-0005-0000-0000-0000D2840000}"/>
    <cellStyle name="SAPBEXstdItem 2 7 2 5 4" xfId="35811" xr:uid="{00000000-0005-0000-0000-0000D3840000}"/>
    <cellStyle name="SAPBEXstdItem 2 7 2 6" xfId="21639" xr:uid="{00000000-0005-0000-0000-0000D4840000}"/>
    <cellStyle name="SAPBEXstdItem 2 7 2 6 2" xfId="21640" xr:uid="{00000000-0005-0000-0000-0000D5840000}"/>
    <cellStyle name="SAPBEXstdItem 2 7 2 6 3" xfId="35812" xr:uid="{00000000-0005-0000-0000-0000D6840000}"/>
    <cellStyle name="SAPBEXstdItem 2 7 2 6 4" xfId="35813" xr:uid="{00000000-0005-0000-0000-0000D7840000}"/>
    <cellStyle name="SAPBEXstdItem 2 7 2 7" xfId="21641" xr:uid="{00000000-0005-0000-0000-0000D8840000}"/>
    <cellStyle name="SAPBEXstdItem 2 7 2 7 2" xfId="21642" xr:uid="{00000000-0005-0000-0000-0000D9840000}"/>
    <cellStyle name="SAPBEXstdItem 2 7 2 7 3" xfId="35814" xr:uid="{00000000-0005-0000-0000-0000DA840000}"/>
    <cellStyle name="SAPBEXstdItem 2 7 2 7 4" xfId="35815" xr:uid="{00000000-0005-0000-0000-0000DB840000}"/>
    <cellStyle name="SAPBEXstdItem 2 7 2 8" xfId="21643" xr:uid="{00000000-0005-0000-0000-0000DC840000}"/>
    <cellStyle name="SAPBEXstdItem 2 7 2 9" xfId="35816" xr:uid="{00000000-0005-0000-0000-0000DD840000}"/>
    <cellStyle name="SAPBEXstdItem 2 7 3" xfId="21644" xr:uid="{00000000-0005-0000-0000-0000DE840000}"/>
    <cellStyle name="SAPBEXstdItem 2 7 3 10" xfId="35817" xr:uid="{00000000-0005-0000-0000-0000DF840000}"/>
    <cellStyle name="SAPBEXstdItem 2 7 3 2" xfId="21645" xr:uid="{00000000-0005-0000-0000-0000E0840000}"/>
    <cellStyle name="SAPBEXstdItem 2 7 3 2 2" xfId="21646" xr:uid="{00000000-0005-0000-0000-0000E1840000}"/>
    <cellStyle name="SAPBEXstdItem 2 7 3 2 3" xfId="35818" xr:uid="{00000000-0005-0000-0000-0000E2840000}"/>
    <cellStyle name="SAPBEXstdItem 2 7 3 2 4" xfId="35819" xr:uid="{00000000-0005-0000-0000-0000E3840000}"/>
    <cellStyle name="SAPBEXstdItem 2 7 3 3" xfId="21647" xr:uid="{00000000-0005-0000-0000-0000E4840000}"/>
    <cellStyle name="SAPBEXstdItem 2 7 3 3 2" xfId="21648" xr:uid="{00000000-0005-0000-0000-0000E5840000}"/>
    <cellStyle name="SAPBEXstdItem 2 7 3 3 3" xfId="35820" xr:uid="{00000000-0005-0000-0000-0000E6840000}"/>
    <cellStyle name="SAPBEXstdItem 2 7 3 3 4" xfId="35821" xr:uid="{00000000-0005-0000-0000-0000E7840000}"/>
    <cellStyle name="SAPBEXstdItem 2 7 3 4" xfId="21649" xr:uid="{00000000-0005-0000-0000-0000E8840000}"/>
    <cellStyle name="SAPBEXstdItem 2 7 3 4 2" xfId="21650" xr:uid="{00000000-0005-0000-0000-0000E9840000}"/>
    <cellStyle name="SAPBEXstdItem 2 7 3 4 3" xfId="35822" xr:uid="{00000000-0005-0000-0000-0000EA840000}"/>
    <cellStyle name="SAPBEXstdItem 2 7 3 4 4" xfId="35823" xr:uid="{00000000-0005-0000-0000-0000EB840000}"/>
    <cellStyle name="SAPBEXstdItem 2 7 3 5" xfId="21651" xr:uid="{00000000-0005-0000-0000-0000EC840000}"/>
    <cellStyle name="SAPBEXstdItem 2 7 3 5 2" xfId="21652" xr:uid="{00000000-0005-0000-0000-0000ED840000}"/>
    <cellStyle name="SAPBEXstdItem 2 7 3 5 3" xfId="35824" xr:uid="{00000000-0005-0000-0000-0000EE840000}"/>
    <cellStyle name="SAPBEXstdItem 2 7 3 5 4" xfId="35825" xr:uid="{00000000-0005-0000-0000-0000EF840000}"/>
    <cellStyle name="SAPBEXstdItem 2 7 3 6" xfId="21653" xr:uid="{00000000-0005-0000-0000-0000F0840000}"/>
    <cellStyle name="SAPBEXstdItem 2 7 3 6 2" xfId="21654" xr:uid="{00000000-0005-0000-0000-0000F1840000}"/>
    <cellStyle name="SAPBEXstdItem 2 7 3 6 3" xfId="35826" xr:uid="{00000000-0005-0000-0000-0000F2840000}"/>
    <cellStyle name="SAPBEXstdItem 2 7 3 6 4" xfId="35827" xr:uid="{00000000-0005-0000-0000-0000F3840000}"/>
    <cellStyle name="SAPBEXstdItem 2 7 3 7" xfId="21655" xr:uid="{00000000-0005-0000-0000-0000F4840000}"/>
    <cellStyle name="SAPBEXstdItem 2 7 3 7 2" xfId="21656" xr:uid="{00000000-0005-0000-0000-0000F5840000}"/>
    <cellStyle name="SAPBEXstdItem 2 7 3 7 3" xfId="35828" xr:uid="{00000000-0005-0000-0000-0000F6840000}"/>
    <cellStyle name="SAPBEXstdItem 2 7 3 7 4" xfId="35829" xr:uid="{00000000-0005-0000-0000-0000F7840000}"/>
    <cellStyle name="SAPBEXstdItem 2 7 3 8" xfId="21657" xr:uid="{00000000-0005-0000-0000-0000F8840000}"/>
    <cellStyle name="SAPBEXstdItem 2 7 3 9" xfId="35830" xr:uid="{00000000-0005-0000-0000-0000F9840000}"/>
    <cellStyle name="SAPBEXstdItem 2 7 4" xfId="21658" xr:uid="{00000000-0005-0000-0000-0000FA840000}"/>
    <cellStyle name="SAPBEXstdItem 2 7 4 10" xfId="35831" xr:uid="{00000000-0005-0000-0000-0000FB840000}"/>
    <cellStyle name="SAPBEXstdItem 2 7 4 2" xfId="21659" xr:uid="{00000000-0005-0000-0000-0000FC840000}"/>
    <cellStyle name="SAPBEXstdItem 2 7 4 2 2" xfId="21660" xr:uid="{00000000-0005-0000-0000-0000FD840000}"/>
    <cellStyle name="SAPBEXstdItem 2 7 4 2 3" xfId="35832" xr:uid="{00000000-0005-0000-0000-0000FE840000}"/>
    <cellStyle name="SAPBEXstdItem 2 7 4 2 4" xfId="35833" xr:uid="{00000000-0005-0000-0000-0000FF840000}"/>
    <cellStyle name="SAPBEXstdItem 2 7 4 3" xfId="21661" xr:uid="{00000000-0005-0000-0000-000000850000}"/>
    <cellStyle name="SAPBEXstdItem 2 7 4 3 2" xfId="21662" xr:uid="{00000000-0005-0000-0000-000001850000}"/>
    <cellStyle name="SAPBEXstdItem 2 7 4 3 3" xfId="35834" xr:uid="{00000000-0005-0000-0000-000002850000}"/>
    <cellStyle name="SAPBEXstdItem 2 7 4 3 4" xfId="35835" xr:uid="{00000000-0005-0000-0000-000003850000}"/>
    <cellStyle name="SAPBEXstdItem 2 7 4 4" xfId="21663" xr:uid="{00000000-0005-0000-0000-000004850000}"/>
    <cellStyle name="SAPBEXstdItem 2 7 4 4 2" xfId="21664" xr:uid="{00000000-0005-0000-0000-000005850000}"/>
    <cellStyle name="SAPBEXstdItem 2 7 4 4 3" xfId="35836" xr:uid="{00000000-0005-0000-0000-000006850000}"/>
    <cellStyle name="SAPBEXstdItem 2 7 4 4 4" xfId="35837" xr:uid="{00000000-0005-0000-0000-000007850000}"/>
    <cellStyle name="SAPBEXstdItem 2 7 4 5" xfId="21665" xr:uid="{00000000-0005-0000-0000-000008850000}"/>
    <cellStyle name="SAPBEXstdItem 2 7 4 5 2" xfId="21666" xr:uid="{00000000-0005-0000-0000-000009850000}"/>
    <cellStyle name="SAPBEXstdItem 2 7 4 5 3" xfId="35838" xr:uid="{00000000-0005-0000-0000-00000A850000}"/>
    <cellStyle name="SAPBEXstdItem 2 7 4 5 4" xfId="35839" xr:uid="{00000000-0005-0000-0000-00000B850000}"/>
    <cellStyle name="SAPBEXstdItem 2 7 4 6" xfId="21667" xr:uid="{00000000-0005-0000-0000-00000C850000}"/>
    <cellStyle name="SAPBEXstdItem 2 7 4 6 2" xfId="21668" xr:uid="{00000000-0005-0000-0000-00000D850000}"/>
    <cellStyle name="SAPBEXstdItem 2 7 4 6 3" xfId="35840" xr:uid="{00000000-0005-0000-0000-00000E850000}"/>
    <cellStyle name="SAPBEXstdItem 2 7 4 6 4" xfId="35841" xr:uid="{00000000-0005-0000-0000-00000F850000}"/>
    <cellStyle name="SAPBEXstdItem 2 7 4 7" xfId="21669" xr:uid="{00000000-0005-0000-0000-000010850000}"/>
    <cellStyle name="SAPBEXstdItem 2 7 4 7 2" xfId="21670" xr:uid="{00000000-0005-0000-0000-000011850000}"/>
    <cellStyle name="SAPBEXstdItem 2 7 4 7 3" xfId="35842" xr:uid="{00000000-0005-0000-0000-000012850000}"/>
    <cellStyle name="SAPBEXstdItem 2 7 4 7 4" xfId="35843" xr:uid="{00000000-0005-0000-0000-000013850000}"/>
    <cellStyle name="SAPBEXstdItem 2 7 4 8" xfId="21671" xr:uid="{00000000-0005-0000-0000-000014850000}"/>
    <cellStyle name="SAPBEXstdItem 2 7 4 9" xfId="35844" xr:uid="{00000000-0005-0000-0000-000015850000}"/>
    <cellStyle name="SAPBEXstdItem 2 7 5" xfId="21672" xr:uid="{00000000-0005-0000-0000-000016850000}"/>
    <cellStyle name="SAPBEXstdItem 2 7 5 10" xfId="35845" xr:uid="{00000000-0005-0000-0000-000017850000}"/>
    <cellStyle name="SAPBEXstdItem 2 7 5 2" xfId="21673" xr:uid="{00000000-0005-0000-0000-000018850000}"/>
    <cellStyle name="SAPBEXstdItem 2 7 5 2 2" xfId="21674" xr:uid="{00000000-0005-0000-0000-000019850000}"/>
    <cellStyle name="SAPBEXstdItem 2 7 5 2 3" xfId="35846" xr:uid="{00000000-0005-0000-0000-00001A850000}"/>
    <cellStyle name="SAPBEXstdItem 2 7 5 2 4" xfId="35847" xr:uid="{00000000-0005-0000-0000-00001B850000}"/>
    <cellStyle name="SAPBEXstdItem 2 7 5 3" xfId="21675" xr:uid="{00000000-0005-0000-0000-00001C850000}"/>
    <cellStyle name="SAPBEXstdItem 2 7 5 3 2" xfId="21676" xr:uid="{00000000-0005-0000-0000-00001D850000}"/>
    <cellStyle name="SAPBEXstdItem 2 7 5 3 3" xfId="35848" xr:uid="{00000000-0005-0000-0000-00001E850000}"/>
    <cellStyle name="SAPBEXstdItem 2 7 5 3 4" xfId="35849" xr:uid="{00000000-0005-0000-0000-00001F850000}"/>
    <cellStyle name="SAPBEXstdItem 2 7 5 4" xfId="21677" xr:uid="{00000000-0005-0000-0000-000020850000}"/>
    <cellStyle name="SAPBEXstdItem 2 7 5 4 2" xfId="21678" xr:uid="{00000000-0005-0000-0000-000021850000}"/>
    <cellStyle name="SAPBEXstdItem 2 7 5 4 3" xfId="35850" xr:uid="{00000000-0005-0000-0000-000022850000}"/>
    <cellStyle name="SAPBEXstdItem 2 7 5 4 4" xfId="35851" xr:uid="{00000000-0005-0000-0000-000023850000}"/>
    <cellStyle name="SAPBEXstdItem 2 7 5 5" xfId="21679" xr:uid="{00000000-0005-0000-0000-000024850000}"/>
    <cellStyle name="SAPBEXstdItem 2 7 5 5 2" xfId="21680" xr:uid="{00000000-0005-0000-0000-000025850000}"/>
    <cellStyle name="SAPBEXstdItem 2 7 5 5 3" xfId="35852" xr:uid="{00000000-0005-0000-0000-000026850000}"/>
    <cellStyle name="SAPBEXstdItem 2 7 5 5 4" xfId="35853" xr:uid="{00000000-0005-0000-0000-000027850000}"/>
    <cellStyle name="SAPBEXstdItem 2 7 5 6" xfId="21681" xr:uid="{00000000-0005-0000-0000-000028850000}"/>
    <cellStyle name="SAPBEXstdItem 2 7 5 6 2" xfId="21682" xr:uid="{00000000-0005-0000-0000-000029850000}"/>
    <cellStyle name="SAPBEXstdItem 2 7 5 6 3" xfId="35854" xr:uid="{00000000-0005-0000-0000-00002A850000}"/>
    <cellStyle name="SAPBEXstdItem 2 7 5 6 4" xfId="35855" xr:uid="{00000000-0005-0000-0000-00002B850000}"/>
    <cellStyle name="SAPBEXstdItem 2 7 5 7" xfId="21683" xr:uid="{00000000-0005-0000-0000-00002C850000}"/>
    <cellStyle name="SAPBEXstdItem 2 7 5 7 2" xfId="21684" xr:uid="{00000000-0005-0000-0000-00002D850000}"/>
    <cellStyle name="SAPBEXstdItem 2 7 5 7 3" xfId="35856" xr:uid="{00000000-0005-0000-0000-00002E850000}"/>
    <cellStyle name="SAPBEXstdItem 2 7 5 7 4" xfId="35857" xr:uid="{00000000-0005-0000-0000-00002F850000}"/>
    <cellStyle name="SAPBEXstdItem 2 7 5 8" xfId="21685" xr:uid="{00000000-0005-0000-0000-000030850000}"/>
    <cellStyle name="SAPBEXstdItem 2 7 5 9" xfId="35858" xr:uid="{00000000-0005-0000-0000-000031850000}"/>
    <cellStyle name="SAPBEXstdItem 2 7 6" xfId="21686" xr:uid="{00000000-0005-0000-0000-000032850000}"/>
    <cellStyle name="SAPBEXstdItem 2 7 6 2" xfId="21687" xr:uid="{00000000-0005-0000-0000-000033850000}"/>
    <cellStyle name="SAPBEXstdItem 2 7 6 3" xfId="35859" xr:uid="{00000000-0005-0000-0000-000034850000}"/>
    <cellStyle name="SAPBEXstdItem 2 7 6 4" xfId="35860" xr:uid="{00000000-0005-0000-0000-000035850000}"/>
    <cellStyle name="SAPBEXstdItem 2 7 7" xfId="21688" xr:uid="{00000000-0005-0000-0000-000036850000}"/>
    <cellStyle name="SAPBEXstdItem 2 7 7 2" xfId="21689" xr:uid="{00000000-0005-0000-0000-000037850000}"/>
    <cellStyle name="SAPBEXstdItem 2 7 7 3" xfId="35861" xr:uid="{00000000-0005-0000-0000-000038850000}"/>
    <cellStyle name="SAPBEXstdItem 2 7 7 4" xfId="35862" xr:uid="{00000000-0005-0000-0000-000039850000}"/>
    <cellStyle name="SAPBEXstdItem 2 7 8" xfId="21690" xr:uid="{00000000-0005-0000-0000-00003A850000}"/>
    <cellStyle name="SAPBEXstdItem 2 7 8 2" xfId="21691" xr:uid="{00000000-0005-0000-0000-00003B850000}"/>
    <cellStyle name="SAPBEXstdItem 2 7 8 3" xfId="35863" xr:uid="{00000000-0005-0000-0000-00003C850000}"/>
    <cellStyle name="SAPBEXstdItem 2 7 8 4" xfId="35864" xr:uid="{00000000-0005-0000-0000-00003D850000}"/>
    <cellStyle name="SAPBEXstdItem 2 7 9" xfId="21692" xr:uid="{00000000-0005-0000-0000-00003E850000}"/>
    <cellStyle name="SAPBEXstdItem 2 7 9 2" xfId="21693" xr:uid="{00000000-0005-0000-0000-00003F850000}"/>
    <cellStyle name="SAPBEXstdItem 2 7 9 3" xfId="35865" xr:uid="{00000000-0005-0000-0000-000040850000}"/>
    <cellStyle name="SAPBEXstdItem 2 7 9 4" xfId="35866" xr:uid="{00000000-0005-0000-0000-000041850000}"/>
    <cellStyle name="SAPBEXstdItem 2 8" xfId="21694" xr:uid="{00000000-0005-0000-0000-000042850000}"/>
    <cellStyle name="SAPBEXstdItem 2 8 10" xfId="21695" xr:uid="{00000000-0005-0000-0000-000043850000}"/>
    <cellStyle name="SAPBEXstdItem 2 8 10 2" xfId="21696" xr:uid="{00000000-0005-0000-0000-000044850000}"/>
    <cellStyle name="SAPBEXstdItem 2 8 10 3" xfId="35867" xr:uid="{00000000-0005-0000-0000-000045850000}"/>
    <cellStyle name="SAPBEXstdItem 2 8 10 4" xfId="35868" xr:uid="{00000000-0005-0000-0000-000046850000}"/>
    <cellStyle name="SAPBEXstdItem 2 8 11" xfId="21697" xr:uid="{00000000-0005-0000-0000-000047850000}"/>
    <cellStyle name="SAPBEXstdItem 2 8 11 2" xfId="21698" xr:uid="{00000000-0005-0000-0000-000048850000}"/>
    <cellStyle name="SAPBEXstdItem 2 8 11 3" xfId="35869" xr:uid="{00000000-0005-0000-0000-000049850000}"/>
    <cellStyle name="SAPBEXstdItem 2 8 11 4" xfId="35870" xr:uid="{00000000-0005-0000-0000-00004A850000}"/>
    <cellStyle name="SAPBEXstdItem 2 8 12" xfId="21699" xr:uid="{00000000-0005-0000-0000-00004B850000}"/>
    <cellStyle name="SAPBEXstdItem 2 8 13" xfId="35871" xr:uid="{00000000-0005-0000-0000-00004C850000}"/>
    <cellStyle name="SAPBEXstdItem 2 8 14" xfId="35872" xr:uid="{00000000-0005-0000-0000-00004D850000}"/>
    <cellStyle name="SAPBEXstdItem 2 8 2" xfId="21700" xr:uid="{00000000-0005-0000-0000-00004E850000}"/>
    <cellStyle name="SAPBEXstdItem 2 8 2 10" xfId="35873" xr:uid="{00000000-0005-0000-0000-00004F850000}"/>
    <cellStyle name="SAPBEXstdItem 2 8 2 2" xfId="21701" xr:uid="{00000000-0005-0000-0000-000050850000}"/>
    <cellStyle name="SAPBEXstdItem 2 8 2 2 2" xfId="21702" xr:uid="{00000000-0005-0000-0000-000051850000}"/>
    <cellStyle name="SAPBEXstdItem 2 8 2 2 3" xfId="35874" xr:uid="{00000000-0005-0000-0000-000052850000}"/>
    <cellStyle name="SAPBEXstdItem 2 8 2 2 4" xfId="35875" xr:uid="{00000000-0005-0000-0000-000053850000}"/>
    <cellStyle name="SAPBEXstdItem 2 8 2 3" xfId="21703" xr:uid="{00000000-0005-0000-0000-000054850000}"/>
    <cellStyle name="SAPBEXstdItem 2 8 2 3 2" xfId="21704" xr:uid="{00000000-0005-0000-0000-000055850000}"/>
    <cellStyle name="SAPBEXstdItem 2 8 2 3 3" xfId="35876" xr:uid="{00000000-0005-0000-0000-000056850000}"/>
    <cellStyle name="SAPBEXstdItem 2 8 2 3 4" xfId="35877" xr:uid="{00000000-0005-0000-0000-000057850000}"/>
    <cellStyle name="SAPBEXstdItem 2 8 2 4" xfId="21705" xr:uid="{00000000-0005-0000-0000-000058850000}"/>
    <cellStyle name="SAPBEXstdItem 2 8 2 4 2" xfId="21706" xr:uid="{00000000-0005-0000-0000-000059850000}"/>
    <cellStyle name="SAPBEXstdItem 2 8 2 4 3" xfId="35878" xr:uid="{00000000-0005-0000-0000-00005A850000}"/>
    <cellStyle name="SAPBEXstdItem 2 8 2 4 4" xfId="35879" xr:uid="{00000000-0005-0000-0000-00005B850000}"/>
    <cellStyle name="SAPBEXstdItem 2 8 2 5" xfId="21707" xr:uid="{00000000-0005-0000-0000-00005C850000}"/>
    <cellStyle name="SAPBEXstdItem 2 8 2 5 2" xfId="21708" xr:uid="{00000000-0005-0000-0000-00005D850000}"/>
    <cellStyle name="SAPBEXstdItem 2 8 2 5 3" xfId="35880" xr:uid="{00000000-0005-0000-0000-00005E850000}"/>
    <cellStyle name="SAPBEXstdItem 2 8 2 5 4" xfId="35881" xr:uid="{00000000-0005-0000-0000-00005F850000}"/>
    <cellStyle name="SAPBEXstdItem 2 8 2 6" xfId="21709" xr:uid="{00000000-0005-0000-0000-000060850000}"/>
    <cellStyle name="SAPBEXstdItem 2 8 2 6 2" xfId="21710" xr:uid="{00000000-0005-0000-0000-000061850000}"/>
    <cellStyle name="SAPBEXstdItem 2 8 2 6 3" xfId="35882" xr:uid="{00000000-0005-0000-0000-000062850000}"/>
    <cellStyle name="SAPBEXstdItem 2 8 2 6 4" xfId="35883" xr:uid="{00000000-0005-0000-0000-000063850000}"/>
    <cellStyle name="SAPBEXstdItem 2 8 2 7" xfId="21711" xr:uid="{00000000-0005-0000-0000-000064850000}"/>
    <cellStyle name="SAPBEXstdItem 2 8 2 7 2" xfId="21712" xr:uid="{00000000-0005-0000-0000-000065850000}"/>
    <cellStyle name="SAPBEXstdItem 2 8 2 7 3" xfId="35884" xr:uid="{00000000-0005-0000-0000-000066850000}"/>
    <cellStyle name="SAPBEXstdItem 2 8 2 7 4" xfId="35885" xr:uid="{00000000-0005-0000-0000-000067850000}"/>
    <cellStyle name="SAPBEXstdItem 2 8 2 8" xfId="21713" xr:uid="{00000000-0005-0000-0000-000068850000}"/>
    <cellStyle name="SAPBEXstdItem 2 8 2 9" xfId="35886" xr:uid="{00000000-0005-0000-0000-000069850000}"/>
    <cellStyle name="SAPBEXstdItem 2 8 3" xfId="21714" xr:uid="{00000000-0005-0000-0000-00006A850000}"/>
    <cellStyle name="SAPBEXstdItem 2 8 3 10" xfId="35887" xr:uid="{00000000-0005-0000-0000-00006B850000}"/>
    <cellStyle name="SAPBEXstdItem 2 8 3 2" xfId="21715" xr:uid="{00000000-0005-0000-0000-00006C850000}"/>
    <cellStyle name="SAPBEXstdItem 2 8 3 2 2" xfId="21716" xr:uid="{00000000-0005-0000-0000-00006D850000}"/>
    <cellStyle name="SAPBEXstdItem 2 8 3 2 3" xfId="35888" xr:uid="{00000000-0005-0000-0000-00006E850000}"/>
    <cellStyle name="SAPBEXstdItem 2 8 3 2 4" xfId="35889" xr:uid="{00000000-0005-0000-0000-00006F850000}"/>
    <cellStyle name="SAPBEXstdItem 2 8 3 3" xfId="21717" xr:uid="{00000000-0005-0000-0000-000070850000}"/>
    <cellStyle name="SAPBEXstdItem 2 8 3 3 2" xfId="21718" xr:uid="{00000000-0005-0000-0000-000071850000}"/>
    <cellStyle name="SAPBEXstdItem 2 8 3 3 3" xfId="35890" xr:uid="{00000000-0005-0000-0000-000072850000}"/>
    <cellStyle name="SAPBEXstdItem 2 8 3 3 4" xfId="35891" xr:uid="{00000000-0005-0000-0000-000073850000}"/>
    <cellStyle name="SAPBEXstdItem 2 8 3 4" xfId="21719" xr:uid="{00000000-0005-0000-0000-000074850000}"/>
    <cellStyle name="SAPBEXstdItem 2 8 3 4 2" xfId="21720" xr:uid="{00000000-0005-0000-0000-000075850000}"/>
    <cellStyle name="SAPBEXstdItem 2 8 3 4 3" xfId="35892" xr:uid="{00000000-0005-0000-0000-000076850000}"/>
    <cellStyle name="SAPBEXstdItem 2 8 3 4 4" xfId="35893" xr:uid="{00000000-0005-0000-0000-000077850000}"/>
    <cellStyle name="SAPBEXstdItem 2 8 3 5" xfId="21721" xr:uid="{00000000-0005-0000-0000-000078850000}"/>
    <cellStyle name="SAPBEXstdItem 2 8 3 5 2" xfId="21722" xr:uid="{00000000-0005-0000-0000-000079850000}"/>
    <cellStyle name="SAPBEXstdItem 2 8 3 5 3" xfId="35894" xr:uid="{00000000-0005-0000-0000-00007A850000}"/>
    <cellStyle name="SAPBEXstdItem 2 8 3 5 4" xfId="35895" xr:uid="{00000000-0005-0000-0000-00007B850000}"/>
    <cellStyle name="SAPBEXstdItem 2 8 3 6" xfId="21723" xr:uid="{00000000-0005-0000-0000-00007C850000}"/>
    <cellStyle name="SAPBEXstdItem 2 8 3 6 2" xfId="21724" xr:uid="{00000000-0005-0000-0000-00007D850000}"/>
    <cellStyle name="SAPBEXstdItem 2 8 3 6 3" xfId="35896" xr:uid="{00000000-0005-0000-0000-00007E850000}"/>
    <cellStyle name="SAPBEXstdItem 2 8 3 6 4" xfId="35897" xr:uid="{00000000-0005-0000-0000-00007F850000}"/>
    <cellStyle name="SAPBEXstdItem 2 8 3 7" xfId="21725" xr:uid="{00000000-0005-0000-0000-000080850000}"/>
    <cellStyle name="SAPBEXstdItem 2 8 3 7 2" xfId="21726" xr:uid="{00000000-0005-0000-0000-000081850000}"/>
    <cellStyle name="SAPBEXstdItem 2 8 3 7 3" xfId="35898" xr:uid="{00000000-0005-0000-0000-000082850000}"/>
    <cellStyle name="SAPBEXstdItem 2 8 3 7 4" xfId="35899" xr:uid="{00000000-0005-0000-0000-000083850000}"/>
    <cellStyle name="SAPBEXstdItem 2 8 3 8" xfId="21727" xr:uid="{00000000-0005-0000-0000-000084850000}"/>
    <cellStyle name="SAPBEXstdItem 2 8 3 9" xfId="35900" xr:uid="{00000000-0005-0000-0000-000085850000}"/>
    <cellStyle name="SAPBEXstdItem 2 8 4" xfId="21728" xr:uid="{00000000-0005-0000-0000-000086850000}"/>
    <cellStyle name="SAPBEXstdItem 2 8 4 10" xfId="35901" xr:uid="{00000000-0005-0000-0000-000087850000}"/>
    <cellStyle name="SAPBEXstdItem 2 8 4 2" xfId="21729" xr:uid="{00000000-0005-0000-0000-000088850000}"/>
    <cellStyle name="SAPBEXstdItem 2 8 4 2 2" xfId="21730" xr:uid="{00000000-0005-0000-0000-000089850000}"/>
    <cellStyle name="SAPBEXstdItem 2 8 4 2 3" xfId="35902" xr:uid="{00000000-0005-0000-0000-00008A850000}"/>
    <cellStyle name="SAPBEXstdItem 2 8 4 2 4" xfId="35903" xr:uid="{00000000-0005-0000-0000-00008B850000}"/>
    <cellStyle name="SAPBEXstdItem 2 8 4 3" xfId="21731" xr:uid="{00000000-0005-0000-0000-00008C850000}"/>
    <cellStyle name="SAPBEXstdItem 2 8 4 3 2" xfId="21732" xr:uid="{00000000-0005-0000-0000-00008D850000}"/>
    <cellStyle name="SAPBEXstdItem 2 8 4 3 3" xfId="35904" xr:uid="{00000000-0005-0000-0000-00008E850000}"/>
    <cellStyle name="SAPBEXstdItem 2 8 4 3 4" xfId="35905" xr:uid="{00000000-0005-0000-0000-00008F850000}"/>
    <cellStyle name="SAPBEXstdItem 2 8 4 4" xfId="21733" xr:uid="{00000000-0005-0000-0000-000090850000}"/>
    <cellStyle name="SAPBEXstdItem 2 8 4 4 2" xfId="21734" xr:uid="{00000000-0005-0000-0000-000091850000}"/>
    <cellStyle name="SAPBEXstdItem 2 8 4 4 3" xfId="35906" xr:uid="{00000000-0005-0000-0000-000092850000}"/>
    <cellStyle name="SAPBEXstdItem 2 8 4 4 4" xfId="35907" xr:uid="{00000000-0005-0000-0000-000093850000}"/>
    <cellStyle name="SAPBEXstdItem 2 8 4 5" xfId="21735" xr:uid="{00000000-0005-0000-0000-000094850000}"/>
    <cellStyle name="SAPBEXstdItem 2 8 4 5 2" xfId="21736" xr:uid="{00000000-0005-0000-0000-000095850000}"/>
    <cellStyle name="SAPBEXstdItem 2 8 4 5 3" xfId="35908" xr:uid="{00000000-0005-0000-0000-000096850000}"/>
    <cellStyle name="SAPBEXstdItem 2 8 4 5 4" xfId="35909" xr:uid="{00000000-0005-0000-0000-000097850000}"/>
    <cellStyle name="SAPBEXstdItem 2 8 4 6" xfId="21737" xr:uid="{00000000-0005-0000-0000-000098850000}"/>
    <cellStyle name="SAPBEXstdItem 2 8 4 6 2" xfId="21738" xr:uid="{00000000-0005-0000-0000-000099850000}"/>
    <cellStyle name="SAPBEXstdItem 2 8 4 6 3" xfId="35910" xr:uid="{00000000-0005-0000-0000-00009A850000}"/>
    <cellStyle name="SAPBEXstdItem 2 8 4 6 4" xfId="35911" xr:uid="{00000000-0005-0000-0000-00009B850000}"/>
    <cellStyle name="SAPBEXstdItem 2 8 4 7" xfId="21739" xr:uid="{00000000-0005-0000-0000-00009C850000}"/>
    <cellStyle name="SAPBEXstdItem 2 8 4 7 2" xfId="21740" xr:uid="{00000000-0005-0000-0000-00009D850000}"/>
    <cellStyle name="SAPBEXstdItem 2 8 4 7 3" xfId="35912" xr:uid="{00000000-0005-0000-0000-00009E850000}"/>
    <cellStyle name="SAPBEXstdItem 2 8 4 7 4" xfId="35913" xr:uid="{00000000-0005-0000-0000-00009F850000}"/>
    <cellStyle name="SAPBEXstdItem 2 8 4 8" xfId="21741" xr:uid="{00000000-0005-0000-0000-0000A0850000}"/>
    <cellStyle name="SAPBEXstdItem 2 8 4 9" xfId="35914" xr:uid="{00000000-0005-0000-0000-0000A1850000}"/>
    <cellStyle name="SAPBEXstdItem 2 8 5" xfId="21742" xr:uid="{00000000-0005-0000-0000-0000A2850000}"/>
    <cellStyle name="SAPBEXstdItem 2 8 5 10" xfId="35915" xr:uid="{00000000-0005-0000-0000-0000A3850000}"/>
    <cellStyle name="SAPBEXstdItem 2 8 5 2" xfId="21743" xr:uid="{00000000-0005-0000-0000-0000A4850000}"/>
    <cellStyle name="SAPBEXstdItem 2 8 5 2 2" xfId="21744" xr:uid="{00000000-0005-0000-0000-0000A5850000}"/>
    <cellStyle name="SAPBEXstdItem 2 8 5 2 3" xfId="35916" xr:uid="{00000000-0005-0000-0000-0000A6850000}"/>
    <cellStyle name="SAPBEXstdItem 2 8 5 2 4" xfId="35917" xr:uid="{00000000-0005-0000-0000-0000A7850000}"/>
    <cellStyle name="SAPBEXstdItem 2 8 5 3" xfId="21745" xr:uid="{00000000-0005-0000-0000-0000A8850000}"/>
    <cellStyle name="SAPBEXstdItem 2 8 5 3 2" xfId="21746" xr:uid="{00000000-0005-0000-0000-0000A9850000}"/>
    <cellStyle name="SAPBEXstdItem 2 8 5 3 3" xfId="35918" xr:uid="{00000000-0005-0000-0000-0000AA850000}"/>
    <cellStyle name="SAPBEXstdItem 2 8 5 3 4" xfId="35919" xr:uid="{00000000-0005-0000-0000-0000AB850000}"/>
    <cellStyle name="SAPBEXstdItem 2 8 5 4" xfId="21747" xr:uid="{00000000-0005-0000-0000-0000AC850000}"/>
    <cellStyle name="SAPBEXstdItem 2 8 5 4 2" xfId="21748" xr:uid="{00000000-0005-0000-0000-0000AD850000}"/>
    <cellStyle name="SAPBEXstdItem 2 8 5 4 3" xfId="35920" xr:uid="{00000000-0005-0000-0000-0000AE850000}"/>
    <cellStyle name="SAPBEXstdItem 2 8 5 4 4" xfId="35921" xr:uid="{00000000-0005-0000-0000-0000AF850000}"/>
    <cellStyle name="SAPBEXstdItem 2 8 5 5" xfId="21749" xr:uid="{00000000-0005-0000-0000-0000B0850000}"/>
    <cellStyle name="SAPBEXstdItem 2 8 5 5 2" xfId="21750" xr:uid="{00000000-0005-0000-0000-0000B1850000}"/>
    <cellStyle name="SAPBEXstdItem 2 8 5 5 3" xfId="35922" xr:uid="{00000000-0005-0000-0000-0000B2850000}"/>
    <cellStyle name="SAPBEXstdItem 2 8 5 5 4" xfId="35923" xr:uid="{00000000-0005-0000-0000-0000B3850000}"/>
    <cellStyle name="SAPBEXstdItem 2 8 5 6" xfId="21751" xr:uid="{00000000-0005-0000-0000-0000B4850000}"/>
    <cellStyle name="SAPBEXstdItem 2 8 5 6 2" xfId="21752" xr:uid="{00000000-0005-0000-0000-0000B5850000}"/>
    <cellStyle name="SAPBEXstdItem 2 8 5 6 3" xfId="35924" xr:uid="{00000000-0005-0000-0000-0000B6850000}"/>
    <cellStyle name="SAPBEXstdItem 2 8 5 6 4" xfId="35925" xr:uid="{00000000-0005-0000-0000-0000B7850000}"/>
    <cellStyle name="SAPBEXstdItem 2 8 5 7" xfId="21753" xr:uid="{00000000-0005-0000-0000-0000B8850000}"/>
    <cellStyle name="SAPBEXstdItem 2 8 5 7 2" xfId="21754" xr:uid="{00000000-0005-0000-0000-0000B9850000}"/>
    <cellStyle name="SAPBEXstdItem 2 8 5 7 3" xfId="35926" xr:uid="{00000000-0005-0000-0000-0000BA850000}"/>
    <cellStyle name="SAPBEXstdItem 2 8 5 7 4" xfId="35927" xr:uid="{00000000-0005-0000-0000-0000BB850000}"/>
    <cellStyle name="SAPBEXstdItem 2 8 5 8" xfId="21755" xr:uid="{00000000-0005-0000-0000-0000BC850000}"/>
    <cellStyle name="SAPBEXstdItem 2 8 5 9" xfId="35928" xr:uid="{00000000-0005-0000-0000-0000BD850000}"/>
    <cellStyle name="SAPBEXstdItem 2 8 6" xfId="21756" xr:uid="{00000000-0005-0000-0000-0000BE850000}"/>
    <cellStyle name="SAPBEXstdItem 2 8 6 2" xfId="21757" xr:uid="{00000000-0005-0000-0000-0000BF850000}"/>
    <cellStyle name="SAPBEXstdItem 2 8 6 3" xfId="35929" xr:uid="{00000000-0005-0000-0000-0000C0850000}"/>
    <cellStyle name="SAPBEXstdItem 2 8 6 4" xfId="35930" xr:uid="{00000000-0005-0000-0000-0000C1850000}"/>
    <cellStyle name="SAPBEXstdItem 2 8 7" xfId="21758" xr:uid="{00000000-0005-0000-0000-0000C2850000}"/>
    <cellStyle name="SAPBEXstdItem 2 8 7 2" xfId="21759" xr:uid="{00000000-0005-0000-0000-0000C3850000}"/>
    <cellStyle name="SAPBEXstdItem 2 8 7 3" xfId="35931" xr:uid="{00000000-0005-0000-0000-0000C4850000}"/>
    <cellStyle name="SAPBEXstdItem 2 8 7 4" xfId="35932" xr:uid="{00000000-0005-0000-0000-0000C5850000}"/>
    <cellStyle name="SAPBEXstdItem 2 8 8" xfId="21760" xr:uid="{00000000-0005-0000-0000-0000C6850000}"/>
    <cellStyle name="SAPBEXstdItem 2 8 8 2" xfId="21761" xr:uid="{00000000-0005-0000-0000-0000C7850000}"/>
    <cellStyle name="SAPBEXstdItem 2 8 8 3" xfId="35933" xr:uid="{00000000-0005-0000-0000-0000C8850000}"/>
    <cellStyle name="SAPBEXstdItem 2 8 8 4" xfId="35934" xr:uid="{00000000-0005-0000-0000-0000C9850000}"/>
    <cellStyle name="SAPBEXstdItem 2 8 9" xfId="21762" xr:uid="{00000000-0005-0000-0000-0000CA850000}"/>
    <cellStyle name="SAPBEXstdItem 2 8 9 2" xfId="21763" xr:uid="{00000000-0005-0000-0000-0000CB850000}"/>
    <cellStyle name="SAPBEXstdItem 2 8 9 3" xfId="35935" xr:uid="{00000000-0005-0000-0000-0000CC850000}"/>
    <cellStyle name="SAPBEXstdItem 2 8 9 4" xfId="35936" xr:uid="{00000000-0005-0000-0000-0000CD850000}"/>
    <cellStyle name="SAPBEXstdItem 2 9" xfId="21764" xr:uid="{00000000-0005-0000-0000-0000CE850000}"/>
    <cellStyle name="SAPBEXstdItem 2 9 10" xfId="21765" xr:uid="{00000000-0005-0000-0000-0000CF850000}"/>
    <cellStyle name="SAPBEXstdItem 2 9 10 2" xfId="21766" xr:uid="{00000000-0005-0000-0000-0000D0850000}"/>
    <cellStyle name="SAPBEXstdItem 2 9 10 3" xfId="35937" xr:uid="{00000000-0005-0000-0000-0000D1850000}"/>
    <cellStyle name="SAPBEXstdItem 2 9 10 4" xfId="35938" xr:uid="{00000000-0005-0000-0000-0000D2850000}"/>
    <cellStyle name="SAPBEXstdItem 2 9 11" xfId="21767" xr:uid="{00000000-0005-0000-0000-0000D3850000}"/>
    <cellStyle name="SAPBEXstdItem 2 9 11 2" xfId="21768" xr:uid="{00000000-0005-0000-0000-0000D4850000}"/>
    <cellStyle name="SAPBEXstdItem 2 9 11 3" xfId="35939" xr:uid="{00000000-0005-0000-0000-0000D5850000}"/>
    <cellStyle name="SAPBEXstdItem 2 9 11 4" xfId="35940" xr:uid="{00000000-0005-0000-0000-0000D6850000}"/>
    <cellStyle name="SAPBEXstdItem 2 9 12" xfId="21769" xr:uid="{00000000-0005-0000-0000-0000D7850000}"/>
    <cellStyle name="SAPBEXstdItem 2 9 13" xfId="35941" xr:uid="{00000000-0005-0000-0000-0000D8850000}"/>
    <cellStyle name="SAPBEXstdItem 2 9 14" xfId="35942" xr:uid="{00000000-0005-0000-0000-0000D9850000}"/>
    <cellStyle name="SAPBEXstdItem 2 9 2" xfId="21770" xr:uid="{00000000-0005-0000-0000-0000DA850000}"/>
    <cellStyle name="SAPBEXstdItem 2 9 2 10" xfId="35943" xr:uid="{00000000-0005-0000-0000-0000DB850000}"/>
    <cellStyle name="SAPBEXstdItem 2 9 2 2" xfId="21771" xr:uid="{00000000-0005-0000-0000-0000DC850000}"/>
    <cellStyle name="SAPBEXstdItem 2 9 2 2 2" xfId="21772" xr:uid="{00000000-0005-0000-0000-0000DD850000}"/>
    <cellStyle name="SAPBEXstdItem 2 9 2 2 3" xfId="35944" xr:uid="{00000000-0005-0000-0000-0000DE850000}"/>
    <cellStyle name="SAPBEXstdItem 2 9 2 2 4" xfId="35945" xr:uid="{00000000-0005-0000-0000-0000DF850000}"/>
    <cellStyle name="SAPBEXstdItem 2 9 2 3" xfId="21773" xr:uid="{00000000-0005-0000-0000-0000E0850000}"/>
    <cellStyle name="SAPBEXstdItem 2 9 2 3 2" xfId="21774" xr:uid="{00000000-0005-0000-0000-0000E1850000}"/>
    <cellStyle name="SAPBEXstdItem 2 9 2 3 3" xfId="35946" xr:uid="{00000000-0005-0000-0000-0000E2850000}"/>
    <cellStyle name="SAPBEXstdItem 2 9 2 3 4" xfId="35947" xr:uid="{00000000-0005-0000-0000-0000E3850000}"/>
    <cellStyle name="SAPBEXstdItem 2 9 2 4" xfId="21775" xr:uid="{00000000-0005-0000-0000-0000E4850000}"/>
    <cellStyle name="SAPBEXstdItem 2 9 2 4 2" xfId="21776" xr:uid="{00000000-0005-0000-0000-0000E5850000}"/>
    <cellStyle name="SAPBEXstdItem 2 9 2 4 3" xfId="35948" xr:uid="{00000000-0005-0000-0000-0000E6850000}"/>
    <cellStyle name="SAPBEXstdItem 2 9 2 4 4" xfId="35949" xr:uid="{00000000-0005-0000-0000-0000E7850000}"/>
    <cellStyle name="SAPBEXstdItem 2 9 2 5" xfId="21777" xr:uid="{00000000-0005-0000-0000-0000E8850000}"/>
    <cellStyle name="SAPBEXstdItem 2 9 2 5 2" xfId="21778" xr:uid="{00000000-0005-0000-0000-0000E9850000}"/>
    <cellStyle name="SAPBEXstdItem 2 9 2 5 3" xfId="35950" xr:uid="{00000000-0005-0000-0000-0000EA850000}"/>
    <cellStyle name="SAPBEXstdItem 2 9 2 5 4" xfId="35951" xr:uid="{00000000-0005-0000-0000-0000EB850000}"/>
    <cellStyle name="SAPBEXstdItem 2 9 2 6" xfId="21779" xr:uid="{00000000-0005-0000-0000-0000EC850000}"/>
    <cellStyle name="SAPBEXstdItem 2 9 2 6 2" xfId="21780" xr:uid="{00000000-0005-0000-0000-0000ED850000}"/>
    <cellStyle name="SAPBEXstdItem 2 9 2 6 3" xfId="35952" xr:uid="{00000000-0005-0000-0000-0000EE850000}"/>
    <cellStyle name="SAPBEXstdItem 2 9 2 6 4" xfId="35953" xr:uid="{00000000-0005-0000-0000-0000EF850000}"/>
    <cellStyle name="SAPBEXstdItem 2 9 2 7" xfId="21781" xr:uid="{00000000-0005-0000-0000-0000F0850000}"/>
    <cellStyle name="SAPBEXstdItem 2 9 2 7 2" xfId="21782" xr:uid="{00000000-0005-0000-0000-0000F1850000}"/>
    <cellStyle name="SAPBEXstdItem 2 9 2 7 3" xfId="35954" xr:uid="{00000000-0005-0000-0000-0000F2850000}"/>
    <cellStyle name="SAPBEXstdItem 2 9 2 7 4" xfId="35955" xr:uid="{00000000-0005-0000-0000-0000F3850000}"/>
    <cellStyle name="SAPBEXstdItem 2 9 2 8" xfId="21783" xr:uid="{00000000-0005-0000-0000-0000F4850000}"/>
    <cellStyle name="SAPBEXstdItem 2 9 2 9" xfId="35956" xr:uid="{00000000-0005-0000-0000-0000F5850000}"/>
    <cellStyle name="SAPBEXstdItem 2 9 3" xfId="21784" xr:uid="{00000000-0005-0000-0000-0000F6850000}"/>
    <cellStyle name="SAPBEXstdItem 2 9 3 10" xfId="35957" xr:uid="{00000000-0005-0000-0000-0000F7850000}"/>
    <cellStyle name="SAPBEXstdItem 2 9 3 2" xfId="21785" xr:uid="{00000000-0005-0000-0000-0000F8850000}"/>
    <cellStyle name="SAPBEXstdItem 2 9 3 2 2" xfId="21786" xr:uid="{00000000-0005-0000-0000-0000F9850000}"/>
    <cellStyle name="SAPBEXstdItem 2 9 3 2 3" xfId="35958" xr:uid="{00000000-0005-0000-0000-0000FA850000}"/>
    <cellStyle name="SAPBEXstdItem 2 9 3 2 4" xfId="35959" xr:uid="{00000000-0005-0000-0000-0000FB850000}"/>
    <cellStyle name="SAPBEXstdItem 2 9 3 3" xfId="21787" xr:uid="{00000000-0005-0000-0000-0000FC850000}"/>
    <cellStyle name="SAPBEXstdItem 2 9 3 3 2" xfId="21788" xr:uid="{00000000-0005-0000-0000-0000FD850000}"/>
    <cellStyle name="SAPBEXstdItem 2 9 3 3 3" xfId="35960" xr:uid="{00000000-0005-0000-0000-0000FE850000}"/>
    <cellStyle name="SAPBEXstdItem 2 9 3 3 4" xfId="35961" xr:uid="{00000000-0005-0000-0000-0000FF850000}"/>
    <cellStyle name="SAPBEXstdItem 2 9 3 4" xfId="21789" xr:uid="{00000000-0005-0000-0000-000000860000}"/>
    <cellStyle name="SAPBEXstdItem 2 9 3 4 2" xfId="21790" xr:uid="{00000000-0005-0000-0000-000001860000}"/>
    <cellStyle name="SAPBEXstdItem 2 9 3 4 3" xfId="35962" xr:uid="{00000000-0005-0000-0000-000002860000}"/>
    <cellStyle name="SAPBEXstdItem 2 9 3 4 4" xfId="35963" xr:uid="{00000000-0005-0000-0000-000003860000}"/>
    <cellStyle name="SAPBEXstdItem 2 9 3 5" xfId="21791" xr:uid="{00000000-0005-0000-0000-000004860000}"/>
    <cellStyle name="SAPBEXstdItem 2 9 3 5 2" xfId="21792" xr:uid="{00000000-0005-0000-0000-000005860000}"/>
    <cellStyle name="SAPBEXstdItem 2 9 3 5 3" xfId="35964" xr:uid="{00000000-0005-0000-0000-000006860000}"/>
    <cellStyle name="SAPBEXstdItem 2 9 3 5 4" xfId="35965" xr:uid="{00000000-0005-0000-0000-000007860000}"/>
    <cellStyle name="SAPBEXstdItem 2 9 3 6" xfId="21793" xr:uid="{00000000-0005-0000-0000-000008860000}"/>
    <cellStyle name="SAPBEXstdItem 2 9 3 6 2" xfId="21794" xr:uid="{00000000-0005-0000-0000-000009860000}"/>
    <cellStyle name="SAPBEXstdItem 2 9 3 6 3" xfId="35966" xr:uid="{00000000-0005-0000-0000-00000A860000}"/>
    <cellStyle name="SAPBEXstdItem 2 9 3 6 4" xfId="35967" xr:uid="{00000000-0005-0000-0000-00000B860000}"/>
    <cellStyle name="SAPBEXstdItem 2 9 3 7" xfId="21795" xr:uid="{00000000-0005-0000-0000-00000C860000}"/>
    <cellStyle name="SAPBEXstdItem 2 9 3 7 2" xfId="21796" xr:uid="{00000000-0005-0000-0000-00000D860000}"/>
    <cellStyle name="SAPBEXstdItem 2 9 3 7 3" xfId="35968" xr:uid="{00000000-0005-0000-0000-00000E860000}"/>
    <cellStyle name="SAPBEXstdItem 2 9 3 7 4" xfId="35969" xr:uid="{00000000-0005-0000-0000-00000F860000}"/>
    <cellStyle name="SAPBEXstdItem 2 9 3 8" xfId="21797" xr:uid="{00000000-0005-0000-0000-000010860000}"/>
    <cellStyle name="SAPBEXstdItem 2 9 3 9" xfId="35970" xr:uid="{00000000-0005-0000-0000-000011860000}"/>
    <cellStyle name="SAPBEXstdItem 2 9 4" xfId="21798" xr:uid="{00000000-0005-0000-0000-000012860000}"/>
    <cellStyle name="SAPBEXstdItem 2 9 4 10" xfId="35971" xr:uid="{00000000-0005-0000-0000-000013860000}"/>
    <cellStyle name="SAPBEXstdItem 2 9 4 2" xfId="21799" xr:uid="{00000000-0005-0000-0000-000014860000}"/>
    <cellStyle name="SAPBEXstdItem 2 9 4 2 2" xfId="21800" xr:uid="{00000000-0005-0000-0000-000015860000}"/>
    <cellStyle name="SAPBEXstdItem 2 9 4 2 3" xfId="35972" xr:uid="{00000000-0005-0000-0000-000016860000}"/>
    <cellStyle name="SAPBEXstdItem 2 9 4 2 4" xfId="35973" xr:uid="{00000000-0005-0000-0000-000017860000}"/>
    <cellStyle name="SAPBEXstdItem 2 9 4 3" xfId="21801" xr:uid="{00000000-0005-0000-0000-000018860000}"/>
    <cellStyle name="SAPBEXstdItem 2 9 4 3 2" xfId="21802" xr:uid="{00000000-0005-0000-0000-000019860000}"/>
    <cellStyle name="SAPBEXstdItem 2 9 4 3 3" xfId="35974" xr:uid="{00000000-0005-0000-0000-00001A860000}"/>
    <cellStyle name="SAPBEXstdItem 2 9 4 3 4" xfId="35975" xr:uid="{00000000-0005-0000-0000-00001B860000}"/>
    <cellStyle name="SAPBEXstdItem 2 9 4 4" xfId="21803" xr:uid="{00000000-0005-0000-0000-00001C860000}"/>
    <cellStyle name="SAPBEXstdItem 2 9 4 4 2" xfId="21804" xr:uid="{00000000-0005-0000-0000-00001D860000}"/>
    <cellStyle name="SAPBEXstdItem 2 9 4 4 3" xfId="35976" xr:uid="{00000000-0005-0000-0000-00001E860000}"/>
    <cellStyle name="SAPBEXstdItem 2 9 4 4 4" xfId="35977" xr:uid="{00000000-0005-0000-0000-00001F860000}"/>
    <cellStyle name="SAPBEXstdItem 2 9 4 5" xfId="21805" xr:uid="{00000000-0005-0000-0000-000020860000}"/>
    <cellStyle name="SAPBEXstdItem 2 9 4 5 2" xfId="21806" xr:uid="{00000000-0005-0000-0000-000021860000}"/>
    <cellStyle name="SAPBEXstdItem 2 9 4 5 3" xfId="35978" xr:uid="{00000000-0005-0000-0000-000022860000}"/>
    <cellStyle name="SAPBEXstdItem 2 9 4 5 4" xfId="35979" xr:uid="{00000000-0005-0000-0000-000023860000}"/>
    <cellStyle name="SAPBEXstdItem 2 9 4 6" xfId="21807" xr:uid="{00000000-0005-0000-0000-000024860000}"/>
    <cellStyle name="SAPBEXstdItem 2 9 4 6 2" xfId="21808" xr:uid="{00000000-0005-0000-0000-000025860000}"/>
    <cellStyle name="SAPBEXstdItem 2 9 4 6 3" xfId="35980" xr:uid="{00000000-0005-0000-0000-000026860000}"/>
    <cellStyle name="SAPBEXstdItem 2 9 4 6 4" xfId="35981" xr:uid="{00000000-0005-0000-0000-000027860000}"/>
    <cellStyle name="SAPBEXstdItem 2 9 4 7" xfId="21809" xr:uid="{00000000-0005-0000-0000-000028860000}"/>
    <cellStyle name="SAPBEXstdItem 2 9 4 7 2" xfId="21810" xr:uid="{00000000-0005-0000-0000-000029860000}"/>
    <cellStyle name="SAPBEXstdItem 2 9 4 7 3" xfId="35982" xr:uid="{00000000-0005-0000-0000-00002A860000}"/>
    <cellStyle name="SAPBEXstdItem 2 9 4 7 4" xfId="35983" xr:uid="{00000000-0005-0000-0000-00002B860000}"/>
    <cellStyle name="SAPBEXstdItem 2 9 4 8" xfId="21811" xr:uid="{00000000-0005-0000-0000-00002C860000}"/>
    <cellStyle name="SAPBEXstdItem 2 9 4 9" xfId="35984" xr:uid="{00000000-0005-0000-0000-00002D860000}"/>
    <cellStyle name="SAPBEXstdItem 2 9 5" xfId="21812" xr:uid="{00000000-0005-0000-0000-00002E860000}"/>
    <cellStyle name="SAPBEXstdItem 2 9 5 10" xfId="35985" xr:uid="{00000000-0005-0000-0000-00002F860000}"/>
    <cellStyle name="SAPBEXstdItem 2 9 5 2" xfId="21813" xr:uid="{00000000-0005-0000-0000-000030860000}"/>
    <cellStyle name="SAPBEXstdItem 2 9 5 2 2" xfId="21814" xr:uid="{00000000-0005-0000-0000-000031860000}"/>
    <cellStyle name="SAPBEXstdItem 2 9 5 2 3" xfId="35986" xr:uid="{00000000-0005-0000-0000-000032860000}"/>
    <cellStyle name="SAPBEXstdItem 2 9 5 2 4" xfId="35987" xr:uid="{00000000-0005-0000-0000-000033860000}"/>
    <cellStyle name="SAPBEXstdItem 2 9 5 3" xfId="21815" xr:uid="{00000000-0005-0000-0000-000034860000}"/>
    <cellStyle name="SAPBEXstdItem 2 9 5 3 2" xfId="21816" xr:uid="{00000000-0005-0000-0000-000035860000}"/>
    <cellStyle name="SAPBEXstdItem 2 9 5 3 3" xfId="35988" xr:uid="{00000000-0005-0000-0000-000036860000}"/>
    <cellStyle name="SAPBEXstdItem 2 9 5 3 4" xfId="35989" xr:uid="{00000000-0005-0000-0000-000037860000}"/>
    <cellStyle name="SAPBEXstdItem 2 9 5 4" xfId="21817" xr:uid="{00000000-0005-0000-0000-000038860000}"/>
    <cellStyle name="SAPBEXstdItem 2 9 5 4 2" xfId="21818" xr:uid="{00000000-0005-0000-0000-000039860000}"/>
    <cellStyle name="SAPBEXstdItem 2 9 5 4 3" xfId="35990" xr:uid="{00000000-0005-0000-0000-00003A860000}"/>
    <cellStyle name="SAPBEXstdItem 2 9 5 4 4" xfId="35991" xr:uid="{00000000-0005-0000-0000-00003B860000}"/>
    <cellStyle name="SAPBEXstdItem 2 9 5 5" xfId="21819" xr:uid="{00000000-0005-0000-0000-00003C860000}"/>
    <cellStyle name="SAPBEXstdItem 2 9 5 5 2" xfId="21820" xr:uid="{00000000-0005-0000-0000-00003D860000}"/>
    <cellStyle name="SAPBEXstdItem 2 9 5 5 3" xfId="35992" xr:uid="{00000000-0005-0000-0000-00003E860000}"/>
    <cellStyle name="SAPBEXstdItem 2 9 5 5 4" xfId="35993" xr:uid="{00000000-0005-0000-0000-00003F860000}"/>
    <cellStyle name="SAPBEXstdItem 2 9 5 6" xfId="21821" xr:uid="{00000000-0005-0000-0000-000040860000}"/>
    <cellStyle name="SAPBEXstdItem 2 9 5 6 2" xfId="21822" xr:uid="{00000000-0005-0000-0000-000041860000}"/>
    <cellStyle name="SAPBEXstdItem 2 9 5 6 3" xfId="35994" xr:uid="{00000000-0005-0000-0000-000042860000}"/>
    <cellStyle name="SAPBEXstdItem 2 9 5 6 4" xfId="35995" xr:uid="{00000000-0005-0000-0000-000043860000}"/>
    <cellStyle name="SAPBEXstdItem 2 9 5 7" xfId="21823" xr:uid="{00000000-0005-0000-0000-000044860000}"/>
    <cellStyle name="SAPBEXstdItem 2 9 5 7 2" xfId="21824" xr:uid="{00000000-0005-0000-0000-000045860000}"/>
    <cellStyle name="SAPBEXstdItem 2 9 5 7 3" xfId="35996" xr:uid="{00000000-0005-0000-0000-000046860000}"/>
    <cellStyle name="SAPBEXstdItem 2 9 5 7 4" xfId="35997" xr:uid="{00000000-0005-0000-0000-000047860000}"/>
    <cellStyle name="SAPBEXstdItem 2 9 5 8" xfId="21825" xr:uid="{00000000-0005-0000-0000-000048860000}"/>
    <cellStyle name="SAPBEXstdItem 2 9 5 9" xfId="35998" xr:uid="{00000000-0005-0000-0000-000049860000}"/>
    <cellStyle name="SAPBEXstdItem 2 9 6" xfId="21826" xr:uid="{00000000-0005-0000-0000-00004A860000}"/>
    <cellStyle name="SAPBEXstdItem 2 9 6 2" xfId="21827" xr:uid="{00000000-0005-0000-0000-00004B860000}"/>
    <cellStyle name="SAPBEXstdItem 2 9 6 3" xfId="35999" xr:uid="{00000000-0005-0000-0000-00004C860000}"/>
    <cellStyle name="SAPBEXstdItem 2 9 6 4" xfId="36000" xr:uid="{00000000-0005-0000-0000-00004D860000}"/>
    <cellStyle name="SAPBEXstdItem 2 9 7" xfId="21828" xr:uid="{00000000-0005-0000-0000-00004E860000}"/>
    <cellStyle name="SAPBEXstdItem 2 9 7 2" xfId="21829" xr:uid="{00000000-0005-0000-0000-00004F860000}"/>
    <cellStyle name="SAPBEXstdItem 2 9 7 3" xfId="36001" xr:uid="{00000000-0005-0000-0000-000050860000}"/>
    <cellStyle name="SAPBEXstdItem 2 9 7 4" xfId="36002" xr:uid="{00000000-0005-0000-0000-000051860000}"/>
    <cellStyle name="SAPBEXstdItem 2 9 8" xfId="21830" xr:uid="{00000000-0005-0000-0000-000052860000}"/>
    <cellStyle name="SAPBEXstdItem 2 9 8 2" xfId="21831" xr:uid="{00000000-0005-0000-0000-000053860000}"/>
    <cellStyle name="SAPBEXstdItem 2 9 8 3" xfId="36003" xr:uid="{00000000-0005-0000-0000-000054860000}"/>
    <cellStyle name="SAPBEXstdItem 2 9 8 4" xfId="36004" xr:uid="{00000000-0005-0000-0000-000055860000}"/>
    <cellStyle name="SAPBEXstdItem 2 9 9" xfId="21832" xr:uid="{00000000-0005-0000-0000-000056860000}"/>
    <cellStyle name="SAPBEXstdItem 2 9 9 2" xfId="21833" xr:uid="{00000000-0005-0000-0000-000057860000}"/>
    <cellStyle name="SAPBEXstdItem 2 9 9 3" xfId="36005" xr:uid="{00000000-0005-0000-0000-000058860000}"/>
    <cellStyle name="SAPBEXstdItem 2 9 9 4" xfId="36006" xr:uid="{00000000-0005-0000-0000-000059860000}"/>
    <cellStyle name="SAPBEXstdItem 3" xfId="21834" xr:uid="{00000000-0005-0000-0000-00005A860000}"/>
    <cellStyle name="SAPBEXstdItem 4" xfId="36007" xr:uid="{00000000-0005-0000-0000-00005B860000}"/>
    <cellStyle name="SAPBEXstdItemX" xfId="21835" xr:uid="{00000000-0005-0000-0000-00005C860000}"/>
    <cellStyle name="SAPBEXstdItemX 2" xfId="21836" xr:uid="{00000000-0005-0000-0000-00005D860000}"/>
    <cellStyle name="SAPBEXstdItemX 3" xfId="36008" xr:uid="{00000000-0005-0000-0000-00005E860000}"/>
    <cellStyle name="SAPBEXtitle" xfId="21837" xr:uid="{00000000-0005-0000-0000-00005F860000}"/>
    <cellStyle name="SAPBEXtitle 2" xfId="21838" xr:uid="{00000000-0005-0000-0000-000060860000}"/>
    <cellStyle name="SAPBEXtitle 3" xfId="36009" xr:uid="{00000000-0005-0000-0000-000061860000}"/>
    <cellStyle name="SAPBEXunassignedItem" xfId="21839" xr:uid="{00000000-0005-0000-0000-000062860000}"/>
    <cellStyle name="SAPBEXunassignedItem 2" xfId="21840" xr:uid="{00000000-0005-0000-0000-000063860000}"/>
    <cellStyle name="SAPBEXunassignedItem 3" xfId="36010" xr:uid="{00000000-0005-0000-0000-000064860000}"/>
    <cellStyle name="SAPBEXundefined" xfId="21841" xr:uid="{00000000-0005-0000-0000-000065860000}"/>
    <cellStyle name="SAPBEXundefined 2" xfId="21842" xr:uid="{00000000-0005-0000-0000-000066860000}"/>
    <cellStyle name="SAPBEXundefined 3" xfId="36011" xr:uid="{00000000-0005-0000-0000-000067860000}"/>
    <cellStyle name="Sheet Title" xfId="21843" xr:uid="{00000000-0005-0000-0000-000068860000}"/>
    <cellStyle name="Style 1" xfId="21844" xr:uid="{00000000-0005-0000-0000-000069860000}"/>
    <cellStyle name="Style 1 10" xfId="21845" xr:uid="{00000000-0005-0000-0000-00006A860000}"/>
    <cellStyle name="Style 1 2" xfId="21846" xr:uid="{00000000-0005-0000-0000-00006B860000}"/>
    <cellStyle name="Style 1 2 2" xfId="21847" xr:uid="{00000000-0005-0000-0000-00006C860000}"/>
    <cellStyle name="Style 1 2 2 2" xfId="21848" xr:uid="{00000000-0005-0000-0000-00006D860000}"/>
    <cellStyle name="Style 1 2 2 3" xfId="21849" xr:uid="{00000000-0005-0000-0000-00006E860000}"/>
    <cellStyle name="Style 1 2 2 4" xfId="21850" xr:uid="{00000000-0005-0000-0000-00006F860000}"/>
    <cellStyle name="Style 1 2 2 5" xfId="21851" xr:uid="{00000000-0005-0000-0000-000070860000}"/>
    <cellStyle name="Style 1 2 3" xfId="21852" xr:uid="{00000000-0005-0000-0000-000071860000}"/>
    <cellStyle name="Style 1 2 4" xfId="21853" xr:uid="{00000000-0005-0000-0000-000072860000}"/>
    <cellStyle name="Style 1 2 5" xfId="21854" xr:uid="{00000000-0005-0000-0000-000073860000}"/>
    <cellStyle name="Style 1 3" xfId="21855" xr:uid="{00000000-0005-0000-0000-000074860000}"/>
    <cellStyle name="Style 1 4" xfId="21856" xr:uid="{00000000-0005-0000-0000-000075860000}"/>
    <cellStyle name="Style 1 5" xfId="21857" xr:uid="{00000000-0005-0000-0000-000076860000}"/>
    <cellStyle name="Style 1 6" xfId="21858" xr:uid="{00000000-0005-0000-0000-000077860000}"/>
    <cellStyle name="Style 1 7" xfId="21859" xr:uid="{00000000-0005-0000-0000-000078860000}"/>
    <cellStyle name="Style 1 8" xfId="21860" xr:uid="{00000000-0005-0000-0000-000079860000}"/>
    <cellStyle name="Style 1 9" xfId="21861" xr:uid="{00000000-0005-0000-0000-00007A860000}"/>
    <cellStyle name="Title 10" xfId="21862" xr:uid="{00000000-0005-0000-0000-00007B860000}"/>
    <cellStyle name="Title 11" xfId="21863" xr:uid="{00000000-0005-0000-0000-00007C860000}"/>
    <cellStyle name="Title 12" xfId="21864" xr:uid="{00000000-0005-0000-0000-00007D860000}"/>
    <cellStyle name="Title 13" xfId="21865" xr:uid="{00000000-0005-0000-0000-00007E860000}"/>
    <cellStyle name="Title 14" xfId="21866" xr:uid="{00000000-0005-0000-0000-00007F860000}"/>
    <cellStyle name="Title 15" xfId="21867" xr:uid="{00000000-0005-0000-0000-000080860000}"/>
    <cellStyle name="Title 16" xfId="21868" xr:uid="{00000000-0005-0000-0000-000081860000}"/>
    <cellStyle name="Title 17" xfId="21869" xr:uid="{00000000-0005-0000-0000-000082860000}"/>
    <cellStyle name="Title 17 2" xfId="21870" xr:uid="{00000000-0005-0000-0000-000083860000}"/>
    <cellStyle name="Title 17 3" xfId="21871" xr:uid="{00000000-0005-0000-0000-000084860000}"/>
    <cellStyle name="Title 17 4" xfId="21872" xr:uid="{00000000-0005-0000-0000-000085860000}"/>
    <cellStyle name="Title 17 5" xfId="21873" xr:uid="{00000000-0005-0000-0000-000086860000}"/>
    <cellStyle name="Title 18" xfId="21874" xr:uid="{00000000-0005-0000-0000-000087860000}"/>
    <cellStyle name="Title 18 2" xfId="21875" xr:uid="{00000000-0005-0000-0000-000088860000}"/>
    <cellStyle name="Title 18 3" xfId="21876" xr:uid="{00000000-0005-0000-0000-000089860000}"/>
    <cellStyle name="Title 18 4" xfId="21877" xr:uid="{00000000-0005-0000-0000-00008A860000}"/>
    <cellStyle name="Title 18 5" xfId="21878" xr:uid="{00000000-0005-0000-0000-00008B860000}"/>
    <cellStyle name="Title 19" xfId="21879" xr:uid="{00000000-0005-0000-0000-00008C860000}"/>
    <cellStyle name="Title 19 2" xfId="21880" xr:uid="{00000000-0005-0000-0000-00008D860000}"/>
    <cellStyle name="Title 19 3" xfId="21881" xr:uid="{00000000-0005-0000-0000-00008E860000}"/>
    <cellStyle name="Title 19 4" xfId="21882" xr:uid="{00000000-0005-0000-0000-00008F860000}"/>
    <cellStyle name="Title 19 5" xfId="21883" xr:uid="{00000000-0005-0000-0000-000090860000}"/>
    <cellStyle name="Title 2" xfId="21884" xr:uid="{00000000-0005-0000-0000-000091860000}"/>
    <cellStyle name="Title 2 2" xfId="36012" xr:uid="{00000000-0005-0000-0000-000092860000}"/>
    <cellStyle name="Title 20" xfId="21885" xr:uid="{00000000-0005-0000-0000-000093860000}"/>
    <cellStyle name="Title 20 2" xfId="21886" xr:uid="{00000000-0005-0000-0000-000094860000}"/>
    <cellStyle name="Title 20 3" xfId="21887" xr:uid="{00000000-0005-0000-0000-000095860000}"/>
    <cellStyle name="Title 20 4" xfId="21888" xr:uid="{00000000-0005-0000-0000-000096860000}"/>
    <cellStyle name="Title 20 5" xfId="21889" xr:uid="{00000000-0005-0000-0000-000097860000}"/>
    <cellStyle name="Title 21" xfId="21890" xr:uid="{00000000-0005-0000-0000-000098860000}"/>
    <cellStyle name="Title 21 2" xfId="21891" xr:uid="{00000000-0005-0000-0000-000099860000}"/>
    <cellStyle name="Title 21 3" xfId="21892" xr:uid="{00000000-0005-0000-0000-00009A860000}"/>
    <cellStyle name="Title 21 4" xfId="21893" xr:uid="{00000000-0005-0000-0000-00009B860000}"/>
    <cellStyle name="Title 21 5" xfId="21894" xr:uid="{00000000-0005-0000-0000-00009C860000}"/>
    <cellStyle name="Title 22" xfId="21895" xr:uid="{00000000-0005-0000-0000-00009D860000}"/>
    <cellStyle name="Title 22 2" xfId="21896" xr:uid="{00000000-0005-0000-0000-00009E860000}"/>
    <cellStyle name="Title 22 3" xfId="21897" xr:uid="{00000000-0005-0000-0000-00009F860000}"/>
    <cellStyle name="Title 22 4" xfId="21898" xr:uid="{00000000-0005-0000-0000-0000A0860000}"/>
    <cellStyle name="Title 22 5" xfId="21899" xr:uid="{00000000-0005-0000-0000-0000A1860000}"/>
    <cellStyle name="Title 23" xfId="21900" xr:uid="{00000000-0005-0000-0000-0000A2860000}"/>
    <cellStyle name="Title 24" xfId="21901" xr:uid="{00000000-0005-0000-0000-0000A3860000}"/>
    <cellStyle name="Title 25" xfId="21902" xr:uid="{00000000-0005-0000-0000-0000A4860000}"/>
    <cellStyle name="Title 26" xfId="21903" xr:uid="{00000000-0005-0000-0000-0000A5860000}"/>
    <cellStyle name="Title 3" xfId="21904" xr:uid="{00000000-0005-0000-0000-0000A6860000}"/>
    <cellStyle name="Title 4" xfId="21905" xr:uid="{00000000-0005-0000-0000-0000A7860000}"/>
    <cellStyle name="Title 5" xfId="21906" xr:uid="{00000000-0005-0000-0000-0000A8860000}"/>
    <cellStyle name="Title 6" xfId="21907" xr:uid="{00000000-0005-0000-0000-0000A9860000}"/>
    <cellStyle name="Title 7" xfId="21908" xr:uid="{00000000-0005-0000-0000-0000AA860000}"/>
    <cellStyle name="Title 8" xfId="21909" xr:uid="{00000000-0005-0000-0000-0000AB860000}"/>
    <cellStyle name="Title 9" xfId="21910" xr:uid="{00000000-0005-0000-0000-0000AC860000}"/>
    <cellStyle name="Total 10" xfId="21911" xr:uid="{00000000-0005-0000-0000-0000AD860000}"/>
    <cellStyle name="Total 10 10" xfId="21912" xr:uid="{00000000-0005-0000-0000-0000AE860000}"/>
    <cellStyle name="Total 10 10 2" xfId="21913" xr:uid="{00000000-0005-0000-0000-0000AF860000}"/>
    <cellStyle name="Total 10 10 3" xfId="36013" xr:uid="{00000000-0005-0000-0000-0000B0860000}"/>
    <cellStyle name="Total 10 10 4" xfId="36014" xr:uid="{00000000-0005-0000-0000-0000B1860000}"/>
    <cellStyle name="Total 10 11" xfId="21914" xr:uid="{00000000-0005-0000-0000-0000B2860000}"/>
    <cellStyle name="Total 10 11 2" xfId="21915" xr:uid="{00000000-0005-0000-0000-0000B3860000}"/>
    <cellStyle name="Total 10 11 3" xfId="36015" xr:uid="{00000000-0005-0000-0000-0000B4860000}"/>
    <cellStyle name="Total 10 11 4" xfId="36016" xr:uid="{00000000-0005-0000-0000-0000B5860000}"/>
    <cellStyle name="Total 10 12" xfId="21916" xr:uid="{00000000-0005-0000-0000-0000B6860000}"/>
    <cellStyle name="Total 10 13" xfId="36017" xr:uid="{00000000-0005-0000-0000-0000B7860000}"/>
    <cellStyle name="Total 10 14" xfId="36018" xr:uid="{00000000-0005-0000-0000-0000B8860000}"/>
    <cellStyle name="Total 10 2" xfId="21917" xr:uid="{00000000-0005-0000-0000-0000B9860000}"/>
    <cellStyle name="Total 10 2 10" xfId="36019" xr:uid="{00000000-0005-0000-0000-0000BA860000}"/>
    <cellStyle name="Total 10 2 2" xfId="21918" xr:uid="{00000000-0005-0000-0000-0000BB860000}"/>
    <cellStyle name="Total 10 2 2 2" xfId="21919" xr:uid="{00000000-0005-0000-0000-0000BC860000}"/>
    <cellStyle name="Total 10 2 2 3" xfId="36020" xr:uid="{00000000-0005-0000-0000-0000BD860000}"/>
    <cellStyle name="Total 10 2 2 4" xfId="36021" xr:uid="{00000000-0005-0000-0000-0000BE860000}"/>
    <cellStyle name="Total 10 2 3" xfId="21920" xr:uid="{00000000-0005-0000-0000-0000BF860000}"/>
    <cellStyle name="Total 10 2 3 2" xfId="21921" xr:uid="{00000000-0005-0000-0000-0000C0860000}"/>
    <cellStyle name="Total 10 2 3 3" xfId="36022" xr:uid="{00000000-0005-0000-0000-0000C1860000}"/>
    <cellStyle name="Total 10 2 3 4" xfId="36023" xr:uid="{00000000-0005-0000-0000-0000C2860000}"/>
    <cellStyle name="Total 10 2 4" xfId="21922" xr:uid="{00000000-0005-0000-0000-0000C3860000}"/>
    <cellStyle name="Total 10 2 4 2" xfId="21923" xr:uid="{00000000-0005-0000-0000-0000C4860000}"/>
    <cellStyle name="Total 10 2 4 3" xfId="36024" xr:uid="{00000000-0005-0000-0000-0000C5860000}"/>
    <cellStyle name="Total 10 2 4 4" xfId="36025" xr:uid="{00000000-0005-0000-0000-0000C6860000}"/>
    <cellStyle name="Total 10 2 5" xfId="21924" xr:uid="{00000000-0005-0000-0000-0000C7860000}"/>
    <cellStyle name="Total 10 2 5 2" xfId="21925" xr:uid="{00000000-0005-0000-0000-0000C8860000}"/>
    <cellStyle name="Total 10 2 5 3" xfId="36026" xr:uid="{00000000-0005-0000-0000-0000C9860000}"/>
    <cellStyle name="Total 10 2 5 4" xfId="36027" xr:uid="{00000000-0005-0000-0000-0000CA860000}"/>
    <cellStyle name="Total 10 2 6" xfId="21926" xr:uid="{00000000-0005-0000-0000-0000CB860000}"/>
    <cellStyle name="Total 10 2 6 2" xfId="21927" xr:uid="{00000000-0005-0000-0000-0000CC860000}"/>
    <cellStyle name="Total 10 2 6 3" xfId="36028" xr:uid="{00000000-0005-0000-0000-0000CD860000}"/>
    <cellStyle name="Total 10 2 6 4" xfId="36029" xr:uid="{00000000-0005-0000-0000-0000CE860000}"/>
    <cellStyle name="Total 10 2 7" xfId="21928" xr:uid="{00000000-0005-0000-0000-0000CF860000}"/>
    <cellStyle name="Total 10 2 7 2" xfId="21929" xr:uid="{00000000-0005-0000-0000-0000D0860000}"/>
    <cellStyle name="Total 10 2 7 3" xfId="36030" xr:uid="{00000000-0005-0000-0000-0000D1860000}"/>
    <cellStyle name="Total 10 2 7 4" xfId="36031" xr:uid="{00000000-0005-0000-0000-0000D2860000}"/>
    <cellStyle name="Total 10 2 8" xfId="21930" xr:uid="{00000000-0005-0000-0000-0000D3860000}"/>
    <cellStyle name="Total 10 2 9" xfId="36032" xr:uid="{00000000-0005-0000-0000-0000D4860000}"/>
    <cellStyle name="Total 10 3" xfId="21931" xr:uid="{00000000-0005-0000-0000-0000D5860000}"/>
    <cellStyle name="Total 10 3 10" xfId="36033" xr:uid="{00000000-0005-0000-0000-0000D6860000}"/>
    <cellStyle name="Total 10 3 2" xfId="21932" xr:uid="{00000000-0005-0000-0000-0000D7860000}"/>
    <cellStyle name="Total 10 3 2 2" xfId="21933" xr:uid="{00000000-0005-0000-0000-0000D8860000}"/>
    <cellStyle name="Total 10 3 2 3" xfId="36034" xr:uid="{00000000-0005-0000-0000-0000D9860000}"/>
    <cellStyle name="Total 10 3 2 4" xfId="36035" xr:uid="{00000000-0005-0000-0000-0000DA860000}"/>
    <cellStyle name="Total 10 3 3" xfId="21934" xr:uid="{00000000-0005-0000-0000-0000DB860000}"/>
    <cellStyle name="Total 10 3 3 2" xfId="21935" xr:uid="{00000000-0005-0000-0000-0000DC860000}"/>
    <cellStyle name="Total 10 3 3 3" xfId="36036" xr:uid="{00000000-0005-0000-0000-0000DD860000}"/>
    <cellStyle name="Total 10 3 3 4" xfId="36037" xr:uid="{00000000-0005-0000-0000-0000DE860000}"/>
    <cellStyle name="Total 10 3 4" xfId="21936" xr:uid="{00000000-0005-0000-0000-0000DF860000}"/>
    <cellStyle name="Total 10 3 4 2" xfId="21937" xr:uid="{00000000-0005-0000-0000-0000E0860000}"/>
    <cellStyle name="Total 10 3 4 3" xfId="36038" xr:uid="{00000000-0005-0000-0000-0000E1860000}"/>
    <cellStyle name="Total 10 3 4 4" xfId="36039" xr:uid="{00000000-0005-0000-0000-0000E2860000}"/>
    <cellStyle name="Total 10 3 5" xfId="21938" xr:uid="{00000000-0005-0000-0000-0000E3860000}"/>
    <cellStyle name="Total 10 3 5 2" xfId="21939" xr:uid="{00000000-0005-0000-0000-0000E4860000}"/>
    <cellStyle name="Total 10 3 5 3" xfId="36040" xr:uid="{00000000-0005-0000-0000-0000E5860000}"/>
    <cellStyle name="Total 10 3 5 4" xfId="36041" xr:uid="{00000000-0005-0000-0000-0000E6860000}"/>
    <cellStyle name="Total 10 3 6" xfId="21940" xr:uid="{00000000-0005-0000-0000-0000E7860000}"/>
    <cellStyle name="Total 10 3 6 2" xfId="21941" xr:uid="{00000000-0005-0000-0000-0000E8860000}"/>
    <cellStyle name="Total 10 3 6 3" xfId="36042" xr:uid="{00000000-0005-0000-0000-0000E9860000}"/>
    <cellStyle name="Total 10 3 6 4" xfId="36043" xr:uid="{00000000-0005-0000-0000-0000EA860000}"/>
    <cellStyle name="Total 10 3 7" xfId="21942" xr:uid="{00000000-0005-0000-0000-0000EB860000}"/>
    <cellStyle name="Total 10 3 7 2" xfId="21943" xr:uid="{00000000-0005-0000-0000-0000EC860000}"/>
    <cellStyle name="Total 10 3 7 3" xfId="36044" xr:uid="{00000000-0005-0000-0000-0000ED860000}"/>
    <cellStyle name="Total 10 3 7 4" xfId="36045" xr:uid="{00000000-0005-0000-0000-0000EE860000}"/>
    <cellStyle name="Total 10 3 8" xfId="21944" xr:uid="{00000000-0005-0000-0000-0000EF860000}"/>
    <cellStyle name="Total 10 3 9" xfId="36046" xr:uid="{00000000-0005-0000-0000-0000F0860000}"/>
    <cellStyle name="Total 10 4" xfId="21945" xr:uid="{00000000-0005-0000-0000-0000F1860000}"/>
    <cellStyle name="Total 10 4 10" xfId="36047" xr:uid="{00000000-0005-0000-0000-0000F2860000}"/>
    <cellStyle name="Total 10 4 2" xfId="21946" xr:uid="{00000000-0005-0000-0000-0000F3860000}"/>
    <cellStyle name="Total 10 4 2 2" xfId="21947" xr:uid="{00000000-0005-0000-0000-0000F4860000}"/>
    <cellStyle name="Total 10 4 2 3" xfId="36048" xr:uid="{00000000-0005-0000-0000-0000F5860000}"/>
    <cellStyle name="Total 10 4 2 4" xfId="36049" xr:uid="{00000000-0005-0000-0000-0000F6860000}"/>
    <cellStyle name="Total 10 4 3" xfId="21948" xr:uid="{00000000-0005-0000-0000-0000F7860000}"/>
    <cellStyle name="Total 10 4 3 2" xfId="21949" xr:uid="{00000000-0005-0000-0000-0000F8860000}"/>
    <cellStyle name="Total 10 4 3 3" xfId="36050" xr:uid="{00000000-0005-0000-0000-0000F9860000}"/>
    <cellStyle name="Total 10 4 3 4" xfId="36051" xr:uid="{00000000-0005-0000-0000-0000FA860000}"/>
    <cellStyle name="Total 10 4 4" xfId="21950" xr:uid="{00000000-0005-0000-0000-0000FB860000}"/>
    <cellStyle name="Total 10 4 4 2" xfId="21951" xr:uid="{00000000-0005-0000-0000-0000FC860000}"/>
    <cellStyle name="Total 10 4 4 3" xfId="36052" xr:uid="{00000000-0005-0000-0000-0000FD860000}"/>
    <cellStyle name="Total 10 4 4 4" xfId="36053" xr:uid="{00000000-0005-0000-0000-0000FE860000}"/>
    <cellStyle name="Total 10 4 5" xfId="21952" xr:uid="{00000000-0005-0000-0000-0000FF860000}"/>
    <cellStyle name="Total 10 4 5 2" xfId="21953" xr:uid="{00000000-0005-0000-0000-000000870000}"/>
    <cellStyle name="Total 10 4 5 3" xfId="36054" xr:uid="{00000000-0005-0000-0000-000001870000}"/>
    <cellStyle name="Total 10 4 5 4" xfId="36055" xr:uid="{00000000-0005-0000-0000-000002870000}"/>
    <cellStyle name="Total 10 4 6" xfId="21954" xr:uid="{00000000-0005-0000-0000-000003870000}"/>
    <cellStyle name="Total 10 4 6 2" xfId="21955" xr:uid="{00000000-0005-0000-0000-000004870000}"/>
    <cellStyle name="Total 10 4 6 3" xfId="36056" xr:uid="{00000000-0005-0000-0000-000005870000}"/>
    <cellStyle name="Total 10 4 6 4" xfId="36057" xr:uid="{00000000-0005-0000-0000-000006870000}"/>
    <cellStyle name="Total 10 4 7" xfId="21956" xr:uid="{00000000-0005-0000-0000-000007870000}"/>
    <cellStyle name="Total 10 4 7 2" xfId="21957" xr:uid="{00000000-0005-0000-0000-000008870000}"/>
    <cellStyle name="Total 10 4 7 3" xfId="36058" xr:uid="{00000000-0005-0000-0000-000009870000}"/>
    <cellStyle name="Total 10 4 7 4" xfId="36059" xr:uid="{00000000-0005-0000-0000-00000A870000}"/>
    <cellStyle name="Total 10 4 8" xfId="21958" xr:uid="{00000000-0005-0000-0000-00000B870000}"/>
    <cellStyle name="Total 10 4 9" xfId="36060" xr:uid="{00000000-0005-0000-0000-00000C870000}"/>
    <cellStyle name="Total 10 5" xfId="21959" xr:uid="{00000000-0005-0000-0000-00000D870000}"/>
    <cellStyle name="Total 10 5 10" xfId="36061" xr:uid="{00000000-0005-0000-0000-00000E870000}"/>
    <cellStyle name="Total 10 5 2" xfId="21960" xr:uid="{00000000-0005-0000-0000-00000F870000}"/>
    <cellStyle name="Total 10 5 2 2" xfId="21961" xr:uid="{00000000-0005-0000-0000-000010870000}"/>
    <cellStyle name="Total 10 5 2 3" xfId="36062" xr:uid="{00000000-0005-0000-0000-000011870000}"/>
    <cellStyle name="Total 10 5 2 4" xfId="36063" xr:uid="{00000000-0005-0000-0000-000012870000}"/>
    <cellStyle name="Total 10 5 3" xfId="21962" xr:uid="{00000000-0005-0000-0000-000013870000}"/>
    <cellStyle name="Total 10 5 3 2" xfId="21963" xr:uid="{00000000-0005-0000-0000-000014870000}"/>
    <cellStyle name="Total 10 5 3 3" xfId="36064" xr:uid="{00000000-0005-0000-0000-000015870000}"/>
    <cellStyle name="Total 10 5 3 4" xfId="36065" xr:uid="{00000000-0005-0000-0000-000016870000}"/>
    <cellStyle name="Total 10 5 4" xfId="21964" xr:uid="{00000000-0005-0000-0000-000017870000}"/>
    <cellStyle name="Total 10 5 4 2" xfId="21965" xr:uid="{00000000-0005-0000-0000-000018870000}"/>
    <cellStyle name="Total 10 5 4 3" xfId="36066" xr:uid="{00000000-0005-0000-0000-000019870000}"/>
    <cellStyle name="Total 10 5 4 4" xfId="36067" xr:uid="{00000000-0005-0000-0000-00001A870000}"/>
    <cellStyle name="Total 10 5 5" xfId="21966" xr:uid="{00000000-0005-0000-0000-00001B870000}"/>
    <cellStyle name="Total 10 5 5 2" xfId="21967" xr:uid="{00000000-0005-0000-0000-00001C870000}"/>
    <cellStyle name="Total 10 5 5 3" xfId="36068" xr:uid="{00000000-0005-0000-0000-00001D870000}"/>
    <cellStyle name="Total 10 5 5 4" xfId="36069" xr:uid="{00000000-0005-0000-0000-00001E870000}"/>
    <cellStyle name="Total 10 5 6" xfId="21968" xr:uid="{00000000-0005-0000-0000-00001F870000}"/>
    <cellStyle name="Total 10 5 6 2" xfId="21969" xr:uid="{00000000-0005-0000-0000-000020870000}"/>
    <cellStyle name="Total 10 5 6 3" xfId="36070" xr:uid="{00000000-0005-0000-0000-000021870000}"/>
    <cellStyle name="Total 10 5 6 4" xfId="36071" xr:uid="{00000000-0005-0000-0000-000022870000}"/>
    <cellStyle name="Total 10 5 7" xfId="21970" xr:uid="{00000000-0005-0000-0000-000023870000}"/>
    <cellStyle name="Total 10 5 7 2" xfId="21971" xr:uid="{00000000-0005-0000-0000-000024870000}"/>
    <cellStyle name="Total 10 5 7 3" xfId="36072" xr:uid="{00000000-0005-0000-0000-000025870000}"/>
    <cellStyle name="Total 10 5 7 4" xfId="36073" xr:uid="{00000000-0005-0000-0000-000026870000}"/>
    <cellStyle name="Total 10 5 8" xfId="21972" xr:uid="{00000000-0005-0000-0000-000027870000}"/>
    <cellStyle name="Total 10 5 9" xfId="36074" xr:uid="{00000000-0005-0000-0000-000028870000}"/>
    <cellStyle name="Total 10 6" xfId="21973" xr:uid="{00000000-0005-0000-0000-000029870000}"/>
    <cellStyle name="Total 10 6 2" xfId="21974" xr:uid="{00000000-0005-0000-0000-00002A870000}"/>
    <cellStyle name="Total 10 6 3" xfId="36075" xr:uid="{00000000-0005-0000-0000-00002B870000}"/>
    <cellStyle name="Total 10 6 4" xfId="36076" xr:uid="{00000000-0005-0000-0000-00002C870000}"/>
    <cellStyle name="Total 10 7" xfId="21975" xr:uid="{00000000-0005-0000-0000-00002D870000}"/>
    <cellStyle name="Total 10 7 2" xfId="21976" xr:uid="{00000000-0005-0000-0000-00002E870000}"/>
    <cellStyle name="Total 10 7 3" xfId="36077" xr:uid="{00000000-0005-0000-0000-00002F870000}"/>
    <cellStyle name="Total 10 7 4" xfId="36078" xr:uid="{00000000-0005-0000-0000-000030870000}"/>
    <cellStyle name="Total 10 8" xfId="21977" xr:uid="{00000000-0005-0000-0000-000031870000}"/>
    <cellStyle name="Total 10 8 2" xfId="21978" xr:uid="{00000000-0005-0000-0000-000032870000}"/>
    <cellStyle name="Total 10 8 3" xfId="36079" xr:uid="{00000000-0005-0000-0000-000033870000}"/>
    <cellStyle name="Total 10 8 4" xfId="36080" xr:uid="{00000000-0005-0000-0000-000034870000}"/>
    <cellStyle name="Total 10 9" xfId="21979" xr:uid="{00000000-0005-0000-0000-000035870000}"/>
    <cellStyle name="Total 10 9 2" xfId="21980" xr:uid="{00000000-0005-0000-0000-000036870000}"/>
    <cellStyle name="Total 10 9 3" xfId="36081" xr:uid="{00000000-0005-0000-0000-000037870000}"/>
    <cellStyle name="Total 10 9 4" xfId="36082" xr:uid="{00000000-0005-0000-0000-000038870000}"/>
    <cellStyle name="Total 11" xfId="21981" xr:uid="{00000000-0005-0000-0000-000039870000}"/>
    <cellStyle name="Total 11 10" xfId="21982" xr:uid="{00000000-0005-0000-0000-00003A870000}"/>
    <cellStyle name="Total 11 10 2" xfId="21983" xr:uid="{00000000-0005-0000-0000-00003B870000}"/>
    <cellStyle name="Total 11 10 3" xfId="36083" xr:uid="{00000000-0005-0000-0000-00003C870000}"/>
    <cellStyle name="Total 11 10 4" xfId="36084" xr:uid="{00000000-0005-0000-0000-00003D870000}"/>
    <cellStyle name="Total 11 11" xfId="21984" xr:uid="{00000000-0005-0000-0000-00003E870000}"/>
    <cellStyle name="Total 11 11 2" xfId="21985" xr:uid="{00000000-0005-0000-0000-00003F870000}"/>
    <cellStyle name="Total 11 11 3" xfId="36085" xr:uid="{00000000-0005-0000-0000-000040870000}"/>
    <cellStyle name="Total 11 11 4" xfId="36086" xr:uid="{00000000-0005-0000-0000-000041870000}"/>
    <cellStyle name="Total 11 12" xfId="21986" xr:uid="{00000000-0005-0000-0000-000042870000}"/>
    <cellStyle name="Total 11 13" xfId="36087" xr:uid="{00000000-0005-0000-0000-000043870000}"/>
    <cellStyle name="Total 11 14" xfId="36088" xr:uid="{00000000-0005-0000-0000-000044870000}"/>
    <cellStyle name="Total 11 2" xfId="21987" xr:uid="{00000000-0005-0000-0000-000045870000}"/>
    <cellStyle name="Total 11 2 10" xfId="36089" xr:uid="{00000000-0005-0000-0000-000046870000}"/>
    <cellStyle name="Total 11 2 2" xfId="21988" xr:uid="{00000000-0005-0000-0000-000047870000}"/>
    <cellStyle name="Total 11 2 2 2" xfId="21989" xr:uid="{00000000-0005-0000-0000-000048870000}"/>
    <cellStyle name="Total 11 2 2 3" xfId="36090" xr:uid="{00000000-0005-0000-0000-000049870000}"/>
    <cellStyle name="Total 11 2 2 4" xfId="36091" xr:uid="{00000000-0005-0000-0000-00004A870000}"/>
    <cellStyle name="Total 11 2 3" xfId="21990" xr:uid="{00000000-0005-0000-0000-00004B870000}"/>
    <cellStyle name="Total 11 2 3 2" xfId="21991" xr:uid="{00000000-0005-0000-0000-00004C870000}"/>
    <cellStyle name="Total 11 2 3 3" xfId="36092" xr:uid="{00000000-0005-0000-0000-00004D870000}"/>
    <cellStyle name="Total 11 2 3 4" xfId="36093" xr:uid="{00000000-0005-0000-0000-00004E870000}"/>
    <cellStyle name="Total 11 2 4" xfId="21992" xr:uid="{00000000-0005-0000-0000-00004F870000}"/>
    <cellStyle name="Total 11 2 4 2" xfId="21993" xr:uid="{00000000-0005-0000-0000-000050870000}"/>
    <cellStyle name="Total 11 2 4 3" xfId="36094" xr:uid="{00000000-0005-0000-0000-000051870000}"/>
    <cellStyle name="Total 11 2 4 4" xfId="36095" xr:uid="{00000000-0005-0000-0000-000052870000}"/>
    <cellStyle name="Total 11 2 5" xfId="21994" xr:uid="{00000000-0005-0000-0000-000053870000}"/>
    <cellStyle name="Total 11 2 5 2" xfId="21995" xr:uid="{00000000-0005-0000-0000-000054870000}"/>
    <cellStyle name="Total 11 2 5 3" xfId="36096" xr:uid="{00000000-0005-0000-0000-000055870000}"/>
    <cellStyle name="Total 11 2 5 4" xfId="36097" xr:uid="{00000000-0005-0000-0000-000056870000}"/>
    <cellStyle name="Total 11 2 6" xfId="21996" xr:uid="{00000000-0005-0000-0000-000057870000}"/>
    <cellStyle name="Total 11 2 6 2" xfId="21997" xr:uid="{00000000-0005-0000-0000-000058870000}"/>
    <cellStyle name="Total 11 2 6 3" xfId="36098" xr:uid="{00000000-0005-0000-0000-000059870000}"/>
    <cellStyle name="Total 11 2 6 4" xfId="36099" xr:uid="{00000000-0005-0000-0000-00005A870000}"/>
    <cellStyle name="Total 11 2 7" xfId="21998" xr:uid="{00000000-0005-0000-0000-00005B870000}"/>
    <cellStyle name="Total 11 2 7 2" xfId="21999" xr:uid="{00000000-0005-0000-0000-00005C870000}"/>
    <cellStyle name="Total 11 2 7 3" xfId="36100" xr:uid="{00000000-0005-0000-0000-00005D870000}"/>
    <cellStyle name="Total 11 2 7 4" xfId="36101" xr:uid="{00000000-0005-0000-0000-00005E870000}"/>
    <cellStyle name="Total 11 2 8" xfId="22000" xr:uid="{00000000-0005-0000-0000-00005F870000}"/>
    <cellStyle name="Total 11 2 9" xfId="36102" xr:uid="{00000000-0005-0000-0000-000060870000}"/>
    <cellStyle name="Total 11 3" xfId="22001" xr:uid="{00000000-0005-0000-0000-000061870000}"/>
    <cellStyle name="Total 11 3 10" xfId="36103" xr:uid="{00000000-0005-0000-0000-000062870000}"/>
    <cellStyle name="Total 11 3 2" xfId="22002" xr:uid="{00000000-0005-0000-0000-000063870000}"/>
    <cellStyle name="Total 11 3 2 2" xfId="22003" xr:uid="{00000000-0005-0000-0000-000064870000}"/>
    <cellStyle name="Total 11 3 2 3" xfId="36104" xr:uid="{00000000-0005-0000-0000-000065870000}"/>
    <cellStyle name="Total 11 3 2 4" xfId="36105" xr:uid="{00000000-0005-0000-0000-000066870000}"/>
    <cellStyle name="Total 11 3 3" xfId="22004" xr:uid="{00000000-0005-0000-0000-000067870000}"/>
    <cellStyle name="Total 11 3 3 2" xfId="22005" xr:uid="{00000000-0005-0000-0000-000068870000}"/>
    <cellStyle name="Total 11 3 3 3" xfId="36106" xr:uid="{00000000-0005-0000-0000-000069870000}"/>
    <cellStyle name="Total 11 3 3 4" xfId="36107" xr:uid="{00000000-0005-0000-0000-00006A870000}"/>
    <cellStyle name="Total 11 3 4" xfId="22006" xr:uid="{00000000-0005-0000-0000-00006B870000}"/>
    <cellStyle name="Total 11 3 4 2" xfId="22007" xr:uid="{00000000-0005-0000-0000-00006C870000}"/>
    <cellStyle name="Total 11 3 4 3" xfId="36108" xr:uid="{00000000-0005-0000-0000-00006D870000}"/>
    <cellStyle name="Total 11 3 4 4" xfId="36109" xr:uid="{00000000-0005-0000-0000-00006E870000}"/>
    <cellStyle name="Total 11 3 5" xfId="22008" xr:uid="{00000000-0005-0000-0000-00006F870000}"/>
    <cellStyle name="Total 11 3 5 2" xfId="22009" xr:uid="{00000000-0005-0000-0000-000070870000}"/>
    <cellStyle name="Total 11 3 5 3" xfId="36110" xr:uid="{00000000-0005-0000-0000-000071870000}"/>
    <cellStyle name="Total 11 3 5 4" xfId="36111" xr:uid="{00000000-0005-0000-0000-000072870000}"/>
    <cellStyle name="Total 11 3 6" xfId="22010" xr:uid="{00000000-0005-0000-0000-000073870000}"/>
    <cellStyle name="Total 11 3 6 2" xfId="22011" xr:uid="{00000000-0005-0000-0000-000074870000}"/>
    <cellStyle name="Total 11 3 6 3" xfId="36112" xr:uid="{00000000-0005-0000-0000-000075870000}"/>
    <cellStyle name="Total 11 3 6 4" xfId="36113" xr:uid="{00000000-0005-0000-0000-000076870000}"/>
    <cellStyle name="Total 11 3 7" xfId="22012" xr:uid="{00000000-0005-0000-0000-000077870000}"/>
    <cellStyle name="Total 11 3 7 2" xfId="22013" xr:uid="{00000000-0005-0000-0000-000078870000}"/>
    <cellStyle name="Total 11 3 7 3" xfId="36114" xr:uid="{00000000-0005-0000-0000-000079870000}"/>
    <cellStyle name="Total 11 3 7 4" xfId="36115" xr:uid="{00000000-0005-0000-0000-00007A870000}"/>
    <cellStyle name="Total 11 3 8" xfId="22014" xr:uid="{00000000-0005-0000-0000-00007B870000}"/>
    <cellStyle name="Total 11 3 9" xfId="36116" xr:uid="{00000000-0005-0000-0000-00007C870000}"/>
    <cellStyle name="Total 11 4" xfId="22015" xr:uid="{00000000-0005-0000-0000-00007D870000}"/>
    <cellStyle name="Total 11 4 10" xfId="36117" xr:uid="{00000000-0005-0000-0000-00007E870000}"/>
    <cellStyle name="Total 11 4 2" xfId="22016" xr:uid="{00000000-0005-0000-0000-00007F870000}"/>
    <cellStyle name="Total 11 4 2 2" xfId="22017" xr:uid="{00000000-0005-0000-0000-000080870000}"/>
    <cellStyle name="Total 11 4 2 3" xfId="36118" xr:uid="{00000000-0005-0000-0000-000081870000}"/>
    <cellStyle name="Total 11 4 2 4" xfId="36119" xr:uid="{00000000-0005-0000-0000-000082870000}"/>
    <cellStyle name="Total 11 4 3" xfId="22018" xr:uid="{00000000-0005-0000-0000-000083870000}"/>
    <cellStyle name="Total 11 4 3 2" xfId="22019" xr:uid="{00000000-0005-0000-0000-000084870000}"/>
    <cellStyle name="Total 11 4 3 3" xfId="36120" xr:uid="{00000000-0005-0000-0000-000085870000}"/>
    <cellStyle name="Total 11 4 3 4" xfId="36121" xr:uid="{00000000-0005-0000-0000-000086870000}"/>
    <cellStyle name="Total 11 4 4" xfId="22020" xr:uid="{00000000-0005-0000-0000-000087870000}"/>
    <cellStyle name="Total 11 4 4 2" xfId="22021" xr:uid="{00000000-0005-0000-0000-000088870000}"/>
    <cellStyle name="Total 11 4 4 3" xfId="36122" xr:uid="{00000000-0005-0000-0000-000089870000}"/>
    <cellStyle name="Total 11 4 4 4" xfId="36123" xr:uid="{00000000-0005-0000-0000-00008A870000}"/>
    <cellStyle name="Total 11 4 5" xfId="22022" xr:uid="{00000000-0005-0000-0000-00008B870000}"/>
    <cellStyle name="Total 11 4 5 2" xfId="22023" xr:uid="{00000000-0005-0000-0000-00008C870000}"/>
    <cellStyle name="Total 11 4 5 3" xfId="36124" xr:uid="{00000000-0005-0000-0000-00008D870000}"/>
    <cellStyle name="Total 11 4 5 4" xfId="36125" xr:uid="{00000000-0005-0000-0000-00008E870000}"/>
    <cellStyle name="Total 11 4 6" xfId="22024" xr:uid="{00000000-0005-0000-0000-00008F870000}"/>
    <cellStyle name="Total 11 4 6 2" xfId="22025" xr:uid="{00000000-0005-0000-0000-000090870000}"/>
    <cellStyle name="Total 11 4 6 3" xfId="36126" xr:uid="{00000000-0005-0000-0000-000091870000}"/>
    <cellStyle name="Total 11 4 6 4" xfId="36127" xr:uid="{00000000-0005-0000-0000-000092870000}"/>
    <cellStyle name="Total 11 4 7" xfId="22026" xr:uid="{00000000-0005-0000-0000-000093870000}"/>
    <cellStyle name="Total 11 4 7 2" xfId="22027" xr:uid="{00000000-0005-0000-0000-000094870000}"/>
    <cellStyle name="Total 11 4 7 3" xfId="36128" xr:uid="{00000000-0005-0000-0000-000095870000}"/>
    <cellStyle name="Total 11 4 7 4" xfId="36129" xr:uid="{00000000-0005-0000-0000-000096870000}"/>
    <cellStyle name="Total 11 4 8" xfId="22028" xr:uid="{00000000-0005-0000-0000-000097870000}"/>
    <cellStyle name="Total 11 4 9" xfId="36130" xr:uid="{00000000-0005-0000-0000-000098870000}"/>
    <cellStyle name="Total 11 5" xfId="22029" xr:uid="{00000000-0005-0000-0000-000099870000}"/>
    <cellStyle name="Total 11 5 10" xfId="36131" xr:uid="{00000000-0005-0000-0000-00009A870000}"/>
    <cellStyle name="Total 11 5 2" xfId="22030" xr:uid="{00000000-0005-0000-0000-00009B870000}"/>
    <cellStyle name="Total 11 5 2 2" xfId="22031" xr:uid="{00000000-0005-0000-0000-00009C870000}"/>
    <cellStyle name="Total 11 5 2 3" xfId="36132" xr:uid="{00000000-0005-0000-0000-00009D870000}"/>
    <cellStyle name="Total 11 5 2 4" xfId="36133" xr:uid="{00000000-0005-0000-0000-00009E870000}"/>
    <cellStyle name="Total 11 5 3" xfId="22032" xr:uid="{00000000-0005-0000-0000-00009F870000}"/>
    <cellStyle name="Total 11 5 3 2" xfId="22033" xr:uid="{00000000-0005-0000-0000-0000A0870000}"/>
    <cellStyle name="Total 11 5 3 3" xfId="36134" xr:uid="{00000000-0005-0000-0000-0000A1870000}"/>
    <cellStyle name="Total 11 5 3 4" xfId="36135" xr:uid="{00000000-0005-0000-0000-0000A2870000}"/>
    <cellStyle name="Total 11 5 4" xfId="22034" xr:uid="{00000000-0005-0000-0000-0000A3870000}"/>
    <cellStyle name="Total 11 5 4 2" xfId="22035" xr:uid="{00000000-0005-0000-0000-0000A4870000}"/>
    <cellStyle name="Total 11 5 4 3" xfId="36136" xr:uid="{00000000-0005-0000-0000-0000A5870000}"/>
    <cellStyle name="Total 11 5 4 4" xfId="36137" xr:uid="{00000000-0005-0000-0000-0000A6870000}"/>
    <cellStyle name="Total 11 5 5" xfId="22036" xr:uid="{00000000-0005-0000-0000-0000A7870000}"/>
    <cellStyle name="Total 11 5 5 2" xfId="22037" xr:uid="{00000000-0005-0000-0000-0000A8870000}"/>
    <cellStyle name="Total 11 5 5 3" xfId="36138" xr:uid="{00000000-0005-0000-0000-0000A9870000}"/>
    <cellStyle name="Total 11 5 5 4" xfId="36139" xr:uid="{00000000-0005-0000-0000-0000AA870000}"/>
    <cellStyle name="Total 11 5 6" xfId="22038" xr:uid="{00000000-0005-0000-0000-0000AB870000}"/>
    <cellStyle name="Total 11 5 6 2" xfId="22039" xr:uid="{00000000-0005-0000-0000-0000AC870000}"/>
    <cellStyle name="Total 11 5 6 3" xfId="36140" xr:uid="{00000000-0005-0000-0000-0000AD870000}"/>
    <cellStyle name="Total 11 5 6 4" xfId="36141" xr:uid="{00000000-0005-0000-0000-0000AE870000}"/>
    <cellStyle name="Total 11 5 7" xfId="22040" xr:uid="{00000000-0005-0000-0000-0000AF870000}"/>
    <cellStyle name="Total 11 5 7 2" xfId="22041" xr:uid="{00000000-0005-0000-0000-0000B0870000}"/>
    <cellStyle name="Total 11 5 7 3" xfId="36142" xr:uid="{00000000-0005-0000-0000-0000B1870000}"/>
    <cellStyle name="Total 11 5 7 4" xfId="36143" xr:uid="{00000000-0005-0000-0000-0000B2870000}"/>
    <cellStyle name="Total 11 5 8" xfId="22042" xr:uid="{00000000-0005-0000-0000-0000B3870000}"/>
    <cellStyle name="Total 11 5 9" xfId="36144" xr:uid="{00000000-0005-0000-0000-0000B4870000}"/>
    <cellStyle name="Total 11 6" xfId="22043" xr:uid="{00000000-0005-0000-0000-0000B5870000}"/>
    <cellStyle name="Total 11 6 2" xfId="22044" xr:uid="{00000000-0005-0000-0000-0000B6870000}"/>
    <cellStyle name="Total 11 6 3" xfId="36145" xr:uid="{00000000-0005-0000-0000-0000B7870000}"/>
    <cellStyle name="Total 11 6 4" xfId="36146" xr:uid="{00000000-0005-0000-0000-0000B8870000}"/>
    <cellStyle name="Total 11 7" xfId="22045" xr:uid="{00000000-0005-0000-0000-0000B9870000}"/>
    <cellStyle name="Total 11 7 2" xfId="22046" xr:uid="{00000000-0005-0000-0000-0000BA870000}"/>
    <cellStyle name="Total 11 7 3" xfId="36147" xr:uid="{00000000-0005-0000-0000-0000BB870000}"/>
    <cellStyle name="Total 11 7 4" xfId="36148" xr:uid="{00000000-0005-0000-0000-0000BC870000}"/>
    <cellStyle name="Total 11 8" xfId="22047" xr:uid="{00000000-0005-0000-0000-0000BD870000}"/>
    <cellStyle name="Total 11 8 2" xfId="22048" xr:uid="{00000000-0005-0000-0000-0000BE870000}"/>
    <cellStyle name="Total 11 8 3" xfId="36149" xr:uid="{00000000-0005-0000-0000-0000BF870000}"/>
    <cellStyle name="Total 11 8 4" xfId="36150" xr:uid="{00000000-0005-0000-0000-0000C0870000}"/>
    <cellStyle name="Total 11 9" xfId="22049" xr:uid="{00000000-0005-0000-0000-0000C1870000}"/>
    <cellStyle name="Total 11 9 2" xfId="22050" xr:uid="{00000000-0005-0000-0000-0000C2870000}"/>
    <cellStyle name="Total 11 9 3" xfId="36151" xr:uid="{00000000-0005-0000-0000-0000C3870000}"/>
    <cellStyle name="Total 11 9 4" xfId="36152" xr:uid="{00000000-0005-0000-0000-0000C4870000}"/>
    <cellStyle name="Total 12" xfId="22051" xr:uid="{00000000-0005-0000-0000-0000C5870000}"/>
    <cellStyle name="Total 12 10" xfId="22052" xr:uid="{00000000-0005-0000-0000-0000C6870000}"/>
    <cellStyle name="Total 12 10 2" xfId="22053" xr:uid="{00000000-0005-0000-0000-0000C7870000}"/>
    <cellStyle name="Total 12 10 3" xfId="36153" xr:uid="{00000000-0005-0000-0000-0000C8870000}"/>
    <cellStyle name="Total 12 10 4" xfId="36154" xr:uid="{00000000-0005-0000-0000-0000C9870000}"/>
    <cellStyle name="Total 12 11" xfId="22054" xr:uid="{00000000-0005-0000-0000-0000CA870000}"/>
    <cellStyle name="Total 12 11 2" xfId="22055" xr:uid="{00000000-0005-0000-0000-0000CB870000}"/>
    <cellStyle name="Total 12 11 3" xfId="36155" xr:uid="{00000000-0005-0000-0000-0000CC870000}"/>
    <cellStyle name="Total 12 11 4" xfId="36156" xr:uid="{00000000-0005-0000-0000-0000CD870000}"/>
    <cellStyle name="Total 12 12" xfId="22056" xr:uid="{00000000-0005-0000-0000-0000CE870000}"/>
    <cellStyle name="Total 12 13" xfId="36157" xr:uid="{00000000-0005-0000-0000-0000CF870000}"/>
    <cellStyle name="Total 12 14" xfId="36158" xr:uid="{00000000-0005-0000-0000-0000D0870000}"/>
    <cellStyle name="Total 12 2" xfId="22057" xr:uid="{00000000-0005-0000-0000-0000D1870000}"/>
    <cellStyle name="Total 12 2 10" xfId="36159" xr:uid="{00000000-0005-0000-0000-0000D2870000}"/>
    <cellStyle name="Total 12 2 2" xfId="22058" xr:uid="{00000000-0005-0000-0000-0000D3870000}"/>
    <cellStyle name="Total 12 2 2 2" xfId="22059" xr:uid="{00000000-0005-0000-0000-0000D4870000}"/>
    <cellStyle name="Total 12 2 2 3" xfId="36160" xr:uid="{00000000-0005-0000-0000-0000D5870000}"/>
    <cellStyle name="Total 12 2 2 4" xfId="36161" xr:uid="{00000000-0005-0000-0000-0000D6870000}"/>
    <cellStyle name="Total 12 2 3" xfId="22060" xr:uid="{00000000-0005-0000-0000-0000D7870000}"/>
    <cellStyle name="Total 12 2 3 2" xfId="22061" xr:uid="{00000000-0005-0000-0000-0000D8870000}"/>
    <cellStyle name="Total 12 2 3 3" xfId="36162" xr:uid="{00000000-0005-0000-0000-0000D9870000}"/>
    <cellStyle name="Total 12 2 3 4" xfId="36163" xr:uid="{00000000-0005-0000-0000-0000DA870000}"/>
    <cellStyle name="Total 12 2 4" xfId="22062" xr:uid="{00000000-0005-0000-0000-0000DB870000}"/>
    <cellStyle name="Total 12 2 4 2" xfId="22063" xr:uid="{00000000-0005-0000-0000-0000DC870000}"/>
    <cellStyle name="Total 12 2 4 3" xfId="36164" xr:uid="{00000000-0005-0000-0000-0000DD870000}"/>
    <cellStyle name="Total 12 2 4 4" xfId="36165" xr:uid="{00000000-0005-0000-0000-0000DE870000}"/>
    <cellStyle name="Total 12 2 5" xfId="22064" xr:uid="{00000000-0005-0000-0000-0000DF870000}"/>
    <cellStyle name="Total 12 2 5 2" xfId="22065" xr:uid="{00000000-0005-0000-0000-0000E0870000}"/>
    <cellStyle name="Total 12 2 5 3" xfId="36166" xr:uid="{00000000-0005-0000-0000-0000E1870000}"/>
    <cellStyle name="Total 12 2 5 4" xfId="36167" xr:uid="{00000000-0005-0000-0000-0000E2870000}"/>
    <cellStyle name="Total 12 2 6" xfId="22066" xr:uid="{00000000-0005-0000-0000-0000E3870000}"/>
    <cellStyle name="Total 12 2 6 2" xfId="22067" xr:uid="{00000000-0005-0000-0000-0000E4870000}"/>
    <cellStyle name="Total 12 2 6 3" xfId="36168" xr:uid="{00000000-0005-0000-0000-0000E5870000}"/>
    <cellStyle name="Total 12 2 6 4" xfId="36169" xr:uid="{00000000-0005-0000-0000-0000E6870000}"/>
    <cellStyle name="Total 12 2 7" xfId="22068" xr:uid="{00000000-0005-0000-0000-0000E7870000}"/>
    <cellStyle name="Total 12 2 7 2" xfId="22069" xr:uid="{00000000-0005-0000-0000-0000E8870000}"/>
    <cellStyle name="Total 12 2 7 3" xfId="36170" xr:uid="{00000000-0005-0000-0000-0000E9870000}"/>
    <cellStyle name="Total 12 2 7 4" xfId="36171" xr:uid="{00000000-0005-0000-0000-0000EA870000}"/>
    <cellStyle name="Total 12 2 8" xfId="22070" xr:uid="{00000000-0005-0000-0000-0000EB870000}"/>
    <cellStyle name="Total 12 2 9" xfId="36172" xr:uid="{00000000-0005-0000-0000-0000EC870000}"/>
    <cellStyle name="Total 12 3" xfId="22071" xr:uid="{00000000-0005-0000-0000-0000ED870000}"/>
    <cellStyle name="Total 12 3 10" xfId="36173" xr:uid="{00000000-0005-0000-0000-0000EE870000}"/>
    <cellStyle name="Total 12 3 2" xfId="22072" xr:uid="{00000000-0005-0000-0000-0000EF870000}"/>
    <cellStyle name="Total 12 3 2 2" xfId="22073" xr:uid="{00000000-0005-0000-0000-0000F0870000}"/>
    <cellStyle name="Total 12 3 2 3" xfId="36174" xr:uid="{00000000-0005-0000-0000-0000F1870000}"/>
    <cellStyle name="Total 12 3 2 4" xfId="36175" xr:uid="{00000000-0005-0000-0000-0000F2870000}"/>
    <cellStyle name="Total 12 3 3" xfId="22074" xr:uid="{00000000-0005-0000-0000-0000F3870000}"/>
    <cellStyle name="Total 12 3 3 2" xfId="22075" xr:uid="{00000000-0005-0000-0000-0000F4870000}"/>
    <cellStyle name="Total 12 3 3 3" xfId="36176" xr:uid="{00000000-0005-0000-0000-0000F5870000}"/>
    <cellStyle name="Total 12 3 3 4" xfId="36177" xr:uid="{00000000-0005-0000-0000-0000F6870000}"/>
    <cellStyle name="Total 12 3 4" xfId="22076" xr:uid="{00000000-0005-0000-0000-0000F7870000}"/>
    <cellStyle name="Total 12 3 4 2" xfId="22077" xr:uid="{00000000-0005-0000-0000-0000F8870000}"/>
    <cellStyle name="Total 12 3 4 3" xfId="36178" xr:uid="{00000000-0005-0000-0000-0000F9870000}"/>
    <cellStyle name="Total 12 3 4 4" xfId="36179" xr:uid="{00000000-0005-0000-0000-0000FA870000}"/>
    <cellStyle name="Total 12 3 5" xfId="22078" xr:uid="{00000000-0005-0000-0000-0000FB870000}"/>
    <cellStyle name="Total 12 3 5 2" xfId="22079" xr:uid="{00000000-0005-0000-0000-0000FC870000}"/>
    <cellStyle name="Total 12 3 5 3" xfId="36180" xr:uid="{00000000-0005-0000-0000-0000FD870000}"/>
    <cellStyle name="Total 12 3 5 4" xfId="36181" xr:uid="{00000000-0005-0000-0000-0000FE870000}"/>
    <cellStyle name="Total 12 3 6" xfId="22080" xr:uid="{00000000-0005-0000-0000-0000FF870000}"/>
    <cellStyle name="Total 12 3 6 2" xfId="22081" xr:uid="{00000000-0005-0000-0000-000000880000}"/>
    <cellStyle name="Total 12 3 6 3" xfId="36182" xr:uid="{00000000-0005-0000-0000-000001880000}"/>
    <cellStyle name="Total 12 3 6 4" xfId="36183" xr:uid="{00000000-0005-0000-0000-000002880000}"/>
    <cellStyle name="Total 12 3 7" xfId="22082" xr:uid="{00000000-0005-0000-0000-000003880000}"/>
    <cellStyle name="Total 12 3 7 2" xfId="22083" xr:uid="{00000000-0005-0000-0000-000004880000}"/>
    <cellStyle name="Total 12 3 7 3" xfId="36184" xr:uid="{00000000-0005-0000-0000-000005880000}"/>
    <cellStyle name="Total 12 3 7 4" xfId="36185" xr:uid="{00000000-0005-0000-0000-000006880000}"/>
    <cellStyle name="Total 12 3 8" xfId="22084" xr:uid="{00000000-0005-0000-0000-000007880000}"/>
    <cellStyle name="Total 12 3 9" xfId="36186" xr:uid="{00000000-0005-0000-0000-000008880000}"/>
    <cellStyle name="Total 12 4" xfId="22085" xr:uid="{00000000-0005-0000-0000-000009880000}"/>
    <cellStyle name="Total 12 4 10" xfId="36187" xr:uid="{00000000-0005-0000-0000-00000A880000}"/>
    <cellStyle name="Total 12 4 2" xfId="22086" xr:uid="{00000000-0005-0000-0000-00000B880000}"/>
    <cellStyle name="Total 12 4 2 2" xfId="22087" xr:uid="{00000000-0005-0000-0000-00000C880000}"/>
    <cellStyle name="Total 12 4 2 3" xfId="36188" xr:uid="{00000000-0005-0000-0000-00000D880000}"/>
    <cellStyle name="Total 12 4 2 4" xfId="36189" xr:uid="{00000000-0005-0000-0000-00000E880000}"/>
    <cellStyle name="Total 12 4 3" xfId="22088" xr:uid="{00000000-0005-0000-0000-00000F880000}"/>
    <cellStyle name="Total 12 4 3 2" xfId="22089" xr:uid="{00000000-0005-0000-0000-000010880000}"/>
    <cellStyle name="Total 12 4 3 3" xfId="36190" xr:uid="{00000000-0005-0000-0000-000011880000}"/>
    <cellStyle name="Total 12 4 3 4" xfId="36191" xr:uid="{00000000-0005-0000-0000-000012880000}"/>
    <cellStyle name="Total 12 4 4" xfId="22090" xr:uid="{00000000-0005-0000-0000-000013880000}"/>
    <cellStyle name="Total 12 4 4 2" xfId="22091" xr:uid="{00000000-0005-0000-0000-000014880000}"/>
    <cellStyle name="Total 12 4 4 3" xfId="36192" xr:uid="{00000000-0005-0000-0000-000015880000}"/>
    <cellStyle name="Total 12 4 4 4" xfId="36193" xr:uid="{00000000-0005-0000-0000-000016880000}"/>
    <cellStyle name="Total 12 4 5" xfId="22092" xr:uid="{00000000-0005-0000-0000-000017880000}"/>
    <cellStyle name="Total 12 4 5 2" xfId="22093" xr:uid="{00000000-0005-0000-0000-000018880000}"/>
    <cellStyle name="Total 12 4 5 3" xfId="36194" xr:uid="{00000000-0005-0000-0000-000019880000}"/>
    <cellStyle name="Total 12 4 5 4" xfId="36195" xr:uid="{00000000-0005-0000-0000-00001A880000}"/>
    <cellStyle name="Total 12 4 6" xfId="22094" xr:uid="{00000000-0005-0000-0000-00001B880000}"/>
    <cellStyle name="Total 12 4 6 2" xfId="22095" xr:uid="{00000000-0005-0000-0000-00001C880000}"/>
    <cellStyle name="Total 12 4 6 3" xfId="36196" xr:uid="{00000000-0005-0000-0000-00001D880000}"/>
    <cellStyle name="Total 12 4 6 4" xfId="36197" xr:uid="{00000000-0005-0000-0000-00001E880000}"/>
    <cellStyle name="Total 12 4 7" xfId="22096" xr:uid="{00000000-0005-0000-0000-00001F880000}"/>
    <cellStyle name="Total 12 4 7 2" xfId="22097" xr:uid="{00000000-0005-0000-0000-000020880000}"/>
    <cellStyle name="Total 12 4 7 3" xfId="36198" xr:uid="{00000000-0005-0000-0000-000021880000}"/>
    <cellStyle name="Total 12 4 7 4" xfId="36199" xr:uid="{00000000-0005-0000-0000-000022880000}"/>
    <cellStyle name="Total 12 4 8" xfId="22098" xr:uid="{00000000-0005-0000-0000-000023880000}"/>
    <cellStyle name="Total 12 4 9" xfId="36200" xr:uid="{00000000-0005-0000-0000-000024880000}"/>
    <cellStyle name="Total 12 5" xfId="22099" xr:uid="{00000000-0005-0000-0000-000025880000}"/>
    <cellStyle name="Total 12 5 10" xfId="36201" xr:uid="{00000000-0005-0000-0000-000026880000}"/>
    <cellStyle name="Total 12 5 2" xfId="22100" xr:uid="{00000000-0005-0000-0000-000027880000}"/>
    <cellStyle name="Total 12 5 2 2" xfId="22101" xr:uid="{00000000-0005-0000-0000-000028880000}"/>
    <cellStyle name="Total 12 5 2 3" xfId="36202" xr:uid="{00000000-0005-0000-0000-000029880000}"/>
    <cellStyle name="Total 12 5 2 4" xfId="36203" xr:uid="{00000000-0005-0000-0000-00002A880000}"/>
    <cellStyle name="Total 12 5 3" xfId="22102" xr:uid="{00000000-0005-0000-0000-00002B880000}"/>
    <cellStyle name="Total 12 5 3 2" xfId="22103" xr:uid="{00000000-0005-0000-0000-00002C880000}"/>
    <cellStyle name="Total 12 5 3 3" xfId="36204" xr:uid="{00000000-0005-0000-0000-00002D880000}"/>
    <cellStyle name="Total 12 5 3 4" xfId="36205" xr:uid="{00000000-0005-0000-0000-00002E880000}"/>
    <cellStyle name="Total 12 5 4" xfId="22104" xr:uid="{00000000-0005-0000-0000-00002F880000}"/>
    <cellStyle name="Total 12 5 4 2" xfId="22105" xr:uid="{00000000-0005-0000-0000-000030880000}"/>
    <cellStyle name="Total 12 5 4 3" xfId="36206" xr:uid="{00000000-0005-0000-0000-000031880000}"/>
    <cellStyle name="Total 12 5 4 4" xfId="36207" xr:uid="{00000000-0005-0000-0000-000032880000}"/>
    <cellStyle name="Total 12 5 5" xfId="22106" xr:uid="{00000000-0005-0000-0000-000033880000}"/>
    <cellStyle name="Total 12 5 5 2" xfId="22107" xr:uid="{00000000-0005-0000-0000-000034880000}"/>
    <cellStyle name="Total 12 5 5 3" xfId="36208" xr:uid="{00000000-0005-0000-0000-000035880000}"/>
    <cellStyle name="Total 12 5 5 4" xfId="36209" xr:uid="{00000000-0005-0000-0000-000036880000}"/>
    <cellStyle name="Total 12 5 6" xfId="22108" xr:uid="{00000000-0005-0000-0000-000037880000}"/>
    <cellStyle name="Total 12 5 6 2" xfId="22109" xr:uid="{00000000-0005-0000-0000-000038880000}"/>
    <cellStyle name="Total 12 5 6 3" xfId="36210" xr:uid="{00000000-0005-0000-0000-000039880000}"/>
    <cellStyle name="Total 12 5 6 4" xfId="36211" xr:uid="{00000000-0005-0000-0000-00003A880000}"/>
    <cellStyle name="Total 12 5 7" xfId="22110" xr:uid="{00000000-0005-0000-0000-00003B880000}"/>
    <cellStyle name="Total 12 5 7 2" xfId="22111" xr:uid="{00000000-0005-0000-0000-00003C880000}"/>
    <cellStyle name="Total 12 5 7 3" xfId="36212" xr:uid="{00000000-0005-0000-0000-00003D880000}"/>
    <cellStyle name="Total 12 5 7 4" xfId="36213" xr:uid="{00000000-0005-0000-0000-00003E880000}"/>
    <cellStyle name="Total 12 5 8" xfId="22112" xr:uid="{00000000-0005-0000-0000-00003F880000}"/>
    <cellStyle name="Total 12 5 9" xfId="36214" xr:uid="{00000000-0005-0000-0000-000040880000}"/>
    <cellStyle name="Total 12 6" xfId="22113" xr:uid="{00000000-0005-0000-0000-000041880000}"/>
    <cellStyle name="Total 12 6 2" xfId="22114" xr:uid="{00000000-0005-0000-0000-000042880000}"/>
    <cellStyle name="Total 12 6 3" xfId="36215" xr:uid="{00000000-0005-0000-0000-000043880000}"/>
    <cellStyle name="Total 12 6 4" xfId="36216" xr:uid="{00000000-0005-0000-0000-000044880000}"/>
    <cellStyle name="Total 12 7" xfId="22115" xr:uid="{00000000-0005-0000-0000-000045880000}"/>
    <cellStyle name="Total 12 7 2" xfId="22116" xr:uid="{00000000-0005-0000-0000-000046880000}"/>
    <cellStyle name="Total 12 7 3" xfId="36217" xr:uid="{00000000-0005-0000-0000-000047880000}"/>
    <cellStyle name="Total 12 7 4" xfId="36218" xr:uid="{00000000-0005-0000-0000-000048880000}"/>
    <cellStyle name="Total 12 8" xfId="22117" xr:uid="{00000000-0005-0000-0000-000049880000}"/>
    <cellStyle name="Total 12 8 2" xfId="22118" xr:uid="{00000000-0005-0000-0000-00004A880000}"/>
    <cellStyle name="Total 12 8 3" xfId="36219" xr:uid="{00000000-0005-0000-0000-00004B880000}"/>
    <cellStyle name="Total 12 8 4" xfId="36220" xr:uid="{00000000-0005-0000-0000-00004C880000}"/>
    <cellStyle name="Total 12 9" xfId="22119" xr:uid="{00000000-0005-0000-0000-00004D880000}"/>
    <cellStyle name="Total 12 9 2" xfId="22120" xr:uid="{00000000-0005-0000-0000-00004E880000}"/>
    <cellStyle name="Total 12 9 3" xfId="36221" xr:uid="{00000000-0005-0000-0000-00004F880000}"/>
    <cellStyle name="Total 12 9 4" xfId="36222" xr:uid="{00000000-0005-0000-0000-000050880000}"/>
    <cellStyle name="Total 13" xfId="22121" xr:uid="{00000000-0005-0000-0000-000051880000}"/>
    <cellStyle name="Total 13 10" xfId="22122" xr:uid="{00000000-0005-0000-0000-000052880000}"/>
    <cellStyle name="Total 13 10 2" xfId="22123" xr:uid="{00000000-0005-0000-0000-000053880000}"/>
    <cellStyle name="Total 13 10 3" xfId="36223" xr:uid="{00000000-0005-0000-0000-000054880000}"/>
    <cellStyle name="Total 13 10 4" xfId="36224" xr:uid="{00000000-0005-0000-0000-000055880000}"/>
    <cellStyle name="Total 13 11" xfId="22124" xr:uid="{00000000-0005-0000-0000-000056880000}"/>
    <cellStyle name="Total 13 11 2" xfId="22125" xr:uid="{00000000-0005-0000-0000-000057880000}"/>
    <cellStyle name="Total 13 11 3" xfId="36225" xr:uid="{00000000-0005-0000-0000-000058880000}"/>
    <cellStyle name="Total 13 11 4" xfId="36226" xr:uid="{00000000-0005-0000-0000-000059880000}"/>
    <cellStyle name="Total 13 12" xfId="22126" xr:uid="{00000000-0005-0000-0000-00005A880000}"/>
    <cellStyle name="Total 13 13" xfId="36227" xr:uid="{00000000-0005-0000-0000-00005B880000}"/>
    <cellStyle name="Total 13 14" xfId="36228" xr:uid="{00000000-0005-0000-0000-00005C880000}"/>
    <cellStyle name="Total 13 2" xfId="22127" xr:uid="{00000000-0005-0000-0000-00005D880000}"/>
    <cellStyle name="Total 13 2 10" xfId="36229" xr:uid="{00000000-0005-0000-0000-00005E880000}"/>
    <cellStyle name="Total 13 2 2" xfId="22128" xr:uid="{00000000-0005-0000-0000-00005F880000}"/>
    <cellStyle name="Total 13 2 2 2" xfId="22129" xr:uid="{00000000-0005-0000-0000-000060880000}"/>
    <cellStyle name="Total 13 2 2 3" xfId="36230" xr:uid="{00000000-0005-0000-0000-000061880000}"/>
    <cellStyle name="Total 13 2 2 4" xfId="36231" xr:uid="{00000000-0005-0000-0000-000062880000}"/>
    <cellStyle name="Total 13 2 3" xfId="22130" xr:uid="{00000000-0005-0000-0000-000063880000}"/>
    <cellStyle name="Total 13 2 3 2" xfId="22131" xr:uid="{00000000-0005-0000-0000-000064880000}"/>
    <cellStyle name="Total 13 2 3 3" xfId="36232" xr:uid="{00000000-0005-0000-0000-000065880000}"/>
    <cellStyle name="Total 13 2 3 4" xfId="36233" xr:uid="{00000000-0005-0000-0000-000066880000}"/>
    <cellStyle name="Total 13 2 4" xfId="22132" xr:uid="{00000000-0005-0000-0000-000067880000}"/>
    <cellStyle name="Total 13 2 4 2" xfId="22133" xr:uid="{00000000-0005-0000-0000-000068880000}"/>
    <cellStyle name="Total 13 2 4 3" xfId="36234" xr:uid="{00000000-0005-0000-0000-000069880000}"/>
    <cellStyle name="Total 13 2 4 4" xfId="36235" xr:uid="{00000000-0005-0000-0000-00006A880000}"/>
    <cellStyle name="Total 13 2 5" xfId="22134" xr:uid="{00000000-0005-0000-0000-00006B880000}"/>
    <cellStyle name="Total 13 2 5 2" xfId="22135" xr:uid="{00000000-0005-0000-0000-00006C880000}"/>
    <cellStyle name="Total 13 2 5 3" xfId="36236" xr:uid="{00000000-0005-0000-0000-00006D880000}"/>
    <cellStyle name="Total 13 2 5 4" xfId="36237" xr:uid="{00000000-0005-0000-0000-00006E880000}"/>
    <cellStyle name="Total 13 2 6" xfId="22136" xr:uid="{00000000-0005-0000-0000-00006F880000}"/>
    <cellStyle name="Total 13 2 6 2" xfId="22137" xr:uid="{00000000-0005-0000-0000-000070880000}"/>
    <cellStyle name="Total 13 2 6 3" xfId="36238" xr:uid="{00000000-0005-0000-0000-000071880000}"/>
    <cellStyle name="Total 13 2 6 4" xfId="36239" xr:uid="{00000000-0005-0000-0000-000072880000}"/>
    <cellStyle name="Total 13 2 7" xfId="22138" xr:uid="{00000000-0005-0000-0000-000073880000}"/>
    <cellStyle name="Total 13 2 7 2" xfId="22139" xr:uid="{00000000-0005-0000-0000-000074880000}"/>
    <cellStyle name="Total 13 2 7 3" xfId="36240" xr:uid="{00000000-0005-0000-0000-000075880000}"/>
    <cellStyle name="Total 13 2 7 4" xfId="36241" xr:uid="{00000000-0005-0000-0000-000076880000}"/>
    <cellStyle name="Total 13 2 8" xfId="22140" xr:uid="{00000000-0005-0000-0000-000077880000}"/>
    <cellStyle name="Total 13 2 9" xfId="36242" xr:uid="{00000000-0005-0000-0000-000078880000}"/>
    <cellStyle name="Total 13 3" xfId="22141" xr:uid="{00000000-0005-0000-0000-000079880000}"/>
    <cellStyle name="Total 13 3 10" xfId="36243" xr:uid="{00000000-0005-0000-0000-00007A880000}"/>
    <cellStyle name="Total 13 3 2" xfId="22142" xr:uid="{00000000-0005-0000-0000-00007B880000}"/>
    <cellStyle name="Total 13 3 2 2" xfId="22143" xr:uid="{00000000-0005-0000-0000-00007C880000}"/>
    <cellStyle name="Total 13 3 2 3" xfId="36244" xr:uid="{00000000-0005-0000-0000-00007D880000}"/>
    <cellStyle name="Total 13 3 2 4" xfId="36245" xr:uid="{00000000-0005-0000-0000-00007E880000}"/>
    <cellStyle name="Total 13 3 3" xfId="22144" xr:uid="{00000000-0005-0000-0000-00007F880000}"/>
    <cellStyle name="Total 13 3 3 2" xfId="22145" xr:uid="{00000000-0005-0000-0000-000080880000}"/>
    <cellStyle name="Total 13 3 3 3" xfId="36246" xr:uid="{00000000-0005-0000-0000-000081880000}"/>
    <cellStyle name="Total 13 3 3 4" xfId="36247" xr:uid="{00000000-0005-0000-0000-000082880000}"/>
    <cellStyle name="Total 13 3 4" xfId="22146" xr:uid="{00000000-0005-0000-0000-000083880000}"/>
    <cellStyle name="Total 13 3 4 2" xfId="22147" xr:uid="{00000000-0005-0000-0000-000084880000}"/>
    <cellStyle name="Total 13 3 4 3" xfId="36248" xr:uid="{00000000-0005-0000-0000-000085880000}"/>
    <cellStyle name="Total 13 3 4 4" xfId="36249" xr:uid="{00000000-0005-0000-0000-000086880000}"/>
    <cellStyle name="Total 13 3 5" xfId="22148" xr:uid="{00000000-0005-0000-0000-000087880000}"/>
    <cellStyle name="Total 13 3 5 2" xfId="22149" xr:uid="{00000000-0005-0000-0000-000088880000}"/>
    <cellStyle name="Total 13 3 5 3" xfId="36250" xr:uid="{00000000-0005-0000-0000-000089880000}"/>
    <cellStyle name="Total 13 3 5 4" xfId="36251" xr:uid="{00000000-0005-0000-0000-00008A880000}"/>
    <cellStyle name="Total 13 3 6" xfId="22150" xr:uid="{00000000-0005-0000-0000-00008B880000}"/>
    <cellStyle name="Total 13 3 6 2" xfId="22151" xr:uid="{00000000-0005-0000-0000-00008C880000}"/>
    <cellStyle name="Total 13 3 6 3" xfId="36252" xr:uid="{00000000-0005-0000-0000-00008D880000}"/>
    <cellStyle name="Total 13 3 6 4" xfId="36253" xr:uid="{00000000-0005-0000-0000-00008E880000}"/>
    <cellStyle name="Total 13 3 7" xfId="22152" xr:uid="{00000000-0005-0000-0000-00008F880000}"/>
    <cellStyle name="Total 13 3 7 2" xfId="22153" xr:uid="{00000000-0005-0000-0000-000090880000}"/>
    <cellStyle name="Total 13 3 7 3" xfId="36254" xr:uid="{00000000-0005-0000-0000-000091880000}"/>
    <cellStyle name="Total 13 3 7 4" xfId="36255" xr:uid="{00000000-0005-0000-0000-000092880000}"/>
    <cellStyle name="Total 13 3 8" xfId="22154" xr:uid="{00000000-0005-0000-0000-000093880000}"/>
    <cellStyle name="Total 13 3 9" xfId="36256" xr:uid="{00000000-0005-0000-0000-000094880000}"/>
    <cellStyle name="Total 13 4" xfId="22155" xr:uid="{00000000-0005-0000-0000-000095880000}"/>
    <cellStyle name="Total 13 4 10" xfId="36257" xr:uid="{00000000-0005-0000-0000-000096880000}"/>
    <cellStyle name="Total 13 4 2" xfId="22156" xr:uid="{00000000-0005-0000-0000-000097880000}"/>
    <cellStyle name="Total 13 4 2 2" xfId="22157" xr:uid="{00000000-0005-0000-0000-000098880000}"/>
    <cellStyle name="Total 13 4 2 3" xfId="36258" xr:uid="{00000000-0005-0000-0000-000099880000}"/>
    <cellStyle name="Total 13 4 2 4" xfId="36259" xr:uid="{00000000-0005-0000-0000-00009A880000}"/>
    <cellStyle name="Total 13 4 3" xfId="22158" xr:uid="{00000000-0005-0000-0000-00009B880000}"/>
    <cellStyle name="Total 13 4 3 2" xfId="22159" xr:uid="{00000000-0005-0000-0000-00009C880000}"/>
    <cellStyle name="Total 13 4 3 3" xfId="36260" xr:uid="{00000000-0005-0000-0000-00009D880000}"/>
    <cellStyle name="Total 13 4 3 4" xfId="36261" xr:uid="{00000000-0005-0000-0000-00009E880000}"/>
    <cellStyle name="Total 13 4 4" xfId="22160" xr:uid="{00000000-0005-0000-0000-00009F880000}"/>
    <cellStyle name="Total 13 4 4 2" xfId="22161" xr:uid="{00000000-0005-0000-0000-0000A0880000}"/>
    <cellStyle name="Total 13 4 4 3" xfId="36262" xr:uid="{00000000-0005-0000-0000-0000A1880000}"/>
    <cellStyle name="Total 13 4 4 4" xfId="36263" xr:uid="{00000000-0005-0000-0000-0000A2880000}"/>
    <cellStyle name="Total 13 4 5" xfId="22162" xr:uid="{00000000-0005-0000-0000-0000A3880000}"/>
    <cellStyle name="Total 13 4 5 2" xfId="22163" xr:uid="{00000000-0005-0000-0000-0000A4880000}"/>
    <cellStyle name="Total 13 4 5 3" xfId="36264" xr:uid="{00000000-0005-0000-0000-0000A5880000}"/>
    <cellStyle name="Total 13 4 5 4" xfId="36265" xr:uid="{00000000-0005-0000-0000-0000A6880000}"/>
    <cellStyle name="Total 13 4 6" xfId="22164" xr:uid="{00000000-0005-0000-0000-0000A7880000}"/>
    <cellStyle name="Total 13 4 6 2" xfId="22165" xr:uid="{00000000-0005-0000-0000-0000A8880000}"/>
    <cellStyle name="Total 13 4 6 3" xfId="36266" xr:uid="{00000000-0005-0000-0000-0000A9880000}"/>
    <cellStyle name="Total 13 4 6 4" xfId="36267" xr:uid="{00000000-0005-0000-0000-0000AA880000}"/>
    <cellStyle name="Total 13 4 7" xfId="22166" xr:uid="{00000000-0005-0000-0000-0000AB880000}"/>
    <cellStyle name="Total 13 4 7 2" xfId="22167" xr:uid="{00000000-0005-0000-0000-0000AC880000}"/>
    <cellStyle name="Total 13 4 7 3" xfId="36268" xr:uid="{00000000-0005-0000-0000-0000AD880000}"/>
    <cellStyle name="Total 13 4 7 4" xfId="36269" xr:uid="{00000000-0005-0000-0000-0000AE880000}"/>
    <cellStyle name="Total 13 4 8" xfId="22168" xr:uid="{00000000-0005-0000-0000-0000AF880000}"/>
    <cellStyle name="Total 13 4 9" xfId="36270" xr:uid="{00000000-0005-0000-0000-0000B0880000}"/>
    <cellStyle name="Total 13 5" xfId="22169" xr:uid="{00000000-0005-0000-0000-0000B1880000}"/>
    <cellStyle name="Total 13 5 10" xfId="36271" xr:uid="{00000000-0005-0000-0000-0000B2880000}"/>
    <cellStyle name="Total 13 5 2" xfId="22170" xr:uid="{00000000-0005-0000-0000-0000B3880000}"/>
    <cellStyle name="Total 13 5 2 2" xfId="22171" xr:uid="{00000000-0005-0000-0000-0000B4880000}"/>
    <cellStyle name="Total 13 5 2 3" xfId="36272" xr:uid="{00000000-0005-0000-0000-0000B5880000}"/>
    <cellStyle name="Total 13 5 2 4" xfId="36273" xr:uid="{00000000-0005-0000-0000-0000B6880000}"/>
    <cellStyle name="Total 13 5 3" xfId="22172" xr:uid="{00000000-0005-0000-0000-0000B7880000}"/>
    <cellStyle name="Total 13 5 3 2" xfId="22173" xr:uid="{00000000-0005-0000-0000-0000B8880000}"/>
    <cellStyle name="Total 13 5 3 3" xfId="36274" xr:uid="{00000000-0005-0000-0000-0000B9880000}"/>
    <cellStyle name="Total 13 5 3 4" xfId="36275" xr:uid="{00000000-0005-0000-0000-0000BA880000}"/>
    <cellStyle name="Total 13 5 4" xfId="22174" xr:uid="{00000000-0005-0000-0000-0000BB880000}"/>
    <cellStyle name="Total 13 5 4 2" xfId="22175" xr:uid="{00000000-0005-0000-0000-0000BC880000}"/>
    <cellStyle name="Total 13 5 4 3" xfId="36276" xr:uid="{00000000-0005-0000-0000-0000BD880000}"/>
    <cellStyle name="Total 13 5 4 4" xfId="36277" xr:uid="{00000000-0005-0000-0000-0000BE880000}"/>
    <cellStyle name="Total 13 5 5" xfId="22176" xr:uid="{00000000-0005-0000-0000-0000BF880000}"/>
    <cellStyle name="Total 13 5 5 2" xfId="22177" xr:uid="{00000000-0005-0000-0000-0000C0880000}"/>
    <cellStyle name="Total 13 5 5 3" xfId="36278" xr:uid="{00000000-0005-0000-0000-0000C1880000}"/>
    <cellStyle name="Total 13 5 5 4" xfId="36279" xr:uid="{00000000-0005-0000-0000-0000C2880000}"/>
    <cellStyle name="Total 13 5 6" xfId="22178" xr:uid="{00000000-0005-0000-0000-0000C3880000}"/>
    <cellStyle name="Total 13 5 6 2" xfId="22179" xr:uid="{00000000-0005-0000-0000-0000C4880000}"/>
    <cellStyle name="Total 13 5 6 3" xfId="36280" xr:uid="{00000000-0005-0000-0000-0000C5880000}"/>
    <cellStyle name="Total 13 5 6 4" xfId="36281" xr:uid="{00000000-0005-0000-0000-0000C6880000}"/>
    <cellStyle name="Total 13 5 7" xfId="22180" xr:uid="{00000000-0005-0000-0000-0000C7880000}"/>
    <cellStyle name="Total 13 5 7 2" xfId="22181" xr:uid="{00000000-0005-0000-0000-0000C8880000}"/>
    <cellStyle name="Total 13 5 7 3" xfId="36282" xr:uid="{00000000-0005-0000-0000-0000C9880000}"/>
    <cellStyle name="Total 13 5 7 4" xfId="36283" xr:uid="{00000000-0005-0000-0000-0000CA880000}"/>
    <cellStyle name="Total 13 5 8" xfId="22182" xr:uid="{00000000-0005-0000-0000-0000CB880000}"/>
    <cellStyle name="Total 13 5 9" xfId="36284" xr:uid="{00000000-0005-0000-0000-0000CC880000}"/>
    <cellStyle name="Total 13 6" xfId="22183" xr:uid="{00000000-0005-0000-0000-0000CD880000}"/>
    <cellStyle name="Total 13 6 2" xfId="22184" xr:uid="{00000000-0005-0000-0000-0000CE880000}"/>
    <cellStyle name="Total 13 6 3" xfId="36285" xr:uid="{00000000-0005-0000-0000-0000CF880000}"/>
    <cellStyle name="Total 13 6 4" xfId="36286" xr:uid="{00000000-0005-0000-0000-0000D0880000}"/>
    <cellStyle name="Total 13 7" xfId="22185" xr:uid="{00000000-0005-0000-0000-0000D1880000}"/>
    <cellStyle name="Total 13 7 2" xfId="22186" xr:uid="{00000000-0005-0000-0000-0000D2880000}"/>
    <cellStyle name="Total 13 7 3" xfId="36287" xr:uid="{00000000-0005-0000-0000-0000D3880000}"/>
    <cellStyle name="Total 13 7 4" xfId="36288" xr:uid="{00000000-0005-0000-0000-0000D4880000}"/>
    <cellStyle name="Total 13 8" xfId="22187" xr:uid="{00000000-0005-0000-0000-0000D5880000}"/>
    <cellStyle name="Total 13 8 2" xfId="22188" xr:uid="{00000000-0005-0000-0000-0000D6880000}"/>
    <cellStyle name="Total 13 8 3" xfId="36289" xr:uid="{00000000-0005-0000-0000-0000D7880000}"/>
    <cellStyle name="Total 13 8 4" xfId="36290" xr:uid="{00000000-0005-0000-0000-0000D8880000}"/>
    <cellStyle name="Total 13 9" xfId="22189" xr:uid="{00000000-0005-0000-0000-0000D9880000}"/>
    <cellStyle name="Total 13 9 2" xfId="22190" xr:uid="{00000000-0005-0000-0000-0000DA880000}"/>
    <cellStyle name="Total 13 9 3" xfId="36291" xr:uid="{00000000-0005-0000-0000-0000DB880000}"/>
    <cellStyle name="Total 13 9 4" xfId="36292" xr:uid="{00000000-0005-0000-0000-0000DC880000}"/>
    <cellStyle name="Total 14" xfId="22191" xr:uid="{00000000-0005-0000-0000-0000DD880000}"/>
    <cellStyle name="Total 14 10" xfId="22192" xr:uid="{00000000-0005-0000-0000-0000DE880000}"/>
    <cellStyle name="Total 14 10 2" xfId="22193" xr:uid="{00000000-0005-0000-0000-0000DF880000}"/>
    <cellStyle name="Total 14 10 3" xfId="36293" xr:uid="{00000000-0005-0000-0000-0000E0880000}"/>
    <cellStyle name="Total 14 10 4" xfId="36294" xr:uid="{00000000-0005-0000-0000-0000E1880000}"/>
    <cellStyle name="Total 14 11" xfId="22194" xr:uid="{00000000-0005-0000-0000-0000E2880000}"/>
    <cellStyle name="Total 14 11 2" xfId="22195" xr:uid="{00000000-0005-0000-0000-0000E3880000}"/>
    <cellStyle name="Total 14 11 3" xfId="36295" xr:uid="{00000000-0005-0000-0000-0000E4880000}"/>
    <cellStyle name="Total 14 11 4" xfId="36296" xr:uid="{00000000-0005-0000-0000-0000E5880000}"/>
    <cellStyle name="Total 14 12" xfId="22196" xr:uid="{00000000-0005-0000-0000-0000E6880000}"/>
    <cellStyle name="Total 14 13" xfId="36297" xr:uid="{00000000-0005-0000-0000-0000E7880000}"/>
    <cellStyle name="Total 14 14" xfId="36298" xr:uid="{00000000-0005-0000-0000-0000E8880000}"/>
    <cellStyle name="Total 14 2" xfId="22197" xr:uid="{00000000-0005-0000-0000-0000E9880000}"/>
    <cellStyle name="Total 14 2 10" xfId="36299" xr:uid="{00000000-0005-0000-0000-0000EA880000}"/>
    <cellStyle name="Total 14 2 2" xfId="22198" xr:uid="{00000000-0005-0000-0000-0000EB880000}"/>
    <cellStyle name="Total 14 2 2 2" xfId="22199" xr:uid="{00000000-0005-0000-0000-0000EC880000}"/>
    <cellStyle name="Total 14 2 2 3" xfId="36300" xr:uid="{00000000-0005-0000-0000-0000ED880000}"/>
    <cellStyle name="Total 14 2 2 4" xfId="36301" xr:uid="{00000000-0005-0000-0000-0000EE880000}"/>
    <cellStyle name="Total 14 2 3" xfId="22200" xr:uid="{00000000-0005-0000-0000-0000EF880000}"/>
    <cellStyle name="Total 14 2 3 2" xfId="22201" xr:uid="{00000000-0005-0000-0000-0000F0880000}"/>
    <cellStyle name="Total 14 2 3 3" xfId="36302" xr:uid="{00000000-0005-0000-0000-0000F1880000}"/>
    <cellStyle name="Total 14 2 3 4" xfId="36303" xr:uid="{00000000-0005-0000-0000-0000F2880000}"/>
    <cellStyle name="Total 14 2 4" xfId="22202" xr:uid="{00000000-0005-0000-0000-0000F3880000}"/>
    <cellStyle name="Total 14 2 4 2" xfId="22203" xr:uid="{00000000-0005-0000-0000-0000F4880000}"/>
    <cellStyle name="Total 14 2 4 3" xfId="36304" xr:uid="{00000000-0005-0000-0000-0000F5880000}"/>
    <cellStyle name="Total 14 2 4 4" xfId="36305" xr:uid="{00000000-0005-0000-0000-0000F6880000}"/>
    <cellStyle name="Total 14 2 5" xfId="22204" xr:uid="{00000000-0005-0000-0000-0000F7880000}"/>
    <cellStyle name="Total 14 2 5 2" xfId="22205" xr:uid="{00000000-0005-0000-0000-0000F8880000}"/>
    <cellStyle name="Total 14 2 5 3" xfId="36306" xr:uid="{00000000-0005-0000-0000-0000F9880000}"/>
    <cellStyle name="Total 14 2 5 4" xfId="36307" xr:uid="{00000000-0005-0000-0000-0000FA880000}"/>
    <cellStyle name="Total 14 2 6" xfId="22206" xr:uid="{00000000-0005-0000-0000-0000FB880000}"/>
    <cellStyle name="Total 14 2 6 2" xfId="22207" xr:uid="{00000000-0005-0000-0000-0000FC880000}"/>
    <cellStyle name="Total 14 2 6 3" xfId="36308" xr:uid="{00000000-0005-0000-0000-0000FD880000}"/>
    <cellStyle name="Total 14 2 6 4" xfId="36309" xr:uid="{00000000-0005-0000-0000-0000FE880000}"/>
    <cellStyle name="Total 14 2 7" xfId="22208" xr:uid="{00000000-0005-0000-0000-0000FF880000}"/>
    <cellStyle name="Total 14 2 7 2" xfId="22209" xr:uid="{00000000-0005-0000-0000-000000890000}"/>
    <cellStyle name="Total 14 2 7 3" xfId="36310" xr:uid="{00000000-0005-0000-0000-000001890000}"/>
    <cellStyle name="Total 14 2 7 4" xfId="36311" xr:uid="{00000000-0005-0000-0000-000002890000}"/>
    <cellStyle name="Total 14 2 8" xfId="22210" xr:uid="{00000000-0005-0000-0000-000003890000}"/>
    <cellStyle name="Total 14 2 9" xfId="36312" xr:uid="{00000000-0005-0000-0000-000004890000}"/>
    <cellStyle name="Total 14 3" xfId="22211" xr:uid="{00000000-0005-0000-0000-000005890000}"/>
    <cellStyle name="Total 14 3 10" xfId="36313" xr:uid="{00000000-0005-0000-0000-000006890000}"/>
    <cellStyle name="Total 14 3 2" xfId="22212" xr:uid="{00000000-0005-0000-0000-000007890000}"/>
    <cellStyle name="Total 14 3 2 2" xfId="22213" xr:uid="{00000000-0005-0000-0000-000008890000}"/>
    <cellStyle name="Total 14 3 2 3" xfId="36314" xr:uid="{00000000-0005-0000-0000-000009890000}"/>
    <cellStyle name="Total 14 3 2 4" xfId="36315" xr:uid="{00000000-0005-0000-0000-00000A890000}"/>
    <cellStyle name="Total 14 3 3" xfId="22214" xr:uid="{00000000-0005-0000-0000-00000B890000}"/>
    <cellStyle name="Total 14 3 3 2" xfId="22215" xr:uid="{00000000-0005-0000-0000-00000C890000}"/>
    <cellStyle name="Total 14 3 3 3" xfId="36316" xr:uid="{00000000-0005-0000-0000-00000D890000}"/>
    <cellStyle name="Total 14 3 3 4" xfId="36317" xr:uid="{00000000-0005-0000-0000-00000E890000}"/>
    <cellStyle name="Total 14 3 4" xfId="22216" xr:uid="{00000000-0005-0000-0000-00000F890000}"/>
    <cellStyle name="Total 14 3 4 2" xfId="22217" xr:uid="{00000000-0005-0000-0000-000010890000}"/>
    <cellStyle name="Total 14 3 4 3" xfId="36318" xr:uid="{00000000-0005-0000-0000-000011890000}"/>
    <cellStyle name="Total 14 3 4 4" xfId="36319" xr:uid="{00000000-0005-0000-0000-000012890000}"/>
    <cellStyle name="Total 14 3 5" xfId="22218" xr:uid="{00000000-0005-0000-0000-000013890000}"/>
    <cellStyle name="Total 14 3 5 2" xfId="22219" xr:uid="{00000000-0005-0000-0000-000014890000}"/>
    <cellStyle name="Total 14 3 5 3" xfId="36320" xr:uid="{00000000-0005-0000-0000-000015890000}"/>
    <cellStyle name="Total 14 3 5 4" xfId="36321" xr:uid="{00000000-0005-0000-0000-000016890000}"/>
    <cellStyle name="Total 14 3 6" xfId="22220" xr:uid="{00000000-0005-0000-0000-000017890000}"/>
    <cellStyle name="Total 14 3 6 2" xfId="22221" xr:uid="{00000000-0005-0000-0000-000018890000}"/>
    <cellStyle name="Total 14 3 6 3" xfId="36322" xr:uid="{00000000-0005-0000-0000-000019890000}"/>
    <cellStyle name="Total 14 3 6 4" xfId="36323" xr:uid="{00000000-0005-0000-0000-00001A890000}"/>
    <cellStyle name="Total 14 3 7" xfId="22222" xr:uid="{00000000-0005-0000-0000-00001B890000}"/>
    <cellStyle name="Total 14 3 7 2" xfId="22223" xr:uid="{00000000-0005-0000-0000-00001C890000}"/>
    <cellStyle name="Total 14 3 7 3" xfId="36324" xr:uid="{00000000-0005-0000-0000-00001D890000}"/>
    <cellStyle name="Total 14 3 7 4" xfId="36325" xr:uid="{00000000-0005-0000-0000-00001E890000}"/>
    <cellStyle name="Total 14 3 8" xfId="22224" xr:uid="{00000000-0005-0000-0000-00001F890000}"/>
    <cellStyle name="Total 14 3 9" xfId="36326" xr:uid="{00000000-0005-0000-0000-000020890000}"/>
    <cellStyle name="Total 14 4" xfId="22225" xr:uid="{00000000-0005-0000-0000-000021890000}"/>
    <cellStyle name="Total 14 4 10" xfId="36327" xr:uid="{00000000-0005-0000-0000-000022890000}"/>
    <cellStyle name="Total 14 4 2" xfId="22226" xr:uid="{00000000-0005-0000-0000-000023890000}"/>
    <cellStyle name="Total 14 4 2 2" xfId="22227" xr:uid="{00000000-0005-0000-0000-000024890000}"/>
    <cellStyle name="Total 14 4 2 3" xfId="36328" xr:uid="{00000000-0005-0000-0000-000025890000}"/>
    <cellStyle name="Total 14 4 2 4" xfId="36329" xr:uid="{00000000-0005-0000-0000-000026890000}"/>
    <cellStyle name="Total 14 4 3" xfId="22228" xr:uid="{00000000-0005-0000-0000-000027890000}"/>
    <cellStyle name="Total 14 4 3 2" xfId="22229" xr:uid="{00000000-0005-0000-0000-000028890000}"/>
    <cellStyle name="Total 14 4 3 3" xfId="36330" xr:uid="{00000000-0005-0000-0000-000029890000}"/>
    <cellStyle name="Total 14 4 3 4" xfId="36331" xr:uid="{00000000-0005-0000-0000-00002A890000}"/>
    <cellStyle name="Total 14 4 4" xfId="22230" xr:uid="{00000000-0005-0000-0000-00002B890000}"/>
    <cellStyle name="Total 14 4 4 2" xfId="22231" xr:uid="{00000000-0005-0000-0000-00002C890000}"/>
    <cellStyle name="Total 14 4 4 3" xfId="36332" xr:uid="{00000000-0005-0000-0000-00002D890000}"/>
    <cellStyle name="Total 14 4 4 4" xfId="36333" xr:uid="{00000000-0005-0000-0000-00002E890000}"/>
    <cellStyle name="Total 14 4 5" xfId="22232" xr:uid="{00000000-0005-0000-0000-00002F890000}"/>
    <cellStyle name="Total 14 4 5 2" xfId="22233" xr:uid="{00000000-0005-0000-0000-000030890000}"/>
    <cellStyle name="Total 14 4 5 3" xfId="36334" xr:uid="{00000000-0005-0000-0000-000031890000}"/>
    <cellStyle name="Total 14 4 5 4" xfId="36335" xr:uid="{00000000-0005-0000-0000-000032890000}"/>
    <cellStyle name="Total 14 4 6" xfId="22234" xr:uid="{00000000-0005-0000-0000-000033890000}"/>
    <cellStyle name="Total 14 4 6 2" xfId="22235" xr:uid="{00000000-0005-0000-0000-000034890000}"/>
    <cellStyle name="Total 14 4 6 3" xfId="36336" xr:uid="{00000000-0005-0000-0000-000035890000}"/>
    <cellStyle name="Total 14 4 6 4" xfId="36337" xr:uid="{00000000-0005-0000-0000-000036890000}"/>
    <cellStyle name="Total 14 4 7" xfId="22236" xr:uid="{00000000-0005-0000-0000-000037890000}"/>
    <cellStyle name="Total 14 4 7 2" xfId="22237" xr:uid="{00000000-0005-0000-0000-000038890000}"/>
    <cellStyle name="Total 14 4 7 3" xfId="36338" xr:uid="{00000000-0005-0000-0000-000039890000}"/>
    <cellStyle name="Total 14 4 7 4" xfId="36339" xr:uid="{00000000-0005-0000-0000-00003A890000}"/>
    <cellStyle name="Total 14 4 8" xfId="22238" xr:uid="{00000000-0005-0000-0000-00003B890000}"/>
    <cellStyle name="Total 14 4 9" xfId="36340" xr:uid="{00000000-0005-0000-0000-00003C890000}"/>
    <cellStyle name="Total 14 5" xfId="22239" xr:uid="{00000000-0005-0000-0000-00003D890000}"/>
    <cellStyle name="Total 14 5 10" xfId="36341" xr:uid="{00000000-0005-0000-0000-00003E890000}"/>
    <cellStyle name="Total 14 5 2" xfId="22240" xr:uid="{00000000-0005-0000-0000-00003F890000}"/>
    <cellStyle name="Total 14 5 2 2" xfId="22241" xr:uid="{00000000-0005-0000-0000-000040890000}"/>
    <cellStyle name="Total 14 5 2 3" xfId="36342" xr:uid="{00000000-0005-0000-0000-000041890000}"/>
    <cellStyle name="Total 14 5 2 4" xfId="36343" xr:uid="{00000000-0005-0000-0000-000042890000}"/>
    <cellStyle name="Total 14 5 3" xfId="22242" xr:uid="{00000000-0005-0000-0000-000043890000}"/>
    <cellStyle name="Total 14 5 3 2" xfId="22243" xr:uid="{00000000-0005-0000-0000-000044890000}"/>
    <cellStyle name="Total 14 5 3 3" xfId="36344" xr:uid="{00000000-0005-0000-0000-000045890000}"/>
    <cellStyle name="Total 14 5 3 4" xfId="36345" xr:uid="{00000000-0005-0000-0000-000046890000}"/>
    <cellStyle name="Total 14 5 4" xfId="22244" xr:uid="{00000000-0005-0000-0000-000047890000}"/>
    <cellStyle name="Total 14 5 4 2" xfId="22245" xr:uid="{00000000-0005-0000-0000-000048890000}"/>
    <cellStyle name="Total 14 5 4 3" xfId="36346" xr:uid="{00000000-0005-0000-0000-000049890000}"/>
    <cellStyle name="Total 14 5 4 4" xfId="36347" xr:uid="{00000000-0005-0000-0000-00004A890000}"/>
    <cellStyle name="Total 14 5 5" xfId="22246" xr:uid="{00000000-0005-0000-0000-00004B890000}"/>
    <cellStyle name="Total 14 5 5 2" xfId="22247" xr:uid="{00000000-0005-0000-0000-00004C890000}"/>
    <cellStyle name="Total 14 5 5 3" xfId="36348" xr:uid="{00000000-0005-0000-0000-00004D890000}"/>
    <cellStyle name="Total 14 5 5 4" xfId="36349" xr:uid="{00000000-0005-0000-0000-00004E890000}"/>
    <cellStyle name="Total 14 5 6" xfId="22248" xr:uid="{00000000-0005-0000-0000-00004F890000}"/>
    <cellStyle name="Total 14 5 6 2" xfId="22249" xr:uid="{00000000-0005-0000-0000-000050890000}"/>
    <cellStyle name="Total 14 5 6 3" xfId="36350" xr:uid="{00000000-0005-0000-0000-000051890000}"/>
    <cellStyle name="Total 14 5 6 4" xfId="36351" xr:uid="{00000000-0005-0000-0000-000052890000}"/>
    <cellStyle name="Total 14 5 7" xfId="22250" xr:uid="{00000000-0005-0000-0000-000053890000}"/>
    <cellStyle name="Total 14 5 7 2" xfId="22251" xr:uid="{00000000-0005-0000-0000-000054890000}"/>
    <cellStyle name="Total 14 5 7 3" xfId="36352" xr:uid="{00000000-0005-0000-0000-000055890000}"/>
    <cellStyle name="Total 14 5 7 4" xfId="36353" xr:uid="{00000000-0005-0000-0000-000056890000}"/>
    <cellStyle name="Total 14 5 8" xfId="22252" xr:uid="{00000000-0005-0000-0000-000057890000}"/>
    <cellStyle name="Total 14 5 9" xfId="36354" xr:uid="{00000000-0005-0000-0000-000058890000}"/>
    <cellStyle name="Total 14 6" xfId="22253" xr:uid="{00000000-0005-0000-0000-000059890000}"/>
    <cellStyle name="Total 14 6 2" xfId="22254" xr:uid="{00000000-0005-0000-0000-00005A890000}"/>
    <cellStyle name="Total 14 6 3" xfId="36355" xr:uid="{00000000-0005-0000-0000-00005B890000}"/>
    <cellStyle name="Total 14 6 4" xfId="36356" xr:uid="{00000000-0005-0000-0000-00005C890000}"/>
    <cellStyle name="Total 14 7" xfId="22255" xr:uid="{00000000-0005-0000-0000-00005D890000}"/>
    <cellStyle name="Total 14 7 2" xfId="22256" xr:uid="{00000000-0005-0000-0000-00005E890000}"/>
    <cellStyle name="Total 14 7 3" xfId="36357" xr:uid="{00000000-0005-0000-0000-00005F890000}"/>
    <cellStyle name="Total 14 7 4" xfId="36358" xr:uid="{00000000-0005-0000-0000-000060890000}"/>
    <cellStyle name="Total 14 8" xfId="22257" xr:uid="{00000000-0005-0000-0000-000061890000}"/>
    <cellStyle name="Total 14 8 2" xfId="22258" xr:uid="{00000000-0005-0000-0000-000062890000}"/>
    <cellStyle name="Total 14 8 3" xfId="36359" xr:uid="{00000000-0005-0000-0000-000063890000}"/>
    <cellStyle name="Total 14 8 4" xfId="36360" xr:uid="{00000000-0005-0000-0000-000064890000}"/>
    <cellStyle name="Total 14 9" xfId="22259" xr:uid="{00000000-0005-0000-0000-000065890000}"/>
    <cellStyle name="Total 14 9 2" xfId="22260" xr:uid="{00000000-0005-0000-0000-000066890000}"/>
    <cellStyle name="Total 14 9 3" xfId="36361" xr:uid="{00000000-0005-0000-0000-000067890000}"/>
    <cellStyle name="Total 14 9 4" xfId="36362" xr:uid="{00000000-0005-0000-0000-000068890000}"/>
    <cellStyle name="Total 15" xfId="22261" xr:uid="{00000000-0005-0000-0000-000069890000}"/>
    <cellStyle name="Total 15 10" xfId="22262" xr:uid="{00000000-0005-0000-0000-00006A890000}"/>
    <cellStyle name="Total 15 10 2" xfId="22263" xr:uid="{00000000-0005-0000-0000-00006B890000}"/>
    <cellStyle name="Total 15 10 3" xfId="36363" xr:uid="{00000000-0005-0000-0000-00006C890000}"/>
    <cellStyle name="Total 15 10 4" xfId="36364" xr:uid="{00000000-0005-0000-0000-00006D890000}"/>
    <cellStyle name="Total 15 11" xfId="22264" xr:uid="{00000000-0005-0000-0000-00006E890000}"/>
    <cellStyle name="Total 15 11 2" xfId="22265" xr:uid="{00000000-0005-0000-0000-00006F890000}"/>
    <cellStyle name="Total 15 11 3" xfId="36365" xr:uid="{00000000-0005-0000-0000-000070890000}"/>
    <cellStyle name="Total 15 11 4" xfId="36366" xr:uid="{00000000-0005-0000-0000-000071890000}"/>
    <cellStyle name="Total 15 12" xfId="22266" xr:uid="{00000000-0005-0000-0000-000072890000}"/>
    <cellStyle name="Total 15 13" xfId="36367" xr:uid="{00000000-0005-0000-0000-000073890000}"/>
    <cellStyle name="Total 15 14" xfId="36368" xr:uid="{00000000-0005-0000-0000-000074890000}"/>
    <cellStyle name="Total 15 2" xfId="22267" xr:uid="{00000000-0005-0000-0000-000075890000}"/>
    <cellStyle name="Total 15 2 10" xfId="36369" xr:uid="{00000000-0005-0000-0000-000076890000}"/>
    <cellStyle name="Total 15 2 2" xfId="22268" xr:uid="{00000000-0005-0000-0000-000077890000}"/>
    <cellStyle name="Total 15 2 2 2" xfId="22269" xr:uid="{00000000-0005-0000-0000-000078890000}"/>
    <cellStyle name="Total 15 2 2 3" xfId="36370" xr:uid="{00000000-0005-0000-0000-000079890000}"/>
    <cellStyle name="Total 15 2 2 4" xfId="36371" xr:uid="{00000000-0005-0000-0000-00007A890000}"/>
    <cellStyle name="Total 15 2 3" xfId="22270" xr:uid="{00000000-0005-0000-0000-00007B890000}"/>
    <cellStyle name="Total 15 2 3 2" xfId="22271" xr:uid="{00000000-0005-0000-0000-00007C890000}"/>
    <cellStyle name="Total 15 2 3 3" xfId="36372" xr:uid="{00000000-0005-0000-0000-00007D890000}"/>
    <cellStyle name="Total 15 2 3 4" xfId="36373" xr:uid="{00000000-0005-0000-0000-00007E890000}"/>
    <cellStyle name="Total 15 2 4" xfId="22272" xr:uid="{00000000-0005-0000-0000-00007F890000}"/>
    <cellStyle name="Total 15 2 4 2" xfId="22273" xr:uid="{00000000-0005-0000-0000-000080890000}"/>
    <cellStyle name="Total 15 2 4 3" xfId="36374" xr:uid="{00000000-0005-0000-0000-000081890000}"/>
    <cellStyle name="Total 15 2 4 4" xfId="36375" xr:uid="{00000000-0005-0000-0000-000082890000}"/>
    <cellStyle name="Total 15 2 5" xfId="22274" xr:uid="{00000000-0005-0000-0000-000083890000}"/>
    <cellStyle name="Total 15 2 5 2" xfId="22275" xr:uid="{00000000-0005-0000-0000-000084890000}"/>
    <cellStyle name="Total 15 2 5 3" xfId="36376" xr:uid="{00000000-0005-0000-0000-000085890000}"/>
    <cellStyle name="Total 15 2 5 4" xfId="36377" xr:uid="{00000000-0005-0000-0000-000086890000}"/>
    <cellStyle name="Total 15 2 6" xfId="22276" xr:uid="{00000000-0005-0000-0000-000087890000}"/>
    <cellStyle name="Total 15 2 6 2" xfId="22277" xr:uid="{00000000-0005-0000-0000-000088890000}"/>
    <cellStyle name="Total 15 2 6 3" xfId="36378" xr:uid="{00000000-0005-0000-0000-000089890000}"/>
    <cellStyle name="Total 15 2 6 4" xfId="36379" xr:uid="{00000000-0005-0000-0000-00008A890000}"/>
    <cellStyle name="Total 15 2 7" xfId="22278" xr:uid="{00000000-0005-0000-0000-00008B890000}"/>
    <cellStyle name="Total 15 2 7 2" xfId="22279" xr:uid="{00000000-0005-0000-0000-00008C890000}"/>
    <cellStyle name="Total 15 2 7 3" xfId="36380" xr:uid="{00000000-0005-0000-0000-00008D890000}"/>
    <cellStyle name="Total 15 2 7 4" xfId="36381" xr:uid="{00000000-0005-0000-0000-00008E890000}"/>
    <cellStyle name="Total 15 2 8" xfId="22280" xr:uid="{00000000-0005-0000-0000-00008F890000}"/>
    <cellStyle name="Total 15 2 9" xfId="36382" xr:uid="{00000000-0005-0000-0000-000090890000}"/>
    <cellStyle name="Total 15 3" xfId="22281" xr:uid="{00000000-0005-0000-0000-000091890000}"/>
    <cellStyle name="Total 15 3 10" xfId="36383" xr:uid="{00000000-0005-0000-0000-000092890000}"/>
    <cellStyle name="Total 15 3 2" xfId="22282" xr:uid="{00000000-0005-0000-0000-000093890000}"/>
    <cellStyle name="Total 15 3 2 2" xfId="22283" xr:uid="{00000000-0005-0000-0000-000094890000}"/>
    <cellStyle name="Total 15 3 2 3" xfId="36384" xr:uid="{00000000-0005-0000-0000-000095890000}"/>
    <cellStyle name="Total 15 3 2 4" xfId="36385" xr:uid="{00000000-0005-0000-0000-000096890000}"/>
    <cellStyle name="Total 15 3 3" xfId="22284" xr:uid="{00000000-0005-0000-0000-000097890000}"/>
    <cellStyle name="Total 15 3 3 2" xfId="22285" xr:uid="{00000000-0005-0000-0000-000098890000}"/>
    <cellStyle name="Total 15 3 3 3" xfId="36386" xr:uid="{00000000-0005-0000-0000-000099890000}"/>
    <cellStyle name="Total 15 3 3 4" xfId="36387" xr:uid="{00000000-0005-0000-0000-00009A890000}"/>
    <cellStyle name="Total 15 3 4" xfId="22286" xr:uid="{00000000-0005-0000-0000-00009B890000}"/>
    <cellStyle name="Total 15 3 4 2" xfId="22287" xr:uid="{00000000-0005-0000-0000-00009C890000}"/>
    <cellStyle name="Total 15 3 4 3" xfId="36388" xr:uid="{00000000-0005-0000-0000-00009D890000}"/>
    <cellStyle name="Total 15 3 4 4" xfId="36389" xr:uid="{00000000-0005-0000-0000-00009E890000}"/>
    <cellStyle name="Total 15 3 5" xfId="22288" xr:uid="{00000000-0005-0000-0000-00009F890000}"/>
    <cellStyle name="Total 15 3 5 2" xfId="22289" xr:uid="{00000000-0005-0000-0000-0000A0890000}"/>
    <cellStyle name="Total 15 3 5 3" xfId="36390" xr:uid="{00000000-0005-0000-0000-0000A1890000}"/>
    <cellStyle name="Total 15 3 5 4" xfId="36391" xr:uid="{00000000-0005-0000-0000-0000A2890000}"/>
    <cellStyle name="Total 15 3 6" xfId="22290" xr:uid="{00000000-0005-0000-0000-0000A3890000}"/>
    <cellStyle name="Total 15 3 6 2" xfId="22291" xr:uid="{00000000-0005-0000-0000-0000A4890000}"/>
    <cellStyle name="Total 15 3 6 3" xfId="36392" xr:uid="{00000000-0005-0000-0000-0000A5890000}"/>
    <cellStyle name="Total 15 3 6 4" xfId="36393" xr:uid="{00000000-0005-0000-0000-0000A6890000}"/>
    <cellStyle name="Total 15 3 7" xfId="22292" xr:uid="{00000000-0005-0000-0000-0000A7890000}"/>
    <cellStyle name="Total 15 3 7 2" xfId="22293" xr:uid="{00000000-0005-0000-0000-0000A8890000}"/>
    <cellStyle name="Total 15 3 7 3" xfId="36394" xr:uid="{00000000-0005-0000-0000-0000A9890000}"/>
    <cellStyle name="Total 15 3 7 4" xfId="36395" xr:uid="{00000000-0005-0000-0000-0000AA890000}"/>
    <cellStyle name="Total 15 3 8" xfId="22294" xr:uid="{00000000-0005-0000-0000-0000AB890000}"/>
    <cellStyle name="Total 15 3 9" xfId="36396" xr:uid="{00000000-0005-0000-0000-0000AC890000}"/>
    <cellStyle name="Total 15 4" xfId="22295" xr:uid="{00000000-0005-0000-0000-0000AD890000}"/>
    <cellStyle name="Total 15 4 10" xfId="36397" xr:uid="{00000000-0005-0000-0000-0000AE890000}"/>
    <cellStyle name="Total 15 4 2" xfId="22296" xr:uid="{00000000-0005-0000-0000-0000AF890000}"/>
    <cellStyle name="Total 15 4 2 2" xfId="22297" xr:uid="{00000000-0005-0000-0000-0000B0890000}"/>
    <cellStyle name="Total 15 4 2 3" xfId="36398" xr:uid="{00000000-0005-0000-0000-0000B1890000}"/>
    <cellStyle name="Total 15 4 2 4" xfId="36399" xr:uid="{00000000-0005-0000-0000-0000B2890000}"/>
    <cellStyle name="Total 15 4 3" xfId="22298" xr:uid="{00000000-0005-0000-0000-0000B3890000}"/>
    <cellStyle name="Total 15 4 3 2" xfId="22299" xr:uid="{00000000-0005-0000-0000-0000B4890000}"/>
    <cellStyle name="Total 15 4 3 3" xfId="36400" xr:uid="{00000000-0005-0000-0000-0000B5890000}"/>
    <cellStyle name="Total 15 4 3 4" xfId="36401" xr:uid="{00000000-0005-0000-0000-0000B6890000}"/>
    <cellStyle name="Total 15 4 4" xfId="22300" xr:uid="{00000000-0005-0000-0000-0000B7890000}"/>
    <cellStyle name="Total 15 4 4 2" xfId="22301" xr:uid="{00000000-0005-0000-0000-0000B8890000}"/>
    <cellStyle name="Total 15 4 4 3" xfId="36402" xr:uid="{00000000-0005-0000-0000-0000B9890000}"/>
    <cellStyle name="Total 15 4 4 4" xfId="36403" xr:uid="{00000000-0005-0000-0000-0000BA890000}"/>
    <cellStyle name="Total 15 4 5" xfId="22302" xr:uid="{00000000-0005-0000-0000-0000BB890000}"/>
    <cellStyle name="Total 15 4 5 2" xfId="22303" xr:uid="{00000000-0005-0000-0000-0000BC890000}"/>
    <cellStyle name="Total 15 4 5 3" xfId="36404" xr:uid="{00000000-0005-0000-0000-0000BD890000}"/>
    <cellStyle name="Total 15 4 5 4" xfId="36405" xr:uid="{00000000-0005-0000-0000-0000BE890000}"/>
    <cellStyle name="Total 15 4 6" xfId="22304" xr:uid="{00000000-0005-0000-0000-0000BF890000}"/>
    <cellStyle name="Total 15 4 6 2" xfId="22305" xr:uid="{00000000-0005-0000-0000-0000C0890000}"/>
    <cellStyle name="Total 15 4 6 3" xfId="36406" xr:uid="{00000000-0005-0000-0000-0000C1890000}"/>
    <cellStyle name="Total 15 4 6 4" xfId="36407" xr:uid="{00000000-0005-0000-0000-0000C2890000}"/>
    <cellStyle name="Total 15 4 7" xfId="22306" xr:uid="{00000000-0005-0000-0000-0000C3890000}"/>
    <cellStyle name="Total 15 4 7 2" xfId="22307" xr:uid="{00000000-0005-0000-0000-0000C4890000}"/>
    <cellStyle name="Total 15 4 7 3" xfId="36408" xr:uid="{00000000-0005-0000-0000-0000C5890000}"/>
    <cellStyle name="Total 15 4 7 4" xfId="36409" xr:uid="{00000000-0005-0000-0000-0000C6890000}"/>
    <cellStyle name="Total 15 4 8" xfId="22308" xr:uid="{00000000-0005-0000-0000-0000C7890000}"/>
    <cellStyle name="Total 15 4 9" xfId="36410" xr:uid="{00000000-0005-0000-0000-0000C8890000}"/>
    <cellStyle name="Total 15 5" xfId="22309" xr:uid="{00000000-0005-0000-0000-0000C9890000}"/>
    <cellStyle name="Total 15 5 10" xfId="36411" xr:uid="{00000000-0005-0000-0000-0000CA890000}"/>
    <cellStyle name="Total 15 5 2" xfId="22310" xr:uid="{00000000-0005-0000-0000-0000CB890000}"/>
    <cellStyle name="Total 15 5 2 2" xfId="22311" xr:uid="{00000000-0005-0000-0000-0000CC890000}"/>
    <cellStyle name="Total 15 5 2 3" xfId="36412" xr:uid="{00000000-0005-0000-0000-0000CD890000}"/>
    <cellStyle name="Total 15 5 2 4" xfId="36413" xr:uid="{00000000-0005-0000-0000-0000CE890000}"/>
    <cellStyle name="Total 15 5 3" xfId="22312" xr:uid="{00000000-0005-0000-0000-0000CF890000}"/>
    <cellStyle name="Total 15 5 3 2" xfId="22313" xr:uid="{00000000-0005-0000-0000-0000D0890000}"/>
    <cellStyle name="Total 15 5 3 3" xfId="36414" xr:uid="{00000000-0005-0000-0000-0000D1890000}"/>
    <cellStyle name="Total 15 5 3 4" xfId="36415" xr:uid="{00000000-0005-0000-0000-0000D2890000}"/>
    <cellStyle name="Total 15 5 4" xfId="22314" xr:uid="{00000000-0005-0000-0000-0000D3890000}"/>
    <cellStyle name="Total 15 5 4 2" xfId="22315" xr:uid="{00000000-0005-0000-0000-0000D4890000}"/>
    <cellStyle name="Total 15 5 4 3" xfId="36416" xr:uid="{00000000-0005-0000-0000-0000D5890000}"/>
    <cellStyle name="Total 15 5 4 4" xfId="36417" xr:uid="{00000000-0005-0000-0000-0000D6890000}"/>
    <cellStyle name="Total 15 5 5" xfId="22316" xr:uid="{00000000-0005-0000-0000-0000D7890000}"/>
    <cellStyle name="Total 15 5 5 2" xfId="22317" xr:uid="{00000000-0005-0000-0000-0000D8890000}"/>
    <cellStyle name="Total 15 5 5 3" xfId="36418" xr:uid="{00000000-0005-0000-0000-0000D9890000}"/>
    <cellStyle name="Total 15 5 5 4" xfId="36419" xr:uid="{00000000-0005-0000-0000-0000DA890000}"/>
    <cellStyle name="Total 15 5 6" xfId="22318" xr:uid="{00000000-0005-0000-0000-0000DB890000}"/>
    <cellStyle name="Total 15 5 6 2" xfId="22319" xr:uid="{00000000-0005-0000-0000-0000DC890000}"/>
    <cellStyle name="Total 15 5 6 3" xfId="36420" xr:uid="{00000000-0005-0000-0000-0000DD890000}"/>
    <cellStyle name="Total 15 5 6 4" xfId="36421" xr:uid="{00000000-0005-0000-0000-0000DE890000}"/>
    <cellStyle name="Total 15 5 7" xfId="22320" xr:uid="{00000000-0005-0000-0000-0000DF890000}"/>
    <cellStyle name="Total 15 5 7 2" xfId="22321" xr:uid="{00000000-0005-0000-0000-0000E0890000}"/>
    <cellStyle name="Total 15 5 7 3" xfId="36422" xr:uid="{00000000-0005-0000-0000-0000E1890000}"/>
    <cellStyle name="Total 15 5 7 4" xfId="36423" xr:uid="{00000000-0005-0000-0000-0000E2890000}"/>
    <cellStyle name="Total 15 5 8" xfId="22322" xr:uid="{00000000-0005-0000-0000-0000E3890000}"/>
    <cellStyle name="Total 15 5 9" xfId="36424" xr:uid="{00000000-0005-0000-0000-0000E4890000}"/>
    <cellStyle name="Total 15 6" xfId="22323" xr:uid="{00000000-0005-0000-0000-0000E5890000}"/>
    <cellStyle name="Total 15 6 2" xfId="22324" xr:uid="{00000000-0005-0000-0000-0000E6890000}"/>
    <cellStyle name="Total 15 6 3" xfId="36425" xr:uid="{00000000-0005-0000-0000-0000E7890000}"/>
    <cellStyle name="Total 15 6 4" xfId="36426" xr:uid="{00000000-0005-0000-0000-0000E8890000}"/>
    <cellStyle name="Total 15 7" xfId="22325" xr:uid="{00000000-0005-0000-0000-0000E9890000}"/>
    <cellStyle name="Total 15 7 2" xfId="22326" xr:uid="{00000000-0005-0000-0000-0000EA890000}"/>
    <cellStyle name="Total 15 7 3" xfId="36427" xr:uid="{00000000-0005-0000-0000-0000EB890000}"/>
    <cellStyle name="Total 15 7 4" xfId="36428" xr:uid="{00000000-0005-0000-0000-0000EC890000}"/>
    <cellStyle name="Total 15 8" xfId="22327" xr:uid="{00000000-0005-0000-0000-0000ED890000}"/>
    <cellStyle name="Total 15 8 2" xfId="22328" xr:uid="{00000000-0005-0000-0000-0000EE890000}"/>
    <cellStyle name="Total 15 8 3" xfId="36429" xr:uid="{00000000-0005-0000-0000-0000EF890000}"/>
    <cellStyle name="Total 15 8 4" xfId="36430" xr:uid="{00000000-0005-0000-0000-0000F0890000}"/>
    <cellStyle name="Total 15 9" xfId="22329" xr:uid="{00000000-0005-0000-0000-0000F1890000}"/>
    <cellStyle name="Total 15 9 2" xfId="22330" xr:uid="{00000000-0005-0000-0000-0000F2890000}"/>
    <cellStyle name="Total 15 9 3" xfId="36431" xr:uid="{00000000-0005-0000-0000-0000F3890000}"/>
    <cellStyle name="Total 15 9 4" xfId="36432" xr:uid="{00000000-0005-0000-0000-0000F4890000}"/>
    <cellStyle name="Total 16" xfId="22331" xr:uid="{00000000-0005-0000-0000-0000F5890000}"/>
    <cellStyle name="Total 16 10" xfId="22332" xr:uid="{00000000-0005-0000-0000-0000F6890000}"/>
    <cellStyle name="Total 16 10 2" xfId="22333" xr:uid="{00000000-0005-0000-0000-0000F7890000}"/>
    <cellStyle name="Total 16 10 3" xfId="36433" xr:uid="{00000000-0005-0000-0000-0000F8890000}"/>
    <cellStyle name="Total 16 10 4" xfId="36434" xr:uid="{00000000-0005-0000-0000-0000F9890000}"/>
    <cellStyle name="Total 16 11" xfId="22334" xr:uid="{00000000-0005-0000-0000-0000FA890000}"/>
    <cellStyle name="Total 16 11 2" xfId="22335" xr:uid="{00000000-0005-0000-0000-0000FB890000}"/>
    <cellStyle name="Total 16 11 3" xfId="36435" xr:uid="{00000000-0005-0000-0000-0000FC890000}"/>
    <cellStyle name="Total 16 11 4" xfId="36436" xr:uid="{00000000-0005-0000-0000-0000FD890000}"/>
    <cellStyle name="Total 16 12" xfId="22336" xr:uid="{00000000-0005-0000-0000-0000FE890000}"/>
    <cellStyle name="Total 16 13" xfId="36437" xr:uid="{00000000-0005-0000-0000-0000FF890000}"/>
    <cellStyle name="Total 16 14" xfId="36438" xr:uid="{00000000-0005-0000-0000-0000008A0000}"/>
    <cellStyle name="Total 16 2" xfId="22337" xr:uid="{00000000-0005-0000-0000-0000018A0000}"/>
    <cellStyle name="Total 16 2 10" xfId="36439" xr:uid="{00000000-0005-0000-0000-0000028A0000}"/>
    <cellStyle name="Total 16 2 2" xfId="22338" xr:uid="{00000000-0005-0000-0000-0000038A0000}"/>
    <cellStyle name="Total 16 2 2 2" xfId="22339" xr:uid="{00000000-0005-0000-0000-0000048A0000}"/>
    <cellStyle name="Total 16 2 2 3" xfId="36440" xr:uid="{00000000-0005-0000-0000-0000058A0000}"/>
    <cellStyle name="Total 16 2 2 4" xfId="36441" xr:uid="{00000000-0005-0000-0000-0000068A0000}"/>
    <cellStyle name="Total 16 2 3" xfId="22340" xr:uid="{00000000-0005-0000-0000-0000078A0000}"/>
    <cellStyle name="Total 16 2 3 2" xfId="22341" xr:uid="{00000000-0005-0000-0000-0000088A0000}"/>
    <cellStyle name="Total 16 2 3 3" xfId="36442" xr:uid="{00000000-0005-0000-0000-0000098A0000}"/>
    <cellStyle name="Total 16 2 3 4" xfId="36443" xr:uid="{00000000-0005-0000-0000-00000A8A0000}"/>
    <cellStyle name="Total 16 2 4" xfId="22342" xr:uid="{00000000-0005-0000-0000-00000B8A0000}"/>
    <cellStyle name="Total 16 2 4 2" xfId="22343" xr:uid="{00000000-0005-0000-0000-00000C8A0000}"/>
    <cellStyle name="Total 16 2 4 3" xfId="36444" xr:uid="{00000000-0005-0000-0000-00000D8A0000}"/>
    <cellStyle name="Total 16 2 4 4" xfId="36445" xr:uid="{00000000-0005-0000-0000-00000E8A0000}"/>
    <cellStyle name="Total 16 2 5" xfId="22344" xr:uid="{00000000-0005-0000-0000-00000F8A0000}"/>
    <cellStyle name="Total 16 2 5 2" xfId="22345" xr:uid="{00000000-0005-0000-0000-0000108A0000}"/>
    <cellStyle name="Total 16 2 5 3" xfId="36446" xr:uid="{00000000-0005-0000-0000-0000118A0000}"/>
    <cellStyle name="Total 16 2 5 4" xfId="36447" xr:uid="{00000000-0005-0000-0000-0000128A0000}"/>
    <cellStyle name="Total 16 2 6" xfId="22346" xr:uid="{00000000-0005-0000-0000-0000138A0000}"/>
    <cellStyle name="Total 16 2 6 2" xfId="22347" xr:uid="{00000000-0005-0000-0000-0000148A0000}"/>
    <cellStyle name="Total 16 2 6 3" xfId="36448" xr:uid="{00000000-0005-0000-0000-0000158A0000}"/>
    <cellStyle name="Total 16 2 6 4" xfId="36449" xr:uid="{00000000-0005-0000-0000-0000168A0000}"/>
    <cellStyle name="Total 16 2 7" xfId="22348" xr:uid="{00000000-0005-0000-0000-0000178A0000}"/>
    <cellStyle name="Total 16 2 7 2" xfId="22349" xr:uid="{00000000-0005-0000-0000-0000188A0000}"/>
    <cellStyle name="Total 16 2 7 3" xfId="36450" xr:uid="{00000000-0005-0000-0000-0000198A0000}"/>
    <cellStyle name="Total 16 2 7 4" xfId="36451" xr:uid="{00000000-0005-0000-0000-00001A8A0000}"/>
    <cellStyle name="Total 16 2 8" xfId="22350" xr:uid="{00000000-0005-0000-0000-00001B8A0000}"/>
    <cellStyle name="Total 16 2 9" xfId="36452" xr:uid="{00000000-0005-0000-0000-00001C8A0000}"/>
    <cellStyle name="Total 16 3" xfId="22351" xr:uid="{00000000-0005-0000-0000-00001D8A0000}"/>
    <cellStyle name="Total 16 3 10" xfId="36453" xr:uid="{00000000-0005-0000-0000-00001E8A0000}"/>
    <cellStyle name="Total 16 3 2" xfId="22352" xr:uid="{00000000-0005-0000-0000-00001F8A0000}"/>
    <cellStyle name="Total 16 3 2 2" xfId="22353" xr:uid="{00000000-0005-0000-0000-0000208A0000}"/>
    <cellStyle name="Total 16 3 2 3" xfId="36454" xr:uid="{00000000-0005-0000-0000-0000218A0000}"/>
    <cellStyle name="Total 16 3 2 4" xfId="36455" xr:uid="{00000000-0005-0000-0000-0000228A0000}"/>
    <cellStyle name="Total 16 3 3" xfId="22354" xr:uid="{00000000-0005-0000-0000-0000238A0000}"/>
    <cellStyle name="Total 16 3 3 2" xfId="22355" xr:uid="{00000000-0005-0000-0000-0000248A0000}"/>
    <cellStyle name="Total 16 3 3 3" xfId="36456" xr:uid="{00000000-0005-0000-0000-0000258A0000}"/>
    <cellStyle name="Total 16 3 3 4" xfId="36457" xr:uid="{00000000-0005-0000-0000-0000268A0000}"/>
    <cellStyle name="Total 16 3 4" xfId="22356" xr:uid="{00000000-0005-0000-0000-0000278A0000}"/>
    <cellStyle name="Total 16 3 4 2" xfId="22357" xr:uid="{00000000-0005-0000-0000-0000288A0000}"/>
    <cellStyle name="Total 16 3 4 3" xfId="36458" xr:uid="{00000000-0005-0000-0000-0000298A0000}"/>
    <cellStyle name="Total 16 3 4 4" xfId="36459" xr:uid="{00000000-0005-0000-0000-00002A8A0000}"/>
    <cellStyle name="Total 16 3 5" xfId="22358" xr:uid="{00000000-0005-0000-0000-00002B8A0000}"/>
    <cellStyle name="Total 16 3 5 2" xfId="22359" xr:uid="{00000000-0005-0000-0000-00002C8A0000}"/>
    <cellStyle name="Total 16 3 5 3" xfId="36460" xr:uid="{00000000-0005-0000-0000-00002D8A0000}"/>
    <cellStyle name="Total 16 3 5 4" xfId="36461" xr:uid="{00000000-0005-0000-0000-00002E8A0000}"/>
    <cellStyle name="Total 16 3 6" xfId="22360" xr:uid="{00000000-0005-0000-0000-00002F8A0000}"/>
    <cellStyle name="Total 16 3 6 2" xfId="22361" xr:uid="{00000000-0005-0000-0000-0000308A0000}"/>
    <cellStyle name="Total 16 3 6 3" xfId="36462" xr:uid="{00000000-0005-0000-0000-0000318A0000}"/>
    <cellStyle name="Total 16 3 6 4" xfId="36463" xr:uid="{00000000-0005-0000-0000-0000328A0000}"/>
    <cellStyle name="Total 16 3 7" xfId="22362" xr:uid="{00000000-0005-0000-0000-0000338A0000}"/>
    <cellStyle name="Total 16 3 7 2" xfId="22363" xr:uid="{00000000-0005-0000-0000-0000348A0000}"/>
    <cellStyle name="Total 16 3 7 3" xfId="36464" xr:uid="{00000000-0005-0000-0000-0000358A0000}"/>
    <cellStyle name="Total 16 3 7 4" xfId="36465" xr:uid="{00000000-0005-0000-0000-0000368A0000}"/>
    <cellStyle name="Total 16 3 8" xfId="22364" xr:uid="{00000000-0005-0000-0000-0000378A0000}"/>
    <cellStyle name="Total 16 3 9" xfId="36466" xr:uid="{00000000-0005-0000-0000-0000388A0000}"/>
    <cellStyle name="Total 16 4" xfId="22365" xr:uid="{00000000-0005-0000-0000-0000398A0000}"/>
    <cellStyle name="Total 16 4 10" xfId="36467" xr:uid="{00000000-0005-0000-0000-00003A8A0000}"/>
    <cellStyle name="Total 16 4 2" xfId="22366" xr:uid="{00000000-0005-0000-0000-00003B8A0000}"/>
    <cellStyle name="Total 16 4 2 2" xfId="22367" xr:uid="{00000000-0005-0000-0000-00003C8A0000}"/>
    <cellStyle name="Total 16 4 2 3" xfId="36468" xr:uid="{00000000-0005-0000-0000-00003D8A0000}"/>
    <cellStyle name="Total 16 4 2 4" xfId="36469" xr:uid="{00000000-0005-0000-0000-00003E8A0000}"/>
    <cellStyle name="Total 16 4 3" xfId="22368" xr:uid="{00000000-0005-0000-0000-00003F8A0000}"/>
    <cellStyle name="Total 16 4 3 2" xfId="22369" xr:uid="{00000000-0005-0000-0000-0000408A0000}"/>
    <cellStyle name="Total 16 4 3 3" xfId="36470" xr:uid="{00000000-0005-0000-0000-0000418A0000}"/>
    <cellStyle name="Total 16 4 3 4" xfId="36471" xr:uid="{00000000-0005-0000-0000-0000428A0000}"/>
    <cellStyle name="Total 16 4 4" xfId="22370" xr:uid="{00000000-0005-0000-0000-0000438A0000}"/>
    <cellStyle name="Total 16 4 4 2" xfId="22371" xr:uid="{00000000-0005-0000-0000-0000448A0000}"/>
    <cellStyle name="Total 16 4 4 3" xfId="36472" xr:uid="{00000000-0005-0000-0000-0000458A0000}"/>
    <cellStyle name="Total 16 4 4 4" xfId="36473" xr:uid="{00000000-0005-0000-0000-0000468A0000}"/>
    <cellStyle name="Total 16 4 5" xfId="22372" xr:uid="{00000000-0005-0000-0000-0000478A0000}"/>
    <cellStyle name="Total 16 4 5 2" xfId="22373" xr:uid="{00000000-0005-0000-0000-0000488A0000}"/>
    <cellStyle name="Total 16 4 5 3" xfId="36474" xr:uid="{00000000-0005-0000-0000-0000498A0000}"/>
    <cellStyle name="Total 16 4 5 4" xfId="36475" xr:uid="{00000000-0005-0000-0000-00004A8A0000}"/>
    <cellStyle name="Total 16 4 6" xfId="22374" xr:uid="{00000000-0005-0000-0000-00004B8A0000}"/>
    <cellStyle name="Total 16 4 6 2" xfId="22375" xr:uid="{00000000-0005-0000-0000-00004C8A0000}"/>
    <cellStyle name="Total 16 4 6 3" xfId="36476" xr:uid="{00000000-0005-0000-0000-00004D8A0000}"/>
    <cellStyle name="Total 16 4 6 4" xfId="36477" xr:uid="{00000000-0005-0000-0000-00004E8A0000}"/>
    <cellStyle name="Total 16 4 7" xfId="22376" xr:uid="{00000000-0005-0000-0000-00004F8A0000}"/>
    <cellStyle name="Total 16 4 7 2" xfId="22377" xr:uid="{00000000-0005-0000-0000-0000508A0000}"/>
    <cellStyle name="Total 16 4 7 3" xfId="36478" xr:uid="{00000000-0005-0000-0000-0000518A0000}"/>
    <cellStyle name="Total 16 4 7 4" xfId="36479" xr:uid="{00000000-0005-0000-0000-0000528A0000}"/>
    <cellStyle name="Total 16 4 8" xfId="22378" xr:uid="{00000000-0005-0000-0000-0000538A0000}"/>
    <cellStyle name="Total 16 4 9" xfId="36480" xr:uid="{00000000-0005-0000-0000-0000548A0000}"/>
    <cellStyle name="Total 16 5" xfId="22379" xr:uid="{00000000-0005-0000-0000-0000558A0000}"/>
    <cellStyle name="Total 16 5 10" xfId="36481" xr:uid="{00000000-0005-0000-0000-0000568A0000}"/>
    <cellStyle name="Total 16 5 2" xfId="22380" xr:uid="{00000000-0005-0000-0000-0000578A0000}"/>
    <cellStyle name="Total 16 5 2 2" xfId="22381" xr:uid="{00000000-0005-0000-0000-0000588A0000}"/>
    <cellStyle name="Total 16 5 2 3" xfId="36482" xr:uid="{00000000-0005-0000-0000-0000598A0000}"/>
    <cellStyle name="Total 16 5 2 4" xfId="36483" xr:uid="{00000000-0005-0000-0000-00005A8A0000}"/>
    <cellStyle name="Total 16 5 3" xfId="22382" xr:uid="{00000000-0005-0000-0000-00005B8A0000}"/>
    <cellStyle name="Total 16 5 3 2" xfId="22383" xr:uid="{00000000-0005-0000-0000-00005C8A0000}"/>
    <cellStyle name="Total 16 5 3 3" xfId="36484" xr:uid="{00000000-0005-0000-0000-00005D8A0000}"/>
    <cellStyle name="Total 16 5 3 4" xfId="36485" xr:uid="{00000000-0005-0000-0000-00005E8A0000}"/>
    <cellStyle name="Total 16 5 4" xfId="22384" xr:uid="{00000000-0005-0000-0000-00005F8A0000}"/>
    <cellStyle name="Total 16 5 4 2" xfId="22385" xr:uid="{00000000-0005-0000-0000-0000608A0000}"/>
    <cellStyle name="Total 16 5 4 3" xfId="36486" xr:uid="{00000000-0005-0000-0000-0000618A0000}"/>
    <cellStyle name="Total 16 5 4 4" xfId="36487" xr:uid="{00000000-0005-0000-0000-0000628A0000}"/>
    <cellStyle name="Total 16 5 5" xfId="22386" xr:uid="{00000000-0005-0000-0000-0000638A0000}"/>
    <cellStyle name="Total 16 5 5 2" xfId="22387" xr:uid="{00000000-0005-0000-0000-0000648A0000}"/>
    <cellStyle name="Total 16 5 5 3" xfId="36488" xr:uid="{00000000-0005-0000-0000-0000658A0000}"/>
    <cellStyle name="Total 16 5 5 4" xfId="36489" xr:uid="{00000000-0005-0000-0000-0000668A0000}"/>
    <cellStyle name="Total 16 5 6" xfId="22388" xr:uid="{00000000-0005-0000-0000-0000678A0000}"/>
    <cellStyle name="Total 16 5 6 2" xfId="22389" xr:uid="{00000000-0005-0000-0000-0000688A0000}"/>
    <cellStyle name="Total 16 5 6 3" xfId="36490" xr:uid="{00000000-0005-0000-0000-0000698A0000}"/>
    <cellStyle name="Total 16 5 6 4" xfId="36491" xr:uid="{00000000-0005-0000-0000-00006A8A0000}"/>
    <cellStyle name="Total 16 5 7" xfId="22390" xr:uid="{00000000-0005-0000-0000-00006B8A0000}"/>
    <cellStyle name="Total 16 5 7 2" xfId="22391" xr:uid="{00000000-0005-0000-0000-00006C8A0000}"/>
    <cellStyle name="Total 16 5 7 3" xfId="36492" xr:uid="{00000000-0005-0000-0000-00006D8A0000}"/>
    <cellStyle name="Total 16 5 7 4" xfId="36493" xr:uid="{00000000-0005-0000-0000-00006E8A0000}"/>
    <cellStyle name="Total 16 5 8" xfId="22392" xr:uid="{00000000-0005-0000-0000-00006F8A0000}"/>
    <cellStyle name="Total 16 5 9" xfId="36494" xr:uid="{00000000-0005-0000-0000-0000708A0000}"/>
    <cellStyle name="Total 16 6" xfId="22393" xr:uid="{00000000-0005-0000-0000-0000718A0000}"/>
    <cellStyle name="Total 16 6 2" xfId="22394" xr:uid="{00000000-0005-0000-0000-0000728A0000}"/>
    <cellStyle name="Total 16 6 3" xfId="36495" xr:uid="{00000000-0005-0000-0000-0000738A0000}"/>
    <cellStyle name="Total 16 6 4" xfId="36496" xr:uid="{00000000-0005-0000-0000-0000748A0000}"/>
    <cellStyle name="Total 16 7" xfId="22395" xr:uid="{00000000-0005-0000-0000-0000758A0000}"/>
    <cellStyle name="Total 16 7 2" xfId="22396" xr:uid="{00000000-0005-0000-0000-0000768A0000}"/>
    <cellStyle name="Total 16 7 3" xfId="36497" xr:uid="{00000000-0005-0000-0000-0000778A0000}"/>
    <cellStyle name="Total 16 7 4" xfId="36498" xr:uid="{00000000-0005-0000-0000-0000788A0000}"/>
    <cellStyle name="Total 16 8" xfId="22397" xr:uid="{00000000-0005-0000-0000-0000798A0000}"/>
    <cellStyle name="Total 16 8 2" xfId="22398" xr:uid="{00000000-0005-0000-0000-00007A8A0000}"/>
    <cellStyle name="Total 16 8 3" xfId="36499" xr:uid="{00000000-0005-0000-0000-00007B8A0000}"/>
    <cellStyle name="Total 16 8 4" xfId="36500" xr:uid="{00000000-0005-0000-0000-00007C8A0000}"/>
    <cellStyle name="Total 16 9" xfId="22399" xr:uid="{00000000-0005-0000-0000-00007D8A0000}"/>
    <cellStyle name="Total 16 9 2" xfId="22400" xr:uid="{00000000-0005-0000-0000-00007E8A0000}"/>
    <cellStyle name="Total 16 9 3" xfId="36501" xr:uid="{00000000-0005-0000-0000-00007F8A0000}"/>
    <cellStyle name="Total 16 9 4" xfId="36502" xr:uid="{00000000-0005-0000-0000-0000808A0000}"/>
    <cellStyle name="Total 17" xfId="22401" xr:uid="{00000000-0005-0000-0000-0000818A0000}"/>
    <cellStyle name="Total 17 10" xfId="22402" xr:uid="{00000000-0005-0000-0000-0000828A0000}"/>
    <cellStyle name="Total 17 10 2" xfId="22403" xr:uid="{00000000-0005-0000-0000-0000838A0000}"/>
    <cellStyle name="Total 17 10 3" xfId="36503" xr:uid="{00000000-0005-0000-0000-0000848A0000}"/>
    <cellStyle name="Total 17 10 4" xfId="36504" xr:uid="{00000000-0005-0000-0000-0000858A0000}"/>
    <cellStyle name="Total 17 11" xfId="22404" xr:uid="{00000000-0005-0000-0000-0000868A0000}"/>
    <cellStyle name="Total 17 11 2" xfId="22405" xr:uid="{00000000-0005-0000-0000-0000878A0000}"/>
    <cellStyle name="Total 17 11 3" xfId="36505" xr:uid="{00000000-0005-0000-0000-0000888A0000}"/>
    <cellStyle name="Total 17 11 4" xfId="36506" xr:uid="{00000000-0005-0000-0000-0000898A0000}"/>
    <cellStyle name="Total 17 12" xfId="22406" xr:uid="{00000000-0005-0000-0000-00008A8A0000}"/>
    <cellStyle name="Total 17 13" xfId="36507" xr:uid="{00000000-0005-0000-0000-00008B8A0000}"/>
    <cellStyle name="Total 17 14" xfId="36508" xr:uid="{00000000-0005-0000-0000-00008C8A0000}"/>
    <cellStyle name="Total 17 2" xfId="22407" xr:uid="{00000000-0005-0000-0000-00008D8A0000}"/>
    <cellStyle name="Total 17 2 10" xfId="36509" xr:uid="{00000000-0005-0000-0000-00008E8A0000}"/>
    <cellStyle name="Total 17 2 2" xfId="22408" xr:uid="{00000000-0005-0000-0000-00008F8A0000}"/>
    <cellStyle name="Total 17 2 2 2" xfId="22409" xr:uid="{00000000-0005-0000-0000-0000908A0000}"/>
    <cellStyle name="Total 17 2 2 3" xfId="36510" xr:uid="{00000000-0005-0000-0000-0000918A0000}"/>
    <cellStyle name="Total 17 2 2 4" xfId="36511" xr:uid="{00000000-0005-0000-0000-0000928A0000}"/>
    <cellStyle name="Total 17 2 3" xfId="22410" xr:uid="{00000000-0005-0000-0000-0000938A0000}"/>
    <cellStyle name="Total 17 2 3 2" xfId="22411" xr:uid="{00000000-0005-0000-0000-0000948A0000}"/>
    <cellStyle name="Total 17 2 3 3" xfId="36512" xr:uid="{00000000-0005-0000-0000-0000958A0000}"/>
    <cellStyle name="Total 17 2 3 4" xfId="36513" xr:uid="{00000000-0005-0000-0000-0000968A0000}"/>
    <cellStyle name="Total 17 2 4" xfId="22412" xr:uid="{00000000-0005-0000-0000-0000978A0000}"/>
    <cellStyle name="Total 17 2 4 2" xfId="22413" xr:uid="{00000000-0005-0000-0000-0000988A0000}"/>
    <cellStyle name="Total 17 2 4 3" xfId="36514" xr:uid="{00000000-0005-0000-0000-0000998A0000}"/>
    <cellStyle name="Total 17 2 4 4" xfId="36515" xr:uid="{00000000-0005-0000-0000-00009A8A0000}"/>
    <cellStyle name="Total 17 2 5" xfId="22414" xr:uid="{00000000-0005-0000-0000-00009B8A0000}"/>
    <cellStyle name="Total 17 2 5 2" xfId="22415" xr:uid="{00000000-0005-0000-0000-00009C8A0000}"/>
    <cellStyle name="Total 17 2 5 3" xfId="36516" xr:uid="{00000000-0005-0000-0000-00009D8A0000}"/>
    <cellStyle name="Total 17 2 5 4" xfId="36517" xr:uid="{00000000-0005-0000-0000-00009E8A0000}"/>
    <cellStyle name="Total 17 2 6" xfId="22416" xr:uid="{00000000-0005-0000-0000-00009F8A0000}"/>
    <cellStyle name="Total 17 2 6 2" xfId="22417" xr:uid="{00000000-0005-0000-0000-0000A08A0000}"/>
    <cellStyle name="Total 17 2 6 3" xfId="36518" xr:uid="{00000000-0005-0000-0000-0000A18A0000}"/>
    <cellStyle name="Total 17 2 6 4" xfId="36519" xr:uid="{00000000-0005-0000-0000-0000A28A0000}"/>
    <cellStyle name="Total 17 2 7" xfId="22418" xr:uid="{00000000-0005-0000-0000-0000A38A0000}"/>
    <cellStyle name="Total 17 2 7 2" xfId="22419" xr:uid="{00000000-0005-0000-0000-0000A48A0000}"/>
    <cellStyle name="Total 17 2 7 3" xfId="36520" xr:uid="{00000000-0005-0000-0000-0000A58A0000}"/>
    <cellStyle name="Total 17 2 7 4" xfId="36521" xr:uid="{00000000-0005-0000-0000-0000A68A0000}"/>
    <cellStyle name="Total 17 2 8" xfId="22420" xr:uid="{00000000-0005-0000-0000-0000A78A0000}"/>
    <cellStyle name="Total 17 2 9" xfId="36522" xr:uid="{00000000-0005-0000-0000-0000A88A0000}"/>
    <cellStyle name="Total 17 3" xfId="22421" xr:uid="{00000000-0005-0000-0000-0000A98A0000}"/>
    <cellStyle name="Total 17 3 10" xfId="36523" xr:uid="{00000000-0005-0000-0000-0000AA8A0000}"/>
    <cellStyle name="Total 17 3 2" xfId="22422" xr:uid="{00000000-0005-0000-0000-0000AB8A0000}"/>
    <cellStyle name="Total 17 3 2 2" xfId="22423" xr:uid="{00000000-0005-0000-0000-0000AC8A0000}"/>
    <cellStyle name="Total 17 3 2 3" xfId="36524" xr:uid="{00000000-0005-0000-0000-0000AD8A0000}"/>
    <cellStyle name="Total 17 3 2 4" xfId="36525" xr:uid="{00000000-0005-0000-0000-0000AE8A0000}"/>
    <cellStyle name="Total 17 3 3" xfId="22424" xr:uid="{00000000-0005-0000-0000-0000AF8A0000}"/>
    <cellStyle name="Total 17 3 3 2" xfId="22425" xr:uid="{00000000-0005-0000-0000-0000B08A0000}"/>
    <cellStyle name="Total 17 3 3 3" xfId="36526" xr:uid="{00000000-0005-0000-0000-0000B18A0000}"/>
    <cellStyle name="Total 17 3 3 4" xfId="36527" xr:uid="{00000000-0005-0000-0000-0000B28A0000}"/>
    <cellStyle name="Total 17 3 4" xfId="22426" xr:uid="{00000000-0005-0000-0000-0000B38A0000}"/>
    <cellStyle name="Total 17 3 4 2" xfId="22427" xr:uid="{00000000-0005-0000-0000-0000B48A0000}"/>
    <cellStyle name="Total 17 3 4 3" xfId="36528" xr:uid="{00000000-0005-0000-0000-0000B58A0000}"/>
    <cellStyle name="Total 17 3 4 4" xfId="36529" xr:uid="{00000000-0005-0000-0000-0000B68A0000}"/>
    <cellStyle name="Total 17 3 5" xfId="22428" xr:uid="{00000000-0005-0000-0000-0000B78A0000}"/>
    <cellStyle name="Total 17 3 5 2" xfId="22429" xr:uid="{00000000-0005-0000-0000-0000B88A0000}"/>
    <cellStyle name="Total 17 3 5 3" xfId="36530" xr:uid="{00000000-0005-0000-0000-0000B98A0000}"/>
    <cellStyle name="Total 17 3 5 4" xfId="36531" xr:uid="{00000000-0005-0000-0000-0000BA8A0000}"/>
    <cellStyle name="Total 17 3 6" xfId="22430" xr:uid="{00000000-0005-0000-0000-0000BB8A0000}"/>
    <cellStyle name="Total 17 3 6 2" xfId="22431" xr:uid="{00000000-0005-0000-0000-0000BC8A0000}"/>
    <cellStyle name="Total 17 3 6 3" xfId="36532" xr:uid="{00000000-0005-0000-0000-0000BD8A0000}"/>
    <cellStyle name="Total 17 3 6 4" xfId="36533" xr:uid="{00000000-0005-0000-0000-0000BE8A0000}"/>
    <cellStyle name="Total 17 3 7" xfId="22432" xr:uid="{00000000-0005-0000-0000-0000BF8A0000}"/>
    <cellStyle name="Total 17 3 7 2" xfId="22433" xr:uid="{00000000-0005-0000-0000-0000C08A0000}"/>
    <cellStyle name="Total 17 3 7 3" xfId="36534" xr:uid="{00000000-0005-0000-0000-0000C18A0000}"/>
    <cellStyle name="Total 17 3 7 4" xfId="36535" xr:uid="{00000000-0005-0000-0000-0000C28A0000}"/>
    <cellStyle name="Total 17 3 8" xfId="22434" xr:uid="{00000000-0005-0000-0000-0000C38A0000}"/>
    <cellStyle name="Total 17 3 9" xfId="36536" xr:uid="{00000000-0005-0000-0000-0000C48A0000}"/>
    <cellStyle name="Total 17 4" xfId="22435" xr:uid="{00000000-0005-0000-0000-0000C58A0000}"/>
    <cellStyle name="Total 17 4 10" xfId="36537" xr:uid="{00000000-0005-0000-0000-0000C68A0000}"/>
    <cellStyle name="Total 17 4 2" xfId="22436" xr:uid="{00000000-0005-0000-0000-0000C78A0000}"/>
    <cellStyle name="Total 17 4 2 2" xfId="22437" xr:uid="{00000000-0005-0000-0000-0000C88A0000}"/>
    <cellStyle name="Total 17 4 2 3" xfId="36538" xr:uid="{00000000-0005-0000-0000-0000C98A0000}"/>
    <cellStyle name="Total 17 4 2 4" xfId="36539" xr:uid="{00000000-0005-0000-0000-0000CA8A0000}"/>
    <cellStyle name="Total 17 4 3" xfId="22438" xr:uid="{00000000-0005-0000-0000-0000CB8A0000}"/>
    <cellStyle name="Total 17 4 3 2" xfId="22439" xr:uid="{00000000-0005-0000-0000-0000CC8A0000}"/>
    <cellStyle name="Total 17 4 3 3" xfId="36540" xr:uid="{00000000-0005-0000-0000-0000CD8A0000}"/>
    <cellStyle name="Total 17 4 3 4" xfId="36541" xr:uid="{00000000-0005-0000-0000-0000CE8A0000}"/>
    <cellStyle name="Total 17 4 4" xfId="22440" xr:uid="{00000000-0005-0000-0000-0000CF8A0000}"/>
    <cellStyle name="Total 17 4 4 2" xfId="22441" xr:uid="{00000000-0005-0000-0000-0000D08A0000}"/>
    <cellStyle name="Total 17 4 4 3" xfId="36542" xr:uid="{00000000-0005-0000-0000-0000D18A0000}"/>
    <cellStyle name="Total 17 4 4 4" xfId="36543" xr:uid="{00000000-0005-0000-0000-0000D28A0000}"/>
    <cellStyle name="Total 17 4 5" xfId="22442" xr:uid="{00000000-0005-0000-0000-0000D38A0000}"/>
    <cellStyle name="Total 17 4 5 2" xfId="22443" xr:uid="{00000000-0005-0000-0000-0000D48A0000}"/>
    <cellStyle name="Total 17 4 5 3" xfId="36544" xr:uid="{00000000-0005-0000-0000-0000D58A0000}"/>
    <cellStyle name="Total 17 4 5 4" xfId="36545" xr:uid="{00000000-0005-0000-0000-0000D68A0000}"/>
    <cellStyle name="Total 17 4 6" xfId="22444" xr:uid="{00000000-0005-0000-0000-0000D78A0000}"/>
    <cellStyle name="Total 17 4 6 2" xfId="22445" xr:uid="{00000000-0005-0000-0000-0000D88A0000}"/>
    <cellStyle name="Total 17 4 6 3" xfId="36546" xr:uid="{00000000-0005-0000-0000-0000D98A0000}"/>
    <cellStyle name="Total 17 4 6 4" xfId="36547" xr:uid="{00000000-0005-0000-0000-0000DA8A0000}"/>
    <cellStyle name="Total 17 4 7" xfId="22446" xr:uid="{00000000-0005-0000-0000-0000DB8A0000}"/>
    <cellStyle name="Total 17 4 7 2" xfId="22447" xr:uid="{00000000-0005-0000-0000-0000DC8A0000}"/>
    <cellStyle name="Total 17 4 7 3" xfId="36548" xr:uid="{00000000-0005-0000-0000-0000DD8A0000}"/>
    <cellStyle name="Total 17 4 7 4" xfId="36549" xr:uid="{00000000-0005-0000-0000-0000DE8A0000}"/>
    <cellStyle name="Total 17 4 8" xfId="22448" xr:uid="{00000000-0005-0000-0000-0000DF8A0000}"/>
    <cellStyle name="Total 17 4 9" xfId="36550" xr:uid="{00000000-0005-0000-0000-0000E08A0000}"/>
    <cellStyle name="Total 17 5" xfId="22449" xr:uid="{00000000-0005-0000-0000-0000E18A0000}"/>
    <cellStyle name="Total 17 5 10" xfId="36551" xr:uid="{00000000-0005-0000-0000-0000E28A0000}"/>
    <cellStyle name="Total 17 5 2" xfId="22450" xr:uid="{00000000-0005-0000-0000-0000E38A0000}"/>
    <cellStyle name="Total 17 5 2 2" xfId="22451" xr:uid="{00000000-0005-0000-0000-0000E48A0000}"/>
    <cellStyle name="Total 17 5 2 3" xfId="36552" xr:uid="{00000000-0005-0000-0000-0000E58A0000}"/>
    <cellStyle name="Total 17 5 2 4" xfId="36553" xr:uid="{00000000-0005-0000-0000-0000E68A0000}"/>
    <cellStyle name="Total 17 5 3" xfId="22452" xr:uid="{00000000-0005-0000-0000-0000E78A0000}"/>
    <cellStyle name="Total 17 5 3 2" xfId="22453" xr:uid="{00000000-0005-0000-0000-0000E88A0000}"/>
    <cellStyle name="Total 17 5 3 3" xfId="36554" xr:uid="{00000000-0005-0000-0000-0000E98A0000}"/>
    <cellStyle name="Total 17 5 3 4" xfId="36555" xr:uid="{00000000-0005-0000-0000-0000EA8A0000}"/>
    <cellStyle name="Total 17 5 4" xfId="22454" xr:uid="{00000000-0005-0000-0000-0000EB8A0000}"/>
    <cellStyle name="Total 17 5 4 2" xfId="22455" xr:uid="{00000000-0005-0000-0000-0000EC8A0000}"/>
    <cellStyle name="Total 17 5 4 3" xfId="36556" xr:uid="{00000000-0005-0000-0000-0000ED8A0000}"/>
    <cellStyle name="Total 17 5 4 4" xfId="36557" xr:uid="{00000000-0005-0000-0000-0000EE8A0000}"/>
    <cellStyle name="Total 17 5 5" xfId="22456" xr:uid="{00000000-0005-0000-0000-0000EF8A0000}"/>
    <cellStyle name="Total 17 5 5 2" xfId="22457" xr:uid="{00000000-0005-0000-0000-0000F08A0000}"/>
    <cellStyle name="Total 17 5 5 3" xfId="36558" xr:uid="{00000000-0005-0000-0000-0000F18A0000}"/>
    <cellStyle name="Total 17 5 5 4" xfId="36559" xr:uid="{00000000-0005-0000-0000-0000F28A0000}"/>
    <cellStyle name="Total 17 5 6" xfId="22458" xr:uid="{00000000-0005-0000-0000-0000F38A0000}"/>
    <cellStyle name="Total 17 5 6 2" xfId="22459" xr:uid="{00000000-0005-0000-0000-0000F48A0000}"/>
    <cellStyle name="Total 17 5 6 3" xfId="36560" xr:uid="{00000000-0005-0000-0000-0000F58A0000}"/>
    <cellStyle name="Total 17 5 6 4" xfId="36561" xr:uid="{00000000-0005-0000-0000-0000F68A0000}"/>
    <cellStyle name="Total 17 5 7" xfId="22460" xr:uid="{00000000-0005-0000-0000-0000F78A0000}"/>
    <cellStyle name="Total 17 5 7 2" xfId="22461" xr:uid="{00000000-0005-0000-0000-0000F88A0000}"/>
    <cellStyle name="Total 17 5 7 3" xfId="36562" xr:uid="{00000000-0005-0000-0000-0000F98A0000}"/>
    <cellStyle name="Total 17 5 7 4" xfId="36563" xr:uid="{00000000-0005-0000-0000-0000FA8A0000}"/>
    <cellStyle name="Total 17 5 8" xfId="22462" xr:uid="{00000000-0005-0000-0000-0000FB8A0000}"/>
    <cellStyle name="Total 17 5 9" xfId="36564" xr:uid="{00000000-0005-0000-0000-0000FC8A0000}"/>
    <cellStyle name="Total 17 6" xfId="22463" xr:uid="{00000000-0005-0000-0000-0000FD8A0000}"/>
    <cellStyle name="Total 17 6 2" xfId="22464" xr:uid="{00000000-0005-0000-0000-0000FE8A0000}"/>
    <cellStyle name="Total 17 6 3" xfId="36565" xr:uid="{00000000-0005-0000-0000-0000FF8A0000}"/>
    <cellStyle name="Total 17 6 4" xfId="36566" xr:uid="{00000000-0005-0000-0000-0000008B0000}"/>
    <cellStyle name="Total 17 7" xfId="22465" xr:uid="{00000000-0005-0000-0000-0000018B0000}"/>
    <cellStyle name="Total 17 7 2" xfId="22466" xr:uid="{00000000-0005-0000-0000-0000028B0000}"/>
    <cellStyle name="Total 17 7 3" xfId="36567" xr:uid="{00000000-0005-0000-0000-0000038B0000}"/>
    <cellStyle name="Total 17 7 4" xfId="36568" xr:uid="{00000000-0005-0000-0000-0000048B0000}"/>
    <cellStyle name="Total 17 8" xfId="22467" xr:uid="{00000000-0005-0000-0000-0000058B0000}"/>
    <cellStyle name="Total 17 8 2" xfId="22468" xr:uid="{00000000-0005-0000-0000-0000068B0000}"/>
    <cellStyle name="Total 17 8 3" xfId="36569" xr:uid="{00000000-0005-0000-0000-0000078B0000}"/>
    <cellStyle name="Total 17 8 4" xfId="36570" xr:uid="{00000000-0005-0000-0000-0000088B0000}"/>
    <cellStyle name="Total 17 9" xfId="22469" xr:uid="{00000000-0005-0000-0000-0000098B0000}"/>
    <cellStyle name="Total 17 9 2" xfId="22470" xr:uid="{00000000-0005-0000-0000-00000A8B0000}"/>
    <cellStyle name="Total 17 9 3" xfId="36571" xr:uid="{00000000-0005-0000-0000-00000B8B0000}"/>
    <cellStyle name="Total 17 9 4" xfId="36572" xr:uid="{00000000-0005-0000-0000-00000C8B0000}"/>
    <cellStyle name="Total 18" xfId="22471" xr:uid="{00000000-0005-0000-0000-00000D8B0000}"/>
    <cellStyle name="Total 18 10" xfId="22472" xr:uid="{00000000-0005-0000-0000-00000E8B0000}"/>
    <cellStyle name="Total 18 10 2" xfId="22473" xr:uid="{00000000-0005-0000-0000-00000F8B0000}"/>
    <cellStyle name="Total 18 10 3" xfId="36573" xr:uid="{00000000-0005-0000-0000-0000108B0000}"/>
    <cellStyle name="Total 18 10 4" xfId="36574" xr:uid="{00000000-0005-0000-0000-0000118B0000}"/>
    <cellStyle name="Total 18 11" xfId="22474" xr:uid="{00000000-0005-0000-0000-0000128B0000}"/>
    <cellStyle name="Total 18 11 2" xfId="22475" xr:uid="{00000000-0005-0000-0000-0000138B0000}"/>
    <cellStyle name="Total 18 11 3" xfId="36575" xr:uid="{00000000-0005-0000-0000-0000148B0000}"/>
    <cellStyle name="Total 18 11 4" xfId="36576" xr:uid="{00000000-0005-0000-0000-0000158B0000}"/>
    <cellStyle name="Total 18 12" xfId="22476" xr:uid="{00000000-0005-0000-0000-0000168B0000}"/>
    <cellStyle name="Total 18 13" xfId="36577" xr:uid="{00000000-0005-0000-0000-0000178B0000}"/>
    <cellStyle name="Total 18 14" xfId="36578" xr:uid="{00000000-0005-0000-0000-0000188B0000}"/>
    <cellStyle name="Total 18 2" xfId="22477" xr:uid="{00000000-0005-0000-0000-0000198B0000}"/>
    <cellStyle name="Total 18 2 10" xfId="36579" xr:uid="{00000000-0005-0000-0000-00001A8B0000}"/>
    <cellStyle name="Total 18 2 2" xfId="22478" xr:uid="{00000000-0005-0000-0000-00001B8B0000}"/>
    <cellStyle name="Total 18 2 2 2" xfId="22479" xr:uid="{00000000-0005-0000-0000-00001C8B0000}"/>
    <cellStyle name="Total 18 2 2 3" xfId="36580" xr:uid="{00000000-0005-0000-0000-00001D8B0000}"/>
    <cellStyle name="Total 18 2 2 4" xfId="36581" xr:uid="{00000000-0005-0000-0000-00001E8B0000}"/>
    <cellStyle name="Total 18 2 3" xfId="22480" xr:uid="{00000000-0005-0000-0000-00001F8B0000}"/>
    <cellStyle name="Total 18 2 3 2" xfId="22481" xr:uid="{00000000-0005-0000-0000-0000208B0000}"/>
    <cellStyle name="Total 18 2 3 3" xfId="36582" xr:uid="{00000000-0005-0000-0000-0000218B0000}"/>
    <cellStyle name="Total 18 2 3 4" xfId="36583" xr:uid="{00000000-0005-0000-0000-0000228B0000}"/>
    <cellStyle name="Total 18 2 4" xfId="22482" xr:uid="{00000000-0005-0000-0000-0000238B0000}"/>
    <cellStyle name="Total 18 2 4 2" xfId="22483" xr:uid="{00000000-0005-0000-0000-0000248B0000}"/>
    <cellStyle name="Total 18 2 4 3" xfId="36584" xr:uid="{00000000-0005-0000-0000-0000258B0000}"/>
    <cellStyle name="Total 18 2 4 4" xfId="36585" xr:uid="{00000000-0005-0000-0000-0000268B0000}"/>
    <cellStyle name="Total 18 2 5" xfId="22484" xr:uid="{00000000-0005-0000-0000-0000278B0000}"/>
    <cellStyle name="Total 18 2 5 2" xfId="22485" xr:uid="{00000000-0005-0000-0000-0000288B0000}"/>
    <cellStyle name="Total 18 2 5 3" xfId="36586" xr:uid="{00000000-0005-0000-0000-0000298B0000}"/>
    <cellStyle name="Total 18 2 5 4" xfId="36587" xr:uid="{00000000-0005-0000-0000-00002A8B0000}"/>
    <cellStyle name="Total 18 2 6" xfId="22486" xr:uid="{00000000-0005-0000-0000-00002B8B0000}"/>
    <cellStyle name="Total 18 2 6 2" xfId="22487" xr:uid="{00000000-0005-0000-0000-00002C8B0000}"/>
    <cellStyle name="Total 18 2 6 3" xfId="36588" xr:uid="{00000000-0005-0000-0000-00002D8B0000}"/>
    <cellStyle name="Total 18 2 6 4" xfId="36589" xr:uid="{00000000-0005-0000-0000-00002E8B0000}"/>
    <cellStyle name="Total 18 2 7" xfId="22488" xr:uid="{00000000-0005-0000-0000-00002F8B0000}"/>
    <cellStyle name="Total 18 2 7 2" xfId="22489" xr:uid="{00000000-0005-0000-0000-0000308B0000}"/>
    <cellStyle name="Total 18 2 7 3" xfId="36590" xr:uid="{00000000-0005-0000-0000-0000318B0000}"/>
    <cellStyle name="Total 18 2 7 4" xfId="36591" xr:uid="{00000000-0005-0000-0000-0000328B0000}"/>
    <cellStyle name="Total 18 2 8" xfId="22490" xr:uid="{00000000-0005-0000-0000-0000338B0000}"/>
    <cellStyle name="Total 18 2 9" xfId="36592" xr:uid="{00000000-0005-0000-0000-0000348B0000}"/>
    <cellStyle name="Total 18 3" xfId="22491" xr:uid="{00000000-0005-0000-0000-0000358B0000}"/>
    <cellStyle name="Total 18 3 10" xfId="36593" xr:uid="{00000000-0005-0000-0000-0000368B0000}"/>
    <cellStyle name="Total 18 3 2" xfId="22492" xr:uid="{00000000-0005-0000-0000-0000378B0000}"/>
    <cellStyle name="Total 18 3 2 2" xfId="22493" xr:uid="{00000000-0005-0000-0000-0000388B0000}"/>
    <cellStyle name="Total 18 3 2 3" xfId="36594" xr:uid="{00000000-0005-0000-0000-0000398B0000}"/>
    <cellStyle name="Total 18 3 2 4" xfId="36595" xr:uid="{00000000-0005-0000-0000-00003A8B0000}"/>
    <cellStyle name="Total 18 3 3" xfId="22494" xr:uid="{00000000-0005-0000-0000-00003B8B0000}"/>
    <cellStyle name="Total 18 3 3 2" xfId="22495" xr:uid="{00000000-0005-0000-0000-00003C8B0000}"/>
    <cellStyle name="Total 18 3 3 3" xfId="36596" xr:uid="{00000000-0005-0000-0000-00003D8B0000}"/>
    <cellStyle name="Total 18 3 3 4" xfId="36597" xr:uid="{00000000-0005-0000-0000-00003E8B0000}"/>
    <cellStyle name="Total 18 3 4" xfId="22496" xr:uid="{00000000-0005-0000-0000-00003F8B0000}"/>
    <cellStyle name="Total 18 3 4 2" xfId="22497" xr:uid="{00000000-0005-0000-0000-0000408B0000}"/>
    <cellStyle name="Total 18 3 4 3" xfId="36598" xr:uid="{00000000-0005-0000-0000-0000418B0000}"/>
    <cellStyle name="Total 18 3 4 4" xfId="36599" xr:uid="{00000000-0005-0000-0000-0000428B0000}"/>
    <cellStyle name="Total 18 3 5" xfId="22498" xr:uid="{00000000-0005-0000-0000-0000438B0000}"/>
    <cellStyle name="Total 18 3 5 2" xfId="22499" xr:uid="{00000000-0005-0000-0000-0000448B0000}"/>
    <cellStyle name="Total 18 3 5 3" xfId="36600" xr:uid="{00000000-0005-0000-0000-0000458B0000}"/>
    <cellStyle name="Total 18 3 5 4" xfId="36601" xr:uid="{00000000-0005-0000-0000-0000468B0000}"/>
    <cellStyle name="Total 18 3 6" xfId="22500" xr:uid="{00000000-0005-0000-0000-0000478B0000}"/>
    <cellStyle name="Total 18 3 6 2" xfId="22501" xr:uid="{00000000-0005-0000-0000-0000488B0000}"/>
    <cellStyle name="Total 18 3 6 3" xfId="36602" xr:uid="{00000000-0005-0000-0000-0000498B0000}"/>
    <cellStyle name="Total 18 3 6 4" xfId="36603" xr:uid="{00000000-0005-0000-0000-00004A8B0000}"/>
    <cellStyle name="Total 18 3 7" xfId="22502" xr:uid="{00000000-0005-0000-0000-00004B8B0000}"/>
    <cellStyle name="Total 18 3 7 2" xfId="22503" xr:uid="{00000000-0005-0000-0000-00004C8B0000}"/>
    <cellStyle name="Total 18 3 7 3" xfId="36604" xr:uid="{00000000-0005-0000-0000-00004D8B0000}"/>
    <cellStyle name="Total 18 3 7 4" xfId="36605" xr:uid="{00000000-0005-0000-0000-00004E8B0000}"/>
    <cellStyle name="Total 18 3 8" xfId="22504" xr:uid="{00000000-0005-0000-0000-00004F8B0000}"/>
    <cellStyle name="Total 18 3 9" xfId="36606" xr:uid="{00000000-0005-0000-0000-0000508B0000}"/>
    <cellStyle name="Total 18 4" xfId="22505" xr:uid="{00000000-0005-0000-0000-0000518B0000}"/>
    <cellStyle name="Total 18 4 10" xfId="36607" xr:uid="{00000000-0005-0000-0000-0000528B0000}"/>
    <cellStyle name="Total 18 4 2" xfId="22506" xr:uid="{00000000-0005-0000-0000-0000538B0000}"/>
    <cellStyle name="Total 18 4 2 2" xfId="22507" xr:uid="{00000000-0005-0000-0000-0000548B0000}"/>
    <cellStyle name="Total 18 4 2 3" xfId="36608" xr:uid="{00000000-0005-0000-0000-0000558B0000}"/>
    <cellStyle name="Total 18 4 2 4" xfId="36609" xr:uid="{00000000-0005-0000-0000-0000568B0000}"/>
    <cellStyle name="Total 18 4 3" xfId="22508" xr:uid="{00000000-0005-0000-0000-0000578B0000}"/>
    <cellStyle name="Total 18 4 3 2" xfId="22509" xr:uid="{00000000-0005-0000-0000-0000588B0000}"/>
    <cellStyle name="Total 18 4 3 3" xfId="36610" xr:uid="{00000000-0005-0000-0000-0000598B0000}"/>
    <cellStyle name="Total 18 4 3 4" xfId="36611" xr:uid="{00000000-0005-0000-0000-00005A8B0000}"/>
    <cellStyle name="Total 18 4 4" xfId="22510" xr:uid="{00000000-0005-0000-0000-00005B8B0000}"/>
    <cellStyle name="Total 18 4 4 2" xfId="22511" xr:uid="{00000000-0005-0000-0000-00005C8B0000}"/>
    <cellStyle name="Total 18 4 4 3" xfId="36612" xr:uid="{00000000-0005-0000-0000-00005D8B0000}"/>
    <cellStyle name="Total 18 4 4 4" xfId="36613" xr:uid="{00000000-0005-0000-0000-00005E8B0000}"/>
    <cellStyle name="Total 18 4 5" xfId="22512" xr:uid="{00000000-0005-0000-0000-00005F8B0000}"/>
    <cellStyle name="Total 18 4 5 2" xfId="22513" xr:uid="{00000000-0005-0000-0000-0000608B0000}"/>
    <cellStyle name="Total 18 4 5 3" xfId="36614" xr:uid="{00000000-0005-0000-0000-0000618B0000}"/>
    <cellStyle name="Total 18 4 5 4" xfId="36615" xr:uid="{00000000-0005-0000-0000-0000628B0000}"/>
    <cellStyle name="Total 18 4 6" xfId="22514" xr:uid="{00000000-0005-0000-0000-0000638B0000}"/>
    <cellStyle name="Total 18 4 6 2" xfId="22515" xr:uid="{00000000-0005-0000-0000-0000648B0000}"/>
    <cellStyle name="Total 18 4 6 3" xfId="36616" xr:uid="{00000000-0005-0000-0000-0000658B0000}"/>
    <cellStyle name="Total 18 4 6 4" xfId="36617" xr:uid="{00000000-0005-0000-0000-0000668B0000}"/>
    <cellStyle name="Total 18 4 7" xfId="22516" xr:uid="{00000000-0005-0000-0000-0000678B0000}"/>
    <cellStyle name="Total 18 4 7 2" xfId="22517" xr:uid="{00000000-0005-0000-0000-0000688B0000}"/>
    <cellStyle name="Total 18 4 7 3" xfId="36618" xr:uid="{00000000-0005-0000-0000-0000698B0000}"/>
    <cellStyle name="Total 18 4 7 4" xfId="36619" xr:uid="{00000000-0005-0000-0000-00006A8B0000}"/>
    <cellStyle name="Total 18 4 8" xfId="22518" xr:uid="{00000000-0005-0000-0000-00006B8B0000}"/>
    <cellStyle name="Total 18 4 9" xfId="36620" xr:uid="{00000000-0005-0000-0000-00006C8B0000}"/>
    <cellStyle name="Total 18 5" xfId="22519" xr:uid="{00000000-0005-0000-0000-00006D8B0000}"/>
    <cellStyle name="Total 18 5 10" xfId="36621" xr:uid="{00000000-0005-0000-0000-00006E8B0000}"/>
    <cellStyle name="Total 18 5 2" xfId="22520" xr:uid="{00000000-0005-0000-0000-00006F8B0000}"/>
    <cellStyle name="Total 18 5 2 2" xfId="22521" xr:uid="{00000000-0005-0000-0000-0000708B0000}"/>
    <cellStyle name="Total 18 5 2 3" xfId="36622" xr:uid="{00000000-0005-0000-0000-0000718B0000}"/>
    <cellStyle name="Total 18 5 2 4" xfId="36623" xr:uid="{00000000-0005-0000-0000-0000728B0000}"/>
    <cellStyle name="Total 18 5 3" xfId="22522" xr:uid="{00000000-0005-0000-0000-0000738B0000}"/>
    <cellStyle name="Total 18 5 3 2" xfId="22523" xr:uid="{00000000-0005-0000-0000-0000748B0000}"/>
    <cellStyle name="Total 18 5 3 3" xfId="36624" xr:uid="{00000000-0005-0000-0000-0000758B0000}"/>
    <cellStyle name="Total 18 5 3 4" xfId="36625" xr:uid="{00000000-0005-0000-0000-0000768B0000}"/>
    <cellStyle name="Total 18 5 4" xfId="22524" xr:uid="{00000000-0005-0000-0000-0000778B0000}"/>
    <cellStyle name="Total 18 5 4 2" xfId="22525" xr:uid="{00000000-0005-0000-0000-0000788B0000}"/>
    <cellStyle name="Total 18 5 4 3" xfId="36626" xr:uid="{00000000-0005-0000-0000-0000798B0000}"/>
    <cellStyle name="Total 18 5 4 4" xfId="36627" xr:uid="{00000000-0005-0000-0000-00007A8B0000}"/>
    <cellStyle name="Total 18 5 5" xfId="22526" xr:uid="{00000000-0005-0000-0000-00007B8B0000}"/>
    <cellStyle name="Total 18 5 5 2" xfId="22527" xr:uid="{00000000-0005-0000-0000-00007C8B0000}"/>
    <cellStyle name="Total 18 5 5 3" xfId="36628" xr:uid="{00000000-0005-0000-0000-00007D8B0000}"/>
    <cellStyle name="Total 18 5 5 4" xfId="36629" xr:uid="{00000000-0005-0000-0000-00007E8B0000}"/>
    <cellStyle name="Total 18 5 6" xfId="22528" xr:uid="{00000000-0005-0000-0000-00007F8B0000}"/>
    <cellStyle name="Total 18 5 6 2" xfId="22529" xr:uid="{00000000-0005-0000-0000-0000808B0000}"/>
    <cellStyle name="Total 18 5 6 3" xfId="36630" xr:uid="{00000000-0005-0000-0000-0000818B0000}"/>
    <cellStyle name="Total 18 5 6 4" xfId="36631" xr:uid="{00000000-0005-0000-0000-0000828B0000}"/>
    <cellStyle name="Total 18 5 7" xfId="22530" xr:uid="{00000000-0005-0000-0000-0000838B0000}"/>
    <cellStyle name="Total 18 5 7 2" xfId="22531" xr:uid="{00000000-0005-0000-0000-0000848B0000}"/>
    <cellStyle name="Total 18 5 7 3" xfId="36632" xr:uid="{00000000-0005-0000-0000-0000858B0000}"/>
    <cellStyle name="Total 18 5 7 4" xfId="36633" xr:uid="{00000000-0005-0000-0000-0000868B0000}"/>
    <cellStyle name="Total 18 5 8" xfId="22532" xr:uid="{00000000-0005-0000-0000-0000878B0000}"/>
    <cellStyle name="Total 18 5 9" xfId="36634" xr:uid="{00000000-0005-0000-0000-0000888B0000}"/>
    <cellStyle name="Total 18 6" xfId="22533" xr:uid="{00000000-0005-0000-0000-0000898B0000}"/>
    <cellStyle name="Total 18 6 2" xfId="22534" xr:uid="{00000000-0005-0000-0000-00008A8B0000}"/>
    <cellStyle name="Total 18 6 3" xfId="36635" xr:uid="{00000000-0005-0000-0000-00008B8B0000}"/>
    <cellStyle name="Total 18 6 4" xfId="36636" xr:uid="{00000000-0005-0000-0000-00008C8B0000}"/>
    <cellStyle name="Total 18 7" xfId="22535" xr:uid="{00000000-0005-0000-0000-00008D8B0000}"/>
    <cellStyle name="Total 18 7 2" xfId="22536" xr:uid="{00000000-0005-0000-0000-00008E8B0000}"/>
    <cellStyle name="Total 18 7 3" xfId="36637" xr:uid="{00000000-0005-0000-0000-00008F8B0000}"/>
    <cellStyle name="Total 18 7 4" xfId="36638" xr:uid="{00000000-0005-0000-0000-0000908B0000}"/>
    <cellStyle name="Total 18 8" xfId="22537" xr:uid="{00000000-0005-0000-0000-0000918B0000}"/>
    <cellStyle name="Total 18 8 2" xfId="22538" xr:uid="{00000000-0005-0000-0000-0000928B0000}"/>
    <cellStyle name="Total 18 8 3" xfId="36639" xr:uid="{00000000-0005-0000-0000-0000938B0000}"/>
    <cellStyle name="Total 18 8 4" xfId="36640" xr:uid="{00000000-0005-0000-0000-0000948B0000}"/>
    <cellStyle name="Total 18 9" xfId="22539" xr:uid="{00000000-0005-0000-0000-0000958B0000}"/>
    <cellStyle name="Total 18 9 2" xfId="22540" xr:uid="{00000000-0005-0000-0000-0000968B0000}"/>
    <cellStyle name="Total 18 9 3" xfId="36641" xr:uid="{00000000-0005-0000-0000-0000978B0000}"/>
    <cellStyle name="Total 18 9 4" xfId="36642" xr:uid="{00000000-0005-0000-0000-0000988B0000}"/>
    <cellStyle name="Total 19" xfId="22541" xr:uid="{00000000-0005-0000-0000-0000998B0000}"/>
    <cellStyle name="Total 19 10" xfId="22542" xr:uid="{00000000-0005-0000-0000-00009A8B0000}"/>
    <cellStyle name="Total 19 10 2" xfId="22543" xr:uid="{00000000-0005-0000-0000-00009B8B0000}"/>
    <cellStyle name="Total 19 10 3" xfId="36643" xr:uid="{00000000-0005-0000-0000-00009C8B0000}"/>
    <cellStyle name="Total 19 10 4" xfId="36644" xr:uid="{00000000-0005-0000-0000-00009D8B0000}"/>
    <cellStyle name="Total 19 11" xfId="22544" xr:uid="{00000000-0005-0000-0000-00009E8B0000}"/>
    <cellStyle name="Total 19 11 2" xfId="22545" xr:uid="{00000000-0005-0000-0000-00009F8B0000}"/>
    <cellStyle name="Total 19 11 3" xfId="36645" xr:uid="{00000000-0005-0000-0000-0000A08B0000}"/>
    <cellStyle name="Total 19 11 4" xfId="36646" xr:uid="{00000000-0005-0000-0000-0000A18B0000}"/>
    <cellStyle name="Total 19 12" xfId="22546" xr:uid="{00000000-0005-0000-0000-0000A28B0000}"/>
    <cellStyle name="Total 19 13" xfId="36647" xr:uid="{00000000-0005-0000-0000-0000A38B0000}"/>
    <cellStyle name="Total 19 14" xfId="36648" xr:uid="{00000000-0005-0000-0000-0000A48B0000}"/>
    <cellStyle name="Total 19 2" xfId="22547" xr:uid="{00000000-0005-0000-0000-0000A58B0000}"/>
    <cellStyle name="Total 19 2 10" xfId="36649" xr:uid="{00000000-0005-0000-0000-0000A68B0000}"/>
    <cellStyle name="Total 19 2 2" xfId="22548" xr:uid="{00000000-0005-0000-0000-0000A78B0000}"/>
    <cellStyle name="Total 19 2 2 2" xfId="22549" xr:uid="{00000000-0005-0000-0000-0000A88B0000}"/>
    <cellStyle name="Total 19 2 2 3" xfId="36650" xr:uid="{00000000-0005-0000-0000-0000A98B0000}"/>
    <cellStyle name="Total 19 2 2 4" xfId="36651" xr:uid="{00000000-0005-0000-0000-0000AA8B0000}"/>
    <cellStyle name="Total 19 2 3" xfId="22550" xr:uid="{00000000-0005-0000-0000-0000AB8B0000}"/>
    <cellStyle name="Total 19 2 3 2" xfId="22551" xr:uid="{00000000-0005-0000-0000-0000AC8B0000}"/>
    <cellStyle name="Total 19 2 3 3" xfId="36652" xr:uid="{00000000-0005-0000-0000-0000AD8B0000}"/>
    <cellStyle name="Total 19 2 3 4" xfId="36653" xr:uid="{00000000-0005-0000-0000-0000AE8B0000}"/>
    <cellStyle name="Total 19 2 4" xfId="22552" xr:uid="{00000000-0005-0000-0000-0000AF8B0000}"/>
    <cellStyle name="Total 19 2 4 2" xfId="22553" xr:uid="{00000000-0005-0000-0000-0000B08B0000}"/>
    <cellStyle name="Total 19 2 4 3" xfId="36654" xr:uid="{00000000-0005-0000-0000-0000B18B0000}"/>
    <cellStyle name="Total 19 2 4 4" xfId="36655" xr:uid="{00000000-0005-0000-0000-0000B28B0000}"/>
    <cellStyle name="Total 19 2 5" xfId="22554" xr:uid="{00000000-0005-0000-0000-0000B38B0000}"/>
    <cellStyle name="Total 19 2 5 2" xfId="22555" xr:uid="{00000000-0005-0000-0000-0000B48B0000}"/>
    <cellStyle name="Total 19 2 5 3" xfId="36656" xr:uid="{00000000-0005-0000-0000-0000B58B0000}"/>
    <cellStyle name="Total 19 2 5 4" xfId="36657" xr:uid="{00000000-0005-0000-0000-0000B68B0000}"/>
    <cellStyle name="Total 19 2 6" xfId="22556" xr:uid="{00000000-0005-0000-0000-0000B78B0000}"/>
    <cellStyle name="Total 19 2 6 2" xfId="22557" xr:uid="{00000000-0005-0000-0000-0000B88B0000}"/>
    <cellStyle name="Total 19 2 6 3" xfId="36658" xr:uid="{00000000-0005-0000-0000-0000B98B0000}"/>
    <cellStyle name="Total 19 2 6 4" xfId="36659" xr:uid="{00000000-0005-0000-0000-0000BA8B0000}"/>
    <cellStyle name="Total 19 2 7" xfId="22558" xr:uid="{00000000-0005-0000-0000-0000BB8B0000}"/>
    <cellStyle name="Total 19 2 7 2" xfId="22559" xr:uid="{00000000-0005-0000-0000-0000BC8B0000}"/>
    <cellStyle name="Total 19 2 7 3" xfId="36660" xr:uid="{00000000-0005-0000-0000-0000BD8B0000}"/>
    <cellStyle name="Total 19 2 7 4" xfId="36661" xr:uid="{00000000-0005-0000-0000-0000BE8B0000}"/>
    <cellStyle name="Total 19 2 8" xfId="22560" xr:uid="{00000000-0005-0000-0000-0000BF8B0000}"/>
    <cellStyle name="Total 19 2 9" xfId="36662" xr:uid="{00000000-0005-0000-0000-0000C08B0000}"/>
    <cellStyle name="Total 19 3" xfId="22561" xr:uid="{00000000-0005-0000-0000-0000C18B0000}"/>
    <cellStyle name="Total 19 3 10" xfId="36663" xr:uid="{00000000-0005-0000-0000-0000C28B0000}"/>
    <cellStyle name="Total 19 3 2" xfId="22562" xr:uid="{00000000-0005-0000-0000-0000C38B0000}"/>
    <cellStyle name="Total 19 3 2 2" xfId="22563" xr:uid="{00000000-0005-0000-0000-0000C48B0000}"/>
    <cellStyle name="Total 19 3 2 3" xfId="36664" xr:uid="{00000000-0005-0000-0000-0000C58B0000}"/>
    <cellStyle name="Total 19 3 2 4" xfId="36665" xr:uid="{00000000-0005-0000-0000-0000C68B0000}"/>
    <cellStyle name="Total 19 3 3" xfId="22564" xr:uid="{00000000-0005-0000-0000-0000C78B0000}"/>
    <cellStyle name="Total 19 3 3 2" xfId="22565" xr:uid="{00000000-0005-0000-0000-0000C88B0000}"/>
    <cellStyle name="Total 19 3 3 3" xfId="36666" xr:uid="{00000000-0005-0000-0000-0000C98B0000}"/>
    <cellStyle name="Total 19 3 3 4" xfId="36667" xr:uid="{00000000-0005-0000-0000-0000CA8B0000}"/>
    <cellStyle name="Total 19 3 4" xfId="22566" xr:uid="{00000000-0005-0000-0000-0000CB8B0000}"/>
    <cellStyle name="Total 19 3 4 2" xfId="22567" xr:uid="{00000000-0005-0000-0000-0000CC8B0000}"/>
    <cellStyle name="Total 19 3 4 3" xfId="36668" xr:uid="{00000000-0005-0000-0000-0000CD8B0000}"/>
    <cellStyle name="Total 19 3 4 4" xfId="36669" xr:uid="{00000000-0005-0000-0000-0000CE8B0000}"/>
    <cellStyle name="Total 19 3 5" xfId="22568" xr:uid="{00000000-0005-0000-0000-0000CF8B0000}"/>
    <cellStyle name="Total 19 3 5 2" xfId="22569" xr:uid="{00000000-0005-0000-0000-0000D08B0000}"/>
    <cellStyle name="Total 19 3 5 3" xfId="36670" xr:uid="{00000000-0005-0000-0000-0000D18B0000}"/>
    <cellStyle name="Total 19 3 5 4" xfId="36671" xr:uid="{00000000-0005-0000-0000-0000D28B0000}"/>
    <cellStyle name="Total 19 3 6" xfId="22570" xr:uid="{00000000-0005-0000-0000-0000D38B0000}"/>
    <cellStyle name="Total 19 3 6 2" xfId="22571" xr:uid="{00000000-0005-0000-0000-0000D48B0000}"/>
    <cellStyle name="Total 19 3 6 3" xfId="36672" xr:uid="{00000000-0005-0000-0000-0000D58B0000}"/>
    <cellStyle name="Total 19 3 6 4" xfId="36673" xr:uid="{00000000-0005-0000-0000-0000D68B0000}"/>
    <cellStyle name="Total 19 3 7" xfId="22572" xr:uid="{00000000-0005-0000-0000-0000D78B0000}"/>
    <cellStyle name="Total 19 3 7 2" xfId="22573" xr:uid="{00000000-0005-0000-0000-0000D88B0000}"/>
    <cellStyle name="Total 19 3 7 3" xfId="36674" xr:uid="{00000000-0005-0000-0000-0000D98B0000}"/>
    <cellStyle name="Total 19 3 7 4" xfId="36675" xr:uid="{00000000-0005-0000-0000-0000DA8B0000}"/>
    <cellStyle name="Total 19 3 8" xfId="22574" xr:uid="{00000000-0005-0000-0000-0000DB8B0000}"/>
    <cellStyle name="Total 19 3 9" xfId="36676" xr:uid="{00000000-0005-0000-0000-0000DC8B0000}"/>
    <cellStyle name="Total 19 4" xfId="22575" xr:uid="{00000000-0005-0000-0000-0000DD8B0000}"/>
    <cellStyle name="Total 19 4 10" xfId="36677" xr:uid="{00000000-0005-0000-0000-0000DE8B0000}"/>
    <cellStyle name="Total 19 4 2" xfId="22576" xr:uid="{00000000-0005-0000-0000-0000DF8B0000}"/>
    <cellStyle name="Total 19 4 2 2" xfId="22577" xr:uid="{00000000-0005-0000-0000-0000E08B0000}"/>
    <cellStyle name="Total 19 4 2 3" xfId="36678" xr:uid="{00000000-0005-0000-0000-0000E18B0000}"/>
    <cellStyle name="Total 19 4 2 4" xfId="36679" xr:uid="{00000000-0005-0000-0000-0000E28B0000}"/>
    <cellStyle name="Total 19 4 3" xfId="22578" xr:uid="{00000000-0005-0000-0000-0000E38B0000}"/>
    <cellStyle name="Total 19 4 3 2" xfId="22579" xr:uid="{00000000-0005-0000-0000-0000E48B0000}"/>
    <cellStyle name="Total 19 4 3 3" xfId="36680" xr:uid="{00000000-0005-0000-0000-0000E58B0000}"/>
    <cellStyle name="Total 19 4 3 4" xfId="36681" xr:uid="{00000000-0005-0000-0000-0000E68B0000}"/>
    <cellStyle name="Total 19 4 4" xfId="22580" xr:uid="{00000000-0005-0000-0000-0000E78B0000}"/>
    <cellStyle name="Total 19 4 4 2" xfId="22581" xr:uid="{00000000-0005-0000-0000-0000E88B0000}"/>
    <cellStyle name="Total 19 4 4 3" xfId="36682" xr:uid="{00000000-0005-0000-0000-0000E98B0000}"/>
    <cellStyle name="Total 19 4 4 4" xfId="36683" xr:uid="{00000000-0005-0000-0000-0000EA8B0000}"/>
    <cellStyle name="Total 19 4 5" xfId="22582" xr:uid="{00000000-0005-0000-0000-0000EB8B0000}"/>
    <cellStyle name="Total 19 4 5 2" xfId="22583" xr:uid="{00000000-0005-0000-0000-0000EC8B0000}"/>
    <cellStyle name="Total 19 4 5 3" xfId="36684" xr:uid="{00000000-0005-0000-0000-0000ED8B0000}"/>
    <cellStyle name="Total 19 4 5 4" xfId="36685" xr:uid="{00000000-0005-0000-0000-0000EE8B0000}"/>
    <cellStyle name="Total 19 4 6" xfId="22584" xr:uid="{00000000-0005-0000-0000-0000EF8B0000}"/>
    <cellStyle name="Total 19 4 6 2" xfId="22585" xr:uid="{00000000-0005-0000-0000-0000F08B0000}"/>
    <cellStyle name="Total 19 4 6 3" xfId="36686" xr:uid="{00000000-0005-0000-0000-0000F18B0000}"/>
    <cellStyle name="Total 19 4 6 4" xfId="36687" xr:uid="{00000000-0005-0000-0000-0000F28B0000}"/>
    <cellStyle name="Total 19 4 7" xfId="22586" xr:uid="{00000000-0005-0000-0000-0000F38B0000}"/>
    <cellStyle name="Total 19 4 7 2" xfId="22587" xr:uid="{00000000-0005-0000-0000-0000F48B0000}"/>
    <cellStyle name="Total 19 4 7 3" xfId="36688" xr:uid="{00000000-0005-0000-0000-0000F58B0000}"/>
    <cellStyle name="Total 19 4 7 4" xfId="36689" xr:uid="{00000000-0005-0000-0000-0000F68B0000}"/>
    <cellStyle name="Total 19 4 8" xfId="22588" xr:uid="{00000000-0005-0000-0000-0000F78B0000}"/>
    <cellStyle name="Total 19 4 9" xfId="36690" xr:uid="{00000000-0005-0000-0000-0000F88B0000}"/>
    <cellStyle name="Total 19 5" xfId="22589" xr:uid="{00000000-0005-0000-0000-0000F98B0000}"/>
    <cellStyle name="Total 19 5 10" xfId="36691" xr:uid="{00000000-0005-0000-0000-0000FA8B0000}"/>
    <cellStyle name="Total 19 5 2" xfId="22590" xr:uid="{00000000-0005-0000-0000-0000FB8B0000}"/>
    <cellStyle name="Total 19 5 2 2" xfId="22591" xr:uid="{00000000-0005-0000-0000-0000FC8B0000}"/>
    <cellStyle name="Total 19 5 2 3" xfId="36692" xr:uid="{00000000-0005-0000-0000-0000FD8B0000}"/>
    <cellStyle name="Total 19 5 2 4" xfId="36693" xr:uid="{00000000-0005-0000-0000-0000FE8B0000}"/>
    <cellStyle name="Total 19 5 3" xfId="22592" xr:uid="{00000000-0005-0000-0000-0000FF8B0000}"/>
    <cellStyle name="Total 19 5 3 2" xfId="22593" xr:uid="{00000000-0005-0000-0000-0000008C0000}"/>
    <cellStyle name="Total 19 5 3 3" xfId="36694" xr:uid="{00000000-0005-0000-0000-0000018C0000}"/>
    <cellStyle name="Total 19 5 3 4" xfId="36695" xr:uid="{00000000-0005-0000-0000-0000028C0000}"/>
    <cellStyle name="Total 19 5 4" xfId="22594" xr:uid="{00000000-0005-0000-0000-0000038C0000}"/>
    <cellStyle name="Total 19 5 4 2" xfId="22595" xr:uid="{00000000-0005-0000-0000-0000048C0000}"/>
    <cellStyle name="Total 19 5 4 3" xfId="36696" xr:uid="{00000000-0005-0000-0000-0000058C0000}"/>
    <cellStyle name="Total 19 5 4 4" xfId="36697" xr:uid="{00000000-0005-0000-0000-0000068C0000}"/>
    <cellStyle name="Total 19 5 5" xfId="22596" xr:uid="{00000000-0005-0000-0000-0000078C0000}"/>
    <cellStyle name="Total 19 5 5 2" xfId="22597" xr:uid="{00000000-0005-0000-0000-0000088C0000}"/>
    <cellStyle name="Total 19 5 5 3" xfId="36698" xr:uid="{00000000-0005-0000-0000-0000098C0000}"/>
    <cellStyle name="Total 19 5 5 4" xfId="36699" xr:uid="{00000000-0005-0000-0000-00000A8C0000}"/>
    <cellStyle name="Total 19 5 6" xfId="22598" xr:uid="{00000000-0005-0000-0000-00000B8C0000}"/>
    <cellStyle name="Total 19 5 6 2" xfId="22599" xr:uid="{00000000-0005-0000-0000-00000C8C0000}"/>
    <cellStyle name="Total 19 5 6 3" xfId="36700" xr:uid="{00000000-0005-0000-0000-00000D8C0000}"/>
    <cellStyle name="Total 19 5 6 4" xfId="36701" xr:uid="{00000000-0005-0000-0000-00000E8C0000}"/>
    <cellStyle name="Total 19 5 7" xfId="22600" xr:uid="{00000000-0005-0000-0000-00000F8C0000}"/>
    <cellStyle name="Total 19 5 7 2" xfId="22601" xr:uid="{00000000-0005-0000-0000-0000108C0000}"/>
    <cellStyle name="Total 19 5 7 3" xfId="36702" xr:uid="{00000000-0005-0000-0000-0000118C0000}"/>
    <cellStyle name="Total 19 5 7 4" xfId="36703" xr:uid="{00000000-0005-0000-0000-0000128C0000}"/>
    <cellStyle name="Total 19 5 8" xfId="22602" xr:uid="{00000000-0005-0000-0000-0000138C0000}"/>
    <cellStyle name="Total 19 5 9" xfId="36704" xr:uid="{00000000-0005-0000-0000-0000148C0000}"/>
    <cellStyle name="Total 19 6" xfId="22603" xr:uid="{00000000-0005-0000-0000-0000158C0000}"/>
    <cellStyle name="Total 19 6 2" xfId="22604" xr:uid="{00000000-0005-0000-0000-0000168C0000}"/>
    <cellStyle name="Total 19 6 3" xfId="36705" xr:uid="{00000000-0005-0000-0000-0000178C0000}"/>
    <cellStyle name="Total 19 6 4" xfId="36706" xr:uid="{00000000-0005-0000-0000-0000188C0000}"/>
    <cellStyle name="Total 19 7" xfId="22605" xr:uid="{00000000-0005-0000-0000-0000198C0000}"/>
    <cellStyle name="Total 19 7 2" xfId="22606" xr:uid="{00000000-0005-0000-0000-00001A8C0000}"/>
    <cellStyle name="Total 19 7 3" xfId="36707" xr:uid="{00000000-0005-0000-0000-00001B8C0000}"/>
    <cellStyle name="Total 19 7 4" xfId="36708" xr:uid="{00000000-0005-0000-0000-00001C8C0000}"/>
    <cellStyle name="Total 19 8" xfId="22607" xr:uid="{00000000-0005-0000-0000-00001D8C0000}"/>
    <cellStyle name="Total 19 8 2" xfId="22608" xr:uid="{00000000-0005-0000-0000-00001E8C0000}"/>
    <cellStyle name="Total 19 8 3" xfId="36709" xr:uid="{00000000-0005-0000-0000-00001F8C0000}"/>
    <cellStyle name="Total 19 8 4" xfId="36710" xr:uid="{00000000-0005-0000-0000-0000208C0000}"/>
    <cellStyle name="Total 19 9" xfId="22609" xr:uid="{00000000-0005-0000-0000-0000218C0000}"/>
    <cellStyle name="Total 19 9 2" xfId="22610" xr:uid="{00000000-0005-0000-0000-0000228C0000}"/>
    <cellStyle name="Total 19 9 3" xfId="36711" xr:uid="{00000000-0005-0000-0000-0000238C0000}"/>
    <cellStyle name="Total 19 9 4" xfId="36712" xr:uid="{00000000-0005-0000-0000-0000248C0000}"/>
    <cellStyle name="Total 2" xfId="22611" xr:uid="{00000000-0005-0000-0000-0000258C0000}"/>
    <cellStyle name="Total 2 10" xfId="22612" xr:uid="{00000000-0005-0000-0000-0000268C0000}"/>
    <cellStyle name="Total 2 10 2" xfId="22613" xr:uid="{00000000-0005-0000-0000-0000278C0000}"/>
    <cellStyle name="Total 2 10 3" xfId="36713" xr:uid="{00000000-0005-0000-0000-0000288C0000}"/>
    <cellStyle name="Total 2 10 4" xfId="36714" xr:uid="{00000000-0005-0000-0000-0000298C0000}"/>
    <cellStyle name="Total 2 11" xfId="22614" xr:uid="{00000000-0005-0000-0000-00002A8C0000}"/>
    <cellStyle name="Total 2 11 2" xfId="22615" xr:uid="{00000000-0005-0000-0000-00002B8C0000}"/>
    <cellStyle name="Total 2 11 3" xfId="36715" xr:uid="{00000000-0005-0000-0000-00002C8C0000}"/>
    <cellStyle name="Total 2 11 4" xfId="36716" xr:uid="{00000000-0005-0000-0000-00002D8C0000}"/>
    <cellStyle name="Total 2 12" xfId="22616" xr:uid="{00000000-0005-0000-0000-00002E8C0000}"/>
    <cellStyle name="Total 2 12 2" xfId="22617" xr:uid="{00000000-0005-0000-0000-00002F8C0000}"/>
    <cellStyle name="Total 2 12 3" xfId="36717" xr:uid="{00000000-0005-0000-0000-0000308C0000}"/>
    <cellStyle name="Total 2 13" xfId="22618" xr:uid="{00000000-0005-0000-0000-0000318C0000}"/>
    <cellStyle name="Total 2 14" xfId="36718" xr:uid="{00000000-0005-0000-0000-0000328C0000}"/>
    <cellStyle name="Total 2 15" xfId="36719" xr:uid="{00000000-0005-0000-0000-0000338C0000}"/>
    <cellStyle name="Total 2 16" xfId="36720" xr:uid="{00000000-0005-0000-0000-0000348C0000}"/>
    <cellStyle name="Total 2 2" xfId="22619" xr:uid="{00000000-0005-0000-0000-0000358C0000}"/>
    <cellStyle name="Total 2 2 10" xfId="36721" xr:uid="{00000000-0005-0000-0000-0000368C0000}"/>
    <cellStyle name="Total 2 2 2" xfId="22620" xr:uid="{00000000-0005-0000-0000-0000378C0000}"/>
    <cellStyle name="Total 2 2 2 2" xfId="22621" xr:uid="{00000000-0005-0000-0000-0000388C0000}"/>
    <cellStyle name="Total 2 2 2 3" xfId="36722" xr:uid="{00000000-0005-0000-0000-0000398C0000}"/>
    <cellStyle name="Total 2 2 2 4" xfId="36723" xr:uid="{00000000-0005-0000-0000-00003A8C0000}"/>
    <cellStyle name="Total 2 2 3" xfId="22622" xr:uid="{00000000-0005-0000-0000-00003B8C0000}"/>
    <cellStyle name="Total 2 2 3 2" xfId="22623" xr:uid="{00000000-0005-0000-0000-00003C8C0000}"/>
    <cellStyle name="Total 2 2 3 3" xfId="36724" xr:uid="{00000000-0005-0000-0000-00003D8C0000}"/>
    <cellStyle name="Total 2 2 3 4" xfId="36725" xr:uid="{00000000-0005-0000-0000-00003E8C0000}"/>
    <cellStyle name="Total 2 2 4" xfId="22624" xr:uid="{00000000-0005-0000-0000-00003F8C0000}"/>
    <cellStyle name="Total 2 2 4 2" xfId="22625" xr:uid="{00000000-0005-0000-0000-0000408C0000}"/>
    <cellStyle name="Total 2 2 4 3" xfId="36726" xr:uid="{00000000-0005-0000-0000-0000418C0000}"/>
    <cellStyle name="Total 2 2 4 4" xfId="36727" xr:uid="{00000000-0005-0000-0000-0000428C0000}"/>
    <cellStyle name="Total 2 2 5" xfId="22626" xr:uid="{00000000-0005-0000-0000-0000438C0000}"/>
    <cellStyle name="Total 2 2 5 2" xfId="22627" xr:uid="{00000000-0005-0000-0000-0000448C0000}"/>
    <cellStyle name="Total 2 2 5 3" xfId="36728" xr:uid="{00000000-0005-0000-0000-0000458C0000}"/>
    <cellStyle name="Total 2 2 5 4" xfId="36729" xr:uid="{00000000-0005-0000-0000-0000468C0000}"/>
    <cellStyle name="Total 2 2 6" xfId="22628" xr:uid="{00000000-0005-0000-0000-0000478C0000}"/>
    <cellStyle name="Total 2 2 6 2" xfId="22629" xr:uid="{00000000-0005-0000-0000-0000488C0000}"/>
    <cellStyle name="Total 2 2 6 3" xfId="36730" xr:uid="{00000000-0005-0000-0000-0000498C0000}"/>
    <cellStyle name="Total 2 2 6 4" xfId="36731" xr:uid="{00000000-0005-0000-0000-00004A8C0000}"/>
    <cellStyle name="Total 2 2 7" xfId="22630" xr:uid="{00000000-0005-0000-0000-00004B8C0000}"/>
    <cellStyle name="Total 2 2 7 2" xfId="22631" xr:uid="{00000000-0005-0000-0000-00004C8C0000}"/>
    <cellStyle name="Total 2 2 7 3" xfId="36732" xr:uid="{00000000-0005-0000-0000-00004D8C0000}"/>
    <cellStyle name="Total 2 2 7 4" xfId="36733" xr:uid="{00000000-0005-0000-0000-00004E8C0000}"/>
    <cellStyle name="Total 2 2 8" xfId="22632" xr:uid="{00000000-0005-0000-0000-00004F8C0000}"/>
    <cellStyle name="Total 2 2 9" xfId="36734" xr:uid="{00000000-0005-0000-0000-0000508C0000}"/>
    <cellStyle name="Total 2 3" xfId="22633" xr:uid="{00000000-0005-0000-0000-0000518C0000}"/>
    <cellStyle name="Total 2 3 10" xfId="36735" xr:uid="{00000000-0005-0000-0000-0000528C0000}"/>
    <cellStyle name="Total 2 3 2" xfId="22634" xr:uid="{00000000-0005-0000-0000-0000538C0000}"/>
    <cellStyle name="Total 2 3 2 2" xfId="22635" xr:uid="{00000000-0005-0000-0000-0000548C0000}"/>
    <cellStyle name="Total 2 3 2 3" xfId="36736" xr:uid="{00000000-0005-0000-0000-0000558C0000}"/>
    <cellStyle name="Total 2 3 2 4" xfId="36737" xr:uid="{00000000-0005-0000-0000-0000568C0000}"/>
    <cellStyle name="Total 2 3 3" xfId="22636" xr:uid="{00000000-0005-0000-0000-0000578C0000}"/>
    <cellStyle name="Total 2 3 3 2" xfId="22637" xr:uid="{00000000-0005-0000-0000-0000588C0000}"/>
    <cellStyle name="Total 2 3 3 3" xfId="36738" xr:uid="{00000000-0005-0000-0000-0000598C0000}"/>
    <cellStyle name="Total 2 3 3 4" xfId="36739" xr:uid="{00000000-0005-0000-0000-00005A8C0000}"/>
    <cellStyle name="Total 2 3 4" xfId="22638" xr:uid="{00000000-0005-0000-0000-00005B8C0000}"/>
    <cellStyle name="Total 2 3 4 2" xfId="22639" xr:uid="{00000000-0005-0000-0000-00005C8C0000}"/>
    <cellStyle name="Total 2 3 4 3" xfId="36740" xr:uid="{00000000-0005-0000-0000-00005D8C0000}"/>
    <cellStyle name="Total 2 3 4 4" xfId="36741" xr:uid="{00000000-0005-0000-0000-00005E8C0000}"/>
    <cellStyle name="Total 2 3 5" xfId="22640" xr:uid="{00000000-0005-0000-0000-00005F8C0000}"/>
    <cellStyle name="Total 2 3 5 2" xfId="22641" xr:uid="{00000000-0005-0000-0000-0000608C0000}"/>
    <cellStyle name="Total 2 3 5 3" xfId="36742" xr:uid="{00000000-0005-0000-0000-0000618C0000}"/>
    <cellStyle name="Total 2 3 5 4" xfId="36743" xr:uid="{00000000-0005-0000-0000-0000628C0000}"/>
    <cellStyle name="Total 2 3 6" xfId="22642" xr:uid="{00000000-0005-0000-0000-0000638C0000}"/>
    <cellStyle name="Total 2 3 6 2" xfId="22643" xr:uid="{00000000-0005-0000-0000-0000648C0000}"/>
    <cellStyle name="Total 2 3 6 3" xfId="36744" xr:uid="{00000000-0005-0000-0000-0000658C0000}"/>
    <cellStyle name="Total 2 3 6 4" xfId="36745" xr:uid="{00000000-0005-0000-0000-0000668C0000}"/>
    <cellStyle name="Total 2 3 7" xfId="22644" xr:uid="{00000000-0005-0000-0000-0000678C0000}"/>
    <cellStyle name="Total 2 3 7 2" xfId="22645" xr:uid="{00000000-0005-0000-0000-0000688C0000}"/>
    <cellStyle name="Total 2 3 7 3" xfId="36746" xr:uid="{00000000-0005-0000-0000-0000698C0000}"/>
    <cellStyle name="Total 2 3 7 4" xfId="36747" xr:uid="{00000000-0005-0000-0000-00006A8C0000}"/>
    <cellStyle name="Total 2 3 8" xfId="22646" xr:uid="{00000000-0005-0000-0000-00006B8C0000}"/>
    <cellStyle name="Total 2 3 9" xfId="36748" xr:uid="{00000000-0005-0000-0000-00006C8C0000}"/>
    <cellStyle name="Total 2 4" xfId="22647" xr:uid="{00000000-0005-0000-0000-00006D8C0000}"/>
    <cellStyle name="Total 2 4 10" xfId="36749" xr:uid="{00000000-0005-0000-0000-00006E8C0000}"/>
    <cellStyle name="Total 2 4 2" xfId="22648" xr:uid="{00000000-0005-0000-0000-00006F8C0000}"/>
    <cellStyle name="Total 2 4 2 2" xfId="22649" xr:uid="{00000000-0005-0000-0000-0000708C0000}"/>
    <cellStyle name="Total 2 4 2 3" xfId="36750" xr:uid="{00000000-0005-0000-0000-0000718C0000}"/>
    <cellStyle name="Total 2 4 2 4" xfId="36751" xr:uid="{00000000-0005-0000-0000-0000728C0000}"/>
    <cellStyle name="Total 2 4 3" xfId="22650" xr:uid="{00000000-0005-0000-0000-0000738C0000}"/>
    <cellStyle name="Total 2 4 3 2" xfId="22651" xr:uid="{00000000-0005-0000-0000-0000748C0000}"/>
    <cellStyle name="Total 2 4 3 3" xfId="36752" xr:uid="{00000000-0005-0000-0000-0000758C0000}"/>
    <cellStyle name="Total 2 4 3 4" xfId="36753" xr:uid="{00000000-0005-0000-0000-0000768C0000}"/>
    <cellStyle name="Total 2 4 4" xfId="22652" xr:uid="{00000000-0005-0000-0000-0000778C0000}"/>
    <cellStyle name="Total 2 4 4 2" xfId="22653" xr:uid="{00000000-0005-0000-0000-0000788C0000}"/>
    <cellStyle name="Total 2 4 4 3" xfId="36754" xr:uid="{00000000-0005-0000-0000-0000798C0000}"/>
    <cellStyle name="Total 2 4 4 4" xfId="36755" xr:uid="{00000000-0005-0000-0000-00007A8C0000}"/>
    <cellStyle name="Total 2 4 5" xfId="22654" xr:uid="{00000000-0005-0000-0000-00007B8C0000}"/>
    <cellStyle name="Total 2 4 5 2" xfId="22655" xr:uid="{00000000-0005-0000-0000-00007C8C0000}"/>
    <cellStyle name="Total 2 4 5 3" xfId="36756" xr:uid="{00000000-0005-0000-0000-00007D8C0000}"/>
    <cellStyle name="Total 2 4 5 4" xfId="36757" xr:uid="{00000000-0005-0000-0000-00007E8C0000}"/>
    <cellStyle name="Total 2 4 6" xfId="22656" xr:uid="{00000000-0005-0000-0000-00007F8C0000}"/>
    <cellStyle name="Total 2 4 6 2" xfId="22657" xr:uid="{00000000-0005-0000-0000-0000808C0000}"/>
    <cellStyle name="Total 2 4 6 3" xfId="36758" xr:uid="{00000000-0005-0000-0000-0000818C0000}"/>
    <cellStyle name="Total 2 4 6 4" xfId="36759" xr:uid="{00000000-0005-0000-0000-0000828C0000}"/>
    <cellStyle name="Total 2 4 7" xfId="22658" xr:uid="{00000000-0005-0000-0000-0000838C0000}"/>
    <cellStyle name="Total 2 4 7 2" xfId="22659" xr:uid="{00000000-0005-0000-0000-0000848C0000}"/>
    <cellStyle name="Total 2 4 7 3" xfId="36760" xr:uid="{00000000-0005-0000-0000-0000858C0000}"/>
    <cellStyle name="Total 2 4 7 4" xfId="36761" xr:uid="{00000000-0005-0000-0000-0000868C0000}"/>
    <cellStyle name="Total 2 4 8" xfId="22660" xr:uid="{00000000-0005-0000-0000-0000878C0000}"/>
    <cellStyle name="Total 2 4 9" xfId="36762" xr:uid="{00000000-0005-0000-0000-0000888C0000}"/>
    <cellStyle name="Total 2 5" xfId="22661" xr:uid="{00000000-0005-0000-0000-0000898C0000}"/>
    <cellStyle name="Total 2 5 10" xfId="36763" xr:uid="{00000000-0005-0000-0000-00008A8C0000}"/>
    <cellStyle name="Total 2 5 2" xfId="22662" xr:uid="{00000000-0005-0000-0000-00008B8C0000}"/>
    <cellStyle name="Total 2 5 2 2" xfId="22663" xr:uid="{00000000-0005-0000-0000-00008C8C0000}"/>
    <cellStyle name="Total 2 5 2 3" xfId="36764" xr:uid="{00000000-0005-0000-0000-00008D8C0000}"/>
    <cellStyle name="Total 2 5 2 4" xfId="36765" xr:uid="{00000000-0005-0000-0000-00008E8C0000}"/>
    <cellStyle name="Total 2 5 3" xfId="22664" xr:uid="{00000000-0005-0000-0000-00008F8C0000}"/>
    <cellStyle name="Total 2 5 3 2" xfId="22665" xr:uid="{00000000-0005-0000-0000-0000908C0000}"/>
    <cellStyle name="Total 2 5 3 3" xfId="36766" xr:uid="{00000000-0005-0000-0000-0000918C0000}"/>
    <cellStyle name="Total 2 5 3 4" xfId="36767" xr:uid="{00000000-0005-0000-0000-0000928C0000}"/>
    <cellStyle name="Total 2 5 4" xfId="22666" xr:uid="{00000000-0005-0000-0000-0000938C0000}"/>
    <cellStyle name="Total 2 5 4 2" xfId="22667" xr:uid="{00000000-0005-0000-0000-0000948C0000}"/>
    <cellStyle name="Total 2 5 4 3" xfId="36768" xr:uid="{00000000-0005-0000-0000-0000958C0000}"/>
    <cellStyle name="Total 2 5 4 4" xfId="36769" xr:uid="{00000000-0005-0000-0000-0000968C0000}"/>
    <cellStyle name="Total 2 5 5" xfId="22668" xr:uid="{00000000-0005-0000-0000-0000978C0000}"/>
    <cellStyle name="Total 2 5 5 2" xfId="22669" xr:uid="{00000000-0005-0000-0000-0000988C0000}"/>
    <cellStyle name="Total 2 5 5 3" xfId="36770" xr:uid="{00000000-0005-0000-0000-0000998C0000}"/>
    <cellStyle name="Total 2 5 5 4" xfId="36771" xr:uid="{00000000-0005-0000-0000-00009A8C0000}"/>
    <cellStyle name="Total 2 5 6" xfId="22670" xr:uid="{00000000-0005-0000-0000-00009B8C0000}"/>
    <cellStyle name="Total 2 5 6 2" xfId="22671" xr:uid="{00000000-0005-0000-0000-00009C8C0000}"/>
    <cellStyle name="Total 2 5 6 3" xfId="36772" xr:uid="{00000000-0005-0000-0000-00009D8C0000}"/>
    <cellStyle name="Total 2 5 6 4" xfId="36773" xr:uid="{00000000-0005-0000-0000-00009E8C0000}"/>
    <cellStyle name="Total 2 5 7" xfId="22672" xr:uid="{00000000-0005-0000-0000-00009F8C0000}"/>
    <cellStyle name="Total 2 5 7 2" xfId="22673" xr:uid="{00000000-0005-0000-0000-0000A08C0000}"/>
    <cellStyle name="Total 2 5 7 3" xfId="36774" xr:uid="{00000000-0005-0000-0000-0000A18C0000}"/>
    <cellStyle name="Total 2 5 7 4" xfId="36775" xr:uid="{00000000-0005-0000-0000-0000A28C0000}"/>
    <cellStyle name="Total 2 5 8" xfId="22674" xr:uid="{00000000-0005-0000-0000-0000A38C0000}"/>
    <cellStyle name="Total 2 5 9" xfId="36776" xr:uid="{00000000-0005-0000-0000-0000A48C0000}"/>
    <cellStyle name="Total 2 6" xfId="22675" xr:uid="{00000000-0005-0000-0000-0000A58C0000}"/>
    <cellStyle name="Total 2 6 2" xfId="22676" xr:uid="{00000000-0005-0000-0000-0000A68C0000}"/>
    <cellStyle name="Total 2 6 3" xfId="36777" xr:uid="{00000000-0005-0000-0000-0000A78C0000}"/>
    <cellStyle name="Total 2 6 4" xfId="36778" xr:uid="{00000000-0005-0000-0000-0000A88C0000}"/>
    <cellStyle name="Total 2 7" xfId="22677" xr:uid="{00000000-0005-0000-0000-0000A98C0000}"/>
    <cellStyle name="Total 2 7 2" xfId="22678" xr:uid="{00000000-0005-0000-0000-0000AA8C0000}"/>
    <cellStyle name="Total 2 7 3" xfId="36779" xr:uid="{00000000-0005-0000-0000-0000AB8C0000}"/>
    <cellStyle name="Total 2 7 4" xfId="36780" xr:uid="{00000000-0005-0000-0000-0000AC8C0000}"/>
    <cellStyle name="Total 2 8" xfId="22679" xr:uid="{00000000-0005-0000-0000-0000AD8C0000}"/>
    <cellStyle name="Total 2 8 2" xfId="22680" xr:uid="{00000000-0005-0000-0000-0000AE8C0000}"/>
    <cellStyle name="Total 2 8 3" xfId="36781" xr:uid="{00000000-0005-0000-0000-0000AF8C0000}"/>
    <cellStyle name="Total 2 8 4" xfId="36782" xr:uid="{00000000-0005-0000-0000-0000B08C0000}"/>
    <cellStyle name="Total 2 9" xfId="22681" xr:uid="{00000000-0005-0000-0000-0000B18C0000}"/>
    <cellStyle name="Total 2 9 2" xfId="22682" xr:uid="{00000000-0005-0000-0000-0000B28C0000}"/>
    <cellStyle name="Total 2 9 3" xfId="36783" xr:uid="{00000000-0005-0000-0000-0000B38C0000}"/>
    <cellStyle name="Total 2 9 4" xfId="36784" xr:uid="{00000000-0005-0000-0000-0000B48C0000}"/>
    <cellStyle name="Total 20" xfId="22683" xr:uid="{00000000-0005-0000-0000-0000B58C0000}"/>
    <cellStyle name="Total 20 10" xfId="22684" xr:uid="{00000000-0005-0000-0000-0000B68C0000}"/>
    <cellStyle name="Total 20 10 2" xfId="22685" xr:uid="{00000000-0005-0000-0000-0000B78C0000}"/>
    <cellStyle name="Total 20 10 3" xfId="36785" xr:uid="{00000000-0005-0000-0000-0000B88C0000}"/>
    <cellStyle name="Total 20 10 4" xfId="36786" xr:uid="{00000000-0005-0000-0000-0000B98C0000}"/>
    <cellStyle name="Total 20 11" xfId="22686" xr:uid="{00000000-0005-0000-0000-0000BA8C0000}"/>
    <cellStyle name="Total 20 11 2" xfId="22687" xr:uid="{00000000-0005-0000-0000-0000BB8C0000}"/>
    <cellStyle name="Total 20 11 3" xfId="36787" xr:uid="{00000000-0005-0000-0000-0000BC8C0000}"/>
    <cellStyle name="Total 20 11 4" xfId="36788" xr:uid="{00000000-0005-0000-0000-0000BD8C0000}"/>
    <cellStyle name="Total 20 12" xfId="22688" xr:uid="{00000000-0005-0000-0000-0000BE8C0000}"/>
    <cellStyle name="Total 20 13" xfId="36789" xr:uid="{00000000-0005-0000-0000-0000BF8C0000}"/>
    <cellStyle name="Total 20 14" xfId="36790" xr:uid="{00000000-0005-0000-0000-0000C08C0000}"/>
    <cellStyle name="Total 20 2" xfId="22689" xr:uid="{00000000-0005-0000-0000-0000C18C0000}"/>
    <cellStyle name="Total 20 2 10" xfId="36791" xr:uid="{00000000-0005-0000-0000-0000C28C0000}"/>
    <cellStyle name="Total 20 2 2" xfId="22690" xr:uid="{00000000-0005-0000-0000-0000C38C0000}"/>
    <cellStyle name="Total 20 2 2 2" xfId="22691" xr:uid="{00000000-0005-0000-0000-0000C48C0000}"/>
    <cellStyle name="Total 20 2 2 3" xfId="36792" xr:uid="{00000000-0005-0000-0000-0000C58C0000}"/>
    <cellStyle name="Total 20 2 2 4" xfId="36793" xr:uid="{00000000-0005-0000-0000-0000C68C0000}"/>
    <cellStyle name="Total 20 2 3" xfId="22692" xr:uid="{00000000-0005-0000-0000-0000C78C0000}"/>
    <cellStyle name="Total 20 2 3 2" xfId="22693" xr:uid="{00000000-0005-0000-0000-0000C88C0000}"/>
    <cellStyle name="Total 20 2 3 3" xfId="36794" xr:uid="{00000000-0005-0000-0000-0000C98C0000}"/>
    <cellStyle name="Total 20 2 3 4" xfId="36795" xr:uid="{00000000-0005-0000-0000-0000CA8C0000}"/>
    <cellStyle name="Total 20 2 4" xfId="22694" xr:uid="{00000000-0005-0000-0000-0000CB8C0000}"/>
    <cellStyle name="Total 20 2 4 2" xfId="22695" xr:uid="{00000000-0005-0000-0000-0000CC8C0000}"/>
    <cellStyle name="Total 20 2 4 3" xfId="36796" xr:uid="{00000000-0005-0000-0000-0000CD8C0000}"/>
    <cellStyle name="Total 20 2 4 4" xfId="36797" xr:uid="{00000000-0005-0000-0000-0000CE8C0000}"/>
    <cellStyle name="Total 20 2 5" xfId="22696" xr:uid="{00000000-0005-0000-0000-0000CF8C0000}"/>
    <cellStyle name="Total 20 2 5 2" xfId="22697" xr:uid="{00000000-0005-0000-0000-0000D08C0000}"/>
    <cellStyle name="Total 20 2 5 3" xfId="36798" xr:uid="{00000000-0005-0000-0000-0000D18C0000}"/>
    <cellStyle name="Total 20 2 5 4" xfId="36799" xr:uid="{00000000-0005-0000-0000-0000D28C0000}"/>
    <cellStyle name="Total 20 2 6" xfId="22698" xr:uid="{00000000-0005-0000-0000-0000D38C0000}"/>
    <cellStyle name="Total 20 2 6 2" xfId="22699" xr:uid="{00000000-0005-0000-0000-0000D48C0000}"/>
    <cellStyle name="Total 20 2 6 3" xfId="36800" xr:uid="{00000000-0005-0000-0000-0000D58C0000}"/>
    <cellStyle name="Total 20 2 6 4" xfId="36801" xr:uid="{00000000-0005-0000-0000-0000D68C0000}"/>
    <cellStyle name="Total 20 2 7" xfId="22700" xr:uid="{00000000-0005-0000-0000-0000D78C0000}"/>
    <cellStyle name="Total 20 2 7 2" xfId="22701" xr:uid="{00000000-0005-0000-0000-0000D88C0000}"/>
    <cellStyle name="Total 20 2 7 3" xfId="36802" xr:uid="{00000000-0005-0000-0000-0000D98C0000}"/>
    <cellStyle name="Total 20 2 7 4" xfId="36803" xr:uid="{00000000-0005-0000-0000-0000DA8C0000}"/>
    <cellStyle name="Total 20 2 8" xfId="22702" xr:uid="{00000000-0005-0000-0000-0000DB8C0000}"/>
    <cellStyle name="Total 20 2 9" xfId="36804" xr:uid="{00000000-0005-0000-0000-0000DC8C0000}"/>
    <cellStyle name="Total 20 3" xfId="22703" xr:uid="{00000000-0005-0000-0000-0000DD8C0000}"/>
    <cellStyle name="Total 20 3 10" xfId="36805" xr:uid="{00000000-0005-0000-0000-0000DE8C0000}"/>
    <cellStyle name="Total 20 3 2" xfId="22704" xr:uid="{00000000-0005-0000-0000-0000DF8C0000}"/>
    <cellStyle name="Total 20 3 2 2" xfId="22705" xr:uid="{00000000-0005-0000-0000-0000E08C0000}"/>
    <cellStyle name="Total 20 3 2 3" xfId="36806" xr:uid="{00000000-0005-0000-0000-0000E18C0000}"/>
    <cellStyle name="Total 20 3 2 4" xfId="36807" xr:uid="{00000000-0005-0000-0000-0000E28C0000}"/>
    <cellStyle name="Total 20 3 3" xfId="22706" xr:uid="{00000000-0005-0000-0000-0000E38C0000}"/>
    <cellStyle name="Total 20 3 3 2" xfId="22707" xr:uid="{00000000-0005-0000-0000-0000E48C0000}"/>
    <cellStyle name="Total 20 3 3 3" xfId="36808" xr:uid="{00000000-0005-0000-0000-0000E58C0000}"/>
    <cellStyle name="Total 20 3 3 4" xfId="36809" xr:uid="{00000000-0005-0000-0000-0000E68C0000}"/>
    <cellStyle name="Total 20 3 4" xfId="22708" xr:uid="{00000000-0005-0000-0000-0000E78C0000}"/>
    <cellStyle name="Total 20 3 4 2" xfId="22709" xr:uid="{00000000-0005-0000-0000-0000E88C0000}"/>
    <cellStyle name="Total 20 3 4 3" xfId="36810" xr:uid="{00000000-0005-0000-0000-0000E98C0000}"/>
    <cellStyle name="Total 20 3 4 4" xfId="36811" xr:uid="{00000000-0005-0000-0000-0000EA8C0000}"/>
    <cellStyle name="Total 20 3 5" xfId="22710" xr:uid="{00000000-0005-0000-0000-0000EB8C0000}"/>
    <cellStyle name="Total 20 3 5 2" xfId="22711" xr:uid="{00000000-0005-0000-0000-0000EC8C0000}"/>
    <cellStyle name="Total 20 3 5 3" xfId="36812" xr:uid="{00000000-0005-0000-0000-0000ED8C0000}"/>
    <cellStyle name="Total 20 3 5 4" xfId="36813" xr:uid="{00000000-0005-0000-0000-0000EE8C0000}"/>
    <cellStyle name="Total 20 3 6" xfId="22712" xr:uid="{00000000-0005-0000-0000-0000EF8C0000}"/>
    <cellStyle name="Total 20 3 6 2" xfId="22713" xr:uid="{00000000-0005-0000-0000-0000F08C0000}"/>
    <cellStyle name="Total 20 3 6 3" xfId="36814" xr:uid="{00000000-0005-0000-0000-0000F18C0000}"/>
    <cellStyle name="Total 20 3 6 4" xfId="36815" xr:uid="{00000000-0005-0000-0000-0000F28C0000}"/>
    <cellStyle name="Total 20 3 7" xfId="22714" xr:uid="{00000000-0005-0000-0000-0000F38C0000}"/>
    <cellStyle name="Total 20 3 7 2" xfId="22715" xr:uid="{00000000-0005-0000-0000-0000F48C0000}"/>
    <cellStyle name="Total 20 3 7 3" xfId="36816" xr:uid="{00000000-0005-0000-0000-0000F58C0000}"/>
    <cellStyle name="Total 20 3 7 4" xfId="36817" xr:uid="{00000000-0005-0000-0000-0000F68C0000}"/>
    <cellStyle name="Total 20 3 8" xfId="22716" xr:uid="{00000000-0005-0000-0000-0000F78C0000}"/>
    <cellStyle name="Total 20 3 9" xfId="36818" xr:uid="{00000000-0005-0000-0000-0000F88C0000}"/>
    <cellStyle name="Total 20 4" xfId="22717" xr:uid="{00000000-0005-0000-0000-0000F98C0000}"/>
    <cellStyle name="Total 20 4 10" xfId="36819" xr:uid="{00000000-0005-0000-0000-0000FA8C0000}"/>
    <cellStyle name="Total 20 4 2" xfId="22718" xr:uid="{00000000-0005-0000-0000-0000FB8C0000}"/>
    <cellStyle name="Total 20 4 2 2" xfId="22719" xr:uid="{00000000-0005-0000-0000-0000FC8C0000}"/>
    <cellStyle name="Total 20 4 2 3" xfId="36820" xr:uid="{00000000-0005-0000-0000-0000FD8C0000}"/>
    <cellStyle name="Total 20 4 2 4" xfId="36821" xr:uid="{00000000-0005-0000-0000-0000FE8C0000}"/>
    <cellStyle name="Total 20 4 3" xfId="22720" xr:uid="{00000000-0005-0000-0000-0000FF8C0000}"/>
    <cellStyle name="Total 20 4 3 2" xfId="22721" xr:uid="{00000000-0005-0000-0000-0000008D0000}"/>
    <cellStyle name="Total 20 4 3 3" xfId="36822" xr:uid="{00000000-0005-0000-0000-0000018D0000}"/>
    <cellStyle name="Total 20 4 3 4" xfId="36823" xr:uid="{00000000-0005-0000-0000-0000028D0000}"/>
    <cellStyle name="Total 20 4 4" xfId="22722" xr:uid="{00000000-0005-0000-0000-0000038D0000}"/>
    <cellStyle name="Total 20 4 4 2" xfId="22723" xr:uid="{00000000-0005-0000-0000-0000048D0000}"/>
    <cellStyle name="Total 20 4 4 3" xfId="36824" xr:uid="{00000000-0005-0000-0000-0000058D0000}"/>
    <cellStyle name="Total 20 4 4 4" xfId="36825" xr:uid="{00000000-0005-0000-0000-0000068D0000}"/>
    <cellStyle name="Total 20 4 5" xfId="22724" xr:uid="{00000000-0005-0000-0000-0000078D0000}"/>
    <cellStyle name="Total 20 4 5 2" xfId="22725" xr:uid="{00000000-0005-0000-0000-0000088D0000}"/>
    <cellStyle name="Total 20 4 5 3" xfId="36826" xr:uid="{00000000-0005-0000-0000-0000098D0000}"/>
    <cellStyle name="Total 20 4 5 4" xfId="36827" xr:uid="{00000000-0005-0000-0000-00000A8D0000}"/>
    <cellStyle name="Total 20 4 6" xfId="22726" xr:uid="{00000000-0005-0000-0000-00000B8D0000}"/>
    <cellStyle name="Total 20 4 6 2" xfId="22727" xr:uid="{00000000-0005-0000-0000-00000C8D0000}"/>
    <cellStyle name="Total 20 4 6 3" xfId="36828" xr:uid="{00000000-0005-0000-0000-00000D8D0000}"/>
    <cellStyle name="Total 20 4 6 4" xfId="36829" xr:uid="{00000000-0005-0000-0000-00000E8D0000}"/>
    <cellStyle name="Total 20 4 7" xfId="22728" xr:uid="{00000000-0005-0000-0000-00000F8D0000}"/>
    <cellStyle name="Total 20 4 7 2" xfId="22729" xr:uid="{00000000-0005-0000-0000-0000108D0000}"/>
    <cellStyle name="Total 20 4 7 3" xfId="36830" xr:uid="{00000000-0005-0000-0000-0000118D0000}"/>
    <cellStyle name="Total 20 4 7 4" xfId="36831" xr:uid="{00000000-0005-0000-0000-0000128D0000}"/>
    <cellStyle name="Total 20 4 8" xfId="22730" xr:uid="{00000000-0005-0000-0000-0000138D0000}"/>
    <cellStyle name="Total 20 4 9" xfId="36832" xr:uid="{00000000-0005-0000-0000-0000148D0000}"/>
    <cellStyle name="Total 20 5" xfId="22731" xr:uid="{00000000-0005-0000-0000-0000158D0000}"/>
    <cellStyle name="Total 20 5 10" xfId="36833" xr:uid="{00000000-0005-0000-0000-0000168D0000}"/>
    <cellStyle name="Total 20 5 2" xfId="22732" xr:uid="{00000000-0005-0000-0000-0000178D0000}"/>
    <cellStyle name="Total 20 5 2 2" xfId="22733" xr:uid="{00000000-0005-0000-0000-0000188D0000}"/>
    <cellStyle name="Total 20 5 2 3" xfId="36834" xr:uid="{00000000-0005-0000-0000-0000198D0000}"/>
    <cellStyle name="Total 20 5 2 4" xfId="36835" xr:uid="{00000000-0005-0000-0000-00001A8D0000}"/>
    <cellStyle name="Total 20 5 3" xfId="22734" xr:uid="{00000000-0005-0000-0000-00001B8D0000}"/>
    <cellStyle name="Total 20 5 3 2" xfId="22735" xr:uid="{00000000-0005-0000-0000-00001C8D0000}"/>
    <cellStyle name="Total 20 5 3 3" xfId="36836" xr:uid="{00000000-0005-0000-0000-00001D8D0000}"/>
    <cellStyle name="Total 20 5 3 4" xfId="36837" xr:uid="{00000000-0005-0000-0000-00001E8D0000}"/>
    <cellStyle name="Total 20 5 4" xfId="22736" xr:uid="{00000000-0005-0000-0000-00001F8D0000}"/>
    <cellStyle name="Total 20 5 4 2" xfId="22737" xr:uid="{00000000-0005-0000-0000-0000208D0000}"/>
    <cellStyle name="Total 20 5 4 3" xfId="36838" xr:uid="{00000000-0005-0000-0000-0000218D0000}"/>
    <cellStyle name="Total 20 5 4 4" xfId="36839" xr:uid="{00000000-0005-0000-0000-0000228D0000}"/>
    <cellStyle name="Total 20 5 5" xfId="22738" xr:uid="{00000000-0005-0000-0000-0000238D0000}"/>
    <cellStyle name="Total 20 5 5 2" xfId="22739" xr:uid="{00000000-0005-0000-0000-0000248D0000}"/>
    <cellStyle name="Total 20 5 5 3" xfId="36840" xr:uid="{00000000-0005-0000-0000-0000258D0000}"/>
    <cellStyle name="Total 20 5 5 4" xfId="36841" xr:uid="{00000000-0005-0000-0000-0000268D0000}"/>
    <cellStyle name="Total 20 5 6" xfId="22740" xr:uid="{00000000-0005-0000-0000-0000278D0000}"/>
    <cellStyle name="Total 20 5 6 2" xfId="22741" xr:uid="{00000000-0005-0000-0000-0000288D0000}"/>
    <cellStyle name="Total 20 5 6 3" xfId="36842" xr:uid="{00000000-0005-0000-0000-0000298D0000}"/>
    <cellStyle name="Total 20 5 6 4" xfId="36843" xr:uid="{00000000-0005-0000-0000-00002A8D0000}"/>
    <cellStyle name="Total 20 5 7" xfId="22742" xr:uid="{00000000-0005-0000-0000-00002B8D0000}"/>
    <cellStyle name="Total 20 5 7 2" xfId="22743" xr:uid="{00000000-0005-0000-0000-00002C8D0000}"/>
    <cellStyle name="Total 20 5 7 3" xfId="36844" xr:uid="{00000000-0005-0000-0000-00002D8D0000}"/>
    <cellStyle name="Total 20 5 7 4" xfId="36845" xr:uid="{00000000-0005-0000-0000-00002E8D0000}"/>
    <cellStyle name="Total 20 5 8" xfId="22744" xr:uid="{00000000-0005-0000-0000-00002F8D0000}"/>
    <cellStyle name="Total 20 5 9" xfId="36846" xr:uid="{00000000-0005-0000-0000-0000308D0000}"/>
    <cellStyle name="Total 20 6" xfId="22745" xr:uid="{00000000-0005-0000-0000-0000318D0000}"/>
    <cellStyle name="Total 20 6 2" xfId="22746" xr:uid="{00000000-0005-0000-0000-0000328D0000}"/>
    <cellStyle name="Total 20 6 3" xfId="36847" xr:uid="{00000000-0005-0000-0000-0000338D0000}"/>
    <cellStyle name="Total 20 6 4" xfId="36848" xr:uid="{00000000-0005-0000-0000-0000348D0000}"/>
    <cellStyle name="Total 20 7" xfId="22747" xr:uid="{00000000-0005-0000-0000-0000358D0000}"/>
    <cellStyle name="Total 20 7 2" xfId="22748" xr:uid="{00000000-0005-0000-0000-0000368D0000}"/>
    <cellStyle name="Total 20 7 3" xfId="36849" xr:uid="{00000000-0005-0000-0000-0000378D0000}"/>
    <cellStyle name="Total 20 7 4" xfId="36850" xr:uid="{00000000-0005-0000-0000-0000388D0000}"/>
    <cellStyle name="Total 20 8" xfId="22749" xr:uid="{00000000-0005-0000-0000-0000398D0000}"/>
    <cellStyle name="Total 20 8 2" xfId="22750" xr:uid="{00000000-0005-0000-0000-00003A8D0000}"/>
    <cellStyle name="Total 20 8 3" xfId="36851" xr:uid="{00000000-0005-0000-0000-00003B8D0000}"/>
    <cellStyle name="Total 20 8 4" xfId="36852" xr:uid="{00000000-0005-0000-0000-00003C8D0000}"/>
    <cellStyle name="Total 20 9" xfId="22751" xr:uid="{00000000-0005-0000-0000-00003D8D0000}"/>
    <cellStyle name="Total 20 9 2" xfId="22752" xr:uid="{00000000-0005-0000-0000-00003E8D0000}"/>
    <cellStyle name="Total 20 9 3" xfId="36853" xr:uid="{00000000-0005-0000-0000-00003F8D0000}"/>
    <cellStyle name="Total 20 9 4" xfId="36854" xr:uid="{00000000-0005-0000-0000-0000408D0000}"/>
    <cellStyle name="Total 21" xfId="22753" xr:uid="{00000000-0005-0000-0000-0000418D0000}"/>
    <cellStyle name="Total 21 10" xfId="22754" xr:uid="{00000000-0005-0000-0000-0000428D0000}"/>
    <cellStyle name="Total 21 10 2" xfId="22755" xr:uid="{00000000-0005-0000-0000-0000438D0000}"/>
    <cellStyle name="Total 21 10 3" xfId="36855" xr:uid="{00000000-0005-0000-0000-0000448D0000}"/>
    <cellStyle name="Total 21 10 4" xfId="36856" xr:uid="{00000000-0005-0000-0000-0000458D0000}"/>
    <cellStyle name="Total 21 11" xfId="22756" xr:uid="{00000000-0005-0000-0000-0000468D0000}"/>
    <cellStyle name="Total 21 11 2" xfId="22757" xr:uid="{00000000-0005-0000-0000-0000478D0000}"/>
    <cellStyle name="Total 21 11 3" xfId="36857" xr:uid="{00000000-0005-0000-0000-0000488D0000}"/>
    <cellStyle name="Total 21 11 4" xfId="36858" xr:uid="{00000000-0005-0000-0000-0000498D0000}"/>
    <cellStyle name="Total 21 12" xfId="22758" xr:uid="{00000000-0005-0000-0000-00004A8D0000}"/>
    <cellStyle name="Total 21 13" xfId="36859" xr:uid="{00000000-0005-0000-0000-00004B8D0000}"/>
    <cellStyle name="Total 21 14" xfId="36860" xr:uid="{00000000-0005-0000-0000-00004C8D0000}"/>
    <cellStyle name="Total 21 2" xfId="22759" xr:uid="{00000000-0005-0000-0000-00004D8D0000}"/>
    <cellStyle name="Total 21 2 10" xfId="36861" xr:uid="{00000000-0005-0000-0000-00004E8D0000}"/>
    <cellStyle name="Total 21 2 2" xfId="22760" xr:uid="{00000000-0005-0000-0000-00004F8D0000}"/>
    <cellStyle name="Total 21 2 2 2" xfId="22761" xr:uid="{00000000-0005-0000-0000-0000508D0000}"/>
    <cellStyle name="Total 21 2 2 3" xfId="36862" xr:uid="{00000000-0005-0000-0000-0000518D0000}"/>
    <cellStyle name="Total 21 2 2 4" xfId="36863" xr:uid="{00000000-0005-0000-0000-0000528D0000}"/>
    <cellStyle name="Total 21 2 3" xfId="22762" xr:uid="{00000000-0005-0000-0000-0000538D0000}"/>
    <cellStyle name="Total 21 2 3 2" xfId="22763" xr:uid="{00000000-0005-0000-0000-0000548D0000}"/>
    <cellStyle name="Total 21 2 3 3" xfId="36864" xr:uid="{00000000-0005-0000-0000-0000558D0000}"/>
    <cellStyle name="Total 21 2 3 4" xfId="36865" xr:uid="{00000000-0005-0000-0000-0000568D0000}"/>
    <cellStyle name="Total 21 2 4" xfId="22764" xr:uid="{00000000-0005-0000-0000-0000578D0000}"/>
    <cellStyle name="Total 21 2 4 2" xfId="22765" xr:uid="{00000000-0005-0000-0000-0000588D0000}"/>
    <cellStyle name="Total 21 2 4 3" xfId="36866" xr:uid="{00000000-0005-0000-0000-0000598D0000}"/>
    <cellStyle name="Total 21 2 4 4" xfId="36867" xr:uid="{00000000-0005-0000-0000-00005A8D0000}"/>
    <cellStyle name="Total 21 2 5" xfId="22766" xr:uid="{00000000-0005-0000-0000-00005B8D0000}"/>
    <cellStyle name="Total 21 2 5 2" xfId="22767" xr:uid="{00000000-0005-0000-0000-00005C8D0000}"/>
    <cellStyle name="Total 21 2 5 3" xfId="36868" xr:uid="{00000000-0005-0000-0000-00005D8D0000}"/>
    <cellStyle name="Total 21 2 5 4" xfId="36869" xr:uid="{00000000-0005-0000-0000-00005E8D0000}"/>
    <cellStyle name="Total 21 2 6" xfId="22768" xr:uid="{00000000-0005-0000-0000-00005F8D0000}"/>
    <cellStyle name="Total 21 2 6 2" xfId="22769" xr:uid="{00000000-0005-0000-0000-0000608D0000}"/>
    <cellStyle name="Total 21 2 6 3" xfId="36870" xr:uid="{00000000-0005-0000-0000-0000618D0000}"/>
    <cellStyle name="Total 21 2 6 4" xfId="36871" xr:uid="{00000000-0005-0000-0000-0000628D0000}"/>
    <cellStyle name="Total 21 2 7" xfId="22770" xr:uid="{00000000-0005-0000-0000-0000638D0000}"/>
    <cellStyle name="Total 21 2 7 2" xfId="22771" xr:uid="{00000000-0005-0000-0000-0000648D0000}"/>
    <cellStyle name="Total 21 2 7 3" xfId="36872" xr:uid="{00000000-0005-0000-0000-0000658D0000}"/>
    <cellStyle name="Total 21 2 7 4" xfId="36873" xr:uid="{00000000-0005-0000-0000-0000668D0000}"/>
    <cellStyle name="Total 21 2 8" xfId="22772" xr:uid="{00000000-0005-0000-0000-0000678D0000}"/>
    <cellStyle name="Total 21 2 9" xfId="36874" xr:uid="{00000000-0005-0000-0000-0000688D0000}"/>
    <cellStyle name="Total 21 3" xfId="22773" xr:uid="{00000000-0005-0000-0000-0000698D0000}"/>
    <cellStyle name="Total 21 3 10" xfId="36875" xr:uid="{00000000-0005-0000-0000-00006A8D0000}"/>
    <cellStyle name="Total 21 3 2" xfId="22774" xr:uid="{00000000-0005-0000-0000-00006B8D0000}"/>
    <cellStyle name="Total 21 3 2 2" xfId="22775" xr:uid="{00000000-0005-0000-0000-00006C8D0000}"/>
    <cellStyle name="Total 21 3 2 3" xfId="36876" xr:uid="{00000000-0005-0000-0000-00006D8D0000}"/>
    <cellStyle name="Total 21 3 2 4" xfId="36877" xr:uid="{00000000-0005-0000-0000-00006E8D0000}"/>
    <cellStyle name="Total 21 3 3" xfId="22776" xr:uid="{00000000-0005-0000-0000-00006F8D0000}"/>
    <cellStyle name="Total 21 3 3 2" xfId="22777" xr:uid="{00000000-0005-0000-0000-0000708D0000}"/>
    <cellStyle name="Total 21 3 3 3" xfId="36878" xr:uid="{00000000-0005-0000-0000-0000718D0000}"/>
    <cellStyle name="Total 21 3 3 4" xfId="36879" xr:uid="{00000000-0005-0000-0000-0000728D0000}"/>
    <cellStyle name="Total 21 3 4" xfId="22778" xr:uid="{00000000-0005-0000-0000-0000738D0000}"/>
    <cellStyle name="Total 21 3 4 2" xfId="22779" xr:uid="{00000000-0005-0000-0000-0000748D0000}"/>
    <cellStyle name="Total 21 3 4 3" xfId="36880" xr:uid="{00000000-0005-0000-0000-0000758D0000}"/>
    <cellStyle name="Total 21 3 4 4" xfId="36881" xr:uid="{00000000-0005-0000-0000-0000768D0000}"/>
    <cellStyle name="Total 21 3 5" xfId="22780" xr:uid="{00000000-0005-0000-0000-0000778D0000}"/>
    <cellStyle name="Total 21 3 5 2" xfId="22781" xr:uid="{00000000-0005-0000-0000-0000788D0000}"/>
    <cellStyle name="Total 21 3 5 3" xfId="36882" xr:uid="{00000000-0005-0000-0000-0000798D0000}"/>
    <cellStyle name="Total 21 3 5 4" xfId="36883" xr:uid="{00000000-0005-0000-0000-00007A8D0000}"/>
    <cellStyle name="Total 21 3 6" xfId="22782" xr:uid="{00000000-0005-0000-0000-00007B8D0000}"/>
    <cellStyle name="Total 21 3 6 2" xfId="22783" xr:uid="{00000000-0005-0000-0000-00007C8D0000}"/>
    <cellStyle name="Total 21 3 6 3" xfId="36884" xr:uid="{00000000-0005-0000-0000-00007D8D0000}"/>
    <cellStyle name="Total 21 3 6 4" xfId="36885" xr:uid="{00000000-0005-0000-0000-00007E8D0000}"/>
    <cellStyle name="Total 21 3 7" xfId="22784" xr:uid="{00000000-0005-0000-0000-00007F8D0000}"/>
    <cellStyle name="Total 21 3 7 2" xfId="22785" xr:uid="{00000000-0005-0000-0000-0000808D0000}"/>
    <cellStyle name="Total 21 3 7 3" xfId="36886" xr:uid="{00000000-0005-0000-0000-0000818D0000}"/>
    <cellStyle name="Total 21 3 7 4" xfId="36887" xr:uid="{00000000-0005-0000-0000-0000828D0000}"/>
    <cellStyle name="Total 21 3 8" xfId="22786" xr:uid="{00000000-0005-0000-0000-0000838D0000}"/>
    <cellStyle name="Total 21 3 9" xfId="36888" xr:uid="{00000000-0005-0000-0000-0000848D0000}"/>
    <cellStyle name="Total 21 4" xfId="22787" xr:uid="{00000000-0005-0000-0000-0000858D0000}"/>
    <cellStyle name="Total 21 4 10" xfId="36889" xr:uid="{00000000-0005-0000-0000-0000868D0000}"/>
    <cellStyle name="Total 21 4 2" xfId="22788" xr:uid="{00000000-0005-0000-0000-0000878D0000}"/>
    <cellStyle name="Total 21 4 2 2" xfId="22789" xr:uid="{00000000-0005-0000-0000-0000888D0000}"/>
    <cellStyle name="Total 21 4 2 3" xfId="36890" xr:uid="{00000000-0005-0000-0000-0000898D0000}"/>
    <cellStyle name="Total 21 4 2 4" xfId="36891" xr:uid="{00000000-0005-0000-0000-00008A8D0000}"/>
    <cellStyle name="Total 21 4 3" xfId="22790" xr:uid="{00000000-0005-0000-0000-00008B8D0000}"/>
    <cellStyle name="Total 21 4 3 2" xfId="22791" xr:uid="{00000000-0005-0000-0000-00008C8D0000}"/>
    <cellStyle name="Total 21 4 3 3" xfId="36892" xr:uid="{00000000-0005-0000-0000-00008D8D0000}"/>
    <cellStyle name="Total 21 4 3 4" xfId="36893" xr:uid="{00000000-0005-0000-0000-00008E8D0000}"/>
    <cellStyle name="Total 21 4 4" xfId="22792" xr:uid="{00000000-0005-0000-0000-00008F8D0000}"/>
    <cellStyle name="Total 21 4 4 2" xfId="22793" xr:uid="{00000000-0005-0000-0000-0000908D0000}"/>
    <cellStyle name="Total 21 4 4 3" xfId="36894" xr:uid="{00000000-0005-0000-0000-0000918D0000}"/>
    <cellStyle name="Total 21 4 4 4" xfId="36895" xr:uid="{00000000-0005-0000-0000-0000928D0000}"/>
    <cellStyle name="Total 21 4 5" xfId="22794" xr:uid="{00000000-0005-0000-0000-0000938D0000}"/>
    <cellStyle name="Total 21 4 5 2" xfId="22795" xr:uid="{00000000-0005-0000-0000-0000948D0000}"/>
    <cellStyle name="Total 21 4 5 3" xfId="36896" xr:uid="{00000000-0005-0000-0000-0000958D0000}"/>
    <cellStyle name="Total 21 4 5 4" xfId="36897" xr:uid="{00000000-0005-0000-0000-0000968D0000}"/>
    <cellStyle name="Total 21 4 6" xfId="22796" xr:uid="{00000000-0005-0000-0000-0000978D0000}"/>
    <cellStyle name="Total 21 4 6 2" xfId="22797" xr:uid="{00000000-0005-0000-0000-0000988D0000}"/>
    <cellStyle name="Total 21 4 6 3" xfId="36898" xr:uid="{00000000-0005-0000-0000-0000998D0000}"/>
    <cellStyle name="Total 21 4 6 4" xfId="36899" xr:uid="{00000000-0005-0000-0000-00009A8D0000}"/>
    <cellStyle name="Total 21 4 7" xfId="22798" xr:uid="{00000000-0005-0000-0000-00009B8D0000}"/>
    <cellStyle name="Total 21 4 7 2" xfId="22799" xr:uid="{00000000-0005-0000-0000-00009C8D0000}"/>
    <cellStyle name="Total 21 4 7 3" xfId="36900" xr:uid="{00000000-0005-0000-0000-00009D8D0000}"/>
    <cellStyle name="Total 21 4 7 4" xfId="36901" xr:uid="{00000000-0005-0000-0000-00009E8D0000}"/>
    <cellStyle name="Total 21 4 8" xfId="22800" xr:uid="{00000000-0005-0000-0000-00009F8D0000}"/>
    <cellStyle name="Total 21 4 9" xfId="36902" xr:uid="{00000000-0005-0000-0000-0000A08D0000}"/>
    <cellStyle name="Total 21 5" xfId="22801" xr:uid="{00000000-0005-0000-0000-0000A18D0000}"/>
    <cellStyle name="Total 21 5 10" xfId="36903" xr:uid="{00000000-0005-0000-0000-0000A28D0000}"/>
    <cellStyle name="Total 21 5 2" xfId="22802" xr:uid="{00000000-0005-0000-0000-0000A38D0000}"/>
    <cellStyle name="Total 21 5 2 2" xfId="22803" xr:uid="{00000000-0005-0000-0000-0000A48D0000}"/>
    <cellStyle name="Total 21 5 2 3" xfId="36904" xr:uid="{00000000-0005-0000-0000-0000A58D0000}"/>
    <cellStyle name="Total 21 5 2 4" xfId="36905" xr:uid="{00000000-0005-0000-0000-0000A68D0000}"/>
    <cellStyle name="Total 21 5 3" xfId="22804" xr:uid="{00000000-0005-0000-0000-0000A78D0000}"/>
    <cellStyle name="Total 21 5 3 2" xfId="22805" xr:uid="{00000000-0005-0000-0000-0000A88D0000}"/>
    <cellStyle name="Total 21 5 3 3" xfId="36906" xr:uid="{00000000-0005-0000-0000-0000A98D0000}"/>
    <cellStyle name="Total 21 5 3 4" xfId="36907" xr:uid="{00000000-0005-0000-0000-0000AA8D0000}"/>
    <cellStyle name="Total 21 5 4" xfId="22806" xr:uid="{00000000-0005-0000-0000-0000AB8D0000}"/>
    <cellStyle name="Total 21 5 4 2" xfId="22807" xr:uid="{00000000-0005-0000-0000-0000AC8D0000}"/>
    <cellStyle name="Total 21 5 4 3" xfId="36908" xr:uid="{00000000-0005-0000-0000-0000AD8D0000}"/>
    <cellStyle name="Total 21 5 4 4" xfId="36909" xr:uid="{00000000-0005-0000-0000-0000AE8D0000}"/>
    <cellStyle name="Total 21 5 5" xfId="22808" xr:uid="{00000000-0005-0000-0000-0000AF8D0000}"/>
    <cellStyle name="Total 21 5 5 2" xfId="22809" xr:uid="{00000000-0005-0000-0000-0000B08D0000}"/>
    <cellStyle name="Total 21 5 5 3" xfId="36910" xr:uid="{00000000-0005-0000-0000-0000B18D0000}"/>
    <cellStyle name="Total 21 5 5 4" xfId="36911" xr:uid="{00000000-0005-0000-0000-0000B28D0000}"/>
    <cellStyle name="Total 21 5 6" xfId="22810" xr:uid="{00000000-0005-0000-0000-0000B38D0000}"/>
    <cellStyle name="Total 21 5 6 2" xfId="22811" xr:uid="{00000000-0005-0000-0000-0000B48D0000}"/>
    <cellStyle name="Total 21 5 6 3" xfId="36912" xr:uid="{00000000-0005-0000-0000-0000B58D0000}"/>
    <cellStyle name="Total 21 5 6 4" xfId="36913" xr:uid="{00000000-0005-0000-0000-0000B68D0000}"/>
    <cellStyle name="Total 21 5 7" xfId="22812" xr:uid="{00000000-0005-0000-0000-0000B78D0000}"/>
    <cellStyle name="Total 21 5 7 2" xfId="22813" xr:uid="{00000000-0005-0000-0000-0000B88D0000}"/>
    <cellStyle name="Total 21 5 7 3" xfId="36914" xr:uid="{00000000-0005-0000-0000-0000B98D0000}"/>
    <cellStyle name="Total 21 5 7 4" xfId="36915" xr:uid="{00000000-0005-0000-0000-0000BA8D0000}"/>
    <cellStyle name="Total 21 5 8" xfId="22814" xr:uid="{00000000-0005-0000-0000-0000BB8D0000}"/>
    <cellStyle name="Total 21 5 9" xfId="36916" xr:uid="{00000000-0005-0000-0000-0000BC8D0000}"/>
    <cellStyle name="Total 21 6" xfId="22815" xr:uid="{00000000-0005-0000-0000-0000BD8D0000}"/>
    <cellStyle name="Total 21 6 2" xfId="22816" xr:uid="{00000000-0005-0000-0000-0000BE8D0000}"/>
    <cellStyle name="Total 21 6 3" xfId="36917" xr:uid="{00000000-0005-0000-0000-0000BF8D0000}"/>
    <cellStyle name="Total 21 6 4" xfId="36918" xr:uid="{00000000-0005-0000-0000-0000C08D0000}"/>
    <cellStyle name="Total 21 7" xfId="22817" xr:uid="{00000000-0005-0000-0000-0000C18D0000}"/>
    <cellStyle name="Total 21 7 2" xfId="22818" xr:uid="{00000000-0005-0000-0000-0000C28D0000}"/>
    <cellStyle name="Total 21 7 3" xfId="36919" xr:uid="{00000000-0005-0000-0000-0000C38D0000}"/>
    <cellStyle name="Total 21 7 4" xfId="36920" xr:uid="{00000000-0005-0000-0000-0000C48D0000}"/>
    <cellStyle name="Total 21 8" xfId="22819" xr:uid="{00000000-0005-0000-0000-0000C58D0000}"/>
    <cellStyle name="Total 21 8 2" xfId="22820" xr:uid="{00000000-0005-0000-0000-0000C68D0000}"/>
    <cellStyle name="Total 21 8 3" xfId="36921" xr:uid="{00000000-0005-0000-0000-0000C78D0000}"/>
    <cellStyle name="Total 21 8 4" xfId="36922" xr:uid="{00000000-0005-0000-0000-0000C88D0000}"/>
    <cellStyle name="Total 21 9" xfId="22821" xr:uid="{00000000-0005-0000-0000-0000C98D0000}"/>
    <cellStyle name="Total 21 9 2" xfId="22822" xr:uid="{00000000-0005-0000-0000-0000CA8D0000}"/>
    <cellStyle name="Total 21 9 3" xfId="36923" xr:uid="{00000000-0005-0000-0000-0000CB8D0000}"/>
    <cellStyle name="Total 21 9 4" xfId="36924" xr:uid="{00000000-0005-0000-0000-0000CC8D0000}"/>
    <cellStyle name="Total 22" xfId="22823" xr:uid="{00000000-0005-0000-0000-0000CD8D0000}"/>
    <cellStyle name="Total 22 10" xfId="22824" xr:uid="{00000000-0005-0000-0000-0000CE8D0000}"/>
    <cellStyle name="Total 22 10 2" xfId="22825" xr:uid="{00000000-0005-0000-0000-0000CF8D0000}"/>
    <cellStyle name="Total 22 10 3" xfId="36925" xr:uid="{00000000-0005-0000-0000-0000D08D0000}"/>
    <cellStyle name="Total 22 10 4" xfId="36926" xr:uid="{00000000-0005-0000-0000-0000D18D0000}"/>
    <cellStyle name="Total 22 11" xfId="22826" xr:uid="{00000000-0005-0000-0000-0000D28D0000}"/>
    <cellStyle name="Total 22 11 2" xfId="22827" xr:uid="{00000000-0005-0000-0000-0000D38D0000}"/>
    <cellStyle name="Total 22 11 3" xfId="36927" xr:uid="{00000000-0005-0000-0000-0000D48D0000}"/>
    <cellStyle name="Total 22 11 4" xfId="36928" xr:uid="{00000000-0005-0000-0000-0000D58D0000}"/>
    <cellStyle name="Total 22 12" xfId="22828" xr:uid="{00000000-0005-0000-0000-0000D68D0000}"/>
    <cellStyle name="Total 22 13" xfId="36929" xr:uid="{00000000-0005-0000-0000-0000D78D0000}"/>
    <cellStyle name="Total 22 14" xfId="36930" xr:uid="{00000000-0005-0000-0000-0000D88D0000}"/>
    <cellStyle name="Total 22 2" xfId="22829" xr:uid="{00000000-0005-0000-0000-0000D98D0000}"/>
    <cellStyle name="Total 22 2 10" xfId="36931" xr:uid="{00000000-0005-0000-0000-0000DA8D0000}"/>
    <cellStyle name="Total 22 2 2" xfId="22830" xr:uid="{00000000-0005-0000-0000-0000DB8D0000}"/>
    <cellStyle name="Total 22 2 2 2" xfId="22831" xr:uid="{00000000-0005-0000-0000-0000DC8D0000}"/>
    <cellStyle name="Total 22 2 2 3" xfId="36932" xr:uid="{00000000-0005-0000-0000-0000DD8D0000}"/>
    <cellStyle name="Total 22 2 2 4" xfId="36933" xr:uid="{00000000-0005-0000-0000-0000DE8D0000}"/>
    <cellStyle name="Total 22 2 3" xfId="22832" xr:uid="{00000000-0005-0000-0000-0000DF8D0000}"/>
    <cellStyle name="Total 22 2 3 2" xfId="22833" xr:uid="{00000000-0005-0000-0000-0000E08D0000}"/>
    <cellStyle name="Total 22 2 3 3" xfId="36934" xr:uid="{00000000-0005-0000-0000-0000E18D0000}"/>
    <cellStyle name="Total 22 2 3 4" xfId="36935" xr:uid="{00000000-0005-0000-0000-0000E28D0000}"/>
    <cellStyle name="Total 22 2 4" xfId="22834" xr:uid="{00000000-0005-0000-0000-0000E38D0000}"/>
    <cellStyle name="Total 22 2 4 2" xfId="22835" xr:uid="{00000000-0005-0000-0000-0000E48D0000}"/>
    <cellStyle name="Total 22 2 4 3" xfId="36936" xr:uid="{00000000-0005-0000-0000-0000E58D0000}"/>
    <cellStyle name="Total 22 2 4 4" xfId="36937" xr:uid="{00000000-0005-0000-0000-0000E68D0000}"/>
    <cellStyle name="Total 22 2 5" xfId="22836" xr:uid="{00000000-0005-0000-0000-0000E78D0000}"/>
    <cellStyle name="Total 22 2 5 2" xfId="22837" xr:uid="{00000000-0005-0000-0000-0000E88D0000}"/>
    <cellStyle name="Total 22 2 5 3" xfId="36938" xr:uid="{00000000-0005-0000-0000-0000E98D0000}"/>
    <cellStyle name="Total 22 2 5 4" xfId="36939" xr:uid="{00000000-0005-0000-0000-0000EA8D0000}"/>
    <cellStyle name="Total 22 2 6" xfId="22838" xr:uid="{00000000-0005-0000-0000-0000EB8D0000}"/>
    <cellStyle name="Total 22 2 6 2" xfId="22839" xr:uid="{00000000-0005-0000-0000-0000EC8D0000}"/>
    <cellStyle name="Total 22 2 6 3" xfId="36940" xr:uid="{00000000-0005-0000-0000-0000ED8D0000}"/>
    <cellStyle name="Total 22 2 6 4" xfId="36941" xr:uid="{00000000-0005-0000-0000-0000EE8D0000}"/>
    <cellStyle name="Total 22 2 7" xfId="22840" xr:uid="{00000000-0005-0000-0000-0000EF8D0000}"/>
    <cellStyle name="Total 22 2 7 2" xfId="22841" xr:uid="{00000000-0005-0000-0000-0000F08D0000}"/>
    <cellStyle name="Total 22 2 7 3" xfId="36942" xr:uid="{00000000-0005-0000-0000-0000F18D0000}"/>
    <cellStyle name="Total 22 2 7 4" xfId="36943" xr:uid="{00000000-0005-0000-0000-0000F28D0000}"/>
    <cellStyle name="Total 22 2 8" xfId="22842" xr:uid="{00000000-0005-0000-0000-0000F38D0000}"/>
    <cellStyle name="Total 22 2 9" xfId="36944" xr:uid="{00000000-0005-0000-0000-0000F48D0000}"/>
    <cellStyle name="Total 22 3" xfId="22843" xr:uid="{00000000-0005-0000-0000-0000F58D0000}"/>
    <cellStyle name="Total 22 3 10" xfId="36945" xr:uid="{00000000-0005-0000-0000-0000F68D0000}"/>
    <cellStyle name="Total 22 3 2" xfId="22844" xr:uid="{00000000-0005-0000-0000-0000F78D0000}"/>
    <cellStyle name="Total 22 3 2 2" xfId="22845" xr:uid="{00000000-0005-0000-0000-0000F88D0000}"/>
    <cellStyle name="Total 22 3 2 3" xfId="36946" xr:uid="{00000000-0005-0000-0000-0000F98D0000}"/>
    <cellStyle name="Total 22 3 2 4" xfId="36947" xr:uid="{00000000-0005-0000-0000-0000FA8D0000}"/>
    <cellStyle name="Total 22 3 3" xfId="22846" xr:uid="{00000000-0005-0000-0000-0000FB8D0000}"/>
    <cellStyle name="Total 22 3 3 2" xfId="22847" xr:uid="{00000000-0005-0000-0000-0000FC8D0000}"/>
    <cellStyle name="Total 22 3 3 3" xfId="36948" xr:uid="{00000000-0005-0000-0000-0000FD8D0000}"/>
    <cellStyle name="Total 22 3 3 4" xfId="36949" xr:uid="{00000000-0005-0000-0000-0000FE8D0000}"/>
    <cellStyle name="Total 22 3 4" xfId="22848" xr:uid="{00000000-0005-0000-0000-0000FF8D0000}"/>
    <cellStyle name="Total 22 3 4 2" xfId="22849" xr:uid="{00000000-0005-0000-0000-0000008E0000}"/>
    <cellStyle name="Total 22 3 4 3" xfId="36950" xr:uid="{00000000-0005-0000-0000-0000018E0000}"/>
    <cellStyle name="Total 22 3 4 4" xfId="36951" xr:uid="{00000000-0005-0000-0000-0000028E0000}"/>
    <cellStyle name="Total 22 3 5" xfId="22850" xr:uid="{00000000-0005-0000-0000-0000038E0000}"/>
    <cellStyle name="Total 22 3 5 2" xfId="22851" xr:uid="{00000000-0005-0000-0000-0000048E0000}"/>
    <cellStyle name="Total 22 3 5 3" xfId="36952" xr:uid="{00000000-0005-0000-0000-0000058E0000}"/>
    <cellStyle name="Total 22 3 5 4" xfId="36953" xr:uid="{00000000-0005-0000-0000-0000068E0000}"/>
    <cellStyle name="Total 22 3 6" xfId="22852" xr:uid="{00000000-0005-0000-0000-0000078E0000}"/>
    <cellStyle name="Total 22 3 6 2" xfId="22853" xr:uid="{00000000-0005-0000-0000-0000088E0000}"/>
    <cellStyle name="Total 22 3 6 3" xfId="36954" xr:uid="{00000000-0005-0000-0000-0000098E0000}"/>
    <cellStyle name="Total 22 3 6 4" xfId="36955" xr:uid="{00000000-0005-0000-0000-00000A8E0000}"/>
    <cellStyle name="Total 22 3 7" xfId="22854" xr:uid="{00000000-0005-0000-0000-00000B8E0000}"/>
    <cellStyle name="Total 22 3 7 2" xfId="22855" xr:uid="{00000000-0005-0000-0000-00000C8E0000}"/>
    <cellStyle name="Total 22 3 7 3" xfId="36956" xr:uid="{00000000-0005-0000-0000-00000D8E0000}"/>
    <cellStyle name="Total 22 3 7 4" xfId="36957" xr:uid="{00000000-0005-0000-0000-00000E8E0000}"/>
    <cellStyle name="Total 22 3 8" xfId="22856" xr:uid="{00000000-0005-0000-0000-00000F8E0000}"/>
    <cellStyle name="Total 22 3 9" xfId="36958" xr:uid="{00000000-0005-0000-0000-0000108E0000}"/>
    <cellStyle name="Total 22 4" xfId="22857" xr:uid="{00000000-0005-0000-0000-0000118E0000}"/>
    <cellStyle name="Total 22 4 10" xfId="36959" xr:uid="{00000000-0005-0000-0000-0000128E0000}"/>
    <cellStyle name="Total 22 4 2" xfId="22858" xr:uid="{00000000-0005-0000-0000-0000138E0000}"/>
    <cellStyle name="Total 22 4 2 2" xfId="22859" xr:uid="{00000000-0005-0000-0000-0000148E0000}"/>
    <cellStyle name="Total 22 4 2 3" xfId="36960" xr:uid="{00000000-0005-0000-0000-0000158E0000}"/>
    <cellStyle name="Total 22 4 2 4" xfId="36961" xr:uid="{00000000-0005-0000-0000-0000168E0000}"/>
    <cellStyle name="Total 22 4 3" xfId="22860" xr:uid="{00000000-0005-0000-0000-0000178E0000}"/>
    <cellStyle name="Total 22 4 3 2" xfId="22861" xr:uid="{00000000-0005-0000-0000-0000188E0000}"/>
    <cellStyle name="Total 22 4 3 3" xfId="36962" xr:uid="{00000000-0005-0000-0000-0000198E0000}"/>
    <cellStyle name="Total 22 4 3 4" xfId="36963" xr:uid="{00000000-0005-0000-0000-00001A8E0000}"/>
    <cellStyle name="Total 22 4 4" xfId="22862" xr:uid="{00000000-0005-0000-0000-00001B8E0000}"/>
    <cellStyle name="Total 22 4 4 2" xfId="22863" xr:uid="{00000000-0005-0000-0000-00001C8E0000}"/>
    <cellStyle name="Total 22 4 4 3" xfId="36964" xr:uid="{00000000-0005-0000-0000-00001D8E0000}"/>
    <cellStyle name="Total 22 4 4 4" xfId="36965" xr:uid="{00000000-0005-0000-0000-00001E8E0000}"/>
    <cellStyle name="Total 22 4 5" xfId="22864" xr:uid="{00000000-0005-0000-0000-00001F8E0000}"/>
    <cellStyle name="Total 22 4 5 2" xfId="22865" xr:uid="{00000000-0005-0000-0000-0000208E0000}"/>
    <cellStyle name="Total 22 4 5 3" xfId="36966" xr:uid="{00000000-0005-0000-0000-0000218E0000}"/>
    <cellStyle name="Total 22 4 5 4" xfId="36967" xr:uid="{00000000-0005-0000-0000-0000228E0000}"/>
    <cellStyle name="Total 22 4 6" xfId="22866" xr:uid="{00000000-0005-0000-0000-0000238E0000}"/>
    <cellStyle name="Total 22 4 6 2" xfId="22867" xr:uid="{00000000-0005-0000-0000-0000248E0000}"/>
    <cellStyle name="Total 22 4 6 3" xfId="36968" xr:uid="{00000000-0005-0000-0000-0000258E0000}"/>
    <cellStyle name="Total 22 4 6 4" xfId="36969" xr:uid="{00000000-0005-0000-0000-0000268E0000}"/>
    <cellStyle name="Total 22 4 7" xfId="22868" xr:uid="{00000000-0005-0000-0000-0000278E0000}"/>
    <cellStyle name="Total 22 4 7 2" xfId="22869" xr:uid="{00000000-0005-0000-0000-0000288E0000}"/>
    <cellStyle name="Total 22 4 7 3" xfId="36970" xr:uid="{00000000-0005-0000-0000-0000298E0000}"/>
    <cellStyle name="Total 22 4 7 4" xfId="36971" xr:uid="{00000000-0005-0000-0000-00002A8E0000}"/>
    <cellStyle name="Total 22 4 8" xfId="22870" xr:uid="{00000000-0005-0000-0000-00002B8E0000}"/>
    <cellStyle name="Total 22 4 9" xfId="36972" xr:uid="{00000000-0005-0000-0000-00002C8E0000}"/>
    <cellStyle name="Total 22 5" xfId="22871" xr:uid="{00000000-0005-0000-0000-00002D8E0000}"/>
    <cellStyle name="Total 22 5 10" xfId="36973" xr:uid="{00000000-0005-0000-0000-00002E8E0000}"/>
    <cellStyle name="Total 22 5 2" xfId="22872" xr:uid="{00000000-0005-0000-0000-00002F8E0000}"/>
    <cellStyle name="Total 22 5 2 2" xfId="22873" xr:uid="{00000000-0005-0000-0000-0000308E0000}"/>
    <cellStyle name="Total 22 5 2 3" xfId="36974" xr:uid="{00000000-0005-0000-0000-0000318E0000}"/>
    <cellStyle name="Total 22 5 2 4" xfId="36975" xr:uid="{00000000-0005-0000-0000-0000328E0000}"/>
    <cellStyle name="Total 22 5 3" xfId="22874" xr:uid="{00000000-0005-0000-0000-0000338E0000}"/>
    <cellStyle name="Total 22 5 3 2" xfId="22875" xr:uid="{00000000-0005-0000-0000-0000348E0000}"/>
    <cellStyle name="Total 22 5 3 3" xfId="36976" xr:uid="{00000000-0005-0000-0000-0000358E0000}"/>
    <cellStyle name="Total 22 5 3 4" xfId="36977" xr:uid="{00000000-0005-0000-0000-0000368E0000}"/>
    <cellStyle name="Total 22 5 4" xfId="22876" xr:uid="{00000000-0005-0000-0000-0000378E0000}"/>
    <cellStyle name="Total 22 5 4 2" xfId="22877" xr:uid="{00000000-0005-0000-0000-0000388E0000}"/>
    <cellStyle name="Total 22 5 4 3" xfId="36978" xr:uid="{00000000-0005-0000-0000-0000398E0000}"/>
    <cellStyle name="Total 22 5 4 4" xfId="36979" xr:uid="{00000000-0005-0000-0000-00003A8E0000}"/>
    <cellStyle name="Total 22 5 5" xfId="22878" xr:uid="{00000000-0005-0000-0000-00003B8E0000}"/>
    <cellStyle name="Total 22 5 5 2" xfId="22879" xr:uid="{00000000-0005-0000-0000-00003C8E0000}"/>
    <cellStyle name="Total 22 5 5 3" xfId="36980" xr:uid="{00000000-0005-0000-0000-00003D8E0000}"/>
    <cellStyle name="Total 22 5 5 4" xfId="36981" xr:uid="{00000000-0005-0000-0000-00003E8E0000}"/>
    <cellStyle name="Total 22 5 6" xfId="22880" xr:uid="{00000000-0005-0000-0000-00003F8E0000}"/>
    <cellStyle name="Total 22 5 6 2" xfId="22881" xr:uid="{00000000-0005-0000-0000-0000408E0000}"/>
    <cellStyle name="Total 22 5 6 3" xfId="36982" xr:uid="{00000000-0005-0000-0000-0000418E0000}"/>
    <cellStyle name="Total 22 5 6 4" xfId="36983" xr:uid="{00000000-0005-0000-0000-0000428E0000}"/>
    <cellStyle name="Total 22 5 7" xfId="22882" xr:uid="{00000000-0005-0000-0000-0000438E0000}"/>
    <cellStyle name="Total 22 5 7 2" xfId="22883" xr:uid="{00000000-0005-0000-0000-0000448E0000}"/>
    <cellStyle name="Total 22 5 7 3" xfId="36984" xr:uid="{00000000-0005-0000-0000-0000458E0000}"/>
    <cellStyle name="Total 22 5 7 4" xfId="36985" xr:uid="{00000000-0005-0000-0000-0000468E0000}"/>
    <cellStyle name="Total 22 5 8" xfId="22884" xr:uid="{00000000-0005-0000-0000-0000478E0000}"/>
    <cellStyle name="Total 22 5 9" xfId="36986" xr:uid="{00000000-0005-0000-0000-0000488E0000}"/>
    <cellStyle name="Total 22 6" xfId="22885" xr:uid="{00000000-0005-0000-0000-0000498E0000}"/>
    <cellStyle name="Total 22 6 2" xfId="22886" xr:uid="{00000000-0005-0000-0000-00004A8E0000}"/>
    <cellStyle name="Total 22 6 3" xfId="36987" xr:uid="{00000000-0005-0000-0000-00004B8E0000}"/>
    <cellStyle name="Total 22 6 4" xfId="36988" xr:uid="{00000000-0005-0000-0000-00004C8E0000}"/>
    <cellStyle name="Total 22 7" xfId="22887" xr:uid="{00000000-0005-0000-0000-00004D8E0000}"/>
    <cellStyle name="Total 22 7 2" xfId="22888" xr:uid="{00000000-0005-0000-0000-00004E8E0000}"/>
    <cellStyle name="Total 22 7 3" xfId="36989" xr:uid="{00000000-0005-0000-0000-00004F8E0000}"/>
    <cellStyle name="Total 22 7 4" xfId="36990" xr:uid="{00000000-0005-0000-0000-0000508E0000}"/>
    <cellStyle name="Total 22 8" xfId="22889" xr:uid="{00000000-0005-0000-0000-0000518E0000}"/>
    <cellStyle name="Total 22 8 2" xfId="22890" xr:uid="{00000000-0005-0000-0000-0000528E0000}"/>
    <cellStyle name="Total 22 8 3" xfId="36991" xr:uid="{00000000-0005-0000-0000-0000538E0000}"/>
    <cellStyle name="Total 22 8 4" xfId="36992" xr:uid="{00000000-0005-0000-0000-0000548E0000}"/>
    <cellStyle name="Total 22 9" xfId="22891" xr:uid="{00000000-0005-0000-0000-0000558E0000}"/>
    <cellStyle name="Total 22 9 2" xfId="22892" xr:uid="{00000000-0005-0000-0000-0000568E0000}"/>
    <cellStyle name="Total 22 9 3" xfId="36993" xr:uid="{00000000-0005-0000-0000-0000578E0000}"/>
    <cellStyle name="Total 22 9 4" xfId="36994" xr:uid="{00000000-0005-0000-0000-0000588E0000}"/>
    <cellStyle name="Total 23" xfId="22893" xr:uid="{00000000-0005-0000-0000-0000598E0000}"/>
    <cellStyle name="Total 23 10" xfId="36995" xr:uid="{00000000-0005-0000-0000-00005A8E0000}"/>
    <cellStyle name="Total 23 2" xfId="22894" xr:uid="{00000000-0005-0000-0000-00005B8E0000}"/>
    <cellStyle name="Total 23 2 2" xfId="22895" xr:uid="{00000000-0005-0000-0000-00005C8E0000}"/>
    <cellStyle name="Total 23 2 3" xfId="36996" xr:uid="{00000000-0005-0000-0000-00005D8E0000}"/>
    <cellStyle name="Total 23 2 4" xfId="36997" xr:uid="{00000000-0005-0000-0000-00005E8E0000}"/>
    <cellStyle name="Total 23 3" xfId="22896" xr:uid="{00000000-0005-0000-0000-00005F8E0000}"/>
    <cellStyle name="Total 23 3 2" xfId="22897" xr:uid="{00000000-0005-0000-0000-0000608E0000}"/>
    <cellStyle name="Total 23 3 3" xfId="36998" xr:uid="{00000000-0005-0000-0000-0000618E0000}"/>
    <cellStyle name="Total 23 3 4" xfId="36999" xr:uid="{00000000-0005-0000-0000-0000628E0000}"/>
    <cellStyle name="Total 23 4" xfId="22898" xr:uid="{00000000-0005-0000-0000-0000638E0000}"/>
    <cellStyle name="Total 23 4 2" xfId="22899" xr:uid="{00000000-0005-0000-0000-0000648E0000}"/>
    <cellStyle name="Total 23 4 3" xfId="37000" xr:uid="{00000000-0005-0000-0000-0000658E0000}"/>
    <cellStyle name="Total 23 4 4" xfId="37001" xr:uid="{00000000-0005-0000-0000-0000668E0000}"/>
    <cellStyle name="Total 23 5" xfId="22900" xr:uid="{00000000-0005-0000-0000-0000678E0000}"/>
    <cellStyle name="Total 23 5 2" xfId="22901" xr:uid="{00000000-0005-0000-0000-0000688E0000}"/>
    <cellStyle name="Total 23 5 3" xfId="37002" xr:uid="{00000000-0005-0000-0000-0000698E0000}"/>
    <cellStyle name="Total 23 5 4" xfId="37003" xr:uid="{00000000-0005-0000-0000-00006A8E0000}"/>
    <cellStyle name="Total 23 6" xfId="22902" xr:uid="{00000000-0005-0000-0000-00006B8E0000}"/>
    <cellStyle name="Total 23 6 2" xfId="22903" xr:uid="{00000000-0005-0000-0000-00006C8E0000}"/>
    <cellStyle name="Total 23 6 3" xfId="37004" xr:uid="{00000000-0005-0000-0000-00006D8E0000}"/>
    <cellStyle name="Total 23 6 4" xfId="37005" xr:uid="{00000000-0005-0000-0000-00006E8E0000}"/>
    <cellStyle name="Total 23 7" xfId="22904" xr:uid="{00000000-0005-0000-0000-00006F8E0000}"/>
    <cellStyle name="Total 23 7 2" xfId="22905" xr:uid="{00000000-0005-0000-0000-0000708E0000}"/>
    <cellStyle name="Total 23 7 3" xfId="37006" xr:uid="{00000000-0005-0000-0000-0000718E0000}"/>
    <cellStyle name="Total 23 7 4" xfId="37007" xr:uid="{00000000-0005-0000-0000-0000728E0000}"/>
    <cellStyle name="Total 23 8" xfId="22906" xr:uid="{00000000-0005-0000-0000-0000738E0000}"/>
    <cellStyle name="Total 23 9" xfId="37008" xr:uid="{00000000-0005-0000-0000-0000748E0000}"/>
    <cellStyle name="Total 24" xfId="22907" xr:uid="{00000000-0005-0000-0000-0000758E0000}"/>
    <cellStyle name="Total 24 10" xfId="37009" xr:uid="{00000000-0005-0000-0000-0000768E0000}"/>
    <cellStyle name="Total 24 2" xfId="22908" xr:uid="{00000000-0005-0000-0000-0000778E0000}"/>
    <cellStyle name="Total 24 2 2" xfId="22909" xr:uid="{00000000-0005-0000-0000-0000788E0000}"/>
    <cellStyle name="Total 24 2 3" xfId="37010" xr:uid="{00000000-0005-0000-0000-0000798E0000}"/>
    <cellStyle name="Total 24 2 4" xfId="37011" xr:uid="{00000000-0005-0000-0000-00007A8E0000}"/>
    <cellStyle name="Total 24 3" xfId="22910" xr:uid="{00000000-0005-0000-0000-00007B8E0000}"/>
    <cellStyle name="Total 24 3 2" xfId="22911" xr:uid="{00000000-0005-0000-0000-00007C8E0000}"/>
    <cellStyle name="Total 24 3 3" xfId="37012" xr:uid="{00000000-0005-0000-0000-00007D8E0000}"/>
    <cellStyle name="Total 24 3 4" xfId="37013" xr:uid="{00000000-0005-0000-0000-00007E8E0000}"/>
    <cellStyle name="Total 24 4" xfId="22912" xr:uid="{00000000-0005-0000-0000-00007F8E0000}"/>
    <cellStyle name="Total 24 4 2" xfId="22913" xr:uid="{00000000-0005-0000-0000-0000808E0000}"/>
    <cellStyle name="Total 24 4 3" xfId="37014" xr:uid="{00000000-0005-0000-0000-0000818E0000}"/>
    <cellStyle name="Total 24 4 4" xfId="37015" xr:uid="{00000000-0005-0000-0000-0000828E0000}"/>
    <cellStyle name="Total 24 5" xfId="22914" xr:uid="{00000000-0005-0000-0000-0000838E0000}"/>
    <cellStyle name="Total 24 5 2" xfId="22915" xr:uid="{00000000-0005-0000-0000-0000848E0000}"/>
    <cellStyle name="Total 24 5 3" xfId="37016" xr:uid="{00000000-0005-0000-0000-0000858E0000}"/>
    <cellStyle name="Total 24 5 4" xfId="37017" xr:uid="{00000000-0005-0000-0000-0000868E0000}"/>
    <cellStyle name="Total 24 6" xfId="22916" xr:uid="{00000000-0005-0000-0000-0000878E0000}"/>
    <cellStyle name="Total 24 6 2" xfId="22917" xr:uid="{00000000-0005-0000-0000-0000888E0000}"/>
    <cellStyle name="Total 24 6 3" xfId="37018" xr:uid="{00000000-0005-0000-0000-0000898E0000}"/>
    <cellStyle name="Total 24 6 4" xfId="37019" xr:uid="{00000000-0005-0000-0000-00008A8E0000}"/>
    <cellStyle name="Total 24 7" xfId="22918" xr:uid="{00000000-0005-0000-0000-00008B8E0000}"/>
    <cellStyle name="Total 24 7 2" xfId="22919" xr:uid="{00000000-0005-0000-0000-00008C8E0000}"/>
    <cellStyle name="Total 24 7 3" xfId="37020" xr:uid="{00000000-0005-0000-0000-00008D8E0000}"/>
    <cellStyle name="Total 24 7 4" xfId="37021" xr:uid="{00000000-0005-0000-0000-00008E8E0000}"/>
    <cellStyle name="Total 24 8" xfId="22920" xr:uid="{00000000-0005-0000-0000-00008F8E0000}"/>
    <cellStyle name="Total 24 9" xfId="37022" xr:uid="{00000000-0005-0000-0000-0000908E0000}"/>
    <cellStyle name="Total 25" xfId="22921" xr:uid="{00000000-0005-0000-0000-0000918E0000}"/>
    <cellStyle name="Total 25 10" xfId="37023" xr:uid="{00000000-0005-0000-0000-0000928E0000}"/>
    <cellStyle name="Total 25 2" xfId="22922" xr:uid="{00000000-0005-0000-0000-0000938E0000}"/>
    <cellStyle name="Total 25 2 2" xfId="22923" xr:uid="{00000000-0005-0000-0000-0000948E0000}"/>
    <cellStyle name="Total 25 2 3" xfId="37024" xr:uid="{00000000-0005-0000-0000-0000958E0000}"/>
    <cellStyle name="Total 25 2 4" xfId="37025" xr:uid="{00000000-0005-0000-0000-0000968E0000}"/>
    <cellStyle name="Total 25 3" xfId="22924" xr:uid="{00000000-0005-0000-0000-0000978E0000}"/>
    <cellStyle name="Total 25 3 2" xfId="22925" xr:uid="{00000000-0005-0000-0000-0000988E0000}"/>
    <cellStyle name="Total 25 3 3" xfId="37026" xr:uid="{00000000-0005-0000-0000-0000998E0000}"/>
    <cellStyle name="Total 25 3 4" xfId="37027" xr:uid="{00000000-0005-0000-0000-00009A8E0000}"/>
    <cellStyle name="Total 25 4" xfId="22926" xr:uid="{00000000-0005-0000-0000-00009B8E0000}"/>
    <cellStyle name="Total 25 4 2" xfId="22927" xr:uid="{00000000-0005-0000-0000-00009C8E0000}"/>
    <cellStyle name="Total 25 4 3" xfId="37028" xr:uid="{00000000-0005-0000-0000-00009D8E0000}"/>
    <cellStyle name="Total 25 4 4" xfId="37029" xr:uid="{00000000-0005-0000-0000-00009E8E0000}"/>
    <cellStyle name="Total 25 5" xfId="22928" xr:uid="{00000000-0005-0000-0000-00009F8E0000}"/>
    <cellStyle name="Total 25 5 2" xfId="22929" xr:uid="{00000000-0005-0000-0000-0000A08E0000}"/>
    <cellStyle name="Total 25 5 3" xfId="37030" xr:uid="{00000000-0005-0000-0000-0000A18E0000}"/>
    <cellStyle name="Total 25 5 4" xfId="37031" xr:uid="{00000000-0005-0000-0000-0000A28E0000}"/>
    <cellStyle name="Total 25 6" xfId="22930" xr:uid="{00000000-0005-0000-0000-0000A38E0000}"/>
    <cellStyle name="Total 25 6 2" xfId="22931" xr:uid="{00000000-0005-0000-0000-0000A48E0000}"/>
    <cellStyle name="Total 25 6 3" xfId="37032" xr:uid="{00000000-0005-0000-0000-0000A58E0000}"/>
    <cellStyle name="Total 25 6 4" xfId="37033" xr:uid="{00000000-0005-0000-0000-0000A68E0000}"/>
    <cellStyle name="Total 25 7" xfId="22932" xr:uid="{00000000-0005-0000-0000-0000A78E0000}"/>
    <cellStyle name="Total 25 7 2" xfId="22933" xr:uid="{00000000-0005-0000-0000-0000A88E0000}"/>
    <cellStyle name="Total 25 7 3" xfId="37034" xr:uid="{00000000-0005-0000-0000-0000A98E0000}"/>
    <cellStyle name="Total 25 7 4" xfId="37035" xr:uid="{00000000-0005-0000-0000-0000AA8E0000}"/>
    <cellStyle name="Total 25 8" xfId="22934" xr:uid="{00000000-0005-0000-0000-0000AB8E0000}"/>
    <cellStyle name="Total 25 9" xfId="37036" xr:uid="{00000000-0005-0000-0000-0000AC8E0000}"/>
    <cellStyle name="Total 26" xfId="22935" xr:uid="{00000000-0005-0000-0000-0000AD8E0000}"/>
    <cellStyle name="Total 26 10" xfId="37037" xr:uid="{00000000-0005-0000-0000-0000AE8E0000}"/>
    <cellStyle name="Total 26 2" xfId="22936" xr:uid="{00000000-0005-0000-0000-0000AF8E0000}"/>
    <cellStyle name="Total 26 2 2" xfId="22937" xr:uid="{00000000-0005-0000-0000-0000B08E0000}"/>
    <cellStyle name="Total 26 2 3" xfId="37038" xr:uid="{00000000-0005-0000-0000-0000B18E0000}"/>
    <cellStyle name="Total 26 2 4" xfId="37039" xr:uid="{00000000-0005-0000-0000-0000B28E0000}"/>
    <cellStyle name="Total 26 3" xfId="22938" xr:uid="{00000000-0005-0000-0000-0000B38E0000}"/>
    <cellStyle name="Total 26 3 2" xfId="22939" xr:uid="{00000000-0005-0000-0000-0000B48E0000}"/>
    <cellStyle name="Total 26 3 3" xfId="37040" xr:uid="{00000000-0005-0000-0000-0000B58E0000}"/>
    <cellStyle name="Total 26 3 4" xfId="37041" xr:uid="{00000000-0005-0000-0000-0000B68E0000}"/>
    <cellStyle name="Total 26 4" xfId="22940" xr:uid="{00000000-0005-0000-0000-0000B78E0000}"/>
    <cellStyle name="Total 26 4 2" xfId="22941" xr:uid="{00000000-0005-0000-0000-0000B88E0000}"/>
    <cellStyle name="Total 26 4 3" xfId="37042" xr:uid="{00000000-0005-0000-0000-0000B98E0000}"/>
    <cellStyle name="Total 26 4 4" xfId="37043" xr:uid="{00000000-0005-0000-0000-0000BA8E0000}"/>
    <cellStyle name="Total 26 5" xfId="22942" xr:uid="{00000000-0005-0000-0000-0000BB8E0000}"/>
    <cellStyle name="Total 26 5 2" xfId="22943" xr:uid="{00000000-0005-0000-0000-0000BC8E0000}"/>
    <cellStyle name="Total 26 5 3" xfId="37044" xr:uid="{00000000-0005-0000-0000-0000BD8E0000}"/>
    <cellStyle name="Total 26 5 4" xfId="37045" xr:uid="{00000000-0005-0000-0000-0000BE8E0000}"/>
    <cellStyle name="Total 26 6" xfId="22944" xr:uid="{00000000-0005-0000-0000-0000BF8E0000}"/>
    <cellStyle name="Total 26 6 2" xfId="22945" xr:uid="{00000000-0005-0000-0000-0000C08E0000}"/>
    <cellStyle name="Total 26 6 3" xfId="37046" xr:uid="{00000000-0005-0000-0000-0000C18E0000}"/>
    <cellStyle name="Total 26 6 4" xfId="37047" xr:uid="{00000000-0005-0000-0000-0000C28E0000}"/>
    <cellStyle name="Total 26 7" xfId="22946" xr:uid="{00000000-0005-0000-0000-0000C38E0000}"/>
    <cellStyle name="Total 26 7 2" xfId="22947" xr:uid="{00000000-0005-0000-0000-0000C48E0000}"/>
    <cellStyle name="Total 26 7 3" xfId="37048" xr:uid="{00000000-0005-0000-0000-0000C58E0000}"/>
    <cellStyle name="Total 26 7 4" xfId="37049" xr:uid="{00000000-0005-0000-0000-0000C68E0000}"/>
    <cellStyle name="Total 26 8" xfId="22948" xr:uid="{00000000-0005-0000-0000-0000C78E0000}"/>
    <cellStyle name="Total 26 9" xfId="37050" xr:uid="{00000000-0005-0000-0000-0000C88E0000}"/>
    <cellStyle name="Total 3" xfId="22949" xr:uid="{00000000-0005-0000-0000-0000C98E0000}"/>
    <cellStyle name="Total 3 10" xfId="22950" xr:uid="{00000000-0005-0000-0000-0000CA8E0000}"/>
    <cellStyle name="Total 3 10 2" xfId="22951" xr:uid="{00000000-0005-0000-0000-0000CB8E0000}"/>
    <cellStyle name="Total 3 10 3" xfId="37051" xr:uid="{00000000-0005-0000-0000-0000CC8E0000}"/>
    <cellStyle name="Total 3 10 4" xfId="37052" xr:uid="{00000000-0005-0000-0000-0000CD8E0000}"/>
    <cellStyle name="Total 3 11" xfId="22952" xr:uid="{00000000-0005-0000-0000-0000CE8E0000}"/>
    <cellStyle name="Total 3 11 2" xfId="22953" xr:uid="{00000000-0005-0000-0000-0000CF8E0000}"/>
    <cellStyle name="Total 3 11 3" xfId="37053" xr:uid="{00000000-0005-0000-0000-0000D08E0000}"/>
    <cellStyle name="Total 3 11 4" xfId="37054" xr:uid="{00000000-0005-0000-0000-0000D18E0000}"/>
    <cellStyle name="Total 3 12" xfId="22954" xr:uid="{00000000-0005-0000-0000-0000D28E0000}"/>
    <cellStyle name="Total 3 13" xfId="37055" xr:uid="{00000000-0005-0000-0000-0000D38E0000}"/>
    <cellStyle name="Total 3 14" xfId="37056" xr:uid="{00000000-0005-0000-0000-0000D48E0000}"/>
    <cellStyle name="Total 3 2" xfId="22955" xr:uid="{00000000-0005-0000-0000-0000D58E0000}"/>
    <cellStyle name="Total 3 2 10" xfId="37057" xr:uid="{00000000-0005-0000-0000-0000D68E0000}"/>
    <cellStyle name="Total 3 2 2" xfId="22956" xr:uid="{00000000-0005-0000-0000-0000D78E0000}"/>
    <cellStyle name="Total 3 2 2 2" xfId="22957" xr:uid="{00000000-0005-0000-0000-0000D88E0000}"/>
    <cellStyle name="Total 3 2 2 3" xfId="37058" xr:uid="{00000000-0005-0000-0000-0000D98E0000}"/>
    <cellStyle name="Total 3 2 2 4" xfId="37059" xr:uid="{00000000-0005-0000-0000-0000DA8E0000}"/>
    <cellStyle name="Total 3 2 3" xfId="22958" xr:uid="{00000000-0005-0000-0000-0000DB8E0000}"/>
    <cellStyle name="Total 3 2 3 2" xfId="22959" xr:uid="{00000000-0005-0000-0000-0000DC8E0000}"/>
    <cellStyle name="Total 3 2 3 3" xfId="37060" xr:uid="{00000000-0005-0000-0000-0000DD8E0000}"/>
    <cellStyle name="Total 3 2 3 4" xfId="37061" xr:uid="{00000000-0005-0000-0000-0000DE8E0000}"/>
    <cellStyle name="Total 3 2 4" xfId="22960" xr:uid="{00000000-0005-0000-0000-0000DF8E0000}"/>
    <cellStyle name="Total 3 2 4 2" xfId="22961" xr:uid="{00000000-0005-0000-0000-0000E08E0000}"/>
    <cellStyle name="Total 3 2 4 3" xfId="37062" xr:uid="{00000000-0005-0000-0000-0000E18E0000}"/>
    <cellStyle name="Total 3 2 4 4" xfId="37063" xr:uid="{00000000-0005-0000-0000-0000E28E0000}"/>
    <cellStyle name="Total 3 2 5" xfId="22962" xr:uid="{00000000-0005-0000-0000-0000E38E0000}"/>
    <cellStyle name="Total 3 2 5 2" xfId="22963" xr:uid="{00000000-0005-0000-0000-0000E48E0000}"/>
    <cellStyle name="Total 3 2 5 3" xfId="37064" xr:uid="{00000000-0005-0000-0000-0000E58E0000}"/>
    <cellStyle name="Total 3 2 5 4" xfId="37065" xr:uid="{00000000-0005-0000-0000-0000E68E0000}"/>
    <cellStyle name="Total 3 2 6" xfId="22964" xr:uid="{00000000-0005-0000-0000-0000E78E0000}"/>
    <cellStyle name="Total 3 2 6 2" xfId="22965" xr:uid="{00000000-0005-0000-0000-0000E88E0000}"/>
    <cellStyle name="Total 3 2 6 3" xfId="37066" xr:uid="{00000000-0005-0000-0000-0000E98E0000}"/>
    <cellStyle name="Total 3 2 6 4" xfId="37067" xr:uid="{00000000-0005-0000-0000-0000EA8E0000}"/>
    <cellStyle name="Total 3 2 7" xfId="22966" xr:uid="{00000000-0005-0000-0000-0000EB8E0000}"/>
    <cellStyle name="Total 3 2 7 2" xfId="22967" xr:uid="{00000000-0005-0000-0000-0000EC8E0000}"/>
    <cellStyle name="Total 3 2 7 3" xfId="37068" xr:uid="{00000000-0005-0000-0000-0000ED8E0000}"/>
    <cellStyle name="Total 3 2 7 4" xfId="37069" xr:uid="{00000000-0005-0000-0000-0000EE8E0000}"/>
    <cellStyle name="Total 3 2 8" xfId="22968" xr:uid="{00000000-0005-0000-0000-0000EF8E0000}"/>
    <cellStyle name="Total 3 2 9" xfId="37070" xr:uid="{00000000-0005-0000-0000-0000F08E0000}"/>
    <cellStyle name="Total 3 3" xfId="22969" xr:uid="{00000000-0005-0000-0000-0000F18E0000}"/>
    <cellStyle name="Total 3 3 10" xfId="37071" xr:uid="{00000000-0005-0000-0000-0000F28E0000}"/>
    <cellStyle name="Total 3 3 2" xfId="22970" xr:uid="{00000000-0005-0000-0000-0000F38E0000}"/>
    <cellStyle name="Total 3 3 2 2" xfId="22971" xr:uid="{00000000-0005-0000-0000-0000F48E0000}"/>
    <cellStyle name="Total 3 3 2 3" xfId="37072" xr:uid="{00000000-0005-0000-0000-0000F58E0000}"/>
    <cellStyle name="Total 3 3 2 4" xfId="37073" xr:uid="{00000000-0005-0000-0000-0000F68E0000}"/>
    <cellStyle name="Total 3 3 3" xfId="22972" xr:uid="{00000000-0005-0000-0000-0000F78E0000}"/>
    <cellStyle name="Total 3 3 3 2" xfId="22973" xr:uid="{00000000-0005-0000-0000-0000F88E0000}"/>
    <cellStyle name="Total 3 3 3 3" xfId="37074" xr:uid="{00000000-0005-0000-0000-0000F98E0000}"/>
    <cellStyle name="Total 3 3 3 4" xfId="37075" xr:uid="{00000000-0005-0000-0000-0000FA8E0000}"/>
    <cellStyle name="Total 3 3 4" xfId="22974" xr:uid="{00000000-0005-0000-0000-0000FB8E0000}"/>
    <cellStyle name="Total 3 3 4 2" xfId="22975" xr:uid="{00000000-0005-0000-0000-0000FC8E0000}"/>
    <cellStyle name="Total 3 3 4 3" xfId="37076" xr:uid="{00000000-0005-0000-0000-0000FD8E0000}"/>
    <cellStyle name="Total 3 3 4 4" xfId="37077" xr:uid="{00000000-0005-0000-0000-0000FE8E0000}"/>
    <cellStyle name="Total 3 3 5" xfId="22976" xr:uid="{00000000-0005-0000-0000-0000FF8E0000}"/>
    <cellStyle name="Total 3 3 5 2" xfId="22977" xr:uid="{00000000-0005-0000-0000-0000008F0000}"/>
    <cellStyle name="Total 3 3 5 3" xfId="37078" xr:uid="{00000000-0005-0000-0000-0000018F0000}"/>
    <cellStyle name="Total 3 3 5 4" xfId="37079" xr:uid="{00000000-0005-0000-0000-0000028F0000}"/>
    <cellStyle name="Total 3 3 6" xfId="22978" xr:uid="{00000000-0005-0000-0000-0000038F0000}"/>
    <cellStyle name="Total 3 3 6 2" xfId="22979" xr:uid="{00000000-0005-0000-0000-0000048F0000}"/>
    <cellStyle name="Total 3 3 6 3" xfId="37080" xr:uid="{00000000-0005-0000-0000-0000058F0000}"/>
    <cellStyle name="Total 3 3 6 4" xfId="37081" xr:uid="{00000000-0005-0000-0000-0000068F0000}"/>
    <cellStyle name="Total 3 3 7" xfId="22980" xr:uid="{00000000-0005-0000-0000-0000078F0000}"/>
    <cellStyle name="Total 3 3 7 2" xfId="22981" xr:uid="{00000000-0005-0000-0000-0000088F0000}"/>
    <cellStyle name="Total 3 3 7 3" xfId="37082" xr:uid="{00000000-0005-0000-0000-0000098F0000}"/>
    <cellStyle name="Total 3 3 7 4" xfId="37083" xr:uid="{00000000-0005-0000-0000-00000A8F0000}"/>
    <cellStyle name="Total 3 3 8" xfId="22982" xr:uid="{00000000-0005-0000-0000-00000B8F0000}"/>
    <cellStyle name="Total 3 3 9" xfId="37084" xr:uid="{00000000-0005-0000-0000-00000C8F0000}"/>
    <cellStyle name="Total 3 4" xfId="22983" xr:uid="{00000000-0005-0000-0000-00000D8F0000}"/>
    <cellStyle name="Total 3 4 10" xfId="37085" xr:uid="{00000000-0005-0000-0000-00000E8F0000}"/>
    <cellStyle name="Total 3 4 2" xfId="22984" xr:uid="{00000000-0005-0000-0000-00000F8F0000}"/>
    <cellStyle name="Total 3 4 2 2" xfId="22985" xr:uid="{00000000-0005-0000-0000-0000108F0000}"/>
    <cellStyle name="Total 3 4 2 3" xfId="37086" xr:uid="{00000000-0005-0000-0000-0000118F0000}"/>
    <cellStyle name="Total 3 4 2 4" xfId="37087" xr:uid="{00000000-0005-0000-0000-0000128F0000}"/>
    <cellStyle name="Total 3 4 3" xfId="22986" xr:uid="{00000000-0005-0000-0000-0000138F0000}"/>
    <cellStyle name="Total 3 4 3 2" xfId="22987" xr:uid="{00000000-0005-0000-0000-0000148F0000}"/>
    <cellStyle name="Total 3 4 3 3" xfId="37088" xr:uid="{00000000-0005-0000-0000-0000158F0000}"/>
    <cellStyle name="Total 3 4 3 4" xfId="37089" xr:uid="{00000000-0005-0000-0000-0000168F0000}"/>
    <cellStyle name="Total 3 4 4" xfId="22988" xr:uid="{00000000-0005-0000-0000-0000178F0000}"/>
    <cellStyle name="Total 3 4 4 2" xfId="22989" xr:uid="{00000000-0005-0000-0000-0000188F0000}"/>
    <cellStyle name="Total 3 4 4 3" xfId="37090" xr:uid="{00000000-0005-0000-0000-0000198F0000}"/>
    <cellStyle name="Total 3 4 4 4" xfId="37091" xr:uid="{00000000-0005-0000-0000-00001A8F0000}"/>
    <cellStyle name="Total 3 4 5" xfId="22990" xr:uid="{00000000-0005-0000-0000-00001B8F0000}"/>
    <cellStyle name="Total 3 4 5 2" xfId="22991" xr:uid="{00000000-0005-0000-0000-00001C8F0000}"/>
    <cellStyle name="Total 3 4 5 3" xfId="37092" xr:uid="{00000000-0005-0000-0000-00001D8F0000}"/>
    <cellStyle name="Total 3 4 5 4" xfId="37093" xr:uid="{00000000-0005-0000-0000-00001E8F0000}"/>
    <cellStyle name="Total 3 4 6" xfId="22992" xr:uid="{00000000-0005-0000-0000-00001F8F0000}"/>
    <cellStyle name="Total 3 4 6 2" xfId="22993" xr:uid="{00000000-0005-0000-0000-0000208F0000}"/>
    <cellStyle name="Total 3 4 6 3" xfId="37094" xr:uid="{00000000-0005-0000-0000-0000218F0000}"/>
    <cellStyle name="Total 3 4 6 4" xfId="37095" xr:uid="{00000000-0005-0000-0000-0000228F0000}"/>
    <cellStyle name="Total 3 4 7" xfId="22994" xr:uid="{00000000-0005-0000-0000-0000238F0000}"/>
    <cellStyle name="Total 3 4 7 2" xfId="22995" xr:uid="{00000000-0005-0000-0000-0000248F0000}"/>
    <cellStyle name="Total 3 4 7 3" xfId="37096" xr:uid="{00000000-0005-0000-0000-0000258F0000}"/>
    <cellStyle name="Total 3 4 7 4" xfId="37097" xr:uid="{00000000-0005-0000-0000-0000268F0000}"/>
    <cellStyle name="Total 3 4 8" xfId="22996" xr:uid="{00000000-0005-0000-0000-0000278F0000}"/>
    <cellStyle name="Total 3 4 9" xfId="37098" xr:uid="{00000000-0005-0000-0000-0000288F0000}"/>
    <cellStyle name="Total 3 5" xfId="22997" xr:uid="{00000000-0005-0000-0000-0000298F0000}"/>
    <cellStyle name="Total 3 5 10" xfId="37099" xr:uid="{00000000-0005-0000-0000-00002A8F0000}"/>
    <cellStyle name="Total 3 5 2" xfId="22998" xr:uid="{00000000-0005-0000-0000-00002B8F0000}"/>
    <cellStyle name="Total 3 5 2 2" xfId="22999" xr:uid="{00000000-0005-0000-0000-00002C8F0000}"/>
    <cellStyle name="Total 3 5 2 3" xfId="37100" xr:uid="{00000000-0005-0000-0000-00002D8F0000}"/>
    <cellStyle name="Total 3 5 2 4" xfId="37101" xr:uid="{00000000-0005-0000-0000-00002E8F0000}"/>
    <cellStyle name="Total 3 5 3" xfId="23000" xr:uid="{00000000-0005-0000-0000-00002F8F0000}"/>
    <cellStyle name="Total 3 5 3 2" xfId="23001" xr:uid="{00000000-0005-0000-0000-0000308F0000}"/>
    <cellStyle name="Total 3 5 3 3" xfId="37102" xr:uid="{00000000-0005-0000-0000-0000318F0000}"/>
    <cellStyle name="Total 3 5 3 4" xfId="37103" xr:uid="{00000000-0005-0000-0000-0000328F0000}"/>
    <cellStyle name="Total 3 5 4" xfId="23002" xr:uid="{00000000-0005-0000-0000-0000338F0000}"/>
    <cellStyle name="Total 3 5 4 2" xfId="23003" xr:uid="{00000000-0005-0000-0000-0000348F0000}"/>
    <cellStyle name="Total 3 5 4 3" xfId="37104" xr:uid="{00000000-0005-0000-0000-0000358F0000}"/>
    <cellStyle name="Total 3 5 4 4" xfId="37105" xr:uid="{00000000-0005-0000-0000-0000368F0000}"/>
    <cellStyle name="Total 3 5 5" xfId="23004" xr:uid="{00000000-0005-0000-0000-0000378F0000}"/>
    <cellStyle name="Total 3 5 5 2" xfId="23005" xr:uid="{00000000-0005-0000-0000-0000388F0000}"/>
    <cellStyle name="Total 3 5 5 3" xfId="37106" xr:uid="{00000000-0005-0000-0000-0000398F0000}"/>
    <cellStyle name="Total 3 5 5 4" xfId="37107" xr:uid="{00000000-0005-0000-0000-00003A8F0000}"/>
    <cellStyle name="Total 3 5 6" xfId="23006" xr:uid="{00000000-0005-0000-0000-00003B8F0000}"/>
    <cellStyle name="Total 3 5 6 2" xfId="23007" xr:uid="{00000000-0005-0000-0000-00003C8F0000}"/>
    <cellStyle name="Total 3 5 6 3" xfId="37108" xr:uid="{00000000-0005-0000-0000-00003D8F0000}"/>
    <cellStyle name="Total 3 5 6 4" xfId="37109" xr:uid="{00000000-0005-0000-0000-00003E8F0000}"/>
    <cellStyle name="Total 3 5 7" xfId="23008" xr:uid="{00000000-0005-0000-0000-00003F8F0000}"/>
    <cellStyle name="Total 3 5 7 2" xfId="23009" xr:uid="{00000000-0005-0000-0000-0000408F0000}"/>
    <cellStyle name="Total 3 5 7 3" xfId="37110" xr:uid="{00000000-0005-0000-0000-0000418F0000}"/>
    <cellStyle name="Total 3 5 7 4" xfId="37111" xr:uid="{00000000-0005-0000-0000-0000428F0000}"/>
    <cellStyle name="Total 3 5 8" xfId="23010" xr:uid="{00000000-0005-0000-0000-0000438F0000}"/>
    <cellStyle name="Total 3 5 9" xfId="37112" xr:uid="{00000000-0005-0000-0000-0000448F0000}"/>
    <cellStyle name="Total 3 6" xfId="23011" xr:uid="{00000000-0005-0000-0000-0000458F0000}"/>
    <cellStyle name="Total 3 6 2" xfId="23012" xr:uid="{00000000-0005-0000-0000-0000468F0000}"/>
    <cellStyle name="Total 3 6 3" xfId="37113" xr:uid="{00000000-0005-0000-0000-0000478F0000}"/>
    <cellStyle name="Total 3 6 4" xfId="37114" xr:uid="{00000000-0005-0000-0000-0000488F0000}"/>
    <cellStyle name="Total 3 7" xfId="23013" xr:uid="{00000000-0005-0000-0000-0000498F0000}"/>
    <cellStyle name="Total 3 7 2" xfId="23014" xr:uid="{00000000-0005-0000-0000-00004A8F0000}"/>
    <cellStyle name="Total 3 7 3" xfId="37115" xr:uid="{00000000-0005-0000-0000-00004B8F0000}"/>
    <cellStyle name="Total 3 7 4" xfId="37116" xr:uid="{00000000-0005-0000-0000-00004C8F0000}"/>
    <cellStyle name="Total 3 8" xfId="23015" xr:uid="{00000000-0005-0000-0000-00004D8F0000}"/>
    <cellStyle name="Total 3 8 2" xfId="23016" xr:uid="{00000000-0005-0000-0000-00004E8F0000}"/>
    <cellStyle name="Total 3 8 3" xfId="37117" xr:uid="{00000000-0005-0000-0000-00004F8F0000}"/>
    <cellStyle name="Total 3 8 4" xfId="37118" xr:uid="{00000000-0005-0000-0000-0000508F0000}"/>
    <cellStyle name="Total 3 9" xfId="23017" xr:uid="{00000000-0005-0000-0000-0000518F0000}"/>
    <cellStyle name="Total 3 9 2" xfId="23018" xr:uid="{00000000-0005-0000-0000-0000528F0000}"/>
    <cellStyle name="Total 3 9 3" xfId="37119" xr:uid="{00000000-0005-0000-0000-0000538F0000}"/>
    <cellStyle name="Total 3 9 4" xfId="37120" xr:uid="{00000000-0005-0000-0000-0000548F0000}"/>
    <cellStyle name="Total 4" xfId="23019" xr:uid="{00000000-0005-0000-0000-0000558F0000}"/>
    <cellStyle name="Total 4 10" xfId="23020" xr:uid="{00000000-0005-0000-0000-0000568F0000}"/>
    <cellStyle name="Total 4 10 2" xfId="23021" xr:uid="{00000000-0005-0000-0000-0000578F0000}"/>
    <cellStyle name="Total 4 10 3" xfId="37121" xr:uid="{00000000-0005-0000-0000-0000588F0000}"/>
    <cellStyle name="Total 4 10 4" xfId="37122" xr:uid="{00000000-0005-0000-0000-0000598F0000}"/>
    <cellStyle name="Total 4 11" xfId="23022" xr:uid="{00000000-0005-0000-0000-00005A8F0000}"/>
    <cellStyle name="Total 4 11 2" xfId="23023" xr:uid="{00000000-0005-0000-0000-00005B8F0000}"/>
    <cellStyle name="Total 4 11 3" xfId="37123" xr:uid="{00000000-0005-0000-0000-00005C8F0000}"/>
    <cellStyle name="Total 4 11 4" xfId="37124" xr:uid="{00000000-0005-0000-0000-00005D8F0000}"/>
    <cellStyle name="Total 4 12" xfId="23024" xr:uid="{00000000-0005-0000-0000-00005E8F0000}"/>
    <cellStyle name="Total 4 13" xfId="37125" xr:uid="{00000000-0005-0000-0000-00005F8F0000}"/>
    <cellStyle name="Total 4 14" xfId="37126" xr:uid="{00000000-0005-0000-0000-0000608F0000}"/>
    <cellStyle name="Total 4 2" xfId="23025" xr:uid="{00000000-0005-0000-0000-0000618F0000}"/>
    <cellStyle name="Total 4 2 10" xfId="37127" xr:uid="{00000000-0005-0000-0000-0000628F0000}"/>
    <cellStyle name="Total 4 2 2" xfId="23026" xr:uid="{00000000-0005-0000-0000-0000638F0000}"/>
    <cellStyle name="Total 4 2 2 2" xfId="23027" xr:uid="{00000000-0005-0000-0000-0000648F0000}"/>
    <cellStyle name="Total 4 2 2 3" xfId="37128" xr:uid="{00000000-0005-0000-0000-0000658F0000}"/>
    <cellStyle name="Total 4 2 2 4" xfId="37129" xr:uid="{00000000-0005-0000-0000-0000668F0000}"/>
    <cellStyle name="Total 4 2 3" xfId="23028" xr:uid="{00000000-0005-0000-0000-0000678F0000}"/>
    <cellStyle name="Total 4 2 3 2" xfId="23029" xr:uid="{00000000-0005-0000-0000-0000688F0000}"/>
    <cellStyle name="Total 4 2 3 3" xfId="37130" xr:uid="{00000000-0005-0000-0000-0000698F0000}"/>
    <cellStyle name="Total 4 2 3 4" xfId="37131" xr:uid="{00000000-0005-0000-0000-00006A8F0000}"/>
    <cellStyle name="Total 4 2 4" xfId="23030" xr:uid="{00000000-0005-0000-0000-00006B8F0000}"/>
    <cellStyle name="Total 4 2 4 2" xfId="23031" xr:uid="{00000000-0005-0000-0000-00006C8F0000}"/>
    <cellStyle name="Total 4 2 4 3" xfId="37132" xr:uid="{00000000-0005-0000-0000-00006D8F0000}"/>
    <cellStyle name="Total 4 2 4 4" xfId="37133" xr:uid="{00000000-0005-0000-0000-00006E8F0000}"/>
    <cellStyle name="Total 4 2 5" xfId="23032" xr:uid="{00000000-0005-0000-0000-00006F8F0000}"/>
    <cellStyle name="Total 4 2 5 2" xfId="23033" xr:uid="{00000000-0005-0000-0000-0000708F0000}"/>
    <cellStyle name="Total 4 2 5 3" xfId="37134" xr:uid="{00000000-0005-0000-0000-0000718F0000}"/>
    <cellStyle name="Total 4 2 5 4" xfId="37135" xr:uid="{00000000-0005-0000-0000-0000728F0000}"/>
    <cellStyle name="Total 4 2 6" xfId="23034" xr:uid="{00000000-0005-0000-0000-0000738F0000}"/>
    <cellStyle name="Total 4 2 6 2" xfId="23035" xr:uid="{00000000-0005-0000-0000-0000748F0000}"/>
    <cellStyle name="Total 4 2 6 3" xfId="37136" xr:uid="{00000000-0005-0000-0000-0000758F0000}"/>
    <cellStyle name="Total 4 2 6 4" xfId="37137" xr:uid="{00000000-0005-0000-0000-0000768F0000}"/>
    <cellStyle name="Total 4 2 7" xfId="23036" xr:uid="{00000000-0005-0000-0000-0000778F0000}"/>
    <cellStyle name="Total 4 2 7 2" xfId="23037" xr:uid="{00000000-0005-0000-0000-0000788F0000}"/>
    <cellStyle name="Total 4 2 7 3" xfId="37138" xr:uid="{00000000-0005-0000-0000-0000798F0000}"/>
    <cellStyle name="Total 4 2 7 4" xfId="37139" xr:uid="{00000000-0005-0000-0000-00007A8F0000}"/>
    <cellStyle name="Total 4 2 8" xfId="23038" xr:uid="{00000000-0005-0000-0000-00007B8F0000}"/>
    <cellStyle name="Total 4 2 9" xfId="37140" xr:uid="{00000000-0005-0000-0000-00007C8F0000}"/>
    <cellStyle name="Total 4 3" xfId="23039" xr:uid="{00000000-0005-0000-0000-00007D8F0000}"/>
    <cellStyle name="Total 4 3 10" xfId="37141" xr:uid="{00000000-0005-0000-0000-00007E8F0000}"/>
    <cellStyle name="Total 4 3 2" xfId="23040" xr:uid="{00000000-0005-0000-0000-00007F8F0000}"/>
    <cellStyle name="Total 4 3 2 2" xfId="23041" xr:uid="{00000000-0005-0000-0000-0000808F0000}"/>
    <cellStyle name="Total 4 3 2 3" xfId="37142" xr:uid="{00000000-0005-0000-0000-0000818F0000}"/>
    <cellStyle name="Total 4 3 2 4" xfId="37143" xr:uid="{00000000-0005-0000-0000-0000828F0000}"/>
    <cellStyle name="Total 4 3 3" xfId="23042" xr:uid="{00000000-0005-0000-0000-0000838F0000}"/>
    <cellStyle name="Total 4 3 3 2" xfId="23043" xr:uid="{00000000-0005-0000-0000-0000848F0000}"/>
    <cellStyle name="Total 4 3 3 3" xfId="37144" xr:uid="{00000000-0005-0000-0000-0000858F0000}"/>
    <cellStyle name="Total 4 3 3 4" xfId="37145" xr:uid="{00000000-0005-0000-0000-0000868F0000}"/>
    <cellStyle name="Total 4 3 4" xfId="23044" xr:uid="{00000000-0005-0000-0000-0000878F0000}"/>
    <cellStyle name="Total 4 3 4 2" xfId="23045" xr:uid="{00000000-0005-0000-0000-0000888F0000}"/>
    <cellStyle name="Total 4 3 4 3" xfId="37146" xr:uid="{00000000-0005-0000-0000-0000898F0000}"/>
    <cellStyle name="Total 4 3 4 4" xfId="37147" xr:uid="{00000000-0005-0000-0000-00008A8F0000}"/>
    <cellStyle name="Total 4 3 5" xfId="23046" xr:uid="{00000000-0005-0000-0000-00008B8F0000}"/>
    <cellStyle name="Total 4 3 5 2" xfId="23047" xr:uid="{00000000-0005-0000-0000-00008C8F0000}"/>
    <cellStyle name="Total 4 3 5 3" xfId="37148" xr:uid="{00000000-0005-0000-0000-00008D8F0000}"/>
    <cellStyle name="Total 4 3 5 4" xfId="37149" xr:uid="{00000000-0005-0000-0000-00008E8F0000}"/>
    <cellStyle name="Total 4 3 6" xfId="23048" xr:uid="{00000000-0005-0000-0000-00008F8F0000}"/>
    <cellStyle name="Total 4 3 6 2" xfId="23049" xr:uid="{00000000-0005-0000-0000-0000908F0000}"/>
    <cellStyle name="Total 4 3 6 3" xfId="37150" xr:uid="{00000000-0005-0000-0000-0000918F0000}"/>
    <cellStyle name="Total 4 3 6 4" xfId="37151" xr:uid="{00000000-0005-0000-0000-0000928F0000}"/>
    <cellStyle name="Total 4 3 7" xfId="23050" xr:uid="{00000000-0005-0000-0000-0000938F0000}"/>
    <cellStyle name="Total 4 3 7 2" xfId="23051" xr:uid="{00000000-0005-0000-0000-0000948F0000}"/>
    <cellStyle name="Total 4 3 7 3" xfId="37152" xr:uid="{00000000-0005-0000-0000-0000958F0000}"/>
    <cellStyle name="Total 4 3 7 4" xfId="37153" xr:uid="{00000000-0005-0000-0000-0000968F0000}"/>
    <cellStyle name="Total 4 3 8" xfId="23052" xr:uid="{00000000-0005-0000-0000-0000978F0000}"/>
    <cellStyle name="Total 4 3 9" xfId="37154" xr:uid="{00000000-0005-0000-0000-0000988F0000}"/>
    <cellStyle name="Total 4 4" xfId="23053" xr:uid="{00000000-0005-0000-0000-0000998F0000}"/>
    <cellStyle name="Total 4 4 10" xfId="37155" xr:uid="{00000000-0005-0000-0000-00009A8F0000}"/>
    <cellStyle name="Total 4 4 2" xfId="23054" xr:uid="{00000000-0005-0000-0000-00009B8F0000}"/>
    <cellStyle name="Total 4 4 2 2" xfId="23055" xr:uid="{00000000-0005-0000-0000-00009C8F0000}"/>
    <cellStyle name="Total 4 4 2 3" xfId="37156" xr:uid="{00000000-0005-0000-0000-00009D8F0000}"/>
    <cellStyle name="Total 4 4 2 4" xfId="37157" xr:uid="{00000000-0005-0000-0000-00009E8F0000}"/>
    <cellStyle name="Total 4 4 3" xfId="23056" xr:uid="{00000000-0005-0000-0000-00009F8F0000}"/>
    <cellStyle name="Total 4 4 3 2" xfId="23057" xr:uid="{00000000-0005-0000-0000-0000A08F0000}"/>
    <cellStyle name="Total 4 4 3 3" xfId="37158" xr:uid="{00000000-0005-0000-0000-0000A18F0000}"/>
    <cellStyle name="Total 4 4 3 4" xfId="37159" xr:uid="{00000000-0005-0000-0000-0000A28F0000}"/>
    <cellStyle name="Total 4 4 4" xfId="23058" xr:uid="{00000000-0005-0000-0000-0000A38F0000}"/>
    <cellStyle name="Total 4 4 4 2" xfId="23059" xr:uid="{00000000-0005-0000-0000-0000A48F0000}"/>
    <cellStyle name="Total 4 4 4 3" xfId="37160" xr:uid="{00000000-0005-0000-0000-0000A58F0000}"/>
    <cellStyle name="Total 4 4 4 4" xfId="37161" xr:uid="{00000000-0005-0000-0000-0000A68F0000}"/>
    <cellStyle name="Total 4 4 5" xfId="23060" xr:uid="{00000000-0005-0000-0000-0000A78F0000}"/>
    <cellStyle name="Total 4 4 5 2" xfId="23061" xr:uid="{00000000-0005-0000-0000-0000A88F0000}"/>
    <cellStyle name="Total 4 4 5 3" xfId="37162" xr:uid="{00000000-0005-0000-0000-0000A98F0000}"/>
    <cellStyle name="Total 4 4 5 4" xfId="37163" xr:uid="{00000000-0005-0000-0000-0000AA8F0000}"/>
    <cellStyle name="Total 4 4 6" xfId="23062" xr:uid="{00000000-0005-0000-0000-0000AB8F0000}"/>
    <cellStyle name="Total 4 4 6 2" xfId="23063" xr:uid="{00000000-0005-0000-0000-0000AC8F0000}"/>
    <cellStyle name="Total 4 4 6 3" xfId="37164" xr:uid="{00000000-0005-0000-0000-0000AD8F0000}"/>
    <cellStyle name="Total 4 4 6 4" xfId="37165" xr:uid="{00000000-0005-0000-0000-0000AE8F0000}"/>
    <cellStyle name="Total 4 4 7" xfId="23064" xr:uid="{00000000-0005-0000-0000-0000AF8F0000}"/>
    <cellStyle name="Total 4 4 7 2" xfId="23065" xr:uid="{00000000-0005-0000-0000-0000B08F0000}"/>
    <cellStyle name="Total 4 4 7 3" xfId="37166" xr:uid="{00000000-0005-0000-0000-0000B18F0000}"/>
    <cellStyle name="Total 4 4 7 4" xfId="37167" xr:uid="{00000000-0005-0000-0000-0000B28F0000}"/>
    <cellStyle name="Total 4 4 8" xfId="23066" xr:uid="{00000000-0005-0000-0000-0000B38F0000}"/>
    <cellStyle name="Total 4 4 9" xfId="37168" xr:uid="{00000000-0005-0000-0000-0000B48F0000}"/>
    <cellStyle name="Total 4 5" xfId="23067" xr:uid="{00000000-0005-0000-0000-0000B58F0000}"/>
    <cellStyle name="Total 4 5 10" xfId="37169" xr:uid="{00000000-0005-0000-0000-0000B68F0000}"/>
    <cellStyle name="Total 4 5 2" xfId="23068" xr:uid="{00000000-0005-0000-0000-0000B78F0000}"/>
    <cellStyle name="Total 4 5 2 2" xfId="23069" xr:uid="{00000000-0005-0000-0000-0000B88F0000}"/>
    <cellStyle name="Total 4 5 2 3" xfId="37170" xr:uid="{00000000-0005-0000-0000-0000B98F0000}"/>
    <cellStyle name="Total 4 5 2 4" xfId="37171" xr:uid="{00000000-0005-0000-0000-0000BA8F0000}"/>
    <cellStyle name="Total 4 5 3" xfId="23070" xr:uid="{00000000-0005-0000-0000-0000BB8F0000}"/>
    <cellStyle name="Total 4 5 3 2" xfId="23071" xr:uid="{00000000-0005-0000-0000-0000BC8F0000}"/>
    <cellStyle name="Total 4 5 3 3" xfId="37172" xr:uid="{00000000-0005-0000-0000-0000BD8F0000}"/>
    <cellStyle name="Total 4 5 3 4" xfId="37173" xr:uid="{00000000-0005-0000-0000-0000BE8F0000}"/>
    <cellStyle name="Total 4 5 4" xfId="23072" xr:uid="{00000000-0005-0000-0000-0000BF8F0000}"/>
    <cellStyle name="Total 4 5 4 2" xfId="23073" xr:uid="{00000000-0005-0000-0000-0000C08F0000}"/>
    <cellStyle name="Total 4 5 4 3" xfId="37174" xr:uid="{00000000-0005-0000-0000-0000C18F0000}"/>
    <cellStyle name="Total 4 5 4 4" xfId="37175" xr:uid="{00000000-0005-0000-0000-0000C28F0000}"/>
    <cellStyle name="Total 4 5 5" xfId="23074" xr:uid="{00000000-0005-0000-0000-0000C38F0000}"/>
    <cellStyle name="Total 4 5 5 2" xfId="23075" xr:uid="{00000000-0005-0000-0000-0000C48F0000}"/>
    <cellStyle name="Total 4 5 5 3" xfId="37176" xr:uid="{00000000-0005-0000-0000-0000C58F0000}"/>
    <cellStyle name="Total 4 5 5 4" xfId="37177" xr:uid="{00000000-0005-0000-0000-0000C68F0000}"/>
    <cellStyle name="Total 4 5 6" xfId="23076" xr:uid="{00000000-0005-0000-0000-0000C78F0000}"/>
    <cellStyle name="Total 4 5 6 2" xfId="23077" xr:uid="{00000000-0005-0000-0000-0000C88F0000}"/>
    <cellStyle name="Total 4 5 6 3" xfId="37178" xr:uid="{00000000-0005-0000-0000-0000C98F0000}"/>
    <cellStyle name="Total 4 5 6 4" xfId="37179" xr:uid="{00000000-0005-0000-0000-0000CA8F0000}"/>
    <cellStyle name="Total 4 5 7" xfId="23078" xr:uid="{00000000-0005-0000-0000-0000CB8F0000}"/>
    <cellStyle name="Total 4 5 7 2" xfId="23079" xr:uid="{00000000-0005-0000-0000-0000CC8F0000}"/>
    <cellStyle name="Total 4 5 7 3" xfId="37180" xr:uid="{00000000-0005-0000-0000-0000CD8F0000}"/>
    <cellStyle name="Total 4 5 7 4" xfId="37181" xr:uid="{00000000-0005-0000-0000-0000CE8F0000}"/>
    <cellStyle name="Total 4 5 8" xfId="23080" xr:uid="{00000000-0005-0000-0000-0000CF8F0000}"/>
    <cellStyle name="Total 4 5 9" xfId="37182" xr:uid="{00000000-0005-0000-0000-0000D08F0000}"/>
    <cellStyle name="Total 4 6" xfId="23081" xr:uid="{00000000-0005-0000-0000-0000D18F0000}"/>
    <cellStyle name="Total 4 6 2" xfId="23082" xr:uid="{00000000-0005-0000-0000-0000D28F0000}"/>
    <cellStyle name="Total 4 6 3" xfId="37183" xr:uid="{00000000-0005-0000-0000-0000D38F0000}"/>
    <cellStyle name="Total 4 6 4" xfId="37184" xr:uid="{00000000-0005-0000-0000-0000D48F0000}"/>
    <cellStyle name="Total 4 7" xfId="23083" xr:uid="{00000000-0005-0000-0000-0000D58F0000}"/>
    <cellStyle name="Total 4 7 2" xfId="23084" xr:uid="{00000000-0005-0000-0000-0000D68F0000}"/>
    <cellStyle name="Total 4 7 3" xfId="37185" xr:uid="{00000000-0005-0000-0000-0000D78F0000}"/>
    <cellStyle name="Total 4 7 4" xfId="37186" xr:uid="{00000000-0005-0000-0000-0000D88F0000}"/>
    <cellStyle name="Total 4 8" xfId="23085" xr:uid="{00000000-0005-0000-0000-0000D98F0000}"/>
    <cellStyle name="Total 4 8 2" xfId="23086" xr:uid="{00000000-0005-0000-0000-0000DA8F0000}"/>
    <cellStyle name="Total 4 8 3" xfId="37187" xr:uid="{00000000-0005-0000-0000-0000DB8F0000}"/>
    <cellStyle name="Total 4 8 4" xfId="37188" xr:uid="{00000000-0005-0000-0000-0000DC8F0000}"/>
    <cellStyle name="Total 4 9" xfId="23087" xr:uid="{00000000-0005-0000-0000-0000DD8F0000}"/>
    <cellStyle name="Total 4 9 2" xfId="23088" xr:uid="{00000000-0005-0000-0000-0000DE8F0000}"/>
    <cellStyle name="Total 4 9 3" xfId="37189" xr:uid="{00000000-0005-0000-0000-0000DF8F0000}"/>
    <cellStyle name="Total 4 9 4" xfId="37190" xr:uid="{00000000-0005-0000-0000-0000E08F0000}"/>
    <cellStyle name="Total 5" xfId="23089" xr:uid="{00000000-0005-0000-0000-0000E18F0000}"/>
    <cellStyle name="Total 5 10" xfId="23090" xr:uid="{00000000-0005-0000-0000-0000E28F0000}"/>
    <cellStyle name="Total 5 10 2" xfId="23091" xr:uid="{00000000-0005-0000-0000-0000E38F0000}"/>
    <cellStyle name="Total 5 10 3" xfId="37191" xr:uid="{00000000-0005-0000-0000-0000E48F0000}"/>
    <cellStyle name="Total 5 10 4" xfId="37192" xr:uid="{00000000-0005-0000-0000-0000E58F0000}"/>
    <cellStyle name="Total 5 11" xfId="23092" xr:uid="{00000000-0005-0000-0000-0000E68F0000}"/>
    <cellStyle name="Total 5 11 2" xfId="23093" xr:uid="{00000000-0005-0000-0000-0000E78F0000}"/>
    <cellStyle name="Total 5 11 3" xfId="37193" xr:uid="{00000000-0005-0000-0000-0000E88F0000}"/>
    <cellStyle name="Total 5 11 4" xfId="37194" xr:uid="{00000000-0005-0000-0000-0000E98F0000}"/>
    <cellStyle name="Total 5 12" xfId="23094" xr:uid="{00000000-0005-0000-0000-0000EA8F0000}"/>
    <cellStyle name="Total 5 13" xfId="37195" xr:uid="{00000000-0005-0000-0000-0000EB8F0000}"/>
    <cellStyle name="Total 5 14" xfId="37196" xr:uid="{00000000-0005-0000-0000-0000EC8F0000}"/>
    <cellStyle name="Total 5 2" xfId="23095" xr:uid="{00000000-0005-0000-0000-0000ED8F0000}"/>
    <cellStyle name="Total 5 2 10" xfId="37197" xr:uid="{00000000-0005-0000-0000-0000EE8F0000}"/>
    <cellStyle name="Total 5 2 2" xfId="23096" xr:uid="{00000000-0005-0000-0000-0000EF8F0000}"/>
    <cellStyle name="Total 5 2 2 2" xfId="23097" xr:uid="{00000000-0005-0000-0000-0000F08F0000}"/>
    <cellStyle name="Total 5 2 2 3" xfId="37198" xr:uid="{00000000-0005-0000-0000-0000F18F0000}"/>
    <cellStyle name="Total 5 2 2 4" xfId="37199" xr:uid="{00000000-0005-0000-0000-0000F28F0000}"/>
    <cellStyle name="Total 5 2 3" xfId="23098" xr:uid="{00000000-0005-0000-0000-0000F38F0000}"/>
    <cellStyle name="Total 5 2 3 2" xfId="23099" xr:uid="{00000000-0005-0000-0000-0000F48F0000}"/>
    <cellStyle name="Total 5 2 3 3" xfId="37200" xr:uid="{00000000-0005-0000-0000-0000F58F0000}"/>
    <cellStyle name="Total 5 2 3 4" xfId="37201" xr:uid="{00000000-0005-0000-0000-0000F68F0000}"/>
    <cellStyle name="Total 5 2 4" xfId="23100" xr:uid="{00000000-0005-0000-0000-0000F78F0000}"/>
    <cellStyle name="Total 5 2 4 2" xfId="23101" xr:uid="{00000000-0005-0000-0000-0000F88F0000}"/>
    <cellStyle name="Total 5 2 4 3" xfId="37202" xr:uid="{00000000-0005-0000-0000-0000F98F0000}"/>
    <cellStyle name="Total 5 2 4 4" xfId="37203" xr:uid="{00000000-0005-0000-0000-0000FA8F0000}"/>
    <cellStyle name="Total 5 2 5" xfId="23102" xr:uid="{00000000-0005-0000-0000-0000FB8F0000}"/>
    <cellStyle name="Total 5 2 5 2" xfId="23103" xr:uid="{00000000-0005-0000-0000-0000FC8F0000}"/>
    <cellStyle name="Total 5 2 5 3" xfId="37204" xr:uid="{00000000-0005-0000-0000-0000FD8F0000}"/>
    <cellStyle name="Total 5 2 5 4" xfId="37205" xr:uid="{00000000-0005-0000-0000-0000FE8F0000}"/>
    <cellStyle name="Total 5 2 6" xfId="23104" xr:uid="{00000000-0005-0000-0000-0000FF8F0000}"/>
    <cellStyle name="Total 5 2 6 2" xfId="23105" xr:uid="{00000000-0005-0000-0000-000000900000}"/>
    <cellStyle name="Total 5 2 6 3" xfId="37206" xr:uid="{00000000-0005-0000-0000-000001900000}"/>
    <cellStyle name="Total 5 2 6 4" xfId="37207" xr:uid="{00000000-0005-0000-0000-000002900000}"/>
    <cellStyle name="Total 5 2 7" xfId="23106" xr:uid="{00000000-0005-0000-0000-000003900000}"/>
    <cellStyle name="Total 5 2 7 2" xfId="23107" xr:uid="{00000000-0005-0000-0000-000004900000}"/>
    <cellStyle name="Total 5 2 7 3" xfId="37208" xr:uid="{00000000-0005-0000-0000-000005900000}"/>
    <cellStyle name="Total 5 2 7 4" xfId="37209" xr:uid="{00000000-0005-0000-0000-000006900000}"/>
    <cellStyle name="Total 5 2 8" xfId="23108" xr:uid="{00000000-0005-0000-0000-000007900000}"/>
    <cellStyle name="Total 5 2 9" xfId="37210" xr:uid="{00000000-0005-0000-0000-000008900000}"/>
    <cellStyle name="Total 5 3" xfId="23109" xr:uid="{00000000-0005-0000-0000-000009900000}"/>
    <cellStyle name="Total 5 3 10" xfId="37211" xr:uid="{00000000-0005-0000-0000-00000A900000}"/>
    <cellStyle name="Total 5 3 2" xfId="23110" xr:uid="{00000000-0005-0000-0000-00000B900000}"/>
    <cellStyle name="Total 5 3 2 2" xfId="23111" xr:uid="{00000000-0005-0000-0000-00000C900000}"/>
    <cellStyle name="Total 5 3 2 3" xfId="37212" xr:uid="{00000000-0005-0000-0000-00000D900000}"/>
    <cellStyle name="Total 5 3 2 4" xfId="37213" xr:uid="{00000000-0005-0000-0000-00000E900000}"/>
    <cellStyle name="Total 5 3 3" xfId="23112" xr:uid="{00000000-0005-0000-0000-00000F900000}"/>
    <cellStyle name="Total 5 3 3 2" xfId="23113" xr:uid="{00000000-0005-0000-0000-000010900000}"/>
    <cellStyle name="Total 5 3 3 3" xfId="37214" xr:uid="{00000000-0005-0000-0000-000011900000}"/>
    <cellStyle name="Total 5 3 3 4" xfId="37215" xr:uid="{00000000-0005-0000-0000-000012900000}"/>
    <cellStyle name="Total 5 3 4" xfId="23114" xr:uid="{00000000-0005-0000-0000-000013900000}"/>
    <cellStyle name="Total 5 3 4 2" xfId="23115" xr:uid="{00000000-0005-0000-0000-000014900000}"/>
    <cellStyle name="Total 5 3 4 3" xfId="37216" xr:uid="{00000000-0005-0000-0000-000015900000}"/>
    <cellStyle name="Total 5 3 4 4" xfId="37217" xr:uid="{00000000-0005-0000-0000-000016900000}"/>
    <cellStyle name="Total 5 3 5" xfId="23116" xr:uid="{00000000-0005-0000-0000-000017900000}"/>
    <cellStyle name="Total 5 3 5 2" xfId="23117" xr:uid="{00000000-0005-0000-0000-000018900000}"/>
    <cellStyle name="Total 5 3 5 3" xfId="37218" xr:uid="{00000000-0005-0000-0000-000019900000}"/>
    <cellStyle name="Total 5 3 5 4" xfId="37219" xr:uid="{00000000-0005-0000-0000-00001A900000}"/>
    <cellStyle name="Total 5 3 6" xfId="23118" xr:uid="{00000000-0005-0000-0000-00001B900000}"/>
    <cellStyle name="Total 5 3 6 2" xfId="23119" xr:uid="{00000000-0005-0000-0000-00001C900000}"/>
    <cellStyle name="Total 5 3 6 3" xfId="37220" xr:uid="{00000000-0005-0000-0000-00001D900000}"/>
    <cellStyle name="Total 5 3 6 4" xfId="37221" xr:uid="{00000000-0005-0000-0000-00001E900000}"/>
    <cellStyle name="Total 5 3 7" xfId="23120" xr:uid="{00000000-0005-0000-0000-00001F900000}"/>
    <cellStyle name="Total 5 3 7 2" xfId="23121" xr:uid="{00000000-0005-0000-0000-000020900000}"/>
    <cellStyle name="Total 5 3 7 3" xfId="37222" xr:uid="{00000000-0005-0000-0000-000021900000}"/>
    <cellStyle name="Total 5 3 7 4" xfId="37223" xr:uid="{00000000-0005-0000-0000-000022900000}"/>
    <cellStyle name="Total 5 3 8" xfId="23122" xr:uid="{00000000-0005-0000-0000-000023900000}"/>
    <cellStyle name="Total 5 3 9" xfId="37224" xr:uid="{00000000-0005-0000-0000-000024900000}"/>
    <cellStyle name="Total 5 4" xfId="23123" xr:uid="{00000000-0005-0000-0000-000025900000}"/>
    <cellStyle name="Total 5 4 10" xfId="37225" xr:uid="{00000000-0005-0000-0000-000026900000}"/>
    <cellStyle name="Total 5 4 2" xfId="23124" xr:uid="{00000000-0005-0000-0000-000027900000}"/>
    <cellStyle name="Total 5 4 2 2" xfId="23125" xr:uid="{00000000-0005-0000-0000-000028900000}"/>
    <cellStyle name="Total 5 4 2 3" xfId="37226" xr:uid="{00000000-0005-0000-0000-000029900000}"/>
    <cellStyle name="Total 5 4 2 4" xfId="37227" xr:uid="{00000000-0005-0000-0000-00002A900000}"/>
    <cellStyle name="Total 5 4 3" xfId="23126" xr:uid="{00000000-0005-0000-0000-00002B900000}"/>
    <cellStyle name="Total 5 4 3 2" xfId="23127" xr:uid="{00000000-0005-0000-0000-00002C900000}"/>
    <cellStyle name="Total 5 4 3 3" xfId="37228" xr:uid="{00000000-0005-0000-0000-00002D900000}"/>
    <cellStyle name="Total 5 4 3 4" xfId="37229" xr:uid="{00000000-0005-0000-0000-00002E900000}"/>
    <cellStyle name="Total 5 4 4" xfId="23128" xr:uid="{00000000-0005-0000-0000-00002F900000}"/>
    <cellStyle name="Total 5 4 4 2" xfId="23129" xr:uid="{00000000-0005-0000-0000-000030900000}"/>
    <cellStyle name="Total 5 4 4 3" xfId="37230" xr:uid="{00000000-0005-0000-0000-000031900000}"/>
    <cellStyle name="Total 5 4 4 4" xfId="37231" xr:uid="{00000000-0005-0000-0000-000032900000}"/>
    <cellStyle name="Total 5 4 5" xfId="23130" xr:uid="{00000000-0005-0000-0000-000033900000}"/>
    <cellStyle name="Total 5 4 5 2" xfId="23131" xr:uid="{00000000-0005-0000-0000-000034900000}"/>
    <cellStyle name="Total 5 4 5 3" xfId="37232" xr:uid="{00000000-0005-0000-0000-000035900000}"/>
    <cellStyle name="Total 5 4 5 4" xfId="37233" xr:uid="{00000000-0005-0000-0000-000036900000}"/>
    <cellStyle name="Total 5 4 6" xfId="23132" xr:uid="{00000000-0005-0000-0000-000037900000}"/>
    <cellStyle name="Total 5 4 6 2" xfId="23133" xr:uid="{00000000-0005-0000-0000-000038900000}"/>
    <cellStyle name="Total 5 4 6 3" xfId="37234" xr:uid="{00000000-0005-0000-0000-000039900000}"/>
    <cellStyle name="Total 5 4 6 4" xfId="37235" xr:uid="{00000000-0005-0000-0000-00003A900000}"/>
    <cellStyle name="Total 5 4 7" xfId="23134" xr:uid="{00000000-0005-0000-0000-00003B900000}"/>
    <cellStyle name="Total 5 4 7 2" xfId="23135" xr:uid="{00000000-0005-0000-0000-00003C900000}"/>
    <cellStyle name="Total 5 4 7 3" xfId="37236" xr:uid="{00000000-0005-0000-0000-00003D900000}"/>
    <cellStyle name="Total 5 4 7 4" xfId="37237" xr:uid="{00000000-0005-0000-0000-00003E900000}"/>
    <cellStyle name="Total 5 4 8" xfId="23136" xr:uid="{00000000-0005-0000-0000-00003F900000}"/>
    <cellStyle name="Total 5 4 9" xfId="37238" xr:uid="{00000000-0005-0000-0000-000040900000}"/>
    <cellStyle name="Total 5 5" xfId="23137" xr:uid="{00000000-0005-0000-0000-000041900000}"/>
    <cellStyle name="Total 5 5 10" xfId="37239" xr:uid="{00000000-0005-0000-0000-000042900000}"/>
    <cellStyle name="Total 5 5 2" xfId="23138" xr:uid="{00000000-0005-0000-0000-000043900000}"/>
    <cellStyle name="Total 5 5 2 2" xfId="23139" xr:uid="{00000000-0005-0000-0000-000044900000}"/>
    <cellStyle name="Total 5 5 2 3" xfId="37240" xr:uid="{00000000-0005-0000-0000-000045900000}"/>
    <cellStyle name="Total 5 5 2 4" xfId="37241" xr:uid="{00000000-0005-0000-0000-000046900000}"/>
    <cellStyle name="Total 5 5 3" xfId="23140" xr:uid="{00000000-0005-0000-0000-000047900000}"/>
    <cellStyle name="Total 5 5 3 2" xfId="23141" xr:uid="{00000000-0005-0000-0000-000048900000}"/>
    <cellStyle name="Total 5 5 3 3" xfId="37242" xr:uid="{00000000-0005-0000-0000-000049900000}"/>
    <cellStyle name="Total 5 5 3 4" xfId="37243" xr:uid="{00000000-0005-0000-0000-00004A900000}"/>
    <cellStyle name="Total 5 5 4" xfId="23142" xr:uid="{00000000-0005-0000-0000-00004B900000}"/>
    <cellStyle name="Total 5 5 4 2" xfId="23143" xr:uid="{00000000-0005-0000-0000-00004C900000}"/>
    <cellStyle name="Total 5 5 4 3" xfId="37244" xr:uid="{00000000-0005-0000-0000-00004D900000}"/>
    <cellStyle name="Total 5 5 4 4" xfId="37245" xr:uid="{00000000-0005-0000-0000-00004E900000}"/>
    <cellStyle name="Total 5 5 5" xfId="23144" xr:uid="{00000000-0005-0000-0000-00004F900000}"/>
    <cellStyle name="Total 5 5 5 2" xfId="23145" xr:uid="{00000000-0005-0000-0000-000050900000}"/>
    <cellStyle name="Total 5 5 5 3" xfId="37246" xr:uid="{00000000-0005-0000-0000-000051900000}"/>
    <cellStyle name="Total 5 5 5 4" xfId="37247" xr:uid="{00000000-0005-0000-0000-000052900000}"/>
    <cellStyle name="Total 5 5 6" xfId="23146" xr:uid="{00000000-0005-0000-0000-000053900000}"/>
    <cellStyle name="Total 5 5 6 2" xfId="23147" xr:uid="{00000000-0005-0000-0000-000054900000}"/>
    <cellStyle name="Total 5 5 6 3" xfId="37248" xr:uid="{00000000-0005-0000-0000-000055900000}"/>
    <cellStyle name="Total 5 5 6 4" xfId="37249" xr:uid="{00000000-0005-0000-0000-000056900000}"/>
    <cellStyle name="Total 5 5 7" xfId="23148" xr:uid="{00000000-0005-0000-0000-000057900000}"/>
    <cellStyle name="Total 5 5 7 2" xfId="23149" xr:uid="{00000000-0005-0000-0000-000058900000}"/>
    <cellStyle name="Total 5 5 7 3" xfId="37250" xr:uid="{00000000-0005-0000-0000-000059900000}"/>
    <cellStyle name="Total 5 5 7 4" xfId="37251" xr:uid="{00000000-0005-0000-0000-00005A900000}"/>
    <cellStyle name="Total 5 5 8" xfId="23150" xr:uid="{00000000-0005-0000-0000-00005B900000}"/>
    <cellStyle name="Total 5 5 9" xfId="37252" xr:uid="{00000000-0005-0000-0000-00005C900000}"/>
    <cellStyle name="Total 5 6" xfId="23151" xr:uid="{00000000-0005-0000-0000-00005D900000}"/>
    <cellStyle name="Total 5 6 2" xfId="23152" xr:uid="{00000000-0005-0000-0000-00005E900000}"/>
    <cellStyle name="Total 5 6 3" xfId="37253" xr:uid="{00000000-0005-0000-0000-00005F900000}"/>
    <cellStyle name="Total 5 6 4" xfId="37254" xr:uid="{00000000-0005-0000-0000-000060900000}"/>
    <cellStyle name="Total 5 7" xfId="23153" xr:uid="{00000000-0005-0000-0000-000061900000}"/>
    <cellStyle name="Total 5 7 2" xfId="23154" xr:uid="{00000000-0005-0000-0000-000062900000}"/>
    <cellStyle name="Total 5 7 3" xfId="37255" xr:uid="{00000000-0005-0000-0000-000063900000}"/>
    <cellStyle name="Total 5 7 4" xfId="37256" xr:uid="{00000000-0005-0000-0000-000064900000}"/>
    <cellStyle name="Total 5 8" xfId="23155" xr:uid="{00000000-0005-0000-0000-000065900000}"/>
    <cellStyle name="Total 5 8 2" xfId="23156" xr:uid="{00000000-0005-0000-0000-000066900000}"/>
    <cellStyle name="Total 5 8 3" xfId="37257" xr:uid="{00000000-0005-0000-0000-000067900000}"/>
    <cellStyle name="Total 5 8 4" xfId="37258" xr:uid="{00000000-0005-0000-0000-000068900000}"/>
    <cellStyle name="Total 5 9" xfId="23157" xr:uid="{00000000-0005-0000-0000-000069900000}"/>
    <cellStyle name="Total 5 9 2" xfId="23158" xr:uid="{00000000-0005-0000-0000-00006A900000}"/>
    <cellStyle name="Total 5 9 3" xfId="37259" xr:uid="{00000000-0005-0000-0000-00006B900000}"/>
    <cellStyle name="Total 5 9 4" xfId="37260" xr:uid="{00000000-0005-0000-0000-00006C900000}"/>
    <cellStyle name="Total 6" xfId="23159" xr:uid="{00000000-0005-0000-0000-00006D900000}"/>
    <cellStyle name="Total 6 10" xfId="23160" xr:uid="{00000000-0005-0000-0000-00006E900000}"/>
    <cellStyle name="Total 6 10 2" xfId="23161" xr:uid="{00000000-0005-0000-0000-00006F900000}"/>
    <cellStyle name="Total 6 10 3" xfId="37261" xr:uid="{00000000-0005-0000-0000-000070900000}"/>
    <cellStyle name="Total 6 10 4" xfId="37262" xr:uid="{00000000-0005-0000-0000-000071900000}"/>
    <cellStyle name="Total 6 11" xfId="23162" xr:uid="{00000000-0005-0000-0000-000072900000}"/>
    <cellStyle name="Total 6 11 2" xfId="23163" xr:uid="{00000000-0005-0000-0000-000073900000}"/>
    <cellStyle name="Total 6 11 3" xfId="37263" xr:uid="{00000000-0005-0000-0000-000074900000}"/>
    <cellStyle name="Total 6 11 4" xfId="37264" xr:uid="{00000000-0005-0000-0000-000075900000}"/>
    <cellStyle name="Total 6 12" xfId="23164" xr:uid="{00000000-0005-0000-0000-000076900000}"/>
    <cellStyle name="Total 6 13" xfId="37265" xr:uid="{00000000-0005-0000-0000-000077900000}"/>
    <cellStyle name="Total 6 14" xfId="37266" xr:uid="{00000000-0005-0000-0000-000078900000}"/>
    <cellStyle name="Total 6 2" xfId="23165" xr:uid="{00000000-0005-0000-0000-000079900000}"/>
    <cellStyle name="Total 6 2 10" xfId="37267" xr:uid="{00000000-0005-0000-0000-00007A900000}"/>
    <cellStyle name="Total 6 2 2" xfId="23166" xr:uid="{00000000-0005-0000-0000-00007B900000}"/>
    <cellStyle name="Total 6 2 2 2" xfId="23167" xr:uid="{00000000-0005-0000-0000-00007C900000}"/>
    <cellStyle name="Total 6 2 2 3" xfId="37268" xr:uid="{00000000-0005-0000-0000-00007D900000}"/>
    <cellStyle name="Total 6 2 2 4" xfId="37269" xr:uid="{00000000-0005-0000-0000-00007E900000}"/>
    <cellStyle name="Total 6 2 3" xfId="23168" xr:uid="{00000000-0005-0000-0000-00007F900000}"/>
    <cellStyle name="Total 6 2 3 2" xfId="23169" xr:uid="{00000000-0005-0000-0000-000080900000}"/>
    <cellStyle name="Total 6 2 3 3" xfId="37270" xr:uid="{00000000-0005-0000-0000-000081900000}"/>
    <cellStyle name="Total 6 2 3 4" xfId="37271" xr:uid="{00000000-0005-0000-0000-000082900000}"/>
    <cellStyle name="Total 6 2 4" xfId="23170" xr:uid="{00000000-0005-0000-0000-000083900000}"/>
    <cellStyle name="Total 6 2 4 2" xfId="23171" xr:uid="{00000000-0005-0000-0000-000084900000}"/>
    <cellStyle name="Total 6 2 4 3" xfId="37272" xr:uid="{00000000-0005-0000-0000-000085900000}"/>
    <cellStyle name="Total 6 2 4 4" xfId="37273" xr:uid="{00000000-0005-0000-0000-000086900000}"/>
    <cellStyle name="Total 6 2 5" xfId="23172" xr:uid="{00000000-0005-0000-0000-000087900000}"/>
    <cellStyle name="Total 6 2 5 2" xfId="23173" xr:uid="{00000000-0005-0000-0000-000088900000}"/>
    <cellStyle name="Total 6 2 5 3" xfId="37274" xr:uid="{00000000-0005-0000-0000-000089900000}"/>
    <cellStyle name="Total 6 2 5 4" xfId="37275" xr:uid="{00000000-0005-0000-0000-00008A900000}"/>
    <cellStyle name="Total 6 2 6" xfId="23174" xr:uid="{00000000-0005-0000-0000-00008B900000}"/>
    <cellStyle name="Total 6 2 6 2" xfId="23175" xr:uid="{00000000-0005-0000-0000-00008C900000}"/>
    <cellStyle name="Total 6 2 6 3" xfId="37276" xr:uid="{00000000-0005-0000-0000-00008D900000}"/>
    <cellStyle name="Total 6 2 6 4" xfId="37277" xr:uid="{00000000-0005-0000-0000-00008E900000}"/>
    <cellStyle name="Total 6 2 7" xfId="23176" xr:uid="{00000000-0005-0000-0000-00008F900000}"/>
    <cellStyle name="Total 6 2 7 2" xfId="23177" xr:uid="{00000000-0005-0000-0000-000090900000}"/>
    <cellStyle name="Total 6 2 7 3" xfId="37278" xr:uid="{00000000-0005-0000-0000-000091900000}"/>
    <cellStyle name="Total 6 2 7 4" xfId="37279" xr:uid="{00000000-0005-0000-0000-000092900000}"/>
    <cellStyle name="Total 6 2 8" xfId="23178" xr:uid="{00000000-0005-0000-0000-000093900000}"/>
    <cellStyle name="Total 6 2 9" xfId="37280" xr:uid="{00000000-0005-0000-0000-000094900000}"/>
    <cellStyle name="Total 6 3" xfId="23179" xr:uid="{00000000-0005-0000-0000-000095900000}"/>
    <cellStyle name="Total 6 3 10" xfId="37281" xr:uid="{00000000-0005-0000-0000-000096900000}"/>
    <cellStyle name="Total 6 3 2" xfId="23180" xr:uid="{00000000-0005-0000-0000-000097900000}"/>
    <cellStyle name="Total 6 3 2 2" xfId="23181" xr:uid="{00000000-0005-0000-0000-000098900000}"/>
    <cellStyle name="Total 6 3 2 3" xfId="37282" xr:uid="{00000000-0005-0000-0000-000099900000}"/>
    <cellStyle name="Total 6 3 2 4" xfId="37283" xr:uid="{00000000-0005-0000-0000-00009A900000}"/>
    <cellStyle name="Total 6 3 3" xfId="23182" xr:uid="{00000000-0005-0000-0000-00009B900000}"/>
    <cellStyle name="Total 6 3 3 2" xfId="23183" xr:uid="{00000000-0005-0000-0000-00009C900000}"/>
    <cellStyle name="Total 6 3 3 3" xfId="37284" xr:uid="{00000000-0005-0000-0000-00009D900000}"/>
    <cellStyle name="Total 6 3 3 4" xfId="37285" xr:uid="{00000000-0005-0000-0000-00009E900000}"/>
    <cellStyle name="Total 6 3 4" xfId="23184" xr:uid="{00000000-0005-0000-0000-00009F900000}"/>
    <cellStyle name="Total 6 3 4 2" xfId="23185" xr:uid="{00000000-0005-0000-0000-0000A0900000}"/>
    <cellStyle name="Total 6 3 4 3" xfId="37286" xr:uid="{00000000-0005-0000-0000-0000A1900000}"/>
    <cellStyle name="Total 6 3 4 4" xfId="37287" xr:uid="{00000000-0005-0000-0000-0000A2900000}"/>
    <cellStyle name="Total 6 3 5" xfId="23186" xr:uid="{00000000-0005-0000-0000-0000A3900000}"/>
    <cellStyle name="Total 6 3 5 2" xfId="23187" xr:uid="{00000000-0005-0000-0000-0000A4900000}"/>
    <cellStyle name="Total 6 3 5 3" xfId="37288" xr:uid="{00000000-0005-0000-0000-0000A5900000}"/>
    <cellStyle name="Total 6 3 5 4" xfId="37289" xr:uid="{00000000-0005-0000-0000-0000A6900000}"/>
    <cellStyle name="Total 6 3 6" xfId="23188" xr:uid="{00000000-0005-0000-0000-0000A7900000}"/>
    <cellStyle name="Total 6 3 6 2" xfId="23189" xr:uid="{00000000-0005-0000-0000-0000A8900000}"/>
    <cellStyle name="Total 6 3 6 3" xfId="37290" xr:uid="{00000000-0005-0000-0000-0000A9900000}"/>
    <cellStyle name="Total 6 3 6 4" xfId="37291" xr:uid="{00000000-0005-0000-0000-0000AA900000}"/>
    <cellStyle name="Total 6 3 7" xfId="23190" xr:uid="{00000000-0005-0000-0000-0000AB900000}"/>
    <cellStyle name="Total 6 3 7 2" xfId="23191" xr:uid="{00000000-0005-0000-0000-0000AC900000}"/>
    <cellStyle name="Total 6 3 7 3" xfId="37292" xr:uid="{00000000-0005-0000-0000-0000AD900000}"/>
    <cellStyle name="Total 6 3 7 4" xfId="37293" xr:uid="{00000000-0005-0000-0000-0000AE900000}"/>
    <cellStyle name="Total 6 3 8" xfId="23192" xr:uid="{00000000-0005-0000-0000-0000AF900000}"/>
    <cellStyle name="Total 6 3 9" xfId="37294" xr:uid="{00000000-0005-0000-0000-0000B0900000}"/>
    <cellStyle name="Total 6 4" xfId="23193" xr:uid="{00000000-0005-0000-0000-0000B1900000}"/>
    <cellStyle name="Total 6 4 10" xfId="37295" xr:uid="{00000000-0005-0000-0000-0000B2900000}"/>
    <cellStyle name="Total 6 4 2" xfId="23194" xr:uid="{00000000-0005-0000-0000-0000B3900000}"/>
    <cellStyle name="Total 6 4 2 2" xfId="23195" xr:uid="{00000000-0005-0000-0000-0000B4900000}"/>
    <cellStyle name="Total 6 4 2 3" xfId="37296" xr:uid="{00000000-0005-0000-0000-0000B5900000}"/>
    <cellStyle name="Total 6 4 2 4" xfId="37297" xr:uid="{00000000-0005-0000-0000-0000B6900000}"/>
    <cellStyle name="Total 6 4 3" xfId="23196" xr:uid="{00000000-0005-0000-0000-0000B7900000}"/>
    <cellStyle name="Total 6 4 3 2" xfId="23197" xr:uid="{00000000-0005-0000-0000-0000B8900000}"/>
    <cellStyle name="Total 6 4 3 3" xfId="37298" xr:uid="{00000000-0005-0000-0000-0000B9900000}"/>
    <cellStyle name="Total 6 4 3 4" xfId="37299" xr:uid="{00000000-0005-0000-0000-0000BA900000}"/>
    <cellStyle name="Total 6 4 4" xfId="23198" xr:uid="{00000000-0005-0000-0000-0000BB900000}"/>
    <cellStyle name="Total 6 4 4 2" xfId="23199" xr:uid="{00000000-0005-0000-0000-0000BC900000}"/>
    <cellStyle name="Total 6 4 4 3" xfId="37300" xr:uid="{00000000-0005-0000-0000-0000BD900000}"/>
    <cellStyle name="Total 6 4 4 4" xfId="37301" xr:uid="{00000000-0005-0000-0000-0000BE900000}"/>
    <cellStyle name="Total 6 4 5" xfId="23200" xr:uid="{00000000-0005-0000-0000-0000BF900000}"/>
    <cellStyle name="Total 6 4 5 2" xfId="23201" xr:uid="{00000000-0005-0000-0000-0000C0900000}"/>
    <cellStyle name="Total 6 4 5 3" xfId="37302" xr:uid="{00000000-0005-0000-0000-0000C1900000}"/>
    <cellStyle name="Total 6 4 5 4" xfId="37303" xr:uid="{00000000-0005-0000-0000-0000C2900000}"/>
    <cellStyle name="Total 6 4 6" xfId="23202" xr:uid="{00000000-0005-0000-0000-0000C3900000}"/>
    <cellStyle name="Total 6 4 6 2" xfId="23203" xr:uid="{00000000-0005-0000-0000-0000C4900000}"/>
    <cellStyle name="Total 6 4 6 3" xfId="37304" xr:uid="{00000000-0005-0000-0000-0000C5900000}"/>
    <cellStyle name="Total 6 4 6 4" xfId="37305" xr:uid="{00000000-0005-0000-0000-0000C6900000}"/>
    <cellStyle name="Total 6 4 7" xfId="23204" xr:uid="{00000000-0005-0000-0000-0000C7900000}"/>
    <cellStyle name="Total 6 4 7 2" xfId="23205" xr:uid="{00000000-0005-0000-0000-0000C8900000}"/>
    <cellStyle name="Total 6 4 7 3" xfId="37306" xr:uid="{00000000-0005-0000-0000-0000C9900000}"/>
    <cellStyle name="Total 6 4 7 4" xfId="37307" xr:uid="{00000000-0005-0000-0000-0000CA900000}"/>
    <cellStyle name="Total 6 4 8" xfId="23206" xr:uid="{00000000-0005-0000-0000-0000CB900000}"/>
    <cellStyle name="Total 6 4 9" xfId="37308" xr:uid="{00000000-0005-0000-0000-0000CC900000}"/>
    <cellStyle name="Total 6 5" xfId="23207" xr:uid="{00000000-0005-0000-0000-0000CD900000}"/>
    <cellStyle name="Total 6 5 10" xfId="37309" xr:uid="{00000000-0005-0000-0000-0000CE900000}"/>
    <cellStyle name="Total 6 5 2" xfId="23208" xr:uid="{00000000-0005-0000-0000-0000CF900000}"/>
    <cellStyle name="Total 6 5 2 2" xfId="23209" xr:uid="{00000000-0005-0000-0000-0000D0900000}"/>
    <cellStyle name="Total 6 5 2 3" xfId="37310" xr:uid="{00000000-0005-0000-0000-0000D1900000}"/>
    <cellStyle name="Total 6 5 2 4" xfId="37311" xr:uid="{00000000-0005-0000-0000-0000D2900000}"/>
    <cellStyle name="Total 6 5 3" xfId="23210" xr:uid="{00000000-0005-0000-0000-0000D3900000}"/>
    <cellStyle name="Total 6 5 3 2" xfId="23211" xr:uid="{00000000-0005-0000-0000-0000D4900000}"/>
    <cellStyle name="Total 6 5 3 3" xfId="37312" xr:uid="{00000000-0005-0000-0000-0000D5900000}"/>
    <cellStyle name="Total 6 5 3 4" xfId="37313" xr:uid="{00000000-0005-0000-0000-0000D6900000}"/>
    <cellStyle name="Total 6 5 4" xfId="23212" xr:uid="{00000000-0005-0000-0000-0000D7900000}"/>
    <cellStyle name="Total 6 5 4 2" xfId="23213" xr:uid="{00000000-0005-0000-0000-0000D8900000}"/>
    <cellStyle name="Total 6 5 4 3" xfId="37314" xr:uid="{00000000-0005-0000-0000-0000D9900000}"/>
    <cellStyle name="Total 6 5 4 4" xfId="37315" xr:uid="{00000000-0005-0000-0000-0000DA900000}"/>
    <cellStyle name="Total 6 5 5" xfId="23214" xr:uid="{00000000-0005-0000-0000-0000DB900000}"/>
    <cellStyle name="Total 6 5 5 2" xfId="23215" xr:uid="{00000000-0005-0000-0000-0000DC900000}"/>
    <cellStyle name="Total 6 5 5 3" xfId="37316" xr:uid="{00000000-0005-0000-0000-0000DD900000}"/>
    <cellStyle name="Total 6 5 5 4" xfId="37317" xr:uid="{00000000-0005-0000-0000-0000DE900000}"/>
    <cellStyle name="Total 6 5 6" xfId="23216" xr:uid="{00000000-0005-0000-0000-0000DF900000}"/>
    <cellStyle name="Total 6 5 6 2" xfId="23217" xr:uid="{00000000-0005-0000-0000-0000E0900000}"/>
    <cellStyle name="Total 6 5 6 3" xfId="37318" xr:uid="{00000000-0005-0000-0000-0000E1900000}"/>
    <cellStyle name="Total 6 5 6 4" xfId="37319" xr:uid="{00000000-0005-0000-0000-0000E2900000}"/>
    <cellStyle name="Total 6 5 7" xfId="23218" xr:uid="{00000000-0005-0000-0000-0000E3900000}"/>
    <cellStyle name="Total 6 5 7 2" xfId="23219" xr:uid="{00000000-0005-0000-0000-0000E4900000}"/>
    <cellStyle name="Total 6 5 7 3" xfId="37320" xr:uid="{00000000-0005-0000-0000-0000E5900000}"/>
    <cellStyle name="Total 6 5 7 4" xfId="37321" xr:uid="{00000000-0005-0000-0000-0000E6900000}"/>
    <cellStyle name="Total 6 5 8" xfId="23220" xr:uid="{00000000-0005-0000-0000-0000E7900000}"/>
    <cellStyle name="Total 6 5 9" xfId="37322" xr:uid="{00000000-0005-0000-0000-0000E8900000}"/>
    <cellStyle name="Total 6 6" xfId="23221" xr:uid="{00000000-0005-0000-0000-0000E9900000}"/>
    <cellStyle name="Total 6 6 2" xfId="23222" xr:uid="{00000000-0005-0000-0000-0000EA900000}"/>
    <cellStyle name="Total 6 6 3" xfId="37323" xr:uid="{00000000-0005-0000-0000-0000EB900000}"/>
    <cellStyle name="Total 6 6 4" xfId="37324" xr:uid="{00000000-0005-0000-0000-0000EC900000}"/>
    <cellStyle name="Total 6 7" xfId="23223" xr:uid="{00000000-0005-0000-0000-0000ED900000}"/>
    <cellStyle name="Total 6 7 2" xfId="23224" xr:uid="{00000000-0005-0000-0000-0000EE900000}"/>
    <cellStyle name="Total 6 7 3" xfId="37325" xr:uid="{00000000-0005-0000-0000-0000EF900000}"/>
    <cellStyle name="Total 6 7 4" xfId="37326" xr:uid="{00000000-0005-0000-0000-0000F0900000}"/>
    <cellStyle name="Total 6 8" xfId="23225" xr:uid="{00000000-0005-0000-0000-0000F1900000}"/>
    <cellStyle name="Total 6 8 2" xfId="23226" xr:uid="{00000000-0005-0000-0000-0000F2900000}"/>
    <cellStyle name="Total 6 8 3" xfId="37327" xr:uid="{00000000-0005-0000-0000-0000F3900000}"/>
    <cellStyle name="Total 6 8 4" xfId="37328" xr:uid="{00000000-0005-0000-0000-0000F4900000}"/>
    <cellStyle name="Total 6 9" xfId="23227" xr:uid="{00000000-0005-0000-0000-0000F5900000}"/>
    <cellStyle name="Total 6 9 2" xfId="23228" xr:uid="{00000000-0005-0000-0000-0000F6900000}"/>
    <cellStyle name="Total 6 9 3" xfId="37329" xr:uid="{00000000-0005-0000-0000-0000F7900000}"/>
    <cellStyle name="Total 6 9 4" xfId="37330" xr:uid="{00000000-0005-0000-0000-0000F8900000}"/>
    <cellStyle name="Total 7" xfId="23229" xr:uid="{00000000-0005-0000-0000-0000F9900000}"/>
    <cellStyle name="Total 7 10" xfId="23230" xr:uid="{00000000-0005-0000-0000-0000FA900000}"/>
    <cellStyle name="Total 7 10 2" xfId="23231" xr:uid="{00000000-0005-0000-0000-0000FB900000}"/>
    <cellStyle name="Total 7 10 3" xfId="37331" xr:uid="{00000000-0005-0000-0000-0000FC900000}"/>
    <cellStyle name="Total 7 10 4" xfId="37332" xr:uid="{00000000-0005-0000-0000-0000FD900000}"/>
    <cellStyle name="Total 7 11" xfId="23232" xr:uid="{00000000-0005-0000-0000-0000FE900000}"/>
    <cellStyle name="Total 7 11 2" xfId="23233" xr:uid="{00000000-0005-0000-0000-0000FF900000}"/>
    <cellStyle name="Total 7 11 3" xfId="37333" xr:uid="{00000000-0005-0000-0000-000000910000}"/>
    <cellStyle name="Total 7 11 4" xfId="37334" xr:uid="{00000000-0005-0000-0000-000001910000}"/>
    <cellStyle name="Total 7 12" xfId="23234" xr:uid="{00000000-0005-0000-0000-000002910000}"/>
    <cellStyle name="Total 7 13" xfId="37335" xr:uid="{00000000-0005-0000-0000-000003910000}"/>
    <cellStyle name="Total 7 14" xfId="37336" xr:uid="{00000000-0005-0000-0000-000004910000}"/>
    <cellStyle name="Total 7 2" xfId="23235" xr:uid="{00000000-0005-0000-0000-000005910000}"/>
    <cellStyle name="Total 7 2 10" xfId="37337" xr:uid="{00000000-0005-0000-0000-000006910000}"/>
    <cellStyle name="Total 7 2 2" xfId="23236" xr:uid="{00000000-0005-0000-0000-000007910000}"/>
    <cellStyle name="Total 7 2 2 2" xfId="23237" xr:uid="{00000000-0005-0000-0000-000008910000}"/>
    <cellStyle name="Total 7 2 2 3" xfId="37338" xr:uid="{00000000-0005-0000-0000-000009910000}"/>
    <cellStyle name="Total 7 2 2 4" xfId="37339" xr:uid="{00000000-0005-0000-0000-00000A910000}"/>
    <cellStyle name="Total 7 2 3" xfId="23238" xr:uid="{00000000-0005-0000-0000-00000B910000}"/>
    <cellStyle name="Total 7 2 3 2" xfId="23239" xr:uid="{00000000-0005-0000-0000-00000C910000}"/>
    <cellStyle name="Total 7 2 3 3" xfId="37340" xr:uid="{00000000-0005-0000-0000-00000D910000}"/>
    <cellStyle name="Total 7 2 3 4" xfId="37341" xr:uid="{00000000-0005-0000-0000-00000E910000}"/>
    <cellStyle name="Total 7 2 4" xfId="23240" xr:uid="{00000000-0005-0000-0000-00000F910000}"/>
    <cellStyle name="Total 7 2 4 2" xfId="23241" xr:uid="{00000000-0005-0000-0000-000010910000}"/>
    <cellStyle name="Total 7 2 4 3" xfId="37342" xr:uid="{00000000-0005-0000-0000-000011910000}"/>
    <cellStyle name="Total 7 2 4 4" xfId="37343" xr:uid="{00000000-0005-0000-0000-000012910000}"/>
    <cellStyle name="Total 7 2 5" xfId="23242" xr:uid="{00000000-0005-0000-0000-000013910000}"/>
    <cellStyle name="Total 7 2 5 2" xfId="23243" xr:uid="{00000000-0005-0000-0000-000014910000}"/>
    <cellStyle name="Total 7 2 5 3" xfId="37344" xr:uid="{00000000-0005-0000-0000-000015910000}"/>
    <cellStyle name="Total 7 2 5 4" xfId="37345" xr:uid="{00000000-0005-0000-0000-000016910000}"/>
    <cellStyle name="Total 7 2 6" xfId="23244" xr:uid="{00000000-0005-0000-0000-000017910000}"/>
    <cellStyle name="Total 7 2 6 2" xfId="23245" xr:uid="{00000000-0005-0000-0000-000018910000}"/>
    <cellStyle name="Total 7 2 6 3" xfId="37346" xr:uid="{00000000-0005-0000-0000-000019910000}"/>
    <cellStyle name="Total 7 2 6 4" xfId="37347" xr:uid="{00000000-0005-0000-0000-00001A910000}"/>
    <cellStyle name="Total 7 2 7" xfId="23246" xr:uid="{00000000-0005-0000-0000-00001B910000}"/>
    <cellStyle name="Total 7 2 7 2" xfId="23247" xr:uid="{00000000-0005-0000-0000-00001C910000}"/>
    <cellStyle name="Total 7 2 7 3" xfId="37348" xr:uid="{00000000-0005-0000-0000-00001D910000}"/>
    <cellStyle name="Total 7 2 7 4" xfId="37349" xr:uid="{00000000-0005-0000-0000-00001E910000}"/>
    <cellStyle name="Total 7 2 8" xfId="23248" xr:uid="{00000000-0005-0000-0000-00001F910000}"/>
    <cellStyle name="Total 7 2 9" xfId="37350" xr:uid="{00000000-0005-0000-0000-000020910000}"/>
    <cellStyle name="Total 7 3" xfId="23249" xr:uid="{00000000-0005-0000-0000-000021910000}"/>
    <cellStyle name="Total 7 3 10" xfId="37351" xr:uid="{00000000-0005-0000-0000-000022910000}"/>
    <cellStyle name="Total 7 3 2" xfId="23250" xr:uid="{00000000-0005-0000-0000-000023910000}"/>
    <cellStyle name="Total 7 3 2 2" xfId="23251" xr:uid="{00000000-0005-0000-0000-000024910000}"/>
    <cellStyle name="Total 7 3 2 3" xfId="37352" xr:uid="{00000000-0005-0000-0000-000025910000}"/>
    <cellStyle name="Total 7 3 2 4" xfId="37353" xr:uid="{00000000-0005-0000-0000-000026910000}"/>
    <cellStyle name="Total 7 3 3" xfId="23252" xr:uid="{00000000-0005-0000-0000-000027910000}"/>
    <cellStyle name="Total 7 3 3 2" xfId="23253" xr:uid="{00000000-0005-0000-0000-000028910000}"/>
    <cellStyle name="Total 7 3 3 3" xfId="37354" xr:uid="{00000000-0005-0000-0000-000029910000}"/>
    <cellStyle name="Total 7 3 3 4" xfId="37355" xr:uid="{00000000-0005-0000-0000-00002A910000}"/>
    <cellStyle name="Total 7 3 4" xfId="23254" xr:uid="{00000000-0005-0000-0000-00002B910000}"/>
    <cellStyle name="Total 7 3 4 2" xfId="23255" xr:uid="{00000000-0005-0000-0000-00002C910000}"/>
    <cellStyle name="Total 7 3 4 3" xfId="37356" xr:uid="{00000000-0005-0000-0000-00002D910000}"/>
    <cellStyle name="Total 7 3 4 4" xfId="37357" xr:uid="{00000000-0005-0000-0000-00002E910000}"/>
    <cellStyle name="Total 7 3 5" xfId="23256" xr:uid="{00000000-0005-0000-0000-00002F910000}"/>
    <cellStyle name="Total 7 3 5 2" xfId="23257" xr:uid="{00000000-0005-0000-0000-000030910000}"/>
    <cellStyle name="Total 7 3 5 3" xfId="37358" xr:uid="{00000000-0005-0000-0000-000031910000}"/>
    <cellStyle name="Total 7 3 5 4" xfId="37359" xr:uid="{00000000-0005-0000-0000-000032910000}"/>
    <cellStyle name="Total 7 3 6" xfId="23258" xr:uid="{00000000-0005-0000-0000-000033910000}"/>
    <cellStyle name="Total 7 3 6 2" xfId="23259" xr:uid="{00000000-0005-0000-0000-000034910000}"/>
    <cellStyle name="Total 7 3 6 3" xfId="37360" xr:uid="{00000000-0005-0000-0000-000035910000}"/>
    <cellStyle name="Total 7 3 6 4" xfId="37361" xr:uid="{00000000-0005-0000-0000-000036910000}"/>
    <cellStyle name="Total 7 3 7" xfId="23260" xr:uid="{00000000-0005-0000-0000-000037910000}"/>
    <cellStyle name="Total 7 3 7 2" xfId="23261" xr:uid="{00000000-0005-0000-0000-000038910000}"/>
    <cellStyle name="Total 7 3 7 3" xfId="37362" xr:uid="{00000000-0005-0000-0000-000039910000}"/>
    <cellStyle name="Total 7 3 7 4" xfId="37363" xr:uid="{00000000-0005-0000-0000-00003A910000}"/>
    <cellStyle name="Total 7 3 8" xfId="23262" xr:uid="{00000000-0005-0000-0000-00003B910000}"/>
    <cellStyle name="Total 7 3 9" xfId="37364" xr:uid="{00000000-0005-0000-0000-00003C910000}"/>
    <cellStyle name="Total 7 4" xfId="23263" xr:uid="{00000000-0005-0000-0000-00003D910000}"/>
    <cellStyle name="Total 7 4 10" xfId="37365" xr:uid="{00000000-0005-0000-0000-00003E910000}"/>
    <cellStyle name="Total 7 4 2" xfId="23264" xr:uid="{00000000-0005-0000-0000-00003F910000}"/>
    <cellStyle name="Total 7 4 2 2" xfId="23265" xr:uid="{00000000-0005-0000-0000-000040910000}"/>
    <cellStyle name="Total 7 4 2 3" xfId="37366" xr:uid="{00000000-0005-0000-0000-000041910000}"/>
    <cellStyle name="Total 7 4 2 4" xfId="37367" xr:uid="{00000000-0005-0000-0000-000042910000}"/>
    <cellStyle name="Total 7 4 3" xfId="23266" xr:uid="{00000000-0005-0000-0000-000043910000}"/>
    <cellStyle name="Total 7 4 3 2" xfId="23267" xr:uid="{00000000-0005-0000-0000-000044910000}"/>
    <cellStyle name="Total 7 4 3 3" xfId="37368" xr:uid="{00000000-0005-0000-0000-000045910000}"/>
    <cellStyle name="Total 7 4 3 4" xfId="37369" xr:uid="{00000000-0005-0000-0000-000046910000}"/>
    <cellStyle name="Total 7 4 4" xfId="23268" xr:uid="{00000000-0005-0000-0000-000047910000}"/>
    <cellStyle name="Total 7 4 4 2" xfId="23269" xr:uid="{00000000-0005-0000-0000-000048910000}"/>
    <cellStyle name="Total 7 4 4 3" xfId="37370" xr:uid="{00000000-0005-0000-0000-000049910000}"/>
    <cellStyle name="Total 7 4 4 4" xfId="37371" xr:uid="{00000000-0005-0000-0000-00004A910000}"/>
    <cellStyle name="Total 7 4 5" xfId="23270" xr:uid="{00000000-0005-0000-0000-00004B910000}"/>
    <cellStyle name="Total 7 4 5 2" xfId="23271" xr:uid="{00000000-0005-0000-0000-00004C910000}"/>
    <cellStyle name="Total 7 4 5 3" xfId="37372" xr:uid="{00000000-0005-0000-0000-00004D910000}"/>
    <cellStyle name="Total 7 4 5 4" xfId="37373" xr:uid="{00000000-0005-0000-0000-00004E910000}"/>
    <cellStyle name="Total 7 4 6" xfId="23272" xr:uid="{00000000-0005-0000-0000-00004F910000}"/>
    <cellStyle name="Total 7 4 6 2" xfId="23273" xr:uid="{00000000-0005-0000-0000-000050910000}"/>
    <cellStyle name="Total 7 4 6 3" xfId="37374" xr:uid="{00000000-0005-0000-0000-000051910000}"/>
    <cellStyle name="Total 7 4 6 4" xfId="37375" xr:uid="{00000000-0005-0000-0000-000052910000}"/>
    <cellStyle name="Total 7 4 7" xfId="23274" xr:uid="{00000000-0005-0000-0000-000053910000}"/>
    <cellStyle name="Total 7 4 7 2" xfId="23275" xr:uid="{00000000-0005-0000-0000-000054910000}"/>
    <cellStyle name="Total 7 4 7 3" xfId="37376" xr:uid="{00000000-0005-0000-0000-000055910000}"/>
    <cellStyle name="Total 7 4 7 4" xfId="37377" xr:uid="{00000000-0005-0000-0000-000056910000}"/>
    <cellStyle name="Total 7 4 8" xfId="23276" xr:uid="{00000000-0005-0000-0000-000057910000}"/>
    <cellStyle name="Total 7 4 9" xfId="37378" xr:uid="{00000000-0005-0000-0000-000058910000}"/>
    <cellStyle name="Total 7 5" xfId="23277" xr:uid="{00000000-0005-0000-0000-000059910000}"/>
    <cellStyle name="Total 7 5 10" xfId="37379" xr:uid="{00000000-0005-0000-0000-00005A910000}"/>
    <cellStyle name="Total 7 5 2" xfId="23278" xr:uid="{00000000-0005-0000-0000-00005B910000}"/>
    <cellStyle name="Total 7 5 2 2" xfId="23279" xr:uid="{00000000-0005-0000-0000-00005C910000}"/>
    <cellStyle name="Total 7 5 2 3" xfId="37380" xr:uid="{00000000-0005-0000-0000-00005D910000}"/>
    <cellStyle name="Total 7 5 2 4" xfId="37381" xr:uid="{00000000-0005-0000-0000-00005E910000}"/>
    <cellStyle name="Total 7 5 3" xfId="23280" xr:uid="{00000000-0005-0000-0000-00005F910000}"/>
    <cellStyle name="Total 7 5 3 2" xfId="23281" xr:uid="{00000000-0005-0000-0000-000060910000}"/>
    <cellStyle name="Total 7 5 3 3" xfId="37382" xr:uid="{00000000-0005-0000-0000-000061910000}"/>
    <cellStyle name="Total 7 5 3 4" xfId="37383" xr:uid="{00000000-0005-0000-0000-000062910000}"/>
    <cellStyle name="Total 7 5 4" xfId="23282" xr:uid="{00000000-0005-0000-0000-000063910000}"/>
    <cellStyle name="Total 7 5 4 2" xfId="23283" xr:uid="{00000000-0005-0000-0000-000064910000}"/>
    <cellStyle name="Total 7 5 4 3" xfId="37384" xr:uid="{00000000-0005-0000-0000-000065910000}"/>
    <cellStyle name="Total 7 5 4 4" xfId="37385" xr:uid="{00000000-0005-0000-0000-000066910000}"/>
    <cellStyle name="Total 7 5 5" xfId="23284" xr:uid="{00000000-0005-0000-0000-000067910000}"/>
    <cellStyle name="Total 7 5 5 2" xfId="23285" xr:uid="{00000000-0005-0000-0000-000068910000}"/>
    <cellStyle name="Total 7 5 5 3" xfId="37386" xr:uid="{00000000-0005-0000-0000-000069910000}"/>
    <cellStyle name="Total 7 5 5 4" xfId="37387" xr:uid="{00000000-0005-0000-0000-00006A910000}"/>
    <cellStyle name="Total 7 5 6" xfId="23286" xr:uid="{00000000-0005-0000-0000-00006B910000}"/>
    <cellStyle name="Total 7 5 6 2" xfId="23287" xr:uid="{00000000-0005-0000-0000-00006C910000}"/>
    <cellStyle name="Total 7 5 6 3" xfId="37388" xr:uid="{00000000-0005-0000-0000-00006D910000}"/>
    <cellStyle name="Total 7 5 6 4" xfId="37389" xr:uid="{00000000-0005-0000-0000-00006E910000}"/>
    <cellStyle name="Total 7 5 7" xfId="23288" xr:uid="{00000000-0005-0000-0000-00006F910000}"/>
    <cellStyle name="Total 7 5 7 2" xfId="23289" xr:uid="{00000000-0005-0000-0000-000070910000}"/>
    <cellStyle name="Total 7 5 7 3" xfId="37390" xr:uid="{00000000-0005-0000-0000-000071910000}"/>
    <cellStyle name="Total 7 5 7 4" xfId="37391" xr:uid="{00000000-0005-0000-0000-000072910000}"/>
    <cellStyle name="Total 7 5 8" xfId="23290" xr:uid="{00000000-0005-0000-0000-000073910000}"/>
    <cellStyle name="Total 7 5 9" xfId="37392" xr:uid="{00000000-0005-0000-0000-000074910000}"/>
    <cellStyle name="Total 7 6" xfId="23291" xr:uid="{00000000-0005-0000-0000-000075910000}"/>
    <cellStyle name="Total 7 6 2" xfId="23292" xr:uid="{00000000-0005-0000-0000-000076910000}"/>
    <cellStyle name="Total 7 6 3" xfId="37393" xr:uid="{00000000-0005-0000-0000-000077910000}"/>
    <cellStyle name="Total 7 6 4" xfId="37394" xr:uid="{00000000-0005-0000-0000-000078910000}"/>
    <cellStyle name="Total 7 7" xfId="23293" xr:uid="{00000000-0005-0000-0000-000079910000}"/>
    <cellStyle name="Total 7 7 2" xfId="23294" xr:uid="{00000000-0005-0000-0000-00007A910000}"/>
    <cellStyle name="Total 7 7 3" xfId="37395" xr:uid="{00000000-0005-0000-0000-00007B910000}"/>
    <cellStyle name="Total 7 7 4" xfId="37396" xr:uid="{00000000-0005-0000-0000-00007C910000}"/>
    <cellStyle name="Total 7 8" xfId="23295" xr:uid="{00000000-0005-0000-0000-00007D910000}"/>
    <cellStyle name="Total 7 8 2" xfId="23296" xr:uid="{00000000-0005-0000-0000-00007E910000}"/>
    <cellStyle name="Total 7 8 3" xfId="37397" xr:uid="{00000000-0005-0000-0000-00007F910000}"/>
    <cellStyle name="Total 7 8 4" xfId="37398" xr:uid="{00000000-0005-0000-0000-000080910000}"/>
    <cellStyle name="Total 7 9" xfId="23297" xr:uid="{00000000-0005-0000-0000-000081910000}"/>
    <cellStyle name="Total 7 9 2" xfId="23298" xr:uid="{00000000-0005-0000-0000-000082910000}"/>
    <cellStyle name="Total 7 9 3" xfId="37399" xr:uid="{00000000-0005-0000-0000-000083910000}"/>
    <cellStyle name="Total 7 9 4" xfId="37400" xr:uid="{00000000-0005-0000-0000-000084910000}"/>
    <cellStyle name="Total 8" xfId="23299" xr:uid="{00000000-0005-0000-0000-000085910000}"/>
    <cellStyle name="Total 8 10" xfId="23300" xr:uid="{00000000-0005-0000-0000-000086910000}"/>
    <cellStyle name="Total 8 10 2" xfId="23301" xr:uid="{00000000-0005-0000-0000-000087910000}"/>
    <cellStyle name="Total 8 10 3" xfId="37401" xr:uid="{00000000-0005-0000-0000-000088910000}"/>
    <cellStyle name="Total 8 10 4" xfId="37402" xr:uid="{00000000-0005-0000-0000-000089910000}"/>
    <cellStyle name="Total 8 11" xfId="23302" xr:uid="{00000000-0005-0000-0000-00008A910000}"/>
    <cellStyle name="Total 8 11 2" xfId="23303" xr:uid="{00000000-0005-0000-0000-00008B910000}"/>
    <cellStyle name="Total 8 11 3" xfId="37403" xr:uid="{00000000-0005-0000-0000-00008C910000}"/>
    <cellStyle name="Total 8 11 4" xfId="37404" xr:uid="{00000000-0005-0000-0000-00008D910000}"/>
    <cellStyle name="Total 8 12" xfId="23304" xr:uid="{00000000-0005-0000-0000-00008E910000}"/>
    <cellStyle name="Total 8 13" xfId="37405" xr:uid="{00000000-0005-0000-0000-00008F910000}"/>
    <cellStyle name="Total 8 14" xfId="37406" xr:uid="{00000000-0005-0000-0000-000090910000}"/>
    <cellStyle name="Total 8 2" xfId="23305" xr:uid="{00000000-0005-0000-0000-000091910000}"/>
    <cellStyle name="Total 8 2 10" xfId="37407" xr:uid="{00000000-0005-0000-0000-000092910000}"/>
    <cellStyle name="Total 8 2 2" xfId="23306" xr:uid="{00000000-0005-0000-0000-000093910000}"/>
    <cellStyle name="Total 8 2 2 2" xfId="23307" xr:uid="{00000000-0005-0000-0000-000094910000}"/>
    <cellStyle name="Total 8 2 2 3" xfId="37408" xr:uid="{00000000-0005-0000-0000-000095910000}"/>
    <cellStyle name="Total 8 2 2 4" xfId="37409" xr:uid="{00000000-0005-0000-0000-000096910000}"/>
    <cellStyle name="Total 8 2 3" xfId="23308" xr:uid="{00000000-0005-0000-0000-000097910000}"/>
    <cellStyle name="Total 8 2 3 2" xfId="23309" xr:uid="{00000000-0005-0000-0000-000098910000}"/>
    <cellStyle name="Total 8 2 3 3" xfId="37410" xr:uid="{00000000-0005-0000-0000-000099910000}"/>
    <cellStyle name="Total 8 2 3 4" xfId="37411" xr:uid="{00000000-0005-0000-0000-00009A910000}"/>
    <cellStyle name="Total 8 2 4" xfId="23310" xr:uid="{00000000-0005-0000-0000-00009B910000}"/>
    <cellStyle name="Total 8 2 4 2" xfId="23311" xr:uid="{00000000-0005-0000-0000-00009C910000}"/>
    <cellStyle name="Total 8 2 4 3" xfId="37412" xr:uid="{00000000-0005-0000-0000-00009D910000}"/>
    <cellStyle name="Total 8 2 4 4" xfId="37413" xr:uid="{00000000-0005-0000-0000-00009E910000}"/>
    <cellStyle name="Total 8 2 5" xfId="23312" xr:uid="{00000000-0005-0000-0000-00009F910000}"/>
    <cellStyle name="Total 8 2 5 2" xfId="23313" xr:uid="{00000000-0005-0000-0000-0000A0910000}"/>
    <cellStyle name="Total 8 2 5 3" xfId="37414" xr:uid="{00000000-0005-0000-0000-0000A1910000}"/>
    <cellStyle name="Total 8 2 5 4" xfId="37415" xr:uid="{00000000-0005-0000-0000-0000A2910000}"/>
    <cellStyle name="Total 8 2 6" xfId="23314" xr:uid="{00000000-0005-0000-0000-0000A3910000}"/>
    <cellStyle name="Total 8 2 6 2" xfId="23315" xr:uid="{00000000-0005-0000-0000-0000A4910000}"/>
    <cellStyle name="Total 8 2 6 3" xfId="37416" xr:uid="{00000000-0005-0000-0000-0000A5910000}"/>
    <cellStyle name="Total 8 2 6 4" xfId="37417" xr:uid="{00000000-0005-0000-0000-0000A6910000}"/>
    <cellStyle name="Total 8 2 7" xfId="23316" xr:uid="{00000000-0005-0000-0000-0000A7910000}"/>
    <cellStyle name="Total 8 2 7 2" xfId="23317" xr:uid="{00000000-0005-0000-0000-0000A8910000}"/>
    <cellStyle name="Total 8 2 7 3" xfId="37418" xr:uid="{00000000-0005-0000-0000-0000A9910000}"/>
    <cellStyle name="Total 8 2 7 4" xfId="37419" xr:uid="{00000000-0005-0000-0000-0000AA910000}"/>
    <cellStyle name="Total 8 2 8" xfId="23318" xr:uid="{00000000-0005-0000-0000-0000AB910000}"/>
    <cellStyle name="Total 8 2 9" xfId="37420" xr:uid="{00000000-0005-0000-0000-0000AC910000}"/>
    <cellStyle name="Total 8 3" xfId="23319" xr:uid="{00000000-0005-0000-0000-0000AD910000}"/>
    <cellStyle name="Total 8 3 10" xfId="37421" xr:uid="{00000000-0005-0000-0000-0000AE910000}"/>
    <cellStyle name="Total 8 3 2" xfId="23320" xr:uid="{00000000-0005-0000-0000-0000AF910000}"/>
    <cellStyle name="Total 8 3 2 2" xfId="23321" xr:uid="{00000000-0005-0000-0000-0000B0910000}"/>
    <cellStyle name="Total 8 3 2 3" xfId="37422" xr:uid="{00000000-0005-0000-0000-0000B1910000}"/>
    <cellStyle name="Total 8 3 2 4" xfId="37423" xr:uid="{00000000-0005-0000-0000-0000B2910000}"/>
    <cellStyle name="Total 8 3 3" xfId="23322" xr:uid="{00000000-0005-0000-0000-0000B3910000}"/>
    <cellStyle name="Total 8 3 3 2" xfId="23323" xr:uid="{00000000-0005-0000-0000-0000B4910000}"/>
    <cellStyle name="Total 8 3 3 3" xfId="37424" xr:uid="{00000000-0005-0000-0000-0000B5910000}"/>
    <cellStyle name="Total 8 3 3 4" xfId="37425" xr:uid="{00000000-0005-0000-0000-0000B6910000}"/>
    <cellStyle name="Total 8 3 4" xfId="23324" xr:uid="{00000000-0005-0000-0000-0000B7910000}"/>
    <cellStyle name="Total 8 3 4 2" xfId="23325" xr:uid="{00000000-0005-0000-0000-0000B8910000}"/>
    <cellStyle name="Total 8 3 4 3" xfId="37426" xr:uid="{00000000-0005-0000-0000-0000B9910000}"/>
    <cellStyle name="Total 8 3 4 4" xfId="37427" xr:uid="{00000000-0005-0000-0000-0000BA910000}"/>
    <cellStyle name="Total 8 3 5" xfId="23326" xr:uid="{00000000-0005-0000-0000-0000BB910000}"/>
    <cellStyle name="Total 8 3 5 2" xfId="23327" xr:uid="{00000000-0005-0000-0000-0000BC910000}"/>
    <cellStyle name="Total 8 3 5 3" xfId="37428" xr:uid="{00000000-0005-0000-0000-0000BD910000}"/>
    <cellStyle name="Total 8 3 5 4" xfId="37429" xr:uid="{00000000-0005-0000-0000-0000BE910000}"/>
    <cellStyle name="Total 8 3 6" xfId="23328" xr:uid="{00000000-0005-0000-0000-0000BF910000}"/>
    <cellStyle name="Total 8 3 6 2" xfId="23329" xr:uid="{00000000-0005-0000-0000-0000C0910000}"/>
    <cellStyle name="Total 8 3 6 3" xfId="37430" xr:uid="{00000000-0005-0000-0000-0000C1910000}"/>
    <cellStyle name="Total 8 3 6 4" xfId="37431" xr:uid="{00000000-0005-0000-0000-0000C2910000}"/>
    <cellStyle name="Total 8 3 7" xfId="23330" xr:uid="{00000000-0005-0000-0000-0000C3910000}"/>
    <cellStyle name="Total 8 3 7 2" xfId="23331" xr:uid="{00000000-0005-0000-0000-0000C4910000}"/>
    <cellStyle name="Total 8 3 7 3" xfId="37432" xr:uid="{00000000-0005-0000-0000-0000C5910000}"/>
    <cellStyle name="Total 8 3 7 4" xfId="37433" xr:uid="{00000000-0005-0000-0000-0000C6910000}"/>
    <cellStyle name="Total 8 3 8" xfId="23332" xr:uid="{00000000-0005-0000-0000-0000C7910000}"/>
    <cellStyle name="Total 8 3 9" xfId="37434" xr:uid="{00000000-0005-0000-0000-0000C8910000}"/>
    <cellStyle name="Total 8 4" xfId="23333" xr:uid="{00000000-0005-0000-0000-0000C9910000}"/>
    <cellStyle name="Total 8 4 10" xfId="37435" xr:uid="{00000000-0005-0000-0000-0000CA910000}"/>
    <cellStyle name="Total 8 4 2" xfId="23334" xr:uid="{00000000-0005-0000-0000-0000CB910000}"/>
    <cellStyle name="Total 8 4 2 2" xfId="23335" xr:uid="{00000000-0005-0000-0000-0000CC910000}"/>
    <cellStyle name="Total 8 4 2 3" xfId="37436" xr:uid="{00000000-0005-0000-0000-0000CD910000}"/>
    <cellStyle name="Total 8 4 2 4" xfId="37437" xr:uid="{00000000-0005-0000-0000-0000CE910000}"/>
    <cellStyle name="Total 8 4 3" xfId="23336" xr:uid="{00000000-0005-0000-0000-0000CF910000}"/>
    <cellStyle name="Total 8 4 3 2" xfId="23337" xr:uid="{00000000-0005-0000-0000-0000D0910000}"/>
    <cellStyle name="Total 8 4 3 3" xfId="37438" xr:uid="{00000000-0005-0000-0000-0000D1910000}"/>
    <cellStyle name="Total 8 4 3 4" xfId="37439" xr:uid="{00000000-0005-0000-0000-0000D2910000}"/>
    <cellStyle name="Total 8 4 4" xfId="23338" xr:uid="{00000000-0005-0000-0000-0000D3910000}"/>
    <cellStyle name="Total 8 4 4 2" xfId="23339" xr:uid="{00000000-0005-0000-0000-0000D4910000}"/>
    <cellStyle name="Total 8 4 4 3" xfId="37440" xr:uid="{00000000-0005-0000-0000-0000D5910000}"/>
    <cellStyle name="Total 8 4 4 4" xfId="37441" xr:uid="{00000000-0005-0000-0000-0000D6910000}"/>
    <cellStyle name="Total 8 4 5" xfId="23340" xr:uid="{00000000-0005-0000-0000-0000D7910000}"/>
    <cellStyle name="Total 8 4 5 2" xfId="23341" xr:uid="{00000000-0005-0000-0000-0000D8910000}"/>
    <cellStyle name="Total 8 4 5 3" xfId="37442" xr:uid="{00000000-0005-0000-0000-0000D9910000}"/>
    <cellStyle name="Total 8 4 5 4" xfId="37443" xr:uid="{00000000-0005-0000-0000-0000DA910000}"/>
    <cellStyle name="Total 8 4 6" xfId="23342" xr:uid="{00000000-0005-0000-0000-0000DB910000}"/>
    <cellStyle name="Total 8 4 6 2" xfId="23343" xr:uid="{00000000-0005-0000-0000-0000DC910000}"/>
    <cellStyle name="Total 8 4 6 3" xfId="37444" xr:uid="{00000000-0005-0000-0000-0000DD910000}"/>
    <cellStyle name="Total 8 4 6 4" xfId="37445" xr:uid="{00000000-0005-0000-0000-0000DE910000}"/>
    <cellStyle name="Total 8 4 7" xfId="23344" xr:uid="{00000000-0005-0000-0000-0000DF910000}"/>
    <cellStyle name="Total 8 4 7 2" xfId="23345" xr:uid="{00000000-0005-0000-0000-0000E0910000}"/>
    <cellStyle name="Total 8 4 7 3" xfId="37446" xr:uid="{00000000-0005-0000-0000-0000E1910000}"/>
    <cellStyle name="Total 8 4 7 4" xfId="37447" xr:uid="{00000000-0005-0000-0000-0000E2910000}"/>
    <cellStyle name="Total 8 4 8" xfId="23346" xr:uid="{00000000-0005-0000-0000-0000E3910000}"/>
    <cellStyle name="Total 8 4 9" xfId="37448" xr:uid="{00000000-0005-0000-0000-0000E4910000}"/>
    <cellStyle name="Total 8 5" xfId="23347" xr:uid="{00000000-0005-0000-0000-0000E5910000}"/>
    <cellStyle name="Total 8 5 10" xfId="37449" xr:uid="{00000000-0005-0000-0000-0000E6910000}"/>
    <cellStyle name="Total 8 5 2" xfId="23348" xr:uid="{00000000-0005-0000-0000-0000E7910000}"/>
    <cellStyle name="Total 8 5 2 2" xfId="23349" xr:uid="{00000000-0005-0000-0000-0000E8910000}"/>
    <cellStyle name="Total 8 5 2 3" xfId="37450" xr:uid="{00000000-0005-0000-0000-0000E9910000}"/>
    <cellStyle name="Total 8 5 2 4" xfId="37451" xr:uid="{00000000-0005-0000-0000-0000EA910000}"/>
    <cellStyle name="Total 8 5 3" xfId="23350" xr:uid="{00000000-0005-0000-0000-0000EB910000}"/>
    <cellStyle name="Total 8 5 3 2" xfId="23351" xr:uid="{00000000-0005-0000-0000-0000EC910000}"/>
    <cellStyle name="Total 8 5 3 3" xfId="37452" xr:uid="{00000000-0005-0000-0000-0000ED910000}"/>
    <cellStyle name="Total 8 5 3 4" xfId="37453" xr:uid="{00000000-0005-0000-0000-0000EE910000}"/>
    <cellStyle name="Total 8 5 4" xfId="23352" xr:uid="{00000000-0005-0000-0000-0000EF910000}"/>
    <cellStyle name="Total 8 5 4 2" xfId="23353" xr:uid="{00000000-0005-0000-0000-0000F0910000}"/>
    <cellStyle name="Total 8 5 4 3" xfId="37454" xr:uid="{00000000-0005-0000-0000-0000F1910000}"/>
    <cellStyle name="Total 8 5 4 4" xfId="37455" xr:uid="{00000000-0005-0000-0000-0000F2910000}"/>
    <cellStyle name="Total 8 5 5" xfId="23354" xr:uid="{00000000-0005-0000-0000-0000F3910000}"/>
    <cellStyle name="Total 8 5 5 2" xfId="23355" xr:uid="{00000000-0005-0000-0000-0000F4910000}"/>
    <cellStyle name="Total 8 5 5 3" xfId="37456" xr:uid="{00000000-0005-0000-0000-0000F5910000}"/>
    <cellStyle name="Total 8 5 5 4" xfId="37457" xr:uid="{00000000-0005-0000-0000-0000F6910000}"/>
    <cellStyle name="Total 8 5 6" xfId="23356" xr:uid="{00000000-0005-0000-0000-0000F7910000}"/>
    <cellStyle name="Total 8 5 6 2" xfId="23357" xr:uid="{00000000-0005-0000-0000-0000F8910000}"/>
    <cellStyle name="Total 8 5 6 3" xfId="37458" xr:uid="{00000000-0005-0000-0000-0000F9910000}"/>
    <cellStyle name="Total 8 5 6 4" xfId="37459" xr:uid="{00000000-0005-0000-0000-0000FA910000}"/>
    <cellStyle name="Total 8 5 7" xfId="23358" xr:uid="{00000000-0005-0000-0000-0000FB910000}"/>
    <cellStyle name="Total 8 5 7 2" xfId="23359" xr:uid="{00000000-0005-0000-0000-0000FC910000}"/>
    <cellStyle name="Total 8 5 7 3" xfId="37460" xr:uid="{00000000-0005-0000-0000-0000FD910000}"/>
    <cellStyle name="Total 8 5 7 4" xfId="37461" xr:uid="{00000000-0005-0000-0000-0000FE910000}"/>
    <cellStyle name="Total 8 5 8" xfId="23360" xr:uid="{00000000-0005-0000-0000-0000FF910000}"/>
    <cellStyle name="Total 8 5 9" xfId="37462" xr:uid="{00000000-0005-0000-0000-000000920000}"/>
    <cellStyle name="Total 8 6" xfId="23361" xr:uid="{00000000-0005-0000-0000-000001920000}"/>
    <cellStyle name="Total 8 6 2" xfId="23362" xr:uid="{00000000-0005-0000-0000-000002920000}"/>
    <cellStyle name="Total 8 6 3" xfId="37463" xr:uid="{00000000-0005-0000-0000-000003920000}"/>
    <cellStyle name="Total 8 6 4" xfId="37464" xr:uid="{00000000-0005-0000-0000-000004920000}"/>
    <cellStyle name="Total 8 7" xfId="23363" xr:uid="{00000000-0005-0000-0000-000005920000}"/>
    <cellStyle name="Total 8 7 2" xfId="23364" xr:uid="{00000000-0005-0000-0000-000006920000}"/>
    <cellStyle name="Total 8 7 3" xfId="37465" xr:uid="{00000000-0005-0000-0000-000007920000}"/>
    <cellStyle name="Total 8 7 4" xfId="37466" xr:uid="{00000000-0005-0000-0000-000008920000}"/>
    <cellStyle name="Total 8 8" xfId="23365" xr:uid="{00000000-0005-0000-0000-000009920000}"/>
    <cellStyle name="Total 8 8 2" xfId="23366" xr:uid="{00000000-0005-0000-0000-00000A920000}"/>
    <cellStyle name="Total 8 8 3" xfId="37467" xr:uid="{00000000-0005-0000-0000-00000B920000}"/>
    <cellStyle name="Total 8 8 4" xfId="37468" xr:uid="{00000000-0005-0000-0000-00000C920000}"/>
    <cellStyle name="Total 8 9" xfId="23367" xr:uid="{00000000-0005-0000-0000-00000D920000}"/>
    <cellStyle name="Total 8 9 2" xfId="23368" xr:uid="{00000000-0005-0000-0000-00000E920000}"/>
    <cellStyle name="Total 8 9 3" xfId="37469" xr:uid="{00000000-0005-0000-0000-00000F920000}"/>
    <cellStyle name="Total 8 9 4" xfId="37470" xr:uid="{00000000-0005-0000-0000-000010920000}"/>
    <cellStyle name="Total 9" xfId="23369" xr:uid="{00000000-0005-0000-0000-000011920000}"/>
    <cellStyle name="Total 9 10" xfId="23370" xr:uid="{00000000-0005-0000-0000-000012920000}"/>
    <cellStyle name="Total 9 10 2" xfId="23371" xr:uid="{00000000-0005-0000-0000-000013920000}"/>
    <cellStyle name="Total 9 10 3" xfId="37471" xr:uid="{00000000-0005-0000-0000-000014920000}"/>
    <cellStyle name="Total 9 10 4" xfId="37472" xr:uid="{00000000-0005-0000-0000-000015920000}"/>
    <cellStyle name="Total 9 11" xfId="23372" xr:uid="{00000000-0005-0000-0000-000016920000}"/>
    <cellStyle name="Total 9 11 2" xfId="23373" xr:uid="{00000000-0005-0000-0000-000017920000}"/>
    <cellStyle name="Total 9 11 3" xfId="37473" xr:uid="{00000000-0005-0000-0000-000018920000}"/>
    <cellStyle name="Total 9 11 4" xfId="37474" xr:uid="{00000000-0005-0000-0000-000019920000}"/>
    <cellStyle name="Total 9 12" xfId="23374" xr:uid="{00000000-0005-0000-0000-00001A920000}"/>
    <cellStyle name="Total 9 13" xfId="37475" xr:uid="{00000000-0005-0000-0000-00001B920000}"/>
    <cellStyle name="Total 9 14" xfId="37476" xr:uid="{00000000-0005-0000-0000-00001C920000}"/>
    <cellStyle name="Total 9 2" xfId="23375" xr:uid="{00000000-0005-0000-0000-00001D920000}"/>
    <cellStyle name="Total 9 2 10" xfId="37477" xr:uid="{00000000-0005-0000-0000-00001E920000}"/>
    <cellStyle name="Total 9 2 2" xfId="23376" xr:uid="{00000000-0005-0000-0000-00001F920000}"/>
    <cellStyle name="Total 9 2 2 2" xfId="23377" xr:uid="{00000000-0005-0000-0000-000020920000}"/>
    <cellStyle name="Total 9 2 2 3" xfId="37478" xr:uid="{00000000-0005-0000-0000-000021920000}"/>
    <cellStyle name="Total 9 2 2 4" xfId="37479" xr:uid="{00000000-0005-0000-0000-000022920000}"/>
    <cellStyle name="Total 9 2 3" xfId="23378" xr:uid="{00000000-0005-0000-0000-000023920000}"/>
    <cellStyle name="Total 9 2 3 2" xfId="23379" xr:uid="{00000000-0005-0000-0000-000024920000}"/>
    <cellStyle name="Total 9 2 3 3" xfId="37480" xr:uid="{00000000-0005-0000-0000-000025920000}"/>
    <cellStyle name="Total 9 2 3 4" xfId="37481" xr:uid="{00000000-0005-0000-0000-000026920000}"/>
    <cellStyle name="Total 9 2 4" xfId="23380" xr:uid="{00000000-0005-0000-0000-000027920000}"/>
    <cellStyle name="Total 9 2 4 2" xfId="23381" xr:uid="{00000000-0005-0000-0000-000028920000}"/>
    <cellStyle name="Total 9 2 4 3" xfId="37482" xr:uid="{00000000-0005-0000-0000-000029920000}"/>
    <cellStyle name="Total 9 2 4 4" xfId="37483" xr:uid="{00000000-0005-0000-0000-00002A920000}"/>
    <cellStyle name="Total 9 2 5" xfId="23382" xr:uid="{00000000-0005-0000-0000-00002B920000}"/>
    <cellStyle name="Total 9 2 5 2" xfId="23383" xr:uid="{00000000-0005-0000-0000-00002C920000}"/>
    <cellStyle name="Total 9 2 5 3" xfId="37484" xr:uid="{00000000-0005-0000-0000-00002D920000}"/>
    <cellStyle name="Total 9 2 5 4" xfId="37485" xr:uid="{00000000-0005-0000-0000-00002E920000}"/>
    <cellStyle name="Total 9 2 6" xfId="23384" xr:uid="{00000000-0005-0000-0000-00002F920000}"/>
    <cellStyle name="Total 9 2 6 2" xfId="23385" xr:uid="{00000000-0005-0000-0000-000030920000}"/>
    <cellStyle name="Total 9 2 6 3" xfId="37486" xr:uid="{00000000-0005-0000-0000-000031920000}"/>
    <cellStyle name="Total 9 2 6 4" xfId="37487" xr:uid="{00000000-0005-0000-0000-000032920000}"/>
    <cellStyle name="Total 9 2 7" xfId="23386" xr:uid="{00000000-0005-0000-0000-000033920000}"/>
    <cellStyle name="Total 9 2 7 2" xfId="23387" xr:uid="{00000000-0005-0000-0000-000034920000}"/>
    <cellStyle name="Total 9 2 7 3" xfId="37488" xr:uid="{00000000-0005-0000-0000-000035920000}"/>
    <cellStyle name="Total 9 2 7 4" xfId="37489" xr:uid="{00000000-0005-0000-0000-000036920000}"/>
    <cellStyle name="Total 9 2 8" xfId="23388" xr:uid="{00000000-0005-0000-0000-000037920000}"/>
    <cellStyle name="Total 9 2 9" xfId="37490" xr:uid="{00000000-0005-0000-0000-000038920000}"/>
    <cellStyle name="Total 9 3" xfId="23389" xr:uid="{00000000-0005-0000-0000-000039920000}"/>
    <cellStyle name="Total 9 3 10" xfId="37491" xr:uid="{00000000-0005-0000-0000-00003A920000}"/>
    <cellStyle name="Total 9 3 2" xfId="23390" xr:uid="{00000000-0005-0000-0000-00003B920000}"/>
    <cellStyle name="Total 9 3 2 2" xfId="23391" xr:uid="{00000000-0005-0000-0000-00003C920000}"/>
    <cellStyle name="Total 9 3 2 3" xfId="37492" xr:uid="{00000000-0005-0000-0000-00003D920000}"/>
    <cellStyle name="Total 9 3 2 4" xfId="37493" xr:uid="{00000000-0005-0000-0000-00003E920000}"/>
    <cellStyle name="Total 9 3 3" xfId="23392" xr:uid="{00000000-0005-0000-0000-00003F920000}"/>
    <cellStyle name="Total 9 3 3 2" xfId="23393" xr:uid="{00000000-0005-0000-0000-000040920000}"/>
    <cellStyle name="Total 9 3 3 3" xfId="37494" xr:uid="{00000000-0005-0000-0000-000041920000}"/>
    <cellStyle name="Total 9 3 3 4" xfId="37495" xr:uid="{00000000-0005-0000-0000-000042920000}"/>
    <cellStyle name="Total 9 3 4" xfId="23394" xr:uid="{00000000-0005-0000-0000-000043920000}"/>
    <cellStyle name="Total 9 3 4 2" xfId="23395" xr:uid="{00000000-0005-0000-0000-000044920000}"/>
    <cellStyle name="Total 9 3 4 3" xfId="37496" xr:uid="{00000000-0005-0000-0000-000045920000}"/>
    <cellStyle name="Total 9 3 4 4" xfId="37497" xr:uid="{00000000-0005-0000-0000-000046920000}"/>
    <cellStyle name="Total 9 3 5" xfId="23396" xr:uid="{00000000-0005-0000-0000-000047920000}"/>
    <cellStyle name="Total 9 3 5 2" xfId="23397" xr:uid="{00000000-0005-0000-0000-000048920000}"/>
    <cellStyle name="Total 9 3 5 3" xfId="37498" xr:uid="{00000000-0005-0000-0000-000049920000}"/>
    <cellStyle name="Total 9 3 5 4" xfId="37499" xr:uid="{00000000-0005-0000-0000-00004A920000}"/>
    <cellStyle name="Total 9 3 6" xfId="23398" xr:uid="{00000000-0005-0000-0000-00004B920000}"/>
    <cellStyle name="Total 9 3 6 2" xfId="23399" xr:uid="{00000000-0005-0000-0000-00004C920000}"/>
    <cellStyle name="Total 9 3 6 3" xfId="37500" xr:uid="{00000000-0005-0000-0000-00004D920000}"/>
    <cellStyle name="Total 9 3 6 4" xfId="37501" xr:uid="{00000000-0005-0000-0000-00004E920000}"/>
    <cellStyle name="Total 9 3 7" xfId="23400" xr:uid="{00000000-0005-0000-0000-00004F920000}"/>
    <cellStyle name="Total 9 3 7 2" xfId="23401" xr:uid="{00000000-0005-0000-0000-000050920000}"/>
    <cellStyle name="Total 9 3 7 3" xfId="37502" xr:uid="{00000000-0005-0000-0000-000051920000}"/>
    <cellStyle name="Total 9 3 7 4" xfId="37503" xr:uid="{00000000-0005-0000-0000-000052920000}"/>
    <cellStyle name="Total 9 3 8" xfId="23402" xr:uid="{00000000-0005-0000-0000-000053920000}"/>
    <cellStyle name="Total 9 3 9" xfId="37504" xr:uid="{00000000-0005-0000-0000-000054920000}"/>
    <cellStyle name="Total 9 4" xfId="23403" xr:uid="{00000000-0005-0000-0000-000055920000}"/>
    <cellStyle name="Total 9 4 10" xfId="37505" xr:uid="{00000000-0005-0000-0000-000056920000}"/>
    <cellStyle name="Total 9 4 2" xfId="23404" xr:uid="{00000000-0005-0000-0000-000057920000}"/>
    <cellStyle name="Total 9 4 2 2" xfId="23405" xr:uid="{00000000-0005-0000-0000-000058920000}"/>
    <cellStyle name="Total 9 4 2 3" xfId="37506" xr:uid="{00000000-0005-0000-0000-000059920000}"/>
    <cellStyle name="Total 9 4 2 4" xfId="37507" xr:uid="{00000000-0005-0000-0000-00005A920000}"/>
    <cellStyle name="Total 9 4 3" xfId="23406" xr:uid="{00000000-0005-0000-0000-00005B920000}"/>
    <cellStyle name="Total 9 4 3 2" xfId="23407" xr:uid="{00000000-0005-0000-0000-00005C920000}"/>
    <cellStyle name="Total 9 4 3 3" xfId="37508" xr:uid="{00000000-0005-0000-0000-00005D920000}"/>
    <cellStyle name="Total 9 4 3 4" xfId="37509" xr:uid="{00000000-0005-0000-0000-00005E920000}"/>
    <cellStyle name="Total 9 4 4" xfId="23408" xr:uid="{00000000-0005-0000-0000-00005F920000}"/>
    <cellStyle name="Total 9 4 4 2" xfId="23409" xr:uid="{00000000-0005-0000-0000-000060920000}"/>
    <cellStyle name="Total 9 4 4 3" xfId="37510" xr:uid="{00000000-0005-0000-0000-000061920000}"/>
    <cellStyle name="Total 9 4 4 4" xfId="37511" xr:uid="{00000000-0005-0000-0000-000062920000}"/>
    <cellStyle name="Total 9 4 5" xfId="23410" xr:uid="{00000000-0005-0000-0000-000063920000}"/>
    <cellStyle name="Total 9 4 5 2" xfId="23411" xr:uid="{00000000-0005-0000-0000-000064920000}"/>
    <cellStyle name="Total 9 4 5 3" xfId="37512" xr:uid="{00000000-0005-0000-0000-000065920000}"/>
    <cellStyle name="Total 9 4 5 4" xfId="37513" xr:uid="{00000000-0005-0000-0000-000066920000}"/>
    <cellStyle name="Total 9 4 6" xfId="23412" xr:uid="{00000000-0005-0000-0000-000067920000}"/>
    <cellStyle name="Total 9 4 6 2" xfId="23413" xr:uid="{00000000-0005-0000-0000-000068920000}"/>
    <cellStyle name="Total 9 4 6 3" xfId="37514" xr:uid="{00000000-0005-0000-0000-000069920000}"/>
    <cellStyle name="Total 9 4 6 4" xfId="37515" xr:uid="{00000000-0005-0000-0000-00006A920000}"/>
    <cellStyle name="Total 9 4 7" xfId="23414" xr:uid="{00000000-0005-0000-0000-00006B920000}"/>
    <cellStyle name="Total 9 4 7 2" xfId="23415" xr:uid="{00000000-0005-0000-0000-00006C920000}"/>
    <cellStyle name="Total 9 4 7 3" xfId="37516" xr:uid="{00000000-0005-0000-0000-00006D920000}"/>
    <cellStyle name="Total 9 4 7 4" xfId="37517" xr:uid="{00000000-0005-0000-0000-00006E920000}"/>
    <cellStyle name="Total 9 4 8" xfId="23416" xr:uid="{00000000-0005-0000-0000-00006F920000}"/>
    <cellStyle name="Total 9 4 9" xfId="37518" xr:uid="{00000000-0005-0000-0000-000070920000}"/>
    <cellStyle name="Total 9 5" xfId="23417" xr:uid="{00000000-0005-0000-0000-000071920000}"/>
    <cellStyle name="Total 9 5 10" xfId="37519" xr:uid="{00000000-0005-0000-0000-000072920000}"/>
    <cellStyle name="Total 9 5 2" xfId="23418" xr:uid="{00000000-0005-0000-0000-000073920000}"/>
    <cellStyle name="Total 9 5 2 2" xfId="23419" xr:uid="{00000000-0005-0000-0000-000074920000}"/>
    <cellStyle name="Total 9 5 2 3" xfId="37520" xr:uid="{00000000-0005-0000-0000-000075920000}"/>
    <cellStyle name="Total 9 5 2 4" xfId="37521" xr:uid="{00000000-0005-0000-0000-000076920000}"/>
    <cellStyle name="Total 9 5 3" xfId="23420" xr:uid="{00000000-0005-0000-0000-000077920000}"/>
    <cellStyle name="Total 9 5 3 2" xfId="23421" xr:uid="{00000000-0005-0000-0000-000078920000}"/>
    <cellStyle name="Total 9 5 3 3" xfId="37522" xr:uid="{00000000-0005-0000-0000-000079920000}"/>
    <cellStyle name="Total 9 5 3 4" xfId="37523" xr:uid="{00000000-0005-0000-0000-00007A920000}"/>
    <cellStyle name="Total 9 5 4" xfId="23422" xr:uid="{00000000-0005-0000-0000-00007B920000}"/>
    <cellStyle name="Total 9 5 4 2" xfId="23423" xr:uid="{00000000-0005-0000-0000-00007C920000}"/>
    <cellStyle name="Total 9 5 4 3" xfId="37524" xr:uid="{00000000-0005-0000-0000-00007D920000}"/>
    <cellStyle name="Total 9 5 4 4" xfId="37525" xr:uid="{00000000-0005-0000-0000-00007E920000}"/>
    <cellStyle name="Total 9 5 5" xfId="23424" xr:uid="{00000000-0005-0000-0000-00007F920000}"/>
    <cellStyle name="Total 9 5 5 2" xfId="23425" xr:uid="{00000000-0005-0000-0000-000080920000}"/>
    <cellStyle name="Total 9 5 5 3" xfId="37526" xr:uid="{00000000-0005-0000-0000-000081920000}"/>
    <cellStyle name="Total 9 5 5 4" xfId="37527" xr:uid="{00000000-0005-0000-0000-000082920000}"/>
    <cellStyle name="Total 9 5 6" xfId="23426" xr:uid="{00000000-0005-0000-0000-000083920000}"/>
    <cellStyle name="Total 9 5 6 2" xfId="23427" xr:uid="{00000000-0005-0000-0000-000084920000}"/>
    <cellStyle name="Total 9 5 6 3" xfId="37528" xr:uid="{00000000-0005-0000-0000-000085920000}"/>
    <cellStyle name="Total 9 5 6 4" xfId="37529" xr:uid="{00000000-0005-0000-0000-000086920000}"/>
    <cellStyle name="Total 9 5 7" xfId="23428" xr:uid="{00000000-0005-0000-0000-000087920000}"/>
    <cellStyle name="Total 9 5 7 2" xfId="23429" xr:uid="{00000000-0005-0000-0000-000088920000}"/>
    <cellStyle name="Total 9 5 7 3" xfId="37530" xr:uid="{00000000-0005-0000-0000-000089920000}"/>
    <cellStyle name="Total 9 5 7 4" xfId="37531" xr:uid="{00000000-0005-0000-0000-00008A920000}"/>
    <cellStyle name="Total 9 5 8" xfId="23430" xr:uid="{00000000-0005-0000-0000-00008B920000}"/>
    <cellStyle name="Total 9 5 9" xfId="37532" xr:uid="{00000000-0005-0000-0000-00008C920000}"/>
    <cellStyle name="Total 9 6" xfId="23431" xr:uid="{00000000-0005-0000-0000-00008D920000}"/>
    <cellStyle name="Total 9 6 2" xfId="23432" xr:uid="{00000000-0005-0000-0000-00008E920000}"/>
    <cellStyle name="Total 9 6 3" xfId="37533" xr:uid="{00000000-0005-0000-0000-00008F920000}"/>
    <cellStyle name="Total 9 6 4" xfId="37534" xr:uid="{00000000-0005-0000-0000-000090920000}"/>
    <cellStyle name="Total 9 7" xfId="23433" xr:uid="{00000000-0005-0000-0000-000091920000}"/>
    <cellStyle name="Total 9 7 2" xfId="23434" xr:uid="{00000000-0005-0000-0000-000092920000}"/>
    <cellStyle name="Total 9 7 3" xfId="37535" xr:uid="{00000000-0005-0000-0000-000093920000}"/>
    <cellStyle name="Total 9 7 4" xfId="37536" xr:uid="{00000000-0005-0000-0000-000094920000}"/>
    <cellStyle name="Total 9 8" xfId="23435" xr:uid="{00000000-0005-0000-0000-000095920000}"/>
    <cellStyle name="Total 9 8 2" xfId="23436" xr:uid="{00000000-0005-0000-0000-000096920000}"/>
    <cellStyle name="Total 9 8 3" xfId="37537" xr:uid="{00000000-0005-0000-0000-000097920000}"/>
    <cellStyle name="Total 9 8 4" xfId="37538" xr:uid="{00000000-0005-0000-0000-000098920000}"/>
    <cellStyle name="Total 9 9" xfId="23437" xr:uid="{00000000-0005-0000-0000-000099920000}"/>
    <cellStyle name="Total 9 9 2" xfId="23438" xr:uid="{00000000-0005-0000-0000-00009A920000}"/>
    <cellStyle name="Total 9 9 3" xfId="37539" xr:uid="{00000000-0005-0000-0000-00009B920000}"/>
    <cellStyle name="Total 9 9 4" xfId="37540" xr:uid="{00000000-0005-0000-0000-00009C920000}"/>
    <cellStyle name="Warning Text 10" xfId="23439" xr:uid="{00000000-0005-0000-0000-00009D920000}"/>
    <cellStyle name="Warning Text 11" xfId="23440" xr:uid="{00000000-0005-0000-0000-00009E920000}"/>
    <cellStyle name="Warning Text 12" xfId="23441" xr:uid="{00000000-0005-0000-0000-00009F920000}"/>
    <cellStyle name="Warning Text 13" xfId="23442" xr:uid="{00000000-0005-0000-0000-0000A0920000}"/>
    <cellStyle name="Warning Text 14" xfId="23443" xr:uid="{00000000-0005-0000-0000-0000A1920000}"/>
    <cellStyle name="Warning Text 15" xfId="23444" xr:uid="{00000000-0005-0000-0000-0000A2920000}"/>
    <cellStyle name="Warning Text 16" xfId="23445" xr:uid="{00000000-0005-0000-0000-0000A3920000}"/>
    <cellStyle name="Warning Text 17" xfId="23446" xr:uid="{00000000-0005-0000-0000-0000A4920000}"/>
    <cellStyle name="Warning Text 17 2" xfId="23447" xr:uid="{00000000-0005-0000-0000-0000A5920000}"/>
    <cellStyle name="Warning Text 17 3" xfId="23448" xr:uid="{00000000-0005-0000-0000-0000A6920000}"/>
    <cellStyle name="Warning Text 17 4" xfId="23449" xr:uid="{00000000-0005-0000-0000-0000A7920000}"/>
    <cellStyle name="Warning Text 17 5" xfId="23450" xr:uid="{00000000-0005-0000-0000-0000A8920000}"/>
    <cellStyle name="Warning Text 18" xfId="23451" xr:uid="{00000000-0005-0000-0000-0000A9920000}"/>
    <cellStyle name="Warning Text 18 2" xfId="23452" xr:uid="{00000000-0005-0000-0000-0000AA920000}"/>
    <cellStyle name="Warning Text 18 3" xfId="23453" xr:uid="{00000000-0005-0000-0000-0000AB920000}"/>
    <cellStyle name="Warning Text 18 4" xfId="23454" xr:uid="{00000000-0005-0000-0000-0000AC920000}"/>
    <cellStyle name="Warning Text 18 5" xfId="23455" xr:uid="{00000000-0005-0000-0000-0000AD920000}"/>
    <cellStyle name="Warning Text 19" xfId="23456" xr:uid="{00000000-0005-0000-0000-0000AE920000}"/>
    <cellStyle name="Warning Text 19 2" xfId="23457" xr:uid="{00000000-0005-0000-0000-0000AF920000}"/>
    <cellStyle name="Warning Text 19 3" xfId="23458" xr:uid="{00000000-0005-0000-0000-0000B0920000}"/>
    <cellStyle name="Warning Text 19 4" xfId="23459" xr:uid="{00000000-0005-0000-0000-0000B1920000}"/>
    <cellStyle name="Warning Text 19 5" xfId="23460" xr:uid="{00000000-0005-0000-0000-0000B2920000}"/>
    <cellStyle name="Warning Text 2" xfId="23461" xr:uid="{00000000-0005-0000-0000-0000B3920000}"/>
    <cellStyle name="Warning Text 2 2" xfId="23462" xr:uid="{00000000-0005-0000-0000-0000B4920000}"/>
    <cellStyle name="Warning Text 2 3" xfId="37541" xr:uid="{00000000-0005-0000-0000-0000B5920000}"/>
    <cellStyle name="Warning Text 20" xfId="23463" xr:uid="{00000000-0005-0000-0000-0000B6920000}"/>
    <cellStyle name="Warning Text 20 2" xfId="23464" xr:uid="{00000000-0005-0000-0000-0000B7920000}"/>
    <cellStyle name="Warning Text 20 3" xfId="23465" xr:uid="{00000000-0005-0000-0000-0000B8920000}"/>
    <cellStyle name="Warning Text 20 4" xfId="23466" xr:uid="{00000000-0005-0000-0000-0000B9920000}"/>
    <cellStyle name="Warning Text 20 5" xfId="23467" xr:uid="{00000000-0005-0000-0000-0000BA920000}"/>
    <cellStyle name="Warning Text 21" xfId="23468" xr:uid="{00000000-0005-0000-0000-0000BB920000}"/>
    <cellStyle name="Warning Text 21 2" xfId="23469" xr:uid="{00000000-0005-0000-0000-0000BC920000}"/>
    <cellStyle name="Warning Text 21 3" xfId="23470" xr:uid="{00000000-0005-0000-0000-0000BD920000}"/>
    <cellStyle name="Warning Text 21 4" xfId="23471" xr:uid="{00000000-0005-0000-0000-0000BE920000}"/>
    <cellStyle name="Warning Text 21 5" xfId="23472" xr:uid="{00000000-0005-0000-0000-0000BF920000}"/>
    <cellStyle name="Warning Text 22" xfId="23473" xr:uid="{00000000-0005-0000-0000-0000C0920000}"/>
    <cellStyle name="Warning Text 22 2" xfId="23474" xr:uid="{00000000-0005-0000-0000-0000C1920000}"/>
    <cellStyle name="Warning Text 22 3" xfId="23475" xr:uid="{00000000-0005-0000-0000-0000C2920000}"/>
    <cellStyle name="Warning Text 22 4" xfId="23476" xr:uid="{00000000-0005-0000-0000-0000C3920000}"/>
    <cellStyle name="Warning Text 22 5" xfId="23477" xr:uid="{00000000-0005-0000-0000-0000C4920000}"/>
    <cellStyle name="Warning Text 23" xfId="23478" xr:uid="{00000000-0005-0000-0000-0000C5920000}"/>
    <cellStyle name="Warning Text 24" xfId="23479" xr:uid="{00000000-0005-0000-0000-0000C6920000}"/>
    <cellStyle name="Warning Text 25" xfId="23480" xr:uid="{00000000-0005-0000-0000-0000C7920000}"/>
    <cellStyle name="Warning Text 26" xfId="23481" xr:uid="{00000000-0005-0000-0000-0000C8920000}"/>
    <cellStyle name="Warning Text 3" xfId="23482" xr:uid="{00000000-0005-0000-0000-0000C9920000}"/>
    <cellStyle name="Warning Text 4" xfId="23483" xr:uid="{00000000-0005-0000-0000-0000CA920000}"/>
    <cellStyle name="Warning Text 5" xfId="23484" xr:uid="{00000000-0005-0000-0000-0000CB920000}"/>
    <cellStyle name="Warning Text 6" xfId="23485" xr:uid="{00000000-0005-0000-0000-0000CC920000}"/>
    <cellStyle name="Warning Text 7" xfId="23486" xr:uid="{00000000-0005-0000-0000-0000CD920000}"/>
    <cellStyle name="Warning Text 8" xfId="23487" xr:uid="{00000000-0005-0000-0000-0000CE920000}"/>
    <cellStyle name="Warning Text 9" xfId="23488" xr:uid="{00000000-0005-0000-0000-0000CF920000}"/>
    <cellStyle name="Yellow" xfId="23489" xr:uid="{00000000-0005-0000-0000-0000D0920000}"/>
  </cellStyles>
  <dxfs count="0"/>
  <tableStyles count="0" defaultTableStyle="TableStyleMedium9" defaultPivotStyle="PivotStyleLight16"/>
  <colors>
    <mruColors>
      <color rgb="FFBDE9BD"/>
      <color rgb="FFFF6699"/>
      <color rgb="FFDFF5DF"/>
      <color rgb="FFFFFFCC"/>
      <color rgb="FFE2E2E2"/>
      <color rgb="FFE7E4D5"/>
      <color rgb="FFF0EEE4"/>
      <color rgb="FFC0C9AB"/>
      <color rgb="FFD9D4BD"/>
      <color rgb="FFD6F2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externalLink" Target="externalLinks/externalLink33.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externalLink" Target="externalLinks/externalLink54.xml"/><Relationship Id="rId107" Type="http://schemas.openxmlformats.org/officeDocument/2006/relationships/externalLink" Target="externalLinks/externalLink23.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externalLink" Target="externalLinks/externalLink44.xml"/><Relationship Id="rId5" Type="http://schemas.openxmlformats.org/officeDocument/2006/relationships/worksheet" Target="worksheets/sheet5.xml"/><Relationship Id="rId90" Type="http://schemas.openxmlformats.org/officeDocument/2006/relationships/externalLink" Target="externalLinks/externalLink6.xml"/><Relationship Id="rId95" Type="http://schemas.openxmlformats.org/officeDocument/2006/relationships/externalLink" Target="externalLinks/externalLink11.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externalLink" Target="externalLinks/externalLink29.xml"/><Relationship Id="rId118" Type="http://schemas.openxmlformats.org/officeDocument/2006/relationships/externalLink" Target="externalLinks/externalLink34.xml"/><Relationship Id="rId134" Type="http://schemas.openxmlformats.org/officeDocument/2006/relationships/externalLink" Target="externalLinks/externalLink50.xml"/><Relationship Id="rId139" Type="http://schemas.openxmlformats.org/officeDocument/2006/relationships/externalLink" Target="externalLinks/externalLink55.xml"/><Relationship Id="rId80" Type="http://schemas.openxmlformats.org/officeDocument/2006/relationships/worksheet" Target="worksheets/sheet80.xml"/><Relationship Id="rId85" Type="http://schemas.openxmlformats.org/officeDocument/2006/relationships/externalLink" Target="externalLinks/externalLink1.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externalLink" Target="externalLinks/externalLink19.xml"/><Relationship Id="rId108" Type="http://schemas.openxmlformats.org/officeDocument/2006/relationships/externalLink" Target="externalLinks/externalLink24.xml"/><Relationship Id="rId124" Type="http://schemas.openxmlformats.org/officeDocument/2006/relationships/externalLink" Target="externalLinks/externalLink40.xml"/><Relationship Id="rId129" Type="http://schemas.openxmlformats.org/officeDocument/2006/relationships/externalLink" Target="externalLinks/externalLink45.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externalLink" Target="externalLinks/externalLink7.xml"/><Relationship Id="rId96" Type="http://schemas.openxmlformats.org/officeDocument/2006/relationships/externalLink" Target="externalLinks/externalLink12.xml"/><Relationship Id="rId140" Type="http://schemas.openxmlformats.org/officeDocument/2006/relationships/externalLink" Target="externalLinks/externalLink56.xml"/><Relationship Id="rId145"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externalLink" Target="externalLinks/externalLink30.xml"/><Relationship Id="rId119" Type="http://schemas.openxmlformats.org/officeDocument/2006/relationships/externalLink" Target="externalLinks/externalLink35.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externalLink" Target="externalLinks/externalLink2.xml"/><Relationship Id="rId130" Type="http://schemas.openxmlformats.org/officeDocument/2006/relationships/externalLink" Target="externalLinks/externalLink46.xml"/><Relationship Id="rId135" Type="http://schemas.openxmlformats.org/officeDocument/2006/relationships/externalLink" Target="externalLinks/externalLink51.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externalLink" Target="externalLinks/externalLink25.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externalLink" Target="externalLinks/externalLink13.xml"/><Relationship Id="rId104" Type="http://schemas.openxmlformats.org/officeDocument/2006/relationships/externalLink" Target="externalLinks/externalLink20.xml"/><Relationship Id="rId120" Type="http://schemas.openxmlformats.org/officeDocument/2006/relationships/externalLink" Target="externalLinks/externalLink36.xml"/><Relationship Id="rId125" Type="http://schemas.openxmlformats.org/officeDocument/2006/relationships/externalLink" Target="externalLinks/externalLink41.xml"/><Relationship Id="rId141" Type="http://schemas.openxmlformats.org/officeDocument/2006/relationships/theme" Target="theme/theme1.xml"/><Relationship Id="rId146" Type="http://schemas.openxmlformats.org/officeDocument/2006/relationships/customXml" Target="../customXml/item2.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externalLink" Target="externalLinks/externalLink8.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externalLink" Target="externalLinks/externalLink3.xml"/><Relationship Id="rId110" Type="http://schemas.openxmlformats.org/officeDocument/2006/relationships/externalLink" Target="externalLinks/externalLink26.xml"/><Relationship Id="rId115" Type="http://schemas.openxmlformats.org/officeDocument/2006/relationships/externalLink" Target="externalLinks/externalLink31.xml"/><Relationship Id="rId131" Type="http://schemas.openxmlformats.org/officeDocument/2006/relationships/externalLink" Target="externalLinks/externalLink47.xml"/><Relationship Id="rId136" Type="http://schemas.openxmlformats.org/officeDocument/2006/relationships/externalLink" Target="externalLinks/externalLink52.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externalLink" Target="externalLinks/externalLink16.xml"/><Relationship Id="rId105" Type="http://schemas.openxmlformats.org/officeDocument/2006/relationships/externalLink" Target="externalLinks/externalLink21.xml"/><Relationship Id="rId126" Type="http://schemas.openxmlformats.org/officeDocument/2006/relationships/externalLink" Target="externalLinks/externalLink42.xml"/><Relationship Id="rId147" Type="http://schemas.openxmlformats.org/officeDocument/2006/relationships/customXml" Target="../customXml/item3.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externalLink" Target="externalLinks/externalLink9.xml"/><Relationship Id="rId98" Type="http://schemas.openxmlformats.org/officeDocument/2006/relationships/externalLink" Target="externalLinks/externalLink14.xml"/><Relationship Id="rId121" Type="http://schemas.openxmlformats.org/officeDocument/2006/relationships/externalLink" Target="externalLinks/externalLink37.xml"/><Relationship Id="rId142" Type="http://schemas.openxmlformats.org/officeDocument/2006/relationships/styles" Target="styles.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externalLink" Target="externalLinks/externalLink32.xml"/><Relationship Id="rId137" Type="http://schemas.openxmlformats.org/officeDocument/2006/relationships/externalLink" Target="externalLinks/externalLink53.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externalLink" Target="externalLinks/externalLink4.xml"/><Relationship Id="rId111" Type="http://schemas.openxmlformats.org/officeDocument/2006/relationships/externalLink" Target="externalLinks/externalLink27.xml"/><Relationship Id="rId132" Type="http://schemas.openxmlformats.org/officeDocument/2006/relationships/externalLink" Target="externalLinks/externalLink48.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externalLink" Target="externalLinks/externalLink22.xml"/><Relationship Id="rId127" Type="http://schemas.openxmlformats.org/officeDocument/2006/relationships/externalLink" Target="externalLinks/externalLink43.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externalLink" Target="externalLinks/externalLink10.xml"/><Relationship Id="rId99" Type="http://schemas.openxmlformats.org/officeDocument/2006/relationships/externalLink" Target="externalLinks/externalLink15.xml"/><Relationship Id="rId101" Type="http://schemas.openxmlformats.org/officeDocument/2006/relationships/externalLink" Target="externalLinks/externalLink17.xml"/><Relationship Id="rId122" Type="http://schemas.openxmlformats.org/officeDocument/2006/relationships/externalLink" Target="externalLinks/externalLink38.xml"/><Relationship Id="rId143"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externalLink" Target="externalLinks/externalLink5.xml"/><Relationship Id="rId112" Type="http://schemas.openxmlformats.org/officeDocument/2006/relationships/externalLink" Target="externalLinks/externalLink28.xml"/><Relationship Id="rId133" Type="http://schemas.openxmlformats.org/officeDocument/2006/relationships/externalLink" Target="externalLinks/externalLink49.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externalLink" Target="externalLinks/externalLink18.xml"/><Relationship Id="rId123" Type="http://schemas.openxmlformats.org/officeDocument/2006/relationships/externalLink" Target="externalLinks/externalLink39.xml"/><Relationship Id="rId144"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18.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34"/>
    </mc:Choice>
    <mc:Fallback>
      <c:style val="34"/>
    </mc:Fallback>
  </mc:AlternateContent>
  <c:chart>
    <c:title>
      <c:tx>
        <c:rich>
          <a:bodyPr/>
          <a:lstStyle/>
          <a:p>
            <a:pPr>
              <a:defRPr sz="1000">
                <a:latin typeface="Tahoma" pitchFamily="34" charset="0"/>
                <a:ea typeface="Tahoma" pitchFamily="34" charset="0"/>
                <a:cs typeface="Tahoma" pitchFamily="34" charset="0"/>
              </a:defRPr>
            </a:pPr>
            <a:r>
              <a:rPr lang="en-US" sz="1000">
                <a:latin typeface="Tahoma" pitchFamily="34" charset="0"/>
                <a:ea typeface="Tahoma" pitchFamily="34" charset="0"/>
                <a:cs typeface="Tahoma" pitchFamily="34" charset="0"/>
              </a:rPr>
              <a:t>Gross Written Premium and Growth rate - Long Term Insurance Business  </a:t>
            </a:r>
          </a:p>
        </c:rich>
      </c:tx>
      <c:overlay val="0"/>
    </c:title>
    <c:autoTitleDeleted val="0"/>
    <c:plotArea>
      <c:layout>
        <c:manualLayout>
          <c:layoutTarget val="inner"/>
          <c:xMode val="edge"/>
          <c:yMode val="edge"/>
          <c:x val="0.1626759620663463"/>
          <c:y val="0.11090734959904242"/>
          <c:w val="0.62169693688006689"/>
          <c:h val="0.823210589800495"/>
        </c:manualLayout>
      </c:layout>
      <c:barChart>
        <c:barDir val="col"/>
        <c:grouping val="clustered"/>
        <c:varyColors val="0"/>
        <c:ser>
          <c:idx val="0"/>
          <c:order val="1"/>
          <c:tx>
            <c:strRef>
              <c:f>'GWP-LTIB (Final)'!$B$87</c:f>
              <c:strCache>
                <c:ptCount val="1"/>
                <c:pt idx="0">
                  <c:v>Total</c:v>
                </c:pt>
              </c:strCache>
            </c:strRef>
          </c:tx>
          <c:invertIfNegative val="0"/>
          <c:dLbls>
            <c:dLbl>
              <c:idx val="3"/>
              <c:layout>
                <c:manualLayout>
                  <c:x val="-7.0040578978239148E-17"/>
                  <c:y val="0.29582402791370815"/>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B2E-4D33-834D-30C9B7A9EC08}"/>
                </c:ext>
              </c:extLst>
            </c:dLbl>
            <c:spPr>
              <a:noFill/>
              <a:ln>
                <a:noFill/>
              </a:ln>
              <a:effectLst/>
            </c:spPr>
            <c:txPr>
              <a:bodyPr rot="-5400000" vert="horz"/>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'GWP-LTIB (Final)'!$G$69:$K$69</c:f>
              <c:strCache>
                <c:ptCount val="3"/>
                <c:pt idx="0">
                  <c:v>2010</c:v>
                </c:pt>
                <c:pt idx="1">
                  <c:v>2011</c:v>
                </c:pt>
                <c:pt idx="2">
                  <c:v>2012(a)</c:v>
                </c:pt>
              </c:strCache>
            </c:strRef>
          </c:cat>
          <c:val>
            <c:numRef>
              <c:f>'GWP-LTIB (Final)'!$I$87:$L$87</c:f>
              <c:numCache>
                <c:formatCode>_(* #,##0_);_(* \(#,##0\);_(* "-"??_);_(@_)</c:formatCode>
                <c:ptCount val="4"/>
                <c:pt idx="0">
                  <c:v>31152085.591510002</c:v>
                </c:pt>
                <c:pt idx="1">
                  <c:v>35161852.689566001</c:v>
                </c:pt>
                <c:pt idx="2">
                  <c:v>37476708.838317692</c:v>
                </c:pt>
                <c:pt idx="3">
                  <c:v>41305767.687051997</c:v>
                </c:pt>
              </c:numCache>
            </c:numRef>
          </c:val>
          <c:extLst>
            <c:ext xmlns:c16="http://schemas.microsoft.com/office/drawing/2014/chart" uri="{C3380CC4-5D6E-409C-BE32-E72D297353CC}">
              <c16:uniqueId val="{00000001-DB2E-4D33-834D-30C9B7A9EC08}"/>
            </c:ext>
          </c:extLst>
        </c:ser>
        <c:dLbls>
          <c:showLegendKey val="0"/>
          <c:showVal val="0"/>
          <c:showCatName val="0"/>
          <c:showSerName val="0"/>
          <c:showPercent val="0"/>
          <c:showBubbleSize val="0"/>
        </c:dLbls>
        <c:gapWidth val="150"/>
        <c:axId val="116407296"/>
        <c:axId val="116514176"/>
      </c:barChart>
      <c:lineChart>
        <c:grouping val="standard"/>
        <c:varyColors val="0"/>
        <c:ser>
          <c:idx val="16"/>
          <c:order val="0"/>
          <c:tx>
            <c:strRef>
              <c:f>'GWP-LTIB (Final)'!$B$89</c:f>
              <c:strCache>
                <c:ptCount val="1"/>
                <c:pt idx="0">
                  <c:v>Growth  Rate %</c:v>
                </c:pt>
              </c:strCache>
            </c:strRef>
          </c:tx>
          <c:dLbls>
            <c:dLbl>
              <c:idx val="1"/>
              <c:layout>
                <c:manualLayout>
                  <c:x val="-5.5063614560617834E-2"/>
                  <c:y val="4.443781805380852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B2E-4D33-834D-30C9B7A9EC08}"/>
                </c:ext>
              </c:extLst>
            </c:dLbl>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'GWP-LTIB (Final)'!$I$69:$L$69</c:f>
              <c:strCache>
                <c:ptCount val="4"/>
                <c:pt idx="0">
                  <c:v>2010</c:v>
                </c:pt>
                <c:pt idx="1">
                  <c:v>2011</c:v>
                </c:pt>
                <c:pt idx="2">
                  <c:v>2012(a)</c:v>
                </c:pt>
                <c:pt idx="3">
                  <c:v>2013(b)</c:v>
                </c:pt>
              </c:strCache>
            </c:strRef>
          </c:cat>
          <c:val>
            <c:numRef>
              <c:f>'GWP-LTIB (Final)'!$I$89:$L$89</c:f>
              <c:numCache>
                <c:formatCode>#,##0.00</c:formatCode>
                <c:ptCount val="4"/>
                <c:pt idx="0">
                  <c:v>29.773212388164644</c:v>
                </c:pt>
                <c:pt idx="1">
                  <c:v>12.871584749204711</c:v>
                </c:pt>
                <c:pt idx="2">
                  <c:v>6.5834305410152814</c:v>
                </c:pt>
                <c:pt idx="3">
                  <c:v>10.217169456511401</c:v>
                </c:pt>
              </c:numCache>
            </c:numRef>
          </c:val>
          <c:smooth val="0"/>
          <c:extLst>
            <c:ext xmlns:c16="http://schemas.microsoft.com/office/drawing/2014/chart" uri="{C3380CC4-5D6E-409C-BE32-E72D297353CC}">
              <c16:uniqueId val="{00000003-DB2E-4D33-834D-30C9B7A9EC08}"/>
            </c:ext>
          </c:extLst>
        </c:ser>
        <c:dLbls>
          <c:showLegendKey val="0"/>
          <c:showVal val="0"/>
          <c:showCatName val="0"/>
          <c:showSerName val="0"/>
          <c:showPercent val="0"/>
          <c:showBubbleSize val="0"/>
        </c:dLbls>
        <c:marker val="1"/>
        <c:smooth val="0"/>
        <c:axId val="117364224"/>
        <c:axId val="117365760"/>
      </c:lineChart>
      <c:catAx>
        <c:axId val="116407296"/>
        <c:scaling>
          <c:orientation val="minMax"/>
        </c:scaling>
        <c:delete val="0"/>
        <c:axPos val="b"/>
        <c:numFmt formatCode="General" sourceLinked="1"/>
        <c:majorTickMark val="none"/>
        <c:minorTickMark val="none"/>
        <c:tickLblPos val="nextTo"/>
        <c:txPr>
          <a:bodyPr rot="0" vert="horz"/>
          <a:lstStyle/>
          <a:p>
            <a:pPr>
              <a:defRPr/>
            </a:pPr>
            <a:endParaRPr lang="en-US"/>
          </a:p>
        </c:txPr>
        <c:crossAx val="116514176"/>
        <c:crosses val="autoZero"/>
        <c:auto val="1"/>
        <c:lblAlgn val="ctr"/>
        <c:lblOffset val="100"/>
        <c:noMultiLvlLbl val="0"/>
      </c:catAx>
      <c:valAx>
        <c:axId val="116514176"/>
        <c:scaling>
          <c:orientation val="minMax"/>
          <c:max val="40000000"/>
        </c:scaling>
        <c:delete val="0"/>
        <c:axPos val="l"/>
        <c:majorGridlines/>
        <c:title>
          <c:tx>
            <c:rich>
              <a:bodyPr rot="0" vert="horz"/>
              <a:lstStyle/>
              <a:p>
                <a:pPr>
                  <a:defRPr/>
                </a:pPr>
                <a:r>
                  <a:rPr lang="en-US"/>
                  <a:t>Rs.'000</a:t>
                </a:r>
              </a:p>
            </c:rich>
          </c:tx>
          <c:layout>
            <c:manualLayout>
              <c:xMode val="edge"/>
              <c:yMode val="edge"/>
              <c:x val="1.9102196752626601E-3"/>
              <c:y val="0.45255204046239123"/>
            </c:manualLayout>
          </c:layout>
          <c:overlay val="0"/>
        </c:title>
        <c:numFmt formatCode="#,##0" sourceLinked="0"/>
        <c:majorTickMark val="none"/>
        <c:minorTickMark val="none"/>
        <c:tickLblPos val="nextTo"/>
        <c:txPr>
          <a:bodyPr rot="0" vert="horz"/>
          <a:lstStyle/>
          <a:p>
            <a:pPr>
              <a:defRPr/>
            </a:pPr>
            <a:endParaRPr lang="en-US"/>
          </a:p>
        </c:txPr>
        <c:crossAx val="116407296"/>
        <c:crosses val="autoZero"/>
        <c:crossBetween val="between"/>
      </c:valAx>
      <c:catAx>
        <c:axId val="117364224"/>
        <c:scaling>
          <c:orientation val="minMax"/>
        </c:scaling>
        <c:delete val="1"/>
        <c:axPos val="b"/>
        <c:numFmt formatCode="General" sourceLinked="1"/>
        <c:majorTickMark val="out"/>
        <c:minorTickMark val="none"/>
        <c:tickLblPos val="none"/>
        <c:crossAx val="117365760"/>
        <c:crosses val="autoZero"/>
        <c:auto val="1"/>
        <c:lblAlgn val="ctr"/>
        <c:lblOffset val="100"/>
        <c:noMultiLvlLbl val="0"/>
      </c:catAx>
      <c:valAx>
        <c:axId val="117365760"/>
        <c:scaling>
          <c:orientation val="minMax"/>
        </c:scaling>
        <c:delete val="0"/>
        <c:axPos val="r"/>
        <c:numFmt formatCode="#,##0.00" sourceLinked="1"/>
        <c:majorTickMark val="out"/>
        <c:minorTickMark val="none"/>
        <c:tickLblPos val="nextTo"/>
        <c:txPr>
          <a:bodyPr rot="0" vert="horz"/>
          <a:lstStyle/>
          <a:p>
            <a:pPr>
              <a:defRPr/>
            </a:pPr>
            <a:endParaRPr lang="en-US"/>
          </a:p>
        </c:txPr>
        <c:crossAx val="117364224"/>
        <c:crosses val="max"/>
        <c:crossBetween val="between"/>
      </c:valAx>
    </c:plotArea>
    <c:legend>
      <c:legendPos val="r"/>
      <c:layout>
        <c:manualLayout>
          <c:xMode val="edge"/>
          <c:yMode val="edge"/>
          <c:x val="0.8599808978032476"/>
          <c:y val="0.48015012916287891"/>
          <c:w val="0.12855778414517671"/>
          <c:h val="0.17663596784130794"/>
        </c:manualLayout>
      </c:layout>
      <c:overlay val="0"/>
    </c:legend>
    <c:plotVisOnly val="1"/>
    <c:dispBlanksAs val="gap"/>
    <c:showDLblsOverMax val="0"/>
  </c:chart>
  <c:printSettings>
    <c:headerFooter/>
    <c:pageMargins b="0.75000000000001465" l="0.70000000000000062" r="0.70000000000000062" t="0.75000000000001465"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34"/>
    </mc:Choice>
    <mc:Fallback>
      <c:style val="34"/>
    </mc:Fallback>
  </mc:AlternateContent>
  <c:chart>
    <c:title>
      <c:tx>
        <c:rich>
          <a:bodyPr/>
          <a:lstStyle/>
          <a:p>
            <a:pPr>
              <a:defRPr sz="1100">
                <a:latin typeface="Tahoma" pitchFamily="34" charset="0"/>
                <a:ea typeface="Tahoma" pitchFamily="34" charset="0"/>
                <a:cs typeface="Tahoma" pitchFamily="34" charset="0"/>
              </a:defRPr>
            </a:pPr>
            <a:r>
              <a:rPr lang="en-US" sz="1100" b="1" i="0" baseline="0"/>
              <a:t>Market Share of Top Five GWP generators in 2013 - General Insurance Business </a:t>
            </a:r>
            <a:endParaRPr lang="en-US" sz="1100"/>
          </a:p>
        </c:rich>
      </c:tx>
      <c:overlay val="0"/>
    </c:title>
    <c:autoTitleDeleted val="0"/>
    <c:plotArea>
      <c:layout>
        <c:manualLayout>
          <c:layoutTarget val="inner"/>
          <c:xMode val="edge"/>
          <c:yMode val="edge"/>
          <c:x val="0.11651393505685562"/>
          <c:y val="7.4602944197192794E-2"/>
          <c:w val="0.8591756395107476"/>
          <c:h val="0.69750615086157708"/>
        </c:manualLayout>
      </c:layout>
      <c:barChart>
        <c:barDir val="col"/>
        <c:grouping val="clustered"/>
        <c:varyColors val="0"/>
        <c:ser>
          <c:idx val="0"/>
          <c:order val="0"/>
          <c:tx>
            <c:strRef>
              <c:f>'GWP-GIB (Final)'!$AE$6</c:f>
            </c:strRef>
          </c:tx>
          <c:invertIfNegative val="0"/>
          <c:cat>
            <c:strRef>
              <c:f>'GWP-GIB (Final)'!$AF$9:$AF$13</c:f>
              <c:strCache>
                <c:ptCount val="5"/>
                <c:pt idx="0">
                  <c:v> SLIC </c:v>
                </c:pt>
                <c:pt idx="1">
                  <c:v> Ceylinco </c:v>
                </c:pt>
                <c:pt idx="2">
                  <c:v> Janashakthi </c:v>
                </c:pt>
                <c:pt idx="3">
                  <c:v> UAL </c:v>
                </c:pt>
                <c:pt idx="4">
                  <c:v>People’s</c:v>
                </c:pt>
              </c:strCache>
            </c:strRef>
          </c:cat>
          <c:val>
            <c:numRef>
              <c:f>'GWP-GIB (Final)'!$AE$9:$AE$13</c:f>
            </c:numRef>
          </c:val>
          <c:extLst>
            <c:ext xmlns:c16="http://schemas.microsoft.com/office/drawing/2014/chart" uri="{C3380CC4-5D6E-409C-BE32-E72D297353CC}">
              <c16:uniqueId val="{00000000-C0FB-49DD-8033-390E20DF7405}"/>
            </c:ext>
          </c:extLst>
        </c:ser>
        <c:ser>
          <c:idx val="2"/>
          <c:order val="1"/>
          <c:tx>
            <c:strRef>
              <c:f>'GWP-GIB (Final)'!$AI$6</c:f>
              <c:strCache>
                <c:ptCount val="1"/>
                <c:pt idx="0">
                  <c:v>2009</c:v>
                </c:pt>
              </c:strCache>
            </c:strRef>
          </c:tx>
          <c:invertIfNegative val="0"/>
          <c:cat>
            <c:strRef>
              <c:f>'GWP-GIB (Final)'!$AF$9:$AF$13</c:f>
              <c:strCache>
                <c:ptCount val="5"/>
                <c:pt idx="0">
                  <c:v> SLIC </c:v>
                </c:pt>
                <c:pt idx="1">
                  <c:v> Ceylinco </c:v>
                </c:pt>
                <c:pt idx="2">
                  <c:v> Janashakthi </c:v>
                </c:pt>
                <c:pt idx="3">
                  <c:v> UAL </c:v>
                </c:pt>
                <c:pt idx="4">
                  <c:v>People’s</c:v>
                </c:pt>
              </c:strCache>
            </c:strRef>
          </c:cat>
          <c:val>
            <c:numRef>
              <c:f>'GWP-GIB (Final)'!$AI$9:$AI$13</c:f>
              <c:numCache>
                <c:formatCode>_(* #,##0.00_);_(* \(#,##0.00\);_(* "-"??_);_(@_)</c:formatCode>
                <c:ptCount val="5"/>
                <c:pt idx="0">
                  <c:v>26.125161477942022</c:v>
                </c:pt>
                <c:pt idx="1">
                  <c:v>27.069347892365574</c:v>
                </c:pt>
                <c:pt idx="2">
                  <c:v>12.736652089710759</c:v>
                </c:pt>
                <c:pt idx="3">
                  <c:v>9.568950802056186</c:v>
                </c:pt>
                <c:pt idx="4">
                  <c:v>0</c:v>
                </c:pt>
              </c:numCache>
            </c:numRef>
          </c:val>
          <c:extLst>
            <c:ext xmlns:c16="http://schemas.microsoft.com/office/drawing/2014/chart" uri="{C3380CC4-5D6E-409C-BE32-E72D297353CC}">
              <c16:uniqueId val="{00000001-C0FB-49DD-8033-390E20DF7405}"/>
            </c:ext>
          </c:extLst>
        </c:ser>
        <c:ser>
          <c:idx val="3"/>
          <c:order val="2"/>
          <c:tx>
            <c:strRef>
              <c:f>'GWP-GIB (Final)'!$AJ$6</c:f>
              <c:strCache>
                <c:ptCount val="1"/>
                <c:pt idx="0">
                  <c:v>2010</c:v>
                </c:pt>
              </c:strCache>
            </c:strRef>
          </c:tx>
          <c:invertIfNegative val="0"/>
          <c:cat>
            <c:strRef>
              <c:f>'GWP-GIB (Final)'!$AF$9:$AF$13</c:f>
              <c:strCache>
                <c:ptCount val="5"/>
                <c:pt idx="0">
                  <c:v> SLIC </c:v>
                </c:pt>
                <c:pt idx="1">
                  <c:v> Ceylinco </c:v>
                </c:pt>
                <c:pt idx="2">
                  <c:v> Janashakthi </c:v>
                </c:pt>
                <c:pt idx="3">
                  <c:v> UAL </c:v>
                </c:pt>
                <c:pt idx="4">
                  <c:v>People’s</c:v>
                </c:pt>
              </c:strCache>
            </c:strRef>
          </c:cat>
          <c:val>
            <c:numRef>
              <c:f>'GWP-GIB (Final)'!$AJ$9:$AJ$13</c:f>
              <c:numCache>
                <c:formatCode>_(* #,##0.00_);_(* \(#,##0.00\);_(* "-"??_);_(@_)</c:formatCode>
                <c:ptCount val="5"/>
                <c:pt idx="0">
                  <c:v>24.973406113159534</c:v>
                </c:pt>
                <c:pt idx="1">
                  <c:v>24.854508095785729</c:v>
                </c:pt>
                <c:pt idx="2">
                  <c:v>12.319063964359856</c:v>
                </c:pt>
                <c:pt idx="3">
                  <c:v>9.7825889534941268</c:v>
                </c:pt>
                <c:pt idx="4">
                  <c:v>2.4231882616547726</c:v>
                </c:pt>
              </c:numCache>
            </c:numRef>
          </c:val>
          <c:extLst>
            <c:ext xmlns:c16="http://schemas.microsoft.com/office/drawing/2014/chart" uri="{C3380CC4-5D6E-409C-BE32-E72D297353CC}">
              <c16:uniqueId val="{00000002-C0FB-49DD-8033-390E20DF7405}"/>
            </c:ext>
          </c:extLst>
        </c:ser>
        <c:ser>
          <c:idx val="4"/>
          <c:order val="3"/>
          <c:tx>
            <c:strRef>
              <c:f>'GWP-GIB (Final)'!$AK$6</c:f>
              <c:strCache>
                <c:ptCount val="1"/>
                <c:pt idx="0">
                  <c:v>2011</c:v>
                </c:pt>
              </c:strCache>
            </c:strRef>
          </c:tx>
          <c:invertIfNegative val="0"/>
          <c:cat>
            <c:strRef>
              <c:f>'GWP-GIB (Final)'!$AF$9:$AF$13</c:f>
              <c:strCache>
                <c:ptCount val="5"/>
                <c:pt idx="0">
                  <c:v> SLIC </c:v>
                </c:pt>
                <c:pt idx="1">
                  <c:v> Ceylinco </c:v>
                </c:pt>
                <c:pt idx="2">
                  <c:v> Janashakthi </c:v>
                </c:pt>
                <c:pt idx="3">
                  <c:v> UAL </c:v>
                </c:pt>
                <c:pt idx="4">
                  <c:v>People’s</c:v>
                </c:pt>
              </c:strCache>
            </c:strRef>
          </c:cat>
          <c:val>
            <c:numRef>
              <c:f>'GWP-GIB (Final)'!$AK$9:$AK$13</c:f>
              <c:numCache>
                <c:formatCode>_(* #,##0.00_);_(* \(#,##0.00\);_(* "-"??_);_(@_)</c:formatCode>
                <c:ptCount val="5"/>
                <c:pt idx="0">
                  <c:v>25.697865327630709</c:v>
                </c:pt>
                <c:pt idx="1">
                  <c:v>22.061392818688212</c:v>
                </c:pt>
                <c:pt idx="2">
                  <c:v>11.738623325314268</c:v>
                </c:pt>
                <c:pt idx="3">
                  <c:v>9.3596884262375379</c:v>
                </c:pt>
                <c:pt idx="4">
                  <c:v>5.2726517937793824</c:v>
                </c:pt>
              </c:numCache>
            </c:numRef>
          </c:val>
          <c:extLst>
            <c:ext xmlns:c16="http://schemas.microsoft.com/office/drawing/2014/chart" uri="{C3380CC4-5D6E-409C-BE32-E72D297353CC}">
              <c16:uniqueId val="{00000003-C0FB-49DD-8033-390E20DF7405}"/>
            </c:ext>
          </c:extLst>
        </c:ser>
        <c:ser>
          <c:idx val="5"/>
          <c:order val="4"/>
          <c:tx>
            <c:strRef>
              <c:f>'GWP-GIB (Final)'!$AL$6</c:f>
              <c:strCache>
                <c:ptCount val="1"/>
                <c:pt idx="0">
                  <c:v>2012(a)</c:v>
                </c:pt>
              </c:strCache>
            </c:strRef>
          </c:tx>
          <c:invertIfNegative val="0"/>
          <c:cat>
            <c:strRef>
              <c:f>'GWP-GIB (Final)'!$AF$9:$AF$13</c:f>
              <c:strCache>
                <c:ptCount val="5"/>
                <c:pt idx="0">
                  <c:v> SLIC </c:v>
                </c:pt>
                <c:pt idx="1">
                  <c:v> Ceylinco </c:v>
                </c:pt>
                <c:pt idx="2">
                  <c:v> Janashakthi </c:v>
                </c:pt>
                <c:pt idx="3">
                  <c:v> UAL </c:v>
                </c:pt>
                <c:pt idx="4">
                  <c:v>People’s</c:v>
                </c:pt>
              </c:strCache>
            </c:strRef>
          </c:cat>
          <c:val>
            <c:numRef>
              <c:f>'GWP-GIB (Final)'!$AL$9:$AL$13</c:f>
              <c:numCache>
                <c:formatCode>_(* #,##0.00_);_(* \(#,##0.00\);_(* "-"??_);_(@_)</c:formatCode>
                <c:ptCount val="5"/>
                <c:pt idx="0">
                  <c:v>24.870358217808686</c:v>
                </c:pt>
                <c:pt idx="1">
                  <c:v>20.998154258801137</c:v>
                </c:pt>
                <c:pt idx="2">
                  <c:v>11.617856010272879</c:v>
                </c:pt>
                <c:pt idx="3">
                  <c:v>8.9266542061999612</c:v>
                </c:pt>
                <c:pt idx="4">
                  <c:v>5.6252717641712708</c:v>
                </c:pt>
              </c:numCache>
            </c:numRef>
          </c:val>
          <c:extLst>
            <c:ext xmlns:c16="http://schemas.microsoft.com/office/drawing/2014/chart" uri="{C3380CC4-5D6E-409C-BE32-E72D297353CC}">
              <c16:uniqueId val="{00000004-C0FB-49DD-8033-390E20DF7405}"/>
            </c:ext>
          </c:extLst>
        </c:ser>
        <c:ser>
          <c:idx val="1"/>
          <c:order val="5"/>
          <c:tx>
            <c:strRef>
              <c:f>'GWP-GIB (Final)'!$AM$6</c:f>
              <c:strCache>
                <c:ptCount val="1"/>
                <c:pt idx="0">
                  <c:v>2013(b)</c:v>
                </c:pt>
              </c:strCache>
            </c:strRef>
          </c:tx>
          <c:invertIfNegative val="0"/>
          <c:cat>
            <c:strRef>
              <c:f>'GWP-GIB (Final)'!$AF$9:$AF$13</c:f>
              <c:strCache>
                <c:ptCount val="5"/>
                <c:pt idx="0">
                  <c:v> SLIC </c:v>
                </c:pt>
                <c:pt idx="1">
                  <c:v> Ceylinco </c:v>
                </c:pt>
                <c:pt idx="2">
                  <c:v> Janashakthi </c:v>
                </c:pt>
                <c:pt idx="3">
                  <c:v> UAL </c:v>
                </c:pt>
                <c:pt idx="4">
                  <c:v>People’s</c:v>
                </c:pt>
              </c:strCache>
            </c:strRef>
          </c:cat>
          <c:val>
            <c:numRef>
              <c:f>'GWP-GIB (Final)'!$AM$9:$AM$13</c:f>
              <c:numCache>
                <c:formatCode>_(* #,##0.00_);_(* \(#,##0.00\);_(* "-"??_);_(@_)</c:formatCode>
                <c:ptCount val="5"/>
                <c:pt idx="0">
                  <c:v>24.043452689902782</c:v>
                </c:pt>
                <c:pt idx="1">
                  <c:v>19.39073546210334</c:v>
                </c:pt>
                <c:pt idx="2">
                  <c:v>11.927156868505543</c:v>
                </c:pt>
                <c:pt idx="3">
                  <c:v>9.6224540846708955</c:v>
                </c:pt>
                <c:pt idx="4">
                  <c:v>5.8014196030296876</c:v>
                </c:pt>
              </c:numCache>
            </c:numRef>
          </c:val>
          <c:extLst>
            <c:ext xmlns:c16="http://schemas.microsoft.com/office/drawing/2014/chart" uri="{C3380CC4-5D6E-409C-BE32-E72D297353CC}">
              <c16:uniqueId val="{00000005-C0FB-49DD-8033-390E20DF7405}"/>
            </c:ext>
          </c:extLst>
        </c:ser>
        <c:dLbls>
          <c:showLegendKey val="0"/>
          <c:showVal val="0"/>
          <c:showCatName val="0"/>
          <c:showSerName val="0"/>
          <c:showPercent val="0"/>
          <c:showBubbleSize val="0"/>
        </c:dLbls>
        <c:gapWidth val="150"/>
        <c:axId val="84796160"/>
        <c:axId val="84797696"/>
      </c:barChart>
      <c:catAx>
        <c:axId val="84796160"/>
        <c:scaling>
          <c:orientation val="minMax"/>
        </c:scaling>
        <c:delete val="0"/>
        <c:axPos val="b"/>
        <c:numFmt formatCode="General" sourceLinked="1"/>
        <c:majorTickMark val="none"/>
        <c:minorTickMark val="none"/>
        <c:tickLblPos val="nextTo"/>
        <c:txPr>
          <a:bodyPr rot="0" vert="horz"/>
          <a:lstStyle/>
          <a:p>
            <a:pPr>
              <a:defRPr/>
            </a:pPr>
            <a:endParaRPr lang="en-US"/>
          </a:p>
        </c:txPr>
        <c:crossAx val="84797696"/>
        <c:crosses val="autoZero"/>
        <c:auto val="1"/>
        <c:lblAlgn val="ctr"/>
        <c:lblOffset val="100"/>
        <c:noMultiLvlLbl val="0"/>
      </c:catAx>
      <c:valAx>
        <c:axId val="84797696"/>
        <c:scaling>
          <c:orientation val="minMax"/>
        </c:scaling>
        <c:delete val="0"/>
        <c:axPos val="l"/>
        <c:majorGridlines/>
        <c:title>
          <c:tx>
            <c:rich>
              <a:bodyPr/>
              <a:lstStyle/>
              <a:p>
                <a:pPr>
                  <a:defRPr/>
                </a:pPr>
                <a:r>
                  <a:rPr lang="en-US"/>
                  <a:t>%</a:t>
                </a:r>
              </a:p>
            </c:rich>
          </c:tx>
          <c:overlay val="0"/>
        </c:title>
        <c:numFmt formatCode="_(* #,##0.00_);_(* \(#,##0.00\);_(* &quot;-&quot;??_);_(@_)" sourceLinked="1"/>
        <c:majorTickMark val="none"/>
        <c:minorTickMark val="none"/>
        <c:tickLblPos val="nextTo"/>
        <c:txPr>
          <a:bodyPr rot="0" vert="horz"/>
          <a:lstStyle/>
          <a:p>
            <a:pPr>
              <a:defRPr/>
            </a:pPr>
            <a:endParaRPr lang="en-US"/>
          </a:p>
        </c:txPr>
        <c:crossAx val="84796160"/>
        <c:crosses val="autoZero"/>
        <c:crossBetween val="between"/>
      </c:valAx>
      <c:dTable>
        <c:showHorzBorder val="1"/>
        <c:showVertBorder val="1"/>
        <c:showOutline val="1"/>
        <c:showKeys val="1"/>
      </c:dTable>
      <c:spPr>
        <a:noFill/>
      </c:spPr>
    </c:plotArea>
    <c:plotVisOnly val="1"/>
    <c:dispBlanksAs val="gap"/>
    <c:showDLblsOverMax val="0"/>
  </c:chart>
  <c:spPr>
    <a:noFill/>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42"/>
    </mc:Choice>
    <mc:Fallback>
      <c:style val="42"/>
    </mc:Fallback>
  </mc:AlternateContent>
  <c:chart>
    <c:title>
      <c:tx>
        <c:rich>
          <a:bodyPr/>
          <a:lstStyle/>
          <a:p>
            <a:pPr>
              <a:defRPr sz="1800" b="1" i="0" u="none" strike="noStrike" baseline="0">
                <a:solidFill>
                  <a:srgbClr val="FFFFFF"/>
                </a:solidFill>
                <a:latin typeface="Calibri"/>
                <a:ea typeface="Calibri"/>
                <a:cs typeface="Calibri"/>
              </a:defRPr>
            </a:pPr>
            <a:r>
              <a:rPr lang="en-US"/>
              <a:t>No. of Motor Policies - GI </a:t>
            </a:r>
          </a:p>
        </c:rich>
      </c:tx>
      <c:overlay val="0"/>
    </c:title>
    <c:autoTitleDeleted val="0"/>
    <c:plotArea>
      <c:layout>
        <c:manualLayout>
          <c:layoutTarget val="inner"/>
          <c:xMode val="edge"/>
          <c:yMode val="edge"/>
          <c:x val="0.13807463910761156"/>
          <c:y val="0.13809057100490837"/>
          <c:w val="0.59632903333891785"/>
          <c:h val="0.76764612127415532"/>
        </c:manualLayout>
      </c:layout>
      <c:barChart>
        <c:barDir val="col"/>
        <c:grouping val="stacked"/>
        <c:varyColors val="0"/>
        <c:ser>
          <c:idx val="0"/>
          <c:order val="0"/>
          <c:tx>
            <c:strRef>
              <c:f>'T13(i) -Motor Policies'!$C$4</c:f>
              <c:strCache>
                <c:ptCount val="1"/>
                <c:pt idx="0">
                  <c:v>3rd Party</c:v>
                </c:pt>
              </c:strCache>
            </c:strRef>
          </c:tx>
          <c:invertIfNegative val="0"/>
          <c:cat>
            <c:numRef>
              <c:f>'T13(i) -Motor Policies'!$B$6:$B$10</c:f>
              <c:numCache>
                <c:formatCode>General</c:formatCode>
                <c:ptCount val="5"/>
                <c:pt idx="0">
                  <c:v>2008</c:v>
                </c:pt>
                <c:pt idx="1">
                  <c:v>2009</c:v>
                </c:pt>
                <c:pt idx="2">
                  <c:v>2010</c:v>
                </c:pt>
                <c:pt idx="3">
                  <c:v>2011</c:v>
                </c:pt>
                <c:pt idx="4">
                  <c:v>2012</c:v>
                </c:pt>
              </c:numCache>
            </c:numRef>
          </c:cat>
          <c:val>
            <c:numRef>
              <c:f>'T13(i) -Motor Policies'!$C$6:$C$10</c:f>
              <c:numCache>
                <c:formatCode>_(* #,##0_);_(* \(#,##0\);_(* "-"??_);_(@_)</c:formatCode>
                <c:ptCount val="5"/>
                <c:pt idx="0">
                  <c:v>1205245</c:v>
                </c:pt>
                <c:pt idx="1">
                  <c:v>1415020</c:v>
                </c:pt>
                <c:pt idx="2">
                  <c:v>1591047</c:v>
                </c:pt>
                <c:pt idx="3">
                  <c:v>1867731</c:v>
                </c:pt>
                <c:pt idx="4">
                  <c:v>2026197</c:v>
                </c:pt>
              </c:numCache>
            </c:numRef>
          </c:val>
          <c:extLst>
            <c:ext xmlns:c16="http://schemas.microsoft.com/office/drawing/2014/chart" uri="{C3380CC4-5D6E-409C-BE32-E72D297353CC}">
              <c16:uniqueId val="{00000000-8BCF-4345-9FA0-F6326AE1122A}"/>
            </c:ext>
          </c:extLst>
        </c:ser>
        <c:ser>
          <c:idx val="1"/>
          <c:order val="1"/>
          <c:tx>
            <c:strRef>
              <c:f>'T13(i) -Motor Policies'!$D$4</c:f>
              <c:strCache>
                <c:ptCount val="1"/>
                <c:pt idx="0">
                  <c:v>Comprehensive</c:v>
                </c:pt>
              </c:strCache>
            </c:strRef>
          </c:tx>
          <c:invertIfNegative val="0"/>
          <c:cat>
            <c:numRef>
              <c:f>'T13(i) -Motor Policies'!$B$6:$B$10</c:f>
              <c:numCache>
                <c:formatCode>General</c:formatCode>
                <c:ptCount val="5"/>
                <c:pt idx="0">
                  <c:v>2008</c:v>
                </c:pt>
                <c:pt idx="1">
                  <c:v>2009</c:v>
                </c:pt>
                <c:pt idx="2">
                  <c:v>2010</c:v>
                </c:pt>
                <c:pt idx="3">
                  <c:v>2011</c:v>
                </c:pt>
                <c:pt idx="4">
                  <c:v>2012</c:v>
                </c:pt>
              </c:numCache>
            </c:numRef>
          </c:cat>
          <c:val>
            <c:numRef>
              <c:f>'T13(i) -Motor Policies'!$D$6:$D$10</c:f>
              <c:numCache>
                <c:formatCode>_(* #,##0_);_(* \(#,##0\);_(* "-"??_);_(@_)</c:formatCode>
                <c:ptCount val="5"/>
                <c:pt idx="0">
                  <c:v>670460</c:v>
                </c:pt>
                <c:pt idx="1">
                  <c:v>892972</c:v>
                </c:pt>
                <c:pt idx="2">
                  <c:v>1066899</c:v>
                </c:pt>
                <c:pt idx="3">
                  <c:v>1325633</c:v>
                </c:pt>
                <c:pt idx="4">
                  <c:v>1417200</c:v>
                </c:pt>
              </c:numCache>
            </c:numRef>
          </c:val>
          <c:extLst>
            <c:ext xmlns:c16="http://schemas.microsoft.com/office/drawing/2014/chart" uri="{C3380CC4-5D6E-409C-BE32-E72D297353CC}">
              <c16:uniqueId val="{00000001-8BCF-4345-9FA0-F6326AE1122A}"/>
            </c:ext>
          </c:extLst>
        </c:ser>
        <c:dLbls>
          <c:showLegendKey val="0"/>
          <c:showVal val="0"/>
          <c:showCatName val="0"/>
          <c:showSerName val="0"/>
          <c:showPercent val="0"/>
          <c:showBubbleSize val="0"/>
        </c:dLbls>
        <c:gapWidth val="150"/>
        <c:overlap val="100"/>
        <c:axId val="93644288"/>
        <c:axId val="93646208"/>
      </c:barChart>
      <c:lineChart>
        <c:grouping val="standard"/>
        <c:varyColors val="0"/>
        <c:ser>
          <c:idx val="2"/>
          <c:order val="2"/>
          <c:tx>
            <c:strRef>
              <c:f>'T13(i) -Motor Policies'!$E$4</c:f>
              <c:strCache>
                <c:ptCount val="1"/>
                <c:pt idx="0">
                  <c:v>Total No. of Motor Vehicles Registered</c:v>
                </c:pt>
              </c:strCache>
            </c:strRef>
          </c:tx>
          <c:cat>
            <c:numRef>
              <c:f>'T13(i) -Motor Policies'!$B$6:$B$10</c:f>
              <c:numCache>
                <c:formatCode>General</c:formatCode>
                <c:ptCount val="5"/>
                <c:pt idx="0">
                  <c:v>2008</c:v>
                </c:pt>
                <c:pt idx="1">
                  <c:v>2009</c:v>
                </c:pt>
                <c:pt idx="2">
                  <c:v>2010</c:v>
                </c:pt>
                <c:pt idx="3">
                  <c:v>2011</c:v>
                </c:pt>
                <c:pt idx="4">
                  <c:v>2012</c:v>
                </c:pt>
              </c:numCache>
            </c:numRef>
          </c:cat>
          <c:val>
            <c:numRef>
              <c:f>'T13(i) -Motor Policies'!$E$6:$E$10</c:f>
              <c:numCache>
                <c:formatCode>_(* #,##0_);_(* \(#,##0\);_(* "-"??_);_(@_)</c:formatCode>
                <c:ptCount val="5"/>
                <c:pt idx="0">
                  <c:v>3390993</c:v>
                </c:pt>
                <c:pt idx="1">
                  <c:v>3595068</c:v>
                </c:pt>
                <c:pt idx="2">
                  <c:v>3954311</c:v>
                </c:pt>
              </c:numCache>
            </c:numRef>
          </c:val>
          <c:smooth val="0"/>
          <c:extLst>
            <c:ext xmlns:c16="http://schemas.microsoft.com/office/drawing/2014/chart" uri="{C3380CC4-5D6E-409C-BE32-E72D297353CC}">
              <c16:uniqueId val="{00000002-8BCF-4345-9FA0-F6326AE1122A}"/>
            </c:ext>
          </c:extLst>
        </c:ser>
        <c:ser>
          <c:idx val="3"/>
          <c:order val="3"/>
          <c:tx>
            <c:strRef>
              <c:f>'T13(i) -Motor Policies'!$F$4</c:f>
              <c:strCache>
                <c:ptCount val="1"/>
                <c:pt idx="0">
                  <c:v>New Motor Vehicles Registered</c:v>
                </c:pt>
              </c:strCache>
            </c:strRef>
          </c:tx>
          <c:spPr>
            <a:ln>
              <a:solidFill>
                <a:srgbClr val="FFC000"/>
              </a:solidFill>
            </a:ln>
          </c:spPr>
          <c:marker>
            <c:spPr>
              <a:solidFill>
                <a:srgbClr val="FFC000"/>
              </a:solidFill>
            </c:spPr>
          </c:marker>
          <c:cat>
            <c:numRef>
              <c:f>'T13(i) -Motor Policies'!$B$6:$B$10</c:f>
              <c:numCache>
                <c:formatCode>General</c:formatCode>
                <c:ptCount val="5"/>
                <c:pt idx="0">
                  <c:v>2008</c:v>
                </c:pt>
                <c:pt idx="1">
                  <c:v>2009</c:v>
                </c:pt>
                <c:pt idx="2">
                  <c:v>2010</c:v>
                </c:pt>
                <c:pt idx="3">
                  <c:v>2011</c:v>
                </c:pt>
                <c:pt idx="4">
                  <c:v>2012</c:v>
                </c:pt>
              </c:numCache>
            </c:numRef>
          </c:cat>
          <c:val>
            <c:numRef>
              <c:f>'T13(i) -Motor Policies'!$F$6:$F$10</c:f>
              <c:numCache>
                <c:formatCode>_(* #,##0_);_(* \(#,##0\);_(* "-"??_);_(@_)</c:formatCode>
                <c:ptCount val="5"/>
                <c:pt idx="0">
                  <c:v>265199</c:v>
                </c:pt>
                <c:pt idx="1">
                  <c:v>204075</c:v>
                </c:pt>
                <c:pt idx="2">
                  <c:v>359243</c:v>
                </c:pt>
              </c:numCache>
            </c:numRef>
          </c:val>
          <c:smooth val="0"/>
          <c:extLst>
            <c:ext xmlns:c16="http://schemas.microsoft.com/office/drawing/2014/chart" uri="{C3380CC4-5D6E-409C-BE32-E72D297353CC}">
              <c16:uniqueId val="{00000003-8BCF-4345-9FA0-F6326AE1122A}"/>
            </c:ext>
          </c:extLst>
        </c:ser>
        <c:dLbls>
          <c:showLegendKey val="0"/>
          <c:showVal val="0"/>
          <c:showCatName val="0"/>
          <c:showSerName val="0"/>
          <c:showPercent val="0"/>
          <c:showBubbleSize val="0"/>
        </c:dLbls>
        <c:marker val="1"/>
        <c:smooth val="0"/>
        <c:axId val="93644288"/>
        <c:axId val="93646208"/>
      </c:lineChart>
      <c:catAx>
        <c:axId val="93644288"/>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FFFFFF"/>
                </a:solidFill>
                <a:latin typeface="Calibri"/>
                <a:ea typeface="Calibri"/>
                <a:cs typeface="Calibri"/>
              </a:defRPr>
            </a:pPr>
            <a:endParaRPr lang="en-US"/>
          </a:p>
        </c:txPr>
        <c:crossAx val="93646208"/>
        <c:crosses val="autoZero"/>
        <c:auto val="1"/>
        <c:lblAlgn val="ctr"/>
        <c:lblOffset val="100"/>
        <c:noMultiLvlLbl val="0"/>
      </c:catAx>
      <c:valAx>
        <c:axId val="93646208"/>
        <c:scaling>
          <c:orientation val="minMax"/>
        </c:scaling>
        <c:delete val="0"/>
        <c:axPos val="l"/>
        <c:majorGridlines/>
        <c:numFmt formatCode="_(* #,##0_);_(* \(#,##0\);_(* &quot;-&quot;??_);_(@_)" sourceLinked="1"/>
        <c:majorTickMark val="none"/>
        <c:minorTickMark val="none"/>
        <c:tickLblPos val="nextTo"/>
        <c:txPr>
          <a:bodyPr rot="0" vert="horz"/>
          <a:lstStyle/>
          <a:p>
            <a:pPr>
              <a:defRPr sz="1000" b="0" i="0" u="none" strike="noStrike" baseline="0">
                <a:solidFill>
                  <a:srgbClr val="FFFFFF"/>
                </a:solidFill>
                <a:latin typeface="Calibri"/>
                <a:ea typeface="Calibri"/>
                <a:cs typeface="Calibri"/>
              </a:defRPr>
            </a:pPr>
            <a:endParaRPr lang="en-US"/>
          </a:p>
        </c:txPr>
        <c:crossAx val="93644288"/>
        <c:crosses val="autoZero"/>
        <c:crossBetween val="between"/>
      </c:valAx>
    </c:plotArea>
    <c:legend>
      <c:legendPos val="r"/>
      <c:layout>
        <c:manualLayout>
          <c:xMode val="edge"/>
          <c:yMode val="edge"/>
          <c:x val="0.7421875"/>
          <c:y val="0.46279171938040131"/>
          <c:w val="0.25781250000000488"/>
          <c:h val="0.38581393153193982"/>
        </c:manualLayout>
      </c:layout>
      <c:overlay val="0"/>
      <c:txPr>
        <a:bodyPr/>
        <a:lstStyle/>
        <a:p>
          <a:pPr>
            <a:defRPr sz="845" b="0" i="0" u="none" strike="noStrike" baseline="0">
              <a:solidFill>
                <a:srgbClr val="FFFFFF"/>
              </a:solidFill>
              <a:latin typeface="Calibri"/>
              <a:ea typeface="Calibri"/>
              <a:cs typeface="Calibri"/>
            </a:defRPr>
          </a:pPr>
          <a:endParaRPr lang="en-US"/>
        </a:p>
      </c:txPr>
    </c:legend>
    <c:plotVisOnly val="1"/>
    <c:dispBlanksAs val="zero"/>
    <c:showDLblsOverMax val="0"/>
  </c:chart>
  <c:txPr>
    <a:bodyPr/>
    <a:lstStyle/>
    <a:p>
      <a:pPr>
        <a:defRPr sz="1000" b="0" i="0" u="none" strike="noStrike" baseline="0">
          <a:solidFill>
            <a:srgbClr val="FFFFFF"/>
          </a:solidFill>
          <a:latin typeface="Calibri"/>
          <a:ea typeface="Calibri"/>
          <a:cs typeface="Calibri"/>
        </a:defRPr>
      </a:pPr>
      <a:endParaRPr lang="en-US"/>
    </a:p>
  </c:txPr>
  <c:printSettings>
    <c:headerFooter/>
    <c:pageMargins b="0.75000000000001465" l="0.70000000000000062" r="0.70000000000000062" t="0.7500000000000146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42"/>
    </mc:Choice>
    <mc:Fallback>
      <c:style val="42"/>
    </mc:Fallback>
  </mc:AlternateContent>
  <c:chart>
    <c:title>
      <c:tx>
        <c:rich>
          <a:bodyPr/>
          <a:lstStyle/>
          <a:p>
            <a:pPr>
              <a:defRPr sz="1800" b="1" i="0" u="none" strike="noStrike" baseline="0">
                <a:solidFill>
                  <a:srgbClr val="FFFFFF"/>
                </a:solidFill>
                <a:latin typeface="Calibri"/>
                <a:ea typeface="Calibri"/>
                <a:cs typeface="Calibri"/>
              </a:defRPr>
            </a:pPr>
            <a:r>
              <a:rPr lang="en-US"/>
              <a:t>Total Assets of Insurance Companies (Rs.million) and Growth Rate</a:t>
            </a:r>
          </a:p>
        </c:rich>
      </c:tx>
      <c:overlay val="0"/>
    </c:title>
    <c:autoTitleDeleted val="0"/>
    <c:plotArea>
      <c:layout>
        <c:manualLayout>
          <c:layoutTarget val="inner"/>
          <c:xMode val="edge"/>
          <c:yMode val="edge"/>
          <c:x val="0.11200540980412381"/>
          <c:y val="0.17751237991802749"/>
          <c:w val="0.79949218138119948"/>
          <c:h val="0.63672808140366199"/>
        </c:manualLayout>
      </c:layout>
      <c:barChart>
        <c:barDir val="col"/>
        <c:grouping val="stacked"/>
        <c:varyColors val="0"/>
        <c:ser>
          <c:idx val="0"/>
          <c:order val="0"/>
          <c:tx>
            <c:strRef>
              <c:f>'AR Table 8 &amp; Chart 9'!$O$5</c:f>
              <c:strCache>
                <c:ptCount val="1"/>
                <c:pt idx="0">
                  <c:v>Total Net Assets of Insurance Companies </c:v>
                </c:pt>
              </c:strCache>
            </c:strRef>
          </c:tx>
          <c:invertIfNegative val="0"/>
          <c:dLbls>
            <c:dLbl>
              <c:idx val="3"/>
              <c:tx>
                <c:rich>
                  <a:bodyPr/>
                  <a:lstStyle/>
                  <a:p>
                    <a:r>
                      <a:rPr lang="en-US"/>
                      <a:t> 222,098 </a:t>
                    </a:r>
                  </a:p>
                </c:rich>
              </c:tx>
              <c:dLblPos val="inEnd"/>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470-45B7-A5B3-AF5042EE109A}"/>
                </c:ext>
              </c:extLst>
            </c:dLbl>
            <c:dLbl>
              <c:idx val="4"/>
              <c:layout>
                <c:manualLayout>
                  <c:x val="0"/>
                  <c:y val="-0.12809614315451948"/>
                </c:manualLayout>
              </c:layout>
              <c:tx>
                <c:rich>
                  <a:bodyPr/>
                  <a:lstStyle/>
                  <a:p>
                    <a:r>
                      <a:rPr lang="en-US"/>
                      <a:t> 265,413</a:t>
                    </a:r>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470-45B7-A5B3-AF5042EE109A}"/>
                </c:ext>
              </c:extLst>
            </c:dLbl>
            <c:spPr>
              <a:noFill/>
              <a:ln>
                <a:noFill/>
              </a:ln>
              <a:effectLst/>
            </c:spPr>
            <c:txPr>
              <a:bodyPr rot="-5400000" vert="horz"/>
              <a:lstStyle/>
              <a:p>
                <a:pPr algn="ctr">
                  <a:defRPr sz="1000" b="0" i="0" u="none" strike="noStrike" baseline="0">
                    <a:solidFill>
                      <a:srgbClr val="FFFFFF"/>
                    </a:solidFill>
                    <a:latin typeface="Calibri"/>
                    <a:ea typeface="Calibri"/>
                    <a:cs typeface="Calibri"/>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'AR Table 8 &amp; Chart 9'!$P$6:$T$6</c:f>
              <c:strCache>
                <c:ptCount val="5"/>
                <c:pt idx="0">
                  <c:v>2008</c:v>
                </c:pt>
                <c:pt idx="1">
                  <c:v>2009</c:v>
                </c:pt>
                <c:pt idx="2">
                  <c:v>2010 </c:v>
                </c:pt>
                <c:pt idx="3">
                  <c:v>2011(a)</c:v>
                </c:pt>
                <c:pt idx="4">
                  <c:v>2012(b)</c:v>
                </c:pt>
              </c:strCache>
            </c:strRef>
          </c:cat>
          <c:val>
            <c:numRef>
              <c:f>'AR Table 8 &amp; Chart 9'!$P$8:$T$8</c:f>
              <c:numCache>
                <c:formatCode>_(* #,##0_);_(* \(#,##0\);_(* "-"??_);_(@_)</c:formatCode>
                <c:ptCount val="5"/>
                <c:pt idx="0">
                  <c:v>155993</c:v>
                </c:pt>
                <c:pt idx="1">
                  <c:v>181045</c:v>
                </c:pt>
                <c:pt idx="2">
                  <c:v>219102.12200337049</c:v>
                </c:pt>
                <c:pt idx="3">
                  <c:v>0</c:v>
                </c:pt>
                <c:pt idx="4">
                  <c:v>0</c:v>
                </c:pt>
              </c:numCache>
            </c:numRef>
          </c:val>
          <c:extLst>
            <c:ext xmlns:c16="http://schemas.microsoft.com/office/drawing/2014/chart" uri="{C3380CC4-5D6E-409C-BE32-E72D297353CC}">
              <c16:uniqueId val="{00000002-F470-45B7-A5B3-AF5042EE109A}"/>
            </c:ext>
          </c:extLst>
        </c:ser>
        <c:ser>
          <c:idx val="2"/>
          <c:order val="2"/>
          <c:tx>
            <c:strRef>
              <c:f>'AR Table 8 &amp; Chart 9'!$N$7</c:f>
              <c:strCache>
                <c:ptCount val="1"/>
                <c:pt idx="0">
                  <c:v>Inter Segment</c:v>
                </c:pt>
              </c:strCache>
            </c:strRef>
          </c:tx>
          <c:spPr>
            <a:solidFill>
              <a:srgbClr val="FFFF00"/>
            </a:solidFill>
          </c:spPr>
          <c:invertIfNegative val="0"/>
          <c:cat>
            <c:strRef>
              <c:f>'AR Table 8 &amp; Chart 9'!$P$6:$T$6</c:f>
              <c:strCache>
                <c:ptCount val="5"/>
                <c:pt idx="0">
                  <c:v>2008</c:v>
                </c:pt>
                <c:pt idx="1">
                  <c:v>2009</c:v>
                </c:pt>
                <c:pt idx="2">
                  <c:v>2010 </c:v>
                </c:pt>
                <c:pt idx="3">
                  <c:v>2011(a)</c:v>
                </c:pt>
                <c:pt idx="4">
                  <c:v>2012(b)</c:v>
                </c:pt>
              </c:strCache>
            </c:strRef>
          </c:cat>
          <c:val>
            <c:numRef>
              <c:f>'AR Table 8 &amp; Chart 9'!$P$7:$T$7</c:f>
              <c:numCache>
                <c:formatCode>General</c:formatCode>
                <c:ptCount val="5"/>
                <c:pt idx="2" formatCode="_(* #,##0_);_(* \(#,##0\);_(* &quot;-&quot;??_);_(@_)">
                  <c:v>2995.414006</c:v>
                </c:pt>
                <c:pt idx="3" formatCode="_(* #,##0_);_(* \(#,##0\);_(* &quot;-&quot;??_);_(@_)">
                  <c:v>0</c:v>
                </c:pt>
                <c:pt idx="4" formatCode="_(* #,##0_);_(* \(#,##0\);_(* &quot;-&quot;??_);_(@_)">
                  <c:v>0</c:v>
                </c:pt>
              </c:numCache>
            </c:numRef>
          </c:val>
          <c:extLst>
            <c:ext xmlns:c16="http://schemas.microsoft.com/office/drawing/2014/chart" uri="{C3380CC4-5D6E-409C-BE32-E72D297353CC}">
              <c16:uniqueId val="{00000003-F470-45B7-A5B3-AF5042EE109A}"/>
            </c:ext>
          </c:extLst>
        </c:ser>
        <c:dLbls>
          <c:showLegendKey val="0"/>
          <c:showVal val="0"/>
          <c:showCatName val="0"/>
          <c:showSerName val="0"/>
          <c:showPercent val="0"/>
          <c:showBubbleSize val="0"/>
        </c:dLbls>
        <c:gapWidth val="150"/>
        <c:overlap val="100"/>
        <c:axId val="94645248"/>
        <c:axId val="94663424"/>
      </c:barChart>
      <c:lineChart>
        <c:grouping val="stacked"/>
        <c:varyColors val="1"/>
        <c:ser>
          <c:idx val="1"/>
          <c:order val="1"/>
          <c:tx>
            <c:strRef>
              <c:f>'AR Table 8 &amp; Chart 9'!$N$9</c:f>
              <c:strCache>
                <c:ptCount val="1"/>
                <c:pt idx="0">
                  <c:v>Growth Rate</c:v>
                </c:pt>
              </c:strCache>
            </c:strRef>
          </c:tx>
          <c:dLbls>
            <c:dLbl>
              <c:idx val="3"/>
              <c:layout>
                <c:manualLayout>
                  <c:x val="-4.4701639369314823E-2"/>
                  <c:y val="-3.974554904774834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470-45B7-A5B3-AF5042EE109A}"/>
                </c:ext>
              </c:extLst>
            </c:dLbl>
            <c:spPr>
              <a:noFill/>
              <a:ln>
                <a:noFill/>
              </a:ln>
              <a:effectLst/>
            </c:spPr>
            <c:txPr>
              <a:bodyPr/>
              <a:lstStyle/>
              <a:p>
                <a:pPr>
                  <a:defRPr sz="1000" b="0" i="0" u="none" strike="noStrike" baseline="0">
                    <a:solidFill>
                      <a:srgbClr val="FFFFFF"/>
                    </a:solidFill>
                    <a:latin typeface="Calibri"/>
                    <a:ea typeface="Calibri"/>
                    <a:cs typeface="Calibri"/>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'AR Table 8 &amp; Chart 9'!$O$6:$S$6</c:f>
              <c:strCache>
                <c:ptCount val="5"/>
                <c:pt idx="0">
                  <c:v>2007 </c:v>
                </c:pt>
                <c:pt idx="1">
                  <c:v>2008</c:v>
                </c:pt>
                <c:pt idx="2">
                  <c:v>2009</c:v>
                </c:pt>
                <c:pt idx="3">
                  <c:v>2010 </c:v>
                </c:pt>
                <c:pt idx="4">
                  <c:v>2011(a)</c:v>
                </c:pt>
              </c:strCache>
            </c:strRef>
          </c:cat>
          <c:val>
            <c:numRef>
              <c:f>'AR Table 8 &amp; Chart 9'!$P$9:$T$9</c:f>
              <c:numCache>
                <c:formatCode>_(* #,##0.00_);_(* \(#,##0.00\);_(* "-"??_);_(@_)</c:formatCode>
                <c:ptCount val="5"/>
                <c:pt idx="0">
                  <c:v>15.656603102108605</c:v>
                </c:pt>
                <c:pt idx="1">
                  <c:v>16.059694986313488</c:v>
                </c:pt>
                <c:pt idx="2">
                  <c:v>22.67532161030158</c:v>
                </c:pt>
                <c:pt idx="3" formatCode="_(* #,##0_);_(* \(#,##0\);_(* &quot;-&quot;??_);_(@_)">
                  <c:v>0</c:v>
                </c:pt>
                <c:pt idx="4">
                  <c:v>0</c:v>
                </c:pt>
              </c:numCache>
            </c:numRef>
          </c:val>
          <c:smooth val="0"/>
          <c:extLst>
            <c:ext xmlns:c16="http://schemas.microsoft.com/office/drawing/2014/chart" uri="{C3380CC4-5D6E-409C-BE32-E72D297353CC}">
              <c16:uniqueId val="{00000005-F470-45B7-A5B3-AF5042EE109A}"/>
            </c:ext>
          </c:extLst>
        </c:ser>
        <c:dLbls>
          <c:showLegendKey val="0"/>
          <c:showVal val="0"/>
          <c:showCatName val="0"/>
          <c:showSerName val="0"/>
          <c:showPercent val="0"/>
          <c:showBubbleSize val="0"/>
        </c:dLbls>
        <c:marker val="1"/>
        <c:smooth val="0"/>
        <c:axId val="94664960"/>
        <c:axId val="94674944"/>
      </c:lineChart>
      <c:catAx>
        <c:axId val="94645248"/>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FFFFFF"/>
                </a:solidFill>
                <a:latin typeface="Calibri"/>
                <a:ea typeface="Calibri"/>
                <a:cs typeface="Calibri"/>
              </a:defRPr>
            </a:pPr>
            <a:endParaRPr lang="en-US"/>
          </a:p>
        </c:txPr>
        <c:crossAx val="94663424"/>
        <c:crosses val="autoZero"/>
        <c:auto val="1"/>
        <c:lblAlgn val="ctr"/>
        <c:lblOffset val="100"/>
        <c:noMultiLvlLbl val="0"/>
      </c:catAx>
      <c:valAx>
        <c:axId val="94663424"/>
        <c:scaling>
          <c:orientation val="minMax"/>
        </c:scaling>
        <c:delete val="0"/>
        <c:axPos val="l"/>
        <c:majorGridlines/>
        <c:numFmt formatCode="_(* #,##0_);_(* \(#,##0\);_(* &quot;-&quot;??_);_(@_)" sourceLinked="1"/>
        <c:majorTickMark val="none"/>
        <c:minorTickMark val="none"/>
        <c:tickLblPos val="nextTo"/>
        <c:spPr>
          <a:ln w="9525">
            <a:noFill/>
          </a:ln>
        </c:spPr>
        <c:txPr>
          <a:bodyPr rot="0" vert="horz"/>
          <a:lstStyle/>
          <a:p>
            <a:pPr>
              <a:defRPr sz="1000" b="0" i="0" u="none" strike="noStrike" baseline="0">
                <a:solidFill>
                  <a:srgbClr val="FFFFFF"/>
                </a:solidFill>
                <a:latin typeface="Calibri"/>
                <a:ea typeface="Calibri"/>
                <a:cs typeface="Calibri"/>
              </a:defRPr>
            </a:pPr>
            <a:endParaRPr lang="en-US"/>
          </a:p>
        </c:txPr>
        <c:crossAx val="94645248"/>
        <c:crosses val="autoZero"/>
        <c:crossBetween val="between"/>
      </c:valAx>
      <c:catAx>
        <c:axId val="94664960"/>
        <c:scaling>
          <c:orientation val="minMax"/>
        </c:scaling>
        <c:delete val="1"/>
        <c:axPos val="b"/>
        <c:numFmt formatCode="General" sourceLinked="1"/>
        <c:majorTickMark val="out"/>
        <c:minorTickMark val="none"/>
        <c:tickLblPos val="none"/>
        <c:crossAx val="94674944"/>
        <c:crosses val="autoZero"/>
        <c:auto val="1"/>
        <c:lblAlgn val="ctr"/>
        <c:lblOffset val="100"/>
        <c:noMultiLvlLbl val="0"/>
      </c:catAx>
      <c:valAx>
        <c:axId val="94674944"/>
        <c:scaling>
          <c:orientation val="minMax"/>
        </c:scaling>
        <c:delete val="0"/>
        <c:axPos val="r"/>
        <c:numFmt formatCode="_(* #,##0.00_);_(* \(#,##0.00\);_(* &quot;-&quot;??_);_(@_)" sourceLinked="1"/>
        <c:majorTickMark val="out"/>
        <c:minorTickMark val="none"/>
        <c:tickLblPos val="nextTo"/>
        <c:txPr>
          <a:bodyPr rot="0" vert="horz"/>
          <a:lstStyle/>
          <a:p>
            <a:pPr>
              <a:defRPr sz="1000" b="0" i="0" u="none" strike="noStrike" baseline="0">
                <a:solidFill>
                  <a:srgbClr val="FFFFFF"/>
                </a:solidFill>
                <a:latin typeface="Calibri"/>
                <a:ea typeface="Calibri"/>
                <a:cs typeface="Calibri"/>
              </a:defRPr>
            </a:pPr>
            <a:endParaRPr lang="en-US"/>
          </a:p>
        </c:txPr>
        <c:crossAx val="94664960"/>
        <c:crosses val="max"/>
        <c:crossBetween val="between"/>
      </c:valAx>
    </c:plotArea>
    <c:legend>
      <c:legendPos val="b"/>
      <c:overlay val="0"/>
      <c:txPr>
        <a:bodyPr/>
        <a:lstStyle/>
        <a:p>
          <a:pPr>
            <a:defRPr sz="845" b="0" i="0" u="none" strike="noStrike" baseline="0">
              <a:solidFill>
                <a:srgbClr val="FFFFFF"/>
              </a:solidFill>
              <a:latin typeface="Calibri"/>
              <a:ea typeface="Calibri"/>
              <a:cs typeface="Calibri"/>
            </a:defRPr>
          </a:pPr>
          <a:endParaRPr lang="en-US"/>
        </a:p>
      </c:txPr>
    </c:legend>
    <c:plotVisOnly val="1"/>
    <c:dispBlanksAs val="zero"/>
    <c:showDLblsOverMax val="0"/>
  </c:chart>
  <c:txPr>
    <a:bodyPr/>
    <a:lstStyle/>
    <a:p>
      <a:pPr>
        <a:defRPr sz="1000" b="0" i="0" u="none" strike="noStrike" baseline="0">
          <a:solidFill>
            <a:srgbClr val="FFFFFF"/>
          </a:solidFill>
          <a:latin typeface="Calibri"/>
          <a:ea typeface="Calibri"/>
          <a:cs typeface="Calibri"/>
        </a:defRPr>
      </a:pPr>
      <a:endParaRPr lang="en-US"/>
    </a:p>
  </c:txPr>
  <c:printSettings>
    <c:headerFooter/>
    <c:pageMargins b="0.75000000000001465" l="0.70000000000000062" r="0.70000000000000062" t="0.75000000000001465" header="0.30000000000000032" footer="0.3000000000000003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34"/>
    </mc:Choice>
    <mc:Fallback>
      <c:style val="34"/>
    </mc:Fallback>
  </mc:AlternateContent>
  <c:chart>
    <c:title>
      <c:tx>
        <c:rich>
          <a:bodyPr/>
          <a:lstStyle/>
          <a:p>
            <a:pPr>
              <a:defRPr sz="1200">
                <a:latin typeface="Tahoma" pitchFamily="34" charset="0"/>
                <a:ea typeface="Tahoma" pitchFamily="34" charset="0"/>
                <a:cs typeface="Tahoma" pitchFamily="34" charset="0"/>
              </a:defRPr>
            </a:pPr>
            <a:r>
              <a:rPr lang="en-US" sz="1200">
                <a:latin typeface="Tahoma" pitchFamily="34" charset="0"/>
                <a:ea typeface="Tahoma" pitchFamily="34" charset="0"/>
                <a:cs typeface="Tahoma" pitchFamily="34" charset="0"/>
              </a:rPr>
              <a:t>Concentration of Assets Company-wise Analysis - 2012</a:t>
            </a:r>
          </a:p>
        </c:rich>
      </c:tx>
      <c:overlay val="0"/>
    </c:title>
    <c:autoTitleDeleted val="0"/>
    <c:plotArea>
      <c:layout>
        <c:manualLayout>
          <c:layoutTarget val="inner"/>
          <c:xMode val="edge"/>
          <c:yMode val="edge"/>
          <c:x val="0.22712480483448838"/>
          <c:y val="0.15566820928333044"/>
          <c:w val="0.58379128429203131"/>
          <c:h val="0.71420177191431178"/>
        </c:manualLayout>
      </c:layout>
      <c:pieChart>
        <c:varyColors val="1"/>
        <c:ser>
          <c:idx val="9"/>
          <c:order val="0"/>
          <c:dLbls>
            <c:dLbl>
              <c:idx val="0"/>
              <c:layout>
                <c:manualLayout>
                  <c:x val="5.8505996308236184E-2"/>
                  <c:y val="-7.4738549744898422E-2"/>
                </c:manualLayout>
              </c:layout>
              <c:numFmt formatCode="0.00%" sourceLinked="0"/>
              <c:spPr/>
              <c:txPr>
                <a:bodyPr/>
                <a:lstStyle/>
                <a:p>
                  <a:pPr>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8ED2-44CE-81AF-8BE132C0B74A}"/>
                </c:ext>
              </c:extLst>
            </c:dLbl>
            <c:dLbl>
              <c:idx val="1"/>
              <c:layout>
                <c:manualLayout>
                  <c:x val="0.15116380170788521"/>
                  <c:y val="-5.3432273845354934E-2"/>
                </c:manualLayout>
              </c:layout>
              <c:numFmt formatCode="0.00%" sourceLinked="0"/>
              <c:spPr/>
              <c:txPr>
                <a:bodyPr/>
                <a:lstStyle/>
                <a:p>
                  <a:pPr>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8ED2-44CE-81AF-8BE132C0B74A}"/>
                </c:ext>
              </c:extLst>
            </c:dLbl>
            <c:dLbl>
              <c:idx val="2"/>
              <c:layout>
                <c:manualLayout>
                  <c:x val="0.12022794582916793"/>
                  <c:y val="1.3695013362463381E-2"/>
                </c:manualLayout>
              </c:layout>
              <c:numFmt formatCode="0.00%" sourceLinked="0"/>
              <c:spPr/>
              <c:txPr>
                <a:bodyPr/>
                <a:lstStyle/>
                <a:p>
                  <a:pPr>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8ED2-44CE-81AF-8BE132C0B74A}"/>
                </c:ext>
              </c:extLst>
            </c:dLbl>
            <c:dLbl>
              <c:idx val="3"/>
              <c:layout>
                <c:manualLayout>
                  <c:x val="0.12424433037169438"/>
                  <c:y val="8.1399077214993634E-2"/>
                </c:manualLayout>
              </c:layout>
              <c:numFmt formatCode="0.00%" sourceLinked="0"/>
              <c:spPr/>
              <c:txPr>
                <a:bodyPr/>
                <a:lstStyle/>
                <a:p>
                  <a:pPr>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8ED2-44CE-81AF-8BE132C0B74A}"/>
                </c:ext>
              </c:extLst>
            </c:dLbl>
            <c:dLbl>
              <c:idx val="4"/>
              <c:layout>
                <c:manualLayout>
                  <c:x val="6.6411612956369104E-2"/>
                  <c:y val="2.3255046972915611E-2"/>
                </c:manualLayout>
              </c:layout>
              <c:numFmt formatCode="0.00%" sourceLinked="0"/>
              <c:spPr/>
              <c:txPr>
                <a:bodyPr/>
                <a:lstStyle/>
                <a:p>
                  <a:pPr>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8ED2-44CE-81AF-8BE132C0B74A}"/>
                </c:ext>
              </c:extLst>
            </c:dLbl>
            <c:dLbl>
              <c:idx val="5"/>
              <c:layout>
                <c:manualLayout>
                  <c:x val="8.4441648788195336E-2"/>
                  <c:y val="-4.4371513492735021E-2"/>
                </c:manualLayout>
              </c:layout>
              <c:numFmt formatCode="0.00%" sourceLinked="0"/>
              <c:spPr/>
              <c:txPr>
                <a:bodyPr/>
                <a:lstStyle/>
                <a:p>
                  <a:pPr>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8ED2-44CE-81AF-8BE132C0B74A}"/>
                </c:ext>
              </c:extLst>
            </c:dLbl>
            <c:dLbl>
              <c:idx val="6"/>
              <c:layout>
                <c:manualLayout>
                  <c:x val="9.8111359475215446E-2"/>
                  <c:y val="2.6208603938637828E-2"/>
                </c:manualLayout>
              </c:layout>
              <c:numFmt formatCode="0.00%" sourceLinked="0"/>
              <c:spPr/>
              <c:txPr>
                <a:bodyPr/>
                <a:lstStyle/>
                <a:p>
                  <a:pPr>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6-8ED2-44CE-81AF-8BE132C0B74A}"/>
                </c:ext>
              </c:extLst>
            </c:dLbl>
            <c:dLbl>
              <c:idx val="7"/>
              <c:layout>
                <c:manualLayout>
                  <c:x val="9.9478884682923902E-2"/>
                  <c:y val="0.14011201529693323"/>
                </c:manualLayout>
              </c:layout>
              <c:numFmt formatCode="0.00%" sourceLinked="0"/>
              <c:spPr/>
              <c:txPr>
                <a:bodyPr/>
                <a:lstStyle/>
                <a:p>
                  <a:pPr>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8ED2-44CE-81AF-8BE132C0B74A}"/>
                </c:ext>
              </c:extLst>
            </c:dLbl>
            <c:dLbl>
              <c:idx val="8"/>
              <c:layout>
                <c:manualLayout>
                  <c:x val="4.9899992886053533E-2"/>
                  <c:y val="1.5727507619335872E-2"/>
                </c:manualLayout>
              </c:layout>
              <c:numFmt formatCode="0.00%" sourceLinked="0"/>
              <c:spPr/>
              <c:txPr>
                <a:bodyPr/>
                <a:lstStyle/>
                <a:p>
                  <a:pPr>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8-8ED2-44CE-81AF-8BE132C0B74A}"/>
                </c:ext>
              </c:extLst>
            </c:dLbl>
            <c:dLbl>
              <c:idx val="9"/>
              <c:layout>
                <c:manualLayout>
                  <c:x val="0.12634268603748491"/>
                  <c:y val="7.4738563438732933E-2"/>
                </c:manualLayout>
              </c:layout>
              <c:numFmt formatCode="0.00%" sourceLinked="0"/>
              <c:spPr/>
              <c:txPr>
                <a:bodyPr/>
                <a:lstStyle/>
                <a:p>
                  <a:pPr>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8ED2-44CE-81AF-8BE132C0B74A}"/>
                </c:ext>
              </c:extLst>
            </c:dLbl>
            <c:dLbl>
              <c:idx val="10"/>
              <c:delete val="1"/>
              <c:extLst>
                <c:ext xmlns:c15="http://schemas.microsoft.com/office/drawing/2012/chart" uri="{CE6537A1-D6FC-4f65-9D91-7224C49458BB}"/>
                <c:ext xmlns:c16="http://schemas.microsoft.com/office/drawing/2014/chart" uri="{C3380CC4-5D6E-409C-BE32-E72D297353CC}">
                  <c16:uniqueId val="{0000000A-8ED2-44CE-81AF-8BE132C0B74A}"/>
                </c:ext>
              </c:extLst>
            </c:dLbl>
            <c:dLbl>
              <c:idx val="11"/>
              <c:layout>
                <c:manualLayout>
                  <c:x val="1.8680862075339182E-2"/>
                  <c:y val="8.672905415618859E-2"/>
                </c:manualLayout>
              </c:layout>
              <c:numFmt formatCode="0.00%" sourceLinked="0"/>
              <c:spPr/>
              <c:txPr>
                <a:bodyPr/>
                <a:lstStyle/>
                <a:p>
                  <a:pPr>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B-8ED2-44CE-81AF-8BE132C0B74A}"/>
                </c:ext>
              </c:extLst>
            </c:dLbl>
            <c:dLbl>
              <c:idx val="12"/>
              <c:layout>
                <c:manualLayout>
                  <c:x val="-3.5486599386344311E-2"/>
                  <c:y val="0.10046364623270262"/>
                </c:manualLayout>
              </c:layout>
              <c:numFmt formatCode="0.00%" sourceLinked="0"/>
              <c:spPr/>
              <c:txPr>
                <a:bodyPr/>
                <a:lstStyle/>
                <a:p>
                  <a:pPr>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C-8ED2-44CE-81AF-8BE132C0B74A}"/>
                </c:ext>
              </c:extLst>
            </c:dLbl>
            <c:dLbl>
              <c:idx val="13"/>
              <c:layout>
                <c:manualLayout>
                  <c:x val="-0.18624065653766425"/>
                  <c:y val="9.928698703238012E-2"/>
                </c:manualLayout>
              </c:layout>
              <c:numFmt formatCode="0.00%" sourceLinked="0"/>
              <c:spPr/>
              <c:txPr>
                <a:bodyPr/>
                <a:lstStyle/>
                <a:p>
                  <a:pPr>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D-8ED2-44CE-81AF-8BE132C0B74A}"/>
                </c:ext>
              </c:extLst>
            </c:dLbl>
            <c:dLbl>
              <c:idx val="14"/>
              <c:layout>
                <c:manualLayout>
                  <c:x val="-0.2516523603563639"/>
                  <c:y val="7.6318313613939634E-2"/>
                </c:manualLayout>
              </c:layout>
              <c:numFmt formatCode="0.00%" sourceLinked="0"/>
              <c:spPr/>
              <c:txPr>
                <a:bodyPr/>
                <a:lstStyle/>
                <a:p>
                  <a:pPr>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E-8ED2-44CE-81AF-8BE132C0B74A}"/>
                </c:ext>
              </c:extLst>
            </c:dLbl>
            <c:dLbl>
              <c:idx val="15"/>
              <c:layout>
                <c:manualLayout>
                  <c:x val="-0.24973391002181144"/>
                  <c:y val="8.8069881317191546E-3"/>
                </c:manualLayout>
              </c:layout>
              <c:numFmt formatCode="0.00%" sourceLinked="0"/>
              <c:spPr/>
              <c:txPr>
                <a:bodyPr/>
                <a:lstStyle/>
                <a:p>
                  <a:pPr>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F-8ED2-44CE-81AF-8BE132C0B74A}"/>
                </c:ext>
              </c:extLst>
            </c:dLbl>
            <c:dLbl>
              <c:idx val="16"/>
              <c:layout>
                <c:manualLayout>
                  <c:x val="-0.2435309600384459"/>
                  <c:y val="-6.2718757014014123E-2"/>
                </c:manualLayout>
              </c:layout>
              <c:numFmt formatCode="0.00%" sourceLinked="0"/>
              <c:spPr/>
              <c:txPr>
                <a:bodyPr/>
                <a:lstStyle/>
                <a:p>
                  <a:pPr>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0-8ED2-44CE-81AF-8BE132C0B74A}"/>
                </c:ext>
              </c:extLst>
            </c:dLbl>
            <c:dLbl>
              <c:idx val="17"/>
              <c:layout>
                <c:manualLayout>
                  <c:x val="-0.21545406824148042"/>
                  <c:y val="-0.1341921003330081"/>
                </c:manualLayout>
              </c:layout>
              <c:numFmt formatCode="0.00%" sourceLinked="0"/>
              <c:spPr/>
              <c:txPr>
                <a:bodyPr/>
                <a:lstStyle/>
                <a:p>
                  <a:pPr>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1-8ED2-44CE-81AF-8BE132C0B74A}"/>
                </c:ext>
              </c:extLst>
            </c:dLbl>
            <c:dLbl>
              <c:idx val="18"/>
              <c:layout>
                <c:manualLayout>
                  <c:x val="-0.10487440139882655"/>
                  <c:y val="-5.8699196346677232E-3"/>
                </c:manualLayout>
              </c:layout>
              <c:numFmt formatCode="0.00%" sourceLinked="0"/>
              <c:spPr/>
              <c:txPr>
                <a:bodyPr/>
                <a:lstStyle/>
                <a:p>
                  <a:pPr>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2-8ED2-44CE-81AF-8BE132C0B74A}"/>
                </c:ext>
              </c:extLst>
            </c:dLbl>
            <c:dLbl>
              <c:idx val="19"/>
              <c:layout>
                <c:manualLayout>
                  <c:x val="9.445673784357551E-3"/>
                  <c:y val="-2.3860599440143383E-2"/>
                </c:manualLayout>
              </c:layout>
              <c:numFmt formatCode="0.00%" sourceLinked="0"/>
              <c:spPr/>
              <c:txPr>
                <a:bodyPr/>
                <a:lstStyle/>
                <a:p>
                  <a:pPr>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3-8ED2-44CE-81AF-8BE132C0B74A}"/>
                </c:ext>
              </c:extLst>
            </c:dLbl>
            <c:dLbl>
              <c:idx val="20"/>
              <c:layout>
                <c:manualLayout>
                  <c:x val="4.6021993327866828E-2"/>
                  <c:y val="-5.5643767316876723E-2"/>
                </c:manualLayout>
              </c:layout>
              <c:numFmt formatCode="0.00%" sourceLinked="0"/>
              <c:spPr/>
              <c:txPr>
                <a:bodyPr/>
                <a:lstStyle/>
                <a:p>
                  <a:pPr>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4-8ED2-44CE-81AF-8BE132C0B74A}"/>
                </c:ext>
              </c:extLst>
            </c:dLbl>
            <c:numFmt formatCode="0.00%" sourceLinked="0"/>
            <c:spPr>
              <a:noFill/>
              <a:ln>
                <a:noFill/>
              </a:ln>
              <a:effectLst/>
            </c:spPr>
            <c:showLegendKey val="0"/>
            <c:showVal val="0"/>
            <c:showCatName val="1"/>
            <c:showSerName val="0"/>
            <c:showPercent val="1"/>
            <c:showBubbleSize val="0"/>
            <c:showLeaderLines val="1"/>
            <c:extLst>
              <c:ext xmlns:c15="http://schemas.microsoft.com/office/drawing/2012/chart" uri="{CE6537A1-D6FC-4f65-9D91-7224C49458BB}"/>
            </c:extLst>
          </c:dLbls>
          <c:cat>
            <c:strRef>
              <c:f>'AR Table 8 &amp; Chart 9'!$C$7:$C$27</c:f>
              <c:strCache>
                <c:ptCount val="21"/>
                <c:pt idx="0">
                  <c:v>Asian Alliance</c:v>
                </c:pt>
                <c:pt idx="1">
                  <c:v>Arpico</c:v>
                </c:pt>
                <c:pt idx="2">
                  <c:v>Allianz Gen.</c:v>
                </c:pt>
                <c:pt idx="3">
                  <c:v>Allianz Life</c:v>
                </c:pt>
                <c:pt idx="4">
                  <c:v>AIA</c:v>
                </c:pt>
                <c:pt idx="5">
                  <c:v>Amana Takaful</c:v>
                </c:pt>
                <c:pt idx="6">
                  <c:v>AIG</c:v>
                </c:pt>
                <c:pt idx="7">
                  <c:v>Continental</c:v>
                </c:pt>
                <c:pt idx="8">
                  <c:v>Ceylinco</c:v>
                </c:pt>
                <c:pt idx="9">
                  <c:v>Cooperative</c:v>
                </c:pt>
                <c:pt idx="10">
                  <c:v>Ceylinco Takaful</c:v>
                </c:pt>
                <c:pt idx="11">
                  <c:v>HNBA</c:v>
                </c:pt>
                <c:pt idx="12">
                  <c:v>Janashakthi</c:v>
                </c:pt>
                <c:pt idx="13">
                  <c:v>LIC</c:v>
                </c:pt>
                <c:pt idx="14">
                  <c:v>LOLC</c:v>
                </c:pt>
                <c:pt idx="15">
                  <c:v>MBSL</c:v>
                </c:pt>
                <c:pt idx="16">
                  <c:v>Orient</c:v>
                </c:pt>
                <c:pt idx="17">
                  <c:v>People’s</c:v>
                </c:pt>
                <c:pt idx="18">
                  <c:v>SLIC</c:v>
                </c:pt>
                <c:pt idx="19">
                  <c:v>Sanasa</c:v>
                </c:pt>
                <c:pt idx="20">
                  <c:v>UAL</c:v>
                </c:pt>
              </c:strCache>
            </c:strRef>
          </c:cat>
          <c:val>
            <c:numRef>
              <c:f>'AR Table 8 &amp; Chart 9'!$M$7:$M$27</c:f>
              <c:numCache>
                <c:formatCode>0.00</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extLst>
            <c:ext xmlns:c16="http://schemas.microsoft.com/office/drawing/2014/chart" uri="{C3380CC4-5D6E-409C-BE32-E72D297353CC}">
              <c16:uniqueId val="{00000015-8ED2-44CE-81AF-8BE132C0B74A}"/>
            </c:ext>
          </c:extLst>
        </c:ser>
        <c:dLbls>
          <c:showLegendKey val="0"/>
          <c:showVal val="0"/>
          <c:showCatName val="1"/>
          <c:showSerName val="0"/>
          <c:showPercent val="1"/>
          <c:showBubbleSize val="0"/>
          <c:showLeaderLines val="1"/>
        </c:dLbls>
        <c:firstSliceAng val="49"/>
      </c:pieChart>
      <c:spPr>
        <a:noFill/>
        <a:ln w="25400">
          <a:noFill/>
        </a:ln>
      </c:spPr>
    </c:plotArea>
    <c:plotVisOnly val="1"/>
    <c:dispBlanksAs val="zero"/>
    <c:showDLblsOverMax val="0"/>
  </c:chart>
  <c:spPr>
    <a:noFill/>
  </c:spPr>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42"/>
    </mc:Choice>
    <mc:Fallback>
      <c:style val="42"/>
    </mc:Fallback>
  </mc:AlternateContent>
  <c:chart>
    <c:title>
      <c:tx>
        <c:rich>
          <a:bodyPr/>
          <a:lstStyle/>
          <a:p>
            <a:pPr>
              <a:defRPr sz="1800" b="1" i="0" u="none" strike="noStrike" baseline="0">
                <a:solidFill>
                  <a:srgbClr val="FFFFFF"/>
                </a:solidFill>
                <a:latin typeface="Calibri"/>
                <a:ea typeface="Calibri"/>
                <a:cs typeface="Calibri"/>
              </a:defRPr>
            </a:pPr>
            <a:r>
              <a:rPr lang="en-US"/>
              <a:t>Lapsation New &amp; Total Vs New Business &amp; Business in force</a:t>
            </a:r>
          </a:p>
        </c:rich>
      </c:tx>
      <c:overlay val="0"/>
    </c:title>
    <c:autoTitleDeleted val="0"/>
    <c:plotArea>
      <c:layout/>
      <c:barChart>
        <c:barDir val="col"/>
        <c:grouping val="clustered"/>
        <c:varyColors val="0"/>
        <c:ser>
          <c:idx val="0"/>
          <c:order val="0"/>
          <c:tx>
            <c:strRef>
              <c:f>'LI - laps new  (2)'!$J$5</c:f>
              <c:strCache>
                <c:ptCount val="1"/>
                <c:pt idx="0">
                  <c:v>Total Laps - New policies</c:v>
                </c:pt>
              </c:strCache>
            </c:strRef>
          </c:tx>
          <c:spPr>
            <a:ln>
              <a:round/>
            </a:ln>
          </c:spPr>
          <c:invertIfNegative val="0"/>
          <c:cat>
            <c:numRef>
              <c:f>'LI - laps new  (2)'!$B$6:$B$10</c:f>
              <c:numCache>
                <c:formatCode>General</c:formatCode>
                <c:ptCount val="5"/>
                <c:pt idx="0">
                  <c:v>2012</c:v>
                </c:pt>
                <c:pt idx="1">
                  <c:v>2011</c:v>
                </c:pt>
                <c:pt idx="2">
                  <c:v>2010</c:v>
                </c:pt>
                <c:pt idx="3">
                  <c:v>2009</c:v>
                </c:pt>
                <c:pt idx="4">
                  <c:v>2008</c:v>
                </c:pt>
              </c:numCache>
            </c:numRef>
          </c:cat>
          <c:val>
            <c:numRef>
              <c:f>'LI - laps new  (2)'!$J$6:$J$10</c:f>
              <c:numCache>
                <c:formatCode>_(* #,##0_);_(* \(#,##0\);_(* "-"??_);_(@_)</c:formatCode>
                <c:ptCount val="5"/>
                <c:pt idx="0">
                  <c:v>96299</c:v>
                </c:pt>
                <c:pt idx="1">
                  <c:v>82102</c:v>
                </c:pt>
                <c:pt idx="2">
                  <c:v>84413</c:v>
                </c:pt>
                <c:pt idx="3">
                  <c:v>94115</c:v>
                </c:pt>
                <c:pt idx="4">
                  <c:v>108658</c:v>
                </c:pt>
              </c:numCache>
            </c:numRef>
          </c:val>
          <c:extLst>
            <c:ext xmlns:c16="http://schemas.microsoft.com/office/drawing/2014/chart" uri="{C3380CC4-5D6E-409C-BE32-E72D297353CC}">
              <c16:uniqueId val="{00000000-4328-49CE-85D9-8E5B142DCD5C}"/>
            </c:ext>
          </c:extLst>
        </c:ser>
        <c:ser>
          <c:idx val="3"/>
          <c:order val="1"/>
          <c:tx>
            <c:strRef>
              <c:f>'LI - laps new  (2)'!$L$5</c:f>
              <c:strCache>
                <c:ptCount val="1"/>
                <c:pt idx="0">
                  <c:v>Total Laps </c:v>
                </c:pt>
              </c:strCache>
            </c:strRef>
          </c:tx>
          <c:invertIfNegative val="0"/>
          <c:cat>
            <c:numRef>
              <c:f>'LI - laps new  (2)'!$B$6:$B$10</c:f>
              <c:numCache>
                <c:formatCode>General</c:formatCode>
                <c:ptCount val="5"/>
                <c:pt idx="0">
                  <c:v>2012</c:v>
                </c:pt>
                <c:pt idx="1">
                  <c:v>2011</c:v>
                </c:pt>
                <c:pt idx="2">
                  <c:v>2010</c:v>
                </c:pt>
                <c:pt idx="3">
                  <c:v>2009</c:v>
                </c:pt>
                <c:pt idx="4">
                  <c:v>2008</c:v>
                </c:pt>
              </c:numCache>
            </c:numRef>
          </c:cat>
          <c:val>
            <c:numRef>
              <c:f>'LI - laps new  (2)'!$L$6:$L$10</c:f>
              <c:numCache>
                <c:formatCode>_(* #,##0_);_(* \(#,##0\);_(* "-"??_);_(@_)</c:formatCode>
                <c:ptCount val="5"/>
                <c:pt idx="0">
                  <c:v>0</c:v>
                </c:pt>
                <c:pt idx="1">
                  <c:v>0</c:v>
                </c:pt>
                <c:pt idx="2">
                  <c:v>0</c:v>
                </c:pt>
                <c:pt idx="3">
                  <c:v>0</c:v>
                </c:pt>
                <c:pt idx="4">
                  <c:v>0</c:v>
                </c:pt>
              </c:numCache>
            </c:numRef>
          </c:val>
          <c:extLst>
            <c:ext xmlns:c16="http://schemas.microsoft.com/office/drawing/2014/chart" uri="{C3380CC4-5D6E-409C-BE32-E72D297353CC}">
              <c16:uniqueId val="{00000001-4328-49CE-85D9-8E5B142DCD5C}"/>
            </c:ext>
          </c:extLst>
        </c:ser>
        <c:ser>
          <c:idx val="1"/>
          <c:order val="2"/>
          <c:tx>
            <c:strRef>
              <c:f>'LI - laps new  (2)'!$K$5</c:f>
              <c:strCache>
                <c:ptCount val="1"/>
                <c:pt idx="0">
                  <c:v> New Policies Issued </c:v>
                </c:pt>
              </c:strCache>
            </c:strRef>
          </c:tx>
          <c:invertIfNegative val="0"/>
          <c:cat>
            <c:numRef>
              <c:f>'LI - laps new  (2)'!$B$6:$B$10</c:f>
              <c:numCache>
                <c:formatCode>General</c:formatCode>
                <c:ptCount val="5"/>
                <c:pt idx="0">
                  <c:v>2012</c:v>
                </c:pt>
                <c:pt idx="1">
                  <c:v>2011</c:v>
                </c:pt>
                <c:pt idx="2">
                  <c:v>2010</c:v>
                </c:pt>
                <c:pt idx="3">
                  <c:v>2009</c:v>
                </c:pt>
                <c:pt idx="4">
                  <c:v>2008</c:v>
                </c:pt>
              </c:numCache>
            </c:numRef>
          </c:cat>
          <c:val>
            <c:numRef>
              <c:f>'LI - laps new  (2)'!$K$6:$K$10</c:f>
              <c:numCache>
                <c:formatCode>_(* #,##0_);_(* \(#,##0\);_(* "-"??_);_(@_)</c:formatCode>
                <c:ptCount val="5"/>
                <c:pt idx="0">
                  <c:v>0</c:v>
                </c:pt>
                <c:pt idx="1">
                  <c:v>0</c:v>
                </c:pt>
                <c:pt idx="2">
                  <c:v>0</c:v>
                </c:pt>
                <c:pt idx="3">
                  <c:v>0</c:v>
                </c:pt>
                <c:pt idx="4">
                  <c:v>0</c:v>
                </c:pt>
              </c:numCache>
            </c:numRef>
          </c:val>
          <c:extLst>
            <c:ext xmlns:c16="http://schemas.microsoft.com/office/drawing/2014/chart" uri="{C3380CC4-5D6E-409C-BE32-E72D297353CC}">
              <c16:uniqueId val="{00000002-4328-49CE-85D9-8E5B142DCD5C}"/>
            </c:ext>
          </c:extLst>
        </c:ser>
        <c:ser>
          <c:idx val="2"/>
          <c:order val="3"/>
          <c:tx>
            <c:strRef>
              <c:f>'LI - laps new  (2)'!$M$5</c:f>
              <c:strCache>
                <c:ptCount val="1"/>
                <c:pt idx="0">
                  <c:v>Total Life Insurance Policies in force</c:v>
                </c:pt>
              </c:strCache>
            </c:strRef>
          </c:tx>
          <c:invertIfNegative val="0"/>
          <c:cat>
            <c:numRef>
              <c:f>'LI - laps new  (2)'!$B$6:$B$10</c:f>
              <c:numCache>
                <c:formatCode>General</c:formatCode>
                <c:ptCount val="5"/>
                <c:pt idx="0">
                  <c:v>2012</c:v>
                </c:pt>
                <c:pt idx="1">
                  <c:v>2011</c:v>
                </c:pt>
                <c:pt idx="2">
                  <c:v>2010</c:v>
                </c:pt>
                <c:pt idx="3">
                  <c:v>2009</c:v>
                </c:pt>
                <c:pt idx="4">
                  <c:v>2008</c:v>
                </c:pt>
              </c:numCache>
            </c:numRef>
          </c:cat>
          <c:val>
            <c:numRef>
              <c:f>'LI - laps new  (2)'!$M$6:$M$10</c:f>
              <c:numCache>
                <c:formatCode>_(* #,##0_);_(* \(#,##0\);_(* "-"??_);_(@_)</c:formatCode>
                <c:ptCount val="5"/>
                <c:pt idx="0">
                  <c:v>0</c:v>
                </c:pt>
                <c:pt idx="1">
                  <c:v>0</c:v>
                </c:pt>
                <c:pt idx="2">
                  <c:v>0</c:v>
                </c:pt>
                <c:pt idx="3">
                  <c:v>0</c:v>
                </c:pt>
                <c:pt idx="4">
                  <c:v>0</c:v>
                </c:pt>
              </c:numCache>
            </c:numRef>
          </c:val>
          <c:extLst>
            <c:ext xmlns:c16="http://schemas.microsoft.com/office/drawing/2014/chart" uri="{C3380CC4-5D6E-409C-BE32-E72D297353CC}">
              <c16:uniqueId val="{00000003-4328-49CE-85D9-8E5B142DCD5C}"/>
            </c:ext>
          </c:extLst>
        </c:ser>
        <c:dLbls>
          <c:showLegendKey val="0"/>
          <c:showVal val="0"/>
          <c:showCatName val="0"/>
          <c:showSerName val="0"/>
          <c:showPercent val="0"/>
          <c:showBubbleSize val="0"/>
        </c:dLbls>
        <c:gapWidth val="150"/>
        <c:axId val="95154560"/>
        <c:axId val="95156096"/>
      </c:barChart>
      <c:catAx>
        <c:axId val="95154560"/>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FFFFFF"/>
                </a:solidFill>
                <a:latin typeface="Calibri"/>
                <a:ea typeface="Calibri"/>
                <a:cs typeface="Calibri"/>
              </a:defRPr>
            </a:pPr>
            <a:endParaRPr lang="en-US"/>
          </a:p>
        </c:txPr>
        <c:crossAx val="95156096"/>
        <c:crosses val="autoZero"/>
        <c:auto val="1"/>
        <c:lblAlgn val="ctr"/>
        <c:lblOffset val="100"/>
        <c:noMultiLvlLbl val="0"/>
      </c:catAx>
      <c:valAx>
        <c:axId val="95156096"/>
        <c:scaling>
          <c:orientation val="minMax"/>
          <c:max val="2500000"/>
        </c:scaling>
        <c:delete val="0"/>
        <c:axPos val="l"/>
        <c:majorGridlines/>
        <c:title>
          <c:tx>
            <c:rich>
              <a:bodyPr/>
              <a:lstStyle/>
              <a:p>
                <a:pPr>
                  <a:defRPr sz="1000" b="1" i="0" u="none" strike="noStrike" baseline="0">
                    <a:solidFill>
                      <a:srgbClr val="FFFFFF"/>
                    </a:solidFill>
                    <a:latin typeface="Calibri"/>
                    <a:ea typeface="Calibri"/>
                    <a:cs typeface="Calibri"/>
                  </a:defRPr>
                </a:pPr>
                <a:r>
                  <a:rPr lang="en-US"/>
                  <a:t># of Policies</a:t>
                </a:r>
              </a:p>
            </c:rich>
          </c:tx>
          <c:overlay val="0"/>
        </c:title>
        <c:numFmt formatCode="_(* #,##0_);_(* \(#,##0\);_(* &quot;-&quot;??_);_(@_)" sourceLinked="1"/>
        <c:majorTickMark val="none"/>
        <c:minorTickMark val="none"/>
        <c:tickLblPos val="nextTo"/>
        <c:txPr>
          <a:bodyPr rot="0" vert="horz"/>
          <a:lstStyle/>
          <a:p>
            <a:pPr>
              <a:defRPr sz="1000" b="0" i="0" u="none" strike="noStrike" baseline="0">
                <a:solidFill>
                  <a:srgbClr val="FFFFFF"/>
                </a:solidFill>
                <a:latin typeface="Calibri"/>
                <a:ea typeface="Calibri"/>
                <a:cs typeface="Calibri"/>
              </a:defRPr>
            </a:pPr>
            <a:endParaRPr lang="en-US"/>
          </a:p>
        </c:txPr>
        <c:crossAx val="95154560"/>
        <c:crosses val="autoZero"/>
        <c:crossBetween val="between"/>
      </c:valAx>
    </c:plotArea>
    <c:legend>
      <c:legendPos val="r"/>
      <c:layout>
        <c:manualLayout>
          <c:xMode val="edge"/>
          <c:yMode val="edge"/>
          <c:x val="0.66502344157658244"/>
          <c:y val="0.47036432372561726"/>
          <c:w val="0.3230184119362034"/>
          <c:h val="0.27012738086638255"/>
        </c:manualLayout>
      </c:layout>
      <c:overlay val="0"/>
      <c:txPr>
        <a:bodyPr/>
        <a:lstStyle/>
        <a:p>
          <a:pPr>
            <a:defRPr sz="845" b="0" i="0" u="none" strike="noStrike" baseline="0">
              <a:solidFill>
                <a:srgbClr val="FFFFFF"/>
              </a:solidFill>
              <a:latin typeface="Calibri"/>
              <a:ea typeface="Calibri"/>
              <a:cs typeface="Calibri"/>
            </a:defRPr>
          </a:pPr>
          <a:endParaRPr lang="en-US"/>
        </a:p>
      </c:txPr>
    </c:legend>
    <c:plotVisOnly val="1"/>
    <c:dispBlanksAs val="zero"/>
    <c:showDLblsOverMax val="0"/>
  </c:chart>
  <c:txPr>
    <a:bodyPr/>
    <a:lstStyle/>
    <a:p>
      <a:pPr>
        <a:defRPr sz="1000" b="0" i="0" u="none" strike="noStrike" baseline="0">
          <a:solidFill>
            <a:srgbClr val="FFFFFF"/>
          </a:solidFill>
          <a:latin typeface="Calibri"/>
          <a:ea typeface="Calibri"/>
          <a:cs typeface="Calibri"/>
        </a:defRPr>
      </a:pPr>
      <a:endParaRPr lang="en-US"/>
    </a:p>
  </c:txPr>
  <c:printSettings>
    <c:headerFooter/>
    <c:pageMargins b="0.75000000000001465" l="0.70000000000000062" r="0.70000000000000062" t="0.75000000000001465" header="0.30000000000000032" footer="0.30000000000000032"/>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Laps</a:t>
            </a:r>
            <a:r>
              <a:rPr lang="en-US" baseline="0"/>
              <a:t> Ratio - Long term Insurance Business from 2008 to 2012</a:t>
            </a:r>
            <a:endParaRPr lang="en-US"/>
          </a:p>
        </c:rich>
      </c:tx>
      <c:overlay val="0"/>
    </c:title>
    <c:autoTitleDeleted val="0"/>
    <c:plotArea>
      <c:layout>
        <c:manualLayout>
          <c:layoutTarget val="inner"/>
          <c:xMode val="edge"/>
          <c:yMode val="edge"/>
          <c:x val="0.14989703210177169"/>
          <c:y val="0.17854121126735994"/>
          <c:w val="0.60489009720693065"/>
          <c:h val="0.74571684593786558"/>
        </c:manualLayout>
      </c:layout>
      <c:lineChart>
        <c:grouping val="standard"/>
        <c:varyColors val="0"/>
        <c:ser>
          <c:idx val="0"/>
          <c:order val="0"/>
          <c:tx>
            <c:strRef>
              <c:f>'LI - laps new  (2)'!$O$5</c:f>
              <c:strCache>
                <c:ptCount val="1"/>
                <c:pt idx="0">
                  <c:v>Lapsation New Business on New Policies Issued %</c:v>
                </c:pt>
              </c:strCache>
            </c:strRef>
          </c:tx>
          <c:dLbls>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'LI - laps new  (2)'!$Q$6:$Q$10</c:f>
              <c:strCache>
                <c:ptCount val="5"/>
                <c:pt idx="0">
                  <c:v>2008</c:v>
                </c:pt>
                <c:pt idx="1">
                  <c:v>2009</c:v>
                </c:pt>
                <c:pt idx="2">
                  <c:v>2010</c:v>
                </c:pt>
                <c:pt idx="3">
                  <c:v>2011(a)</c:v>
                </c:pt>
                <c:pt idx="4">
                  <c:v>2012(b)</c:v>
                </c:pt>
              </c:strCache>
            </c:strRef>
          </c:cat>
          <c:val>
            <c:numRef>
              <c:f>'LI - laps new  (2)'!$O$6:$O$10</c:f>
              <c:numCache>
                <c:formatCode>_(* #,##0.00_);_(* \(#,##0.00\);_(* "-"??_);_(@_)</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0-1C26-44C8-B78A-BCDA37E73B4A}"/>
            </c:ext>
          </c:extLst>
        </c:ser>
        <c:ser>
          <c:idx val="1"/>
          <c:order val="1"/>
          <c:tx>
            <c:strRef>
              <c:f>'LI - laps new  (2)'!$P$5</c:f>
              <c:strCache>
                <c:ptCount val="1"/>
                <c:pt idx="0">
                  <c:v>Total lapsation on Total Policies inforce %</c:v>
                </c:pt>
              </c:strCache>
            </c:strRef>
          </c:tx>
          <c:dLbls>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'LI - laps new  (2)'!$Q$6:$Q$10</c:f>
              <c:strCache>
                <c:ptCount val="5"/>
                <c:pt idx="0">
                  <c:v>2008</c:v>
                </c:pt>
                <c:pt idx="1">
                  <c:v>2009</c:v>
                </c:pt>
                <c:pt idx="2">
                  <c:v>2010</c:v>
                </c:pt>
                <c:pt idx="3">
                  <c:v>2011(a)</c:v>
                </c:pt>
                <c:pt idx="4">
                  <c:v>2012(b)</c:v>
                </c:pt>
              </c:strCache>
            </c:strRef>
          </c:cat>
          <c:val>
            <c:numRef>
              <c:f>'LI - laps new  (2)'!$P$6:$P$10</c:f>
              <c:numCache>
                <c:formatCode>_(* #,##0.00_);_(* \(#,##0.00\);_(* "-"??_);_(@_)</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1C26-44C8-B78A-BCDA37E73B4A}"/>
            </c:ext>
          </c:extLst>
        </c:ser>
        <c:dLbls>
          <c:showLegendKey val="0"/>
          <c:showVal val="0"/>
          <c:showCatName val="0"/>
          <c:showSerName val="0"/>
          <c:showPercent val="0"/>
          <c:showBubbleSize val="0"/>
        </c:dLbls>
        <c:marker val="1"/>
        <c:smooth val="0"/>
        <c:axId val="95213824"/>
        <c:axId val="95236096"/>
      </c:lineChart>
      <c:catAx>
        <c:axId val="95213824"/>
        <c:scaling>
          <c:orientation val="minMax"/>
        </c:scaling>
        <c:delete val="0"/>
        <c:axPos val="b"/>
        <c:numFmt formatCode="General" sourceLinked="1"/>
        <c:majorTickMark val="none"/>
        <c:minorTickMark val="none"/>
        <c:tickLblPos val="nextTo"/>
        <c:crossAx val="95236096"/>
        <c:crosses val="autoZero"/>
        <c:auto val="1"/>
        <c:lblAlgn val="ctr"/>
        <c:lblOffset val="100"/>
        <c:noMultiLvlLbl val="0"/>
      </c:catAx>
      <c:valAx>
        <c:axId val="95236096"/>
        <c:scaling>
          <c:orientation val="minMax"/>
          <c:min val="14"/>
        </c:scaling>
        <c:delete val="0"/>
        <c:axPos val="l"/>
        <c:majorGridlines/>
        <c:title>
          <c:tx>
            <c:rich>
              <a:bodyPr/>
              <a:lstStyle/>
              <a:p>
                <a:pPr>
                  <a:defRPr/>
                </a:pPr>
                <a:r>
                  <a:rPr lang="en-US" b="1"/>
                  <a:t>%</a:t>
                </a:r>
              </a:p>
            </c:rich>
          </c:tx>
          <c:overlay val="0"/>
        </c:title>
        <c:numFmt formatCode="_(* #,##0.00_);_(* \(#,##0.00\);_(* &quot;-&quot;??_);_(@_)" sourceLinked="1"/>
        <c:majorTickMark val="none"/>
        <c:minorTickMark val="none"/>
        <c:tickLblPos val="nextTo"/>
        <c:crossAx val="95213824"/>
        <c:crosses val="autoZero"/>
        <c:crossBetween val="between"/>
      </c:valAx>
    </c:plotArea>
    <c:legend>
      <c:legendPos val="r"/>
      <c:layout>
        <c:manualLayout>
          <c:xMode val="edge"/>
          <c:yMode val="edge"/>
          <c:x val="0.76120512623220005"/>
          <c:y val="0.48884092135130758"/>
          <c:w val="0.22576555780690291"/>
          <c:h val="0.36683786744802932"/>
        </c:manualLayout>
      </c:layout>
      <c:overlay val="0"/>
    </c:legend>
    <c:plotVisOnly val="1"/>
    <c:dispBlanksAs val="gap"/>
    <c:showDLblsOverMax val="0"/>
  </c:chart>
  <c:spPr>
    <a:solidFill>
      <a:srgbClr val="FFFF00"/>
    </a:solidFill>
  </c:spPr>
  <c:printSettings>
    <c:headerFooter/>
    <c:pageMargins b="0.75000000000001465" l="0.70000000000000062" r="0.70000000000000062" t="0.75000000000001465" header="0.30000000000000032" footer="0.3000000000000003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42"/>
    </mc:Choice>
    <mc:Fallback>
      <c:style val="42"/>
    </mc:Fallback>
  </mc:AlternateContent>
  <c:chart>
    <c:title>
      <c:tx>
        <c:rich>
          <a:bodyPr/>
          <a:lstStyle/>
          <a:p>
            <a:pPr>
              <a:defRPr sz="1800" b="1" i="0" u="none" strike="noStrike" baseline="0">
                <a:solidFill>
                  <a:srgbClr val="FFFFFF"/>
                </a:solidFill>
                <a:latin typeface="Calibri"/>
                <a:ea typeface="Calibri"/>
                <a:cs typeface="Calibri"/>
              </a:defRPr>
            </a:pPr>
            <a:r>
              <a:rPr lang="en-US"/>
              <a:t>GI - No. of Policies issued, Renewed &amp; Policies inforce</a:t>
            </a:r>
          </a:p>
        </c:rich>
      </c:tx>
      <c:overlay val="0"/>
    </c:title>
    <c:autoTitleDeleted val="0"/>
    <c:view3D>
      <c:rotX val="15"/>
      <c:rotY val="20"/>
      <c:depthPercent val="100"/>
      <c:rAngAx val="1"/>
    </c:view3D>
    <c:floor>
      <c:thickness val="0"/>
    </c:floor>
    <c:sideWall>
      <c:thickness val="0"/>
    </c:sideWall>
    <c:backWall>
      <c:thickness val="0"/>
    </c:backWall>
    <c:plotArea>
      <c:layout/>
      <c:bar3DChart>
        <c:barDir val="col"/>
        <c:grouping val="clustered"/>
        <c:varyColors val="0"/>
        <c:ser>
          <c:idx val="0"/>
          <c:order val="0"/>
          <c:tx>
            <c:strRef>
              <c:f>'T13 -GI Policies '!$B$169</c:f>
              <c:strCache>
                <c:ptCount val="1"/>
                <c:pt idx="0">
                  <c:v>New</c:v>
                </c:pt>
              </c:strCache>
            </c:strRef>
          </c:tx>
          <c:invertIfNegative val="0"/>
          <c:dLbls>
            <c:dLbl>
              <c:idx val="0"/>
              <c:layout>
                <c:manualLayout>
                  <c:x val="0"/>
                  <c:y val="0.1692195477753549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C29-4C46-8335-3AC88E02F292}"/>
                </c:ext>
              </c:extLst>
            </c:dLbl>
            <c:dLbl>
              <c:idx val="1"/>
              <c:layout>
                <c:manualLayout>
                  <c:x val="-3.3669644715435552E-17"/>
                  <c:y val="0.157549234135688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C29-4C46-8335-3AC88E02F292}"/>
                </c:ext>
              </c:extLst>
            </c:dLbl>
            <c:dLbl>
              <c:idx val="2"/>
              <c:layout>
                <c:manualLayout>
                  <c:x val="0"/>
                  <c:y val="0.157549234135688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C29-4C46-8335-3AC88E02F292}"/>
                </c:ext>
              </c:extLst>
            </c:dLbl>
            <c:dLbl>
              <c:idx val="3"/>
              <c:layout>
                <c:manualLayout>
                  <c:x val="0"/>
                  <c:y val="0.160466812545587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C29-4C46-8335-3AC88E02F292}"/>
                </c:ext>
              </c:extLst>
            </c:dLbl>
            <c:dLbl>
              <c:idx val="4"/>
              <c:layout>
                <c:manualLayout>
                  <c:x val="1.8365472910928642E-3"/>
                  <c:y val="0.1692195477753549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C29-4C46-8335-3AC88E02F292}"/>
                </c:ext>
              </c:extLst>
            </c:dLbl>
            <c:spPr>
              <a:noFill/>
              <a:ln>
                <a:noFill/>
              </a:ln>
              <a:effectLst/>
            </c:spPr>
            <c:txPr>
              <a:bodyPr rot="-5400000" vert="horz"/>
              <a:lstStyle/>
              <a:p>
                <a:pPr algn="ctr">
                  <a:defRPr sz="1000" b="0" i="0" u="none" strike="noStrike" baseline="0">
                    <a:solidFill>
                      <a:srgbClr val="FFFFFF"/>
                    </a:solidFill>
                    <a:latin typeface="Calibri"/>
                    <a:ea typeface="Calibri"/>
                    <a:cs typeface="Calibri"/>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'T13 -GI Policies '!$C$168:$G$168</c:f>
              <c:numCache>
                <c:formatCode>General</c:formatCode>
                <c:ptCount val="5"/>
                <c:pt idx="0">
                  <c:v>2007</c:v>
                </c:pt>
                <c:pt idx="1">
                  <c:v>2008</c:v>
                </c:pt>
                <c:pt idx="2">
                  <c:v>2009</c:v>
                </c:pt>
                <c:pt idx="3">
                  <c:v>2010</c:v>
                </c:pt>
                <c:pt idx="4">
                  <c:v>2011</c:v>
                </c:pt>
              </c:numCache>
            </c:numRef>
          </c:cat>
          <c:val>
            <c:numRef>
              <c:f>'T13 -GI Policies '!$C$169:$G$169</c:f>
              <c:numCache>
                <c:formatCode>_(* #,##0_);_(* \(#,##0\);_(* "-"??_);_(@_)</c:formatCode>
                <c:ptCount val="5"/>
                <c:pt idx="0">
                  <c:v>1330536</c:v>
                </c:pt>
                <c:pt idx="1">
                  <c:v>1192732</c:v>
                </c:pt>
                <c:pt idx="2">
                  <c:v>1322279</c:v>
                </c:pt>
                <c:pt idx="3">
                  <c:v>1667727</c:v>
                </c:pt>
                <c:pt idx="4">
                  <c:v>2034668</c:v>
                </c:pt>
              </c:numCache>
            </c:numRef>
          </c:val>
          <c:extLst>
            <c:ext xmlns:c16="http://schemas.microsoft.com/office/drawing/2014/chart" uri="{C3380CC4-5D6E-409C-BE32-E72D297353CC}">
              <c16:uniqueId val="{00000005-BC29-4C46-8335-3AC88E02F292}"/>
            </c:ext>
          </c:extLst>
        </c:ser>
        <c:ser>
          <c:idx val="1"/>
          <c:order val="1"/>
          <c:tx>
            <c:strRef>
              <c:f>'T13 -GI Policies '!$B$170</c:f>
              <c:strCache>
                <c:ptCount val="1"/>
                <c:pt idx="0">
                  <c:v>Renewal</c:v>
                </c:pt>
              </c:strCache>
            </c:strRef>
          </c:tx>
          <c:invertIfNegative val="0"/>
          <c:dLbls>
            <c:dLbl>
              <c:idx val="0"/>
              <c:layout>
                <c:manualLayout>
                  <c:x val="0"/>
                  <c:y val="0.157549234135688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C29-4C46-8335-3AC88E02F292}"/>
                </c:ext>
              </c:extLst>
            </c:dLbl>
            <c:dLbl>
              <c:idx val="1"/>
              <c:layout>
                <c:manualLayout>
                  <c:x val="0"/>
                  <c:y val="0.157549234135688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C29-4C46-8335-3AC88E02F292}"/>
                </c:ext>
              </c:extLst>
            </c:dLbl>
            <c:dLbl>
              <c:idx val="2"/>
              <c:layout>
                <c:manualLayout>
                  <c:x val="6.7339289430872361E-17"/>
                  <c:y val="0.1546316557257476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C29-4C46-8335-3AC88E02F292}"/>
                </c:ext>
              </c:extLst>
            </c:dLbl>
            <c:dLbl>
              <c:idx val="3"/>
              <c:layout>
                <c:manualLayout>
                  <c:x val="0"/>
                  <c:y val="0.157549234135688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C29-4C46-8335-3AC88E02F292}"/>
                </c:ext>
              </c:extLst>
            </c:dLbl>
            <c:dLbl>
              <c:idx val="4"/>
              <c:layout>
                <c:manualLayout>
                  <c:x val="0"/>
                  <c:y val="0.1487964989059212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BC29-4C46-8335-3AC88E02F292}"/>
                </c:ext>
              </c:extLst>
            </c:dLbl>
            <c:spPr>
              <a:noFill/>
              <a:ln>
                <a:noFill/>
              </a:ln>
              <a:effectLst/>
            </c:spPr>
            <c:txPr>
              <a:bodyPr rot="-5400000" vert="horz"/>
              <a:lstStyle/>
              <a:p>
                <a:pPr algn="ctr">
                  <a:defRPr sz="1000" b="0" i="0" u="none" strike="noStrike" baseline="0">
                    <a:solidFill>
                      <a:srgbClr val="FFFFFF"/>
                    </a:solidFill>
                    <a:latin typeface="Calibri"/>
                    <a:ea typeface="Calibri"/>
                    <a:cs typeface="Calibri"/>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'T13 -GI Policies '!$C$168:$G$168</c:f>
              <c:numCache>
                <c:formatCode>General</c:formatCode>
                <c:ptCount val="5"/>
                <c:pt idx="0">
                  <c:v>2007</c:v>
                </c:pt>
                <c:pt idx="1">
                  <c:v>2008</c:v>
                </c:pt>
                <c:pt idx="2">
                  <c:v>2009</c:v>
                </c:pt>
                <c:pt idx="3">
                  <c:v>2010</c:v>
                </c:pt>
                <c:pt idx="4">
                  <c:v>2011</c:v>
                </c:pt>
              </c:numCache>
            </c:numRef>
          </c:cat>
          <c:val>
            <c:numRef>
              <c:f>'T13 -GI Policies '!$C$170:$G$170</c:f>
              <c:numCache>
                <c:formatCode>_(* #,##0_);_(* \(#,##0\);_(* "-"??_);_(@_)</c:formatCode>
                <c:ptCount val="5"/>
                <c:pt idx="0">
                  <c:v>1389395</c:v>
                </c:pt>
                <c:pt idx="1">
                  <c:v>1310608</c:v>
                </c:pt>
                <c:pt idx="2">
                  <c:v>1528157</c:v>
                </c:pt>
                <c:pt idx="3">
                  <c:v>1567438</c:v>
                </c:pt>
                <c:pt idx="4">
                  <c:v>1964208</c:v>
                </c:pt>
              </c:numCache>
            </c:numRef>
          </c:val>
          <c:extLst>
            <c:ext xmlns:c16="http://schemas.microsoft.com/office/drawing/2014/chart" uri="{C3380CC4-5D6E-409C-BE32-E72D297353CC}">
              <c16:uniqueId val="{0000000B-BC29-4C46-8335-3AC88E02F292}"/>
            </c:ext>
          </c:extLst>
        </c:ser>
        <c:ser>
          <c:idx val="2"/>
          <c:order val="2"/>
          <c:tx>
            <c:strRef>
              <c:f>'T13 -GI Policies '!$B$171</c:f>
              <c:strCache>
                <c:ptCount val="1"/>
                <c:pt idx="0">
                  <c:v>Inforce</c:v>
                </c:pt>
              </c:strCache>
            </c:strRef>
          </c:tx>
          <c:invertIfNegative val="0"/>
          <c:dLbls>
            <c:dLbl>
              <c:idx val="0"/>
              <c:layout>
                <c:manualLayout>
                  <c:x val="0"/>
                  <c:y val="0.1633843909555068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BC29-4C46-8335-3AC88E02F292}"/>
                </c:ext>
              </c:extLst>
            </c:dLbl>
            <c:dLbl>
              <c:idx val="1"/>
              <c:layout>
                <c:manualLayout>
                  <c:x val="0"/>
                  <c:y val="0.157549234135688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BC29-4C46-8335-3AC88E02F292}"/>
                </c:ext>
              </c:extLst>
            </c:dLbl>
            <c:dLbl>
              <c:idx val="2"/>
              <c:layout>
                <c:manualLayout>
                  <c:x val="-6.7339289430872361E-17"/>
                  <c:y val="0.157549234135688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BC29-4C46-8335-3AC88E02F292}"/>
                </c:ext>
              </c:extLst>
            </c:dLbl>
            <c:dLbl>
              <c:idx val="3"/>
              <c:layout>
                <c:manualLayout>
                  <c:x val="0"/>
                  <c:y val="0.1663019693654267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BC29-4C46-8335-3AC88E02F292}"/>
                </c:ext>
              </c:extLst>
            </c:dLbl>
            <c:dLbl>
              <c:idx val="4"/>
              <c:layout>
                <c:manualLayout>
                  <c:x val="0"/>
                  <c:y val="0.1546316557257476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BC29-4C46-8335-3AC88E02F292}"/>
                </c:ext>
              </c:extLst>
            </c:dLbl>
            <c:spPr>
              <a:noFill/>
              <a:ln>
                <a:noFill/>
              </a:ln>
              <a:effectLst/>
            </c:spPr>
            <c:txPr>
              <a:bodyPr rot="-5400000" vert="horz"/>
              <a:lstStyle/>
              <a:p>
                <a:pPr algn="ctr">
                  <a:defRPr sz="1000" b="0" i="0" u="none" strike="noStrike" baseline="0">
                    <a:solidFill>
                      <a:srgbClr val="FFFFFF"/>
                    </a:solidFill>
                    <a:latin typeface="Calibri"/>
                    <a:ea typeface="Calibri"/>
                    <a:cs typeface="Calibri"/>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'T13 -GI Policies '!$C$168:$G$168</c:f>
              <c:numCache>
                <c:formatCode>General</c:formatCode>
                <c:ptCount val="5"/>
                <c:pt idx="0">
                  <c:v>2007</c:v>
                </c:pt>
                <c:pt idx="1">
                  <c:v>2008</c:v>
                </c:pt>
                <c:pt idx="2">
                  <c:v>2009</c:v>
                </c:pt>
                <c:pt idx="3">
                  <c:v>2010</c:v>
                </c:pt>
                <c:pt idx="4">
                  <c:v>2011</c:v>
                </c:pt>
              </c:numCache>
            </c:numRef>
          </c:cat>
          <c:val>
            <c:numRef>
              <c:f>'T13 -GI Policies '!$C$171:$G$171</c:f>
              <c:numCache>
                <c:formatCode>_(* #,##0_);_(* \(#,##0\);_(* "-"??_);_(@_)</c:formatCode>
                <c:ptCount val="5"/>
                <c:pt idx="0">
                  <c:v>2241155.61</c:v>
                </c:pt>
                <c:pt idx="1">
                  <c:v>2473343.15</c:v>
                </c:pt>
                <c:pt idx="2">
                  <c:v>2990755.34</c:v>
                </c:pt>
                <c:pt idx="3">
                  <c:v>3428784.75</c:v>
                </c:pt>
                <c:pt idx="4">
                  <c:v>4139070</c:v>
                </c:pt>
              </c:numCache>
            </c:numRef>
          </c:val>
          <c:extLst>
            <c:ext xmlns:c16="http://schemas.microsoft.com/office/drawing/2014/chart" uri="{C3380CC4-5D6E-409C-BE32-E72D297353CC}">
              <c16:uniqueId val="{00000011-BC29-4C46-8335-3AC88E02F292}"/>
            </c:ext>
          </c:extLst>
        </c:ser>
        <c:dLbls>
          <c:showLegendKey val="0"/>
          <c:showVal val="0"/>
          <c:showCatName val="0"/>
          <c:showSerName val="0"/>
          <c:showPercent val="0"/>
          <c:showBubbleSize val="0"/>
        </c:dLbls>
        <c:gapWidth val="150"/>
        <c:shape val="box"/>
        <c:axId val="99582720"/>
        <c:axId val="99584256"/>
        <c:axId val="0"/>
      </c:bar3DChart>
      <c:catAx>
        <c:axId val="99582720"/>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FFFFFF"/>
                </a:solidFill>
                <a:latin typeface="Calibri"/>
                <a:ea typeface="Calibri"/>
                <a:cs typeface="Calibri"/>
              </a:defRPr>
            </a:pPr>
            <a:endParaRPr lang="en-US"/>
          </a:p>
        </c:txPr>
        <c:crossAx val="99584256"/>
        <c:crosses val="autoZero"/>
        <c:auto val="1"/>
        <c:lblAlgn val="ctr"/>
        <c:lblOffset val="100"/>
        <c:noMultiLvlLbl val="0"/>
      </c:catAx>
      <c:valAx>
        <c:axId val="99584256"/>
        <c:scaling>
          <c:orientation val="minMax"/>
        </c:scaling>
        <c:delete val="0"/>
        <c:axPos val="l"/>
        <c:majorGridlines/>
        <c:numFmt formatCode="_(* #,##0_);_(* \(#,##0\);_(* &quot;-&quot;??_);_(@_)" sourceLinked="1"/>
        <c:majorTickMark val="none"/>
        <c:minorTickMark val="none"/>
        <c:tickLblPos val="nextTo"/>
        <c:txPr>
          <a:bodyPr rot="0" vert="horz"/>
          <a:lstStyle/>
          <a:p>
            <a:pPr>
              <a:defRPr sz="1000" b="0" i="0" u="none" strike="noStrike" baseline="0">
                <a:solidFill>
                  <a:srgbClr val="FFFFFF"/>
                </a:solidFill>
                <a:latin typeface="Calibri"/>
                <a:ea typeface="Calibri"/>
                <a:cs typeface="Calibri"/>
              </a:defRPr>
            </a:pPr>
            <a:endParaRPr lang="en-US"/>
          </a:p>
        </c:txPr>
        <c:crossAx val="99582720"/>
        <c:crosses val="autoZero"/>
        <c:crossBetween val="between"/>
      </c:valAx>
      <c:spPr>
        <a:noFill/>
        <a:ln w="25400">
          <a:noFill/>
        </a:ln>
      </c:spPr>
    </c:plotArea>
    <c:legend>
      <c:legendPos val="r"/>
      <c:overlay val="0"/>
      <c:txPr>
        <a:bodyPr/>
        <a:lstStyle/>
        <a:p>
          <a:pPr>
            <a:defRPr sz="845" b="0" i="0" u="none" strike="noStrike" baseline="0">
              <a:solidFill>
                <a:srgbClr val="FFFFFF"/>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FFFFFF"/>
          </a:solidFill>
          <a:latin typeface="Calibri"/>
          <a:ea typeface="Calibri"/>
          <a:cs typeface="Calibri"/>
        </a:defRPr>
      </a:pPr>
      <a:endParaRPr lang="en-US"/>
    </a:p>
  </c:txPr>
  <c:printSettings>
    <c:headerFooter/>
    <c:pageMargins b="0.75000000000001465" l="0.70000000000000062" r="0.70000000000000062" t="0.75000000000001465" header="0.30000000000000032" footer="0.30000000000000032"/>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42"/>
    </mc:Choice>
    <mc:Fallback>
      <c:style val="42"/>
    </mc:Fallback>
  </mc:AlternateContent>
  <c:chart>
    <c:title>
      <c:tx>
        <c:rich>
          <a:bodyPr/>
          <a:lstStyle/>
          <a:p>
            <a:pPr>
              <a:defRPr sz="1800" b="1" i="0" u="none" strike="noStrike" baseline="0">
                <a:solidFill>
                  <a:srgbClr val="FFFFFF"/>
                </a:solidFill>
                <a:latin typeface="Calibri"/>
                <a:ea typeface="Calibri"/>
                <a:cs typeface="Calibri"/>
              </a:defRPr>
            </a:pPr>
            <a:r>
              <a:rPr lang="en-US"/>
              <a:t>Claims Ratio</a:t>
            </a:r>
          </a:p>
        </c:rich>
      </c:tx>
      <c:overlay val="0"/>
    </c:title>
    <c:autoTitleDeleted val="0"/>
    <c:plotArea>
      <c:layout/>
      <c:lineChart>
        <c:grouping val="standard"/>
        <c:varyColors val="0"/>
        <c:ser>
          <c:idx val="0"/>
          <c:order val="0"/>
          <c:tx>
            <c:strRef>
              <c:f>'AR table 6 &amp; Chart 7 (2)'!$B$23</c:f>
              <c:strCache>
                <c:ptCount val="1"/>
                <c:pt idx="0">
                  <c:v>Fire</c:v>
                </c:pt>
              </c:strCache>
            </c:strRef>
          </c:tx>
          <c:dLbls>
            <c:dLbl>
              <c:idx val="0"/>
              <c:spPr/>
              <c:txPr>
                <a:bodyPr/>
                <a:lstStyle/>
                <a:p>
                  <a:pPr>
                    <a:defRPr sz="1000" b="0" i="0" u="none" strike="noStrike" baseline="0">
                      <a:solidFill>
                        <a:srgbClr val="FFFFFF"/>
                      </a:solidFill>
                      <a:latin typeface="Calibri"/>
                      <a:ea typeface="Calibri"/>
                      <a:cs typeface="Calibri"/>
                    </a:defRPr>
                  </a:pPr>
                  <a:endParaRPr lang="en-US"/>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530-47DF-96A6-8FB6562FD9F1}"/>
                </c:ext>
              </c:extLst>
            </c:dLbl>
            <c:dLbl>
              <c:idx val="4"/>
              <c:spPr/>
              <c:txPr>
                <a:bodyPr/>
                <a:lstStyle/>
                <a:p>
                  <a:pPr>
                    <a:defRPr sz="1000" b="0" i="0" u="none" strike="noStrike" baseline="0">
                      <a:solidFill>
                        <a:srgbClr val="FFFFFF"/>
                      </a:solidFill>
                      <a:latin typeface="Calibri"/>
                      <a:ea typeface="Calibri"/>
                      <a:cs typeface="Calibri"/>
                    </a:defRPr>
                  </a:pPr>
                  <a:endParaRPr lang="en-US"/>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530-47DF-96A6-8FB6562FD9F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'AR table 6 &amp; Chart 7 (2)'!$D$22:$H$22</c:f>
              <c:strCache>
                <c:ptCount val="5"/>
                <c:pt idx="0">
                  <c:v>2008</c:v>
                </c:pt>
                <c:pt idx="1">
                  <c:v>2009</c:v>
                </c:pt>
                <c:pt idx="2">
                  <c:v>2010</c:v>
                </c:pt>
                <c:pt idx="3">
                  <c:v>2011(a)</c:v>
                </c:pt>
                <c:pt idx="4">
                  <c:v>2012(b)</c:v>
                </c:pt>
              </c:strCache>
            </c:strRef>
          </c:cat>
          <c:val>
            <c:numRef>
              <c:f>'AR table 6 &amp; Chart 7 (2)'!$D$23:$H$23</c:f>
              <c:numCache>
                <c:formatCode>#,##0.00_);\(#,##0.00\)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2-2530-47DF-96A6-8FB6562FD9F1}"/>
            </c:ext>
          </c:extLst>
        </c:ser>
        <c:ser>
          <c:idx val="1"/>
          <c:order val="1"/>
          <c:tx>
            <c:strRef>
              <c:f>'AR table 6 &amp; Chart 7 (2)'!$B$24</c:f>
              <c:strCache>
                <c:ptCount val="1"/>
                <c:pt idx="0">
                  <c:v>Marine</c:v>
                </c:pt>
              </c:strCache>
            </c:strRef>
          </c:tx>
          <c:dLbls>
            <c:dLbl>
              <c:idx val="0"/>
              <c:spPr/>
              <c:txPr>
                <a:bodyPr/>
                <a:lstStyle/>
                <a:p>
                  <a:pPr>
                    <a:defRPr sz="1000" b="0" i="0" u="none" strike="noStrike" baseline="0">
                      <a:solidFill>
                        <a:srgbClr val="FFFFFF"/>
                      </a:solidFill>
                      <a:latin typeface="Calibri"/>
                      <a:ea typeface="Calibri"/>
                      <a:cs typeface="Calibri"/>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530-47DF-96A6-8FB6562FD9F1}"/>
                </c:ext>
              </c:extLst>
            </c:dLbl>
            <c:dLbl>
              <c:idx val="4"/>
              <c:spPr/>
              <c:txPr>
                <a:bodyPr/>
                <a:lstStyle/>
                <a:p>
                  <a:pPr>
                    <a:defRPr sz="1000" b="0" i="0" u="none" strike="noStrike" baseline="0">
                      <a:solidFill>
                        <a:srgbClr val="FFFFFF"/>
                      </a:solidFill>
                      <a:latin typeface="Calibri"/>
                      <a:ea typeface="Calibri"/>
                      <a:cs typeface="Calibri"/>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530-47DF-96A6-8FB6562FD9F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'AR table 6 &amp; Chart 7 (2)'!$D$22:$H$22</c:f>
              <c:strCache>
                <c:ptCount val="5"/>
                <c:pt idx="0">
                  <c:v>2008</c:v>
                </c:pt>
                <c:pt idx="1">
                  <c:v>2009</c:v>
                </c:pt>
                <c:pt idx="2">
                  <c:v>2010</c:v>
                </c:pt>
                <c:pt idx="3">
                  <c:v>2011(a)</c:v>
                </c:pt>
                <c:pt idx="4">
                  <c:v>2012(b)</c:v>
                </c:pt>
              </c:strCache>
            </c:strRef>
          </c:cat>
          <c:val>
            <c:numRef>
              <c:f>'AR table 6 &amp; Chart 7 (2)'!$D$24:$H$24</c:f>
              <c:numCache>
                <c:formatCode>#,##0.00_);\(#,##0.00\)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5-2530-47DF-96A6-8FB6562FD9F1}"/>
            </c:ext>
          </c:extLst>
        </c:ser>
        <c:ser>
          <c:idx val="2"/>
          <c:order val="2"/>
          <c:tx>
            <c:strRef>
              <c:f>'AR table 6 &amp; Chart 7 (2)'!$B$25</c:f>
              <c:strCache>
                <c:ptCount val="1"/>
                <c:pt idx="0">
                  <c:v>Motor</c:v>
                </c:pt>
              </c:strCache>
            </c:strRef>
          </c:tx>
          <c:dLbls>
            <c:dLbl>
              <c:idx val="0"/>
              <c:spPr/>
              <c:txPr>
                <a:bodyPr/>
                <a:lstStyle/>
                <a:p>
                  <a:pPr>
                    <a:defRPr sz="1000" b="0" i="0" u="none" strike="noStrike" baseline="0">
                      <a:solidFill>
                        <a:srgbClr val="FFFFFF"/>
                      </a:solidFill>
                      <a:latin typeface="Calibri"/>
                      <a:ea typeface="Calibri"/>
                      <a:cs typeface="Calibri"/>
                    </a:defRPr>
                  </a:pPr>
                  <a:endParaRPr lang="en-US"/>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530-47DF-96A6-8FB6562FD9F1}"/>
                </c:ext>
              </c:extLst>
            </c:dLbl>
            <c:dLbl>
              <c:idx val="4"/>
              <c:spPr/>
              <c:txPr>
                <a:bodyPr/>
                <a:lstStyle/>
                <a:p>
                  <a:pPr>
                    <a:defRPr sz="1000" b="0" i="0" u="none" strike="noStrike" baseline="0">
                      <a:solidFill>
                        <a:srgbClr val="FFFFFF"/>
                      </a:solidFill>
                      <a:latin typeface="Calibri"/>
                      <a:ea typeface="Calibri"/>
                      <a:cs typeface="Calibri"/>
                    </a:defRPr>
                  </a:pPr>
                  <a:endParaRPr lang="en-US"/>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530-47DF-96A6-8FB6562FD9F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'AR table 6 &amp; Chart 7 (2)'!$D$22:$H$22</c:f>
              <c:strCache>
                <c:ptCount val="5"/>
                <c:pt idx="0">
                  <c:v>2008</c:v>
                </c:pt>
                <c:pt idx="1">
                  <c:v>2009</c:v>
                </c:pt>
                <c:pt idx="2">
                  <c:v>2010</c:v>
                </c:pt>
                <c:pt idx="3">
                  <c:v>2011(a)</c:v>
                </c:pt>
                <c:pt idx="4">
                  <c:v>2012(b)</c:v>
                </c:pt>
              </c:strCache>
            </c:strRef>
          </c:cat>
          <c:val>
            <c:numRef>
              <c:f>'AR table 6 &amp; Chart 7 (2)'!$D$25:$H$25</c:f>
              <c:numCache>
                <c:formatCode>#,##0.00_);\(#,##0.00\)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8-2530-47DF-96A6-8FB6562FD9F1}"/>
            </c:ext>
          </c:extLst>
        </c:ser>
        <c:ser>
          <c:idx val="3"/>
          <c:order val="3"/>
          <c:tx>
            <c:strRef>
              <c:f>'AR table 6 &amp; Chart 7 (2)'!$B$26</c:f>
              <c:strCache>
                <c:ptCount val="1"/>
                <c:pt idx="0">
                  <c:v>Miscellanious</c:v>
                </c:pt>
              </c:strCache>
            </c:strRef>
          </c:tx>
          <c:dLbls>
            <c:dLbl>
              <c:idx val="0"/>
              <c:spPr/>
              <c:txPr>
                <a:bodyPr/>
                <a:lstStyle/>
                <a:p>
                  <a:pPr>
                    <a:defRPr sz="1000" b="0" i="0" u="none" strike="noStrike" baseline="0">
                      <a:solidFill>
                        <a:srgbClr val="FFFFFF"/>
                      </a:solidFill>
                      <a:latin typeface="Calibri"/>
                      <a:ea typeface="Calibri"/>
                      <a:cs typeface="Calibri"/>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530-47DF-96A6-8FB6562FD9F1}"/>
                </c:ext>
              </c:extLst>
            </c:dLbl>
            <c:dLbl>
              <c:idx val="4"/>
              <c:spPr/>
              <c:txPr>
                <a:bodyPr/>
                <a:lstStyle/>
                <a:p>
                  <a:pPr>
                    <a:defRPr sz="1000" b="0" i="0" u="none" strike="noStrike" baseline="0">
                      <a:solidFill>
                        <a:srgbClr val="FFFFFF"/>
                      </a:solidFill>
                      <a:latin typeface="Calibri"/>
                      <a:ea typeface="Calibri"/>
                      <a:cs typeface="Calibri"/>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530-47DF-96A6-8FB6562FD9F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'AR table 6 &amp; Chart 7 (2)'!$D$22:$H$22</c:f>
              <c:strCache>
                <c:ptCount val="5"/>
                <c:pt idx="0">
                  <c:v>2008</c:v>
                </c:pt>
                <c:pt idx="1">
                  <c:v>2009</c:v>
                </c:pt>
                <c:pt idx="2">
                  <c:v>2010</c:v>
                </c:pt>
                <c:pt idx="3">
                  <c:v>2011(a)</c:v>
                </c:pt>
                <c:pt idx="4">
                  <c:v>2012(b)</c:v>
                </c:pt>
              </c:strCache>
            </c:strRef>
          </c:cat>
          <c:val>
            <c:numRef>
              <c:f>'AR table 6 &amp; Chart 7 (2)'!$D$26:$H$26</c:f>
              <c:numCache>
                <c:formatCode>#,##0.00_);\(#,##0.00\)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B-2530-47DF-96A6-8FB6562FD9F1}"/>
            </c:ext>
          </c:extLst>
        </c:ser>
        <c:dLbls>
          <c:showLegendKey val="0"/>
          <c:showVal val="0"/>
          <c:showCatName val="0"/>
          <c:showSerName val="0"/>
          <c:showPercent val="0"/>
          <c:showBubbleSize val="0"/>
        </c:dLbls>
        <c:marker val="1"/>
        <c:smooth val="0"/>
        <c:axId val="100480512"/>
        <c:axId val="100482048"/>
      </c:lineChart>
      <c:catAx>
        <c:axId val="100480512"/>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FFFFFF"/>
                </a:solidFill>
                <a:latin typeface="Calibri"/>
                <a:ea typeface="Calibri"/>
                <a:cs typeface="Calibri"/>
              </a:defRPr>
            </a:pPr>
            <a:endParaRPr lang="en-US"/>
          </a:p>
        </c:txPr>
        <c:crossAx val="100482048"/>
        <c:crosses val="autoZero"/>
        <c:auto val="1"/>
        <c:lblAlgn val="ctr"/>
        <c:lblOffset val="100"/>
        <c:noMultiLvlLbl val="0"/>
      </c:catAx>
      <c:valAx>
        <c:axId val="100482048"/>
        <c:scaling>
          <c:orientation val="minMax"/>
          <c:max val="100"/>
        </c:scaling>
        <c:delete val="0"/>
        <c:axPos val="l"/>
        <c:majorGridlines/>
        <c:numFmt formatCode="General" sourceLinked="0"/>
        <c:majorTickMark val="none"/>
        <c:minorTickMark val="none"/>
        <c:tickLblPos val="nextTo"/>
        <c:spPr>
          <a:ln w="9525">
            <a:noFill/>
          </a:ln>
        </c:spPr>
        <c:txPr>
          <a:bodyPr rot="0" vert="horz"/>
          <a:lstStyle/>
          <a:p>
            <a:pPr>
              <a:defRPr sz="1000" b="0" i="0" u="none" strike="noStrike" baseline="0">
                <a:solidFill>
                  <a:srgbClr val="FFFFFF"/>
                </a:solidFill>
                <a:latin typeface="Calibri"/>
                <a:ea typeface="Calibri"/>
                <a:cs typeface="Calibri"/>
              </a:defRPr>
            </a:pPr>
            <a:endParaRPr lang="en-US"/>
          </a:p>
        </c:txPr>
        <c:crossAx val="100480512"/>
        <c:crosses val="autoZero"/>
        <c:crossBetween val="between"/>
      </c:valAx>
    </c:plotArea>
    <c:legend>
      <c:legendPos val="b"/>
      <c:overlay val="0"/>
      <c:txPr>
        <a:bodyPr/>
        <a:lstStyle/>
        <a:p>
          <a:pPr>
            <a:defRPr sz="845" b="0" i="0" u="none" strike="noStrike" baseline="0">
              <a:solidFill>
                <a:srgbClr val="FFFFFF"/>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FFFFFF"/>
          </a:solidFill>
          <a:latin typeface="Calibri"/>
          <a:ea typeface="Calibri"/>
          <a:cs typeface="Calibri"/>
        </a:defRPr>
      </a:pPr>
      <a:endParaRPr lang="en-US"/>
    </a:p>
  </c:txPr>
  <c:printSettings>
    <c:headerFooter/>
    <c:pageMargins b="0.75000000000001465" l="0.70000000000000062" r="0.70000000000000062" t="0.75000000000001465"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34"/>
    </mc:Choice>
    <mc:Fallback>
      <c:style val="34"/>
    </mc:Fallback>
  </mc:AlternateContent>
  <c:chart>
    <c:title>
      <c:tx>
        <c:rich>
          <a:bodyPr/>
          <a:lstStyle/>
          <a:p>
            <a:pPr>
              <a:defRPr/>
            </a:pPr>
            <a:r>
              <a:rPr lang="en-US"/>
              <a:t>Earned Premium, Claims Incurred and Claim Ratio - General Insurance Business</a:t>
            </a:r>
          </a:p>
        </c:rich>
      </c:tx>
      <c:layout>
        <c:manualLayout>
          <c:xMode val="edge"/>
          <c:yMode val="edge"/>
          <c:x val="0.11719945492746912"/>
          <c:y val="8.1967213114754103E-3"/>
        </c:manualLayout>
      </c:layout>
      <c:overlay val="0"/>
    </c:title>
    <c:autoTitleDeleted val="0"/>
    <c:plotArea>
      <c:layout>
        <c:manualLayout>
          <c:layoutTarget val="inner"/>
          <c:xMode val="edge"/>
          <c:yMode val="edge"/>
          <c:x val="0.17216899169655075"/>
          <c:y val="0.13284521475250041"/>
          <c:w val="0.6554090393432741"/>
          <c:h val="0.7074759407162875"/>
        </c:manualLayout>
      </c:layout>
      <c:barChart>
        <c:barDir val="col"/>
        <c:grouping val="clustered"/>
        <c:varyColors val="0"/>
        <c:ser>
          <c:idx val="0"/>
          <c:order val="0"/>
          <c:tx>
            <c:strRef>
              <c:f>'AR table 6 &amp; Chart 7 (2)'!$B$35</c:f>
              <c:strCache>
                <c:ptCount val="1"/>
                <c:pt idx="0">
                  <c:v>Excess of premium over net claims paid Rs.'000</c:v>
                </c:pt>
              </c:strCache>
            </c:strRef>
          </c:tx>
          <c:invertIfNegative val="0"/>
          <c:dLbls>
            <c:spPr>
              <a:noFill/>
              <a:ln>
                <a:noFill/>
              </a:ln>
              <a:effectLst/>
            </c:spPr>
            <c:txPr>
              <a:bodyPr rot="-5400000" vert="horz"/>
              <a:lstStyle/>
              <a:p>
                <a:pPr>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'AR table 6 &amp; Chart 7 (2)'!$D$29:$H$29</c:f>
              <c:strCache>
                <c:ptCount val="5"/>
                <c:pt idx="0">
                  <c:v>2008</c:v>
                </c:pt>
                <c:pt idx="1">
                  <c:v>2009</c:v>
                </c:pt>
                <c:pt idx="2">
                  <c:v>2010</c:v>
                </c:pt>
                <c:pt idx="3">
                  <c:v>2011(a)</c:v>
                </c:pt>
                <c:pt idx="4">
                  <c:v>2012(b)</c:v>
                </c:pt>
              </c:strCache>
            </c:strRef>
          </c:cat>
          <c:val>
            <c:numRef>
              <c:f>'AR table 6 &amp; Chart 7 (2)'!$D$35:$H$35</c:f>
              <c:numCache>
                <c:formatCode>_(* #,##0_);_(* \(#,##0\);_(* "-"??_);_(@_)</c:formatCode>
                <c:ptCount val="5"/>
                <c:pt idx="0">
                  <c:v>0</c:v>
                </c:pt>
                <c:pt idx="1">
                  <c:v>0</c:v>
                </c:pt>
                <c:pt idx="2">
                  <c:v>0</c:v>
                </c:pt>
                <c:pt idx="3">
                  <c:v>0</c:v>
                </c:pt>
                <c:pt idx="4">
                  <c:v>0</c:v>
                </c:pt>
              </c:numCache>
            </c:numRef>
          </c:val>
          <c:extLst>
            <c:ext xmlns:c16="http://schemas.microsoft.com/office/drawing/2014/chart" uri="{C3380CC4-5D6E-409C-BE32-E72D297353CC}">
              <c16:uniqueId val="{00000000-FA6C-4FEE-A0C8-F786F2ADEEA3}"/>
            </c:ext>
          </c:extLst>
        </c:ser>
        <c:ser>
          <c:idx val="1"/>
          <c:order val="1"/>
          <c:tx>
            <c:strRef>
              <c:f>'AR table 6 &amp; Chart 7 (2)'!$B$36</c:f>
              <c:strCache>
                <c:ptCount val="1"/>
                <c:pt idx="0">
                  <c:v>Net Expenses Rs. '000</c:v>
                </c:pt>
              </c:strCache>
            </c:strRef>
          </c:tx>
          <c:invertIfNegative val="0"/>
          <c:dLbls>
            <c:spPr>
              <a:noFill/>
              <a:ln>
                <a:noFill/>
              </a:ln>
              <a:effectLst/>
            </c:spPr>
            <c:txPr>
              <a:bodyPr rot="-5400000" vert="horz"/>
              <a:lstStyle/>
              <a:p>
                <a:pPr>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'AR table 6 &amp; Chart 7 (2)'!$D$29:$H$29</c:f>
              <c:strCache>
                <c:ptCount val="5"/>
                <c:pt idx="0">
                  <c:v>2008</c:v>
                </c:pt>
                <c:pt idx="1">
                  <c:v>2009</c:v>
                </c:pt>
                <c:pt idx="2">
                  <c:v>2010</c:v>
                </c:pt>
                <c:pt idx="3">
                  <c:v>2011(a)</c:v>
                </c:pt>
                <c:pt idx="4">
                  <c:v>2012(b)</c:v>
                </c:pt>
              </c:strCache>
            </c:strRef>
          </c:cat>
          <c:val>
            <c:numRef>
              <c:f>'AR table 6 &amp; Chart 7 (2)'!$D$36:$H$36</c:f>
              <c:numCache>
                <c:formatCode>_(* #,##0_);_(* \(#,##0\);_(* "-"??_);_(@_)</c:formatCode>
                <c:ptCount val="5"/>
                <c:pt idx="0">
                  <c:v>12766837.92606</c:v>
                </c:pt>
                <c:pt idx="1">
                  <c:v>12907013.425590001</c:v>
                </c:pt>
                <c:pt idx="2">
                  <c:v>10058322.227912756</c:v>
                </c:pt>
                <c:pt idx="3">
                  <c:v>0</c:v>
                </c:pt>
                <c:pt idx="4">
                  <c:v>0</c:v>
                </c:pt>
              </c:numCache>
            </c:numRef>
          </c:val>
          <c:extLst>
            <c:ext xmlns:c16="http://schemas.microsoft.com/office/drawing/2014/chart" uri="{C3380CC4-5D6E-409C-BE32-E72D297353CC}">
              <c16:uniqueId val="{00000001-FA6C-4FEE-A0C8-F786F2ADEEA3}"/>
            </c:ext>
          </c:extLst>
        </c:ser>
        <c:ser>
          <c:idx val="4"/>
          <c:order val="2"/>
          <c:tx>
            <c:strRef>
              <c:f>'AR table 6 &amp; Chart 7 (2)'!$B$37</c:f>
              <c:strCache>
                <c:ptCount val="1"/>
                <c:pt idx="0">
                  <c:v>Investment Income Rs. '000</c:v>
                </c:pt>
              </c:strCache>
            </c:strRef>
          </c:tx>
          <c:invertIfNegative val="0"/>
          <c:dLbls>
            <c:spPr>
              <a:noFill/>
              <a:ln>
                <a:noFill/>
              </a:ln>
              <a:effectLst/>
            </c:spPr>
            <c:txPr>
              <a:bodyPr rot="-5400000" vert="horz"/>
              <a:lstStyle/>
              <a:p>
                <a:pPr>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'AR table 6 &amp; Chart 7 (2)'!$D$29:$H$29</c:f>
              <c:strCache>
                <c:ptCount val="5"/>
                <c:pt idx="0">
                  <c:v>2008</c:v>
                </c:pt>
                <c:pt idx="1">
                  <c:v>2009</c:v>
                </c:pt>
                <c:pt idx="2">
                  <c:v>2010</c:v>
                </c:pt>
                <c:pt idx="3">
                  <c:v>2011(a)</c:v>
                </c:pt>
                <c:pt idx="4">
                  <c:v>2012(b)</c:v>
                </c:pt>
              </c:strCache>
            </c:strRef>
          </c:cat>
          <c:val>
            <c:numRef>
              <c:f>'AR table 6 &amp; Chart 7 (2)'!$D$37:$H$37</c:f>
              <c:numCache>
                <c:formatCode>General</c:formatCode>
                <c:ptCount val="5"/>
                <c:pt idx="2" formatCode="_(* #,##0_);_(* \(#,##0\);_(* &quot;-&quot;??_);_(@_)">
                  <c:v>12220021.678048341</c:v>
                </c:pt>
                <c:pt idx="3" formatCode="_(* #,##0_);_(* \(#,##0\);_(* &quot;-&quot;??_);_(@_)">
                  <c:v>3386078.0472546476</c:v>
                </c:pt>
                <c:pt idx="4" formatCode="_(* #,##0_);_(* \(#,##0\);_(* &quot;-&quot;??_);_(@_)">
                  <c:v>0</c:v>
                </c:pt>
              </c:numCache>
            </c:numRef>
          </c:val>
          <c:extLst>
            <c:ext xmlns:c16="http://schemas.microsoft.com/office/drawing/2014/chart" uri="{C3380CC4-5D6E-409C-BE32-E72D297353CC}">
              <c16:uniqueId val="{00000002-FA6C-4FEE-A0C8-F786F2ADEEA3}"/>
            </c:ext>
          </c:extLst>
        </c:ser>
        <c:dLbls>
          <c:showLegendKey val="0"/>
          <c:showVal val="0"/>
          <c:showCatName val="0"/>
          <c:showSerName val="0"/>
          <c:showPercent val="0"/>
          <c:showBubbleSize val="0"/>
        </c:dLbls>
        <c:gapWidth val="150"/>
        <c:axId val="100872192"/>
        <c:axId val="100873728"/>
      </c:barChart>
      <c:lineChart>
        <c:grouping val="stacked"/>
        <c:varyColors val="0"/>
        <c:ser>
          <c:idx val="2"/>
          <c:order val="3"/>
          <c:tx>
            <c:strRef>
              <c:f>'AR table 6 &amp; Chart 7 (2)'!$B$33</c:f>
              <c:strCache>
                <c:ptCount val="1"/>
                <c:pt idx="0">
                  <c:v>Net Combined Ratio (%)</c:v>
                </c:pt>
              </c:strCache>
            </c:strRef>
          </c:tx>
          <c:dLbls>
            <c:dLbl>
              <c:idx val="2"/>
              <c:layout>
                <c:manualLayout>
                  <c:x val="4.2625745950554045E-2"/>
                  <c:y val="1.639344262295082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A6C-4FEE-A0C8-F786F2ADEEA3}"/>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'AR table 6 &amp; Chart 7 (2)'!$D$29:$H$29</c:f>
              <c:strCache>
                <c:ptCount val="5"/>
                <c:pt idx="0">
                  <c:v>2008</c:v>
                </c:pt>
                <c:pt idx="1">
                  <c:v>2009</c:v>
                </c:pt>
                <c:pt idx="2">
                  <c:v>2010</c:v>
                </c:pt>
                <c:pt idx="3">
                  <c:v>2011(a)</c:v>
                </c:pt>
                <c:pt idx="4">
                  <c:v>2012(b)</c:v>
                </c:pt>
              </c:strCache>
            </c:strRef>
          </c:cat>
          <c:val>
            <c:numRef>
              <c:f>'AR table 6 &amp; Chart 7 (2)'!$D$33:$H$33</c:f>
              <c:numCache>
                <c:formatCode>_(* #,##0.00_);_(* \(#,##0.00\);_(* "-"??_);_(@_)</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4-FA6C-4FEE-A0C8-F786F2ADEEA3}"/>
            </c:ext>
          </c:extLst>
        </c:ser>
        <c:dLbls>
          <c:showLegendKey val="0"/>
          <c:showVal val="0"/>
          <c:showCatName val="0"/>
          <c:showSerName val="0"/>
          <c:showPercent val="0"/>
          <c:showBubbleSize val="0"/>
        </c:dLbls>
        <c:marker val="1"/>
        <c:smooth val="0"/>
        <c:axId val="100877440"/>
        <c:axId val="100875648"/>
      </c:lineChart>
      <c:catAx>
        <c:axId val="100872192"/>
        <c:scaling>
          <c:orientation val="minMax"/>
        </c:scaling>
        <c:delete val="0"/>
        <c:axPos val="b"/>
        <c:numFmt formatCode="General" sourceLinked="1"/>
        <c:majorTickMark val="none"/>
        <c:minorTickMark val="none"/>
        <c:tickLblPos val="nextTo"/>
        <c:txPr>
          <a:bodyPr rot="0" vert="horz"/>
          <a:lstStyle/>
          <a:p>
            <a:pPr>
              <a:defRPr/>
            </a:pPr>
            <a:endParaRPr lang="en-US"/>
          </a:p>
        </c:txPr>
        <c:crossAx val="100873728"/>
        <c:crosses val="autoZero"/>
        <c:auto val="1"/>
        <c:lblAlgn val="ctr"/>
        <c:lblOffset val="100"/>
        <c:noMultiLvlLbl val="0"/>
      </c:catAx>
      <c:valAx>
        <c:axId val="100873728"/>
        <c:scaling>
          <c:orientation val="minMax"/>
          <c:max val="13000000"/>
          <c:min val="0"/>
        </c:scaling>
        <c:delete val="0"/>
        <c:axPos val="l"/>
        <c:majorGridlines/>
        <c:title>
          <c:tx>
            <c:rich>
              <a:bodyPr/>
              <a:lstStyle/>
              <a:p>
                <a:pPr>
                  <a:defRPr/>
                </a:pPr>
                <a:r>
                  <a:rPr lang="en-US"/>
                  <a:t>Rs.'000</a:t>
                </a:r>
              </a:p>
            </c:rich>
          </c:tx>
          <c:overlay val="0"/>
        </c:title>
        <c:numFmt formatCode="_(* #,##0_);_(* \(#,##0\);_(* &quot;-&quot;??_);_(@_)" sourceLinked="1"/>
        <c:majorTickMark val="out"/>
        <c:minorTickMark val="none"/>
        <c:tickLblPos val="nextTo"/>
        <c:txPr>
          <a:bodyPr rot="0" vert="horz"/>
          <a:lstStyle/>
          <a:p>
            <a:pPr>
              <a:defRPr/>
            </a:pPr>
            <a:endParaRPr lang="en-US"/>
          </a:p>
        </c:txPr>
        <c:crossAx val="100872192"/>
        <c:crosses val="autoZero"/>
        <c:crossBetween val="between"/>
        <c:majorUnit val="2000000"/>
      </c:valAx>
      <c:valAx>
        <c:axId val="100875648"/>
        <c:scaling>
          <c:orientation val="minMax"/>
        </c:scaling>
        <c:delete val="0"/>
        <c:axPos val="r"/>
        <c:numFmt formatCode="_(* #,##0.00_);_(* \(#,##0.00\);_(* &quot;-&quot;??_);_(@_)" sourceLinked="1"/>
        <c:majorTickMark val="out"/>
        <c:minorTickMark val="none"/>
        <c:tickLblPos val="nextTo"/>
        <c:crossAx val="100877440"/>
        <c:crosses val="max"/>
        <c:crossBetween val="between"/>
      </c:valAx>
      <c:catAx>
        <c:axId val="100877440"/>
        <c:scaling>
          <c:orientation val="minMax"/>
        </c:scaling>
        <c:delete val="1"/>
        <c:axPos val="b"/>
        <c:numFmt formatCode="General" sourceLinked="1"/>
        <c:majorTickMark val="out"/>
        <c:minorTickMark val="none"/>
        <c:tickLblPos val="none"/>
        <c:crossAx val="100875648"/>
        <c:crosses val="autoZero"/>
        <c:auto val="1"/>
        <c:lblAlgn val="ctr"/>
        <c:lblOffset val="100"/>
        <c:noMultiLvlLbl val="0"/>
      </c:catAx>
    </c:plotArea>
    <c:legend>
      <c:legendPos val="b"/>
      <c:overlay val="0"/>
    </c:legend>
    <c:plotVisOnly val="1"/>
    <c:dispBlanksAs val="zero"/>
    <c:showDLblsOverMax val="0"/>
  </c:chart>
  <c:spPr>
    <a:noFill/>
  </c:spPr>
  <c:printSettings>
    <c:headerFooter/>
    <c:pageMargins b="0.75000000000001465" l="0.70000000000000062" r="0.70000000000000062" t="0.75000000000001465"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34"/>
    </mc:Choice>
    <mc:Fallback>
      <c:style val="34"/>
    </mc:Fallback>
  </mc:AlternateContent>
  <c:chart>
    <c:title>
      <c:tx>
        <c:rich>
          <a:bodyPr/>
          <a:lstStyle/>
          <a:p>
            <a:pPr>
              <a:defRPr/>
            </a:pPr>
            <a:r>
              <a:rPr lang="en-US"/>
              <a:t>Top 5 Companies Market Share of Gross Written Premium for last 5 years - Long Term Insurance Business</a:t>
            </a:r>
          </a:p>
        </c:rich>
      </c:tx>
      <c:layout>
        <c:manualLayout>
          <c:xMode val="edge"/>
          <c:yMode val="edge"/>
          <c:x val="0.12485596822521079"/>
          <c:y val="4.0404040404040414E-2"/>
        </c:manualLayout>
      </c:layout>
      <c:overlay val="0"/>
    </c:title>
    <c:autoTitleDeleted val="0"/>
    <c:view3D>
      <c:rotX val="15"/>
      <c:rotY val="20"/>
      <c:depthPercent val="100"/>
      <c:rAngAx val="1"/>
    </c:view3D>
    <c:floor>
      <c:thickness val="0"/>
    </c:floor>
    <c:sideWall>
      <c:thickness val="0"/>
    </c:sideWall>
    <c:backWall>
      <c:thickness val="0"/>
    </c:backWall>
    <c:plotArea>
      <c:layout>
        <c:manualLayout>
          <c:layoutTarget val="inner"/>
          <c:xMode val="edge"/>
          <c:yMode val="edge"/>
          <c:x val="0.15277574658613968"/>
          <c:y val="0.26162469976807801"/>
          <c:w val="0.74835985927291004"/>
          <c:h val="0.5796029008186"/>
        </c:manualLayout>
      </c:layout>
      <c:bar3DChart>
        <c:barDir val="col"/>
        <c:grouping val="clustered"/>
        <c:varyColors val="0"/>
        <c:ser>
          <c:idx val="0"/>
          <c:order val="0"/>
          <c:invertIfNegative val="0"/>
          <c:cat>
            <c:strRef>
              <c:f>'GWP-LTIB (Final)'!$W$7:$W$11</c:f>
              <c:strCache>
                <c:ptCount val="5"/>
                <c:pt idx="0">
                  <c:v>Ceylinco</c:v>
                </c:pt>
                <c:pt idx="1">
                  <c:v>AIA</c:v>
                </c:pt>
                <c:pt idx="2">
                  <c:v>SLIC</c:v>
                </c:pt>
                <c:pt idx="3">
                  <c:v>UAL</c:v>
                </c:pt>
                <c:pt idx="4">
                  <c:v>Asian Alliance</c:v>
                </c:pt>
              </c:strCache>
            </c:strRef>
          </c:cat>
          <c:val>
            <c:numRef>
              <c:f>'GWP-LTIB (Final)'!$V$7:$V$12</c:f>
            </c:numRef>
          </c:val>
          <c:extLst>
            <c:ext xmlns:c16="http://schemas.microsoft.com/office/drawing/2014/chart" uri="{C3380CC4-5D6E-409C-BE32-E72D297353CC}">
              <c16:uniqueId val="{00000000-BC1F-4610-82C5-9A19C0D93CF3}"/>
            </c:ext>
          </c:extLst>
        </c:ser>
        <c:ser>
          <c:idx val="3"/>
          <c:order val="1"/>
          <c:tx>
            <c:strRef>
              <c:f>'GWP-LTIB (Final)'!$AA$4</c:f>
              <c:strCache>
                <c:ptCount val="1"/>
                <c:pt idx="0">
                  <c:v>2009</c:v>
                </c:pt>
              </c:strCache>
            </c:strRef>
          </c:tx>
          <c:invertIfNegative val="0"/>
          <c:cat>
            <c:strRef>
              <c:f>'GWP-LTIB (Final)'!$W$7:$W$11</c:f>
              <c:strCache>
                <c:ptCount val="5"/>
                <c:pt idx="0">
                  <c:v>Ceylinco</c:v>
                </c:pt>
                <c:pt idx="1">
                  <c:v>AIA</c:v>
                </c:pt>
                <c:pt idx="2">
                  <c:v>SLIC</c:v>
                </c:pt>
                <c:pt idx="3">
                  <c:v>UAL</c:v>
                </c:pt>
                <c:pt idx="4">
                  <c:v>Asian Alliance</c:v>
                </c:pt>
              </c:strCache>
            </c:strRef>
          </c:cat>
          <c:val>
            <c:numRef>
              <c:f>'GWP-LTIB (Final)'!$AA$7:$AA$11</c:f>
              <c:numCache>
                <c:formatCode>_(* #,##0_);_(* \(#,##0\);_(* "-"??_);_(@_)</c:formatCode>
                <c:ptCount val="5"/>
                <c:pt idx="0">
                  <c:v>7522328</c:v>
                </c:pt>
                <c:pt idx="1">
                  <c:v>4632490</c:v>
                </c:pt>
                <c:pt idx="2">
                  <c:v>4819859.7493799999</c:v>
                </c:pt>
                <c:pt idx="3">
                  <c:v>2778184</c:v>
                </c:pt>
                <c:pt idx="4">
                  <c:v>1009031</c:v>
                </c:pt>
              </c:numCache>
            </c:numRef>
          </c:val>
          <c:extLst>
            <c:ext xmlns:c16="http://schemas.microsoft.com/office/drawing/2014/chart" uri="{C3380CC4-5D6E-409C-BE32-E72D297353CC}">
              <c16:uniqueId val="{00000001-BC1F-4610-82C5-9A19C0D93CF3}"/>
            </c:ext>
          </c:extLst>
        </c:ser>
        <c:ser>
          <c:idx val="4"/>
          <c:order val="2"/>
          <c:tx>
            <c:strRef>
              <c:f>'GWP-LTIB (Final)'!$AB$4</c:f>
              <c:strCache>
                <c:ptCount val="1"/>
                <c:pt idx="0">
                  <c:v>2010</c:v>
                </c:pt>
              </c:strCache>
            </c:strRef>
          </c:tx>
          <c:invertIfNegative val="0"/>
          <c:cat>
            <c:strRef>
              <c:f>'GWP-LTIB (Final)'!$W$7:$W$11</c:f>
              <c:strCache>
                <c:ptCount val="5"/>
                <c:pt idx="0">
                  <c:v>Ceylinco</c:v>
                </c:pt>
                <c:pt idx="1">
                  <c:v>AIA</c:v>
                </c:pt>
                <c:pt idx="2">
                  <c:v>SLIC</c:v>
                </c:pt>
                <c:pt idx="3">
                  <c:v>UAL</c:v>
                </c:pt>
                <c:pt idx="4">
                  <c:v>Asian Alliance</c:v>
                </c:pt>
              </c:strCache>
            </c:strRef>
          </c:cat>
          <c:val>
            <c:numRef>
              <c:f>'GWP-LTIB (Final)'!$AB$7:$AB$11</c:f>
              <c:numCache>
                <c:formatCode>_(* #,##0_);_(* \(#,##0\);_(* "-"??_);_(@_)</c:formatCode>
                <c:ptCount val="5"/>
                <c:pt idx="0">
                  <c:v>8786120</c:v>
                </c:pt>
                <c:pt idx="1">
                  <c:v>7783925</c:v>
                </c:pt>
                <c:pt idx="2">
                  <c:v>6009859</c:v>
                </c:pt>
                <c:pt idx="3">
                  <c:v>3465505</c:v>
                </c:pt>
                <c:pt idx="4">
                  <c:v>1242608.3961700001</c:v>
                </c:pt>
              </c:numCache>
            </c:numRef>
          </c:val>
          <c:extLst>
            <c:ext xmlns:c16="http://schemas.microsoft.com/office/drawing/2014/chart" uri="{C3380CC4-5D6E-409C-BE32-E72D297353CC}">
              <c16:uniqueId val="{00000002-BC1F-4610-82C5-9A19C0D93CF3}"/>
            </c:ext>
          </c:extLst>
        </c:ser>
        <c:ser>
          <c:idx val="5"/>
          <c:order val="3"/>
          <c:tx>
            <c:strRef>
              <c:f>'GWP-LTIB (Final)'!$AC$4</c:f>
              <c:strCache>
                <c:ptCount val="1"/>
                <c:pt idx="0">
                  <c:v>2011</c:v>
                </c:pt>
              </c:strCache>
            </c:strRef>
          </c:tx>
          <c:invertIfNegative val="0"/>
          <c:cat>
            <c:strRef>
              <c:f>'GWP-LTIB (Final)'!$W$7:$W$11</c:f>
              <c:strCache>
                <c:ptCount val="5"/>
                <c:pt idx="0">
                  <c:v>Ceylinco</c:v>
                </c:pt>
                <c:pt idx="1">
                  <c:v>AIA</c:v>
                </c:pt>
                <c:pt idx="2">
                  <c:v>SLIC</c:v>
                </c:pt>
                <c:pt idx="3">
                  <c:v>UAL</c:v>
                </c:pt>
                <c:pt idx="4">
                  <c:v>Asian Alliance</c:v>
                </c:pt>
              </c:strCache>
            </c:strRef>
          </c:cat>
          <c:val>
            <c:numRef>
              <c:f>'GWP-LTIB (Final)'!$AC$7:$AC$11</c:f>
              <c:numCache>
                <c:formatCode>_(* #,##0_);_(* \(#,##0\);_(* "-"??_);_(@_)</c:formatCode>
                <c:ptCount val="5"/>
                <c:pt idx="0">
                  <c:v>9815942.7451399993</c:v>
                </c:pt>
                <c:pt idx="1">
                  <c:v>7846447</c:v>
                </c:pt>
                <c:pt idx="2">
                  <c:v>6743072.964569998</c:v>
                </c:pt>
                <c:pt idx="3">
                  <c:v>4471627</c:v>
                </c:pt>
                <c:pt idx="4">
                  <c:v>1579190.622</c:v>
                </c:pt>
              </c:numCache>
            </c:numRef>
          </c:val>
          <c:extLst>
            <c:ext xmlns:c16="http://schemas.microsoft.com/office/drawing/2014/chart" uri="{C3380CC4-5D6E-409C-BE32-E72D297353CC}">
              <c16:uniqueId val="{00000003-BC1F-4610-82C5-9A19C0D93CF3}"/>
            </c:ext>
          </c:extLst>
        </c:ser>
        <c:ser>
          <c:idx val="6"/>
          <c:order val="4"/>
          <c:tx>
            <c:strRef>
              <c:f>'GWP-LTIB (Final)'!$AD$4</c:f>
              <c:strCache>
                <c:ptCount val="1"/>
                <c:pt idx="0">
                  <c:v>2012(a)</c:v>
                </c:pt>
              </c:strCache>
            </c:strRef>
          </c:tx>
          <c:invertIfNegative val="0"/>
          <c:cat>
            <c:strRef>
              <c:f>'GWP-LTIB (Final)'!$W$7:$W$11</c:f>
              <c:strCache>
                <c:ptCount val="5"/>
                <c:pt idx="0">
                  <c:v>Ceylinco</c:v>
                </c:pt>
                <c:pt idx="1">
                  <c:v>AIA</c:v>
                </c:pt>
                <c:pt idx="2">
                  <c:v>SLIC</c:v>
                </c:pt>
                <c:pt idx="3">
                  <c:v>UAL</c:v>
                </c:pt>
                <c:pt idx="4">
                  <c:v>Asian Alliance</c:v>
                </c:pt>
              </c:strCache>
            </c:strRef>
          </c:cat>
          <c:val>
            <c:numRef>
              <c:f>'GWP-LTIB (Final)'!$AD$7:$AD$11</c:f>
              <c:numCache>
                <c:formatCode>_(* #,##0_);_(* \(#,##0\);_(* "-"??_);_(@_)</c:formatCode>
                <c:ptCount val="5"/>
                <c:pt idx="0">
                  <c:v>10829470</c:v>
                </c:pt>
                <c:pt idx="1">
                  <c:v>6495863</c:v>
                </c:pt>
                <c:pt idx="2">
                  <c:v>7369031.3364199949</c:v>
                </c:pt>
                <c:pt idx="3">
                  <c:v>5106323</c:v>
                </c:pt>
                <c:pt idx="4">
                  <c:v>2034084</c:v>
                </c:pt>
              </c:numCache>
            </c:numRef>
          </c:val>
          <c:extLst>
            <c:ext xmlns:c16="http://schemas.microsoft.com/office/drawing/2014/chart" uri="{C3380CC4-5D6E-409C-BE32-E72D297353CC}">
              <c16:uniqueId val="{00000004-BC1F-4610-82C5-9A19C0D93CF3}"/>
            </c:ext>
          </c:extLst>
        </c:ser>
        <c:ser>
          <c:idx val="1"/>
          <c:order val="5"/>
          <c:tx>
            <c:strRef>
              <c:f>'GWP-LTIB (Final)'!$AE$4</c:f>
              <c:strCache>
                <c:ptCount val="1"/>
                <c:pt idx="0">
                  <c:v>2013(b)</c:v>
                </c:pt>
              </c:strCache>
            </c:strRef>
          </c:tx>
          <c:invertIfNegative val="0"/>
          <c:cat>
            <c:strRef>
              <c:f>'GWP-LTIB (Final)'!$W$7:$W$11</c:f>
              <c:strCache>
                <c:ptCount val="5"/>
                <c:pt idx="0">
                  <c:v>Ceylinco</c:v>
                </c:pt>
                <c:pt idx="1">
                  <c:v>AIA</c:v>
                </c:pt>
                <c:pt idx="2">
                  <c:v>SLIC</c:v>
                </c:pt>
                <c:pt idx="3">
                  <c:v>UAL</c:v>
                </c:pt>
                <c:pt idx="4">
                  <c:v>Asian Alliance</c:v>
                </c:pt>
              </c:strCache>
            </c:strRef>
          </c:cat>
          <c:val>
            <c:numRef>
              <c:f>'GWP-LTIB (Final)'!$AE$7:$AE$11</c:f>
              <c:numCache>
                <c:formatCode>_(* #,##0_);_(* \(#,##0\);_(* "-"??_);_(@_)</c:formatCode>
                <c:ptCount val="5"/>
                <c:pt idx="0">
                  <c:v>11122906.218729999</c:v>
                </c:pt>
                <c:pt idx="1">
                  <c:v>6863047</c:v>
                </c:pt>
                <c:pt idx="2">
                  <c:v>8069964.2487999983</c:v>
                </c:pt>
                <c:pt idx="3">
                  <c:v>5515063</c:v>
                </c:pt>
                <c:pt idx="4">
                  <c:v>2520283</c:v>
                </c:pt>
              </c:numCache>
            </c:numRef>
          </c:val>
          <c:extLst>
            <c:ext xmlns:c16="http://schemas.microsoft.com/office/drawing/2014/chart" uri="{C3380CC4-5D6E-409C-BE32-E72D297353CC}">
              <c16:uniqueId val="{00000005-BC1F-4610-82C5-9A19C0D93CF3}"/>
            </c:ext>
          </c:extLst>
        </c:ser>
        <c:dLbls>
          <c:showLegendKey val="0"/>
          <c:showVal val="0"/>
          <c:showCatName val="0"/>
          <c:showSerName val="0"/>
          <c:showPercent val="0"/>
          <c:showBubbleSize val="0"/>
        </c:dLbls>
        <c:gapWidth val="150"/>
        <c:shape val="box"/>
        <c:axId val="58487936"/>
        <c:axId val="58489472"/>
        <c:axId val="0"/>
      </c:bar3DChart>
      <c:catAx>
        <c:axId val="58487936"/>
        <c:scaling>
          <c:orientation val="minMax"/>
        </c:scaling>
        <c:delete val="0"/>
        <c:axPos val="b"/>
        <c:numFmt formatCode="General" sourceLinked="1"/>
        <c:majorTickMark val="none"/>
        <c:minorTickMark val="none"/>
        <c:tickLblPos val="nextTo"/>
        <c:txPr>
          <a:bodyPr rot="0" vert="horz"/>
          <a:lstStyle/>
          <a:p>
            <a:pPr>
              <a:defRPr/>
            </a:pPr>
            <a:endParaRPr lang="en-US"/>
          </a:p>
        </c:txPr>
        <c:crossAx val="58489472"/>
        <c:crosses val="autoZero"/>
        <c:auto val="1"/>
        <c:lblAlgn val="ctr"/>
        <c:lblOffset val="100"/>
        <c:noMultiLvlLbl val="0"/>
      </c:catAx>
      <c:valAx>
        <c:axId val="58489472"/>
        <c:scaling>
          <c:orientation val="minMax"/>
        </c:scaling>
        <c:delete val="0"/>
        <c:axPos val="l"/>
        <c:majorGridlines/>
        <c:title>
          <c:tx>
            <c:rich>
              <a:bodyPr/>
              <a:lstStyle/>
              <a:p>
                <a:pPr>
                  <a:defRPr/>
                </a:pPr>
                <a:r>
                  <a:rPr lang="en-US"/>
                  <a:t>Rs.'000</a:t>
                </a:r>
              </a:p>
            </c:rich>
          </c:tx>
          <c:overlay val="0"/>
        </c:title>
        <c:numFmt formatCode="_(* #,##0_);_(* \(#,##0\);_(* &quot;-&quot;??_);_(@_)" sourceLinked="1"/>
        <c:majorTickMark val="out"/>
        <c:minorTickMark val="none"/>
        <c:tickLblPos val="nextTo"/>
        <c:txPr>
          <a:bodyPr rot="0" vert="horz"/>
          <a:lstStyle/>
          <a:p>
            <a:pPr>
              <a:defRPr/>
            </a:pPr>
            <a:endParaRPr lang="en-US"/>
          </a:p>
        </c:txPr>
        <c:crossAx val="58487936"/>
        <c:crosses val="autoZero"/>
        <c:crossBetween val="between"/>
      </c:valAx>
      <c:spPr>
        <a:noFill/>
        <a:ln w="25400">
          <a:noFill/>
        </a:ln>
      </c:spPr>
    </c:plotArea>
    <c:legend>
      <c:legendPos val="r"/>
      <c:overlay val="0"/>
    </c:legend>
    <c:plotVisOnly val="1"/>
    <c:dispBlanksAs val="gap"/>
    <c:showDLblsOverMax val="0"/>
  </c:chart>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34"/>
    </mc:Choice>
    <mc:Fallback>
      <c:style val="34"/>
    </mc:Fallback>
  </mc:AlternateContent>
  <c:chart>
    <c:title>
      <c:tx>
        <c:rich>
          <a:bodyPr/>
          <a:lstStyle/>
          <a:p>
            <a:pPr>
              <a:defRPr sz="1000">
                <a:latin typeface="Tahoma" pitchFamily="34" charset="0"/>
                <a:ea typeface="Tahoma" pitchFamily="34" charset="0"/>
                <a:cs typeface="Tahoma" pitchFamily="34" charset="0"/>
              </a:defRPr>
            </a:pPr>
            <a:r>
              <a:rPr lang="en-US" sz="1000" b="1" i="0" u="none" strike="noStrike" baseline="0"/>
              <a:t>Market Share of </a:t>
            </a:r>
            <a:r>
              <a:rPr lang="en-US" sz="1000">
                <a:latin typeface="Tahoma" pitchFamily="34" charset="0"/>
                <a:ea typeface="Tahoma" pitchFamily="34" charset="0"/>
                <a:cs typeface="Tahoma" pitchFamily="34" charset="0"/>
              </a:rPr>
              <a:t>Top Five GWP generators </a:t>
            </a:r>
            <a:r>
              <a:rPr lang="en-US" sz="1000" baseline="0">
                <a:latin typeface="Tahoma" pitchFamily="34" charset="0"/>
                <a:ea typeface="Tahoma" pitchFamily="34" charset="0"/>
                <a:cs typeface="Tahoma" pitchFamily="34" charset="0"/>
              </a:rPr>
              <a:t>in 2013 - </a:t>
            </a:r>
            <a:r>
              <a:rPr lang="en-US" sz="1000" b="1" i="0" u="none" strike="noStrike" baseline="0"/>
              <a:t>Long Term Insurance Business</a:t>
            </a:r>
            <a:r>
              <a:rPr lang="en-US" sz="1000" baseline="0">
                <a:latin typeface="Tahoma" pitchFamily="34" charset="0"/>
                <a:ea typeface="Tahoma" pitchFamily="34" charset="0"/>
                <a:cs typeface="Tahoma" pitchFamily="34" charset="0"/>
              </a:rPr>
              <a:t> </a:t>
            </a:r>
            <a:endParaRPr lang="en-US" sz="1000">
              <a:latin typeface="Tahoma" pitchFamily="34" charset="0"/>
              <a:ea typeface="Tahoma" pitchFamily="34" charset="0"/>
              <a:cs typeface="Tahoma" pitchFamily="34" charset="0"/>
            </a:endParaRPr>
          </a:p>
        </c:rich>
      </c:tx>
      <c:overlay val="0"/>
    </c:title>
    <c:autoTitleDeleted val="0"/>
    <c:plotArea>
      <c:layout/>
      <c:barChart>
        <c:barDir val="col"/>
        <c:grouping val="clustered"/>
        <c:varyColors val="0"/>
        <c:ser>
          <c:idx val="0"/>
          <c:order val="0"/>
          <c:invertIfNegative val="0"/>
          <c:cat>
            <c:strRef>
              <c:f>'GWP-LTIB (Final)'!$AI$7:$AI$14</c:f>
              <c:strCache>
                <c:ptCount val="8"/>
                <c:pt idx="0">
                  <c:v>Ceylinco</c:v>
                </c:pt>
                <c:pt idx="1">
                  <c:v>SLIC</c:v>
                </c:pt>
                <c:pt idx="2">
                  <c:v>AIA</c:v>
                </c:pt>
                <c:pt idx="3">
                  <c:v>UAL</c:v>
                </c:pt>
                <c:pt idx="4">
                  <c:v>Asian Alliance</c:v>
                </c:pt>
                <c:pt idx="5">
                  <c:v>Others</c:v>
                </c:pt>
                <c:pt idx="7">
                  <c:v>Janashakthi</c:v>
                </c:pt>
              </c:strCache>
            </c:strRef>
          </c:cat>
          <c:val>
            <c:numRef>
              <c:f>'GWP-LTIB (Final)'!$AH$7:$AH$12</c:f>
            </c:numRef>
          </c:val>
          <c:extLst>
            <c:ext xmlns:c16="http://schemas.microsoft.com/office/drawing/2014/chart" uri="{C3380CC4-5D6E-409C-BE32-E72D297353CC}">
              <c16:uniqueId val="{00000000-200F-4A56-B5D7-959B8457DAAE}"/>
            </c:ext>
          </c:extLst>
        </c:ser>
        <c:ser>
          <c:idx val="3"/>
          <c:order val="1"/>
          <c:tx>
            <c:strRef>
              <c:f>'GWP-LTIB (Final)'!$AL$4</c:f>
              <c:strCache>
                <c:ptCount val="1"/>
                <c:pt idx="0">
                  <c:v>2009</c:v>
                </c:pt>
              </c:strCache>
            </c:strRef>
          </c:tx>
          <c:invertIfNegative val="0"/>
          <c:cat>
            <c:strRef>
              <c:f>'GWP-LTIB (Final)'!$AI$7:$AI$14</c:f>
              <c:strCache>
                <c:ptCount val="8"/>
                <c:pt idx="0">
                  <c:v>Ceylinco</c:v>
                </c:pt>
                <c:pt idx="1">
                  <c:v>SLIC</c:v>
                </c:pt>
                <c:pt idx="2">
                  <c:v>AIA</c:v>
                </c:pt>
                <c:pt idx="3">
                  <c:v>UAL</c:v>
                </c:pt>
                <c:pt idx="4">
                  <c:v>Asian Alliance</c:v>
                </c:pt>
                <c:pt idx="5">
                  <c:v>Others</c:v>
                </c:pt>
                <c:pt idx="7">
                  <c:v>Janashakthi</c:v>
                </c:pt>
              </c:strCache>
            </c:strRef>
          </c:cat>
          <c:val>
            <c:numRef>
              <c:f>'GWP-LTIB (Final)'!$AL$7:$AL$11</c:f>
              <c:numCache>
                <c:formatCode>_(* #,##0.00_);_(* \(#,##0.00\);_(* "-"??_);_(@_)</c:formatCode>
                <c:ptCount val="5"/>
                <c:pt idx="0">
                  <c:v>31.3364787834136</c:v>
                </c:pt>
                <c:pt idx="1">
                  <c:v>20.07854919055319</c:v>
                </c:pt>
                <c:pt idx="2">
                  <c:v>19.298005165339198</c:v>
                </c:pt>
                <c:pt idx="3">
                  <c:v>11.57334590733336</c:v>
                </c:pt>
                <c:pt idx="4">
                  <c:v>4.2034166182738391</c:v>
                </c:pt>
              </c:numCache>
            </c:numRef>
          </c:val>
          <c:extLst>
            <c:ext xmlns:c16="http://schemas.microsoft.com/office/drawing/2014/chart" uri="{C3380CC4-5D6E-409C-BE32-E72D297353CC}">
              <c16:uniqueId val="{00000001-200F-4A56-B5D7-959B8457DAAE}"/>
            </c:ext>
          </c:extLst>
        </c:ser>
        <c:ser>
          <c:idx val="4"/>
          <c:order val="2"/>
          <c:tx>
            <c:strRef>
              <c:f>'GWP-LTIB (Final)'!$AM$4</c:f>
              <c:strCache>
                <c:ptCount val="1"/>
                <c:pt idx="0">
                  <c:v>2010</c:v>
                </c:pt>
              </c:strCache>
            </c:strRef>
          </c:tx>
          <c:invertIfNegative val="0"/>
          <c:cat>
            <c:strRef>
              <c:f>'GWP-LTIB (Final)'!$AI$7:$AI$14</c:f>
              <c:strCache>
                <c:ptCount val="8"/>
                <c:pt idx="0">
                  <c:v>Ceylinco</c:v>
                </c:pt>
                <c:pt idx="1">
                  <c:v>SLIC</c:v>
                </c:pt>
                <c:pt idx="2">
                  <c:v>AIA</c:v>
                </c:pt>
                <c:pt idx="3">
                  <c:v>UAL</c:v>
                </c:pt>
                <c:pt idx="4">
                  <c:v>Asian Alliance</c:v>
                </c:pt>
                <c:pt idx="5">
                  <c:v>Others</c:v>
                </c:pt>
                <c:pt idx="7">
                  <c:v>Janashakthi</c:v>
                </c:pt>
              </c:strCache>
            </c:strRef>
          </c:cat>
          <c:val>
            <c:numRef>
              <c:f>'GWP-LTIB (Final)'!$AM$7:$AM$11</c:f>
              <c:numCache>
                <c:formatCode>_(* #,##0.00_);_(* \(#,##0.00\);_(* "-"??_);_(@_)</c:formatCode>
                <c:ptCount val="5"/>
                <c:pt idx="0">
                  <c:v>28.213954352239309</c:v>
                </c:pt>
                <c:pt idx="1">
                  <c:v>19.29199565899334</c:v>
                </c:pt>
                <c:pt idx="2">
                  <c:v>24.986850325428559</c:v>
                </c:pt>
                <c:pt idx="3">
                  <c:v>11.124471874667895</c:v>
                </c:pt>
                <c:pt idx="4">
                  <c:v>3.9888449603793239</c:v>
                </c:pt>
              </c:numCache>
            </c:numRef>
          </c:val>
          <c:extLst>
            <c:ext xmlns:c16="http://schemas.microsoft.com/office/drawing/2014/chart" uri="{C3380CC4-5D6E-409C-BE32-E72D297353CC}">
              <c16:uniqueId val="{00000002-200F-4A56-B5D7-959B8457DAAE}"/>
            </c:ext>
          </c:extLst>
        </c:ser>
        <c:ser>
          <c:idx val="5"/>
          <c:order val="3"/>
          <c:tx>
            <c:strRef>
              <c:f>'GWP-LTIB (Final)'!$AN$4</c:f>
              <c:strCache>
                <c:ptCount val="1"/>
                <c:pt idx="0">
                  <c:v>2011</c:v>
                </c:pt>
              </c:strCache>
            </c:strRef>
          </c:tx>
          <c:invertIfNegative val="0"/>
          <c:cat>
            <c:strRef>
              <c:f>'GWP-LTIB (Final)'!$AI$7:$AI$14</c:f>
              <c:strCache>
                <c:ptCount val="8"/>
                <c:pt idx="0">
                  <c:v>Ceylinco</c:v>
                </c:pt>
                <c:pt idx="1">
                  <c:v>SLIC</c:v>
                </c:pt>
                <c:pt idx="2">
                  <c:v>AIA</c:v>
                </c:pt>
                <c:pt idx="3">
                  <c:v>UAL</c:v>
                </c:pt>
                <c:pt idx="4">
                  <c:v>Asian Alliance</c:v>
                </c:pt>
                <c:pt idx="5">
                  <c:v>Others</c:v>
                </c:pt>
                <c:pt idx="7">
                  <c:v>Janashakthi</c:v>
                </c:pt>
              </c:strCache>
            </c:strRef>
          </c:cat>
          <c:val>
            <c:numRef>
              <c:f>'GWP-LTIB (Final)'!$AN$7:$AN$11</c:f>
              <c:numCache>
                <c:formatCode>_(* #,##0.00_);_(* \(#,##0.00\);_(* "-"??_);_(@_)</c:formatCode>
                <c:ptCount val="5"/>
                <c:pt idx="0">
                  <c:v>27.906454891618385</c:v>
                </c:pt>
                <c:pt idx="1">
                  <c:v>19.177240244143764</c:v>
                </c:pt>
                <c:pt idx="2">
                  <c:v>22.315226302988211</c:v>
                </c:pt>
                <c:pt idx="3">
                  <c:v>12.717267885394786</c:v>
                </c:pt>
                <c:pt idx="4">
                  <c:v>4.4912042489405346</c:v>
                </c:pt>
              </c:numCache>
            </c:numRef>
          </c:val>
          <c:extLst>
            <c:ext xmlns:c16="http://schemas.microsoft.com/office/drawing/2014/chart" uri="{C3380CC4-5D6E-409C-BE32-E72D297353CC}">
              <c16:uniqueId val="{00000003-200F-4A56-B5D7-959B8457DAAE}"/>
            </c:ext>
          </c:extLst>
        </c:ser>
        <c:ser>
          <c:idx val="6"/>
          <c:order val="4"/>
          <c:tx>
            <c:strRef>
              <c:f>'GWP-LTIB (Final)'!$AO$4</c:f>
              <c:strCache>
                <c:ptCount val="1"/>
                <c:pt idx="0">
                  <c:v>2012(a)</c:v>
                </c:pt>
              </c:strCache>
            </c:strRef>
          </c:tx>
          <c:invertIfNegative val="0"/>
          <c:cat>
            <c:strRef>
              <c:f>'GWP-LTIB (Final)'!$AI$7:$AI$14</c:f>
              <c:strCache>
                <c:ptCount val="8"/>
                <c:pt idx="0">
                  <c:v>Ceylinco</c:v>
                </c:pt>
                <c:pt idx="1">
                  <c:v>SLIC</c:v>
                </c:pt>
                <c:pt idx="2">
                  <c:v>AIA</c:v>
                </c:pt>
                <c:pt idx="3">
                  <c:v>UAL</c:v>
                </c:pt>
                <c:pt idx="4">
                  <c:v>Asian Alliance</c:v>
                </c:pt>
                <c:pt idx="5">
                  <c:v>Others</c:v>
                </c:pt>
                <c:pt idx="7">
                  <c:v>Janashakthi</c:v>
                </c:pt>
              </c:strCache>
            </c:strRef>
          </c:cat>
          <c:val>
            <c:numRef>
              <c:f>'GWP-LTIB (Final)'!$AO$7:$AO$11</c:f>
              <c:numCache>
                <c:formatCode>_(* #,##0.00_);_(* \(#,##0.00\);_(* "-"??_);_(@_)</c:formatCode>
                <c:ptCount val="5"/>
                <c:pt idx="0">
                  <c:v>28.896534236025325</c:v>
                </c:pt>
                <c:pt idx="1">
                  <c:v>19.662962850370686</c:v>
                </c:pt>
                <c:pt idx="2">
                  <c:v>17.333066860338516</c:v>
                </c:pt>
                <c:pt idx="3">
                  <c:v>13.625323989973982</c:v>
                </c:pt>
                <c:pt idx="4">
                  <c:v>5.4275950665130734</c:v>
                </c:pt>
              </c:numCache>
            </c:numRef>
          </c:val>
          <c:extLst>
            <c:ext xmlns:c16="http://schemas.microsoft.com/office/drawing/2014/chart" uri="{C3380CC4-5D6E-409C-BE32-E72D297353CC}">
              <c16:uniqueId val="{00000004-200F-4A56-B5D7-959B8457DAAE}"/>
            </c:ext>
          </c:extLst>
        </c:ser>
        <c:ser>
          <c:idx val="1"/>
          <c:order val="5"/>
          <c:tx>
            <c:strRef>
              <c:f>'GWP-LTIB (Final)'!$AP$4</c:f>
              <c:strCache>
                <c:ptCount val="1"/>
                <c:pt idx="0">
                  <c:v>2013(b)</c:v>
                </c:pt>
              </c:strCache>
            </c:strRef>
          </c:tx>
          <c:invertIfNegative val="0"/>
          <c:cat>
            <c:strRef>
              <c:f>'GWP-LTIB (Final)'!$AI$7:$AI$14</c:f>
              <c:strCache>
                <c:ptCount val="8"/>
                <c:pt idx="0">
                  <c:v>Ceylinco</c:v>
                </c:pt>
                <c:pt idx="1">
                  <c:v>SLIC</c:v>
                </c:pt>
                <c:pt idx="2">
                  <c:v>AIA</c:v>
                </c:pt>
                <c:pt idx="3">
                  <c:v>UAL</c:v>
                </c:pt>
                <c:pt idx="4">
                  <c:v>Asian Alliance</c:v>
                </c:pt>
                <c:pt idx="5">
                  <c:v>Others</c:v>
                </c:pt>
                <c:pt idx="7">
                  <c:v>Janashakthi</c:v>
                </c:pt>
              </c:strCache>
            </c:strRef>
          </c:cat>
          <c:val>
            <c:numRef>
              <c:f>'GWP-LTIB (Final)'!$AP$7:$AP$11</c:f>
              <c:numCache>
                <c:formatCode>_(* #,##0.00_);_(* \(#,##0.00\);_(* "-"??_);_(@_)</c:formatCode>
                <c:ptCount val="5"/>
                <c:pt idx="0">
                  <c:v>26.928215698595199</c:v>
                </c:pt>
                <c:pt idx="1">
                  <c:v>19.537136580879157</c:v>
                </c:pt>
                <c:pt idx="2">
                  <c:v>16.615226841919561</c:v>
                </c:pt>
                <c:pt idx="3">
                  <c:v>13.351798813628616</c:v>
                </c:pt>
                <c:pt idx="4">
                  <c:v>6.1015280459005394</c:v>
                </c:pt>
              </c:numCache>
            </c:numRef>
          </c:val>
          <c:extLst>
            <c:ext xmlns:c16="http://schemas.microsoft.com/office/drawing/2014/chart" uri="{C3380CC4-5D6E-409C-BE32-E72D297353CC}">
              <c16:uniqueId val="{00000005-200F-4A56-B5D7-959B8457DAAE}"/>
            </c:ext>
          </c:extLst>
        </c:ser>
        <c:dLbls>
          <c:showLegendKey val="0"/>
          <c:showVal val="0"/>
          <c:showCatName val="0"/>
          <c:showSerName val="0"/>
          <c:showPercent val="0"/>
          <c:showBubbleSize val="0"/>
        </c:dLbls>
        <c:gapWidth val="150"/>
        <c:axId val="65030784"/>
        <c:axId val="65036672"/>
      </c:barChart>
      <c:catAx>
        <c:axId val="65030784"/>
        <c:scaling>
          <c:orientation val="minMax"/>
        </c:scaling>
        <c:delete val="0"/>
        <c:axPos val="b"/>
        <c:numFmt formatCode="General" sourceLinked="1"/>
        <c:majorTickMark val="none"/>
        <c:minorTickMark val="none"/>
        <c:tickLblPos val="nextTo"/>
        <c:txPr>
          <a:bodyPr rot="0" vert="horz"/>
          <a:lstStyle/>
          <a:p>
            <a:pPr>
              <a:defRPr/>
            </a:pPr>
            <a:endParaRPr lang="en-US"/>
          </a:p>
        </c:txPr>
        <c:crossAx val="65036672"/>
        <c:crosses val="autoZero"/>
        <c:auto val="1"/>
        <c:lblAlgn val="ctr"/>
        <c:lblOffset val="100"/>
        <c:noMultiLvlLbl val="0"/>
      </c:catAx>
      <c:valAx>
        <c:axId val="65036672"/>
        <c:scaling>
          <c:orientation val="minMax"/>
        </c:scaling>
        <c:delete val="0"/>
        <c:axPos val="l"/>
        <c:majorGridlines/>
        <c:numFmt formatCode="_(* #,##0_);_(* \(#,##0\);_(* &quot;-&quot;_);_(@_)" sourceLinked="0"/>
        <c:majorTickMark val="none"/>
        <c:minorTickMark val="none"/>
        <c:tickLblPos val="nextTo"/>
        <c:txPr>
          <a:bodyPr rot="0" vert="horz"/>
          <a:lstStyle/>
          <a:p>
            <a:pPr>
              <a:defRPr/>
            </a:pPr>
            <a:endParaRPr lang="en-US"/>
          </a:p>
        </c:txPr>
        <c:crossAx val="65030784"/>
        <c:crosses val="autoZero"/>
        <c:crossBetween val="between"/>
      </c:valAx>
      <c:dTable>
        <c:showHorzBorder val="1"/>
        <c:showVertBorder val="1"/>
        <c:showOutline val="1"/>
        <c:showKeys val="1"/>
      </c:dTable>
    </c:plotArea>
    <c:plotVisOnly val="1"/>
    <c:dispBlanksAs val="gap"/>
    <c:showDLblsOverMax val="0"/>
  </c:chart>
  <c:spPr>
    <a:noFill/>
  </c:sp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a:latin typeface="Tahoma" pitchFamily="34" charset="0"/>
                <a:ea typeface="Tahoma" pitchFamily="34" charset="0"/>
                <a:cs typeface="Tahoma" pitchFamily="34" charset="0"/>
              </a:defRPr>
            </a:pPr>
            <a:r>
              <a:rPr lang="en-US" sz="1000">
                <a:latin typeface="Tahoma" pitchFamily="34" charset="0"/>
                <a:ea typeface="Tahoma" pitchFamily="34" charset="0"/>
                <a:cs typeface="Tahoma" pitchFamily="34" charset="0"/>
              </a:rPr>
              <a:t>Company-wise Market Share of Gross Written Premium - Long Term Insurance Business 2013</a:t>
            </a:r>
          </a:p>
        </c:rich>
      </c:tx>
      <c:overlay val="0"/>
    </c:title>
    <c:autoTitleDeleted val="0"/>
    <c:plotArea>
      <c:layout>
        <c:manualLayout>
          <c:layoutTarget val="inner"/>
          <c:xMode val="edge"/>
          <c:yMode val="edge"/>
          <c:x val="0.20222778511067621"/>
          <c:y val="0.27573418480170275"/>
          <c:w val="0.61352752871208949"/>
          <c:h val="0.62681257362514764"/>
        </c:manualLayout>
      </c:layout>
      <c:pieChart>
        <c:varyColors val="1"/>
        <c:ser>
          <c:idx val="0"/>
          <c:order val="0"/>
          <c:tx>
            <c:strRef>
              <c:f>'GWP-LTIB (Final)'!$R$5:$R$6</c:f>
              <c:strCache>
                <c:ptCount val="2"/>
                <c:pt idx="0">
                  <c:v>Market Share</c:v>
                </c:pt>
                <c:pt idx="1">
                  <c:v>(%)</c:v>
                </c:pt>
              </c:strCache>
            </c:strRef>
          </c:tx>
          <c:spPr>
            <a:ln>
              <a:noFill/>
            </a:ln>
          </c:spPr>
          <c:dLbls>
            <c:dLbl>
              <c:idx val="0"/>
              <c:layout>
                <c:manualLayout>
                  <c:x val="-3.5285540951481648E-2"/>
                  <c:y val="-6.6905573811147631E-2"/>
                </c:manualLayout>
              </c:layout>
              <c:numFmt formatCode="0.00%" sourceLinked="0"/>
              <c:spPr/>
              <c:txPr>
                <a:bodyPr/>
                <a:lstStyle/>
                <a:p>
                  <a:pPr>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7A6D-414F-B940-E701A9D5F8B5}"/>
                </c:ext>
              </c:extLst>
            </c:dLbl>
            <c:dLbl>
              <c:idx val="1"/>
              <c:layout>
                <c:manualLayout>
                  <c:x val="7.0145245383978747E-2"/>
                  <c:y val="-9.0456940913891282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7A6D-414F-B940-E701A9D5F8B5}"/>
                </c:ext>
              </c:extLst>
            </c:dLbl>
            <c:dLbl>
              <c:idx val="2"/>
              <c:layout>
                <c:manualLayout>
                  <c:x val="1.3856033953202659E-2"/>
                  <c:y val="-7.9194825056319133E-3"/>
                </c:manualLayout>
              </c:layout>
              <c:numFmt formatCode="0.00%" sourceLinked="0"/>
              <c:spPr/>
              <c:txPr>
                <a:bodyPr/>
                <a:lstStyle/>
                <a:p>
                  <a:pPr>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7A6D-414F-B940-E701A9D5F8B5}"/>
                </c:ext>
              </c:extLst>
            </c:dLbl>
            <c:dLbl>
              <c:idx val="3"/>
              <c:layout>
                <c:manualLayout>
                  <c:x val="7.2824746036339302E-2"/>
                  <c:y val="5.5626511253022523E-2"/>
                </c:manualLayout>
              </c:layout>
              <c:numFmt formatCode="0.00%" sourceLinked="0"/>
              <c:spPr/>
              <c:txPr>
                <a:bodyPr/>
                <a:lstStyle/>
                <a:p>
                  <a:pPr>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7A6D-414F-B940-E701A9D5F8B5}"/>
                </c:ext>
              </c:extLst>
            </c:dLbl>
            <c:dLbl>
              <c:idx val="4"/>
              <c:layout>
                <c:manualLayout>
                  <c:x val="7.7365377683689014E-3"/>
                  <c:y val="7.3778700890735113E-2"/>
                </c:manualLayout>
              </c:layout>
              <c:numFmt formatCode="0.00%" sourceLinked="0"/>
              <c:spPr/>
              <c:txPr>
                <a:bodyPr/>
                <a:lstStyle/>
                <a:p>
                  <a:pPr>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7A6D-414F-B940-E701A9D5F8B5}"/>
                </c:ext>
              </c:extLst>
            </c:dLbl>
            <c:dLbl>
              <c:idx val="5"/>
              <c:layout>
                <c:manualLayout>
                  <c:x val="4.5029862596653245E-2"/>
                  <c:y val="5.9408725484117714E-2"/>
                </c:manualLayout>
              </c:layout>
              <c:numFmt formatCode="0.00%" sourceLinked="0"/>
              <c:spPr/>
              <c:txPr>
                <a:bodyPr/>
                <a:lstStyle/>
                <a:p>
                  <a:pPr>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7A6D-414F-B940-E701A9D5F8B5}"/>
                </c:ext>
              </c:extLst>
            </c:dLbl>
            <c:dLbl>
              <c:idx val="6"/>
              <c:layout>
                <c:manualLayout>
                  <c:x val="8.3605090949705266E-2"/>
                  <c:y val="2.6991753983507991E-2"/>
                </c:manualLayout>
              </c:layout>
              <c:numFmt formatCode="0.00%" sourceLinked="0"/>
              <c:spPr/>
              <c:txPr>
                <a:bodyPr/>
                <a:lstStyle/>
                <a:p>
                  <a:pPr>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6-7A6D-414F-B940-E701A9D5F8B5}"/>
                </c:ext>
              </c:extLst>
            </c:dLbl>
            <c:dLbl>
              <c:idx val="7"/>
              <c:layout>
                <c:manualLayout>
                  <c:x val="-2.3815876980561212E-2"/>
                  <c:y val="3.6331039328745401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7A6D-414F-B940-E701A9D5F8B5}"/>
                </c:ext>
              </c:extLst>
            </c:dLbl>
            <c:dLbl>
              <c:idx val="8"/>
              <c:layout>
                <c:manualLayout>
                  <c:x val="-6.2579460804393722E-2"/>
                  <c:y val="8.9984706636080006E-2"/>
                </c:manualLayout>
              </c:layout>
              <c:numFmt formatCode="0.00%" sourceLinked="0"/>
              <c:spPr/>
              <c:txPr>
                <a:bodyPr/>
                <a:lstStyle/>
                <a:p>
                  <a:pPr>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8-7A6D-414F-B940-E701A9D5F8B5}"/>
                </c:ext>
              </c:extLst>
            </c:dLbl>
            <c:dLbl>
              <c:idx val="9"/>
              <c:layout>
                <c:manualLayout>
                  <c:x val="-0.12517058320526867"/>
                  <c:y val="7.0083079443184579E-2"/>
                </c:manualLayout>
              </c:layout>
              <c:numFmt formatCode="0.00%" sourceLinked="0"/>
              <c:spPr/>
              <c:txPr>
                <a:bodyPr/>
                <a:lstStyle/>
                <a:p>
                  <a:pPr>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7A6D-414F-B940-E701A9D5F8B5}"/>
                </c:ext>
              </c:extLst>
            </c:dLbl>
            <c:dLbl>
              <c:idx val="10"/>
              <c:layout>
                <c:manualLayout>
                  <c:x val="-0.14117079659046491"/>
                  <c:y val="-8.7554508442351728E-3"/>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A-7A6D-414F-B940-E701A9D5F8B5}"/>
                </c:ext>
              </c:extLst>
            </c:dLbl>
            <c:dLbl>
              <c:idx val="11"/>
              <c:layout>
                <c:manualLayout>
                  <c:x val="-0.13181193743431974"/>
                  <c:y val="-7.594725856118377E-2"/>
                </c:manualLayout>
              </c:layout>
              <c:numFmt formatCode="0.00%" sourceLinked="0"/>
              <c:spPr/>
              <c:txPr>
                <a:bodyPr/>
                <a:lstStyle/>
                <a:p>
                  <a:pPr>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B-7A6D-414F-B940-E701A9D5F8B5}"/>
                </c:ext>
              </c:extLst>
            </c:dLbl>
            <c:dLbl>
              <c:idx val="12"/>
              <c:layout>
                <c:manualLayout>
                  <c:x val="-0.13264939561471645"/>
                  <c:y val="-0.14759852853040206"/>
                </c:manualLayout>
              </c:layout>
              <c:numFmt formatCode="0.00%" sourceLinked="0"/>
              <c:spPr/>
              <c:txPr>
                <a:bodyPr/>
                <a:lstStyle/>
                <a:p>
                  <a:pPr>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C-7A6D-414F-B940-E701A9D5F8B5}"/>
                </c:ext>
              </c:extLst>
            </c:dLbl>
            <c:dLbl>
              <c:idx val="13"/>
              <c:layout>
                <c:manualLayout>
                  <c:x val="-8.8021260312062755E-2"/>
                  <c:y val="-1.3485768824351501E-2"/>
                </c:manualLayout>
              </c:layout>
              <c:numFmt formatCode="0.00%" sourceLinked="0"/>
              <c:spPr/>
              <c:txPr>
                <a:bodyPr/>
                <a:lstStyle/>
                <a:p>
                  <a:pPr>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D-7A6D-414F-B940-E701A9D5F8B5}"/>
                </c:ext>
              </c:extLst>
            </c:dLbl>
            <c:dLbl>
              <c:idx val="14"/>
              <c:layout>
                <c:manualLayout>
                  <c:x val="-0.17775354483010741"/>
                  <c:y val="-3.2050550767768186E-2"/>
                </c:manualLayout>
              </c:layout>
              <c:numFmt formatCode="0.00%" sourceLinked="0"/>
              <c:spPr/>
              <c:txPr>
                <a:bodyPr/>
                <a:lstStyle/>
                <a:p>
                  <a:pPr>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E-7A6D-414F-B940-E701A9D5F8B5}"/>
                </c:ext>
              </c:extLst>
            </c:dLbl>
            <c:numFmt formatCode="0.00%" sourceLinked="0"/>
            <c:spPr>
              <a:noFill/>
              <a:ln>
                <a:noFill/>
              </a:ln>
              <a:effectLst/>
            </c:spPr>
            <c:showLegendKey val="0"/>
            <c:showVal val="0"/>
            <c:showCatName val="1"/>
            <c:showSerName val="0"/>
            <c:showPercent val="1"/>
            <c:showBubbleSize val="0"/>
            <c:showLeaderLines val="1"/>
            <c:extLst>
              <c:ext xmlns:c15="http://schemas.microsoft.com/office/drawing/2012/chart" uri="{CE6537A1-D6FC-4f65-9D91-7224C49458BB}"/>
            </c:extLst>
          </c:dLbls>
          <c:cat>
            <c:strRef>
              <c:f>'GWP-LTIB (Final)'!$F$7:$F$21</c:f>
              <c:strCache>
                <c:ptCount val="15"/>
                <c:pt idx="0">
                  <c:v>AIA</c:v>
                </c:pt>
                <c:pt idx="1">
                  <c:v>Allianz Life</c:v>
                </c:pt>
                <c:pt idx="2">
                  <c:v>Amana Takaful</c:v>
                </c:pt>
                <c:pt idx="3">
                  <c:v>Arpico</c:v>
                </c:pt>
                <c:pt idx="4">
                  <c:v>Asian Alliance</c:v>
                </c:pt>
                <c:pt idx="5">
                  <c:v>Ceylinco</c:v>
                </c:pt>
                <c:pt idx="6">
                  <c:v>Cooperative</c:v>
                </c:pt>
                <c:pt idx="7">
                  <c:v>HNBA</c:v>
                </c:pt>
                <c:pt idx="8">
                  <c:v>Janashakthi</c:v>
                </c:pt>
                <c:pt idx="9">
                  <c:v>LIC</c:v>
                </c:pt>
                <c:pt idx="10">
                  <c:v>LOLC</c:v>
                </c:pt>
                <c:pt idx="11">
                  <c:v>MBSL</c:v>
                </c:pt>
                <c:pt idx="12">
                  <c:v>Sanasa</c:v>
                </c:pt>
                <c:pt idx="13">
                  <c:v>SLIC</c:v>
                </c:pt>
                <c:pt idx="14">
                  <c:v>UAL</c:v>
                </c:pt>
              </c:strCache>
            </c:strRef>
          </c:cat>
          <c:val>
            <c:numRef>
              <c:f>'GWP-LTIB (Final)'!$R$7:$R$21</c:f>
              <c:numCache>
                <c:formatCode>_(* #,##0.00_);_(* \(#,##0.00\);_(* "-"??_);_(@_)</c:formatCode>
                <c:ptCount val="15"/>
                <c:pt idx="0">
                  <c:v>16.615226841919561</c:v>
                </c:pt>
                <c:pt idx="1">
                  <c:v>2.006475014364153</c:v>
                </c:pt>
                <c:pt idx="2">
                  <c:v>1.3145528879014354</c:v>
                </c:pt>
                <c:pt idx="3">
                  <c:v>0.49991625858276723</c:v>
                </c:pt>
                <c:pt idx="4">
                  <c:v>6.1015280459005394</c:v>
                </c:pt>
                <c:pt idx="5">
                  <c:v>26.928215698595199</c:v>
                </c:pt>
                <c:pt idx="6">
                  <c:v>0.81822950499463643</c:v>
                </c:pt>
                <c:pt idx="7">
                  <c:v>4.8771566606943724</c:v>
                </c:pt>
                <c:pt idx="8">
                  <c:v>5.2063104940042386</c:v>
                </c:pt>
                <c:pt idx="9">
                  <c:v>0.78127588002960568</c:v>
                </c:pt>
                <c:pt idx="10">
                  <c:v>0.66527662391356546</c:v>
                </c:pt>
                <c:pt idx="11">
                  <c:v>0.60940530421107708</c:v>
                </c:pt>
                <c:pt idx="12">
                  <c:v>0.68749539038107976</c:v>
                </c:pt>
                <c:pt idx="13">
                  <c:v>19.537136580879157</c:v>
                </c:pt>
                <c:pt idx="14">
                  <c:v>13.351798813628616</c:v>
                </c:pt>
              </c:numCache>
            </c:numRef>
          </c:val>
          <c:extLst>
            <c:ext xmlns:c16="http://schemas.microsoft.com/office/drawing/2014/chart" uri="{C3380CC4-5D6E-409C-BE32-E72D297353CC}">
              <c16:uniqueId val="{0000000F-7A6D-414F-B940-E701A9D5F8B5}"/>
            </c:ext>
          </c:extLst>
        </c:ser>
        <c:dLbls>
          <c:showLegendKey val="0"/>
          <c:showVal val="0"/>
          <c:showCatName val="1"/>
          <c:showSerName val="0"/>
          <c:showPercent val="1"/>
          <c:showBubbleSize val="0"/>
          <c:showLeaderLines val="1"/>
        </c:dLbls>
        <c:firstSliceAng val="0"/>
      </c:pieChart>
      <c:spPr>
        <a:noFill/>
        <a:ln w="25400">
          <a:noFill/>
        </a:ln>
      </c:spPr>
    </c:plotArea>
    <c:plotVisOnly val="1"/>
    <c:dispBlanksAs val="zero"/>
    <c:showDLblsOverMax val="0"/>
  </c:chart>
  <c:spPr>
    <a:noFill/>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34"/>
    </mc:Choice>
    <mc:Fallback>
      <c:style val="34"/>
    </mc:Fallback>
  </mc:AlternateContent>
  <c:chart>
    <c:title>
      <c:tx>
        <c:rich>
          <a:bodyPr/>
          <a:lstStyle/>
          <a:p>
            <a:pPr>
              <a:defRPr sz="1000">
                <a:latin typeface="Tahoma" pitchFamily="34" charset="0"/>
                <a:ea typeface="Tahoma" pitchFamily="34" charset="0"/>
                <a:cs typeface="Tahoma" pitchFamily="34" charset="0"/>
              </a:defRPr>
            </a:pPr>
            <a:r>
              <a:rPr lang="en-US" sz="1000" b="1" i="0" u="none" strike="noStrike" baseline="0"/>
              <a:t>Market Share of </a:t>
            </a:r>
            <a:r>
              <a:rPr lang="en-US" sz="1000">
                <a:latin typeface="Tahoma" pitchFamily="34" charset="0"/>
                <a:ea typeface="Tahoma" pitchFamily="34" charset="0"/>
                <a:cs typeface="Tahoma" pitchFamily="34" charset="0"/>
              </a:rPr>
              <a:t>Top Five GWP generators </a:t>
            </a:r>
            <a:r>
              <a:rPr lang="en-US" sz="1000" baseline="0">
                <a:latin typeface="Tahoma" pitchFamily="34" charset="0"/>
                <a:ea typeface="Tahoma" pitchFamily="34" charset="0"/>
                <a:cs typeface="Tahoma" pitchFamily="34" charset="0"/>
              </a:rPr>
              <a:t>in 2013 - </a:t>
            </a:r>
            <a:r>
              <a:rPr lang="en-US" sz="1000" b="1" i="0" u="none" strike="noStrike" baseline="0"/>
              <a:t>Long Term Insurance Business</a:t>
            </a:r>
            <a:r>
              <a:rPr lang="en-US" sz="1000" baseline="0">
                <a:latin typeface="Tahoma" pitchFamily="34" charset="0"/>
                <a:ea typeface="Tahoma" pitchFamily="34" charset="0"/>
                <a:cs typeface="Tahoma" pitchFamily="34" charset="0"/>
              </a:rPr>
              <a:t> </a:t>
            </a:r>
            <a:endParaRPr lang="en-US" sz="1000">
              <a:latin typeface="Tahoma" pitchFamily="34" charset="0"/>
              <a:ea typeface="Tahoma" pitchFamily="34" charset="0"/>
              <a:cs typeface="Tahoma" pitchFamily="34" charset="0"/>
            </a:endParaRPr>
          </a:p>
        </c:rich>
      </c:tx>
      <c:overlay val="0"/>
    </c:title>
    <c:autoTitleDeleted val="0"/>
    <c:plotArea>
      <c:layout/>
      <c:barChart>
        <c:barDir val="col"/>
        <c:grouping val="clustered"/>
        <c:varyColors val="0"/>
        <c:ser>
          <c:idx val="0"/>
          <c:order val="0"/>
          <c:invertIfNegative val="0"/>
          <c:cat>
            <c:strRef>
              <c:f>'GWP-LTIB (Final)'!$AI$7:$AI$12</c:f>
              <c:strCache>
                <c:ptCount val="6"/>
                <c:pt idx="0">
                  <c:v>Ceylinco</c:v>
                </c:pt>
                <c:pt idx="1">
                  <c:v>SLIC</c:v>
                </c:pt>
                <c:pt idx="2">
                  <c:v>AIA</c:v>
                </c:pt>
                <c:pt idx="3">
                  <c:v>UAL</c:v>
                </c:pt>
                <c:pt idx="4">
                  <c:v>Asian Alliance</c:v>
                </c:pt>
                <c:pt idx="5">
                  <c:v>Others</c:v>
                </c:pt>
              </c:strCache>
            </c:strRef>
          </c:cat>
          <c:val>
            <c:numRef>
              <c:f>'GWP-LTIB (Final)'!$AH$7:$AH$12</c:f>
            </c:numRef>
          </c:val>
          <c:extLst>
            <c:ext xmlns:c16="http://schemas.microsoft.com/office/drawing/2014/chart" uri="{C3380CC4-5D6E-409C-BE32-E72D297353CC}">
              <c16:uniqueId val="{00000000-B0DF-4955-9C6E-FA3FAF5926CD}"/>
            </c:ext>
          </c:extLst>
        </c:ser>
        <c:ser>
          <c:idx val="3"/>
          <c:order val="1"/>
          <c:tx>
            <c:strRef>
              <c:f>'GWP-LTIB (Final)'!$AL$4</c:f>
              <c:strCache>
                <c:ptCount val="1"/>
                <c:pt idx="0">
                  <c:v>2009</c:v>
                </c:pt>
              </c:strCache>
            </c:strRef>
          </c:tx>
          <c:invertIfNegative val="0"/>
          <c:cat>
            <c:strRef>
              <c:f>'GWP-LTIB (Final)'!$AI$7:$AI$12</c:f>
              <c:strCache>
                <c:ptCount val="6"/>
                <c:pt idx="0">
                  <c:v>Ceylinco</c:v>
                </c:pt>
                <c:pt idx="1">
                  <c:v>SLIC</c:v>
                </c:pt>
                <c:pt idx="2">
                  <c:v>AIA</c:v>
                </c:pt>
                <c:pt idx="3">
                  <c:v>UAL</c:v>
                </c:pt>
                <c:pt idx="4">
                  <c:v>Asian Alliance</c:v>
                </c:pt>
                <c:pt idx="5">
                  <c:v>Others</c:v>
                </c:pt>
              </c:strCache>
            </c:strRef>
          </c:cat>
          <c:val>
            <c:numRef>
              <c:f>'GWP-LTIB (Final)'!$AL$7:$AL$12</c:f>
              <c:numCache>
                <c:formatCode>_(* #,##0.00_);_(* \(#,##0.00\);_(* "-"??_);_(@_)</c:formatCode>
                <c:ptCount val="6"/>
                <c:pt idx="0">
                  <c:v>31.3364787834136</c:v>
                </c:pt>
                <c:pt idx="1">
                  <c:v>20.07854919055319</c:v>
                </c:pt>
                <c:pt idx="2">
                  <c:v>19.298005165339198</c:v>
                </c:pt>
                <c:pt idx="3">
                  <c:v>11.57334590733336</c:v>
                </c:pt>
                <c:pt idx="4">
                  <c:v>4.2034166182738391</c:v>
                </c:pt>
                <c:pt idx="5">
                  <c:v>13.510204335086812</c:v>
                </c:pt>
              </c:numCache>
            </c:numRef>
          </c:val>
          <c:extLst>
            <c:ext xmlns:c16="http://schemas.microsoft.com/office/drawing/2014/chart" uri="{C3380CC4-5D6E-409C-BE32-E72D297353CC}">
              <c16:uniqueId val="{00000001-B0DF-4955-9C6E-FA3FAF5926CD}"/>
            </c:ext>
          </c:extLst>
        </c:ser>
        <c:ser>
          <c:idx val="4"/>
          <c:order val="2"/>
          <c:tx>
            <c:strRef>
              <c:f>'GWP-LTIB (Final)'!$AM$4</c:f>
              <c:strCache>
                <c:ptCount val="1"/>
                <c:pt idx="0">
                  <c:v>2010</c:v>
                </c:pt>
              </c:strCache>
            </c:strRef>
          </c:tx>
          <c:invertIfNegative val="0"/>
          <c:cat>
            <c:strRef>
              <c:f>'GWP-LTIB (Final)'!$AI$7:$AI$12</c:f>
              <c:strCache>
                <c:ptCount val="6"/>
                <c:pt idx="0">
                  <c:v>Ceylinco</c:v>
                </c:pt>
                <c:pt idx="1">
                  <c:v>SLIC</c:v>
                </c:pt>
                <c:pt idx="2">
                  <c:v>AIA</c:v>
                </c:pt>
                <c:pt idx="3">
                  <c:v>UAL</c:v>
                </c:pt>
                <c:pt idx="4">
                  <c:v>Asian Alliance</c:v>
                </c:pt>
                <c:pt idx="5">
                  <c:v>Others</c:v>
                </c:pt>
              </c:strCache>
            </c:strRef>
          </c:cat>
          <c:val>
            <c:numRef>
              <c:f>'GWP-LTIB (Final)'!$AM$7:$AM$12</c:f>
              <c:numCache>
                <c:formatCode>_(* #,##0.00_);_(* \(#,##0.00\);_(* "-"??_);_(@_)</c:formatCode>
                <c:ptCount val="6"/>
                <c:pt idx="0">
                  <c:v>28.213954352239309</c:v>
                </c:pt>
                <c:pt idx="1">
                  <c:v>19.29199565899334</c:v>
                </c:pt>
                <c:pt idx="2">
                  <c:v>24.986850325428559</c:v>
                </c:pt>
                <c:pt idx="3">
                  <c:v>11.124471874667895</c:v>
                </c:pt>
                <c:pt idx="4">
                  <c:v>3.9888449603793239</c:v>
                </c:pt>
                <c:pt idx="5">
                  <c:v>12.393882828291581</c:v>
                </c:pt>
              </c:numCache>
            </c:numRef>
          </c:val>
          <c:extLst>
            <c:ext xmlns:c16="http://schemas.microsoft.com/office/drawing/2014/chart" uri="{C3380CC4-5D6E-409C-BE32-E72D297353CC}">
              <c16:uniqueId val="{00000002-B0DF-4955-9C6E-FA3FAF5926CD}"/>
            </c:ext>
          </c:extLst>
        </c:ser>
        <c:ser>
          <c:idx val="5"/>
          <c:order val="3"/>
          <c:tx>
            <c:strRef>
              <c:f>'GWP-LTIB (Final)'!$AN$4</c:f>
              <c:strCache>
                <c:ptCount val="1"/>
                <c:pt idx="0">
                  <c:v>2011</c:v>
                </c:pt>
              </c:strCache>
            </c:strRef>
          </c:tx>
          <c:invertIfNegative val="0"/>
          <c:cat>
            <c:strRef>
              <c:f>'GWP-LTIB (Final)'!$AI$7:$AI$12</c:f>
              <c:strCache>
                <c:ptCount val="6"/>
                <c:pt idx="0">
                  <c:v>Ceylinco</c:v>
                </c:pt>
                <c:pt idx="1">
                  <c:v>SLIC</c:v>
                </c:pt>
                <c:pt idx="2">
                  <c:v>AIA</c:v>
                </c:pt>
                <c:pt idx="3">
                  <c:v>UAL</c:v>
                </c:pt>
                <c:pt idx="4">
                  <c:v>Asian Alliance</c:v>
                </c:pt>
                <c:pt idx="5">
                  <c:v>Others</c:v>
                </c:pt>
              </c:strCache>
            </c:strRef>
          </c:cat>
          <c:val>
            <c:numRef>
              <c:f>'GWP-LTIB (Final)'!$AN$7:$AN$12</c:f>
              <c:numCache>
                <c:formatCode>_(* #,##0.00_);_(* \(#,##0.00\);_(* "-"??_);_(@_)</c:formatCode>
                <c:ptCount val="6"/>
                <c:pt idx="0">
                  <c:v>27.906454891618385</c:v>
                </c:pt>
                <c:pt idx="1">
                  <c:v>19.177240244143764</c:v>
                </c:pt>
                <c:pt idx="2">
                  <c:v>22.315226302988211</c:v>
                </c:pt>
                <c:pt idx="3">
                  <c:v>12.717267885394786</c:v>
                </c:pt>
                <c:pt idx="4">
                  <c:v>4.4912042489405346</c:v>
                </c:pt>
                <c:pt idx="5">
                  <c:v>13.392606426914313</c:v>
                </c:pt>
              </c:numCache>
            </c:numRef>
          </c:val>
          <c:extLst>
            <c:ext xmlns:c16="http://schemas.microsoft.com/office/drawing/2014/chart" uri="{C3380CC4-5D6E-409C-BE32-E72D297353CC}">
              <c16:uniqueId val="{00000003-B0DF-4955-9C6E-FA3FAF5926CD}"/>
            </c:ext>
          </c:extLst>
        </c:ser>
        <c:ser>
          <c:idx val="6"/>
          <c:order val="4"/>
          <c:tx>
            <c:strRef>
              <c:f>'GWP-LTIB (Final)'!$AO$4</c:f>
              <c:strCache>
                <c:ptCount val="1"/>
                <c:pt idx="0">
                  <c:v>2012(a)</c:v>
                </c:pt>
              </c:strCache>
            </c:strRef>
          </c:tx>
          <c:invertIfNegative val="0"/>
          <c:cat>
            <c:strRef>
              <c:f>'GWP-LTIB (Final)'!$AI$7:$AI$12</c:f>
              <c:strCache>
                <c:ptCount val="6"/>
                <c:pt idx="0">
                  <c:v>Ceylinco</c:v>
                </c:pt>
                <c:pt idx="1">
                  <c:v>SLIC</c:v>
                </c:pt>
                <c:pt idx="2">
                  <c:v>AIA</c:v>
                </c:pt>
                <c:pt idx="3">
                  <c:v>UAL</c:v>
                </c:pt>
                <c:pt idx="4">
                  <c:v>Asian Alliance</c:v>
                </c:pt>
                <c:pt idx="5">
                  <c:v>Others</c:v>
                </c:pt>
              </c:strCache>
            </c:strRef>
          </c:cat>
          <c:val>
            <c:numRef>
              <c:f>'GWP-LTIB (Final)'!$AO$7:$AO$12</c:f>
              <c:numCache>
                <c:formatCode>_(* #,##0.00_);_(* \(#,##0.00\);_(* "-"??_);_(@_)</c:formatCode>
                <c:ptCount val="6"/>
                <c:pt idx="0">
                  <c:v>28.896534236025325</c:v>
                </c:pt>
                <c:pt idx="1">
                  <c:v>19.662962850370686</c:v>
                </c:pt>
                <c:pt idx="2">
                  <c:v>17.333066860338516</c:v>
                </c:pt>
                <c:pt idx="3">
                  <c:v>13.625323989973982</c:v>
                </c:pt>
                <c:pt idx="4">
                  <c:v>5.4275950665130734</c:v>
                </c:pt>
                <c:pt idx="5">
                  <c:v>15.054516996778418</c:v>
                </c:pt>
              </c:numCache>
            </c:numRef>
          </c:val>
          <c:extLst>
            <c:ext xmlns:c16="http://schemas.microsoft.com/office/drawing/2014/chart" uri="{C3380CC4-5D6E-409C-BE32-E72D297353CC}">
              <c16:uniqueId val="{00000004-B0DF-4955-9C6E-FA3FAF5926CD}"/>
            </c:ext>
          </c:extLst>
        </c:ser>
        <c:ser>
          <c:idx val="1"/>
          <c:order val="5"/>
          <c:tx>
            <c:strRef>
              <c:f>'GWP-LTIB (Final)'!$AP$4</c:f>
              <c:strCache>
                <c:ptCount val="1"/>
                <c:pt idx="0">
                  <c:v>2013(b)</c:v>
                </c:pt>
              </c:strCache>
            </c:strRef>
          </c:tx>
          <c:invertIfNegative val="0"/>
          <c:cat>
            <c:strRef>
              <c:f>'GWP-LTIB (Final)'!$AI$7:$AI$12</c:f>
              <c:strCache>
                <c:ptCount val="6"/>
                <c:pt idx="0">
                  <c:v>Ceylinco</c:v>
                </c:pt>
                <c:pt idx="1">
                  <c:v>SLIC</c:v>
                </c:pt>
                <c:pt idx="2">
                  <c:v>AIA</c:v>
                </c:pt>
                <c:pt idx="3">
                  <c:v>UAL</c:v>
                </c:pt>
                <c:pt idx="4">
                  <c:v>Asian Alliance</c:v>
                </c:pt>
                <c:pt idx="5">
                  <c:v>Others</c:v>
                </c:pt>
              </c:strCache>
            </c:strRef>
          </c:cat>
          <c:val>
            <c:numRef>
              <c:f>'GWP-LTIB (Final)'!$AP$7:$AP$12</c:f>
              <c:numCache>
                <c:formatCode>_(* #,##0.00_);_(* \(#,##0.00\);_(* "-"??_);_(@_)</c:formatCode>
                <c:ptCount val="6"/>
                <c:pt idx="0">
                  <c:v>26.928215698595199</c:v>
                </c:pt>
                <c:pt idx="1">
                  <c:v>19.537136580879157</c:v>
                </c:pt>
                <c:pt idx="2">
                  <c:v>16.615226841919561</c:v>
                </c:pt>
                <c:pt idx="3">
                  <c:v>13.351798813628616</c:v>
                </c:pt>
                <c:pt idx="4">
                  <c:v>6.1015280459005394</c:v>
                </c:pt>
                <c:pt idx="5">
                  <c:v>17.46609401907692</c:v>
                </c:pt>
              </c:numCache>
            </c:numRef>
          </c:val>
          <c:extLst>
            <c:ext xmlns:c16="http://schemas.microsoft.com/office/drawing/2014/chart" uri="{C3380CC4-5D6E-409C-BE32-E72D297353CC}">
              <c16:uniqueId val="{00000005-B0DF-4955-9C6E-FA3FAF5926CD}"/>
            </c:ext>
          </c:extLst>
        </c:ser>
        <c:dLbls>
          <c:showLegendKey val="0"/>
          <c:showVal val="0"/>
          <c:showCatName val="0"/>
          <c:showSerName val="0"/>
          <c:showPercent val="0"/>
          <c:showBubbleSize val="0"/>
        </c:dLbls>
        <c:gapWidth val="150"/>
        <c:axId val="76861824"/>
        <c:axId val="76863360"/>
      </c:barChart>
      <c:catAx>
        <c:axId val="76861824"/>
        <c:scaling>
          <c:orientation val="minMax"/>
        </c:scaling>
        <c:delete val="0"/>
        <c:axPos val="b"/>
        <c:numFmt formatCode="General" sourceLinked="1"/>
        <c:majorTickMark val="none"/>
        <c:minorTickMark val="none"/>
        <c:tickLblPos val="nextTo"/>
        <c:txPr>
          <a:bodyPr rot="0" vert="horz"/>
          <a:lstStyle/>
          <a:p>
            <a:pPr>
              <a:defRPr/>
            </a:pPr>
            <a:endParaRPr lang="en-US"/>
          </a:p>
        </c:txPr>
        <c:crossAx val="76863360"/>
        <c:crosses val="autoZero"/>
        <c:auto val="1"/>
        <c:lblAlgn val="ctr"/>
        <c:lblOffset val="100"/>
        <c:noMultiLvlLbl val="0"/>
      </c:catAx>
      <c:valAx>
        <c:axId val="76863360"/>
        <c:scaling>
          <c:orientation val="minMax"/>
        </c:scaling>
        <c:delete val="0"/>
        <c:axPos val="l"/>
        <c:majorGridlines/>
        <c:numFmt formatCode="_(* #,##0_);_(* \(#,##0\);_(* &quot;-&quot;_);_(@_)" sourceLinked="0"/>
        <c:majorTickMark val="none"/>
        <c:minorTickMark val="none"/>
        <c:tickLblPos val="nextTo"/>
        <c:txPr>
          <a:bodyPr rot="0" vert="horz"/>
          <a:lstStyle/>
          <a:p>
            <a:pPr>
              <a:defRPr/>
            </a:pPr>
            <a:endParaRPr lang="en-US"/>
          </a:p>
        </c:txPr>
        <c:crossAx val="76861824"/>
        <c:crosses val="autoZero"/>
        <c:crossBetween val="between"/>
      </c:valAx>
      <c:dTable>
        <c:showHorzBorder val="1"/>
        <c:showVertBorder val="1"/>
        <c:showOutline val="1"/>
        <c:showKeys val="1"/>
      </c:dTable>
    </c:plotArea>
    <c:plotVisOnly val="1"/>
    <c:dispBlanksAs val="gap"/>
    <c:showDLblsOverMax val="0"/>
  </c:chart>
  <c:spPr>
    <a:noFill/>
  </c:sp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34"/>
    </mc:Choice>
    <mc:Fallback>
      <c:style val="34"/>
    </mc:Fallback>
  </mc:AlternateContent>
  <c:chart>
    <c:title>
      <c:tx>
        <c:rich>
          <a:bodyPr/>
          <a:lstStyle/>
          <a:p>
            <a:pPr>
              <a:defRPr sz="1000">
                <a:latin typeface="Tahoma" pitchFamily="34" charset="0"/>
                <a:ea typeface="Tahoma" pitchFamily="34" charset="0"/>
                <a:cs typeface="Tahoma" pitchFamily="34" charset="0"/>
              </a:defRPr>
            </a:pPr>
            <a:r>
              <a:rPr lang="en-US" sz="1000">
                <a:latin typeface="Tahoma" pitchFamily="34" charset="0"/>
                <a:ea typeface="Tahoma" pitchFamily="34" charset="0"/>
                <a:cs typeface="Tahoma" pitchFamily="34" charset="0"/>
              </a:rPr>
              <a:t>Gross Written</a:t>
            </a:r>
            <a:r>
              <a:rPr lang="en-US" sz="1000" baseline="0">
                <a:latin typeface="Tahoma" pitchFamily="34" charset="0"/>
                <a:ea typeface="Tahoma" pitchFamily="34" charset="0"/>
                <a:cs typeface="Tahoma" pitchFamily="34" charset="0"/>
              </a:rPr>
              <a:t> </a:t>
            </a:r>
            <a:r>
              <a:rPr lang="en-US" sz="1000">
                <a:latin typeface="Tahoma" pitchFamily="34" charset="0"/>
                <a:ea typeface="Tahoma" pitchFamily="34" charset="0"/>
                <a:cs typeface="Tahoma" pitchFamily="34" charset="0"/>
              </a:rPr>
              <a:t>Premium - General Insurance Business </a:t>
            </a:r>
          </a:p>
        </c:rich>
      </c:tx>
      <c:overlay val="0"/>
    </c:title>
    <c:autoTitleDeleted val="0"/>
    <c:plotArea>
      <c:layout>
        <c:manualLayout>
          <c:layoutTarget val="inner"/>
          <c:xMode val="edge"/>
          <c:yMode val="edge"/>
          <c:x val="0.18870488322719256"/>
          <c:y val="0.10640926599157056"/>
          <c:w val="0.60836377618402793"/>
          <c:h val="0.71648692679487069"/>
        </c:manualLayout>
      </c:layout>
      <c:barChart>
        <c:barDir val="col"/>
        <c:grouping val="clustered"/>
        <c:varyColors val="0"/>
        <c:ser>
          <c:idx val="0"/>
          <c:order val="0"/>
          <c:tx>
            <c:strRef>
              <c:f>'GWP-GIB (Final)'!$B$110</c:f>
              <c:strCache>
                <c:ptCount val="1"/>
                <c:pt idx="0">
                  <c:v>Total</c:v>
                </c:pt>
              </c:strCache>
            </c:strRef>
          </c:tx>
          <c:invertIfNegative val="0"/>
          <c:cat>
            <c:strRef>
              <c:f>'GWP-GIB (Final)'!$I$89:$M$89</c:f>
              <c:strCache>
                <c:ptCount val="5"/>
                <c:pt idx="0">
                  <c:v>2009</c:v>
                </c:pt>
                <c:pt idx="1">
                  <c:v>2010</c:v>
                </c:pt>
                <c:pt idx="2">
                  <c:v>2011</c:v>
                </c:pt>
                <c:pt idx="3">
                  <c:v>2012(a)</c:v>
                </c:pt>
                <c:pt idx="4">
                  <c:v>2013(b)</c:v>
                </c:pt>
              </c:strCache>
            </c:strRef>
          </c:cat>
          <c:val>
            <c:numRef>
              <c:f>'GWP-GIB (Final)'!$I$110:$M$110</c:f>
              <c:numCache>
                <c:formatCode>_(* #,##0_);_(* \(#,##0\);_(* "-"??_);_(@_)</c:formatCode>
                <c:ptCount val="5"/>
                <c:pt idx="0">
                  <c:v>33548266.608081896</c:v>
                </c:pt>
                <c:pt idx="1">
                  <c:v>35101447.054907799</c:v>
                </c:pt>
                <c:pt idx="2">
                  <c:v>43328823.699211858</c:v>
                </c:pt>
                <c:pt idx="3">
                  <c:v>49694448.718635947</c:v>
                </c:pt>
                <c:pt idx="4">
                  <c:v>53177348.637200683</c:v>
                </c:pt>
              </c:numCache>
            </c:numRef>
          </c:val>
          <c:extLst>
            <c:ext xmlns:c16="http://schemas.microsoft.com/office/drawing/2014/chart" uri="{C3380CC4-5D6E-409C-BE32-E72D297353CC}">
              <c16:uniqueId val="{00000000-C718-4C80-BB6C-D79C1B8429B6}"/>
            </c:ext>
          </c:extLst>
        </c:ser>
        <c:dLbls>
          <c:showLegendKey val="0"/>
          <c:showVal val="0"/>
          <c:showCatName val="0"/>
          <c:showSerName val="0"/>
          <c:showPercent val="0"/>
          <c:showBubbleSize val="0"/>
        </c:dLbls>
        <c:gapWidth val="150"/>
        <c:axId val="83974016"/>
        <c:axId val="83975552"/>
      </c:barChart>
      <c:lineChart>
        <c:grouping val="stacked"/>
        <c:varyColors val="0"/>
        <c:ser>
          <c:idx val="1"/>
          <c:order val="1"/>
          <c:tx>
            <c:strRef>
              <c:f>'GWP-GIB (Final)'!$B$111:$B$112</c:f>
              <c:strCache>
                <c:ptCount val="2"/>
                <c:pt idx="0">
                  <c:v>Growth Rate (%)</c:v>
                </c:pt>
              </c:strCache>
            </c:strRef>
          </c:tx>
          <c:dLbls>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'GWP-GIB (Final)'!$J$89:$M$91</c:f>
              <c:multiLvlStrCache>
                <c:ptCount val="4"/>
                <c:lvl>
                  <c:pt idx="0">
                    <c:v>(Rs.'000)</c:v>
                  </c:pt>
                  <c:pt idx="1">
                    <c:v>(Rs.'000)</c:v>
                  </c:pt>
                  <c:pt idx="2">
                    <c:v>(Rs.'000)</c:v>
                  </c:pt>
                  <c:pt idx="3">
                    <c:v>(Rs.'000)</c:v>
                  </c:pt>
                </c:lvl>
                <c:lvl>
                  <c:pt idx="0">
                    <c:v>Premium</c:v>
                  </c:pt>
                  <c:pt idx="1">
                    <c:v>Premium</c:v>
                  </c:pt>
                  <c:pt idx="2">
                    <c:v>Premium</c:v>
                  </c:pt>
                  <c:pt idx="3">
                    <c:v>Premium</c:v>
                  </c:pt>
                </c:lvl>
                <c:lvl>
                  <c:pt idx="0">
                    <c:v>2010</c:v>
                  </c:pt>
                  <c:pt idx="1">
                    <c:v>2011</c:v>
                  </c:pt>
                  <c:pt idx="2">
                    <c:v>2012(a)</c:v>
                  </c:pt>
                  <c:pt idx="3">
                    <c:v>2013(b)</c:v>
                  </c:pt>
                </c:lvl>
              </c:multiLvlStrCache>
            </c:multiLvlStrRef>
          </c:cat>
          <c:val>
            <c:numRef>
              <c:f>'GWP-GIB (Final)'!$I$111:$M$111</c:f>
              <c:numCache>
                <c:formatCode>#,##0.00</c:formatCode>
                <c:ptCount val="5"/>
                <c:pt idx="0">
                  <c:v>-2.9225921372183294</c:v>
                </c:pt>
                <c:pt idx="1">
                  <c:v>4.6296891132125921</c:v>
                </c:pt>
                <c:pt idx="2">
                  <c:v>23.438853194383412</c:v>
                </c:pt>
                <c:pt idx="3">
                  <c:v>14.691432806055793</c:v>
                </c:pt>
                <c:pt idx="4" formatCode="_(* #,##0.00_);_(* \(#,##0.00\);_(* &quot;-&quot;??_);_(@_)">
                  <c:v>7.0086297531631789</c:v>
                </c:pt>
              </c:numCache>
            </c:numRef>
          </c:val>
          <c:smooth val="0"/>
          <c:extLst>
            <c:ext xmlns:c16="http://schemas.microsoft.com/office/drawing/2014/chart" uri="{C3380CC4-5D6E-409C-BE32-E72D297353CC}">
              <c16:uniqueId val="{00000001-C718-4C80-BB6C-D79C1B8429B6}"/>
            </c:ext>
          </c:extLst>
        </c:ser>
        <c:dLbls>
          <c:showLegendKey val="0"/>
          <c:showVal val="0"/>
          <c:showCatName val="0"/>
          <c:showSerName val="0"/>
          <c:showPercent val="0"/>
          <c:showBubbleSize val="0"/>
        </c:dLbls>
        <c:marker val="1"/>
        <c:smooth val="0"/>
        <c:axId val="83985920"/>
        <c:axId val="83987456"/>
      </c:lineChart>
      <c:catAx>
        <c:axId val="83974016"/>
        <c:scaling>
          <c:orientation val="minMax"/>
        </c:scaling>
        <c:delete val="0"/>
        <c:axPos val="b"/>
        <c:numFmt formatCode="General" sourceLinked="1"/>
        <c:majorTickMark val="none"/>
        <c:minorTickMark val="none"/>
        <c:tickLblPos val="nextTo"/>
        <c:txPr>
          <a:bodyPr rot="0" vert="horz"/>
          <a:lstStyle/>
          <a:p>
            <a:pPr>
              <a:defRPr/>
            </a:pPr>
            <a:endParaRPr lang="en-US"/>
          </a:p>
        </c:txPr>
        <c:crossAx val="83975552"/>
        <c:crosses val="autoZero"/>
        <c:auto val="1"/>
        <c:lblAlgn val="ctr"/>
        <c:lblOffset val="100"/>
        <c:noMultiLvlLbl val="0"/>
      </c:catAx>
      <c:valAx>
        <c:axId val="83975552"/>
        <c:scaling>
          <c:orientation val="minMax"/>
        </c:scaling>
        <c:delete val="0"/>
        <c:axPos val="l"/>
        <c:majorGridlines/>
        <c:title>
          <c:tx>
            <c:rich>
              <a:bodyPr/>
              <a:lstStyle/>
              <a:p>
                <a:pPr>
                  <a:defRPr/>
                </a:pPr>
                <a:r>
                  <a:rPr lang="en-US"/>
                  <a:t>Rs.'000 </a:t>
                </a:r>
              </a:p>
            </c:rich>
          </c:tx>
          <c:layout>
            <c:manualLayout>
              <c:xMode val="edge"/>
              <c:yMode val="edge"/>
              <c:x val="4.8518848538851786E-2"/>
              <c:y val="0.40362422968467215"/>
            </c:manualLayout>
          </c:layout>
          <c:overlay val="0"/>
        </c:title>
        <c:numFmt formatCode="_(* #,##0_);_(* \(#,##0\);_(* &quot;-&quot;??_);_(@_)" sourceLinked="1"/>
        <c:majorTickMark val="none"/>
        <c:minorTickMark val="none"/>
        <c:tickLblPos val="nextTo"/>
        <c:txPr>
          <a:bodyPr rot="0" vert="horz"/>
          <a:lstStyle/>
          <a:p>
            <a:pPr>
              <a:defRPr/>
            </a:pPr>
            <a:endParaRPr lang="en-US"/>
          </a:p>
        </c:txPr>
        <c:crossAx val="83974016"/>
        <c:crosses val="autoZero"/>
        <c:crossBetween val="between"/>
      </c:valAx>
      <c:catAx>
        <c:axId val="83985920"/>
        <c:scaling>
          <c:orientation val="minMax"/>
        </c:scaling>
        <c:delete val="1"/>
        <c:axPos val="b"/>
        <c:numFmt formatCode="General" sourceLinked="1"/>
        <c:majorTickMark val="out"/>
        <c:minorTickMark val="none"/>
        <c:tickLblPos val="none"/>
        <c:crossAx val="83987456"/>
        <c:crosses val="autoZero"/>
        <c:auto val="1"/>
        <c:lblAlgn val="ctr"/>
        <c:lblOffset val="100"/>
        <c:noMultiLvlLbl val="0"/>
      </c:catAx>
      <c:valAx>
        <c:axId val="83987456"/>
        <c:scaling>
          <c:orientation val="minMax"/>
        </c:scaling>
        <c:delete val="0"/>
        <c:axPos val="r"/>
        <c:numFmt formatCode="#,##0.00" sourceLinked="0"/>
        <c:majorTickMark val="out"/>
        <c:minorTickMark val="none"/>
        <c:tickLblPos val="nextTo"/>
        <c:txPr>
          <a:bodyPr rot="0" vert="horz"/>
          <a:lstStyle/>
          <a:p>
            <a:pPr>
              <a:defRPr/>
            </a:pPr>
            <a:endParaRPr lang="en-US"/>
          </a:p>
        </c:txPr>
        <c:crossAx val="83985920"/>
        <c:crosses val="max"/>
        <c:crossBetween val="between"/>
      </c:valAx>
      <c:dTable>
        <c:showHorzBorder val="1"/>
        <c:showVertBorder val="1"/>
        <c:showOutline val="1"/>
        <c:showKeys val="1"/>
      </c:dTable>
    </c:plotArea>
    <c:plotVisOnly val="1"/>
    <c:dispBlanksAs val="zero"/>
    <c:showDLblsOverMax val="0"/>
  </c:chart>
  <c:printSettings>
    <c:headerFooter/>
    <c:pageMargins b="0.75000000000001465" l="0.70000000000000062" r="0.70000000000000062" t="0.75000000000001465"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42"/>
    </mc:Choice>
    <mc:Fallback>
      <c:style val="42"/>
    </mc:Fallback>
  </mc:AlternateContent>
  <c:chart>
    <c:title>
      <c:tx>
        <c:rich>
          <a:bodyPr/>
          <a:lstStyle/>
          <a:p>
            <a:pPr>
              <a:defRPr sz="1800" b="1" i="0" u="none" strike="noStrike" baseline="0">
                <a:solidFill>
                  <a:srgbClr val="FFFFFF"/>
                </a:solidFill>
                <a:latin typeface="Calibri"/>
                <a:ea typeface="Calibri"/>
                <a:cs typeface="Calibri"/>
              </a:defRPr>
            </a:pPr>
            <a:r>
              <a:rPr lang="en-US"/>
              <a:t>Top 5 Companies Market Share of Gross Written Premium -   General Insurance Business for last 5 years</a:t>
            </a:r>
          </a:p>
        </c:rich>
      </c:tx>
      <c:overlay val="0"/>
    </c:title>
    <c:autoTitleDeleted val="0"/>
    <c:view3D>
      <c:rotX val="15"/>
      <c:rotY val="20"/>
      <c:depthPercent val="100"/>
      <c:rAngAx val="1"/>
    </c:view3D>
    <c:floor>
      <c:thickness val="0"/>
    </c:floor>
    <c:sideWall>
      <c:thickness val="0"/>
    </c:sideWall>
    <c:backWall>
      <c:thickness val="0"/>
    </c:backWall>
    <c:plotArea>
      <c:layout>
        <c:manualLayout>
          <c:layoutTarget val="inner"/>
          <c:xMode val="edge"/>
          <c:yMode val="edge"/>
          <c:x val="0.16930349725701771"/>
          <c:y val="0.21931507479750423"/>
          <c:w val="0.72113665403475069"/>
          <c:h val="0.6959338241759867"/>
        </c:manualLayout>
      </c:layout>
      <c:bar3DChart>
        <c:barDir val="col"/>
        <c:grouping val="clustered"/>
        <c:varyColors val="0"/>
        <c:ser>
          <c:idx val="2"/>
          <c:order val="0"/>
          <c:tx>
            <c:strRef>
              <c:f>'GWP-GIB (Final)'!$X$6</c:f>
              <c:strCache>
                <c:ptCount val="1"/>
                <c:pt idx="0">
                  <c:v>2009</c:v>
                </c:pt>
              </c:strCache>
            </c:strRef>
          </c:tx>
          <c:invertIfNegative val="0"/>
          <c:cat>
            <c:strRef>
              <c:f>'GWP-GIB (Final)'!$U$9:$U$13</c:f>
              <c:strCache>
                <c:ptCount val="5"/>
                <c:pt idx="0">
                  <c:v> SLIC </c:v>
                </c:pt>
                <c:pt idx="1">
                  <c:v> Ceylinco </c:v>
                </c:pt>
                <c:pt idx="2">
                  <c:v> Janashakthi </c:v>
                </c:pt>
                <c:pt idx="3">
                  <c:v> UAL </c:v>
                </c:pt>
                <c:pt idx="4">
                  <c:v>People’s</c:v>
                </c:pt>
              </c:strCache>
            </c:strRef>
          </c:cat>
          <c:val>
            <c:numRef>
              <c:f>'GWP-GIB (Final)'!$X$9:$X$13</c:f>
              <c:numCache>
                <c:formatCode>_(* #,##0_);_(* \(#,##0\);_(* "-"??_);_(@_)</c:formatCode>
                <c:ptCount val="5"/>
                <c:pt idx="0">
                  <c:v>8764538.8244118989</c:v>
                </c:pt>
                <c:pt idx="1">
                  <c:v>9081297</c:v>
                </c:pt>
                <c:pt idx="2">
                  <c:v>4272926</c:v>
                </c:pt>
                <c:pt idx="3">
                  <c:v>3210217.1266700001</c:v>
                </c:pt>
              </c:numCache>
            </c:numRef>
          </c:val>
          <c:extLst>
            <c:ext xmlns:c16="http://schemas.microsoft.com/office/drawing/2014/chart" uri="{C3380CC4-5D6E-409C-BE32-E72D297353CC}">
              <c16:uniqueId val="{00000000-B763-48D7-8F2B-663139E829B1}"/>
            </c:ext>
          </c:extLst>
        </c:ser>
        <c:ser>
          <c:idx val="3"/>
          <c:order val="1"/>
          <c:tx>
            <c:strRef>
              <c:f>'GWP-GIB (Final)'!$Y$6</c:f>
              <c:strCache>
                <c:ptCount val="1"/>
                <c:pt idx="0">
                  <c:v>2010</c:v>
                </c:pt>
              </c:strCache>
            </c:strRef>
          </c:tx>
          <c:invertIfNegative val="0"/>
          <c:cat>
            <c:strRef>
              <c:f>'GWP-GIB (Final)'!$U$9:$U$13</c:f>
              <c:strCache>
                <c:ptCount val="5"/>
                <c:pt idx="0">
                  <c:v> SLIC </c:v>
                </c:pt>
                <c:pt idx="1">
                  <c:v> Ceylinco </c:v>
                </c:pt>
                <c:pt idx="2">
                  <c:v> Janashakthi </c:v>
                </c:pt>
                <c:pt idx="3">
                  <c:v> UAL </c:v>
                </c:pt>
                <c:pt idx="4">
                  <c:v>People’s</c:v>
                </c:pt>
              </c:strCache>
            </c:strRef>
          </c:cat>
          <c:val>
            <c:numRef>
              <c:f>'GWP-GIB (Final)'!$Y$9:$Y$13</c:f>
              <c:numCache>
                <c:formatCode>_(* #,##0_);_(* \(#,##0\);_(* "-"??_);_(@_)</c:formatCode>
                <c:ptCount val="5"/>
                <c:pt idx="0">
                  <c:v>8766026.9246178009</c:v>
                </c:pt>
                <c:pt idx="1">
                  <c:v>8724292</c:v>
                </c:pt>
                <c:pt idx="2">
                  <c:v>4324169.7151100002</c:v>
                </c:pt>
                <c:pt idx="3">
                  <c:v>3433830.28211</c:v>
                </c:pt>
                <c:pt idx="4">
                  <c:v>847064</c:v>
                </c:pt>
              </c:numCache>
            </c:numRef>
          </c:val>
          <c:extLst>
            <c:ext xmlns:c16="http://schemas.microsoft.com/office/drawing/2014/chart" uri="{C3380CC4-5D6E-409C-BE32-E72D297353CC}">
              <c16:uniqueId val="{00000001-B763-48D7-8F2B-663139E829B1}"/>
            </c:ext>
          </c:extLst>
        </c:ser>
        <c:ser>
          <c:idx val="4"/>
          <c:order val="2"/>
          <c:tx>
            <c:strRef>
              <c:f>'GWP-GIB (Final)'!$Z$6</c:f>
              <c:strCache>
                <c:ptCount val="1"/>
                <c:pt idx="0">
                  <c:v>2011</c:v>
                </c:pt>
              </c:strCache>
            </c:strRef>
          </c:tx>
          <c:invertIfNegative val="0"/>
          <c:cat>
            <c:strRef>
              <c:f>'GWP-GIB (Final)'!$U$9:$U$13</c:f>
              <c:strCache>
                <c:ptCount val="5"/>
                <c:pt idx="0">
                  <c:v> SLIC </c:v>
                </c:pt>
                <c:pt idx="1">
                  <c:v> Ceylinco </c:v>
                </c:pt>
                <c:pt idx="2">
                  <c:v> Janashakthi </c:v>
                </c:pt>
                <c:pt idx="3">
                  <c:v> UAL </c:v>
                </c:pt>
                <c:pt idx="4">
                  <c:v>People’s</c:v>
                </c:pt>
              </c:strCache>
            </c:strRef>
          </c:cat>
          <c:val>
            <c:numRef>
              <c:f>'GWP-GIB (Final)'!$Z$9:$Z$13</c:f>
              <c:numCache>
                <c:formatCode>_(* #,##0_);_(* \(#,##0\);_(* "-"??_);_(@_)</c:formatCode>
                <c:ptCount val="5"/>
                <c:pt idx="0">
                  <c:v>11134582.762270002</c:v>
                </c:pt>
                <c:pt idx="1">
                  <c:v>9558942</c:v>
                </c:pt>
                <c:pt idx="2">
                  <c:v>5086207.4053399796</c:v>
                </c:pt>
                <c:pt idx="3">
                  <c:v>4055442.8969999999</c:v>
                </c:pt>
                <c:pt idx="4">
                  <c:v>2284578</c:v>
                </c:pt>
              </c:numCache>
            </c:numRef>
          </c:val>
          <c:extLst>
            <c:ext xmlns:c16="http://schemas.microsoft.com/office/drawing/2014/chart" uri="{C3380CC4-5D6E-409C-BE32-E72D297353CC}">
              <c16:uniqueId val="{00000002-B763-48D7-8F2B-663139E829B1}"/>
            </c:ext>
          </c:extLst>
        </c:ser>
        <c:ser>
          <c:idx val="0"/>
          <c:order val="3"/>
          <c:tx>
            <c:strRef>
              <c:f>'GWP-GIB (Final)'!$AA$6</c:f>
              <c:strCache>
                <c:ptCount val="1"/>
                <c:pt idx="0">
                  <c:v>2012(a)</c:v>
                </c:pt>
              </c:strCache>
            </c:strRef>
          </c:tx>
          <c:invertIfNegative val="0"/>
          <c:cat>
            <c:strRef>
              <c:f>'GWP-GIB (Final)'!$U$9:$U$13</c:f>
              <c:strCache>
                <c:ptCount val="5"/>
                <c:pt idx="0">
                  <c:v> SLIC </c:v>
                </c:pt>
                <c:pt idx="1">
                  <c:v> Ceylinco </c:v>
                </c:pt>
                <c:pt idx="2">
                  <c:v> Janashakthi </c:v>
                </c:pt>
                <c:pt idx="3">
                  <c:v> UAL </c:v>
                </c:pt>
                <c:pt idx="4">
                  <c:v>People’s</c:v>
                </c:pt>
              </c:strCache>
            </c:strRef>
          </c:cat>
          <c:val>
            <c:numRef>
              <c:f>'GWP-GIB (Final)'!$AA$9:$AA$13</c:f>
              <c:numCache>
                <c:formatCode>_(* #,##0_);_(* \(#,##0\);_(* "-"??_);_(@_)</c:formatCode>
                <c:ptCount val="5"/>
                <c:pt idx="0">
                  <c:v>12359187.410689998</c:v>
                </c:pt>
                <c:pt idx="1">
                  <c:v>10434917</c:v>
                </c:pt>
                <c:pt idx="2">
                  <c:v>5773429.4972300194</c:v>
                </c:pt>
                <c:pt idx="3">
                  <c:v>4436051.5967899989</c:v>
                </c:pt>
                <c:pt idx="4">
                  <c:v>2795447.79213</c:v>
                </c:pt>
              </c:numCache>
            </c:numRef>
          </c:val>
          <c:extLst>
            <c:ext xmlns:c16="http://schemas.microsoft.com/office/drawing/2014/chart" uri="{C3380CC4-5D6E-409C-BE32-E72D297353CC}">
              <c16:uniqueId val="{00000003-B763-48D7-8F2B-663139E829B1}"/>
            </c:ext>
          </c:extLst>
        </c:ser>
        <c:ser>
          <c:idx val="1"/>
          <c:order val="4"/>
          <c:tx>
            <c:strRef>
              <c:f>'GWP-GIB (Final)'!$AB$6</c:f>
              <c:strCache>
                <c:ptCount val="1"/>
                <c:pt idx="0">
                  <c:v>2013(b)</c:v>
                </c:pt>
              </c:strCache>
            </c:strRef>
          </c:tx>
          <c:invertIfNegative val="0"/>
          <c:cat>
            <c:strRef>
              <c:f>'GWP-GIB (Final)'!$U$9:$U$13</c:f>
              <c:strCache>
                <c:ptCount val="5"/>
                <c:pt idx="0">
                  <c:v> SLIC </c:v>
                </c:pt>
                <c:pt idx="1">
                  <c:v> Ceylinco </c:v>
                </c:pt>
                <c:pt idx="2">
                  <c:v> Janashakthi </c:v>
                </c:pt>
                <c:pt idx="3">
                  <c:v> UAL </c:v>
                </c:pt>
                <c:pt idx="4">
                  <c:v>People’s</c:v>
                </c:pt>
              </c:strCache>
            </c:strRef>
          </c:cat>
          <c:val>
            <c:numRef>
              <c:f>'GWP-GIB (Final)'!$AB$9:$AB$13</c:f>
              <c:numCache>
                <c:formatCode>_(* #,##0_);_(* \(#,##0\);_(* "-"??_);_(@_)</c:formatCode>
                <c:ptCount val="5"/>
                <c:pt idx="0">
                  <c:v>12785670.661330007</c:v>
                </c:pt>
                <c:pt idx="1">
                  <c:v>10311479</c:v>
                </c:pt>
                <c:pt idx="2">
                  <c:v>6342545.7904710202</c:v>
                </c:pt>
                <c:pt idx="3">
                  <c:v>5116965.9560599998</c:v>
                </c:pt>
                <c:pt idx="4">
                  <c:v>3085041.1282100007</c:v>
                </c:pt>
              </c:numCache>
            </c:numRef>
          </c:val>
          <c:extLst>
            <c:ext xmlns:c16="http://schemas.microsoft.com/office/drawing/2014/chart" uri="{C3380CC4-5D6E-409C-BE32-E72D297353CC}">
              <c16:uniqueId val="{00000004-B763-48D7-8F2B-663139E829B1}"/>
            </c:ext>
          </c:extLst>
        </c:ser>
        <c:dLbls>
          <c:showLegendKey val="0"/>
          <c:showVal val="0"/>
          <c:showCatName val="0"/>
          <c:showSerName val="0"/>
          <c:showPercent val="0"/>
          <c:showBubbleSize val="0"/>
        </c:dLbls>
        <c:gapWidth val="150"/>
        <c:shape val="box"/>
        <c:axId val="84036992"/>
        <c:axId val="84051072"/>
        <c:axId val="0"/>
      </c:bar3DChart>
      <c:catAx>
        <c:axId val="84036992"/>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FFFFFF"/>
                </a:solidFill>
                <a:latin typeface="Calibri"/>
                <a:ea typeface="Calibri"/>
                <a:cs typeface="Calibri"/>
              </a:defRPr>
            </a:pPr>
            <a:endParaRPr lang="en-US"/>
          </a:p>
        </c:txPr>
        <c:crossAx val="84051072"/>
        <c:crosses val="autoZero"/>
        <c:auto val="1"/>
        <c:lblAlgn val="ctr"/>
        <c:lblOffset val="100"/>
        <c:noMultiLvlLbl val="0"/>
      </c:catAx>
      <c:valAx>
        <c:axId val="84051072"/>
        <c:scaling>
          <c:orientation val="minMax"/>
        </c:scaling>
        <c:delete val="0"/>
        <c:axPos val="l"/>
        <c:majorGridlines/>
        <c:title>
          <c:tx>
            <c:rich>
              <a:bodyPr/>
              <a:lstStyle/>
              <a:p>
                <a:pPr>
                  <a:defRPr sz="1000" b="1" i="0" u="none" strike="noStrike" baseline="0">
                    <a:solidFill>
                      <a:srgbClr val="FFFFFF"/>
                    </a:solidFill>
                    <a:latin typeface="Calibri"/>
                    <a:ea typeface="Calibri"/>
                    <a:cs typeface="Calibri"/>
                  </a:defRPr>
                </a:pPr>
                <a:r>
                  <a:rPr lang="en-US"/>
                  <a:t>Rs.'000</a:t>
                </a:r>
              </a:p>
            </c:rich>
          </c:tx>
          <c:overlay val="0"/>
        </c:title>
        <c:numFmt formatCode="_(* #,##0_);_(* \(#,##0\);_(* &quot;-&quot;??_);_(@_)" sourceLinked="1"/>
        <c:majorTickMark val="out"/>
        <c:minorTickMark val="none"/>
        <c:tickLblPos val="nextTo"/>
        <c:txPr>
          <a:bodyPr rot="0" vert="horz"/>
          <a:lstStyle/>
          <a:p>
            <a:pPr>
              <a:defRPr sz="1000" b="0" i="0" u="none" strike="noStrike" baseline="0">
                <a:solidFill>
                  <a:srgbClr val="FFFFFF"/>
                </a:solidFill>
                <a:latin typeface="Calibri"/>
                <a:ea typeface="Calibri"/>
                <a:cs typeface="Calibri"/>
              </a:defRPr>
            </a:pPr>
            <a:endParaRPr lang="en-US"/>
          </a:p>
        </c:txPr>
        <c:crossAx val="84036992"/>
        <c:crosses val="autoZero"/>
        <c:crossBetween val="between"/>
      </c:valAx>
      <c:spPr>
        <a:noFill/>
        <a:ln w="25400">
          <a:noFill/>
        </a:ln>
      </c:spPr>
    </c:plotArea>
    <c:legend>
      <c:legendPos val="r"/>
      <c:overlay val="0"/>
      <c:txPr>
        <a:bodyPr/>
        <a:lstStyle/>
        <a:p>
          <a:pPr>
            <a:defRPr sz="845" b="0" i="0" u="none" strike="noStrike" baseline="0">
              <a:solidFill>
                <a:srgbClr val="FFFFFF"/>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FFFFFF"/>
          </a:solidFill>
          <a:latin typeface="Calibri"/>
          <a:ea typeface="Calibri"/>
          <a:cs typeface="Calibri"/>
        </a:defRPr>
      </a:pPr>
      <a:endParaRPr lang="en-US"/>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34"/>
    </mc:Choice>
    <mc:Fallback>
      <c:style val="34"/>
    </mc:Fallback>
  </mc:AlternateContent>
  <c:chart>
    <c:title>
      <c:tx>
        <c:rich>
          <a:bodyPr/>
          <a:lstStyle/>
          <a:p>
            <a:pPr>
              <a:defRPr sz="1000">
                <a:latin typeface="Tahoma" pitchFamily="34" charset="0"/>
                <a:ea typeface="Tahoma" pitchFamily="34" charset="0"/>
                <a:cs typeface="Tahoma" pitchFamily="34" charset="0"/>
              </a:defRPr>
            </a:pPr>
            <a:r>
              <a:rPr lang="en-US" sz="1000" b="1" i="0" u="none" strike="noStrike" baseline="0"/>
              <a:t>Market Share of Top Five GWP generators &amp; Other Players  in 2013 - General Insurance Business </a:t>
            </a:r>
            <a:endParaRPr lang="en-US" sz="1000">
              <a:latin typeface="Tahoma" pitchFamily="34" charset="0"/>
              <a:ea typeface="Tahoma" pitchFamily="34" charset="0"/>
              <a:cs typeface="Tahoma" pitchFamily="34" charset="0"/>
            </a:endParaRPr>
          </a:p>
        </c:rich>
      </c:tx>
      <c:overlay val="0"/>
    </c:title>
    <c:autoTitleDeleted val="0"/>
    <c:plotArea>
      <c:layout>
        <c:manualLayout>
          <c:layoutTarget val="inner"/>
          <c:xMode val="edge"/>
          <c:yMode val="edge"/>
          <c:x val="0.11651393505685562"/>
          <c:y val="7.4602944197192794E-2"/>
          <c:w val="0.85917563951074716"/>
          <c:h val="0.69750615086157708"/>
        </c:manualLayout>
      </c:layout>
      <c:barChart>
        <c:barDir val="col"/>
        <c:grouping val="clustered"/>
        <c:varyColors val="0"/>
        <c:ser>
          <c:idx val="0"/>
          <c:order val="0"/>
          <c:tx>
            <c:strRef>
              <c:f>'GWP-GIB (Final)'!$AE$6</c:f>
            </c:strRef>
          </c:tx>
          <c:invertIfNegative val="0"/>
          <c:cat>
            <c:strRef>
              <c:f>'GWP-GIB (Final)'!$AF$9:$AF$14</c:f>
              <c:strCache>
                <c:ptCount val="6"/>
                <c:pt idx="0">
                  <c:v> SLIC </c:v>
                </c:pt>
                <c:pt idx="1">
                  <c:v> Ceylinco </c:v>
                </c:pt>
                <c:pt idx="2">
                  <c:v> Janashakthi </c:v>
                </c:pt>
                <c:pt idx="3">
                  <c:v> UAL </c:v>
                </c:pt>
                <c:pt idx="4">
                  <c:v>People’s</c:v>
                </c:pt>
                <c:pt idx="5">
                  <c:v>Others</c:v>
                </c:pt>
              </c:strCache>
            </c:strRef>
          </c:cat>
          <c:val>
            <c:numRef>
              <c:f>'GWP-GIB (Final)'!$AE$9:$AE$13</c:f>
            </c:numRef>
          </c:val>
          <c:extLst>
            <c:ext xmlns:c16="http://schemas.microsoft.com/office/drawing/2014/chart" uri="{C3380CC4-5D6E-409C-BE32-E72D297353CC}">
              <c16:uniqueId val="{00000000-149F-4BCF-B4E2-CBF2A5973BEF}"/>
            </c:ext>
          </c:extLst>
        </c:ser>
        <c:ser>
          <c:idx val="2"/>
          <c:order val="1"/>
          <c:tx>
            <c:strRef>
              <c:f>'GWP-GIB (Final)'!$AI$6</c:f>
              <c:strCache>
                <c:ptCount val="1"/>
                <c:pt idx="0">
                  <c:v>2009</c:v>
                </c:pt>
              </c:strCache>
            </c:strRef>
          </c:tx>
          <c:invertIfNegative val="0"/>
          <c:cat>
            <c:strRef>
              <c:f>'GWP-GIB (Final)'!$AF$9:$AF$14</c:f>
              <c:strCache>
                <c:ptCount val="6"/>
                <c:pt idx="0">
                  <c:v> SLIC </c:v>
                </c:pt>
                <c:pt idx="1">
                  <c:v> Ceylinco </c:v>
                </c:pt>
                <c:pt idx="2">
                  <c:v> Janashakthi </c:v>
                </c:pt>
                <c:pt idx="3">
                  <c:v> UAL </c:v>
                </c:pt>
                <c:pt idx="4">
                  <c:v>People’s</c:v>
                </c:pt>
                <c:pt idx="5">
                  <c:v>Others</c:v>
                </c:pt>
              </c:strCache>
            </c:strRef>
          </c:cat>
          <c:val>
            <c:numRef>
              <c:f>'GWP-GIB (Final)'!$AI$9:$AI$14</c:f>
              <c:numCache>
                <c:formatCode>_(* #,##0.00_);_(* \(#,##0.00\);_(* "-"??_);_(@_)</c:formatCode>
                <c:ptCount val="6"/>
                <c:pt idx="0">
                  <c:v>26.125161477942022</c:v>
                </c:pt>
                <c:pt idx="1">
                  <c:v>27.069347892365574</c:v>
                </c:pt>
                <c:pt idx="2">
                  <c:v>12.736652089710759</c:v>
                </c:pt>
                <c:pt idx="3">
                  <c:v>9.568950802056186</c:v>
                </c:pt>
                <c:pt idx="4">
                  <c:v>0</c:v>
                </c:pt>
                <c:pt idx="5">
                  <c:v>24.499887737925462</c:v>
                </c:pt>
              </c:numCache>
            </c:numRef>
          </c:val>
          <c:extLst>
            <c:ext xmlns:c16="http://schemas.microsoft.com/office/drawing/2014/chart" uri="{C3380CC4-5D6E-409C-BE32-E72D297353CC}">
              <c16:uniqueId val="{00000001-149F-4BCF-B4E2-CBF2A5973BEF}"/>
            </c:ext>
          </c:extLst>
        </c:ser>
        <c:ser>
          <c:idx val="3"/>
          <c:order val="2"/>
          <c:tx>
            <c:strRef>
              <c:f>'GWP-GIB (Final)'!$AJ$6</c:f>
              <c:strCache>
                <c:ptCount val="1"/>
                <c:pt idx="0">
                  <c:v>2010</c:v>
                </c:pt>
              </c:strCache>
            </c:strRef>
          </c:tx>
          <c:invertIfNegative val="0"/>
          <c:cat>
            <c:strRef>
              <c:f>'GWP-GIB (Final)'!$AF$9:$AF$14</c:f>
              <c:strCache>
                <c:ptCount val="6"/>
                <c:pt idx="0">
                  <c:v> SLIC </c:v>
                </c:pt>
                <c:pt idx="1">
                  <c:v> Ceylinco </c:v>
                </c:pt>
                <c:pt idx="2">
                  <c:v> Janashakthi </c:v>
                </c:pt>
                <c:pt idx="3">
                  <c:v> UAL </c:v>
                </c:pt>
                <c:pt idx="4">
                  <c:v>People’s</c:v>
                </c:pt>
                <c:pt idx="5">
                  <c:v>Others</c:v>
                </c:pt>
              </c:strCache>
            </c:strRef>
          </c:cat>
          <c:val>
            <c:numRef>
              <c:f>'GWP-GIB (Final)'!$AJ$9:$AJ$14</c:f>
              <c:numCache>
                <c:formatCode>_(* #,##0.00_);_(* \(#,##0.00\);_(* "-"??_);_(@_)</c:formatCode>
                <c:ptCount val="6"/>
                <c:pt idx="0">
                  <c:v>24.973406113159534</c:v>
                </c:pt>
                <c:pt idx="1">
                  <c:v>24.854508095785729</c:v>
                </c:pt>
                <c:pt idx="2">
                  <c:v>12.319063964359856</c:v>
                </c:pt>
                <c:pt idx="3">
                  <c:v>9.7825889534941268</c:v>
                </c:pt>
                <c:pt idx="4">
                  <c:v>2.4231882616547726</c:v>
                </c:pt>
                <c:pt idx="5">
                  <c:v>25.647244611545986</c:v>
                </c:pt>
              </c:numCache>
            </c:numRef>
          </c:val>
          <c:extLst>
            <c:ext xmlns:c16="http://schemas.microsoft.com/office/drawing/2014/chart" uri="{C3380CC4-5D6E-409C-BE32-E72D297353CC}">
              <c16:uniqueId val="{00000002-149F-4BCF-B4E2-CBF2A5973BEF}"/>
            </c:ext>
          </c:extLst>
        </c:ser>
        <c:ser>
          <c:idx val="4"/>
          <c:order val="3"/>
          <c:tx>
            <c:strRef>
              <c:f>'GWP-GIB (Final)'!$AK$6</c:f>
              <c:strCache>
                <c:ptCount val="1"/>
                <c:pt idx="0">
                  <c:v>2011</c:v>
                </c:pt>
              </c:strCache>
            </c:strRef>
          </c:tx>
          <c:invertIfNegative val="0"/>
          <c:cat>
            <c:strRef>
              <c:f>'GWP-GIB (Final)'!$AF$9:$AF$14</c:f>
              <c:strCache>
                <c:ptCount val="6"/>
                <c:pt idx="0">
                  <c:v> SLIC </c:v>
                </c:pt>
                <c:pt idx="1">
                  <c:v> Ceylinco </c:v>
                </c:pt>
                <c:pt idx="2">
                  <c:v> Janashakthi </c:v>
                </c:pt>
                <c:pt idx="3">
                  <c:v> UAL </c:v>
                </c:pt>
                <c:pt idx="4">
                  <c:v>People’s</c:v>
                </c:pt>
                <c:pt idx="5">
                  <c:v>Others</c:v>
                </c:pt>
              </c:strCache>
            </c:strRef>
          </c:cat>
          <c:val>
            <c:numRef>
              <c:f>'GWP-GIB (Final)'!$AK$9:$AK$14</c:f>
              <c:numCache>
                <c:formatCode>_(* #,##0.00_);_(* \(#,##0.00\);_(* "-"??_);_(@_)</c:formatCode>
                <c:ptCount val="6"/>
                <c:pt idx="0">
                  <c:v>25.697865327630709</c:v>
                </c:pt>
                <c:pt idx="1">
                  <c:v>22.061392818688212</c:v>
                </c:pt>
                <c:pt idx="2">
                  <c:v>11.738623325314268</c:v>
                </c:pt>
                <c:pt idx="3">
                  <c:v>9.3596884262375379</c:v>
                </c:pt>
                <c:pt idx="4">
                  <c:v>5.2726517937793824</c:v>
                </c:pt>
                <c:pt idx="5">
                  <c:v>25.869778308349879</c:v>
                </c:pt>
              </c:numCache>
            </c:numRef>
          </c:val>
          <c:extLst>
            <c:ext xmlns:c16="http://schemas.microsoft.com/office/drawing/2014/chart" uri="{C3380CC4-5D6E-409C-BE32-E72D297353CC}">
              <c16:uniqueId val="{00000003-149F-4BCF-B4E2-CBF2A5973BEF}"/>
            </c:ext>
          </c:extLst>
        </c:ser>
        <c:ser>
          <c:idx val="5"/>
          <c:order val="4"/>
          <c:tx>
            <c:strRef>
              <c:f>'GWP-GIB (Final)'!$AL$6</c:f>
              <c:strCache>
                <c:ptCount val="1"/>
                <c:pt idx="0">
                  <c:v>2012(a)</c:v>
                </c:pt>
              </c:strCache>
            </c:strRef>
          </c:tx>
          <c:invertIfNegative val="0"/>
          <c:cat>
            <c:strRef>
              <c:f>'GWP-GIB (Final)'!$AF$9:$AF$14</c:f>
              <c:strCache>
                <c:ptCount val="6"/>
                <c:pt idx="0">
                  <c:v> SLIC </c:v>
                </c:pt>
                <c:pt idx="1">
                  <c:v> Ceylinco </c:v>
                </c:pt>
                <c:pt idx="2">
                  <c:v> Janashakthi </c:v>
                </c:pt>
                <c:pt idx="3">
                  <c:v> UAL </c:v>
                </c:pt>
                <c:pt idx="4">
                  <c:v>People’s</c:v>
                </c:pt>
                <c:pt idx="5">
                  <c:v>Others</c:v>
                </c:pt>
              </c:strCache>
            </c:strRef>
          </c:cat>
          <c:val>
            <c:numRef>
              <c:f>'GWP-GIB (Final)'!$AL$9:$AL$14</c:f>
              <c:numCache>
                <c:formatCode>_(* #,##0.00_);_(* \(#,##0.00\);_(* "-"??_);_(@_)</c:formatCode>
                <c:ptCount val="6"/>
                <c:pt idx="0">
                  <c:v>24.870358217808686</c:v>
                </c:pt>
                <c:pt idx="1">
                  <c:v>20.998154258801137</c:v>
                </c:pt>
                <c:pt idx="2">
                  <c:v>11.617856010272879</c:v>
                </c:pt>
                <c:pt idx="3">
                  <c:v>8.9266542061999612</c:v>
                </c:pt>
                <c:pt idx="4">
                  <c:v>5.6252717641712708</c:v>
                </c:pt>
                <c:pt idx="5">
                  <c:v>27.96170554274606</c:v>
                </c:pt>
              </c:numCache>
            </c:numRef>
          </c:val>
          <c:extLst>
            <c:ext xmlns:c16="http://schemas.microsoft.com/office/drawing/2014/chart" uri="{C3380CC4-5D6E-409C-BE32-E72D297353CC}">
              <c16:uniqueId val="{00000004-149F-4BCF-B4E2-CBF2A5973BEF}"/>
            </c:ext>
          </c:extLst>
        </c:ser>
        <c:ser>
          <c:idx val="1"/>
          <c:order val="5"/>
          <c:tx>
            <c:strRef>
              <c:f>'GWP-GIB (Final)'!$AM$6</c:f>
              <c:strCache>
                <c:ptCount val="1"/>
                <c:pt idx="0">
                  <c:v>2013(b)</c:v>
                </c:pt>
              </c:strCache>
            </c:strRef>
          </c:tx>
          <c:invertIfNegative val="0"/>
          <c:cat>
            <c:strRef>
              <c:f>'GWP-GIB (Final)'!$AF$9:$AF$14</c:f>
              <c:strCache>
                <c:ptCount val="6"/>
                <c:pt idx="0">
                  <c:v> SLIC </c:v>
                </c:pt>
                <c:pt idx="1">
                  <c:v> Ceylinco </c:v>
                </c:pt>
                <c:pt idx="2">
                  <c:v> Janashakthi </c:v>
                </c:pt>
                <c:pt idx="3">
                  <c:v> UAL </c:v>
                </c:pt>
                <c:pt idx="4">
                  <c:v>People’s</c:v>
                </c:pt>
                <c:pt idx="5">
                  <c:v>Others</c:v>
                </c:pt>
              </c:strCache>
            </c:strRef>
          </c:cat>
          <c:val>
            <c:numRef>
              <c:f>'GWP-GIB (Final)'!$AM$9:$AM$14</c:f>
              <c:numCache>
                <c:formatCode>_(* #,##0.00_);_(* \(#,##0.00\);_(* "-"??_);_(@_)</c:formatCode>
                <c:ptCount val="6"/>
                <c:pt idx="0">
                  <c:v>24.043452689902782</c:v>
                </c:pt>
                <c:pt idx="1">
                  <c:v>19.39073546210334</c:v>
                </c:pt>
                <c:pt idx="2">
                  <c:v>11.927156868505543</c:v>
                </c:pt>
                <c:pt idx="3">
                  <c:v>9.6224540846708955</c:v>
                </c:pt>
                <c:pt idx="4">
                  <c:v>5.8014196030296876</c:v>
                </c:pt>
                <c:pt idx="5">
                  <c:v>29.214781291787759</c:v>
                </c:pt>
              </c:numCache>
            </c:numRef>
          </c:val>
          <c:extLst>
            <c:ext xmlns:c16="http://schemas.microsoft.com/office/drawing/2014/chart" uri="{C3380CC4-5D6E-409C-BE32-E72D297353CC}">
              <c16:uniqueId val="{00000005-149F-4BCF-B4E2-CBF2A5973BEF}"/>
            </c:ext>
          </c:extLst>
        </c:ser>
        <c:dLbls>
          <c:showLegendKey val="0"/>
          <c:showVal val="0"/>
          <c:showCatName val="0"/>
          <c:showSerName val="0"/>
          <c:showPercent val="0"/>
          <c:showBubbleSize val="0"/>
        </c:dLbls>
        <c:gapWidth val="150"/>
        <c:axId val="84395136"/>
        <c:axId val="84396672"/>
      </c:barChart>
      <c:catAx>
        <c:axId val="84395136"/>
        <c:scaling>
          <c:orientation val="minMax"/>
        </c:scaling>
        <c:delete val="0"/>
        <c:axPos val="b"/>
        <c:numFmt formatCode="General" sourceLinked="1"/>
        <c:majorTickMark val="none"/>
        <c:minorTickMark val="none"/>
        <c:tickLblPos val="nextTo"/>
        <c:txPr>
          <a:bodyPr rot="0" vert="horz"/>
          <a:lstStyle/>
          <a:p>
            <a:pPr>
              <a:defRPr/>
            </a:pPr>
            <a:endParaRPr lang="en-US"/>
          </a:p>
        </c:txPr>
        <c:crossAx val="84396672"/>
        <c:crosses val="autoZero"/>
        <c:auto val="1"/>
        <c:lblAlgn val="ctr"/>
        <c:lblOffset val="100"/>
        <c:noMultiLvlLbl val="0"/>
      </c:catAx>
      <c:valAx>
        <c:axId val="84396672"/>
        <c:scaling>
          <c:orientation val="minMax"/>
        </c:scaling>
        <c:delete val="0"/>
        <c:axPos val="l"/>
        <c:majorGridlines/>
        <c:title>
          <c:tx>
            <c:rich>
              <a:bodyPr/>
              <a:lstStyle/>
              <a:p>
                <a:pPr>
                  <a:defRPr/>
                </a:pPr>
                <a:r>
                  <a:rPr lang="en-US"/>
                  <a:t>%</a:t>
                </a:r>
              </a:p>
            </c:rich>
          </c:tx>
          <c:overlay val="0"/>
        </c:title>
        <c:numFmt formatCode="_(* #,##0.00_);_(* \(#,##0.00\);_(* &quot;-&quot;??_);_(@_)" sourceLinked="1"/>
        <c:majorTickMark val="none"/>
        <c:minorTickMark val="none"/>
        <c:tickLblPos val="nextTo"/>
        <c:txPr>
          <a:bodyPr rot="0" vert="horz"/>
          <a:lstStyle/>
          <a:p>
            <a:pPr>
              <a:defRPr/>
            </a:pPr>
            <a:endParaRPr lang="en-US"/>
          </a:p>
        </c:txPr>
        <c:crossAx val="84395136"/>
        <c:crosses val="autoZero"/>
        <c:crossBetween val="between"/>
      </c:valAx>
      <c:dTable>
        <c:showHorzBorder val="1"/>
        <c:showVertBorder val="1"/>
        <c:showOutline val="1"/>
        <c:showKeys val="1"/>
      </c:dTable>
      <c:spPr>
        <a:noFill/>
      </c:spPr>
    </c:plotArea>
    <c:plotVisOnly val="1"/>
    <c:dispBlanksAs val="gap"/>
    <c:showDLblsOverMax val="0"/>
  </c:chart>
  <c:spPr>
    <a:noFill/>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a:latin typeface="Tahoma" pitchFamily="34" charset="0"/>
                <a:ea typeface="Tahoma" pitchFamily="34" charset="0"/>
                <a:cs typeface="Tahoma" pitchFamily="34" charset="0"/>
              </a:defRPr>
            </a:pPr>
            <a:r>
              <a:rPr lang="en-US" sz="1000" b="1" i="0" baseline="0">
                <a:latin typeface="Tahoma" pitchFamily="34" charset="0"/>
                <a:ea typeface="Tahoma" pitchFamily="34" charset="0"/>
                <a:cs typeface="Tahoma" pitchFamily="34" charset="0"/>
              </a:rPr>
              <a:t>Company-wise Market Share of Gross Written Premium - General Insurance Business - 2013</a:t>
            </a:r>
          </a:p>
        </c:rich>
      </c:tx>
      <c:layout>
        <c:manualLayout>
          <c:xMode val="edge"/>
          <c:yMode val="edge"/>
          <c:x val="0.13047161787703371"/>
          <c:y val="0"/>
        </c:manualLayout>
      </c:layout>
      <c:overlay val="0"/>
    </c:title>
    <c:autoTitleDeleted val="0"/>
    <c:plotArea>
      <c:layout>
        <c:manualLayout>
          <c:layoutTarget val="inner"/>
          <c:xMode val="edge"/>
          <c:yMode val="edge"/>
          <c:x val="0.31613388070081438"/>
          <c:y val="0.35418166102733756"/>
          <c:w val="0.37073879783718638"/>
          <c:h val="0.45151765785374387"/>
        </c:manualLayout>
      </c:layout>
      <c:pieChart>
        <c:varyColors val="1"/>
        <c:ser>
          <c:idx val="0"/>
          <c:order val="0"/>
          <c:tx>
            <c:strRef>
              <c:f>'GWP-GIB (Final)'!$R$6:$R$7</c:f>
              <c:strCache>
                <c:ptCount val="2"/>
                <c:pt idx="0">
                  <c:v>Market Share</c:v>
                </c:pt>
                <c:pt idx="1">
                  <c:v>(%)</c:v>
                </c:pt>
              </c:strCache>
            </c:strRef>
          </c:tx>
          <c:dLbls>
            <c:dLbl>
              <c:idx val="0"/>
              <c:layout>
                <c:manualLayout>
                  <c:x val="-6.1356944115891134E-2"/>
                  <c:y val="-0.12999230517873225"/>
                </c:manualLayout>
              </c:layout>
              <c:numFmt formatCode="0.00%" sourceLinked="0"/>
              <c:spPr/>
              <c:txPr>
                <a:bodyPr/>
                <a:lstStyle/>
                <a:p>
                  <a:pPr>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34A8-48E6-8BE3-3A0A66E4B0B3}"/>
                </c:ext>
              </c:extLst>
            </c:dLbl>
            <c:dLbl>
              <c:idx val="1"/>
              <c:layout>
                <c:manualLayout>
                  <c:x val="3.0265058069458055E-2"/>
                  <c:y val="-0.12764612254793894"/>
                </c:manualLayout>
              </c:layout>
              <c:numFmt formatCode="0.00%" sourceLinked="0"/>
              <c:spPr/>
              <c:txPr>
                <a:bodyPr/>
                <a:lstStyle/>
                <a:p>
                  <a:pPr>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34A8-48E6-8BE3-3A0A66E4B0B3}"/>
                </c:ext>
              </c:extLst>
            </c:dLbl>
            <c:dLbl>
              <c:idx val="2"/>
              <c:layout>
                <c:manualLayout>
                  <c:x val="0.1327074673605714"/>
                  <c:y val="-0.1454831399087162"/>
                </c:manualLayout>
              </c:layout>
              <c:numFmt formatCode="0.00%" sourceLinked="0"/>
              <c:spPr/>
              <c:txPr>
                <a:bodyPr/>
                <a:lstStyle/>
                <a:p>
                  <a:pPr>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34A8-48E6-8BE3-3A0A66E4B0B3}"/>
                </c:ext>
              </c:extLst>
            </c:dLbl>
            <c:dLbl>
              <c:idx val="3"/>
              <c:layout>
                <c:manualLayout>
                  <c:x val="0.14709592631393179"/>
                  <c:y val="-4.9523237306180523E-2"/>
                </c:manualLayout>
              </c:layout>
              <c:numFmt formatCode="0.00%" sourceLinked="0"/>
              <c:spPr/>
              <c:txPr>
                <a:bodyPr/>
                <a:lstStyle/>
                <a:p>
                  <a:pPr>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34A8-48E6-8BE3-3A0A66E4B0B3}"/>
                </c:ext>
              </c:extLst>
            </c:dLbl>
            <c:dLbl>
              <c:idx val="4"/>
              <c:layout>
                <c:manualLayout>
                  <c:x val="0.18550219849130237"/>
                  <c:y val="4.2148225447722683E-2"/>
                </c:manualLayout>
              </c:layout>
              <c:numFmt formatCode="0.00%" sourceLinked="0"/>
              <c:spPr/>
              <c:txPr>
                <a:bodyPr/>
                <a:lstStyle/>
                <a:p>
                  <a:pPr>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34A8-48E6-8BE3-3A0A66E4B0B3}"/>
                </c:ext>
              </c:extLst>
            </c:dLbl>
            <c:dLbl>
              <c:idx val="5"/>
              <c:layout>
                <c:manualLayout>
                  <c:x val="0.1312857137493007"/>
                  <c:y val="0.13207833960513971"/>
                </c:manualLayout>
              </c:layout>
              <c:numFmt formatCode="0.00%" sourceLinked="0"/>
              <c:spPr/>
              <c:txPr>
                <a:bodyPr/>
                <a:lstStyle/>
                <a:p>
                  <a:pPr>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34A8-48E6-8BE3-3A0A66E4B0B3}"/>
                </c:ext>
              </c:extLst>
            </c:dLbl>
            <c:dLbl>
              <c:idx val="6"/>
              <c:layout>
                <c:manualLayout>
                  <c:x val="0.12062406362294842"/>
                  <c:y val="6.8708429518599332E-2"/>
                </c:manualLayout>
              </c:layout>
              <c:numFmt formatCode="0.00%" sourceLinked="0"/>
              <c:spPr/>
              <c:txPr>
                <a:bodyPr/>
                <a:lstStyle/>
                <a:p>
                  <a:pPr>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6-34A8-48E6-8BE3-3A0A66E4B0B3}"/>
                </c:ext>
              </c:extLst>
            </c:dLbl>
            <c:dLbl>
              <c:idx val="7"/>
              <c:layout>
                <c:manualLayout>
                  <c:x val="0.11819594743171302"/>
                  <c:y val="0.13421370521455867"/>
                </c:manualLayout>
              </c:layout>
              <c:numFmt formatCode="0.00%" sourceLinked="0"/>
              <c:spPr/>
              <c:txPr>
                <a:bodyPr/>
                <a:lstStyle/>
                <a:p>
                  <a:pPr>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34A8-48E6-8BE3-3A0A66E4B0B3}"/>
                </c:ext>
              </c:extLst>
            </c:dLbl>
            <c:dLbl>
              <c:idx val="8"/>
              <c:delete val="1"/>
              <c:extLst>
                <c:ext xmlns:c15="http://schemas.microsoft.com/office/drawing/2012/chart" uri="{CE6537A1-D6FC-4f65-9D91-7224C49458BB}"/>
                <c:ext xmlns:c16="http://schemas.microsoft.com/office/drawing/2014/chart" uri="{C3380CC4-5D6E-409C-BE32-E72D297353CC}">
                  <c16:uniqueId val="{00000008-34A8-48E6-8BE3-3A0A66E4B0B3}"/>
                </c:ext>
              </c:extLst>
            </c:dLbl>
            <c:dLbl>
              <c:idx val="9"/>
              <c:layout>
                <c:manualLayout>
                  <c:x val="7.3846777736473926E-2"/>
                  <c:y val="0.10629162318566639"/>
                </c:manualLayout>
              </c:layout>
              <c:numFmt formatCode="0.00%" sourceLinked="0"/>
              <c:spPr/>
              <c:txPr>
                <a:bodyPr/>
                <a:lstStyle/>
                <a:p>
                  <a:pPr>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34A8-48E6-8BE3-3A0A66E4B0B3}"/>
                </c:ext>
              </c:extLst>
            </c:dLbl>
            <c:dLbl>
              <c:idx val="10"/>
              <c:layout>
                <c:manualLayout>
                  <c:x val="1.8879056047197643E-2"/>
                  <c:y val="8.9979550102249548E-2"/>
                </c:manualLayout>
              </c:layout>
              <c:numFmt formatCode="0.00%" sourceLinked="0"/>
              <c:spPr/>
              <c:txPr>
                <a:bodyPr/>
                <a:lstStyle/>
                <a:p>
                  <a:pPr>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A-34A8-48E6-8BE3-3A0A66E4B0B3}"/>
                </c:ext>
              </c:extLst>
            </c:dLbl>
            <c:dLbl>
              <c:idx val="11"/>
              <c:layout>
                <c:manualLayout>
                  <c:x val="-1.7848820399596461E-2"/>
                  <c:y val="9.5276012185224065E-2"/>
                </c:manualLayout>
              </c:layout>
              <c:numFmt formatCode="0.00%" sourceLinked="0"/>
              <c:spPr/>
              <c:txPr>
                <a:bodyPr/>
                <a:lstStyle/>
                <a:p>
                  <a:pPr>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B-34A8-48E6-8BE3-3A0A66E4B0B3}"/>
                </c:ext>
              </c:extLst>
            </c:dLbl>
            <c:dLbl>
              <c:idx val="12"/>
              <c:layout>
                <c:manualLayout>
                  <c:x val="-0.10180077275748479"/>
                  <c:y val="8.7354140973343264E-2"/>
                </c:manualLayout>
              </c:layout>
              <c:numFmt formatCode="0.00%" sourceLinked="0"/>
              <c:spPr/>
              <c:txPr>
                <a:bodyPr/>
                <a:lstStyle/>
                <a:p>
                  <a:pPr>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C-34A8-48E6-8BE3-3A0A66E4B0B3}"/>
                </c:ext>
              </c:extLst>
            </c:dLbl>
            <c:dLbl>
              <c:idx val="13"/>
              <c:layout>
                <c:manualLayout>
                  <c:x val="-0.18754286555303712"/>
                  <c:y val="2.4419093954719091E-2"/>
                </c:manualLayout>
              </c:layout>
              <c:numFmt formatCode="0.00%" sourceLinked="0"/>
              <c:spPr/>
              <c:txPr>
                <a:bodyPr/>
                <a:lstStyle/>
                <a:p>
                  <a:pPr>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D-34A8-48E6-8BE3-3A0A66E4B0B3}"/>
                </c:ext>
              </c:extLst>
            </c:dLbl>
            <c:dLbl>
              <c:idx val="14"/>
              <c:layout>
                <c:manualLayout>
                  <c:x val="-0.14730205453291731"/>
                  <c:y val="-3.3108422422806906E-2"/>
                </c:manualLayout>
              </c:layout>
              <c:numFmt formatCode="0.00%" sourceLinked="0"/>
              <c:spPr/>
              <c:txPr>
                <a:bodyPr/>
                <a:lstStyle/>
                <a:p>
                  <a:pPr>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E-34A8-48E6-8BE3-3A0A66E4B0B3}"/>
                </c:ext>
              </c:extLst>
            </c:dLbl>
            <c:dLbl>
              <c:idx val="15"/>
              <c:layout>
                <c:manualLayout>
                  <c:x val="-0.1569361049120348"/>
                  <c:y val="-0.12512454015537214"/>
                </c:manualLayout>
              </c:layout>
              <c:numFmt formatCode="0.00%" sourceLinked="0"/>
              <c:spPr/>
              <c:txPr>
                <a:bodyPr/>
                <a:lstStyle/>
                <a:p>
                  <a:pPr>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F-34A8-48E6-8BE3-3A0A66E4B0B3}"/>
                </c:ext>
              </c:extLst>
            </c:dLbl>
            <c:dLbl>
              <c:idx val="16"/>
              <c:layout>
                <c:manualLayout>
                  <c:x val="-0.12194413466557023"/>
                  <c:y val="-6.5883059798248114E-2"/>
                </c:manualLayout>
              </c:layout>
              <c:numFmt formatCode="0.00%" sourceLinked="0"/>
              <c:spPr/>
              <c:txPr>
                <a:bodyPr/>
                <a:lstStyle/>
                <a:p>
                  <a:pPr>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0-34A8-48E6-8BE3-3A0A66E4B0B3}"/>
                </c:ext>
              </c:extLst>
            </c:dLbl>
            <c:dLbl>
              <c:idx val="17"/>
              <c:layout>
                <c:manualLayout>
                  <c:x val="-0.10206241387208573"/>
                  <c:y val="-0.11923368012733362"/>
                </c:manualLayout>
              </c:layout>
              <c:numFmt formatCode="0.00%" sourceLinked="0"/>
              <c:spPr/>
              <c:txPr>
                <a:bodyPr/>
                <a:lstStyle/>
                <a:p>
                  <a:pPr>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1-34A8-48E6-8BE3-3A0A66E4B0B3}"/>
                </c:ext>
              </c:extLst>
            </c:dLbl>
            <c:numFmt formatCode="0.00%" sourceLinked="0"/>
            <c:spPr>
              <a:noFill/>
              <a:ln>
                <a:noFill/>
              </a:ln>
              <a:effectLst/>
            </c:spPr>
            <c:dLblPos val="outEnd"/>
            <c:showLegendKey val="0"/>
            <c:showVal val="0"/>
            <c:showCatName val="1"/>
            <c:showSerName val="0"/>
            <c:showPercent val="1"/>
            <c:showBubbleSize val="0"/>
            <c:showLeaderLines val="1"/>
            <c:extLst>
              <c:ext xmlns:c15="http://schemas.microsoft.com/office/drawing/2012/chart" uri="{CE6537A1-D6FC-4f65-9D91-7224C49458BB}"/>
            </c:extLst>
          </c:dLbls>
          <c:cat>
            <c:strRef>
              <c:f>'GWP-GIB (Final)'!$F$8:$F$25</c:f>
              <c:strCache>
                <c:ptCount val="18"/>
                <c:pt idx="0">
                  <c:v>AIA</c:v>
                </c:pt>
                <c:pt idx="1">
                  <c:v>AIG</c:v>
                </c:pt>
                <c:pt idx="2">
                  <c:v>Allianz Gen.</c:v>
                </c:pt>
                <c:pt idx="3">
                  <c:v>Amana Takaful</c:v>
                </c:pt>
                <c:pt idx="4">
                  <c:v>Asian Alliance</c:v>
                </c:pt>
                <c:pt idx="5">
                  <c:v>Ceylinco</c:v>
                </c:pt>
                <c:pt idx="6">
                  <c:v>Ceylinco Takaful</c:v>
                </c:pt>
                <c:pt idx="7">
                  <c:v>Continental</c:v>
                </c:pt>
                <c:pt idx="8">
                  <c:v>Cooperative</c:v>
                </c:pt>
                <c:pt idx="9">
                  <c:v>HNBA</c:v>
                </c:pt>
                <c:pt idx="10">
                  <c:v>Janashakthi</c:v>
                </c:pt>
                <c:pt idx="11">
                  <c:v>LOLC</c:v>
                </c:pt>
                <c:pt idx="12">
                  <c:v>MBSL</c:v>
                </c:pt>
                <c:pt idx="13">
                  <c:v>Orient</c:v>
                </c:pt>
                <c:pt idx="14">
                  <c:v>People’s</c:v>
                </c:pt>
                <c:pt idx="15">
                  <c:v>Sanasa</c:v>
                </c:pt>
                <c:pt idx="16">
                  <c:v>SLIC</c:v>
                </c:pt>
                <c:pt idx="17">
                  <c:v>UAL</c:v>
                </c:pt>
              </c:strCache>
            </c:strRef>
          </c:cat>
          <c:val>
            <c:numRef>
              <c:f>'GWP-GIB (Final)'!$R$8:$R$25</c:f>
              <c:numCache>
                <c:formatCode>0.00</c:formatCode>
                <c:ptCount val="18"/>
                <c:pt idx="0">
                  <c:v>4.5671232565006044</c:v>
                </c:pt>
                <c:pt idx="1">
                  <c:v>1.6549521428612441</c:v>
                </c:pt>
                <c:pt idx="2">
                  <c:v>3.6950080257018154</c:v>
                </c:pt>
                <c:pt idx="3">
                  <c:v>2.3175907080738849</c:v>
                </c:pt>
                <c:pt idx="4">
                  <c:v>2.5888033820417804</c:v>
                </c:pt>
                <c:pt idx="5">
                  <c:v>19.39073546210334</c:v>
                </c:pt>
                <c:pt idx="6" formatCode="_(* #,##0.00_);_(* \(#,##0.00\);_(* &quot;-&quot;??_);_(@_)">
                  <c:v>0</c:v>
                </c:pt>
                <c:pt idx="7">
                  <c:v>2.5020325021795076</c:v>
                </c:pt>
                <c:pt idx="8">
                  <c:v>2.3937659888697471</c:v>
                </c:pt>
                <c:pt idx="9">
                  <c:v>3.3235221082151267</c:v>
                </c:pt>
                <c:pt idx="10">
                  <c:v>11.927156868505543</c:v>
                </c:pt>
                <c:pt idx="11">
                  <c:v>2.7935217720892358</c:v>
                </c:pt>
                <c:pt idx="12">
                  <c:v>2.1042473994034472</c:v>
                </c:pt>
                <c:pt idx="13">
                  <c:v>0.66758012383729193</c:v>
                </c:pt>
                <c:pt idx="14">
                  <c:v>5.8014196030296876</c:v>
                </c:pt>
                <c:pt idx="15">
                  <c:v>0.60663388201405732</c:v>
                </c:pt>
                <c:pt idx="16">
                  <c:v>24.043452689902782</c:v>
                </c:pt>
                <c:pt idx="17">
                  <c:v>9.6224540846708955</c:v>
                </c:pt>
              </c:numCache>
            </c:numRef>
          </c:val>
          <c:extLst>
            <c:ext xmlns:c16="http://schemas.microsoft.com/office/drawing/2014/chart" uri="{C3380CC4-5D6E-409C-BE32-E72D297353CC}">
              <c16:uniqueId val="{00000012-34A8-48E6-8BE3-3A0A66E4B0B3}"/>
            </c:ext>
          </c:extLst>
        </c:ser>
        <c:dLbls>
          <c:showLegendKey val="0"/>
          <c:showVal val="0"/>
          <c:showCatName val="1"/>
          <c:showSerName val="0"/>
          <c:showPercent val="0"/>
          <c:showBubbleSize val="0"/>
          <c:showLeaderLines val="1"/>
        </c:dLbls>
        <c:firstSliceAng val="0"/>
      </c:pieChart>
      <c:spPr>
        <a:noFill/>
      </c:spPr>
    </c:plotArea>
    <c:plotVisOnly val="1"/>
    <c:dispBlanksAs val="zero"/>
    <c:showDLblsOverMax val="0"/>
  </c:chart>
  <c:spPr>
    <a:noFill/>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chart" Target="../charts/chart13.xml"/><Relationship Id="rId1" Type="http://schemas.openxmlformats.org/officeDocument/2006/relationships/chart" Target="../charts/chart12.xml"/></Relationships>
</file>

<file path=xl/drawings/_rels/drawing11.xml.rels><?xml version="1.0" encoding="UTF-8" standalone="yes"?>
<Relationships xmlns="http://schemas.openxmlformats.org/package/2006/relationships"><Relationship Id="rId2" Type="http://schemas.openxmlformats.org/officeDocument/2006/relationships/chart" Target="../charts/chart15.xml"/><Relationship Id="rId1" Type="http://schemas.openxmlformats.org/officeDocument/2006/relationships/chart" Target="../charts/chart14.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18.xml"/><Relationship Id="rId1" Type="http://schemas.openxmlformats.org/officeDocument/2006/relationships/chart" Target="../charts/chart17.xml"/></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_rels/drawing7.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 Id="rId5" Type="http://schemas.openxmlformats.org/officeDocument/2006/relationships/chart" Target="../charts/chart10.xml"/><Relationship Id="rId4" Type="http://schemas.openxmlformats.org/officeDocument/2006/relationships/chart" Target="../charts/chart9.xml"/></Relationships>
</file>

<file path=xl/drawings/_rels/drawing9.xml.rels><?xml version="1.0" encoding="UTF-8" standalone="yes"?>
<Relationships xmlns="http://schemas.openxmlformats.org/package/2006/relationships"><Relationship Id="rId1" Type="http://schemas.openxmlformats.org/officeDocument/2006/relationships/chart" Target="../charts/chart11.xml"/></Relationships>
</file>

<file path=xl/drawings/drawing1.xml><?xml version="1.0" encoding="utf-8"?>
<xdr:wsDr xmlns:xdr="http://schemas.openxmlformats.org/drawingml/2006/spreadsheetDrawing" xmlns:a="http://schemas.openxmlformats.org/drawingml/2006/main">
  <xdr:oneCellAnchor>
    <xdr:from>
      <xdr:col>8</xdr:col>
      <xdr:colOff>295275</xdr:colOff>
      <xdr:row>33</xdr:row>
      <xdr:rowOff>47624</xdr:rowOff>
    </xdr:from>
    <xdr:ext cx="1314449" cy="942975"/>
    <xdr:pic>
      <xdr:nvPicPr>
        <xdr:cNvPr id="2" name="Picture 1" descr="C:\Users\ravindra\Desktop\Logo IRCOS-02.jpg">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72075" y="6334124"/>
          <a:ext cx="1314449" cy="942975"/>
        </a:xfrm>
        <a:prstGeom prst="rect">
          <a:avLst/>
        </a:prstGeom>
        <a:noFill/>
        <a:ln>
          <a:noFill/>
        </a:ln>
      </xdr:spPr>
    </xdr:pic>
    <xdr:clientData/>
  </xdr:oneCellAnchor>
  <xdr:twoCellAnchor>
    <xdr:from>
      <xdr:col>1</xdr:col>
      <xdr:colOff>214746</xdr:colOff>
      <xdr:row>5</xdr:row>
      <xdr:rowOff>159327</xdr:rowOff>
    </xdr:from>
    <xdr:to>
      <xdr:col>12</xdr:col>
      <xdr:colOff>224444</xdr:colOff>
      <xdr:row>15</xdr:row>
      <xdr:rowOff>27016</xdr:rowOff>
    </xdr:to>
    <xdr:sp macro="" textlink="">
      <xdr:nvSpPr>
        <xdr:cNvPr id="5" name="Text Box 1">
          <a:extLst>
            <a:ext uri="{FF2B5EF4-FFF2-40B4-BE49-F238E27FC236}">
              <a16:creationId xmlns:a16="http://schemas.microsoft.com/office/drawing/2014/main" id="{00000000-0008-0000-0000-000005000000}"/>
            </a:ext>
          </a:extLst>
        </xdr:cNvPr>
        <xdr:cNvSpPr txBox="1"/>
      </xdr:nvSpPr>
      <xdr:spPr>
        <a:xfrm>
          <a:off x="429491" y="1059872"/>
          <a:ext cx="6278880" cy="1668780"/>
        </a:xfrm>
        <a:prstGeom prst="rect">
          <a:avLst/>
        </a:prstGeom>
        <a:noFill/>
        <a:ln>
          <a:noFill/>
        </a:ln>
      </xdr:spPr>
      <xdr:txBody>
        <a:bodyPr rot="0" spcFirstLastPara="0" vert="horz" wrap="square" lIns="91440" tIns="45720" rIns="91440" bIns="45720" numCol="1" spcCol="0" rtlCol="0" fromWordArt="0" anchor="t" anchorCtr="0" forceAA="0" compatLnSpc="1">
          <a:prstTxWarp prst="textNoShape">
            <a:avLst/>
          </a:prstTxWarp>
          <a:noAutofit/>
          <a:scene3d>
            <a:camera prst="orthographicFront"/>
            <a:lightRig rig="threePt" dir="t"/>
          </a:scene3d>
          <a:sp3d extrusionH="57150">
            <a:bevelT w="57150" h="38100" prst="hardEdge"/>
          </a:sp3d>
        </a:bodyPr>
        <a:lstStyle/>
        <a:p>
          <a:pPr marL="0" marR="0" algn="ctr">
            <a:lnSpc>
              <a:spcPct val="107000"/>
            </a:lnSpc>
            <a:spcBef>
              <a:spcPts val="0"/>
            </a:spcBef>
            <a:spcAft>
              <a:spcPts val="800"/>
            </a:spcAft>
          </a:pPr>
          <a:r>
            <a:rPr lang="en-US" sz="3000" b="1">
              <a:ln>
                <a:noFill/>
              </a:ln>
              <a:solidFill>
                <a:srgbClr val="002060"/>
              </a:solidFill>
              <a:effectLst>
                <a:reflection blurRad="6350" stA="53000" endA="300" endPos="35500" dir="5400000" sy="-90000" algn="bl"/>
              </a:effectLst>
              <a:latin typeface="Times New Roman" panose="02020603050405020304" pitchFamily="18" charset="0"/>
              <a:ea typeface="Calibri" panose="020F0502020204030204" pitchFamily="34" charset="0"/>
              <a:cs typeface="Iskoola Pota" panose="02010503010101010104" pitchFamily="2" charset="0"/>
            </a:rPr>
            <a:t>INSURANCE INDUSTRY STATISTICS</a:t>
          </a:r>
          <a:endParaRPr lang="en-US" sz="1100">
            <a:solidFill>
              <a:srgbClr val="002060"/>
            </a:solidFill>
            <a:effectLst/>
            <a:latin typeface="Calibri" panose="020F0502020204030204" pitchFamily="34" charset="0"/>
            <a:ea typeface="Calibri" panose="020F0502020204030204" pitchFamily="34" charset="0"/>
            <a:cs typeface="Iskoola Pota" panose="02010503010101010104" pitchFamily="2" charset="0"/>
          </a:endParaRPr>
        </a:p>
        <a:p>
          <a:pPr marL="0" marR="0" algn="ctr">
            <a:lnSpc>
              <a:spcPct val="107000"/>
            </a:lnSpc>
            <a:spcBef>
              <a:spcPts val="0"/>
            </a:spcBef>
            <a:spcAft>
              <a:spcPts val="800"/>
            </a:spcAft>
          </a:pPr>
          <a:r>
            <a:rPr lang="en-US" sz="3000" b="1">
              <a:ln>
                <a:noFill/>
              </a:ln>
              <a:solidFill>
                <a:srgbClr val="002060"/>
              </a:solidFill>
              <a:effectLst>
                <a:reflection blurRad="6350" stA="53000" endA="300" endPos="35500" dir="5400000" sy="-90000" algn="bl"/>
              </a:effectLst>
              <a:latin typeface="Times New Roman" panose="02020603050405020304" pitchFamily="18" charset="0"/>
              <a:ea typeface="Calibri" panose="020F0502020204030204" pitchFamily="34" charset="0"/>
              <a:cs typeface="Iskoola Pota" panose="02010503010101010104" pitchFamily="2" charset="0"/>
            </a:rPr>
            <a:t>YEAR 2022</a:t>
          </a:r>
          <a:endParaRPr lang="en-US" sz="1100">
            <a:solidFill>
              <a:srgbClr val="002060"/>
            </a:solidFill>
            <a:effectLst/>
            <a:latin typeface="Calibri" panose="020F0502020204030204" pitchFamily="34" charset="0"/>
            <a:ea typeface="Calibri" panose="020F0502020204030204" pitchFamily="34" charset="0"/>
            <a:cs typeface="Iskoola Pota" panose="02010503010101010104" pitchFamily="2" charset="0"/>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13</xdr:col>
      <xdr:colOff>66675</xdr:colOff>
      <xdr:row>10</xdr:row>
      <xdr:rowOff>0</xdr:rowOff>
    </xdr:from>
    <xdr:to>
      <xdr:col>22</xdr:col>
      <xdr:colOff>38100</xdr:colOff>
      <xdr:row>30</xdr:row>
      <xdr:rowOff>57150</xdr:rowOff>
    </xdr:to>
    <xdr:graphicFrame macro="">
      <xdr:nvGraphicFramePr>
        <xdr:cNvPr id="52508225" name="Chart 2">
          <a:extLst>
            <a:ext uri="{FF2B5EF4-FFF2-40B4-BE49-F238E27FC236}">
              <a16:creationId xmlns:a16="http://schemas.microsoft.com/office/drawing/2014/main" id="{00000000-0008-0000-4500-0000413621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390525</xdr:colOff>
      <xdr:row>46</xdr:row>
      <xdr:rowOff>161925</xdr:rowOff>
    </xdr:from>
    <xdr:to>
      <xdr:col>11</xdr:col>
      <xdr:colOff>676275</xdr:colOff>
      <xdr:row>75</xdr:row>
      <xdr:rowOff>95250</xdr:rowOff>
    </xdr:to>
    <xdr:graphicFrame macro="">
      <xdr:nvGraphicFramePr>
        <xdr:cNvPr id="52508226" name="Chart 2">
          <a:extLst>
            <a:ext uri="{FF2B5EF4-FFF2-40B4-BE49-F238E27FC236}">
              <a16:creationId xmlns:a16="http://schemas.microsoft.com/office/drawing/2014/main" id="{00000000-0008-0000-4500-000042362103}"/>
            </a:ext>
            <a:ext uri="{147F2762-F138-4A5C-976F-8EAC2B608ADB}">
              <a16:predDERef xmlns:a16="http://schemas.microsoft.com/office/drawing/2014/main" pred="{00000000-0008-0000-4600-0000413621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11</xdr:col>
      <xdr:colOff>428625</xdr:colOff>
      <xdr:row>28</xdr:row>
      <xdr:rowOff>76200</xdr:rowOff>
    </xdr:from>
    <xdr:to>
      <xdr:col>21</xdr:col>
      <xdr:colOff>9525</xdr:colOff>
      <xdr:row>40</xdr:row>
      <xdr:rowOff>809625</xdr:rowOff>
    </xdr:to>
    <xdr:graphicFrame macro="">
      <xdr:nvGraphicFramePr>
        <xdr:cNvPr id="2" name="Chart 1">
          <a:extLst>
            <a:ext uri="{FF2B5EF4-FFF2-40B4-BE49-F238E27FC236}">
              <a16:creationId xmlns:a16="http://schemas.microsoft.com/office/drawing/2014/main" id="{00000000-0008-0000-4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304800</xdr:colOff>
      <xdr:row>13</xdr:row>
      <xdr:rowOff>238125</xdr:rowOff>
    </xdr:from>
    <xdr:to>
      <xdr:col>19</xdr:col>
      <xdr:colOff>123825</xdr:colOff>
      <xdr:row>23</xdr:row>
      <xdr:rowOff>38101</xdr:rowOff>
    </xdr:to>
    <xdr:graphicFrame macro="">
      <xdr:nvGraphicFramePr>
        <xdr:cNvPr id="3" name="Chart 2">
          <a:extLst>
            <a:ext uri="{FF2B5EF4-FFF2-40B4-BE49-F238E27FC236}">
              <a16:creationId xmlns:a16="http://schemas.microsoft.com/office/drawing/2014/main" id="{00000000-0008-0000-4600-000003000000}"/>
            </a:ext>
            <a:ext uri="{147F2762-F138-4A5C-976F-8EAC2B608ADB}">
              <a16:predDERef xmlns:a16="http://schemas.microsoft.com/office/drawing/2014/main" pred="{00000000-0008-0000-47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2</xdr:col>
      <xdr:colOff>66675</xdr:colOff>
      <xdr:row>171</xdr:row>
      <xdr:rowOff>133350</xdr:rowOff>
    </xdr:from>
    <xdr:to>
      <xdr:col>10</xdr:col>
      <xdr:colOff>66675</xdr:colOff>
      <xdr:row>194</xdr:row>
      <xdr:rowOff>104775</xdr:rowOff>
    </xdr:to>
    <xdr:graphicFrame macro="">
      <xdr:nvGraphicFramePr>
        <xdr:cNvPr id="50288978" name="Chart 2">
          <a:extLst>
            <a:ext uri="{FF2B5EF4-FFF2-40B4-BE49-F238E27FC236}">
              <a16:creationId xmlns:a16="http://schemas.microsoft.com/office/drawing/2014/main" id="{00000000-0008-0000-4B00-00005259FF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1</xdr:col>
      <xdr:colOff>876300</xdr:colOff>
      <xdr:row>52</xdr:row>
      <xdr:rowOff>133350</xdr:rowOff>
    </xdr:from>
    <xdr:to>
      <xdr:col>10</xdr:col>
      <xdr:colOff>95250</xdr:colOff>
      <xdr:row>77</xdr:row>
      <xdr:rowOff>0</xdr:rowOff>
    </xdr:to>
    <xdr:graphicFrame macro="">
      <xdr:nvGraphicFramePr>
        <xdr:cNvPr id="2" name="Chart 1">
          <a:extLst>
            <a:ext uri="{FF2B5EF4-FFF2-40B4-BE49-F238E27FC236}">
              <a16:creationId xmlns:a16="http://schemas.microsoft.com/office/drawing/2014/main" id="{00000000-0008-0000-5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809625</xdr:colOff>
      <xdr:row>2</xdr:row>
      <xdr:rowOff>171450</xdr:rowOff>
    </xdr:from>
    <xdr:to>
      <xdr:col>21</xdr:col>
      <xdr:colOff>600075</xdr:colOff>
      <xdr:row>27</xdr:row>
      <xdr:rowOff>57150</xdr:rowOff>
    </xdr:to>
    <xdr:graphicFrame macro="">
      <xdr:nvGraphicFramePr>
        <xdr:cNvPr id="3" name="Chart 2">
          <a:extLst>
            <a:ext uri="{FF2B5EF4-FFF2-40B4-BE49-F238E27FC236}">
              <a16:creationId xmlns:a16="http://schemas.microsoft.com/office/drawing/2014/main" id="{00000000-0008-0000-5200-000003000000}"/>
            </a:ext>
            <a:ext uri="{147F2762-F138-4A5C-976F-8EAC2B608ADB}">
              <a16:predDERef xmlns:a16="http://schemas.microsoft.com/office/drawing/2014/main" pred="{00000000-0008-0000-5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4.xml><?xml version="1.0" encoding="utf-8"?>
<c:userShapes xmlns:c="http://schemas.openxmlformats.org/drawingml/2006/chart">
  <cdr:relSizeAnchor xmlns:cdr="http://schemas.openxmlformats.org/drawingml/2006/chartDrawing">
    <cdr:from>
      <cdr:x>0.94373</cdr:x>
      <cdr:y>0.37209</cdr:y>
    </cdr:from>
    <cdr:to>
      <cdr:x>0.97442</cdr:x>
      <cdr:y>0.56025</cdr:y>
    </cdr:to>
    <cdr:sp macro="" textlink="">
      <cdr:nvSpPr>
        <cdr:cNvPr id="2" name="TextBox 1"/>
        <cdr:cNvSpPr txBox="1"/>
      </cdr:nvSpPr>
      <cdr:spPr>
        <a:xfrm xmlns:a="http://schemas.openxmlformats.org/drawingml/2006/main">
          <a:off x="7029450" y="1676400"/>
          <a:ext cx="228600" cy="8477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b="1"/>
            <a:t>%</a:t>
          </a:r>
        </a:p>
      </cdr:txBody>
    </cdr:sp>
  </cdr:relSizeAnchor>
</c:userShapes>
</file>

<file path=xl/drawings/drawing2.xml><?xml version="1.0" encoding="utf-8"?>
<xdr:wsDr xmlns:xdr="http://schemas.openxmlformats.org/drawingml/2006/spreadsheetDrawing" xmlns:a="http://schemas.openxmlformats.org/drawingml/2006/main">
  <xdr:twoCellAnchor>
    <xdr:from>
      <xdr:col>2</xdr:col>
      <xdr:colOff>154305</xdr:colOff>
      <xdr:row>13</xdr:row>
      <xdr:rowOff>51435</xdr:rowOff>
    </xdr:from>
    <xdr:to>
      <xdr:col>2</xdr:col>
      <xdr:colOff>641985</xdr:colOff>
      <xdr:row>13</xdr:row>
      <xdr:rowOff>234315</xdr:rowOff>
    </xdr:to>
    <xdr:sp macro="" textlink="">
      <xdr:nvSpPr>
        <xdr:cNvPr id="2" name="Rectangle 1">
          <a:extLst>
            <a:ext uri="{FF2B5EF4-FFF2-40B4-BE49-F238E27FC236}">
              <a16:creationId xmlns:a16="http://schemas.microsoft.com/office/drawing/2014/main" id="{00000000-0008-0000-0100-000002000000}"/>
            </a:ext>
          </a:extLst>
        </xdr:cNvPr>
        <xdr:cNvSpPr/>
      </xdr:nvSpPr>
      <xdr:spPr>
        <a:xfrm>
          <a:off x="1068705" y="4585335"/>
          <a:ext cx="487680" cy="182880"/>
        </a:xfrm>
        <a:prstGeom prst="rect">
          <a:avLst/>
        </a:prstGeom>
        <a:solidFill>
          <a:srgbClr val="E2E2E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9525</xdr:colOff>
      <xdr:row>91</xdr:row>
      <xdr:rowOff>95250</xdr:rowOff>
    </xdr:from>
    <xdr:to>
      <xdr:col>16</xdr:col>
      <xdr:colOff>419100</xdr:colOff>
      <xdr:row>116</xdr:row>
      <xdr:rowOff>161925</xdr:rowOff>
    </xdr:to>
    <xdr:graphicFrame macro="">
      <xdr:nvGraphicFramePr>
        <xdr:cNvPr id="2" name="Chart 5">
          <a:extLst>
            <a:ext uri="{FF2B5EF4-FFF2-40B4-BE49-F238E27FC236}">
              <a16:creationId xmlns:a16="http://schemas.microsoft.com/office/drawing/2014/main" id="{00000000-0008-0000-2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295275</xdr:colOff>
      <xdr:row>23</xdr:row>
      <xdr:rowOff>152400</xdr:rowOff>
    </xdr:from>
    <xdr:to>
      <xdr:col>35</xdr:col>
      <xdr:colOff>438150</xdr:colOff>
      <xdr:row>48</xdr:row>
      <xdr:rowOff>104775</xdr:rowOff>
    </xdr:to>
    <xdr:graphicFrame macro="">
      <xdr:nvGraphicFramePr>
        <xdr:cNvPr id="3" name="Chart 4">
          <a:extLst>
            <a:ext uri="{FF2B5EF4-FFF2-40B4-BE49-F238E27FC236}">
              <a16:creationId xmlns:a16="http://schemas.microsoft.com/office/drawing/2014/main" id="{00000000-0008-0000-2700-000003000000}"/>
            </a:ext>
            <a:ext uri="{147F2762-F138-4A5C-976F-8EAC2B608ADB}">
              <a16:predDERef xmlns:a16="http://schemas.microsoft.com/office/drawing/2014/main" pred="{00000000-0008-0000-2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37</xdr:col>
      <xdr:colOff>409575</xdr:colOff>
      <xdr:row>20</xdr:row>
      <xdr:rowOff>161925</xdr:rowOff>
    </xdr:from>
    <xdr:to>
      <xdr:col>49</xdr:col>
      <xdr:colOff>438150</xdr:colOff>
      <xdr:row>46</xdr:row>
      <xdr:rowOff>66675</xdr:rowOff>
    </xdr:to>
    <xdr:graphicFrame macro="">
      <xdr:nvGraphicFramePr>
        <xdr:cNvPr id="4" name="Chart 4">
          <a:extLst>
            <a:ext uri="{FF2B5EF4-FFF2-40B4-BE49-F238E27FC236}">
              <a16:creationId xmlns:a16="http://schemas.microsoft.com/office/drawing/2014/main" id="{00000000-0008-0000-2700-000004000000}"/>
            </a:ext>
            <a:ext uri="{147F2762-F138-4A5C-976F-8EAC2B608ADB}">
              <a16:predDERef xmlns:a16="http://schemas.microsoft.com/office/drawing/2014/main" pred="{00000000-0008-0000-2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533400</xdr:colOff>
      <xdr:row>37</xdr:row>
      <xdr:rowOff>104775</xdr:rowOff>
    </xdr:from>
    <xdr:to>
      <xdr:col>17</xdr:col>
      <xdr:colOff>114300</xdr:colOff>
      <xdr:row>62</xdr:row>
      <xdr:rowOff>180975</xdr:rowOff>
    </xdr:to>
    <xdr:graphicFrame macro="">
      <xdr:nvGraphicFramePr>
        <xdr:cNvPr id="5" name="Chart 5">
          <a:extLst>
            <a:ext uri="{FF2B5EF4-FFF2-40B4-BE49-F238E27FC236}">
              <a16:creationId xmlns:a16="http://schemas.microsoft.com/office/drawing/2014/main" id="{00000000-0008-0000-2700-000005000000}"/>
            </a:ext>
            <a:ext uri="{147F2762-F138-4A5C-976F-8EAC2B608ADB}">
              <a16:predDERef xmlns:a16="http://schemas.microsoft.com/office/drawing/2014/main" pred="{00000000-0008-0000-27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38</xdr:col>
      <xdr:colOff>0</xdr:colOff>
      <xdr:row>52</xdr:row>
      <xdr:rowOff>0</xdr:rowOff>
    </xdr:from>
    <xdr:to>
      <xdr:col>50</xdr:col>
      <xdr:colOff>28575</xdr:colOff>
      <xdr:row>76</xdr:row>
      <xdr:rowOff>19050</xdr:rowOff>
    </xdr:to>
    <xdr:graphicFrame macro="">
      <xdr:nvGraphicFramePr>
        <xdr:cNvPr id="6" name="Chart 4">
          <a:extLst>
            <a:ext uri="{FF2B5EF4-FFF2-40B4-BE49-F238E27FC236}">
              <a16:creationId xmlns:a16="http://schemas.microsoft.com/office/drawing/2014/main" id="{00000000-0008-0000-2700-000006000000}"/>
            </a:ext>
            <a:ext uri="{147F2762-F138-4A5C-976F-8EAC2B608ADB}">
              <a16:predDERef xmlns:a16="http://schemas.microsoft.com/office/drawing/2014/main" pred="{00000000-0008-0000-27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0.87621</cdr:x>
      <cdr:y>0.35108</cdr:y>
    </cdr:from>
    <cdr:to>
      <cdr:x>0.97367</cdr:x>
      <cdr:y>0.45957</cdr:y>
    </cdr:to>
    <cdr:sp macro="" textlink="">
      <cdr:nvSpPr>
        <cdr:cNvPr id="2" name="TextBox 1"/>
        <cdr:cNvSpPr txBox="1"/>
      </cdr:nvSpPr>
      <cdr:spPr>
        <a:xfrm xmlns:a="http://schemas.openxmlformats.org/drawingml/2006/main">
          <a:off x="6877050" y="1695450"/>
          <a:ext cx="764895" cy="523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a:solidFill>
                <a:sysClr val="windowText" lastClr="000000"/>
              </a:solidFill>
            </a:rPr>
            <a:t> %</a:t>
          </a:r>
        </a:p>
      </cdr:txBody>
    </cdr:sp>
  </cdr:relSizeAnchor>
</c:userShapes>
</file>

<file path=xl/drawings/drawing5.xml><?xml version="1.0" encoding="utf-8"?>
<c:userShapes xmlns:c="http://schemas.openxmlformats.org/drawingml/2006/chart">
  <cdr:relSizeAnchor xmlns:cdr="http://schemas.openxmlformats.org/drawingml/2006/chartDrawing">
    <cdr:from>
      <cdr:x>0.02594</cdr:x>
      <cdr:y>0.38182</cdr:y>
    </cdr:from>
    <cdr:to>
      <cdr:x>0.06874</cdr:x>
      <cdr:y>0.51919</cdr:y>
    </cdr:to>
    <cdr:sp macro="" textlink="">
      <cdr:nvSpPr>
        <cdr:cNvPr id="2" name="TextBox 1"/>
        <cdr:cNvSpPr txBox="1"/>
      </cdr:nvSpPr>
      <cdr:spPr>
        <a:xfrm xmlns:a="http://schemas.openxmlformats.org/drawingml/2006/main">
          <a:off x="190500" y="1800225"/>
          <a:ext cx="314325" cy="6477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a:t>%</a:t>
          </a:r>
        </a:p>
      </cdr:txBody>
    </cdr:sp>
  </cdr:relSizeAnchor>
</c:userShapes>
</file>

<file path=xl/drawings/drawing6.xml><?xml version="1.0" encoding="utf-8"?>
<c:userShapes xmlns:c="http://schemas.openxmlformats.org/drawingml/2006/chart">
  <cdr:relSizeAnchor xmlns:cdr="http://schemas.openxmlformats.org/drawingml/2006/chartDrawing">
    <cdr:from>
      <cdr:x>0.02594</cdr:x>
      <cdr:y>0.38182</cdr:y>
    </cdr:from>
    <cdr:to>
      <cdr:x>0.06874</cdr:x>
      <cdr:y>0.51919</cdr:y>
    </cdr:to>
    <cdr:sp macro="" textlink="">
      <cdr:nvSpPr>
        <cdr:cNvPr id="2" name="TextBox 1"/>
        <cdr:cNvSpPr txBox="1"/>
      </cdr:nvSpPr>
      <cdr:spPr>
        <a:xfrm xmlns:a="http://schemas.openxmlformats.org/drawingml/2006/main">
          <a:off x="190500" y="1800225"/>
          <a:ext cx="314325" cy="6477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a:t>%</a:t>
          </a:r>
        </a:p>
      </cdr:txBody>
    </cdr:sp>
  </cdr:relSizeAnchor>
</c:userShapes>
</file>

<file path=xl/drawings/drawing7.xml><?xml version="1.0" encoding="utf-8"?>
<xdr:wsDr xmlns:xdr="http://schemas.openxmlformats.org/drawingml/2006/spreadsheetDrawing" xmlns:a="http://schemas.openxmlformats.org/drawingml/2006/main">
  <xdr:twoCellAnchor>
    <xdr:from>
      <xdr:col>3</xdr:col>
      <xdr:colOff>266700</xdr:colOff>
      <xdr:row>112</xdr:row>
      <xdr:rowOff>133350</xdr:rowOff>
    </xdr:from>
    <xdr:to>
      <xdr:col>18</xdr:col>
      <xdr:colOff>66675</xdr:colOff>
      <xdr:row>135</xdr:row>
      <xdr:rowOff>104775</xdr:rowOff>
    </xdr:to>
    <xdr:graphicFrame macro="">
      <xdr:nvGraphicFramePr>
        <xdr:cNvPr id="2" name="Chart 2">
          <a:extLst>
            <a:ext uri="{FF2B5EF4-FFF2-40B4-BE49-F238E27FC236}">
              <a16:creationId xmlns:a16="http://schemas.microsoft.com/office/drawing/2014/main" id="{00000000-0008-0000-2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361950</xdr:colOff>
      <xdr:row>22</xdr:row>
      <xdr:rowOff>161925</xdr:rowOff>
    </xdr:from>
    <xdr:to>
      <xdr:col>29</xdr:col>
      <xdr:colOff>304800</xdr:colOff>
      <xdr:row>52</xdr:row>
      <xdr:rowOff>152400</xdr:rowOff>
    </xdr:to>
    <xdr:graphicFrame macro="">
      <xdr:nvGraphicFramePr>
        <xdr:cNvPr id="3" name="Chart 3">
          <a:extLst>
            <a:ext uri="{FF2B5EF4-FFF2-40B4-BE49-F238E27FC236}">
              <a16:creationId xmlns:a16="http://schemas.microsoft.com/office/drawing/2014/main" id="{00000000-0008-0000-2C00-000003000000}"/>
            </a:ext>
            <a:ext uri="{147F2762-F138-4A5C-976F-8EAC2B608ADB}">
              <a16:predDERef xmlns:a16="http://schemas.microsoft.com/office/drawing/2014/main" pred="{00000000-0008-0000-2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33</xdr:col>
      <xdr:colOff>485775</xdr:colOff>
      <xdr:row>18</xdr:row>
      <xdr:rowOff>114300</xdr:rowOff>
    </xdr:from>
    <xdr:to>
      <xdr:col>44</xdr:col>
      <xdr:colOff>571500</xdr:colOff>
      <xdr:row>43</xdr:row>
      <xdr:rowOff>276225</xdr:rowOff>
    </xdr:to>
    <xdr:graphicFrame macro="">
      <xdr:nvGraphicFramePr>
        <xdr:cNvPr id="4" name="Chart 3">
          <a:extLst>
            <a:ext uri="{FF2B5EF4-FFF2-40B4-BE49-F238E27FC236}">
              <a16:creationId xmlns:a16="http://schemas.microsoft.com/office/drawing/2014/main" id="{00000000-0008-0000-2C00-000004000000}"/>
            </a:ext>
            <a:ext uri="{147F2762-F138-4A5C-976F-8EAC2B608ADB}">
              <a16:predDERef xmlns:a16="http://schemas.microsoft.com/office/drawing/2014/main" pred="{00000000-0008-0000-2D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171450</xdr:colOff>
      <xdr:row>52</xdr:row>
      <xdr:rowOff>76200</xdr:rowOff>
    </xdr:from>
    <xdr:to>
      <xdr:col>13</xdr:col>
      <xdr:colOff>485775</xdr:colOff>
      <xdr:row>77</xdr:row>
      <xdr:rowOff>57150</xdr:rowOff>
    </xdr:to>
    <xdr:graphicFrame macro="">
      <xdr:nvGraphicFramePr>
        <xdr:cNvPr id="5" name="Chart 5">
          <a:extLst>
            <a:ext uri="{FF2B5EF4-FFF2-40B4-BE49-F238E27FC236}">
              <a16:creationId xmlns:a16="http://schemas.microsoft.com/office/drawing/2014/main" id="{00000000-0008-0000-2C00-000005000000}"/>
            </a:ext>
            <a:ext uri="{147F2762-F138-4A5C-976F-8EAC2B608ADB}">
              <a16:predDERef xmlns:a16="http://schemas.microsoft.com/office/drawing/2014/main" pred="{00000000-0008-0000-2D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33</xdr:col>
      <xdr:colOff>809625</xdr:colOff>
      <xdr:row>50</xdr:row>
      <xdr:rowOff>0</xdr:rowOff>
    </xdr:from>
    <xdr:to>
      <xdr:col>45</xdr:col>
      <xdr:colOff>285750</xdr:colOff>
      <xdr:row>79</xdr:row>
      <xdr:rowOff>123825</xdr:rowOff>
    </xdr:to>
    <xdr:graphicFrame macro="">
      <xdr:nvGraphicFramePr>
        <xdr:cNvPr id="6" name="Chart 3">
          <a:extLst>
            <a:ext uri="{FF2B5EF4-FFF2-40B4-BE49-F238E27FC236}">
              <a16:creationId xmlns:a16="http://schemas.microsoft.com/office/drawing/2014/main" id="{00000000-0008-0000-2C00-000006000000}"/>
            </a:ext>
            <a:ext uri="{147F2762-F138-4A5C-976F-8EAC2B608ADB}">
              <a16:predDERef xmlns:a16="http://schemas.microsoft.com/office/drawing/2014/main" pred="{00000000-0008-0000-2D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8.xml><?xml version="1.0" encoding="utf-8"?>
<c:userShapes xmlns:c="http://schemas.openxmlformats.org/drawingml/2006/chart">
  <cdr:relSizeAnchor xmlns:cdr="http://schemas.openxmlformats.org/drawingml/2006/chartDrawing">
    <cdr:from>
      <cdr:x>0.86242</cdr:x>
      <cdr:y>0.39813</cdr:y>
    </cdr:from>
    <cdr:to>
      <cdr:x>0.99648</cdr:x>
      <cdr:y>0.52693</cdr:y>
    </cdr:to>
    <cdr:sp macro="" textlink="">
      <cdr:nvSpPr>
        <cdr:cNvPr id="2" name="TextBox 1"/>
        <cdr:cNvSpPr txBox="1"/>
      </cdr:nvSpPr>
      <cdr:spPr>
        <a:xfrm xmlns:a="http://schemas.openxmlformats.org/drawingml/2006/main">
          <a:off x="6448425" y="1619250"/>
          <a:ext cx="1002408" cy="52387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en-US" sz="1100">
              <a:solidFill>
                <a:sysClr val="windowText" lastClr="000000"/>
              </a:solidFill>
            </a:rPr>
            <a:t> %</a:t>
          </a:r>
        </a:p>
      </cdr:txBody>
    </cdr:sp>
  </cdr:relSizeAnchor>
</c:userShapes>
</file>

<file path=xl/drawings/drawing9.xml><?xml version="1.0" encoding="utf-8"?>
<xdr:wsDr xmlns:xdr="http://schemas.openxmlformats.org/drawingml/2006/spreadsheetDrawing" xmlns:a="http://schemas.openxmlformats.org/drawingml/2006/main">
  <xdr:twoCellAnchor>
    <xdr:from>
      <xdr:col>8</xdr:col>
      <xdr:colOff>85724</xdr:colOff>
      <xdr:row>2</xdr:row>
      <xdr:rowOff>85725</xdr:rowOff>
    </xdr:from>
    <xdr:to>
      <xdr:col>19</xdr:col>
      <xdr:colOff>95249</xdr:colOff>
      <xdr:row>32</xdr:row>
      <xdr:rowOff>57150</xdr:rowOff>
    </xdr:to>
    <xdr:graphicFrame macro="">
      <xdr:nvGraphicFramePr>
        <xdr:cNvPr id="50291026" name="Chart 1">
          <a:extLst>
            <a:ext uri="{FF2B5EF4-FFF2-40B4-BE49-F238E27FC236}">
              <a16:creationId xmlns:a16="http://schemas.microsoft.com/office/drawing/2014/main" id="{00000000-0008-0000-4100-00005261FF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ircsl-my.sharepoint.com/WORK/IRCSL_Annual%20Report/2019/Info%20from%20insurance%20company/AIA/Copy%20of%20Statistics%20collection%20format%202019%20-%20IRCSL%20Annual%20Report%202019%20-%20Final%2006%2003%202020.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W:\Kapila%20Docs\Kapila%20-%20IBSL\Annual%20Report%20-%20%202011\AR%20Table%20Final%20-%202011\AR%20Table%202011.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W:\Kapila%20Docs\Kapila%20-%20IBSL\Annual%20Report%202012\Final%20Tables%20&amp;%20Charts\Old\Final%20II%20%20After%20SLIC%20Change.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ircsl-my.sharepoint.com/Soft%20Copies%20from%20Companies/AIA.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ircsl-my.sharepoint.com/Soft%20Copies%20from%20Companies/Allianz%20Gen.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ircsl-my.sharepoint.com/Soft%20Copies%20from%20Companies/Amana/Revise%201.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ircsl-my.sharepoint.com/Soft%20Copies%20from%20Companies/Asia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s://ircsl-my.sharepoint.com/Soft%20Copies%20from%20Companies/cey%20gen/Cey%20-%20General.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ircsl-my.sharepoint.com/Soft%20Copies%20from%20Companies/HNB.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ircsl-my.sharepoint.com/Soft%20Copies%20from%20Companies/Janashakthi/JIPLC.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s://ircsl-my.sharepoint.com/Soft%20Copies%20from%20Companies/Sanasa/Sanas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ircsl-my.sharepoint.com/WORK/IRCSL_Annual%20Report/2019/Info%20from%20insurance%20company/LOLC%20Life/LOLC%20Life%20Assurance%20%2012%2003%202020.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ircsl-my.sharepoint.com/Soft%20Copies%20from%20Companies/SLIC%20Without%20Link.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W:\Industry%20Hand%20Book\Soft%20Copies%20from%20Companies\Asian%20Alliance.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W:\Industry%20Hand%20Book\Soft%20Copies%20from%20Companies\Allianz\GI.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W:\Industry%20Hand%20Book\Soft%20Copies%20from%20Companies\AIA.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W:\Industry%20Hand%20Book\Soft%20Copies%20from%20Companies\Amana.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W:\Industry%20Hand%20Book\Soft%20Copies%20from%20Companies\AIG.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W:\Industry%20Hand%20Book\Soft%20Copies%20from%20Companies\Conti\Conti%20Revised%2028-02.xlsx"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W:\Industry%20Hand%20Book\Soft%20Copies%20from%20Companies\Ceylinco\GI.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W:\Industry%20Hand%20Book\Soft%20Copies%20from%20Companies\Co%20op\Revised.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W:\Industry%20Hand%20Book\Soft%20Copies%20from%20Companies\HNBA.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WORK\IRCSL_Annual%20Report\2019\Info%20from%20insurance%20company\AIA\Copy%20of%20Statistics%20collection%20format%202019%20-%20IRCSL%20Annual%20Report%202019%20-%20Final%2006%2003%202020.xlsx"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W:\Industry%20Hand%20Book\Soft%20Copies%20from%20Companies\JIC.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W:\Industry%20Hand%20Book\Soft%20Copies%20from%20Companies\LOLC\LOLC%20II.xlsx"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W:\Industry%20Hand%20Book\Soft%20Copies%20from%20Companies\MBSL.xlsx"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W:\Industry%20Hand%20Book\Soft%20Copies%20from%20Companies\PIL.xlsx"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W:\Industry%20Hand%20Book\Soft%20Copies%20from%20Companies\SLIC.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W:\Industry%20Hand%20Book\Soft%20Copies%20from%20Companies\SANASA.xlsx"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W:\Industry%20Hand%20Book\Soft%20Copies%20from%20Companies\UAL.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W:\Industry%20Hand%20Book\Soft%20Copies%20from%20Companies\Orient.xlsx"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W:\Industry%20Hand%20Book\Soft%20Copies%20from%20Companies\JIPLC\Revise%20-%20Final%20Submission%2003.03.2014.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W:\Industry%20Hand%20Book\Soft%20Copies%20from%20Companies\Sanasa\SANASA%20%20Revised%20-%20IBSL%20Annual%20Report%20Data%20-%202013.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WORK\IRCSL_Annual%20Report\2019\Info%20from%20insurance%20company\LOLC%20Life\LOLC%20Life%20Assurance%20%2012%2003%202020.xlsx"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ircsl-my.sharepoint.com/Soft%20Copies%20from%20Companies/Orient.xlsx"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https://ircsl-my.sharepoint.com/Soft%20Copies%20from%20Companies/Conti.xlsx"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https://ircsl-my.sharepoint.com/Soft%20Copies%20from%20Companies/cO%20oPERATIVE.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ircsl-my.sharepoint.com/Soft%20Copies%20from%20Companies/LOLC.xlsx"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https://ircsl-my.sharepoint.com/Soft%20Copies%20from%20Companies/People's.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https://ircsl-my.sharepoint.com/RMV%20%20statisticaldata%20Vehicles%202012.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https://ircsl-my.sharepoint.com/Soft%20Copies%20from%20Companies/LOLC/LOLC%20Revise%20II.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https://ircsl-my.sharepoint.com/Soft%20Copies%20from%20Companies/MBSL/MBSL.xlsx"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https://ircsl-my.sharepoint.com/Soft%20Copies%20from%20Companies/UAL.xlsx"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https://ircsl-my.sharepoint.com/Soft%20Copies%20from%20Companies/LIC.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Industry%20Hand%20Book\Final%20II%202014-4-02%20after%20SLIC%20GWP%20dist%20Channel%20change.xlsx"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https://ircsl-my.sharepoint.com/Soft%20Copies%20from%20Companies/AIG/AIG%20Revise%20I.xlsx"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https://ircsl-my.sharepoint.com/Soft%20Copies%20from%20Companies/SLIC.xlsx"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https://ircsl-my.sharepoint.com/Soft%20Copies%20from%20Companies/UAL/Revise%201.xlsx"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https://ircsl-my.sharepoint.com/Users/kapila/AppData/Local/Microsoft/Windows/Temporary%20Internet%20Files/Content.Outlook/AFQWEOHZ/IBSL%20AR%20INFO.xlsx"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https://ircsl-my.sharepoint.com/Soft%20Copies%20from%20Companies/AIG%20(Chartis).xlsx"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https://ircsl-my.sharepoint.com/Soft%20Copies%20from%20Companies/Janashakthi/JIPLC%20Revise%201.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https://ircsl-my.sharepoint.com/Kapila%20Docs/Kapila%20-%20IBSL/CBSL/2011/31-12-11/Year%202011.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Z:\Documents%20and%20Settings\shanika\Desktop\Final%20-%202014-3-20%20after%20NIC%20Revise%20III.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ircsl-my.sharepoint.com/Kapila%20Docs/Kapila%20-%20IBSL/Annual%20Report%20-%20%202011/AR%20Table%20Final%20-%202011/AR%20Table%20201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ircsl-my.sharepoint.com/Soft%20Copies%20from%20Companies/Arpico.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Users\kapila\AppData\Local\Microsoft\Windows\Temporary%20Internet%20Files\Content.Outlook\AFQWEOHZ\Annual%20Report%20Data%20for%202011%20to%20IBS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Sheet 1 - Risk Profile"/>
      <sheetName val="Sheet 2 - General Insurance"/>
      <sheetName val="Sheet 3 - Long Term Insurance"/>
      <sheetName val="Sheet 4 Other Information"/>
      <sheetName val="Sheet 5 - BR - IN"/>
      <sheetName val="Sheet 6 Income St.- 19 &amp; 18- LI"/>
      <sheetName val="Sheet 7 BS - 2019 &amp; 2018 -LI"/>
      <sheetName val="Sheet 8 BS 2019 &amp; 2018- GI"/>
      <sheetName val="Sheet 9 Income St. 19 &amp; 18-GI"/>
      <sheetName val="Sheet 10 RBC LIFE"/>
      <sheetName val="Sheet 11 RBC GEN"/>
    </sheetNames>
    <sheetDataSet>
      <sheetData sheetId="0" refreshError="1"/>
      <sheetData sheetId="1" refreshError="1"/>
      <sheetData sheetId="2" refreshError="1"/>
      <sheetData sheetId="3">
        <row r="256">
          <cell r="B256" t="str">
            <v>Institutional agents</v>
          </cell>
        </row>
      </sheetData>
      <sheetData sheetId="4" refreshError="1"/>
      <sheetData sheetId="5" refreshError="1"/>
      <sheetData sheetId="6">
        <row r="18">
          <cell r="B18" t="str">
            <v>GWP</v>
          </cell>
        </row>
      </sheetData>
      <sheetData sheetId="7">
        <row r="17">
          <cell r="B17" t="str">
            <v>Goodwill</v>
          </cell>
          <cell r="I17">
            <v>0</v>
          </cell>
          <cell r="M17">
            <v>0</v>
          </cell>
        </row>
        <row r="18">
          <cell r="I18">
            <v>0</v>
          </cell>
          <cell r="M18">
            <v>0</v>
          </cell>
        </row>
        <row r="19">
          <cell r="I19">
            <v>0</v>
          </cell>
          <cell r="M19">
            <v>0</v>
          </cell>
        </row>
        <row r="20">
          <cell r="I20">
            <v>0</v>
          </cell>
          <cell r="M20">
            <v>0</v>
          </cell>
        </row>
        <row r="21">
          <cell r="I21">
            <v>0</v>
          </cell>
          <cell r="M21">
            <v>0</v>
          </cell>
        </row>
        <row r="22">
          <cell r="H22">
            <v>0</v>
          </cell>
          <cell r="I22">
            <v>0</v>
          </cell>
          <cell r="J22">
            <v>0</v>
          </cell>
          <cell r="K22">
            <v>0</v>
          </cell>
          <cell r="L22">
            <v>0</v>
          </cell>
          <cell r="M22">
            <v>0</v>
          </cell>
        </row>
        <row r="23">
          <cell r="I23">
            <v>0</v>
          </cell>
          <cell r="M23">
            <v>0</v>
          </cell>
        </row>
        <row r="24">
          <cell r="I24">
            <v>0</v>
          </cell>
          <cell r="M24">
            <v>0</v>
          </cell>
        </row>
        <row r="25">
          <cell r="H25">
            <v>0</v>
          </cell>
          <cell r="I25">
            <v>0</v>
          </cell>
          <cell r="J25">
            <v>0</v>
          </cell>
          <cell r="K25">
            <v>0</v>
          </cell>
          <cell r="L25">
            <v>0</v>
          </cell>
          <cell r="M25">
            <v>0</v>
          </cell>
        </row>
        <row r="26">
          <cell r="I26">
            <v>0</v>
          </cell>
          <cell r="M26">
            <v>0</v>
          </cell>
        </row>
        <row r="27">
          <cell r="I27">
            <v>0</v>
          </cell>
          <cell r="M27">
            <v>0</v>
          </cell>
        </row>
        <row r="28">
          <cell r="H28">
            <v>31505525.566640001</v>
          </cell>
          <cell r="I28">
            <v>31795947.255630001</v>
          </cell>
          <cell r="J28">
            <v>190544</v>
          </cell>
          <cell r="K28">
            <v>94339</v>
          </cell>
          <cell r="L28">
            <v>4929990</v>
          </cell>
          <cell r="M28">
            <v>5214873</v>
          </cell>
        </row>
        <row r="29">
          <cell r="I29">
            <v>0</v>
          </cell>
          <cell r="M29">
            <v>0</v>
          </cell>
        </row>
        <row r="30">
          <cell r="H30">
            <v>14084562.289280001</v>
          </cell>
          <cell r="I30">
            <v>14124510.449840002</v>
          </cell>
          <cell r="J30">
            <v>190544</v>
          </cell>
          <cell r="K30">
            <v>94339</v>
          </cell>
          <cell r="L30">
            <v>2945438</v>
          </cell>
          <cell r="M30">
            <v>3230321</v>
          </cell>
        </row>
        <row r="31">
          <cell r="H31">
            <v>17420964.27736</v>
          </cell>
          <cell r="I31">
            <v>17671436.80579</v>
          </cell>
          <cell r="M31">
            <v>0</v>
          </cell>
        </row>
        <row r="32">
          <cell r="I32">
            <v>0</v>
          </cell>
          <cell r="L32">
            <v>1984552</v>
          </cell>
          <cell r="M32">
            <v>1984552</v>
          </cell>
        </row>
        <row r="33">
          <cell r="H33">
            <v>762280</v>
          </cell>
          <cell r="I33">
            <v>762280</v>
          </cell>
          <cell r="M33">
            <v>0</v>
          </cell>
        </row>
        <row r="34">
          <cell r="H34">
            <v>121131.7052</v>
          </cell>
          <cell r="I34">
            <v>124333.01388</v>
          </cell>
          <cell r="J34">
            <v>14488</v>
          </cell>
          <cell r="M34">
            <v>14488</v>
          </cell>
        </row>
        <row r="35">
          <cell r="H35">
            <v>437723.60907000001</v>
          </cell>
          <cell r="I35">
            <v>440717.11319</v>
          </cell>
          <cell r="M35">
            <v>0</v>
          </cell>
        </row>
        <row r="36">
          <cell r="H36">
            <v>608029.24259999988</v>
          </cell>
          <cell r="I36">
            <v>609712.74259999988</v>
          </cell>
          <cell r="J36">
            <v>73388.399999999994</v>
          </cell>
          <cell r="L36">
            <v>3799</v>
          </cell>
          <cell r="M36">
            <v>77187.399999999994</v>
          </cell>
        </row>
        <row r="37">
          <cell r="I37">
            <v>0</v>
          </cell>
          <cell r="M37">
            <v>0</v>
          </cell>
        </row>
        <row r="38">
          <cell r="H38">
            <v>470864.79595999996</v>
          </cell>
          <cell r="I38">
            <v>471324.47726999997</v>
          </cell>
          <cell r="J38">
            <v>8589.5</v>
          </cell>
          <cell r="K38">
            <v>67</v>
          </cell>
          <cell r="L38">
            <v>989</v>
          </cell>
          <cell r="M38">
            <v>9645.5</v>
          </cell>
        </row>
        <row r="40">
          <cell r="H40">
            <v>33905554.919469997</v>
          </cell>
          <cell r="I40">
            <v>34204313.602570005</v>
          </cell>
          <cell r="J40">
            <v>287009.90000000002</v>
          </cell>
          <cell r="K40">
            <v>94406</v>
          </cell>
          <cell r="L40">
            <v>4934778</v>
          </cell>
          <cell r="M40">
            <v>5316193.9000000004</v>
          </cell>
        </row>
        <row r="43">
          <cell r="H43">
            <v>31050329.387019999</v>
          </cell>
          <cell r="I43">
            <v>31282472.190099999</v>
          </cell>
          <cell r="J43">
            <v>73389</v>
          </cell>
          <cell r="K43">
            <v>94303</v>
          </cell>
          <cell r="L43">
            <v>4930047</v>
          </cell>
          <cell r="M43">
            <v>5097739</v>
          </cell>
        </row>
        <row r="44">
          <cell r="I44">
            <v>0</v>
          </cell>
          <cell r="J44">
            <v>0</v>
          </cell>
          <cell r="K44">
            <v>0</v>
          </cell>
          <cell r="L44">
            <v>0</v>
          </cell>
          <cell r="M44">
            <v>0</v>
          </cell>
        </row>
        <row r="45">
          <cell r="H45">
            <v>64601.468930000003</v>
          </cell>
          <cell r="I45">
            <v>68050.54376</v>
          </cell>
          <cell r="J45">
            <v>0</v>
          </cell>
          <cell r="K45">
            <v>0</v>
          </cell>
          <cell r="L45">
            <v>0</v>
          </cell>
          <cell r="M45">
            <v>0</v>
          </cell>
        </row>
        <row r="46">
          <cell r="H46">
            <v>42701</v>
          </cell>
          <cell r="I46">
            <v>42701</v>
          </cell>
          <cell r="J46">
            <v>8525</v>
          </cell>
          <cell r="K46">
            <v>0</v>
          </cell>
          <cell r="L46">
            <v>0</v>
          </cell>
          <cell r="M46">
            <v>8525</v>
          </cell>
        </row>
        <row r="47">
          <cell r="I47">
            <v>0</v>
          </cell>
          <cell r="J47">
            <v>0</v>
          </cell>
          <cell r="K47">
            <v>0</v>
          </cell>
          <cell r="L47">
            <v>0</v>
          </cell>
          <cell r="M47">
            <v>0</v>
          </cell>
        </row>
        <row r="48">
          <cell r="H48">
            <v>2747922.7948099999</v>
          </cell>
          <cell r="I48">
            <v>2811089.5</v>
          </cell>
          <cell r="J48">
            <v>205096</v>
          </cell>
          <cell r="K48">
            <v>103</v>
          </cell>
          <cell r="L48">
            <v>4731</v>
          </cell>
          <cell r="M48">
            <v>209930</v>
          </cell>
        </row>
        <row r="49">
          <cell r="H49">
            <v>33905554.650759995</v>
          </cell>
          <cell r="I49">
            <v>34204314.233860001</v>
          </cell>
          <cell r="J49">
            <v>287010</v>
          </cell>
          <cell r="K49">
            <v>94406</v>
          </cell>
          <cell r="L49">
            <v>4934778</v>
          </cell>
          <cell r="M49">
            <v>5316194</v>
          </cell>
        </row>
        <row r="51">
          <cell r="I51">
            <v>0</v>
          </cell>
          <cell r="M51">
            <v>0</v>
          </cell>
        </row>
        <row r="52">
          <cell r="I52">
            <v>0</v>
          </cell>
          <cell r="M52">
            <v>0</v>
          </cell>
        </row>
        <row r="53">
          <cell r="I53">
            <v>0</v>
          </cell>
          <cell r="M53">
            <v>0</v>
          </cell>
        </row>
        <row r="54">
          <cell r="I54">
            <v>0</v>
          </cell>
          <cell r="M54">
            <v>0</v>
          </cell>
        </row>
        <row r="55">
          <cell r="I55">
            <v>0</v>
          </cell>
          <cell r="M55">
            <v>0</v>
          </cell>
        </row>
        <row r="56">
          <cell r="H56">
            <v>0</v>
          </cell>
          <cell r="I56">
            <v>0</v>
          </cell>
          <cell r="J56">
            <v>0</v>
          </cell>
          <cell r="K56">
            <v>0</v>
          </cell>
          <cell r="L56">
            <v>0</v>
          </cell>
          <cell r="M56">
            <v>0</v>
          </cell>
        </row>
        <row r="57">
          <cell r="H57">
            <v>33905554.650759995</v>
          </cell>
          <cell r="I57">
            <v>34204314.233860001</v>
          </cell>
          <cell r="J57">
            <v>287010</v>
          </cell>
          <cell r="K57">
            <v>94406</v>
          </cell>
          <cell r="L57">
            <v>4934778</v>
          </cell>
          <cell r="M57">
            <v>5316194</v>
          </cell>
        </row>
      </sheetData>
      <sheetData sheetId="8" refreshError="1"/>
      <sheetData sheetId="9" refreshError="1"/>
      <sheetData sheetId="10" refreshError="1"/>
      <sheetData sheetId="11"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List of tables"/>
      <sheetName val="Inv Income Vs Inv"/>
      <sheetName val="AR - Table 1"/>
      <sheetName val="AR Table 2"/>
      <sheetName val="AR Table 3 &amp; Chart 01,02"/>
      <sheetName val="AR Chart 03"/>
      <sheetName val="AR Table 4 &amp; Chart 4,5"/>
      <sheetName val="AR Table 5 &amp; Chart 6"/>
      <sheetName val="AR table 6 &amp; Chart 7"/>
      <sheetName val="AR Table 7 &amp; Chart 8"/>
      <sheetName val="AR Table 8 &amp; Chart 9"/>
      <sheetName val="AR Table 9 &amp; Chart 10"/>
      <sheetName val="AR Table 10 &amp; Chart 11"/>
      <sheetName val="AR Table 11 &amp; Chart 12"/>
      <sheetName val="AR Table 12"/>
      <sheetName val="New - LT"/>
      <sheetName val="New GI"/>
      <sheetName val="T9 Support"/>
      <sheetName val="T10 Support "/>
      <sheetName val="T10 Support  (2)"/>
      <sheetName val="T11 Support  "/>
      <sheetName val="T12 GI - Claims Age"/>
      <sheetName val="T24 BR -IN"/>
      <sheetName val="T22 Branches"/>
      <sheetName val="GI - Solvency"/>
      <sheetName val="LI - Solvency"/>
      <sheetName val="GI - Claims Outs - 2010"/>
      <sheetName val="GI - Claims Outs"/>
      <sheetName val="T13 -GI Policies "/>
      <sheetName val="T13(i) -Motor Policies"/>
      <sheetName val="T14As % of National Income"/>
      <sheetName val="T14 (i) -GI Sum Insu"/>
      <sheetName val="T14(ii) - LI classes - New"/>
      <sheetName val="T16 - LI classes - inforce"/>
      <sheetName val="T17LI - # of Customers"/>
      <sheetName val="T18 forf &amp; Surrender"/>
      <sheetName val="T19-laps new LI"/>
      <sheetName val="T19-laps Total"/>
      <sheetName val="T20 Claims - LI"/>
      <sheetName val="T23 Agents"/>
      <sheetName val="T21 Age Claims Outs LI"/>
      <sheetName val="GWP - Dist Chan - GI"/>
      <sheetName val="GWP - Dist Chan - LI"/>
      <sheetName val="Sheet1"/>
      <sheetName val="Mr. NR"/>
      <sheetName val="P &amp; L - GI - 2011"/>
      <sheetName val="P &amp; L GI - 2010"/>
      <sheetName val="P &amp; L LI 2011 &amp; 10"/>
      <sheetName val="T25 P &amp; L LI 2011 &amp; 10 (2)"/>
      <sheetName val="BS 2010"/>
      <sheetName val="BS 2011"/>
      <sheetName val="SRCC &amp; TC"/>
      <sheetName val="Co Ins Outward"/>
      <sheetName val="Info received"/>
      <sheetName val="Ratios"/>
      <sheetName val="T 1 - Penetration + SRCCTC"/>
      <sheetName val="New GI + SRCCTC"/>
      <sheetName val="Total GWP +SRCCTC"/>
      <sheetName val="T 8 - GWP - GI + SRCCTC"/>
      <sheetName val="T 9 - GWP Sub Class +SRCCTC"/>
      <sheetName val="T9 Support + SRCCTC"/>
      <sheetName val="T 11 - Retention + SRCCTC"/>
      <sheetName val="T11 Support  + SRCCTC"/>
      <sheetName val="T 8 - GWP - GI+SRCCTC"/>
    </sheetNames>
    <sheetDataSet>
      <sheetData sheetId="0"/>
      <sheetData sheetId="1"/>
      <sheetData sheetId="2"/>
      <sheetData sheetId="3"/>
      <sheetData sheetId="4">
        <row r="28">
          <cell r="C28">
            <v>139647177.67814398</v>
          </cell>
        </row>
      </sheetData>
      <sheetData sheetId="5">
        <row r="7">
          <cell r="L7">
            <v>1579190.6229400001</v>
          </cell>
        </row>
      </sheetData>
      <sheetData sheetId="6"/>
      <sheetData sheetId="7"/>
      <sheetData sheetId="8"/>
      <sheetData sheetId="9">
        <row r="7">
          <cell r="G7">
            <v>1137412.6968422052</v>
          </cell>
        </row>
      </sheetData>
      <sheetData sheetId="10"/>
      <sheetData sheetId="11">
        <row r="7">
          <cell r="H7">
            <v>2739921.14806</v>
          </cell>
        </row>
      </sheetData>
      <sheetData sheetId="12">
        <row r="5">
          <cell r="B5" t="str">
            <v>Government Debt Securities</v>
          </cell>
        </row>
      </sheetData>
      <sheetData sheetId="13">
        <row r="5">
          <cell r="B5" t="str">
            <v>Government Debt Securities</v>
          </cell>
        </row>
      </sheetData>
      <sheetData sheetId="14"/>
      <sheetData sheetId="15">
        <row r="10">
          <cell r="I10">
            <v>1245630.5022100001</v>
          </cell>
        </row>
      </sheetData>
      <sheetData sheetId="16"/>
      <sheetData sheetId="17"/>
      <sheetData sheetId="18"/>
      <sheetData sheetId="19"/>
      <sheetData sheetId="20">
        <row r="11">
          <cell r="F11">
            <v>128815</v>
          </cell>
        </row>
      </sheetData>
      <sheetData sheetId="21"/>
      <sheetData sheetId="22"/>
      <sheetData sheetId="23"/>
      <sheetData sheetId="24">
        <row r="15">
          <cell r="C15">
            <v>1075</v>
          </cell>
        </row>
      </sheetData>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ow r="7">
          <cell r="C7">
            <v>6972852.9010600001</v>
          </cell>
        </row>
      </sheetData>
      <sheetData sheetId="47">
        <row r="20">
          <cell r="I20">
            <v>-10058322.227912756</v>
          </cell>
        </row>
      </sheetData>
      <sheetData sheetId="48">
        <row r="7">
          <cell r="H7">
            <v>31152085.591510002</v>
          </cell>
        </row>
      </sheetData>
      <sheetData sheetId="49"/>
      <sheetData sheetId="50">
        <row r="13">
          <cell r="Q13">
            <v>70038347.676369995</v>
          </cell>
        </row>
      </sheetData>
      <sheetData sheetId="51"/>
      <sheetData sheetId="52">
        <row r="55">
          <cell r="H55">
            <v>1926563.8965400003</v>
          </cell>
        </row>
      </sheetData>
      <sheetData sheetId="53">
        <row r="51">
          <cell r="H51">
            <v>339999.80257999996</v>
          </cell>
        </row>
      </sheetData>
      <sheetData sheetId="54"/>
      <sheetData sheetId="55">
        <row r="5">
          <cell r="B5">
            <v>6.5060669808186784</v>
          </cell>
        </row>
      </sheetData>
      <sheetData sheetId="56"/>
      <sheetData sheetId="57"/>
      <sheetData sheetId="58"/>
      <sheetData sheetId="59"/>
      <sheetData sheetId="60"/>
      <sheetData sheetId="61"/>
      <sheetData sheetId="62"/>
      <sheetData sheetId="63"/>
      <sheetData sheetId="6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3 -GI Policies "/>
      <sheetName val="T13(i) -Motor Policies"/>
      <sheetName val="P &amp; L - GI - 2012"/>
      <sheetName val="Additional Data GI - 2012"/>
      <sheetName val="P &amp; L - GI - 2011 "/>
      <sheetName val="Additional Data GI - 2011"/>
      <sheetName val="GWP - Dist Chan - GI"/>
      <sheetName val="Expenses 2008&amp;09 GI"/>
      <sheetName val="TR - 2012"/>
      <sheetName val="GI - Claims Outs - 2012"/>
      <sheetName val="T12 GI - Claims Age"/>
      <sheetName val="GI - Claims Age Rs. 2012 "/>
      <sheetName val="New Busi LT"/>
      <sheetName val="NEP - LI - 2011 &amp; 12"/>
      <sheetName val="Inforced LI"/>
      <sheetName val="LI - # of Customers"/>
      <sheetName val="Forf &amp; Surrender"/>
      <sheetName val="LI - laps Total"/>
      <sheetName val="GWP - Dist Chan - LI (aft adjs)"/>
      <sheetName val="GWP - Dist Chan - LI"/>
      <sheetName val="Claim Details - LI"/>
      <sheetName val="T21 Age Claims Outs LI"/>
      <sheetName val="Age Claims Outs LI Rs.'000"/>
      <sheetName val="AR 5 Support"/>
      <sheetName val="Marine Claims"/>
      <sheetName val="Marine Earned Premium"/>
      <sheetName val="AR6&amp;7 Support I"/>
      <sheetName val="AR6&amp;7 Support II"/>
      <sheetName val="AR 6&amp;7 Support III"/>
      <sheetName val="AR7&amp;8 Support"/>
      <sheetName val="SRCC &amp; TC 2011 &amp; 12"/>
      <sheetName val="Co Ins Outward"/>
      <sheetName val="List of tables"/>
      <sheetName val="New - LT"/>
      <sheetName val="GWP - LT + GI "/>
      <sheetName val="AR - Table 1"/>
      <sheetName val="AR Table 2"/>
      <sheetName val="BS 2012"/>
      <sheetName val="AR Table 8 &amp; Chart 9"/>
      <sheetName val="AR Table 12"/>
      <sheetName val="AR Table 11 &amp; Chart 12"/>
      <sheetName val="Sheet4"/>
      <sheetName val="To Rajan"/>
      <sheetName val="Branches-Emp-Agents"/>
      <sheetName val="AR Table 3 &amp; Chart 01,02"/>
      <sheetName val="New &amp; Inforced Policies LI"/>
      <sheetName val="AR Table 9 &amp; Chart 10"/>
      <sheetName val="Investment Income LI "/>
      <sheetName val="LI - laps new "/>
      <sheetName val="Solvency LI "/>
      <sheetName val="AR Table 4 &amp; Chart 4,5"/>
      <sheetName val="AR Table 5 &amp; Chart 6"/>
      <sheetName val="AR table 6 &amp; Chart 7"/>
      <sheetName val="AR Table 7 &amp; Chart 8"/>
      <sheetName val="AR Table 10 &amp; Chart 11"/>
      <sheetName val="BS 2011"/>
      <sheetName val="Investment Income GI"/>
      <sheetName val="Solvency  GI "/>
      <sheetName val="Ratio"/>
      <sheetName val="Invest Income GI - 2012"/>
      <sheetName val="Invest Income GI - 2011"/>
      <sheetName val="Premium Receivable"/>
      <sheetName val="P &amp; L LI 2012 &amp; 11"/>
      <sheetName val="InV Income  - Life"/>
      <sheetName val="LI - laps new  (2)"/>
      <sheetName val="LI - Solvency"/>
      <sheetName val="Life Benifits Rs.'000"/>
      <sheetName val="# of Life Benifits Paid"/>
      <sheetName val="GI - Solvency"/>
      <sheetName val="BR -IN"/>
      <sheetName val="New GI"/>
      <sheetName val="T14 (i) -GI Sum Insu"/>
      <sheetName val="T14As % of National Income"/>
      <sheetName val="Sheet1"/>
      <sheetName val="Ratios"/>
      <sheetName val="Sheet2"/>
      <sheetName val="AR table 6 &amp; Chart 7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ow r="21">
          <cell r="L21">
            <v>2640658</v>
          </cell>
        </row>
      </sheetData>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row r="29">
          <cell r="M29">
            <v>1949804.8214974001</v>
          </cell>
        </row>
      </sheetData>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Risk Profile"/>
      <sheetName val="Sheet 2 - General Insurance"/>
      <sheetName val="Sheet 3 - Long term Insurance"/>
      <sheetName val="Sheet 4 Life &amp; General Combined"/>
      <sheetName val="Sheet 5 - CO-BS - 2012 &amp; 2011"/>
      <sheetName val="Sheet 6 - BR - IN"/>
      <sheetName val="Workings"/>
    </sheetNames>
    <sheetDataSet>
      <sheetData sheetId="0" refreshError="1"/>
      <sheetData sheetId="1" refreshError="1">
        <row r="10">
          <cell r="C10">
            <v>4945</v>
          </cell>
          <cell r="D10">
            <v>13850</v>
          </cell>
          <cell r="E10">
            <v>1978</v>
          </cell>
          <cell r="F10">
            <v>36930</v>
          </cell>
          <cell r="G10">
            <v>273</v>
          </cell>
          <cell r="H10">
            <v>6049</v>
          </cell>
        </row>
        <row r="11">
          <cell r="C11">
            <v>11859</v>
          </cell>
          <cell r="D11">
            <v>65</v>
          </cell>
          <cell r="E11">
            <v>1242</v>
          </cell>
          <cell r="F11">
            <v>34198</v>
          </cell>
          <cell r="G11">
            <v>284</v>
          </cell>
          <cell r="H11">
            <v>9222</v>
          </cell>
        </row>
        <row r="12">
          <cell r="C12">
            <v>5658</v>
          </cell>
          <cell r="D12">
            <v>15870</v>
          </cell>
          <cell r="E12">
            <v>7839</v>
          </cell>
          <cell r="F12">
            <v>42123</v>
          </cell>
          <cell r="G12">
            <v>188</v>
          </cell>
          <cell r="H12">
            <v>6820</v>
          </cell>
        </row>
        <row r="13">
          <cell r="C13">
            <v>10146</v>
          </cell>
          <cell r="D13">
            <v>67</v>
          </cell>
          <cell r="E13">
            <v>4904</v>
          </cell>
          <cell r="F13">
            <v>40255</v>
          </cell>
          <cell r="G13">
            <v>303</v>
          </cell>
          <cell r="H13">
            <v>7207</v>
          </cell>
        </row>
        <row r="15">
          <cell r="C15">
            <v>16647</v>
          </cell>
          <cell r="D15">
            <v>7583</v>
          </cell>
          <cell r="E15">
            <v>3616</v>
          </cell>
          <cell r="F15">
            <v>68489</v>
          </cell>
          <cell r="G15">
            <v>526</v>
          </cell>
          <cell r="H15">
            <v>21483</v>
          </cell>
        </row>
        <row r="16">
          <cell r="C16">
            <v>14028</v>
          </cell>
          <cell r="D16">
            <v>9548</v>
          </cell>
          <cell r="E16">
            <v>8485</v>
          </cell>
          <cell r="F16">
            <v>77023</v>
          </cell>
          <cell r="G16">
            <v>393</v>
          </cell>
          <cell r="H16">
            <v>19304</v>
          </cell>
        </row>
        <row r="34">
          <cell r="C34">
            <v>-24479.416430000001</v>
          </cell>
          <cell r="D34">
            <v>-2181.9210499999999</v>
          </cell>
          <cell r="E34">
            <v>-1695.15906</v>
          </cell>
          <cell r="G34">
            <v>-4673.41104</v>
          </cell>
        </row>
        <row r="118">
          <cell r="C118">
            <v>-17205.777390000003</v>
          </cell>
          <cell r="G118">
            <v>-15002.819690000006</v>
          </cell>
        </row>
        <row r="142">
          <cell r="H142">
            <v>-68208</v>
          </cell>
        </row>
      </sheetData>
      <sheetData sheetId="2" refreshError="1"/>
      <sheetData sheetId="3" refreshError="1"/>
      <sheetData sheetId="4" refreshError="1"/>
      <sheetData sheetId="5" refreshError="1"/>
      <sheetData sheetId="6"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 1 - Risk Profile"/>
      <sheetName val="Sheet 2 - General Insurance"/>
      <sheetName val="Sheet 4 Life &amp; General Combined"/>
      <sheetName val="Sheet 5 - CO-BS - 2012 &amp; 2011"/>
      <sheetName val="Sheet 6 - BR - IN"/>
      <sheetName val="Sheet1"/>
    </sheetNames>
    <sheetDataSet>
      <sheetData sheetId="0" refreshError="1"/>
      <sheetData sheetId="1" refreshError="1">
        <row r="10">
          <cell r="C10">
            <v>181</v>
          </cell>
          <cell r="D10">
            <v>1626</v>
          </cell>
          <cell r="E10">
            <v>502</v>
          </cell>
          <cell r="G10">
            <v>14</v>
          </cell>
          <cell r="H10">
            <v>88</v>
          </cell>
        </row>
        <row r="11">
          <cell r="C11">
            <v>912</v>
          </cell>
          <cell r="D11">
            <v>12</v>
          </cell>
          <cell r="E11">
            <v>2889</v>
          </cell>
          <cell r="G11">
            <v>207</v>
          </cell>
          <cell r="H11">
            <v>1656</v>
          </cell>
        </row>
        <row r="12">
          <cell r="C12">
            <v>102</v>
          </cell>
          <cell r="D12">
            <v>1648</v>
          </cell>
          <cell r="E12">
            <v>398</v>
          </cell>
          <cell r="G12">
            <v>9</v>
          </cell>
          <cell r="H12">
            <v>61</v>
          </cell>
        </row>
        <row r="13">
          <cell r="C13">
            <v>730</v>
          </cell>
          <cell r="D13">
            <v>22</v>
          </cell>
          <cell r="E13">
            <v>1816</v>
          </cell>
          <cell r="G13">
            <v>184</v>
          </cell>
          <cell r="H13">
            <v>1641</v>
          </cell>
        </row>
        <row r="15">
          <cell r="C15">
            <v>1093</v>
          </cell>
          <cell r="D15">
            <v>1638</v>
          </cell>
          <cell r="E15">
            <v>3391</v>
          </cell>
          <cell r="G15">
            <v>221</v>
          </cell>
          <cell r="H15">
            <v>1744</v>
          </cell>
        </row>
        <row r="16">
          <cell r="C16">
            <v>832</v>
          </cell>
          <cell r="D16">
            <v>1670</v>
          </cell>
          <cell r="E16">
            <v>2214</v>
          </cell>
          <cell r="G16">
            <v>193</v>
          </cell>
          <cell r="H16">
            <v>1702</v>
          </cell>
        </row>
        <row r="34">
          <cell r="C34">
            <v>-4775</v>
          </cell>
          <cell r="D34">
            <v>-294</v>
          </cell>
          <cell r="G34">
            <v>-327</v>
          </cell>
        </row>
        <row r="117">
          <cell r="C117">
            <v>-9781</v>
          </cell>
          <cell r="G117">
            <v>-1056</v>
          </cell>
        </row>
        <row r="141">
          <cell r="H141">
            <v>-46594</v>
          </cell>
        </row>
      </sheetData>
      <sheetData sheetId="2" refreshError="1"/>
      <sheetData sheetId="3" refreshError="1"/>
      <sheetData sheetId="4" refreshError="1"/>
      <sheetData sheetId="5"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 1 - Risk Profile"/>
      <sheetName val="Sheet 2 - General Insurance"/>
      <sheetName val="Sheet 3 - Long term Insurance"/>
      <sheetName val="Sheet 4 Life &amp; General Combined"/>
      <sheetName val="Sheet 5 - CO-BS - 2012 &amp; 2011"/>
      <sheetName val="Sheet 6 - BR - IN"/>
      <sheetName val="Sheet1"/>
    </sheetNames>
    <sheetDataSet>
      <sheetData sheetId="0" refreshError="1"/>
      <sheetData sheetId="1" refreshError="1">
        <row r="10">
          <cell r="C10">
            <v>700</v>
          </cell>
          <cell r="D10">
            <v>5600</v>
          </cell>
          <cell r="E10">
            <v>42472</v>
          </cell>
          <cell r="F10">
            <v>10890</v>
          </cell>
          <cell r="G10">
            <v>81</v>
          </cell>
          <cell r="H10">
            <v>2198</v>
          </cell>
        </row>
        <row r="11">
          <cell r="C11">
            <v>949</v>
          </cell>
          <cell r="D11">
            <v>7</v>
          </cell>
          <cell r="E11">
            <v>42577</v>
          </cell>
          <cell r="F11">
            <v>18019</v>
          </cell>
          <cell r="G11">
            <v>90</v>
          </cell>
          <cell r="H11">
            <v>1041</v>
          </cell>
        </row>
        <row r="15">
          <cell r="C15">
            <v>1885</v>
          </cell>
          <cell r="D15">
            <v>5794</v>
          </cell>
          <cell r="E15">
            <v>85034</v>
          </cell>
          <cell r="F15">
            <v>32921</v>
          </cell>
          <cell r="G15">
            <v>210</v>
          </cell>
          <cell r="H15">
            <v>3632</v>
          </cell>
        </row>
        <row r="34">
          <cell r="C34">
            <v>-1586.7539999999999</v>
          </cell>
          <cell r="D34">
            <v>-334.68099999999998</v>
          </cell>
          <cell r="G34">
            <v>-3983.9880000000003</v>
          </cell>
        </row>
        <row r="117">
          <cell r="C117">
            <v>-404.3</v>
          </cell>
          <cell r="D117">
            <v>-94.7</v>
          </cell>
          <cell r="E117">
            <v>-456.6</v>
          </cell>
          <cell r="G117">
            <v>-1867.1000000000001</v>
          </cell>
        </row>
        <row r="139">
          <cell r="H139">
            <v>-15604.4</v>
          </cell>
        </row>
      </sheetData>
      <sheetData sheetId="2" refreshError="1">
        <row r="143">
          <cell r="C143">
            <v>12964.564</v>
          </cell>
          <cell r="D143">
            <v>12320.977999999999</v>
          </cell>
          <cell r="E143">
            <v>7061.7380000000003</v>
          </cell>
          <cell r="F143">
            <v>3174.2750000000001</v>
          </cell>
          <cell r="G143">
            <v>2726.0749999999998</v>
          </cell>
        </row>
        <row r="144">
          <cell r="C144">
            <v>18317.777999999998</v>
          </cell>
          <cell r="D144">
            <v>26179.727999999999</v>
          </cell>
          <cell r="E144">
            <v>27789.173999999999</v>
          </cell>
          <cell r="F144">
            <v>28494.15</v>
          </cell>
          <cell r="G144">
            <v>20782.844000000001</v>
          </cell>
        </row>
      </sheetData>
      <sheetData sheetId="3" refreshError="1"/>
      <sheetData sheetId="4" refreshError="1"/>
      <sheetData sheetId="5" refreshError="1"/>
      <sheetData sheetId="6"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 1 - Risk Profile"/>
      <sheetName val="Sheet 2 - General Insurance"/>
      <sheetName val="Copy of sheet-2"/>
      <sheetName val="Sheet 3 - Long term Insurance"/>
      <sheetName val="Sheet 4 Life &amp; General Combined"/>
      <sheetName val="Sheet 5 - CO-BS - 2012 &amp; 2011"/>
      <sheetName val="Sheet 6 - BR - IN"/>
    </sheetNames>
    <sheetDataSet>
      <sheetData sheetId="0" refreshError="1"/>
      <sheetData sheetId="1">
        <row r="10">
          <cell r="C10">
            <v>1107</v>
          </cell>
          <cell r="D10">
            <v>6109</v>
          </cell>
          <cell r="E10">
            <v>728</v>
          </cell>
          <cell r="F10">
            <v>12599</v>
          </cell>
          <cell r="G10">
            <v>139</v>
          </cell>
          <cell r="H10">
            <v>1630</v>
          </cell>
        </row>
        <row r="11">
          <cell r="C11">
            <v>1488</v>
          </cell>
          <cell r="D11">
            <v>40</v>
          </cell>
          <cell r="E11">
            <v>302</v>
          </cell>
          <cell r="F11">
            <v>7923</v>
          </cell>
          <cell r="G11">
            <v>163</v>
          </cell>
          <cell r="H11">
            <v>511</v>
          </cell>
        </row>
        <row r="12">
          <cell r="C12">
            <v>882</v>
          </cell>
          <cell r="D12">
            <v>5475</v>
          </cell>
          <cell r="E12">
            <v>280</v>
          </cell>
          <cell r="F12">
            <v>6157</v>
          </cell>
          <cell r="G12">
            <v>102</v>
          </cell>
          <cell r="H12">
            <v>797</v>
          </cell>
        </row>
        <row r="13">
          <cell r="C13">
            <v>1388</v>
          </cell>
          <cell r="D13">
            <v>33</v>
          </cell>
          <cell r="E13">
            <v>254</v>
          </cell>
          <cell r="F13">
            <v>4665</v>
          </cell>
          <cell r="G13">
            <v>134</v>
          </cell>
          <cell r="H13">
            <v>430</v>
          </cell>
        </row>
        <row r="15">
          <cell r="C15">
            <v>2406</v>
          </cell>
          <cell r="D15">
            <v>6038</v>
          </cell>
          <cell r="E15">
            <v>693</v>
          </cell>
          <cell r="F15">
            <v>18672</v>
          </cell>
          <cell r="G15">
            <v>296</v>
          </cell>
          <cell r="H15">
            <v>1936</v>
          </cell>
        </row>
        <row r="16">
          <cell r="C16">
            <v>2082</v>
          </cell>
          <cell r="D16">
            <v>5422</v>
          </cell>
          <cell r="E16">
            <v>527</v>
          </cell>
          <cell r="F16">
            <v>8788</v>
          </cell>
          <cell r="G16">
            <v>229</v>
          </cell>
          <cell r="H16">
            <v>1083</v>
          </cell>
        </row>
        <row r="118">
          <cell r="C118">
            <v>-5893.5947500000002</v>
          </cell>
          <cell r="D118">
            <v>-44.42</v>
          </cell>
          <cell r="G118">
            <v>-1338.64975</v>
          </cell>
        </row>
        <row r="133">
          <cell r="H133">
            <v>-195633</v>
          </cell>
        </row>
        <row r="137">
          <cell r="H137">
            <v>-176442</v>
          </cell>
        </row>
        <row r="140">
          <cell r="H140">
            <v>-2253</v>
          </cell>
        </row>
        <row r="142">
          <cell r="H142">
            <v>-3721</v>
          </cell>
        </row>
      </sheetData>
      <sheetData sheetId="2" refreshError="1"/>
      <sheetData sheetId="3">
        <row r="176">
          <cell r="F176">
            <v>31496263.280000001</v>
          </cell>
        </row>
      </sheetData>
      <sheetData sheetId="4" refreshError="1"/>
      <sheetData sheetId="5">
        <row r="13">
          <cell r="B13" t="str">
            <v>Government Debt Securities</v>
          </cell>
        </row>
      </sheetData>
      <sheetData sheetId="6"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 2 - General Insurance"/>
      <sheetName val="Sheet 4 Life &amp; General Combined"/>
      <sheetName val="Sheet 5 - CO-BS - 2012 &amp; 2011"/>
      <sheetName val="Sheet 6 - BR - IN"/>
      <sheetName val="Sheet1"/>
    </sheetNames>
    <sheetDataSet>
      <sheetData sheetId="0">
        <row r="10">
          <cell r="C10">
            <v>20227</v>
          </cell>
          <cell r="D10">
            <v>47963</v>
          </cell>
          <cell r="E10">
            <v>351436</v>
          </cell>
          <cell r="F10">
            <v>82074</v>
          </cell>
          <cell r="G10">
            <v>2135</v>
          </cell>
          <cell r="H10">
            <v>42770</v>
          </cell>
        </row>
        <row r="11">
          <cell r="C11">
            <v>34806</v>
          </cell>
          <cell r="D11">
            <v>70</v>
          </cell>
          <cell r="E11">
            <v>314144</v>
          </cell>
          <cell r="F11">
            <v>149021</v>
          </cell>
          <cell r="G11">
            <v>2961</v>
          </cell>
          <cell r="H11">
            <v>7360</v>
          </cell>
        </row>
        <row r="12">
          <cell r="C12">
            <v>20637</v>
          </cell>
          <cell r="D12">
            <v>55436</v>
          </cell>
          <cell r="E12">
            <v>332512</v>
          </cell>
          <cell r="F12">
            <v>90747</v>
          </cell>
          <cell r="G12">
            <v>2539</v>
          </cell>
          <cell r="H12">
            <v>148437</v>
          </cell>
        </row>
        <row r="13">
          <cell r="C13">
            <v>56007</v>
          </cell>
          <cell r="D13">
            <v>65</v>
          </cell>
          <cell r="E13">
            <v>482514</v>
          </cell>
          <cell r="F13">
            <v>40760</v>
          </cell>
          <cell r="G13">
            <v>4239</v>
          </cell>
          <cell r="H13">
            <v>45066</v>
          </cell>
        </row>
        <row r="15">
          <cell r="C15">
            <v>55033</v>
          </cell>
          <cell r="D15">
            <v>48033</v>
          </cell>
          <cell r="E15">
            <v>665580</v>
          </cell>
          <cell r="F15">
            <v>231095</v>
          </cell>
          <cell r="G15">
            <v>5096</v>
          </cell>
          <cell r="H15">
            <v>50130</v>
          </cell>
        </row>
        <row r="16">
          <cell r="C16">
            <v>76644</v>
          </cell>
          <cell r="D16">
            <v>55501</v>
          </cell>
          <cell r="E16">
            <v>815026</v>
          </cell>
          <cell r="F16">
            <v>131507</v>
          </cell>
          <cell r="G16">
            <v>6778</v>
          </cell>
          <cell r="H16">
            <v>193503</v>
          </cell>
        </row>
        <row r="63">
          <cell r="C63">
            <v>68789</v>
          </cell>
          <cell r="D63">
            <v>760</v>
          </cell>
          <cell r="E63">
            <v>934</v>
          </cell>
          <cell r="G63">
            <v>1883</v>
          </cell>
        </row>
        <row r="130">
          <cell r="C130">
            <v>-1140673</v>
          </cell>
          <cell r="D130">
            <v>-115123</v>
          </cell>
          <cell r="E130">
            <v>-190263</v>
          </cell>
          <cell r="F130">
            <v>-13620</v>
          </cell>
          <cell r="G130">
            <v>-375641</v>
          </cell>
        </row>
        <row r="150">
          <cell r="H150">
            <v>-22001</v>
          </cell>
        </row>
        <row r="152">
          <cell r="H152">
            <v>-141727</v>
          </cell>
        </row>
        <row r="156">
          <cell r="C156">
            <v>15485</v>
          </cell>
          <cell r="D156">
            <v>88</v>
          </cell>
          <cell r="E156">
            <v>118</v>
          </cell>
          <cell r="G156">
            <v>1887</v>
          </cell>
        </row>
        <row r="157">
          <cell r="C157">
            <v>318121</v>
          </cell>
          <cell r="D157">
            <v>530</v>
          </cell>
          <cell r="E157">
            <v>102277</v>
          </cell>
          <cell r="G157">
            <v>43764</v>
          </cell>
        </row>
      </sheetData>
      <sheetData sheetId="1" refreshError="1"/>
      <sheetData sheetId="2">
        <row r="84">
          <cell r="D84">
            <v>-3255409</v>
          </cell>
        </row>
      </sheetData>
      <sheetData sheetId="3" refreshError="1"/>
      <sheetData sheetId="4"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 1 - Risk Profile"/>
      <sheetName val="Sheet 2 - General Insurance"/>
      <sheetName val="Sheet 3 - Long term Insurance"/>
      <sheetName val="Sheet 4 Life &amp; General Combined"/>
      <sheetName val="Sheet 5 - CO-BS - 2012 &amp; 2011"/>
      <sheetName val="Sheet 6 - BR - IN"/>
      <sheetName val="Sheet1"/>
    </sheetNames>
    <sheetDataSet>
      <sheetData sheetId="0" refreshError="1"/>
      <sheetData sheetId="1" refreshError="1">
        <row r="10">
          <cell r="C10">
            <v>7544</v>
          </cell>
          <cell r="D10">
            <v>2047</v>
          </cell>
          <cell r="E10">
            <v>3453</v>
          </cell>
          <cell r="F10">
            <v>15220</v>
          </cell>
          <cell r="G10">
            <v>112</v>
          </cell>
          <cell r="H10">
            <v>4002</v>
          </cell>
        </row>
        <row r="11">
          <cell r="C11">
            <v>18384</v>
          </cell>
          <cell r="D11">
            <v>32</v>
          </cell>
          <cell r="E11">
            <v>1154</v>
          </cell>
          <cell r="F11">
            <v>31192</v>
          </cell>
          <cell r="G11">
            <v>108</v>
          </cell>
          <cell r="H11">
            <v>2748</v>
          </cell>
        </row>
        <row r="12">
          <cell r="C12">
            <v>13515</v>
          </cell>
          <cell r="D12">
            <v>5002</v>
          </cell>
          <cell r="E12">
            <v>5036</v>
          </cell>
          <cell r="F12">
            <v>33654</v>
          </cell>
          <cell r="G12">
            <v>407</v>
          </cell>
          <cell r="H12">
            <v>5338</v>
          </cell>
        </row>
        <row r="13">
          <cell r="C13">
            <v>14917</v>
          </cell>
          <cell r="D13">
            <v>329</v>
          </cell>
          <cell r="E13">
            <v>1640</v>
          </cell>
          <cell r="F13">
            <v>32988</v>
          </cell>
          <cell r="G13">
            <v>153</v>
          </cell>
          <cell r="H13">
            <v>2184</v>
          </cell>
        </row>
        <row r="15">
          <cell r="C15">
            <v>25928</v>
          </cell>
          <cell r="D15">
            <v>2079</v>
          </cell>
          <cell r="E15">
            <v>4607</v>
          </cell>
          <cell r="F15">
            <v>46412</v>
          </cell>
          <cell r="G15">
            <v>220</v>
          </cell>
          <cell r="H15">
            <v>6750</v>
          </cell>
        </row>
        <row r="16">
          <cell r="C16">
            <v>28432</v>
          </cell>
          <cell r="D16">
            <v>5331</v>
          </cell>
          <cell r="E16">
            <v>6676</v>
          </cell>
          <cell r="F16">
            <v>66642</v>
          </cell>
          <cell r="G16">
            <v>560</v>
          </cell>
          <cell r="H16">
            <v>7522</v>
          </cell>
        </row>
        <row r="154">
          <cell r="H154">
            <v>-25772.100600000002</v>
          </cell>
        </row>
        <row r="184">
          <cell r="C184">
            <v>3711.1276600000001</v>
          </cell>
        </row>
        <row r="185">
          <cell r="C185">
            <v>8118.4218599999995</v>
          </cell>
        </row>
        <row r="192">
          <cell r="C192">
            <v>2961</v>
          </cell>
        </row>
      </sheetData>
      <sheetData sheetId="2" refreshError="1"/>
      <sheetData sheetId="3" refreshError="1"/>
      <sheetData sheetId="4" refreshError="1"/>
      <sheetData sheetId="5" refreshError="1"/>
      <sheetData sheetId="6"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 1 - Risk Profile"/>
      <sheetName val="Sheet 2 - General Insurance"/>
      <sheetName val="Sheet 3 - Long term Insurance"/>
      <sheetName val="Sheet 4 Life &amp; General Combined"/>
      <sheetName val="Sheet 5 - CO-BS - 2012 &amp; 20 "/>
      <sheetName val="Sheet 6 - BR - IN"/>
      <sheetName val="Sheet1"/>
    </sheetNames>
    <sheetDataSet>
      <sheetData sheetId="0" refreshError="1"/>
      <sheetData sheetId="1" refreshError="1">
        <row r="10">
          <cell r="C10">
            <v>8769</v>
          </cell>
          <cell r="D10">
            <v>17031</v>
          </cell>
          <cell r="E10">
            <v>69488</v>
          </cell>
          <cell r="F10">
            <v>112179</v>
          </cell>
          <cell r="H10">
            <v>8342</v>
          </cell>
        </row>
        <row r="11">
          <cell r="C11">
            <v>6956</v>
          </cell>
          <cell r="D11">
            <v>170</v>
          </cell>
          <cell r="E11">
            <v>64129</v>
          </cell>
          <cell r="F11">
            <v>174361</v>
          </cell>
          <cell r="H11">
            <v>4782</v>
          </cell>
        </row>
        <row r="12">
          <cell r="C12">
            <v>5147</v>
          </cell>
          <cell r="D12">
            <v>15261</v>
          </cell>
          <cell r="H12">
            <v>13338</v>
          </cell>
        </row>
        <row r="13">
          <cell r="C13">
            <v>5454</v>
          </cell>
          <cell r="D13">
            <v>83</v>
          </cell>
          <cell r="H13">
            <v>3005</v>
          </cell>
        </row>
        <row r="15">
          <cell r="C15">
            <v>12871</v>
          </cell>
          <cell r="D15">
            <v>16410</v>
          </cell>
          <cell r="E15">
            <v>133617</v>
          </cell>
          <cell r="F15">
            <v>251737</v>
          </cell>
          <cell r="H15">
            <v>10665</v>
          </cell>
        </row>
        <row r="143">
          <cell r="H143">
            <v>-7313</v>
          </cell>
        </row>
        <row r="326">
          <cell r="C326">
            <v>7026145967.8444004</v>
          </cell>
          <cell r="D326">
            <v>5617804878.1759996</v>
          </cell>
          <cell r="E326">
            <v>5574248931.3018436</v>
          </cell>
          <cell r="F326">
            <v>4520969000</v>
          </cell>
          <cell r="G326">
            <v>3125149000</v>
          </cell>
        </row>
        <row r="328">
          <cell r="C328">
            <v>3510173880.0599999</v>
          </cell>
          <cell r="D328">
            <v>3145394391.0937867</v>
          </cell>
          <cell r="E328">
            <v>2819260000</v>
          </cell>
          <cell r="F328">
            <v>2496519000</v>
          </cell>
          <cell r="G328">
            <v>2215833000</v>
          </cell>
        </row>
        <row r="329">
          <cell r="C329">
            <v>1195875378.7600007</v>
          </cell>
          <cell r="D329">
            <v>1111062844.0662141</v>
          </cell>
          <cell r="E329">
            <v>1023840000</v>
          </cell>
          <cell r="F329">
            <v>907584000</v>
          </cell>
          <cell r="G329">
            <v>1014581000</v>
          </cell>
        </row>
        <row r="330">
          <cell r="C330">
            <v>2320096709.0243998</v>
          </cell>
          <cell r="D330">
            <v>1361347643.0159988</v>
          </cell>
          <cell r="E330">
            <v>1731149371.691844</v>
          </cell>
          <cell r="F330">
            <v>1116866000</v>
          </cell>
          <cell r="G330">
            <v>-105265000</v>
          </cell>
        </row>
        <row r="331">
          <cell r="C331">
            <v>1034815557.498</v>
          </cell>
          <cell r="D331">
            <v>912385496.73400009</v>
          </cell>
          <cell r="E331">
            <v>783684468.42000008</v>
          </cell>
          <cell r="F331">
            <v>743542000</v>
          </cell>
          <cell r="G331">
            <v>662839000</v>
          </cell>
        </row>
      </sheetData>
      <sheetData sheetId="2" refreshError="1"/>
      <sheetData sheetId="3" refreshError="1"/>
      <sheetData sheetId="4" refreshError="1"/>
      <sheetData sheetId="5" refreshError="1"/>
      <sheetData sheetId="6"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 1 - Risk Profile"/>
      <sheetName val="Sheet 2 - General Insurance"/>
      <sheetName val="Sheet 3 - Long term Insurance"/>
      <sheetName val="Sheet 5 - CO-BS - 2012 &amp; 2011"/>
      <sheetName val="Sheet 4 Life &amp; General Comb "/>
      <sheetName val="Sheet 6 - BR - IN"/>
    </sheetNames>
    <sheetDataSet>
      <sheetData sheetId="0" refreshError="1"/>
      <sheetData sheetId="1">
        <row r="10">
          <cell r="C10">
            <v>392</v>
          </cell>
          <cell r="E10">
            <v>15332</v>
          </cell>
          <cell r="F10">
            <v>6909</v>
          </cell>
          <cell r="G10">
            <v>2</v>
          </cell>
          <cell r="H10">
            <v>4857</v>
          </cell>
        </row>
        <row r="11">
          <cell r="C11">
            <v>680</v>
          </cell>
          <cell r="E11">
            <v>12939</v>
          </cell>
          <cell r="F11">
            <v>6360</v>
          </cell>
          <cell r="G11">
            <v>16</v>
          </cell>
          <cell r="H11">
            <v>3949</v>
          </cell>
        </row>
        <row r="12">
          <cell r="C12">
            <v>945</v>
          </cell>
          <cell r="E12">
            <v>24166</v>
          </cell>
          <cell r="G12">
            <v>24</v>
          </cell>
          <cell r="H12">
            <v>5017</v>
          </cell>
        </row>
        <row r="13">
          <cell r="C13">
            <v>170</v>
          </cell>
          <cell r="E13">
            <v>13185</v>
          </cell>
          <cell r="G13">
            <v>2</v>
          </cell>
          <cell r="H13">
            <v>1330</v>
          </cell>
        </row>
        <row r="15">
          <cell r="C15">
            <v>1072</v>
          </cell>
          <cell r="E15">
            <v>27271</v>
          </cell>
          <cell r="F15">
            <v>12269</v>
          </cell>
          <cell r="G15">
            <v>18</v>
          </cell>
          <cell r="H15">
            <v>8806</v>
          </cell>
        </row>
        <row r="16">
          <cell r="C16">
            <v>1115</v>
          </cell>
          <cell r="E16">
            <v>24992</v>
          </cell>
          <cell r="F16">
            <v>12187</v>
          </cell>
          <cell r="G16">
            <v>26</v>
          </cell>
          <cell r="H16">
            <v>5784</v>
          </cell>
        </row>
        <row r="141">
          <cell r="H141">
            <v>2396</v>
          </cell>
        </row>
      </sheetData>
      <sheetData sheetId="2" refreshError="1"/>
      <sheetData sheetId="3" refreshError="1"/>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Sheet 1 - Risk Profile"/>
      <sheetName val="Sheet 2 - General Insurance"/>
      <sheetName val="Sheet 3 - Long Term Insurance"/>
      <sheetName val="Sheet 4 Other Information"/>
      <sheetName val="Sheet 5 - BR - IN"/>
      <sheetName val="Sheet 6 Income St.- 19 &amp; 18- LI"/>
      <sheetName val="Sheet 7 BS - 2019 &amp; 2018 -LI"/>
      <sheetName val="Sheet 8 BS 2019 &amp; 2018- GI"/>
      <sheetName val="Sheet 9 Income St. 19 &amp; 18-GI"/>
      <sheetName val="Sheet 10 RBC LIFE"/>
      <sheetName val="Sheet 11 RBC GEN"/>
    </sheetNames>
    <sheetDataSet>
      <sheetData sheetId="0"/>
      <sheetData sheetId="1"/>
      <sheetData sheetId="2"/>
      <sheetData sheetId="3">
        <row r="238">
          <cell r="B238" t="str">
            <v>Institutional agents</v>
          </cell>
        </row>
      </sheetData>
      <sheetData sheetId="4"/>
      <sheetData sheetId="5"/>
      <sheetData sheetId="6">
        <row r="18">
          <cell r="B18" t="str">
            <v>GWP</v>
          </cell>
        </row>
      </sheetData>
      <sheetData sheetId="7">
        <row r="17">
          <cell r="B17" t="str">
            <v>Goodwill</v>
          </cell>
          <cell r="I17">
            <v>0</v>
          </cell>
          <cell r="M17">
            <v>0</v>
          </cell>
        </row>
        <row r="18">
          <cell r="I18">
            <v>0</v>
          </cell>
          <cell r="M18">
            <v>0</v>
          </cell>
        </row>
        <row r="19">
          <cell r="I19">
            <v>0</v>
          </cell>
          <cell r="M19">
            <v>0</v>
          </cell>
        </row>
        <row r="20">
          <cell r="I20">
            <v>0</v>
          </cell>
          <cell r="M20">
            <v>0</v>
          </cell>
        </row>
        <row r="21">
          <cell r="I21">
            <v>0</v>
          </cell>
          <cell r="M21">
            <v>0</v>
          </cell>
        </row>
        <row r="22">
          <cell r="H22">
            <v>0</v>
          </cell>
          <cell r="I22">
            <v>0</v>
          </cell>
          <cell r="J22">
            <v>0</v>
          </cell>
          <cell r="K22">
            <v>0</v>
          </cell>
          <cell r="L22">
            <v>0</v>
          </cell>
          <cell r="M22">
            <v>0</v>
          </cell>
        </row>
        <row r="23">
          <cell r="I23">
            <v>0</v>
          </cell>
          <cell r="M23">
            <v>0</v>
          </cell>
        </row>
        <row r="24">
          <cell r="I24">
            <v>0</v>
          </cell>
          <cell r="M24">
            <v>0</v>
          </cell>
        </row>
        <row r="25">
          <cell r="H25">
            <v>0</v>
          </cell>
          <cell r="I25">
            <v>0</v>
          </cell>
          <cell r="J25">
            <v>0</v>
          </cell>
          <cell r="K25">
            <v>0</v>
          </cell>
          <cell r="L25">
            <v>0</v>
          </cell>
          <cell r="M25">
            <v>0</v>
          </cell>
        </row>
        <row r="26">
          <cell r="I26">
            <v>0</v>
          </cell>
          <cell r="M26">
            <v>0</v>
          </cell>
        </row>
        <row r="27">
          <cell r="I27">
            <v>0</v>
          </cell>
          <cell r="M27">
            <v>0</v>
          </cell>
        </row>
        <row r="28">
          <cell r="H28">
            <v>1623983.5106800001</v>
          </cell>
          <cell r="I28">
            <v>4362029.9550939593</v>
          </cell>
          <cell r="J28">
            <v>0</v>
          </cell>
          <cell r="K28">
            <v>0</v>
          </cell>
          <cell r="L28">
            <v>0</v>
          </cell>
          <cell r="M28">
            <v>0</v>
          </cell>
        </row>
        <row r="29">
          <cell r="I29">
            <v>0</v>
          </cell>
          <cell r="M29">
            <v>0</v>
          </cell>
        </row>
        <row r="30">
          <cell r="H30">
            <v>382525.53260000004</v>
          </cell>
          <cell r="I30">
            <v>1860340.35240396</v>
          </cell>
          <cell r="M30">
            <v>0</v>
          </cell>
        </row>
        <row r="31">
          <cell r="H31">
            <v>1241457.97808</v>
          </cell>
          <cell r="I31">
            <v>2442238.4117299998</v>
          </cell>
          <cell r="M31">
            <v>0</v>
          </cell>
        </row>
        <row r="32">
          <cell r="I32">
            <v>59451.19096</v>
          </cell>
          <cell r="M32">
            <v>0</v>
          </cell>
        </row>
        <row r="33">
          <cell r="I33">
            <v>121632.80985999999</v>
          </cell>
        </row>
        <row r="34">
          <cell r="H34">
            <v>35967.581060000026</v>
          </cell>
          <cell r="I34">
            <v>41160.229440000025</v>
          </cell>
          <cell r="M34">
            <v>0</v>
          </cell>
        </row>
        <row r="35">
          <cell r="H35">
            <v>913.67</v>
          </cell>
          <cell r="I35">
            <v>19282.559000000001</v>
          </cell>
          <cell r="M35">
            <v>0</v>
          </cell>
        </row>
        <row r="36">
          <cell r="H36">
            <v>84228.752989999994</v>
          </cell>
          <cell r="I36">
            <v>94838.602510000012</v>
          </cell>
          <cell r="M36">
            <v>0</v>
          </cell>
        </row>
        <row r="37">
          <cell r="I37">
            <v>200497.72173999969</v>
          </cell>
          <cell r="M37">
            <v>0</v>
          </cell>
        </row>
        <row r="38">
          <cell r="I38">
            <v>0</v>
          </cell>
          <cell r="M38">
            <v>0</v>
          </cell>
        </row>
        <row r="39">
          <cell r="H39">
            <v>230.38552999999999</v>
          </cell>
          <cell r="I39">
            <v>132397.55789000003</v>
          </cell>
          <cell r="M39">
            <v>0</v>
          </cell>
        </row>
        <row r="40">
          <cell r="H40">
            <v>1745323.90026</v>
          </cell>
          <cell r="I40">
            <v>4971839.4355339594</v>
          </cell>
          <cell r="J40">
            <v>0</v>
          </cell>
          <cell r="K40">
            <v>0</v>
          </cell>
          <cell r="L40">
            <v>0</v>
          </cell>
          <cell r="M40">
            <v>0</v>
          </cell>
        </row>
        <row r="43">
          <cell r="H43">
            <v>1501111.0168889898</v>
          </cell>
          <cell r="I43">
            <v>4024916.8760100026</v>
          </cell>
          <cell r="M43">
            <v>0</v>
          </cell>
        </row>
        <row r="44">
          <cell r="I44">
            <v>16575.792000000001</v>
          </cell>
          <cell r="M44">
            <v>0</v>
          </cell>
        </row>
        <row r="45">
          <cell r="I45">
            <v>143954.80312</v>
          </cell>
        </row>
        <row r="46">
          <cell r="H46">
            <v>17430.7303197652</v>
          </cell>
          <cell r="I46">
            <v>54820.115569999965</v>
          </cell>
          <cell r="M46">
            <v>0</v>
          </cell>
        </row>
        <row r="47">
          <cell r="I47">
            <v>0</v>
          </cell>
          <cell r="M47">
            <v>0</v>
          </cell>
        </row>
        <row r="48">
          <cell r="I48">
            <v>0</v>
          </cell>
          <cell r="M48">
            <v>0</v>
          </cell>
        </row>
        <row r="49">
          <cell r="H49">
            <v>226782.15294999999</v>
          </cell>
          <cell r="I49">
            <v>731571.84886000003</v>
          </cell>
          <cell r="M49">
            <v>0</v>
          </cell>
        </row>
        <row r="50">
          <cell r="H50">
            <v>1745323.900158755</v>
          </cell>
          <cell r="I50">
            <v>4971839.4355600029</v>
          </cell>
          <cell r="J50">
            <v>0</v>
          </cell>
          <cell r="K50">
            <v>0</v>
          </cell>
          <cell r="L50">
            <v>0</v>
          </cell>
          <cell r="M50">
            <v>0</v>
          </cell>
        </row>
        <row r="52">
          <cell r="I52">
            <v>0</v>
          </cell>
          <cell r="M52">
            <v>0</v>
          </cell>
        </row>
        <row r="53">
          <cell r="I53">
            <v>0</v>
          </cell>
          <cell r="M53">
            <v>0</v>
          </cell>
        </row>
        <row r="54">
          <cell r="I54">
            <v>0</v>
          </cell>
          <cell r="M54">
            <v>0</v>
          </cell>
        </row>
        <row r="55">
          <cell r="I55">
            <v>0</v>
          </cell>
          <cell r="M55">
            <v>0</v>
          </cell>
        </row>
        <row r="56">
          <cell r="I56">
            <v>0</v>
          </cell>
          <cell r="M56">
            <v>0</v>
          </cell>
        </row>
        <row r="57">
          <cell r="H57">
            <v>0</v>
          </cell>
          <cell r="I57">
            <v>0</v>
          </cell>
          <cell r="J57">
            <v>0</v>
          </cell>
          <cell r="K57">
            <v>0</v>
          </cell>
          <cell r="L57">
            <v>0</v>
          </cell>
          <cell r="M57">
            <v>0</v>
          </cell>
        </row>
        <row r="58">
          <cell r="H58">
            <v>1745323.900158755</v>
          </cell>
          <cell r="I58">
            <v>4971839.4355600029</v>
          </cell>
          <cell r="J58">
            <v>0</v>
          </cell>
          <cell r="K58">
            <v>0</v>
          </cell>
          <cell r="L58">
            <v>0</v>
          </cell>
          <cell r="M58">
            <v>0</v>
          </cell>
        </row>
      </sheetData>
      <sheetData sheetId="8"/>
      <sheetData sheetId="9"/>
      <sheetData sheetId="10"/>
      <sheetData sheetId="1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 1 - Risk Profile"/>
      <sheetName val="Sheet 2 - General Insurance"/>
      <sheetName val="Sheet 3 - Long term Insurance"/>
      <sheetName val="Sheet 4 Life &amp; General Combined"/>
      <sheetName val="Sheet 5 - CO-BS - 2012 &amp; 2011"/>
      <sheetName val="Sheet 6 - BR - IN"/>
      <sheetName val="Sheet1"/>
    </sheetNames>
    <sheetDataSet>
      <sheetData sheetId="0"/>
      <sheetData sheetId="1">
        <row r="33">
          <cell r="C33">
            <v>1323038.1058099999</v>
          </cell>
        </row>
        <row r="118">
          <cell r="C118">
            <v>-91085</v>
          </cell>
          <cell r="G118">
            <v>-16526</v>
          </cell>
        </row>
        <row r="140">
          <cell r="H140">
            <v>-12.21109</v>
          </cell>
        </row>
        <row r="142">
          <cell r="H142">
            <v>-407432.43231</v>
          </cell>
        </row>
      </sheetData>
      <sheetData sheetId="2"/>
      <sheetData sheetId="3"/>
      <sheetData sheetId="4">
        <row r="13">
          <cell r="B13" t="str">
            <v>Government Debt Securities</v>
          </cell>
        </row>
      </sheetData>
      <sheetData sheetId="5">
        <row r="9">
          <cell r="B9" t="str">
            <v>Governments Securities</v>
          </cell>
        </row>
      </sheetData>
      <sheetData sheetId="6"/>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 1 - Risk Profile"/>
      <sheetName val="Sheet 2 - General Insurance"/>
      <sheetName val="Sheet 3 - Long Term Insurance"/>
      <sheetName val="Sheet 4 Life &amp; General Combined"/>
      <sheetName val="Sheet 5 - CO-BS - 2013 &amp; 2012"/>
      <sheetName val="Sheet 6 - BR - IN"/>
    </sheetNames>
    <sheetDataSet>
      <sheetData sheetId="0" refreshError="1"/>
      <sheetData sheetId="1" refreshError="1">
        <row r="33">
          <cell r="F33">
            <v>9772</v>
          </cell>
        </row>
        <row r="39">
          <cell r="C39">
            <v>11991</v>
          </cell>
          <cell r="D39">
            <v>21118</v>
          </cell>
          <cell r="E39">
            <v>554625</v>
          </cell>
          <cell r="F39">
            <v>7656</v>
          </cell>
          <cell r="G39">
            <v>387274</v>
          </cell>
        </row>
        <row r="42">
          <cell r="C42">
            <v>1275</v>
          </cell>
          <cell r="D42">
            <v>-15791</v>
          </cell>
          <cell r="E42">
            <v>-554409</v>
          </cell>
          <cell r="F42">
            <v>-2802</v>
          </cell>
          <cell r="G42">
            <v>-338597</v>
          </cell>
        </row>
        <row r="159">
          <cell r="C159">
            <v>9185.9460699999727</v>
          </cell>
          <cell r="D159">
            <v>24449.195810000005</v>
          </cell>
          <cell r="E159">
            <v>434907.48022000003</v>
          </cell>
          <cell r="F159">
            <v>4970.9151399999992</v>
          </cell>
          <cell r="G159">
            <v>211880.42155000003</v>
          </cell>
        </row>
        <row r="162">
          <cell r="C162">
            <v>-11256.1104</v>
          </cell>
          <cell r="D162">
            <v>-7267.8534200000004</v>
          </cell>
          <cell r="E162">
            <v>-319617.61462999997</v>
          </cell>
          <cell r="F162">
            <v>-3864.8829900000001</v>
          </cell>
          <cell r="G162">
            <v>-174678.35973000003</v>
          </cell>
        </row>
      </sheetData>
      <sheetData sheetId="2" refreshError="1"/>
      <sheetData sheetId="3" refreshError="1"/>
      <sheetData sheetId="4" refreshError="1"/>
      <sheetData sheetId="5"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 1 - Risk Profile"/>
      <sheetName val="Sheet 2 - General Insurance"/>
      <sheetName val="Sheet 3 - Long Term Insurance"/>
      <sheetName val="Sheet 4 Life &amp; General Combined"/>
      <sheetName val="Sheet 5 - CO-BS - 2013 &amp; 2012"/>
      <sheetName val="Sheet 6 - BR - IN"/>
      <sheetName val="Sheet1"/>
    </sheetNames>
    <sheetDataSet>
      <sheetData sheetId="0" refreshError="1"/>
      <sheetData sheetId="1">
        <row r="10">
          <cell r="C10">
            <v>1680</v>
          </cell>
        </row>
        <row r="39">
          <cell r="C39">
            <v>75109.039999999935</v>
          </cell>
          <cell r="D39">
            <v>13851.700000000004</v>
          </cell>
          <cell r="E39">
            <v>275603.28000000003</v>
          </cell>
          <cell r="F39">
            <v>9759.41</v>
          </cell>
          <cell r="G39">
            <v>309985.77</v>
          </cell>
        </row>
        <row r="42">
          <cell r="C42">
            <v>-31408.5</v>
          </cell>
          <cell r="D42">
            <v>-9661.9</v>
          </cell>
          <cell r="E42">
            <v>-151394.93</v>
          </cell>
          <cell r="F42">
            <v>-3319.28</v>
          </cell>
          <cell r="G42">
            <v>-122053.68</v>
          </cell>
        </row>
        <row r="157">
          <cell r="C157">
            <v>56046</v>
          </cell>
          <cell r="D157">
            <v>10804.21</v>
          </cell>
          <cell r="E157">
            <v>144016</v>
          </cell>
          <cell r="F157">
            <v>8397</v>
          </cell>
          <cell r="G157">
            <v>216298.16999999998</v>
          </cell>
        </row>
        <row r="160">
          <cell r="C160">
            <v>13876</v>
          </cell>
          <cell r="D160">
            <v>-2400</v>
          </cell>
          <cell r="E160">
            <v>-73820</v>
          </cell>
          <cell r="F160">
            <v>-11233</v>
          </cell>
          <cell r="G160">
            <v>-90260</v>
          </cell>
        </row>
      </sheetData>
      <sheetData sheetId="2" refreshError="1"/>
      <sheetData sheetId="3" refreshError="1"/>
      <sheetData sheetId="4">
        <row r="13">
          <cell r="B13" t="str">
            <v>Government Debt Securities</v>
          </cell>
        </row>
      </sheetData>
      <sheetData sheetId="5" refreshError="1"/>
      <sheetData sheetId="6"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 1 - Risk Profile"/>
      <sheetName val="Sheet 2 - General Insurance"/>
      <sheetName val="Sheet 3 - Long Term Insurance"/>
      <sheetName val="Sheet 4 Life &amp; General Comb"/>
      <sheetName val="Sheet 5 - CO-BS - 2013 &amp; 2012"/>
      <sheetName val="Sheet 6 - BR - IN"/>
      <sheetName val="Sheet1"/>
    </sheetNames>
    <sheetDataSet>
      <sheetData sheetId="0" refreshError="1"/>
      <sheetData sheetId="1" refreshError="1">
        <row r="39">
          <cell r="C39">
            <v>100496.28347000002</v>
          </cell>
          <cell r="D39">
            <v>68831.139480000013</v>
          </cell>
          <cell r="E39">
            <v>1402339.5508399999</v>
          </cell>
          <cell r="F39">
            <v>1171.9387873595697</v>
          </cell>
          <cell r="G39">
            <v>307812.08301</v>
          </cell>
        </row>
        <row r="42">
          <cell r="C42">
            <v>-43896</v>
          </cell>
          <cell r="D42">
            <v>-24932</v>
          </cell>
          <cell r="E42">
            <v>-825791</v>
          </cell>
          <cell r="F42">
            <v>-8296</v>
          </cell>
          <cell r="G42">
            <v>-194915</v>
          </cell>
        </row>
        <row r="177">
          <cell r="C177">
            <v>127977.13802000001</v>
          </cell>
          <cell r="D177">
            <v>74019.987599999993</v>
          </cell>
          <cell r="E177">
            <v>1446848.9569999999</v>
          </cell>
          <cell r="F177">
            <v>19455</v>
          </cell>
          <cell r="G177">
            <v>299489.78647000022</v>
          </cell>
        </row>
        <row r="180">
          <cell r="C180">
            <v>-28582</v>
          </cell>
          <cell r="D180">
            <v>-54012</v>
          </cell>
          <cell r="E180">
            <v>-757719.09296000004</v>
          </cell>
          <cell r="F180">
            <v>-8623.5023029276308</v>
          </cell>
          <cell r="G180">
            <v>-171422</v>
          </cell>
        </row>
      </sheetData>
      <sheetData sheetId="2" refreshError="1"/>
      <sheetData sheetId="3" refreshError="1"/>
      <sheetData sheetId="4" refreshError="1"/>
      <sheetData sheetId="5" refreshError="1"/>
      <sheetData sheetId="6"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 1 - Risk Profile"/>
      <sheetName val="Sheet 2 - General Insurance"/>
      <sheetName val="Sheet 3 - Long Term Insurance"/>
      <sheetName val="Sheet 4 Life &amp; General Combined"/>
      <sheetName val="Sheet 5 - CO-BS - 2013 &amp; 2012"/>
      <sheetName val="Sheet 6 - BR - IN"/>
      <sheetName val="Sheet1"/>
    </sheetNames>
    <sheetDataSet>
      <sheetData sheetId="0"/>
      <sheetData sheetId="1">
        <row r="33">
          <cell r="F33">
            <v>6747.6833299999998</v>
          </cell>
        </row>
        <row r="39">
          <cell r="C39">
            <v>14436.836329999825</v>
          </cell>
          <cell r="D39">
            <v>15153.229149999905</v>
          </cell>
          <cell r="E39">
            <v>894902.863955818</v>
          </cell>
          <cell r="F39">
            <v>5536.0702599999995</v>
          </cell>
          <cell r="G39">
            <v>167842.33261999997</v>
          </cell>
        </row>
        <row r="42">
          <cell r="C42">
            <v>-12307.508</v>
          </cell>
          <cell r="D42">
            <v>-6905.174</v>
          </cell>
          <cell r="E42">
            <v>-492573.55099999998</v>
          </cell>
          <cell r="F42">
            <v>-2933.2139999999999</v>
          </cell>
          <cell r="G42">
            <v>-80170.148000000001</v>
          </cell>
        </row>
        <row r="161">
          <cell r="C161">
            <v>7684.5690000000068</v>
          </cell>
          <cell r="D161">
            <v>15606.681000000002</v>
          </cell>
          <cell r="E161">
            <v>786224.00400000007</v>
          </cell>
          <cell r="F161">
            <v>4865.4969999999994</v>
          </cell>
          <cell r="G161">
            <v>154998.67699999991</v>
          </cell>
        </row>
        <row r="164">
          <cell r="C164">
            <v>-2389.8817799999997</v>
          </cell>
          <cell r="D164">
            <v>-1487.52169</v>
          </cell>
          <cell r="E164">
            <v>-499551.01990000001</v>
          </cell>
          <cell r="F164">
            <v>-788.3</v>
          </cell>
          <cell r="G164">
            <v>-73696.855009999999</v>
          </cell>
        </row>
      </sheetData>
      <sheetData sheetId="2">
        <row r="148">
          <cell r="C148">
            <v>72510.942999999999</v>
          </cell>
        </row>
      </sheetData>
      <sheetData sheetId="3"/>
      <sheetData sheetId="4">
        <row r="13">
          <cell r="B13" t="str">
            <v>Government Debt Securities</v>
          </cell>
        </row>
      </sheetData>
      <sheetData sheetId="5"/>
      <sheetData sheetId="6"/>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 1 - Risk Profile"/>
      <sheetName val="Sheet 2 - General Insurance"/>
      <sheetName val="Sheet 3 - Long term Insurance"/>
      <sheetName val="Sheet 4 Life &amp; General Combined"/>
      <sheetName val="Sheet 5 - CO-BS - 2013 &amp; 2012"/>
      <sheetName val="Sheet 6 - BR - IN"/>
      <sheetName val="Sheet1"/>
    </sheetNames>
    <sheetDataSet>
      <sheetData sheetId="0" refreshError="1"/>
      <sheetData sheetId="1">
        <row r="10">
          <cell r="C10">
            <v>64</v>
          </cell>
        </row>
        <row r="39">
          <cell r="C39">
            <v>15127.189258330027</v>
          </cell>
          <cell r="D39">
            <v>60314.486887784209</v>
          </cell>
          <cell r="E39">
            <v>15615.582827194963</v>
          </cell>
          <cell r="F39">
            <v>644.87829908176025</v>
          </cell>
          <cell r="G39">
            <v>280598.72018289129</v>
          </cell>
        </row>
        <row r="42">
          <cell r="C42">
            <v>-20367.842560000008</v>
          </cell>
          <cell r="D42">
            <v>-302.95558000000449</v>
          </cell>
          <cell r="E42">
            <v>-19858.493759999896</v>
          </cell>
          <cell r="F42">
            <v>-227.33267999999993</v>
          </cell>
          <cell r="G42">
            <v>-86394.209889999998</v>
          </cell>
        </row>
        <row r="157">
          <cell r="C157">
            <v>15034.93374</v>
          </cell>
          <cell r="D157">
            <v>5062.196369999996</v>
          </cell>
          <cell r="E157">
            <v>50340.718390000002</v>
          </cell>
          <cell r="F157">
            <v>1073.2673599999996</v>
          </cell>
          <cell r="G157">
            <v>316325.48613000027</v>
          </cell>
        </row>
        <row r="160">
          <cell r="C160">
            <v>-10664.864089999999</v>
          </cell>
          <cell r="D160">
            <v>998.19985000000202</v>
          </cell>
          <cell r="E160">
            <v>-26222.239580000001</v>
          </cell>
          <cell r="F160">
            <v>33.220950000000002</v>
          </cell>
          <cell r="G160">
            <v>-48890.976499999997</v>
          </cell>
        </row>
      </sheetData>
      <sheetData sheetId="2" refreshError="1"/>
      <sheetData sheetId="3" refreshError="1"/>
      <sheetData sheetId="4">
        <row r="13">
          <cell r="B13" t="str">
            <v>Government Debt Securities</v>
          </cell>
        </row>
      </sheetData>
      <sheetData sheetId="5" refreshError="1"/>
      <sheetData sheetId="6"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 1 - Risk Profile"/>
      <sheetName val="Sheet 2 - General Insurance"/>
      <sheetName val="Sheet 3 - Long Term Insurance"/>
      <sheetName val="Sheet 4 Life &amp; General Comb"/>
      <sheetName val="Sheet 5 - CO-BS - 2013 &amp; 2012"/>
      <sheetName val="Sheet 6 - BR - IN"/>
    </sheetNames>
    <sheetDataSet>
      <sheetData sheetId="0" refreshError="1"/>
      <sheetData sheetId="1">
        <row r="10">
          <cell r="C10">
            <v>209</v>
          </cell>
        </row>
        <row r="39">
          <cell r="C39">
            <v>61590.31917408156</v>
          </cell>
          <cell r="D39">
            <v>4245.2549987940383</v>
          </cell>
          <cell r="E39">
            <v>907309.60939319828</v>
          </cell>
          <cell r="F39">
            <v>1160.6031782236407</v>
          </cell>
          <cell r="G39">
            <v>16094.054978796923</v>
          </cell>
        </row>
        <row r="42">
          <cell r="C42">
            <v>304.41413000001603</v>
          </cell>
          <cell r="D42">
            <v>-1549.4693300000001</v>
          </cell>
          <cell r="E42">
            <v>-606505.65050999995</v>
          </cell>
          <cell r="F42">
            <v>-122.39278999999999</v>
          </cell>
          <cell r="G42">
            <v>-11767.767270000002</v>
          </cell>
        </row>
        <row r="172">
          <cell r="C172">
            <v>51972.113134867264</v>
          </cell>
          <cell r="D172">
            <v>1991.9227454172162</v>
          </cell>
          <cell r="E172">
            <v>925439.04323602375</v>
          </cell>
          <cell r="F172">
            <v>782.44109013554055</v>
          </cell>
          <cell r="G172">
            <v>23140.302350180227</v>
          </cell>
        </row>
        <row r="175">
          <cell r="C175">
            <v>-1655.2840000000001</v>
          </cell>
          <cell r="D175">
            <v>-872.505</v>
          </cell>
          <cell r="E175">
            <v>-680751.36199999996</v>
          </cell>
          <cell r="F175">
            <v>-145.37326002713701</v>
          </cell>
          <cell r="G175">
            <v>-16925.331301092701</v>
          </cell>
        </row>
      </sheetData>
      <sheetData sheetId="2" refreshError="1"/>
      <sheetData sheetId="3" refreshError="1"/>
      <sheetData sheetId="4">
        <row r="13">
          <cell r="B13" t="str">
            <v>Government Debt Securities</v>
          </cell>
        </row>
      </sheetData>
      <sheetData sheetId="5"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 2 - General Insurance"/>
      <sheetName val="Sheet 3 - Long Term Insurance"/>
      <sheetName val="Sheet 4 Life &amp; General Combined"/>
      <sheetName val="Sheet 5 - CO-BS - 2013 &amp; 2012"/>
      <sheetName val="Sheet 6 - BR - IN"/>
      <sheetName val="Sheet1"/>
    </sheetNames>
    <sheetDataSet>
      <sheetData sheetId="0">
        <row r="33">
          <cell r="F33">
            <v>132791</v>
          </cell>
        </row>
        <row r="39">
          <cell r="C39">
            <v>596457</v>
          </cell>
          <cell r="D39">
            <v>244495</v>
          </cell>
          <cell r="E39">
            <v>6124855</v>
          </cell>
          <cell r="F39">
            <v>86399</v>
          </cell>
          <cell r="G39">
            <v>1790506</v>
          </cell>
        </row>
        <row r="42">
          <cell r="C42">
            <v>-363088</v>
          </cell>
          <cell r="D42">
            <v>-115153</v>
          </cell>
          <cell r="E42">
            <v>-3403107</v>
          </cell>
          <cell r="F42">
            <v>-27758</v>
          </cell>
          <cell r="G42">
            <v>-732627</v>
          </cell>
        </row>
        <row r="171">
          <cell r="D171">
            <v>249074</v>
          </cell>
          <cell r="E171">
            <v>6327616</v>
          </cell>
          <cell r="F171">
            <v>86800</v>
          </cell>
          <cell r="G171">
            <v>1442245</v>
          </cell>
        </row>
        <row r="174">
          <cell r="C174">
            <v>-416151</v>
          </cell>
          <cell r="D174">
            <v>-107419</v>
          </cell>
          <cell r="E174">
            <v>-3343075</v>
          </cell>
          <cell r="F174">
            <v>-46216</v>
          </cell>
          <cell r="G174">
            <v>-643567</v>
          </cell>
        </row>
      </sheetData>
      <sheetData sheetId="1" refreshError="1"/>
      <sheetData sheetId="2" refreshError="1"/>
      <sheetData sheetId="3">
        <row r="13">
          <cell r="B13" t="str">
            <v>Government Debt Securities</v>
          </cell>
        </row>
      </sheetData>
      <sheetData sheetId="4" refreshError="1"/>
      <sheetData sheetId="5"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 1 - Risk Profile"/>
      <sheetName val="Sheet 2 - General Insurance"/>
      <sheetName val="Sheet 3 - Long Term Insurance"/>
      <sheetName val="Sheet 4 Life &amp; General Combined"/>
      <sheetName val="Sheet 5 - CO-BS - 2013 &amp; 2012"/>
      <sheetName val="Sheet 6 - BR - IN"/>
    </sheetNames>
    <sheetDataSet>
      <sheetData sheetId="0" refreshError="1"/>
      <sheetData sheetId="1">
        <row r="10">
          <cell r="C10">
            <v>2406</v>
          </cell>
        </row>
        <row r="39">
          <cell r="C39">
            <v>31114.921959999996</v>
          </cell>
          <cell r="D39">
            <v>13658.40065</v>
          </cell>
          <cell r="E39">
            <v>994227.09907</v>
          </cell>
          <cell r="G39">
            <v>118133.94250999999</v>
          </cell>
        </row>
        <row r="42">
          <cell r="C42">
            <v>-19309.381980000002</v>
          </cell>
          <cell r="D42">
            <v>-13281.660260000001</v>
          </cell>
          <cell r="E42">
            <v>-569075.66184000007</v>
          </cell>
          <cell r="G42">
            <v>-31521.974879999998</v>
          </cell>
        </row>
        <row r="157">
          <cell r="C157">
            <v>31180.10871</v>
          </cell>
          <cell r="D157">
            <v>11456.661589999998</v>
          </cell>
          <cell r="E157">
            <v>823724.38667000004</v>
          </cell>
          <cell r="G157">
            <v>135022.10180999999</v>
          </cell>
        </row>
        <row r="160">
          <cell r="C160">
            <v>-19076.350549999999</v>
          </cell>
          <cell r="D160">
            <v>-13742.62486</v>
          </cell>
          <cell r="E160">
            <v>-558930.50403999991</v>
          </cell>
          <cell r="G160">
            <v>-48908.440419999999</v>
          </cell>
        </row>
      </sheetData>
      <sheetData sheetId="2" refreshError="1"/>
      <sheetData sheetId="3" refreshError="1"/>
      <sheetData sheetId="4">
        <row r="13">
          <cell r="B13" t="str">
            <v>Government Debt Securities</v>
          </cell>
        </row>
      </sheetData>
      <sheetData sheetId="5"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 1 - Risk Profile"/>
      <sheetName val="Sheet 2 - General Insurance"/>
      <sheetName val="Sheet 3 - Long Term Insurance"/>
      <sheetName val="Sheet 4 Life &amp; General Combined"/>
      <sheetName val="Sheet 5 - CO-BS - 2013 &amp; 2012"/>
      <sheetName val="Sheet 6 - BR - IN"/>
    </sheetNames>
    <sheetDataSet>
      <sheetData sheetId="0" refreshError="1"/>
      <sheetData sheetId="1">
        <row r="10">
          <cell r="C10">
            <v>7025</v>
          </cell>
        </row>
        <row r="39">
          <cell r="C39">
            <v>35595.95800000005</v>
          </cell>
          <cell r="D39">
            <v>3555.5901499999959</v>
          </cell>
          <cell r="E39">
            <v>1185627.1847099999</v>
          </cell>
          <cell r="F39">
            <v>3844.1516399999996</v>
          </cell>
          <cell r="G39">
            <v>127809.91972999999</v>
          </cell>
        </row>
        <row r="42">
          <cell r="C42">
            <v>-6964.969730000018</v>
          </cell>
          <cell r="D42">
            <v>-1235.2764800000002</v>
          </cell>
          <cell r="E42">
            <v>-776450.46227999986</v>
          </cell>
          <cell r="F42">
            <v>-1936.75684</v>
          </cell>
          <cell r="G42">
            <v>-102486.29117999997</v>
          </cell>
        </row>
        <row r="166">
          <cell r="C166">
            <v>33549.44299000004</v>
          </cell>
          <cell r="D166">
            <v>4250.1385900000041</v>
          </cell>
          <cell r="E166">
            <v>1174170.6146</v>
          </cell>
          <cell r="F166">
            <v>3573.4422999999997</v>
          </cell>
          <cell r="G166">
            <v>109528.20471999998</v>
          </cell>
        </row>
        <row r="169">
          <cell r="C169">
            <v>-11492.697759999999</v>
          </cell>
          <cell r="D169">
            <v>-952.66656999999998</v>
          </cell>
          <cell r="E169">
            <v>-789174.7561</v>
          </cell>
          <cell r="F169">
            <v>-2610.3094299999998</v>
          </cell>
          <cell r="G169">
            <v>-88520.033630000005</v>
          </cell>
        </row>
      </sheetData>
      <sheetData sheetId="2">
        <row r="198">
          <cell r="B198" t="str">
            <v xml:space="preserve">    - Treasury Bonds</v>
          </cell>
        </row>
      </sheetData>
      <sheetData sheetId="3" refreshError="1"/>
      <sheetData sheetId="4">
        <row r="13">
          <cell r="B13" t="str">
            <v>Government Debt Securities</v>
          </cell>
        </row>
      </sheetData>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Sheet 1 - Risk Profile"/>
      <sheetName val="Sheet 2 - General Insurance"/>
      <sheetName val="Sheet 3 - Long Term Insurance"/>
      <sheetName val="Sheet 4 Other Information"/>
      <sheetName val="Sheet 5 - BR - IN"/>
      <sheetName val="Sheet 6 Income St.- 19 &amp; 18- LI"/>
      <sheetName val="Sheet 7 BS - 2019 &amp; 2018 -LI"/>
      <sheetName val="Sheet 8 BS 2019 &amp; 2018- GI"/>
      <sheetName val="Sheet 9 Income St. 19 &amp; 18-GI"/>
      <sheetName val="Sheet 10 RBC LIFE"/>
      <sheetName val="Sheet 11 RBC GEN"/>
    </sheetNames>
    <sheetDataSet>
      <sheetData sheetId="0" refreshError="1"/>
      <sheetData sheetId="1" refreshError="1"/>
      <sheetData sheetId="2" refreshError="1"/>
      <sheetData sheetId="3">
        <row r="256">
          <cell r="B256" t="str">
            <v>Institutional agents</v>
          </cell>
        </row>
      </sheetData>
      <sheetData sheetId="4" refreshError="1"/>
      <sheetData sheetId="5" refreshError="1"/>
      <sheetData sheetId="6">
        <row r="18">
          <cell r="B18" t="str">
            <v>GWP</v>
          </cell>
        </row>
        <row r="96">
          <cell r="B96" t="str">
            <v>GWP</v>
          </cell>
          <cell r="C96">
            <v>12739351.071560001</v>
          </cell>
          <cell r="D96">
            <v>0</v>
          </cell>
          <cell r="F96">
            <v>324101.56530000002</v>
          </cell>
          <cell r="G96">
            <v>11327626.50626</v>
          </cell>
          <cell r="H96">
            <v>11651728.071560001</v>
          </cell>
          <cell r="I96">
            <v>1087623</v>
          </cell>
          <cell r="L96">
            <v>1087623</v>
          </cell>
        </row>
        <row r="97">
          <cell r="C97">
            <v>0</v>
          </cell>
          <cell r="H97">
            <v>0</v>
          </cell>
          <cell r="L97">
            <v>0</v>
          </cell>
        </row>
        <row r="98">
          <cell r="B98" t="str">
            <v>Premiums ceded to reinsurers</v>
          </cell>
          <cell r="C98">
            <v>-382220.74485999998</v>
          </cell>
          <cell r="F98">
            <v>-39654.152019999994</v>
          </cell>
          <cell r="G98">
            <v>-266102.59284</v>
          </cell>
          <cell r="H98">
            <v>-305756.74485999998</v>
          </cell>
          <cell r="I98">
            <v>-76464</v>
          </cell>
          <cell r="L98">
            <v>-76464</v>
          </cell>
        </row>
        <row r="99">
          <cell r="C99">
            <v>0</v>
          </cell>
          <cell r="H99">
            <v>0</v>
          </cell>
          <cell r="L99">
            <v>0</v>
          </cell>
        </row>
        <row r="100">
          <cell r="B100" t="str">
            <v xml:space="preserve">Net change in reserve for unearned premium </v>
          </cell>
          <cell r="C100">
            <v>0</v>
          </cell>
          <cell r="H100">
            <v>0</v>
          </cell>
          <cell r="L100">
            <v>0</v>
          </cell>
        </row>
        <row r="101">
          <cell r="C101">
            <v>0</v>
          </cell>
          <cell r="H101">
            <v>0</v>
          </cell>
          <cell r="L101">
            <v>0</v>
          </cell>
        </row>
        <row r="102">
          <cell r="B102" t="str">
            <v>Net earned premiums</v>
          </cell>
          <cell r="C102">
            <v>12357130.326700002</v>
          </cell>
          <cell r="D102">
            <v>0</v>
          </cell>
          <cell r="F102">
            <v>284447.41328000004</v>
          </cell>
          <cell r="G102">
            <v>11061523.913420001</v>
          </cell>
          <cell r="H102">
            <v>11345971.326700002</v>
          </cell>
          <cell r="I102">
            <v>1011159</v>
          </cell>
          <cell r="J102">
            <v>0</v>
          </cell>
          <cell r="K102">
            <v>0</v>
          </cell>
          <cell r="L102">
            <v>1011159</v>
          </cell>
        </row>
        <row r="104">
          <cell r="B104" t="str">
            <v>Other revenue (5.1 to 5.5)</v>
          </cell>
          <cell r="C104">
            <v>5878860.00165</v>
          </cell>
          <cell r="D104">
            <v>554057</v>
          </cell>
          <cell r="F104">
            <v>4745.2081200000011</v>
          </cell>
          <cell r="G104">
            <v>4870015.7935300004</v>
          </cell>
          <cell r="H104">
            <v>4874761.00165</v>
          </cell>
          <cell r="I104">
            <v>185576</v>
          </cell>
          <cell r="J104">
            <v>2863</v>
          </cell>
          <cell r="K104">
            <v>261603</v>
          </cell>
          <cell r="L104">
            <v>450042</v>
          </cell>
        </row>
        <row r="105">
          <cell r="B105" t="str">
            <v>Investment income</v>
          </cell>
          <cell r="C105">
            <v>5097476.5956300013</v>
          </cell>
          <cell r="D105">
            <v>1190966</v>
          </cell>
          <cell r="F105">
            <v>4447.919170000001</v>
          </cell>
          <cell r="G105">
            <v>3396121.6764600007</v>
          </cell>
          <cell r="H105">
            <v>3400569.5956300008</v>
          </cell>
          <cell r="I105">
            <v>28082</v>
          </cell>
          <cell r="J105">
            <v>2862</v>
          </cell>
          <cell r="K105">
            <v>474997</v>
          </cell>
          <cell r="L105">
            <v>505941</v>
          </cell>
        </row>
        <row r="106">
          <cell r="B106" t="str">
            <v>Fees and commission income</v>
          </cell>
          <cell r="C106">
            <v>775726.00411999994</v>
          </cell>
          <cell r="D106">
            <v>0</v>
          </cell>
          <cell r="F106">
            <v>296.47651000000002</v>
          </cell>
          <cell r="G106">
            <v>618949.52760999999</v>
          </cell>
          <cell r="H106">
            <v>619246.00411999994</v>
          </cell>
          <cell r="I106">
            <v>156480</v>
          </cell>
          <cell r="J106">
            <v>0</v>
          </cell>
          <cell r="K106">
            <v>0</v>
          </cell>
          <cell r="L106">
            <v>156480</v>
          </cell>
        </row>
        <row r="107">
          <cell r="B107" t="str">
            <v>Realized gains</v>
          </cell>
          <cell r="C107">
            <v>80064.999639999936</v>
          </cell>
          <cell r="D107">
            <v>-646536</v>
          </cell>
          <cell r="G107">
            <v>745922.99963999994</v>
          </cell>
          <cell r="H107">
            <v>745922.99963999994</v>
          </cell>
          <cell r="I107">
            <v>0</v>
          </cell>
          <cell r="J107">
            <v>0</v>
          </cell>
          <cell r="K107">
            <v>-19322</v>
          </cell>
          <cell r="L107">
            <v>-19322</v>
          </cell>
        </row>
        <row r="108">
          <cell r="B108" t="str">
            <v>Fair value gains and losses</v>
          </cell>
          <cell r="C108">
            <v>-194158</v>
          </cell>
          <cell r="D108">
            <v>0</v>
          </cell>
          <cell r="H108">
            <v>0</v>
          </cell>
          <cell r="I108">
            <v>0</v>
          </cell>
          <cell r="J108">
            <v>0</v>
          </cell>
          <cell r="K108">
            <v>-194158</v>
          </cell>
          <cell r="L108">
            <v>-194158</v>
          </cell>
        </row>
        <row r="109">
          <cell r="B109" t="str">
            <v>Other operating revenue (Please specify)</v>
          </cell>
          <cell r="C109">
            <v>119749.80226</v>
          </cell>
          <cell r="D109">
            <v>9627</v>
          </cell>
          <cell r="F109">
            <v>0.81244000000000005</v>
          </cell>
          <cell r="G109">
            <v>109020.98982</v>
          </cell>
          <cell r="H109">
            <v>109021.80226</v>
          </cell>
          <cell r="I109">
            <v>1014</v>
          </cell>
          <cell r="J109">
            <v>1</v>
          </cell>
          <cell r="K109">
            <v>86</v>
          </cell>
          <cell r="L109">
            <v>1101</v>
          </cell>
        </row>
        <row r="110">
          <cell r="B110" t="str">
            <v>……………………</v>
          </cell>
          <cell r="C110">
            <v>0</v>
          </cell>
          <cell r="H110">
            <v>0</v>
          </cell>
          <cell r="L110">
            <v>0</v>
          </cell>
        </row>
        <row r="111">
          <cell r="B111" t="str">
            <v>……………………</v>
          </cell>
          <cell r="C111">
            <v>0</v>
          </cell>
          <cell r="H111">
            <v>0</v>
          </cell>
          <cell r="L111">
            <v>0</v>
          </cell>
        </row>
        <row r="112">
          <cell r="C112">
            <v>0</v>
          </cell>
          <cell r="H112">
            <v>0</v>
          </cell>
          <cell r="L112">
            <v>0</v>
          </cell>
        </row>
        <row r="113">
          <cell r="B113" t="str">
            <v>Net Income (4+5)</v>
          </cell>
          <cell r="C113">
            <v>18235990.32835</v>
          </cell>
          <cell r="D113">
            <v>554057</v>
          </cell>
          <cell r="F113">
            <v>289192.62140000006</v>
          </cell>
          <cell r="G113">
            <v>15931539.706950001</v>
          </cell>
          <cell r="H113">
            <v>16220732.328350002</v>
          </cell>
          <cell r="I113">
            <v>1196735</v>
          </cell>
          <cell r="J113">
            <v>2863</v>
          </cell>
          <cell r="K113">
            <v>261603</v>
          </cell>
          <cell r="L113">
            <v>1461201</v>
          </cell>
        </row>
        <row r="114">
          <cell r="C114">
            <v>0</v>
          </cell>
          <cell r="H114">
            <v>0</v>
          </cell>
          <cell r="L114">
            <v>0</v>
          </cell>
        </row>
        <row r="115">
          <cell r="B115" t="str">
            <v>Gross benefits and claims paid</v>
          </cell>
          <cell r="C115">
            <v>-5808812.5151300002</v>
          </cell>
          <cell r="D115">
            <v>0</v>
          </cell>
          <cell r="F115">
            <v>-677308.89767999994</v>
          </cell>
          <cell r="G115">
            <v>-3991051.6174500003</v>
          </cell>
          <cell r="H115">
            <v>-4668360.5151300002</v>
          </cell>
          <cell r="I115">
            <v>-1140452</v>
          </cell>
          <cell r="L115">
            <v>-1140452</v>
          </cell>
        </row>
        <row r="116">
          <cell r="B116" t="str">
            <v>Claims ceded to reinsurers</v>
          </cell>
          <cell r="C116">
            <v>164816.07329</v>
          </cell>
          <cell r="D116">
            <v>0</v>
          </cell>
          <cell r="F116">
            <v>11423.199000000001</v>
          </cell>
          <cell r="G116">
            <v>119194.87429000001</v>
          </cell>
          <cell r="H116">
            <v>130618.07329</v>
          </cell>
          <cell r="I116">
            <v>34198</v>
          </cell>
          <cell r="L116">
            <v>34198</v>
          </cell>
        </row>
        <row r="117">
          <cell r="B117" t="str">
            <v>Gross change in contract liabilities</v>
          </cell>
          <cell r="C117">
            <v>-2226839.9949500002</v>
          </cell>
          <cell r="D117">
            <v>1157283.7599999998</v>
          </cell>
          <cell r="F117">
            <v>1014691.96366</v>
          </cell>
          <cell r="G117">
            <v>-4719625.7186099999</v>
          </cell>
          <cell r="H117">
            <v>-3704933.75495</v>
          </cell>
          <cell r="I117">
            <v>320810</v>
          </cell>
          <cell r="L117">
            <v>320810</v>
          </cell>
        </row>
        <row r="118">
          <cell r="B118" t="str">
            <v>Change in contract liabilities ceded to reinsurers</v>
          </cell>
          <cell r="C118">
            <v>0</v>
          </cell>
          <cell r="H118">
            <v>0</v>
          </cell>
          <cell r="L118">
            <v>0</v>
          </cell>
        </row>
        <row r="119">
          <cell r="B119" t="str">
            <v xml:space="preserve">Change in contract liability - life </v>
          </cell>
          <cell r="C119">
            <v>0</v>
          </cell>
          <cell r="H119">
            <v>0</v>
          </cell>
          <cell r="L119">
            <v>0</v>
          </cell>
        </row>
        <row r="120">
          <cell r="B120" t="str">
            <v>Change in contract liability due to transfer of One-off Surplus*</v>
          </cell>
          <cell r="C120">
            <v>0</v>
          </cell>
          <cell r="H120">
            <v>0</v>
          </cell>
          <cell r="L120">
            <v>0</v>
          </cell>
        </row>
        <row r="121">
          <cell r="B121" t="str">
            <v>Net benefits and claims (7 to 12)</v>
          </cell>
          <cell r="C121">
            <v>-7870837.4367899997</v>
          </cell>
          <cell r="D121">
            <v>1157283.7599999998</v>
          </cell>
          <cell r="F121">
            <v>348806.26498000009</v>
          </cell>
          <cell r="G121">
            <v>-8591482.4617699999</v>
          </cell>
          <cell r="H121">
            <v>-8242677.1967899995</v>
          </cell>
          <cell r="I121">
            <v>-785444</v>
          </cell>
          <cell r="J121">
            <v>0</v>
          </cell>
          <cell r="K121">
            <v>0</v>
          </cell>
          <cell r="L121">
            <v>-785444</v>
          </cell>
        </row>
        <row r="122">
          <cell r="C122">
            <v>0</v>
          </cell>
          <cell r="H122">
            <v>0</v>
          </cell>
          <cell r="L122">
            <v>0</v>
          </cell>
        </row>
        <row r="123">
          <cell r="B123" t="str">
            <v>Underwriting and acquisition costs (including reinsurance)</v>
          </cell>
          <cell r="C123">
            <v>-1979881.9731600001</v>
          </cell>
          <cell r="F123">
            <v>-8106.8794599999992</v>
          </cell>
          <cell r="G123">
            <v>-1785793.0937000001</v>
          </cell>
          <cell r="H123">
            <v>-1793899.9731600001</v>
          </cell>
          <cell r="I123">
            <v>-185982</v>
          </cell>
          <cell r="L123">
            <v>-185982</v>
          </cell>
        </row>
        <row r="124">
          <cell r="C124">
            <v>0</v>
          </cell>
          <cell r="H124">
            <v>0</v>
          </cell>
          <cell r="L124">
            <v>0</v>
          </cell>
        </row>
        <row r="125">
          <cell r="B125" t="str">
            <v>Other operating and administrative expenses</v>
          </cell>
          <cell r="C125">
            <v>-6589938.8228099998</v>
          </cell>
          <cell r="D125">
            <v>-134283.09395000001</v>
          </cell>
          <cell r="F125">
            <v>-629892.00692000007</v>
          </cell>
          <cell r="G125">
            <v>-5516814.7219399996</v>
          </cell>
          <cell r="H125">
            <v>-6146706.7288600001</v>
          </cell>
          <cell r="I125">
            <v>-253122</v>
          </cell>
          <cell r="J125">
            <v>-328</v>
          </cell>
          <cell r="K125">
            <v>-55499</v>
          </cell>
          <cell r="L125">
            <v>-308949</v>
          </cell>
        </row>
        <row r="126">
          <cell r="B126" t="str">
            <v>Profit attributable to unit-holders</v>
          </cell>
          <cell r="C126">
            <v>-178480</v>
          </cell>
          <cell r="H126">
            <v>0</v>
          </cell>
          <cell r="I126">
            <v>0</v>
          </cell>
          <cell r="J126">
            <v>-2462</v>
          </cell>
          <cell r="K126">
            <v>-176018</v>
          </cell>
          <cell r="L126">
            <v>-178480</v>
          </cell>
        </row>
        <row r="127">
          <cell r="B127" t="str">
            <v xml:space="preserve">Finance costs </v>
          </cell>
          <cell r="C127">
            <v>0</v>
          </cell>
          <cell r="H127">
            <v>0</v>
          </cell>
          <cell r="L127">
            <v>0</v>
          </cell>
        </row>
        <row r="128">
          <cell r="B128" t="str">
            <v>Other expenses (15 to 17)</v>
          </cell>
          <cell r="C128">
            <v>-6768418.8228099998</v>
          </cell>
          <cell r="D128">
            <v>-134283.09395000001</v>
          </cell>
          <cell r="F128">
            <v>-629892.00692000007</v>
          </cell>
          <cell r="G128">
            <v>-5516814.7219399996</v>
          </cell>
          <cell r="H128">
            <v>-6146706.7288600001</v>
          </cell>
          <cell r="I128">
            <v>-253122</v>
          </cell>
          <cell r="J128">
            <v>-2790</v>
          </cell>
          <cell r="K128">
            <v>-231517</v>
          </cell>
          <cell r="L128">
            <v>-487429</v>
          </cell>
        </row>
        <row r="129">
          <cell r="C129">
            <v>0</v>
          </cell>
          <cell r="H129">
            <v>0</v>
          </cell>
          <cell r="L129">
            <v>0</v>
          </cell>
        </row>
        <row r="130">
          <cell r="B130" t="str">
            <v xml:space="preserve">Profit before tax </v>
          </cell>
          <cell r="C130">
            <v>1616851.0955900024</v>
          </cell>
          <cell r="D130">
            <v>1577057.6660499997</v>
          </cell>
          <cell r="F130">
            <v>0</v>
          </cell>
          <cell r="G130">
            <v>37448.429540001787</v>
          </cell>
          <cell r="H130">
            <v>37448.429540002719</v>
          </cell>
          <cell r="I130">
            <v>-27813</v>
          </cell>
          <cell r="J130">
            <v>72</v>
          </cell>
          <cell r="K130">
            <v>30087</v>
          </cell>
          <cell r="L130">
            <v>2346</v>
          </cell>
        </row>
        <row r="131">
          <cell r="B131" t="str">
            <v>Income tax expense</v>
          </cell>
          <cell r="C131">
            <v>2499007.62916</v>
          </cell>
          <cell r="D131">
            <v>2538801.7034399998</v>
          </cell>
          <cell r="G131">
            <v>-37448.159220000001</v>
          </cell>
          <cell r="H131">
            <v>-37448.159220000001</v>
          </cell>
          <cell r="I131">
            <v>27813.084940000001</v>
          </cell>
          <cell r="J131">
            <v>-72</v>
          </cell>
          <cell r="K131">
            <v>-30087</v>
          </cell>
          <cell r="L131">
            <v>-2345.9150599999994</v>
          </cell>
        </row>
        <row r="132">
          <cell r="C132">
            <v>0</v>
          </cell>
          <cell r="H132">
            <v>0</v>
          </cell>
          <cell r="L132">
            <v>0</v>
          </cell>
        </row>
        <row r="133">
          <cell r="B133" t="str">
            <v>Profit for the period (19-20)</v>
          </cell>
          <cell r="C133">
            <v>4115858.7247500024</v>
          </cell>
          <cell r="D133">
            <v>4115859.3694899995</v>
          </cell>
          <cell r="F133">
            <v>0</v>
          </cell>
          <cell r="G133">
            <v>0.27032000178587623</v>
          </cell>
          <cell r="H133">
            <v>0.2703200027171988</v>
          </cell>
          <cell r="I133">
            <v>8.4940000000642613E-2</v>
          </cell>
          <cell r="J133">
            <v>0</v>
          </cell>
          <cell r="K133">
            <v>0</v>
          </cell>
          <cell r="L133">
            <v>8.4940000000642613E-2</v>
          </cell>
        </row>
      </sheetData>
      <sheetData sheetId="7">
        <row r="17">
          <cell r="B17" t="str">
            <v>Goodwill</v>
          </cell>
        </row>
      </sheetData>
      <sheetData sheetId="8" refreshError="1"/>
      <sheetData sheetId="9" refreshError="1"/>
      <sheetData sheetId="10" refreshError="1"/>
      <sheetData sheetId="11"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 1 - Risk Profile"/>
      <sheetName val="Sheet 2 - General Insurance"/>
      <sheetName val="Sheet 3 - Long Term Insurance"/>
      <sheetName val="Sheet 4 Life &amp; General Combined"/>
      <sheetName val="Sheet 5 - CO-BS - 2013 &amp; 2012"/>
      <sheetName val="Sheet 6 - BR - IN"/>
      <sheetName val="Sheet1"/>
    </sheetNames>
    <sheetDataSet>
      <sheetData sheetId="0" refreshError="1"/>
      <sheetData sheetId="1" refreshError="1">
        <row r="33">
          <cell r="B33" t="str">
            <v>GWP</v>
          </cell>
        </row>
        <row r="39">
          <cell r="C39">
            <v>138182999.55335006</v>
          </cell>
          <cell r="D39">
            <v>84813788.031039998</v>
          </cell>
          <cell r="E39">
            <v>4501945999.0615997</v>
          </cell>
          <cell r="G39">
            <v>646346999.48333991</v>
          </cell>
        </row>
        <row r="160">
          <cell r="C160">
            <v>111866.73726999905</v>
          </cell>
          <cell r="D160">
            <v>85932.345170000015</v>
          </cell>
          <cell r="E160">
            <v>4042847.8693500198</v>
          </cell>
          <cell r="G160">
            <v>611959.9632</v>
          </cell>
        </row>
        <row r="163">
          <cell r="C163">
            <v>-69577.058980000002</v>
          </cell>
          <cell r="D163">
            <v>-46382.139680000008</v>
          </cell>
          <cell r="E163">
            <v>-2482500.2996299998</v>
          </cell>
          <cell r="G163">
            <v>-432294.01051999995</v>
          </cell>
        </row>
      </sheetData>
      <sheetData sheetId="2" refreshError="1"/>
      <sheetData sheetId="3" refreshError="1"/>
      <sheetData sheetId="4" refreshError="1"/>
      <sheetData sheetId="5" refreshError="1"/>
      <sheetData sheetId="6"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 1 - Risk Profile"/>
      <sheetName val="Sheet 2 - General Insurance"/>
      <sheetName val="Sheet 3 - Long Term Insurance"/>
      <sheetName val="Sheet 4 Life &amp; General Combined"/>
      <sheetName val="Sheet 5 - CO-BS - 2013 &amp; 2012"/>
      <sheetName val="Sheet 6 - BR - IN"/>
      <sheetName val="Sheet1"/>
    </sheetNames>
    <sheetDataSet>
      <sheetData sheetId="0" refreshError="1"/>
      <sheetData sheetId="1">
        <row r="10">
          <cell r="C10">
            <v>2511</v>
          </cell>
        </row>
        <row r="39">
          <cell r="C39">
            <v>6625.9590400000025</v>
          </cell>
          <cell r="D39">
            <v>77.86503999999951</v>
          </cell>
          <cell r="E39">
            <v>1237163.7800499999</v>
          </cell>
          <cell r="F39">
            <v>-1186.9653400000025</v>
          </cell>
          <cell r="G39">
            <v>-4730.1627099999996</v>
          </cell>
        </row>
        <row r="42">
          <cell r="C42">
            <v>-7140.2960400000002</v>
          </cell>
          <cell r="D42">
            <v>-2942.90895</v>
          </cell>
          <cell r="E42">
            <v>-631710.04827999999</v>
          </cell>
          <cell r="F42">
            <v>-4224.6822199999997</v>
          </cell>
          <cell r="G42">
            <v>-1270.81774</v>
          </cell>
        </row>
        <row r="157">
          <cell r="C157">
            <v>-17648.952170000004</v>
          </cell>
          <cell r="D157">
            <v>-6118.17839</v>
          </cell>
          <cell r="E157">
            <v>854754.57689000014</v>
          </cell>
          <cell r="F157">
            <v>511.07972999999981</v>
          </cell>
          <cell r="G157">
            <v>-9878.1185899999982</v>
          </cell>
        </row>
        <row r="160">
          <cell r="C160">
            <v>-5097.2243600000002</v>
          </cell>
          <cell r="D160">
            <v>-134.80410999999998</v>
          </cell>
          <cell r="E160">
            <v>-572345.57115999993</v>
          </cell>
          <cell r="F160">
            <v>-280.86914000000002</v>
          </cell>
          <cell r="G160">
            <v>-528.57628</v>
          </cell>
        </row>
      </sheetData>
      <sheetData sheetId="2">
        <row r="166">
          <cell r="C166">
            <v>-13540.343859999999</v>
          </cell>
        </row>
      </sheetData>
      <sheetData sheetId="3" refreshError="1"/>
      <sheetData sheetId="4">
        <row r="13">
          <cell r="B13" t="str">
            <v>Government Debt Securities</v>
          </cell>
        </row>
      </sheetData>
      <sheetData sheetId="5" refreshError="1"/>
      <sheetData sheetId="6"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 1 - Risk Profile"/>
      <sheetName val="Sheet 2 - General Insurance"/>
      <sheetName val="Sheet 3 - Long Term Insurance"/>
      <sheetName val="Sheet 4 Life &amp; General Combined"/>
      <sheetName val="Sheet 5 - CO-BS - 2013 &amp; 2012"/>
      <sheetName val="Sheet 6 - BR - IN"/>
      <sheetName val="Sheet1"/>
    </sheetNames>
    <sheetDataSet>
      <sheetData sheetId="0" refreshError="1"/>
      <sheetData sheetId="1">
        <row r="39">
          <cell r="C39">
            <v>2184.6448099999989</v>
          </cell>
          <cell r="D39">
            <v>8112.2656100000004</v>
          </cell>
          <cell r="E39">
            <v>788630.40683999995</v>
          </cell>
          <cell r="G39">
            <v>199322.15664000003</v>
          </cell>
        </row>
        <row r="42">
          <cell r="C42">
            <v>7490.1331100000007</v>
          </cell>
          <cell r="D42">
            <v>6053.0590399999992</v>
          </cell>
          <cell r="E42">
            <v>629740.41785999993</v>
          </cell>
          <cell r="G42">
            <v>178368.91123</v>
          </cell>
        </row>
        <row r="157">
          <cell r="C157">
            <v>6128.9368600000016</v>
          </cell>
          <cell r="D157">
            <v>8356.355109999995</v>
          </cell>
          <cell r="E157">
            <v>589982.99858000013</v>
          </cell>
          <cell r="G157">
            <v>118820.44835000001</v>
          </cell>
        </row>
        <row r="160">
          <cell r="C160">
            <v>1413.8381999999992</v>
          </cell>
          <cell r="D160">
            <v>2594.6787800000002</v>
          </cell>
          <cell r="E160">
            <v>381705.73232000001</v>
          </cell>
          <cell r="G160">
            <v>79749.784169999984</v>
          </cell>
        </row>
      </sheetData>
      <sheetData sheetId="2" refreshError="1"/>
      <sheetData sheetId="3" refreshError="1"/>
      <sheetData sheetId="4">
        <row r="13">
          <cell r="B13" t="str">
            <v>Government Debt Securities</v>
          </cell>
        </row>
      </sheetData>
      <sheetData sheetId="5" refreshError="1"/>
      <sheetData sheetId="6"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 1 - Risk Profile "/>
      <sheetName val="Sheet 2 - General Insurance"/>
      <sheetName val="Sheet 3 - Long Term Insurance"/>
      <sheetName val="Sheet 4 Life &amp; General Combined"/>
      <sheetName val="Sheet 5 - CO-BS - 2013 &amp; 2012"/>
      <sheetName val="Sheet 6 - BR - IN"/>
    </sheetNames>
    <sheetDataSet>
      <sheetData sheetId="0"/>
      <sheetData sheetId="1">
        <row r="39">
          <cell r="C39">
            <v>120714.60952999997</v>
          </cell>
          <cell r="D39">
            <v>1537.9186100000002</v>
          </cell>
          <cell r="E39">
            <v>2517533.4318400002</v>
          </cell>
          <cell r="G39">
            <v>160694.91036000001</v>
          </cell>
        </row>
        <row r="42">
          <cell r="C42">
            <v>-56830.059180000004</v>
          </cell>
          <cell r="D42">
            <v>-1506.1048099999996</v>
          </cell>
          <cell r="E42">
            <v>-1908846.3736100004</v>
          </cell>
          <cell r="G42">
            <v>-153036.22787</v>
          </cell>
        </row>
        <row r="162">
          <cell r="C162">
            <v>111189.66164999998</v>
          </cell>
          <cell r="D162">
            <v>8727.9344600000004</v>
          </cell>
          <cell r="E162">
            <v>2195967.22358</v>
          </cell>
          <cell r="G162">
            <v>132355</v>
          </cell>
        </row>
        <row r="165">
          <cell r="C165">
            <v>-69741</v>
          </cell>
          <cell r="D165">
            <v>-8142</v>
          </cell>
          <cell r="E165">
            <v>-1730598</v>
          </cell>
          <cell r="G165">
            <v>-161568</v>
          </cell>
        </row>
      </sheetData>
      <sheetData sheetId="2"/>
      <sheetData sheetId="3"/>
      <sheetData sheetId="4">
        <row r="13">
          <cell r="B13" t="str">
            <v>Government Debt Securities</v>
          </cell>
        </row>
      </sheetData>
      <sheetData sheetId="5"/>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 1 - Risk Profile"/>
      <sheetName val="Sheet 2 - General Insurance"/>
      <sheetName val="Sheet 3 - Long Term Insurance"/>
      <sheetName val="Sheet 4 Life &amp; General Combined"/>
      <sheetName val="Sheet 5 - CO-BS - 2013 &amp; 2012"/>
      <sheetName val="Sheet 6 - BR - IN"/>
      <sheetName val="Sheet2"/>
      <sheetName val="Sheet1"/>
    </sheetNames>
    <sheetDataSet>
      <sheetData sheetId="0" refreshError="1"/>
      <sheetData sheetId="1">
        <row r="10">
          <cell r="C10">
            <v>11159</v>
          </cell>
        </row>
        <row r="39">
          <cell r="C39">
            <v>144613.37762999948</v>
          </cell>
          <cell r="D39">
            <v>165892.7511100001</v>
          </cell>
          <cell r="E39">
            <v>7302050.8899200037</v>
          </cell>
          <cell r="F39">
            <v>79915.650380000006</v>
          </cell>
          <cell r="G39">
            <v>2190254.8430200014</v>
          </cell>
        </row>
        <row r="42">
          <cell r="C42">
            <v>36881.427980000022</v>
          </cell>
          <cell r="D42">
            <v>-99422.367870000002</v>
          </cell>
          <cell r="E42">
            <v>-3889709.5711300005</v>
          </cell>
          <cell r="F42">
            <v>-18695.285229999998</v>
          </cell>
          <cell r="G42">
            <v>-1012886.7282900001</v>
          </cell>
        </row>
        <row r="167">
          <cell r="C167">
            <v>145917.17779000013</v>
          </cell>
          <cell r="D167">
            <v>-47642.551130000007</v>
          </cell>
          <cell r="E167">
            <v>-4431042.8633000003</v>
          </cell>
          <cell r="F167">
            <v>-34413.345319999993</v>
          </cell>
          <cell r="G167">
            <v>-1698124.2565500007</v>
          </cell>
        </row>
      </sheetData>
      <sheetData sheetId="2">
        <row r="205">
          <cell r="F205">
            <v>454232</v>
          </cell>
        </row>
      </sheetData>
      <sheetData sheetId="3" refreshError="1"/>
      <sheetData sheetId="4">
        <row r="13">
          <cell r="B13" t="str">
            <v>Government Debt Securities</v>
          </cell>
        </row>
      </sheetData>
      <sheetData sheetId="5" refreshError="1"/>
      <sheetData sheetId="6" refreshError="1"/>
      <sheetData sheetId="7"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 1 - Risk Profile"/>
      <sheetName val="Sheet 2 - General Insurance"/>
      <sheetName val="Sheet 3 - Long Term Insurance"/>
      <sheetName val="Sheet 4 Life &amp; General Combined"/>
      <sheetName val="Sheet 5 - CO-BS - 2013 &amp; 2012"/>
      <sheetName val="Sheet 6 - BR - IN"/>
    </sheetNames>
    <sheetDataSet>
      <sheetData sheetId="0" refreshError="1"/>
      <sheetData sheetId="1">
        <row r="39">
          <cell r="C39">
            <v>9323.4402658333311</v>
          </cell>
          <cell r="E39">
            <v>149168.55084708333</v>
          </cell>
          <cell r="F39">
            <v>0.39600000000000002</v>
          </cell>
          <cell r="G39">
            <v>78619.38594708337</v>
          </cell>
        </row>
        <row r="157">
          <cell r="C157">
            <v>2766.1209099999987</v>
          </cell>
          <cell r="D157">
            <v>0</v>
          </cell>
          <cell r="E157">
            <v>161159.57548999999</v>
          </cell>
          <cell r="F157">
            <v>0</v>
          </cell>
          <cell r="G157">
            <v>52386.550160000035</v>
          </cell>
        </row>
      </sheetData>
      <sheetData sheetId="2">
        <row r="155">
          <cell r="C155">
            <v>-2884</v>
          </cell>
        </row>
      </sheetData>
      <sheetData sheetId="3" refreshError="1"/>
      <sheetData sheetId="4">
        <row r="13">
          <cell r="B13" t="str">
            <v>Government Debt Securities</v>
          </cell>
        </row>
      </sheetData>
      <sheetData sheetId="5"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 1 - Risk Profile"/>
      <sheetName val="Sheet 2 - General Insurance"/>
      <sheetName val="Sheet 3 - Long Term Insurance"/>
      <sheetName val="Sheet 4 Life &amp; General Combined"/>
      <sheetName val="Sheet 5 - CO-BS - 2013 &amp; 2012"/>
      <sheetName val="Sheet 6 - BR - IN"/>
    </sheetNames>
    <sheetDataSet>
      <sheetData sheetId="0" refreshError="1"/>
      <sheetData sheetId="1">
        <row r="10">
          <cell r="C10">
            <v>12786</v>
          </cell>
        </row>
        <row r="39">
          <cell r="C39">
            <v>58842.492000000108</v>
          </cell>
          <cell r="D39">
            <v>124989.71577999997</v>
          </cell>
          <cell r="E39">
            <v>2403174.0531899999</v>
          </cell>
          <cell r="F39">
            <v>35622.643089999998</v>
          </cell>
          <cell r="G39">
            <v>1369705.1760500001</v>
          </cell>
        </row>
        <row r="42">
          <cell r="C42">
            <v>-23137</v>
          </cell>
          <cell r="D42">
            <v>-59830</v>
          </cell>
          <cell r="E42">
            <v>-1649504</v>
          </cell>
          <cell r="F42">
            <v>-13611</v>
          </cell>
          <cell r="G42">
            <v>-1053175</v>
          </cell>
        </row>
        <row r="157">
          <cell r="C157">
            <v>125135.56500000002</v>
          </cell>
          <cell r="D157">
            <v>59769.151319999903</v>
          </cell>
          <cell r="E157">
            <v>2135046.1623499999</v>
          </cell>
          <cell r="F157">
            <v>33395.974390000003</v>
          </cell>
          <cell r="G157">
            <v>1175064.1522499998</v>
          </cell>
        </row>
        <row r="160">
          <cell r="C160">
            <v>-19790.06925</v>
          </cell>
          <cell r="D160">
            <v>-27018.348580000002</v>
          </cell>
          <cell r="E160">
            <v>-1489946.1674800001</v>
          </cell>
          <cell r="F160">
            <v>-13488.727339999999</v>
          </cell>
          <cell r="G160">
            <v>-769860.47753999999</v>
          </cell>
        </row>
      </sheetData>
      <sheetData sheetId="2" refreshError="1"/>
      <sheetData sheetId="3" refreshError="1"/>
      <sheetData sheetId="4">
        <row r="13">
          <cell r="B13" t="str">
            <v>Government Debt Securities</v>
          </cell>
        </row>
      </sheetData>
      <sheetData sheetId="5"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 1 - Risk Profile"/>
      <sheetName val="Sheet 2 - General Insurance"/>
      <sheetName val="Sheet 3 - Long Term Insurance"/>
      <sheetName val="Sheet 4 Life &amp; General Combined"/>
      <sheetName val="Sheet 5 - CO-BS - 2013 &amp; 2012"/>
      <sheetName val="Sheet 6 - BR - IN"/>
      <sheetName val="Sheet1"/>
    </sheetNames>
    <sheetDataSet>
      <sheetData sheetId="0" refreshError="1"/>
      <sheetData sheetId="1">
        <row r="10">
          <cell r="C10">
            <v>130</v>
          </cell>
        </row>
        <row r="39">
          <cell r="C39">
            <v>1724.0207270586238</v>
          </cell>
          <cell r="D39">
            <v>2544.5641891080459</v>
          </cell>
          <cell r="E39">
            <v>233615.15584124965</v>
          </cell>
          <cell r="G39">
            <v>60668.30536728922</v>
          </cell>
        </row>
        <row r="42">
          <cell r="C42">
            <v>-442.56733200000002</v>
          </cell>
          <cell r="D42">
            <v>-636.58943299999999</v>
          </cell>
          <cell r="E42">
            <v>-163657.96072725</v>
          </cell>
          <cell r="G42">
            <v>-32512.326285162999</v>
          </cell>
        </row>
        <row r="157">
          <cell r="C157">
            <v>919.59053914250148</v>
          </cell>
          <cell r="D157">
            <v>1410.5920268613863</v>
          </cell>
          <cell r="E157">
            <v>81797.987727887725</v>
          </cell>
          <cell r="F157">
            <v>0</v>
          </cell>
          <cell r="G157">
            <v>22586.550192785209</v>
          </cell>
        </row>
      </sheetData>
      <sheetData sheetId="2" refreshError="1"/>
      <sheetData sheetId="3" refreshError="1"/>
      <sheetData sheetId="4">
        <row r="13">
          <cell r="B13" t="str">
            <v>Government Debt Securities</v>
          </cell>
        </row>
      </sheetData>
      <sheetData sheetId="5" refreshError="1"/>
      <sheetData sheetId="6"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 1 - Risk Profile"/>
      <sheetName val="Sheet 2 - General Insurance"/>
      <sheetName val="Sheet 3 - Long Term Insurance"/>
      <sheetName val="Sheet 4 Life &amp; General Combined"/>
      <sheetName val="Sheet 5 - CO-BS - 2013 &amp; 2012"/>
      <sheetName val="Sheet 6 - BR - IN"/>
      <sheetName val="Sheet1"/>
    </sheetNames>
    <sheetDataSet>
      <sheetData sheetId="0" refreshError="1"/>
      <sheetData sheetId="1">
        <row r="43">
          <cell r="C43">
            <v>-133767.21389999992</v>
          </cell>
          <cell r="D43">
            <v>-59412.464869999996</v>
          </cell>
          <cell r="E43">
            <v>-2771306.27672</v>
          </cell>
          <cell r="G43">
            <v>-507003.20478999999</v>
          </cell>
        </row>
        <row r="44">
          <cell r="C44">
            <v>133864.51154000001</v>
          </cell>
          <cell r="D44">
            <v>26262.36866</v>
          </cell>
          <cell r="G44">
            <v>52696.749989999997</v>
          </cell>
        </row>
      </sheetData>
      <sheetData sheetId="2" refreshError="1"/>
      <sheetData sheetId="3" refreshError="1"/>
      <sheetData sheetId="4" refreshError="1"/>
      <sheetData sheetId="5" refreshError="1"/>
      <sheetData sheetId="6"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 1 - Risk Profile"/>
      <sheetName val="Sheet 2 - General Insurance"/>
      <sheetName val="Sheet 3 - Long Term Insurance"/>
      <sheetName val="Sheet 4 Life &amp; General Combined"/>
      <sheetName val="Sheet 5 - CO-BS - 2013 &amp; 2012"/>
      <sheetName val="Sheet 6 - BR - IN"/>
    </sheetNames>
    <sheetDataSet>
      <sheetData sheetId="0" refreshError="1"/>
      <sheetData sheetId="1">
        <row r="10">
          <cell r="C10">
            <v>309</v>
          </cell>
        </row>
        <row r="42">
          <cell r="C42">
            <v>3327.4462400000002</v>
          </cell>
          <cell r="E42">
            <v>-8107.1067699999994</v>
          </cell>
          <cell r="F42">
            <v>0</v>
          </cell>
          <cell r="G42">
            <v>-75868.370810000008</v>
          </cell>
        </row>
        <row r="162">
          <cell r="C162">
            <v>3021.2354100000002</v>
          </cell>
          <cell r="E162">
            <v>-8768.7502599999989</v>
          </cell>
          <cell r="G162">
            <v>-63876.173649999997</v>
          </cell>
        </row>
      </sheetData>
      <sheetData sheetId="2" refreshError="1"/>
      <sheetData sheetId="3" refreshError="1"/>
      <sheetData sheetId="4" refreshError="1"/>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Sheet 1 - Risk Profile"/>
      <sheetName val="Sheet 2 - General Insurance"/>
      <sheetName val="Sheet 3 - Long Term Insurance"/>
      <sheetName val="Sheet 4 Other Information"/>
      <sheetName val="Sheet 5 - BR - IN"/>
      <sheetName val="Sheet 6 Income St.- 19 &amp; 18- LI"/>
      <sheetName val="Sheet 7 BS - 2019 &amp; 2018 -LI"/>
      <sheetName val="Sheet 8 BS 2019 &amp; 2018- GI"/>
      <sheetName val="Sheet 9 Income St. 19 &amp; 18-GI"/>
      <sheetName val="Sheet 10 RBC LIFE"/>
      <sheetName val="Sheet 11 RBC GEN"/>
    </sheetNames>
    <sheetDataSet>
      <sheetData sheetId="0"/>
      <sheetData sheetId="1"/>
      <sheetData sheetId="2"/>
      <sheetData sheetId="3">
        <row r="238">
          <cell r="B238" t="str">
            <v>Institutional agents</v>
          </cell>
        </row>
      </sheetData>
      <sheetData sheetId="4"/>
      <sheetData sheetId="5"/>
      <sheetData sheetId="6">
        <row r="18">
          <cell r="B18" t="str">
            <v>GWP</v>
          </cell>
        </row>
        <row r="94">
          <cell r="B94" t="str">
            <v>GWP</v>
          </cell>
          <cell r="C94">
            <v>2610784.7358000004</v>
          </cell>
          <cell r="E94">
            <v>69340.856169999999</v>
          </cell>
          <cell r="F94">
            <v>2541443.8796300003</v>
          </cell>
          <cell r="H94">
            <v>2610784.7358000004</v>
          </cell>
          <cell r="L94">
            <v>0</v>
          </cell>
        </row>
        <row r="95">
          <cell r="C95">
            <v>0</v>
          </cell>
          <cell r="H95">
            <v>0</v>
          </cell>
          <cell r="L95">
            <v>0</v>
          </cell>
        </row>
        <row r="96">
          <cell r="B96" t="str">
            <v>Premiums ceded to reinsurers</v>
          </cell>
          <cell r="C96">
            <v>-217791.59468000001</v>
          </cell>
          <cell r="E96">
            <v>-2422.2232300000001</v>
          </cell>
          <cell r="F96">
            <v>-215369.37145000001</v>
          </cell>
          <cell r="H96">
            <v>-217791.59468000001</v>
          </cell>
          <cell r="L96">
            <v>0</v>
          </cell>
        </row>
        <row r="97">
          <cell r="C97">
            <v>0</v>
          </cell>
          <cell r="H97">
            <v>0</v>
          </cell>
          <cell r="L97">
            <v>0</v>
          </cell>
        </row>
        <row r="98">
          <cell r="B98" t="str">
            <v xml:space="preserve">Net change in reserve for unearned premium </v>
          </cell>
          <cell r="C98">
            <v>0</v>
          </cell>
          <cell r="H98">
            <v>0</v>
          </cell>
          <cell r="L98">
            <v>0</v>
          </cell>
        </row>
        <row r="99">
          <cell r="C99">
            <v>0</v>
          </cell>
          <cell r="H99">
            <v>0</v>
          </cell>
          <cell r="L99">
            <v>0</v>
          </cell>
        </row>
        <row r="100">
          <cell r="B100" t="str">
            <v>Net earned premiums</v>
          </cell>
          <cell r="C100">
            <v>2392993.1411200003</v>
          </cell>
          <cell r="D100">
            <v>0</v>
          </cell>
          <cell r="E100">
            <v>66918.632939999996</v>
          </cell>
          <cell r="F100">
            <v>2326074.5081800004</v>
          </cell>
          <cell r="G100">
            <v>0</v>
          </cell>
          <cell r="H100">
            <v>2392993.1411200003</v>
          </cell>
          <cell r="I100">
            <v>0</v>
          </cell>
          <cell r="J100">
            <v>0</v>
          </cell>
          <cell r="K100">
            <v>0</v>
          </cell>
          <cell r="L100">
            <v>0</v>
          </cell>
        </row>
        <row r="102">
          <cell r="B102" t="str">
            <v>Other revenue (5.1 to 5.5)</v>
          </cell>
          <cell r="C102">
            <v>446085.98370000051</v>
          </cell>
          <cell r="D102">
            <v>103219.61933000003</v>
          </cell>
          <cell r="E102">
            <v>36779.500726615406</v>
          </cell>
          <cell r="F102">
            <v>306086.86364338506</v>
          </cell>
          <cell r="G102">
            <v>0</v>
          </cell>
          <cell r="H102">
            <v>342866.36437000049</v>
          </cell>
          <cell r="I102">
            <v>0</v>
          </cell>
          <cell r="J102">
            <v>0</v>
          </cell>
          <cell r="K102">
            <v>0</v>
          </cell>
          <cell r="L102">
            <v>0</v>
          </cell>
        </row>
        <row r="103">
          <cell r="B103" t="str">
            <v>Investment income</v>
          </cell>
          <cell r="C103">
            <v>402186.20398000046</v>
          </cell>
          <cell r="D103">
            <v>72796.033740000013</v>
          </cell>
          <cell r="E103">
            <v>35242.460802100453</v>
          </cell>
          <cell r="F103">
            <v>294147.70943789999</v>
          </cell>
          <cell r="H103">
            <v>329390.17024000047</v>
          </cell>
          <cell r="L103">
            <v>0</v>
          </cell>
        </row>
        <row r="104">
          <cell r="B104" t="str">
            <v>Fees and commission income</v>
          </cell>
          <cell r="C104">
            <v>27931.87528</v>
          </cell>
          <cell r="D104">
            <v>27931.87528</v>
          </cell>
          <cell r="H104">
            <v>0</v>
          </cell>
          <cell r="L104">
            <v>0</v>
          </cell>
        </row>
        <row r="105">
          <cell r="B105" t="str">
            <v>Realized gains</v>
          </cell>
          <cell r="C105">
            <v>1572.18614</v>
          </cell>
          <cell r="D105">
            <v>-100.9</v>
          </cell>
          <cell r="F105">
            <v>1673.0861400000001</v>
          </cell>
          <cell r="H105">
            <v>1673.0861400000001</v>
          </cell>
          <cell r="L105">
            <v>0</v>
          </cell>
        </row>
        <row r="106">
          <cell r="B106" t="str">
            <v>Fair value gains and losses</v>
          </cell>
          <cell r="C106">
            <v>0</v>
          </cell>
          <cell r="H106">
            <v>0</v>
          </cell>
          <cell r="L106">
            <v>0</v>
          </cell>
        </row>
        <row r="107">
          <cell r="B107" t="str">
            <v>Other operating revenue (Please specify)</v>
          </cell>
          <cell r="C107">
            <v>14395.7183</v>
          </cell>
          <cell r="D107">
            <v>2592.61031</v>
          </cell>
          <cell r="E107">
            <v>1537.0399245149499</v>
          </cell>
          <cell r="F107">
            <v>10266.068065485051</v>
          </cell>
          <cell r="H107">
            <v>11803.10799</v>
          </cell>
          <cell r="L107">
            <v>0</v>
          </cell>
        </row>
        <row r="108">
          <cell r="B108" t="str">
            <v>……………………</v>
          </cell>
          <cell r="C108">
            <v>0</v>
          </cell>
          <cell r="H108">
            <v>0</v>
          </cell>
          <cell r="L108">
            <v>0</v>
          </cell>
        </row>
        <row r="109">
          <cell r="B109" t="str">
            <v>……………………</v>
          </cell>
          <cell r="C109">
            <v>0</v>
          </cell>
          <cell r="H109">
            <v>0</v>
          </cell>
          <cell r="L109">
            <v>0</v>
          </cell>
        </row>
        <row r="110">
          <cell r="C110">
            <v>0</v>
          </cell>
          <cell r="H110">
            <v>0</v>
          </cell>
          <cell r="L110">
            <v>0</v>
          </cell>
        </row>
        <row r="111">
          <cell r="B111" t="str">
            <v>Net Income (4+5)</v>
          </cell>
          <cell r="C111">
            <v>2839079.124820001</v>
          </cell>
          <cell r="D111">
            <v>103219.61933000003</v>
          </cell>
          <cell r="E111">
            <v>103698.13366661541</v>
          </cell>
          <cell r="F111">
            <v>2632161.3718233854</v>
          </cell>
          <cell r="G111">
            <v>0</v>
          </cell>
          <cell r="H111">
            <v>2735859.5054900008</v>
          </cell>
          <cell r="I111">
            <v>0</v>
          </cell>
          <cell r="J111">
            <v>0</v>
          </cell>
          <cell r="K111">
            <v>0</v>
          </cell>
          <cell r="L111">
            <v>0</v>
          </cell>
        </row>
        <row r="112">
          <cell r="C112">
            <v>0</v>
          </cell>
          <cell r="H112">
            <v>0</v>
          </cell>
          <cell r="L112">
            <v>0</v>
          </cell>
        </row>
        <row r="113">
          <cell r="B113" t="str">
            <v>Gross benefits and claims paid</v>
          </cell>
          <cell r="C113">
            <v>-576402.85230000003</v>
          </cell>
          <cell r="E113">
            <v>-94305.888349999994</v>
          </cell>
          <cell r="F113">
            <v>-482096.96395</v>
          </cell>
          <cell r="H113">
            <v>-576402.85230000003</v>
          </cell>
          <cell r="L113">
            <v>0</v>
          </cell>
        </row>
        <row r="114">
          <cell r="B114" t="str">
            <v>Claims ceded to reinsurers</v>
          </cell>
          <cell r="C114">
            <v>99361.517000000007</v>
          </cell>
          <cell r="E114">
            <v>3416.6680000000001</v>
          </cell>
          <cell r="F114">
            <v>95944.849000000002</v>
          </cell>
          <cell r="H114">
            <v>99361.517000000007</v>
          </cell>
          <cell r="L114">
            <v>0</v>
          </cell>
        </row>
        <row r="115">
          <cell r="B115" t="str">
            <v>Gross change in contract liabilities</v>
          </cell>
          <cell r="C115">
            <v>0</v>
          </cell>
          <cell r="H115">
            <v>0</v>
          </cell>
          <cell r="L115">
            <v>0</v>
          </cell>
        </row>
        <row r="116">
          <cell r="B116" t="str">
            <v>Change in contract liabilities ceded to reinsurers</v>
          </cell>
          <cell r="C116">
            <v>0</v>
          </cell>
          <cell r="H116">
            <v>0</v>
          </cell>
          <cell r="L116">
            <v>0</v>
          </cell>
        </row>
        <row r="117">
          <cell r="B117" t="str">
            <v xml:space="preserve">Change in contract liability - life </v>
          </cell>
          <cell r="C117">
            <v>-815559.30283071892</v>
          </cell>
          <cell r="E117">
            <v>22938.451868778098</v>
          </cell>
          <cell r="F117">
            <v>-838497.75469949702</v>
          </cell>
          <cell r="H117">
            <v>-815559.30283071892</v>
          </cell>
          <cell r="L117">
            <v>0</v>
          </cell>
        </row>
        <row r="118">
          <cell r="B118" t="str">
            <v>Change in contract liability due to transfer of One-off Surplus*</v>
          </cell>
          <cell r="C118">
            <v>0</v>
          </cell>
          <cell r="H118">
            <v>0</v>
          </cell>
          <cell r="L118">
            <v>0</v>
          </cell>
        </row>
        <row r="119">
          <cell r="B119" t="str">
            <v>Net benefits and claims (7 to 12)</v>
          </cell>
          <cell r="C119">
            <v>-1292600.6381307191</v>
          </cell>
          <cell r="D119">
            <v>0</v>
          </cell>
          <cell r="E119">
            <v>-67950.768481221894</v>
          </cell>
          <cell r="F119">
            <v>-1224649.8696494971</v>
          </cell>
          <cell r="G119">
            <v>0</v>
          </cell>
          <cell r="H119">
            <v>-1292600.6381307191</v>
          </cell>
          <cell r="I119">
            <v>0</v>
          </cell>
          <cell r="J119">
            <v>0</v>
          </cell>
          <cell r="K119">
            <v>0</v>
          </cell>
          <cell r="L119">
            <v>0</v>
          </cell>
        </row>
        <row r="120">
          <cell r="C120">
            <v>0</v>
          </cell>
          <cell r="H120">
            <v>0</v>
          </cell>
          <cell r="L120">
            <v>0</v>
          </cell>
        </row>
        <row r="121">
          <cell r="B121" t="str">
            <v>Underwriting and acquisition costs (including reinsurance)</v>
          </cell>
          <cell r="C121">
            <v>-195651.97316999998</v>
          </cell>
          <cell r="E121">
            <v>-2957.2762200000002</v>
          </cell>
          <cell r="F121">
            <v>-192694.69694999998</v>
          </cell>
          <cell r="H121">
            <v>-195651.97316999998</v>
          </cell>
          <cell r="L121">
            <v>0</v>
          </cell>
        </row>
        <row r="122">
          <cell r="B122" t="str">
            <v>Franchise fee</v>
          </cell>
          <cell r="C122">
            <v>-98962.253799999991</v>
          </cell>
          <cell r="D122">
            <v>-10002.8812</v>
          </cell>
          <cell r="F122">
            <v>-88959.372599999988</v>
          </cell>
          <cell r="H122">
            <v>-88959.372599999988</v>
          </cell>
          <cell r="L122">
            <v>0</v>
          </cell>
        </row>
        <row r="123">
          <cell r="B123" t="str">
            <v>Other operating and administrative expenses</v>
          </cell>
          <cell r="C123">
            <v>-1485124.9719918787</v>
          </cell>
          <cell r="D123">
            <v>-17906.54005</v>
          </cell>
          <cell r="E123">
            <v>-32374.473399610841</v>
          </cell>
          <cell r="F123">
            <v>-1464725.2198122677</v>
          </cell>
          <cell r="H123">
            <v>-1497099.6932118786</v>
          </cell>
          <cell r="L123">
            <v>0</v>
          </cell>
        </row>
        <row r="124">
          <cell r="B124" t="str">
            <v>Profit attributable to unit-holders</v>
          </cell>
          <cell r="C124">
            <v>0</v>
          </cell>
          <cell r="H124">
            <v>0</v>
          </cell>
          <cell r="L124">
            <v>0</v>
          </cell>
        </row>
        <row r="125">
          <cell r="B125" t="str">
            <v xml:space="preserve">Finance costs </v>
          </cell>
          <cell r="C125">
            <v>0</v>
          </cell>
          <cell r="H125">
            <v>0</v>
          </cell>
          <cell r="L125">
            <v>0</v>
          </cell>
        </row>
        <row r="126">
          <cell r="B126" t="str">
            <v>Other expenses (15 to 17)</v>
          </cell>
          <cell r="C126">
            <v>-1515006.2332618786</v>
          </cell>
          <cell r="D126">
            <v>-17906.54005</v>
          </cell>
          <cell r="E126">
            <v>-32374.473399610841</v>
          </cell>
          <cell r="F126">
            <v>-1464725.2198122677</v>
          </cell>
          <cell r="G126">
            <v>0</v>
          </cell>
          <cell r="H126">
            <v>-1497099.6932118786</v>
          </cell>
          <cell r="I126">
            <v>0</v>
          </cell>
          <cell r="J126">
            <v>0</v>
          </cell>
          <cell r="K126">
            <v>0</v>
          </cell>
          <cell r="L126">
            <v>0</v>
          </cell>
        </row>
        <row r="127">
          <cell r="C127">
            <v>0</v>
          </cell>
          <cell r="H127">
            <v>0</v>
          </cell>
          <cell r="L127">
            <v>0</v>
          </cell>
        </row>
        <row r="128">
          <cell r="B128" t="str">
            <v xml:space="preserve">Profit before tax </v>
          </cell>
          <cell r="C128">
            <v>-263141.9735425968</v>
          </cell>
          <cell r="D128">
            <v>75310.198080000031</v>
          </cell>
          <cell r="E128">
            <v>415.61556578267482</v>
          </cell>
          <cell r="F128">
            <v>-338867.78718837944</v>
          </cell>
          <cell r="G128">
            <v>0</v>
          </cell>
          <cell r="H128">
            <v>-338452.1716225968</v>
          </cell>
          <cell r="I128">
            <v>0</v>
          </cell>
          <cell r="J128">
            <v>0</v>
          </cell>
          <cell r="K128">
            <v>0</v>
          </cell>
          <cell r="L128">
            <v>0</v>
          </cell>
        </row>
        <row r="129">
          <cell r="B129" t="str">
            <v>Income tax expense</v>
          </cell>
          <cell r="C129">
            <v>0</v>
          </cell>
          <cell r="H129">
            <v>0</v>
          </cell>
          <cell r="L129">
            <v>0</v>
          </cell>
        </row>
        <row r="130">
          <cell r="C130">
            <v>0</v>
          </cell>
          <cell r="H130">
            <v>0</v>
          </cell>
          <cell r="L130">
            <v>0</v>
          </cell>
        </row>
        <row r="131">
          <cell r="B131" t="str">
            <v>Profit for the period (19-20)</v>
          </cell>
          <cell r="C131">
            <v>-263141.9735425968</v>
          </cell>
          <cell r="D131">
            <v>75310.198080000031</v>
          </cell>
          <cell r="E131">
            <v>415.61556578267482</v>
          </cell>
          <cell r="F131">
            <v>-338867.78718837944</v>
          </cell>
          <cell r="G131">
            <v>0</v>
          </cell>
          <cell r="H131">
            <v>-338452.1716225968</v>
          </cell>
          <cell r="I131">
            <v>0</v>
          </cell>
          <cell r="J131">
            <v>0</v>
          </cell>
          <cell r="K131">
            <v>0</v>
          </cell>
          <cell r="L131">
            <v>0</v>
          </cell>
        </row>
      </sheetData>
      <sheetData sheetId="7">
        <row r="17">
          <cell r="B17" t="str">
            <v>Goodwill</v>
          </cell>
        </row>
      </sheetData>
      <sheetData sheetId="8"/>
      <sheetData sheetId="9"/>
      <sheetData sheetId="10"/>
      <sheetData sheetId="1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 1 - Risk Profile"/>
      <sheetName val="Sheet 2 - General Insurance"/>
      <sheetName val="Sheet 3 - Long term Insurance"/>
      <sheetName val="Sheet 4 Life &amp; General Combined"/>
      <sheetName val="Sheet 5 - CO-BS - 2012 &amp; 2011"/>
      <sheetName val="Sheet 6 - BR - IN"/>
      <sheetName val="Sheet1"/>
    </sheetNames>
    <sheetDataSet>
      <sheetData sheetId="0" refreshError="1"/>
      <sheetData sheetId="1">
        <row r="10">
          <cell r="C10">
            <v>299</v>
          </cell>
          <cell r="D10">
            <v>591</v>
          </cell>
          <cell r="E10">
            <v>306</v>
          </cell>
          <cell r="F10">
            <v>8828</v>
          </cell>
          <cell r="G10">
            <v>19</v>
          </cell>
          <cell r="H10">
            <v>89</v>
          </cell>
        </row>
        <row r="11">
          <cell r="C11">
            <v>1</v>
          </cell>
          <cell r="D11">
            <v>0</v>
          </cell>
          <cell r="E11">
            <v>0</v>
          </cell>
          <cell r="F11">
            <v>41</v>
          </cell>
        </row>
        <row r="12">
          <cell r="C12">
            <v>3</v>
          </cell>
          <cell r="D12">
            <v>1</v>
          </cell>
          <cell r="E12">
            <v>3</v>
          </cell>
          <cell r="F12">
            <v>15</v>
          </cell>
        </row>
        <row r="15">
          <cell r="C15">
            <v>252</v>
          </cell>
          <cell r="D15">
            <v>561</v>
          </cell>
          <cell r="E15">
            <v>310</v>
          </cell>
          <cell r="F15">
            <v>7722</v>
          </cell>
          <cell r="G15">
            <v>16</v>
          </cell>
          <cell r="H15">
            <v>80</v>
          </cell>
        </row>
        <row r="16">
          <cell r="C16">
            <v>3</v>
          </cell>
          <cell r="D16">
            <v>15</v>
          </cell>
          <cell r="E16">
            <v>6</v>
          </cell>
          <cell r="F16">
            <v>50</v>
          </cell>
        </row>
        <row r="170">
          <cell r="C170">
            <v>19952.125469999999</v>
          </cell>
        </row>
        <row r="181">
          <cell r="C181">
            <v>2914.51253</v>
          </cell>
        </row>
      </sheetData>
      <sheetData sheetId="2" refreshError="1"/>
      <sheetData sheetId="3" refreshError="1"/>
      <sheetData sheetId="4" refreshError="1"/>
      <sheetData sheetId="5" refreshError="1"/>
      <sheetData sheetId="6"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 1 - Risk Profile"/>
      <sheetName val="Sheet 2 - General Insurance"/>
      <sheetName val="Sheet 3 - Long term Insurance"/>
      <sheetName val="Sheet 4 Life &amp; General Combined"/>
      <sheetName val="Sheet 5 - CO-BS - 2012 &amp; 2011"/>
      <sheetName val="Sheet 6 - BR - IN"/>
      <sheetName val="Sheet3"/>
    </sheetNames>
    <sheetDataSet>
      <sheetData sheetId="0" refreshError="1"/>
      <sheetData sheetId="1">
        <row r="10">
          <cell r="C10">
            <v>126</v>
          </cell>
          <cell r="D10">
            <v>1339</v>
          </cell>
          <cell r="E10">
            <v>456</v>
          </cell>
          <cell r="F10">
            <v>22730</v>
          </cell>
          <cell r="G10">
            <v>9</v>
          </cell>
          <cell r="H10">
            <v>102</v>
          </cell>
        </row>
        <row r="11">
          <cell r="C11">
            <v>217</v>
          </cell>
          <cell r="D11">
            <v>1</v>
          </cell>
          <cell r="E11">
            <v>136</v>
          </cell>
          <cell r="F11">
            <v>21783</v>
          </cell>
          <cell r="G11">
            <v>7</v>
          </cell>
          <cell r="H11">
            <v>181</v>
          </cell>
        </row>
        <row r="12">
          <cell r="C12">
            <v>92</v>
          </cell>
          <cell r="D12">
            <v>785</v>
          </cell>
          <cell r="E12">
            <v>344</v>
          </cell>
          <cell r="F12">
            <v>30264</v>
          </cell>
          <cell r="G12">
            <v>8</v>
          </cell>
          <cell r="H12">
            <v>80</v>
          </cell>
        </row>
        <row r="13">
          <cell r="C13">
            <v>437</v>
          </cell>
          <cell r="D13">
            <v>193</v>
          </cell>
          <cell r="E13">
            <v>165</v>
          </cell>
          <cell r="F13">
            <v>10719</v>
          </cell>
          <cell r="G13">
            <v>15</v>
          </cell>
          <cell r="H13">
            <v>608</v>
          </cell>
        </row>
        <row r="15">
          <cell r="C15">
            <v>312</v>
          </cell>
          <cell r="D15">
            <v>427</v>
          </cell>
          <cell r="E15">
            <v>551</v>
          </cell>
          <cell r="F15">
            <v>44274</v>
          </cell>
          <cell r="G15">
            <v>46</v>
          </cell>
          <cell r="H15">
            <v>193</v>
          </cell>
        </row>
        <row r="16">
          <cell r="C16">
            <v>476</v>
          </cell>
          <cell r="D16">
            <v>797</v>
          </cell>
          <cell r="F16">
            <v>35364</v>
          </cell>
          <cell r="G16">
            <v>18</v>
          </cell>
          <cell r="H16">
            <v>593</v>
          </cell>
        </row>
        <row r="34">
          <cell r="C34">
            <v>41423.144014163736</v>
          </cell>
          <cell r="D34">
            <v>207.799542</v>
          </cell>
          <cell r="F34">
            <v>1708.6523404500001</v>
          </cell>
          <cell r="G34">
            <v>2657.0910914999999</v>
          </cell>
        </row>
        <row r="117">
          <cell r="C117">
            <v>31660.61298726725</v>
          </cell>
          <cell r="F117">
            <v>1151.3513294933514</v>
          </cell>
          <cell r="G117">
            <v>4245.693793966002</v>
          </cell>
        </row>
      </sheetData>
      <sheetData sheetId="2" refreshError="1"/>
      <sheetData sheetId="3" refreshError="1"/>
      <sheetData sheetId="4" refreshError="1"/>
      <sheetData sheetId="5" refreshError="1"/>
      <sheetData sheetId="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 1 - Risk Profile"/>
      <sheetName val="Sheet 2 - General Insurance"/>
      <sheetName val="Sheet 3 - Long term Insurance"/>
      <sheetName val="Sheet 4 Life &amp; General Combined"/>
      <sheetName val="Sheet 5 - CO-BS - 2012 &amp; 2011"/>
      <sheetName val="Sheet 6 - BR - IN"/>
      <sheetName val="Sheet1"/>
    </sheetNames>
    <sheetDataSet>
      <sheetData sheetId="0" refreshError="1"/>
      <sheetData sheetId="1">
        <row r="10">
          <cell r="C10">
            <v>2351</v>
          </cell>
          <cell r="D10">
            <v>1574</v>
          </cell>
          <cell r="E10">
            <v>136072</v>
          </cell>
          <cell r="F10">
            <v>40737</v>
          </cell>
          <cell r="G10">
            <v>489</v>
          </cell>
          <cell r="H10">
            <v>14348</v>
          </cell>
        </row>
        <row r="11">
          <cell r="C11">
            <v>1354</v>
          </cell>
          <cell r="D11">
            <v>103</v>
          </cell>
          <cell r="E11">
            <v>107233</v>
          </cell>
          <cell r="F11">
            <v>37189</v>
          </cell>
          <cell r="G11">
            <v>129</v>
          </cell>
          <cell r="H11">
            <v>1333</v>
          </cell>
        </row>
        <row r="12">
          <cell r="C12">
            <v>3049</v>
          </cell>
          <cell r="D12">
            <v>1397</v>
          </cell>
          <cell r="E12">
            <v>81432</v>
          </cell>
          <cell r="F12">
            <v>44668</v>
          </cell>
          <cell r="G12">
            <v>406</v>
          </cell>
          <cell r="H12">
            <v>14261</v>
          </cell>
        </row>
        <row r="13">
          <cell r="C13">
            <v>1160</v>
          </cell>
          <cell r="D13">
            <v>172</v>
          </cell>
          <cell r="E13">
            <v>19834</v>
          </cell>
          <cell r="F13">
            <v>18404</v>
          </cell>
          <cell r="G13">
            <v>95</v>
          </cell>
          <cell r="H13">
            <v>1278</v>
          </cell>
        </row>
        <row r="15">
          <cell r="C15">
            <v>3871</v>
          </cell>
          <cell r="D15">
            <v>1225</v>
          </cell>
          <cell r="E15">
            <v>243305</v>
          </cell>
          <cell r="F15">
            <v>77926</v>
          </cell>
          <cell r="G15">
            <v>129</v>
          </cell>
          <cell r="H15">
            <v>1333</v>
          </cell>
        </row>
        <row r="16">
          <cell r="C16">
            <v>4584</v>
          </cell>
          <cell r="D16">
            <v>1101</v>
          </cell>
          <cell r="E16">
            <v>101266</v>
          </cell>
          <cell r="F16">
            <v>63072</v>
          </cell>
          <cell r="G16">
            <v>95</v>
          </cell>
          <cell r="H16">
            <v>1278</v>
          </cell>
        </row>
        <row r="34">
          <cell r="C34">
            <v>-291.71800000000002</v>
          </cell>
          <cell r="E34">
            <v>-240.27</v>
          </cell>
        </row>
      </sheetData>
      <sheetData sheetId="2">
        <row r="147">
          <cell r="C147">
            <v>1058.144</v>
          </cell>
          <cell r="D147">
            <v>562.79100000000005</v>
          </cell>
          <cell r="E147">
            <v>363.91399999999999</v>
          </cell>
          <cell r="F147">
            <v>398.43900000000002</v>
          </cell>
          <cell r="G147">
            <v>207.49993000000001</v>
          </cell>
        </row>
        <row r="148">
          <cell r="C148">
            <v>5191.2724000000007</v>
          </cell>
          <cell r="D148">
            <v>2351.67607</v>
          </cell>
          <cell r="E148">
            <v>3994.3359999999998</v>
          </cell>
          <cell r="F148">
            <v>3103.4940000000001</v>
          </cell>
          <cell r="G148">
            <v>2862.011</v>
          </cell>
        </row>
      </sheetData>
      <sheetData sheetId="3" refreshError="1"/>
      <sheetData sheetId="4" refreshError="1"/>
      <sheetData sheetId="5" refreshError="1"/>
      <sheetData sheetId="6"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 1 - Risk Profile"/>
      <sheetName val="Sheet 2 - General Insurance"/>
      <sheetName val="Sheet 3 - Long term Insurance"/>
      <sheetName val="Sheet 4 Life &amp; General Combined"/>
      <sheetName val="Sheet 5 - CO-BS - 2012 &amp; 2011"/>
      <sheetName val="Sheet 6 - BR - IN"/>
      <sheetName val="Sheet1"/>
    </sheetNames>
    <sheetDataSet>
      <sheetData sheetId="0" refreshError="1"/>
      <sheetData sheetId="1">
        <row r="10">
          <cell r="C10">
            <v>231</v>
          </cell>
        </row>
        <row r="12">
          <cell r="F12">
            <v>28290</v>
          </cell>
        </row>
        <row r="34">
          <cell r="C34">
            <v>-5070.0688700000001</v>
          </cell>
        </row>
      </sheetData>
      <sheetData sheetId="2" refreshError="1"/>
      <sheetData sheetId="3" refreshError="1"/>
      <sheetData sheetId="4">
        <row r="29">
          <cell r="D29">
            <v>3814.3908199999996</v>
          </cell>
        </row>
      </sheetData>
      <sheetData sheetId="5" refreshError="1"/>
      <sheetData sheetId="6"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 1 - Risk Profile "/>
      <sheetName val="Sheet 2 - General Insurance"/>
      <sheetName val="Sheet 3 - Long term Insurance"/>
      <sheetName val="Sheet 4 Life &amp; General Combined"/>
      <sheetName val="Sheet 5 - CO-BS - 2012 &amp; 2011"/>
      <sheetName val="Sheet 6 - BR - IN"/>
    </sheetNames>
    <sheetDataSet>
      <sheetData sheetId="0"/>
      <sheetData sheetId="1">
        <row r="10">
          <cell r="C10">
            <v>3495</v>
          </cell>
          <cell r="D10">
            <v>337</v>
          </cell>
          <cell r="E10">
            <v>950</v>
          </cell>
          <cell r="F10">
            <v>26358</v>
          </cell>
          <cell r="G10">
            <v>1</v>
          </cell>
          <cell r="H10">
            <v>2080</v>
          </cell>
        </row>
        <row r="11">
          <cell r="C11">
            <v>5013</v>
          </cell>
          <cell r="E11">
            <v>716</v>
          </cell>
          <cell r="F11">
            <v>55664</v>
          </cell>
          <cell r="G11">
            <v>2</v>
          </cell>
          <cell r="H11">
            <v>87</v>
          </cell>
        </row>
        <row r="12">
          <cell r="C12">
            <v>4535</v>
          </cell>
          <cell r="D12">
            <v>2346</v>
          </cell>
          <cell r="E12">
            <v>1038</v>
          </cell>
          <cell r="F12">
            <v>46339</v>
          </cell>
          <cell r="G12">
            <v>3</v>
          </cell>
          <cell r="H12">
            <v>2474</v>
          </cell>
        </row>
        <row r="13">
          <cell r="C13">
            <v>1545</v>
          </cell>
          <cell r="E13">
            <v>75</v>
          </cell>
          <cell r="F13">
            <v>18685</v>
          </cell>
          <cell r="G13">
            <v>1</v>
          </cell>
          <cell r="H13">
            <v>52</v>
          </cell>
        </row>
        <row r="15">
          <cell r="C15">
            <v>8508</v>
          </cell>
          <cell r="D15">
            <v>337</v>
          </cell>
          <cell r="E15">
            <v>1621</v>
          </cell>
          <cell r="F15">
            <v>76076</v>
          </cell>
          <cell r="G15">
            <v>3</v>
          </cell>
          <cell r="H15">
            <v>2167</v>
          </cell>
        </row>
        <row r="16">
          <cell r="C16">
            <v>6080</v>
          </cell>
          <cell r="D16">
            <v>2346</v>
          </cell>
          <cell r="E16">
            <v>1085</v>
          </cell>
          <cell r="F16">
            <v>60946</v>
          </cell>
          <cell r="G16">
            <v>4</v>
          </cell>
          <cell r="H16">
            <v>2526</v>
          </cell>
        </row>
        <row r="120">
          <cell r="C120">
            <v>-909</v>
          </cell>
        </row>
      </sheetData>
      <sheetData sheetId="2"/>
      <sheetData sheetId="3"/>
      <sheetData sheetId="4"/>
      <sheetData sheetId="5"/>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s>
    <sheetDataSet>
      <sheetData sheetId="0">
        <row r="13">
          <cell r="G13">
            <v>3125794</v>
          </cell>
          <cell r="H13">
            <v>3390993</v>
          </cell>
          <cell r="I13">
            <v>3595068</v>
          </cell>
          <cell r="J13">
            <v>3954311</v>
          </cell>
        </row>
        <row r="25">
          <cell r="G25">
            <v>297892</v>
          </cell>
          <cell r="H25">
            <v>265199</v>
          </cell>
          <cell r="I25">
            <v>204075</v>
          </cell>
          <cell r="J25">
            <v>359243</v>
          </cell>
        </row>
      </sheetData>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 1 - Risk Profile"/>
      <sheetName val="Sheet 2 - General Insurance"/>
      <sheetName val="Sheet 3 - Long term Insurance"/>
      <sheetName val="Sheet 4 Life &amp; General Combined"/>
      <sheetName val="Sheet 5 - CO-BS - 2012 &amp; 2011"/>
      <sheetName val="Sheet 6 - BR - IN"/>
      <sheetName val="Sheet1"/>
    </sheetNames>
    <sheetDataSet>
      <sheetData sheetId="0" refreshError="1"/>
      <sheetData sheetId="1">
        <row r="10">
          <cell r="C10">
            <v>544</v>
          </cell>
          <cell r="D10">
            <v>106</v>
          </cell>
          <cell r="E10">
            <v>188</v>
          </cell>
          <cell r="F10">
            <v>63222</v>
          </cell>
          <cell r="G10">
            <v>41</v>
          </cell>
          <cell r="H10">
            <v>95</v>
          </cell>
        </row>
        <row r="11">
          <cell r="F11">
            <v>27923</v>
          </cell>
        </row>
        <row r="15">
          <cell r="C15">
            <v>544</v>
          </cell>
          <cell r="D15">
            <v>106</v>
          </cell>
          <cell r="E15">
            <v>188</v>
          </cell>
          <cell r="F15">
            <v>91145</v>
          </cell>
          <cell r="G15">
            <v>41</v>
          </cell>
          <cell r="H15">
            <v>95</v>
          </cell>
        </row>
        <row r="16">
          <cell r="F16">
            <v>28290</v>
          </cell>
        </row>
      </sheetData>
      <sheetData sheetId="2" refreshError="1"/>
      <sheetData sheetId="3" refreshError="1"/>
      <sheetData sheetId="4"/>
      <sheetData sheetId="5" refreshError="1"/>
      <sheetData sheetId="6"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 1 - Risk Profile"/>
      <sheetName val="Sheet 2 - General Insurance"/>
      <sheetName val="Sheet 3 - Long term Insurance"/>
      <sheetName val="Sheet 4 Life &amp; General Combined"/>
      <sheetName val="Sheet 5 - CO-BS - 2012 &amp; 2011"/>
      <sheetName val="Sheet 6 - BR - IN"/>
      <sheetName val="Sheet1"/>
    </sheetNames>
    <sheetDataSet>
      <sheetData sheetId="0" refreshError="1"/>
      <sheetData sheetId="1">
        <row r="10">
          <cell r="C10">
            <v>1090</v>
          </cell>
          <cell r="D10">
            <v>1817</v>
          </cell>
          <cell r="E10">
            <v>17603</v>
          </cell>
          <cell r="F10">
            <v>18134</v>
          </cell>
          <cell r="H10">
            <v>2580</v>
          </cell>
        </row>
        <row r="11">
          <cell r="C11">
            <v>487</v>
          </cell>
          <cell r="D11">
            <v>227</v>
          </cell>
          <cell r="F11">
            <v>48451</v>
          </cell>
          <cell r="H11">
            <v>332</v>
          </cell>
        </row>
        <row r="12">
          <cell r="C12">
            <v>844</v>
          </cell>
          <cell r="D12">
            <v>1540</v>
          </cell>
          <cell r="F12">
            <v>23081</v>
          </cell>
          <cell r="H12">
            <v>1626</v>
          </cell>
        </row>
        <row r="13">
          <cell r="C13">
            <v>292</v>
          </cell>
          <cell r="D13">
            <v>145</v>
          </cell>
          <cell r="F13">
            <v>10665</v>
          </cell>
          <cell r="H13">
            <v>378</v>
          </cell>
        </row>
        <row r="15">
          <cell r="C15">
            <v>1294</v>
          </cell>
          <cell r="D15">
            <v>1802</v>
          </cell>
          <cell r="E15">
            <v>17603</v>
          </cell>
          <cell r="F15">
            <v>30848</v>
          </cell>
          <cell r="H15">
            <v>2727</v>
          </cell>
        </row>
        <row r="16">
          <cell r="C16">
            <v>1008</v>
          </cell>
          <cell r="D16">
            <v>1532</v>
          </cell>
          <cell r="F16">
            <v>29587</v>
          </cell>
          <cell r="H16">
            <v>1833</v>
          </cell>
        </row>
      </sheetData>
      <sheetData sheetId="2" refreshError="1"/>
      <sheetData sheetId="3" refreshError="1"/>
      <sheetData sheetId="4">
        <row r="13">
          <cell r="B13" t="str">
            <v>Government Debt Securities</v>
          </cell>
        </row>
      </sheetData>
      <sheetData sheetId="5" refreshError="1"/>
      <sheetData sheetId="6"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 1 - Risk Profile"/>
      <sheetName val="Sheet 2 - General Insurance"/>
      <sheetName val="Sheet 3 - Long term Insurance"/>
      <sheetName val="Sheet 4 Life &amp; General Combined"/>
      <sheetName val="Sheet 5 - CO-BS - 2012 &amp; 2011"/>
      <sheetName val="Sheet 6 - BR - IN"/>
      <sheetName val="Sheet1"/>
    </sheetNames>
    <sheetDataSet>
      <sheetData sheetId="0"/>
      <sheetData sheetId="1">
        <row r="10">
          <cell r="C10">
            <v>3923</v>
          </cell>
          <cell r="H10">
            <v>6279</v>
          </cell>
        </row>
        <row r="11">
          <cell r="G11">
            <v>999</v>
          </cell>
          <cell r="H11">
            <v>3560</v>
          </cell>
        </row>
        <row r="12">
          <cell r="C12">
            <v>3341</v>
          </cell>
          <cell r="D12">
            <v>25472</v>
          </cell>
          <cell r="G12">
            <v>452</v>
          </cell>
          <cell r="H12">
            <v>7579</v>
          </cell>
        </row>
        <row r="13">
          <cell r="C13">
            <v>7201</v>
          </cell>
          <cell r="D13">
            <v>304</v>
          </cell>
          <cell r="G13">
            <v>970</v>
          </cell>
          <cell r="H13">
            <v>3181</v>
          </cell>
        </row>
        <row r="15">
          <cell r="F15">
            <v>98698</v>
          </cell>
          <cell r="G15">
            <v>1531</v>
          </cell>
          <cell r="H15">
            <v>9839</v>
          </cell>
        </row>
        <row r="16">
          <cell r="C16">
            <v>10542</v>
          </cell>
          <cell r="D16">
            <v>25776</v>
          </cell>
          <cell r="G16">
            <v>1422</v>
          </cell>
          <cell r="H16">
            <v>10760</v>
          </cell>
        </row>
      </sheetData>
      <sheetData sheetId="2"/>
      <sheetData sheetId="3"/>
      <sheetData sheetId="4"/>
      <sheetData sheetId="5"/>
      <sheetData sheetId="6"/>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 3 - Long term Insurance"/>
      <sheetName val="Sheet 4 Life &amp; General Combined"/>
      <sheetName val="Sheet 5 - CO-BS - 2012 &amp; 2011"/>
      <sheetName val="Sheet 6 - BR - IN"/>
      <sheetName val="Sheet1"/>
    </sheetNames>
    <sheetDataSet>
      <sheetData sheetId="0">
        <row r="144">
          <cell r="C144">
            <v>5183</v>
          </cell>
          <cell r="E144">
            <v>8406</v>
          </cell>
          <cell r="F144">
            <v>7974</v>
          </cell>
          <cell r="G144">
            <v>1790</v>
          </cell>
        </row>
      </sheetData>
      <sheetData sheetId="1" refreshError="1"/>
      <sheetData sheetId="2" refreshError="1"/>
      <sheetData sheetId="3" refreshError="1"/>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3(i) -Motor Policies"/>
      <sheetName val="Additional Data GI - 2013"/>
      <sheetName val="Additional Data GI - 2012"/>
      <sheetName val="Expenses 2008&amp;09 GI"/>
      <sheetName val="TR - 2012"/>
      <sheetName val="T12 GI - Claims Age"/>
      <sheetName val="GI - Claims Age Rs. 2012 "/>
      <sheetName val="NEP - LI - 2011 &amp; 12"/>
      <sheetName val="GI - Claims Outs - 2013"/>
      <sheetName val="LI - # of Customers"/>
      <sheetName val="Forf &amp; Surrender"/>
      <sheetName val="GWP - Dist Chan - LI (aft adjs)"/>
      <sheetName val="Claim Details - LI"/>
      <sheetName val="T21 Age Claims Outs LI"/>
      <sheetName val="Age Claims Outs LI Rs.'000"/>
      <sheetName val="Marine Claims"/>
      <sheetName val="Marine Earned Premium"/>
      <sheetName val="SRCC &amp; TC 2011 &amp; 12"/>
      <sheetName val="Co Ins Outward"/>
      <sheetName val="List of tables"/>
      <sheetName val="New - LT"/>
      <sheetName val="New Busi LT"/>
      <sheetName val="New &amp; Inforced Policies LI"/>
      <sheetName val="Inforced LI"/>
      <sheetName val="Table 1 - penetration"/>
      <sheetName val="Table 2, 3 Chart 1 Assets"/>
      <sheetName val="Chart 2 Assets Conce"/>
      <sheetName val="Table 4 - SH"/>
      <sheetName val="AR Table 05 &amp;  Chart 3 CBSL Dat"/>
      <sheetName val="Table 6 - Branches-Emp-Agents"/>
      <sheetName val="Chart 5 - GWP - Dist Chan - GI"/>
      <sheetName val="Table 07, Chart 6 &amp; 7 GWP LT"/>
      <sheetName val="Chart 8 - Life Benifits Rs.'000"/>
      <sheetName val="# of Life Benifits Paid"/>
      <sheetName val="AR Table 9 &amp; Chart 9 -Assets LT"/>
      <sheetName val="Table 10 -Investment Income LI "/>
      <sheetName val="Chart 10 - LI - laps new "/>
      <sheetName val="Table 11- Solvency LI "/>
      <sheetName val="Table 12, Chart 11 &amp; 12 GWP GI"/>
      <sheetName val="Table 13 &amp; Chart 13 - GWP Class"/>
      <sheetName val="Table 14 - Misc BU GWP"/>
      <sheetName val="AR Table 15 &amp; Chart 15 Retentio"/>
      <sheetName val="AR table 16 &amp; Chart 16 combine"/>
      <sheetName val="Table 17 &amp; Chart 17 Assets SH"/>
      <sheetName val="Table 18 - Investment Income GI"/>
      <sheetName val="Table 19 - Solvency  GI "/>
      <sheetName val="T20  - GI Policies "/>
      <sheetName val="LI - Solvency"/>
      <sheetName val="AR6&amp;7 Support I"/>
      <sheetName val="P &amp; L - GI - 2012 "/>
      <sheetName val="AR6&amp;7 Support II"/>
      <sheetName val="Invest Income GI - 2013"/>
      <sheetName val="Invest Income GI - 2012 "/>
      <sheetName val="GI - Solvency"/>
      <sheetName val="AR 5 Support"/>
      <sheetName val="InV Income  - Life"/>
      <sheetName val="BS 2013"/>
      <sheetName val="Sheet3"/>
      <sheetName val="BS 2012"/>
      <sheetName val="P &amp; L - GI - 2013"/>
      <sheetName val="GWP - LT + GI  (2)"/>
      <sheetName val="GWP - LT + GI "/>
      <sheetName val="GWP - Dist Chan - LI"/>
      <sheetName val="Sheet4"/>
      <sheetName val="To Rajan"/>
      <sheetName val="AR 6&amp;7 Support III"/>
      <sheetName val="AR7&amp;8 Support"/>
      <sheetName val="Ratio"/>
      <sheetName val="Premium Receivable"/>
      <sheetName val="LI - laps new  (2)"/>
      <sheetName val="P &amp; L LI 2013 &amp; 12"/>
      <sheetName val="BR -IN"/>
      <sheetName val="New GI"/>
      <sheetName val="T14 (i) -GI Sum Insu"/>
      <sheetName val="T14As % of National Income"/>
      <sheetName val="Sheet1"/>
      <sheetName val="Ratios"/>
      <sheetName val="Sheet2"/>
      <sheetName val="AR table 6 &amp; Chart 7 (2)"/>
      <sheetName val="Sheet5"/>
      <sheetName val="LI - laps Tot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ow r="6">
          <cell r="V6">
            <v>1424130.0917486532</v>
          </cell>
        </row>
      </sheetData>
      <sheetData sheetId="49">
        <row r="9">
          <cell r="H9">
            <v>-2238827.710423843</v>
          </cell>
        </row>
        <row r="10">
          <cell r="H10">
            <v>-8698350.6519710943</v>
          </cell>
        </row>
        <row r="13">
          <cell r="H13">
            <v>38453601.911363319</v>
          </cell>
        </row>
        <row r="16">
          <cell r="H16">
            <v>-23767418.515468184</v>
          </cell>
        </row>
        <row r="41">
          <cell r="H41">
            <v>1190391.68979</v>
          </cell>
        </row>
        <row r="42">
          <cell r="H42">
            <v>0</v>
          </cell>
        </row>
        <row r="43">
          <cell r="H43">
            <v>-57151.675239999997</v>
          </cell>
        </row>
        <row r="44">
          <cell r="C44">
            <v>-101703.41316000003</v>
          </cell>
          <cell r="D44">
            <v>-34862.898209999999</v>
          </cell>
          <cell r="E44">
            <v>-21822.90625</v>
          </cell>
          <cell r="F44">
            <v>-325.90153000000009</v>
          </cell>
          <cell r="G44">
            <v>-18722.87905</v>
          </cell>
          <cell r="H44">
            <v>-177437.9982</v>
          </cell>
        </row>
        <row r="74">
          <cell r="H74">
            <v>1521463.38</v>
          </cell>
        </row>
        <row r="75">
          <cell r="H75">
            <v>-4802</v>
          </cell>
        </row>
        <row r="76">
          <cell r="H76">
            <v>-119534</v>
          </cell>
        </row>
        <row r="77">
          <cell r="C77">
            <v>-693130</v>
          </cell>
          <cell r="D77">
            <v>-22289</v>
          </cell>
          <cell r="E77">
            <v>-3679</v>
          </cell>
          <cell r="F77">
            <v>-3</v>
          </cell>
          <cell r="G77">
            <v>-152341</v>
          </cell>
          <cell r="H77">
            <v>-871442</v>
          </cell>
        </row>
        <row r="140">
          <cell r="H140">
            <v>2400300.0306400005</v>
          </cell>
        </row>
        <row r="141">
          <cell r="H141">
            <v>-33029.907579999999</v>
          </cell>
        </row>
        <row r="142">
          <cell r="H142">
            <v>-224017.51134000011</v>
          </cell>
        </row>
        <row r="143">
          <cell r="C143">
            <v>-206999.32515999989</v>
          </cell>
          <cell r="D143">
            <v>-71755.733789999998</v>
          </cell>
          <cell r="E143">
            <v>1.8189894035458565E-12</v>
          </cell>
          <cell r="F143">
            <v>-3751</v>
          </cell>
          <cell r="G143">
            <v>-55393.793419999987</v>
          </cell>
          <cell r="H143">
            <v>-337899.85236999986</v>
          </cell>
        </row>
        <row r="173">
          <cell r="H173">
            <v>1193875.081</v>
          </cell>
        </row>
        <row r="174">
          <cell r="H174">
            <v>-5905.4230000000007</v>
          </cell>
        </row>
        <row r="175">
          <cell r="H175">
            <v>-62132.311999999998</v>
          </cell>
        </row>
        <row r="176">
          <cell r="C176">
            <v>-50980.593999999997</v>
          </cell>
          <cell r="D176">
            <v>-21371.361000000001</v>
          </cell>
          <cell r="E176">
            <v>-499.7489999999998</v>
          </cell>
          <cell r="F176">
            <v>-73.019000000000005</v>
          </cell>
          <cell r="G176">
            <v>-30581.596000000001</v>
          </cell>
          <cell r="H176">
            <v>-103506.319</v>
          </cell>
        </row>
        <row r="206">
          <cell r="H206">
            <v>838373.81137999997</v>
          </cell>
        </row>
        <row r="207">
          <cell r="H207">
            <v>0</v>
          </cell>
        </row>
        <row r="208">
          <cell r="H208">
            <v>-18926.153760000001</v>
          </cell>
        </row>
        <row r="209">
          <cell r="C209">
            <v>-73385.81823332209</v>
          </cell>
          <cell r="D209">
            <v>-87367.785373185296</v>
          </cell>
          <cell r="E209">
            <v>-1590.3</v>
          </cell>
          <cell r="F209">
            <v>-1836.5482099999999</v>
          </cell>
          <cell r="G209">
            <v>-239620.83364729298</v>
          </cell>
          <cell r="H209">
            <v>-403801.28546380036</v>
          </cell>
        </row>
        <row r="239">
          <cell r="H239">
            <v>1642671.4496818865</v>
          </cell>
        </row>
        <row r="240">
          <cell r="H240">
            <v>-45996.686988113695</v>
          </cell>
        </row>
        <row r="241">
          <cell r="H241">
            <v>-51448.8011240005</v>
          </cell>
        </row>
        <row r="242">
          <cell r="C242">
            <v>-387454.08399659401</v>
          </cell>
          <cell r="D242">
            <v>-11665.429084335199</v>
          </cell>
          <cell r="E242">
            <v>-10633.263659976299</v>
          </cell>
          <cell r="F242">
            <v>-2065.4242089644599</v>
          </cell>
          <cell r="G242">
            <v>-72704.405930149907</v>
          </cell>
          <cell r="H242">
            <v>-484522.60688001988</v>
          </cell>
        </row>
        <row r="272">
          <cell r="H272">
            <v>11093583</v>
          </cell>
        </row>
        <row r="273">
          <cell r="H273">
            <v>-72366</v>
          </cell>
        </row>
        <row r="274">
          <cell r="H274">
            <v>-586300</v>
          </cell>
        </row>
        <row r="275">
          <cell r="C275">
            <v>-922379</v>
          </cell>
          <cell r="D275">
            <v>-153961</v>
          </cell>
          <cell r="E275">
            <v>-40523</v>
          </cell>
          <cell r="F275">
            <v>-8301</v>
          </cell>
          <cell r="G275">
            <v>-461670</v>
          </cell>
          <cell r="H275">
            <v>-1586834</v>
          </cell>
        </row>
        <row r="278">
          <cell r="C278">
            <v>516418</v>
          </cell>
        </row>
        <row r="305">
          <cell r="H305">
            <v>1156912.0669100001</v>
          </cell>
        </row>
        <row r="306">
          <cell r="H306">
            <v>-531.98800000000006</v>
          </cell>
        </row>
        <row r="307">
          <cell r="H307">
            <v>-21368.918000000001</v>
          </cell>
        </row>
        <row r="308">
          <cell r="C308">
            <v>-19020.007000000001</v>
          </cell>
          <cell r="D308">
            <v>-8783.5409999999993</v>
          </cell>
          <cell r="E308">
            <v>-18143.343000000001</v>
          </cell>
          <cell r="F308">
            <v>0</v>
          </cell>
          <cell r="G308">
            <v>-7413.5469999999996</v>
          </cell>
          <cell r="H308">
            <v>-53360.438000000002</v>
          </cell>
        </row>
        <row r="341">
          <cell r="H341">
            <v>0</v>
          </cell>
        </row>
        <row r="371">
          <cell r="H371">
            <v>1711203.50232</v>
          </cell>
        </row>
        <row r="372">
          <cell r="H372">
            <v>0</v>
          </cell>
        </row>
        <row r="373">
          <cell r="H373">
            <v>-75898.492560000013</v>
          </cell>
        </row>
        <row r="374">
          <cell r="C374">
            <v>-192599.49713999999</v>
          </cell>
          <cell r="D374">
            <v>-20228.175439999999</v>
          </cell>
          <cell r="E374">
            <v>-43410.974920000001</v>
          </cell>
          <cell r="F374">
            <v>-41.6121499999999</v>
          </cell>
          <cell r="G374">
            <v>-59454.026790000004</v>
          </cell>
          <cell r="H374">
            <v>-315734.28644</v>
          </cell>
        </row>
        <row r="404">
          <cell r="H404">
            <v>5960127.4972300194</v>
          </cell>
        </row>
        <row r="405">
          <cell r="H405">
            <v>0</v>
          </cell>
        </row>
        <row r="406">
          <cell r="H406">
            <v>-186698</v>
          </cell>
        </row>
        <row r="407">
          <cell r="C407">
            <v>-298219.90360000002</v>
          </cell>
          <cell r="D407">
            <v>-82864.578379999992</v>
          </cell>
          <cell r="E407">
            <v>-85867.619449999998</v>
          </cell>
          <cell r="G407">
            <v>-132038.28727</v>
          </cell>
          <cell r="H407">
            <v>-598990.38870000001</v>
          </cell>
        </row>
        <row r="503">
          <cell r="H503">
            <v>1314097.1415300001</v>
          </cell>
        </row>
        <row r="504">
          <cell r="H504">
            <v>-5070.0688700000001</v>
          </cell>
        </row>
        <row r="505">
          <cell r="H505">
            <v>-13894.44708</v>
          </cell>
        </row>
        <row r="506">
          <cell r="C506">
            <v>-38163.098480000001</v>
          </cell>
          <cell r="D506">
            <v>-6673.3667599999999</v>
          </cell>
          <cell r="E506">
            <v>-35979.782979999996</v>
          </cell>
          <cell r="F506">
            <v>0</v>
          </cell>
          <cell r="G506">
            <v>-12443.95076</v>
          </cell>
          <cell r="H506">
            <v>-93260.198979999986</v>
          </cell>
        </row>
        <row r="536">
          <cell r="H536">
            <v>1079639.16922</v>
          </cell>
        </row>
        <row r="537">
          <cell r="H537">
            <v>0</v>
          </cell>
        </row>
        <row r="538">
          <cell r="H538">
            <v>-30492.435819999999</v>
          </cell>
        </row>
        <row r="539">
          <cell r="C539">
            <v>-41313.064200000001</v>
          </cell>
          <cell r="D539">
            <v>-21860.237260000005</v>
          </cell>
          <cell r="E539">
            <v>-15997.283530000001</v>
          </cell>
          <cell r="F539">
            <v>0</v>
          </cell>
          <cell r="G539">
            <v>-31281.065399999999</v>
          </cell>
          <cell r="H539">
            <v>-110451.65039</v>
          </cell>
        </row>
        <row r="569">
          <cell r="H569">
            <v>2944486.79213</v>
          </cell>
        </row>
        <row r="570">
          <cell r="H570">
            <v>0</v>
          </cell>
        </row>
        <row r="571">
          <cell r="H571">
            <v>-149039</v>
          </cell>
        </row>
        <row r="572">
          <cell r="C572">
            <v>-87261</v>
          </cell>
          <cell r="D572">
            <v>-4223</v>
          </cell>
          <cell r="E572">
            <v>-38273</v>
          </cell>
          <cell r="F572">
            <v>0</v>
          </cell>
          <cell r="G572">
            <v>-27862</v>
          </cell>
          <cell r="H572">
            <v>-157619</v>
          </cell>
        </row>
        <row r="602">
          <cell r="H602">
            <v>12803591.569259999</v>
          </cell>
        </row>
        <row r="603">
          <cell r="H603">
            <v>0</v>
          </cell>
        </row>
        <row r="604">
          <cell r="H604">
            <v>-444404.15857000003</v>
          </cell>
        </row>
        <row r="605">
          <cell r="C605">
            <v>-958922.61083999998</v>
          </cell>
          <cell r="D605">
            <v>-250523.91595</v>
          </cell>
          <cell r="E605">
            <v>-57267.41455999999</v>
          </cell>
          <cell r="F605">
            <v>0</v>
          </cell>
          <cell r="G605">
            <v>-1281244.2587899999</v>
          </cell>
          <cell r="H605">
            <v>-2547958.2001399999</v>
          </cell>
        </row>
        <row r="608">
          <cell r="C608">
            <v>211402.43547999993</v>
          </cell>
          <cell r="D608">
            <v>-17720.445320000021</v>
          </cell>
          <cell r="E608">
            <v>7118266.2959499974</v>
          </cell>
          <cell r="F608">
            <v>81464.675830000022</v>
          </cell>
          <cell r="G608">
            <v>1965098.9336100011</v>
          </cell>
        </row>
        <row r="635">
          <cell r="H635">
            <v>297025.14753000007</v>
          </cell>
        </row>
        <row r="636">
          <cell r="H636">
            <v>0</v>
          </cell>
        </row>
        <row r="637">
          <cell r="H637">
            <v>11117.343130000001</v>
          </cell>
        </row>
        <row r="638">
          <cell r="C638">
            <v>-15464.611050000001</v>
          </cell>
          <cell r="D638">
            <v>0</v>
          </cell>
          <cell r="E638">
            <v>-6054.7959900000005</v>
          </cell>
          <cell r="F638">
            <v>0</v>
          </cell>
          <cell r="G638">
            <v>-56894.567619999994</v>
          </cell>
          <cell r="H638">
            <v>-78413.974659999993</v>
          </cell>
        </row>
        <row r="668">
          <cell r="H668">
            <v>4626432.5967899989</v>
          </cell>
        </row>
        <row r="669">
          <cell r="H669">
            <v>0</v>
          </cell>
        </row>
        <row r="670">
          <cell r="H670">
            <v>-190381</v>
          </cell>
        </row>
        <row r="671">
          <cell r="C671">
            <v>-39653.54800999997</v>
          </cell>
          <cell r="D671">
            <v>-516678.03612</v>
          </cell>
          <cell r="E671">
            <v>-97080.020380000002</v>
          </cell>
          <cell r="F671">
            <v>9575.8992400000006</v>
          </cell>
          <cell r="G671">
            <v>-78061.272200000007</v>
          </cell>
          <cell r="H671">
            <v>-721896.97746999993</v>
          </cell>
        </row>
        <row r="701">
          <cell r="H701">
            <v>326804.57808600005</v>
          </cell>
        </row>
        <row r="702">
          <cell r="H702">
            <v>0</v>
          </cell>
        </row>
        <row r="703">
          <cell r="H703">
            <v>-18258.148059842559</v>
          </cell>
        </row>
        <row r="704">
          <cell r="C704">
            <v>-14227.08568</v>
          </cell>
          <cell r="D704">
            <v>-11260.621660000001</v>
          </cell>
          <cell r="E704">
            <v>-1655.70334924074</v>
          </cell>
          <cell r="F704">
            <v>0</v>
          </cell>
          <cell r="G704">
            <v>-28078.0645880335</v>
          </cell>
          <cell r="H704">
            <v>-55221.475277274236</v>
          </cell>
        </row>
      </sheetData>
      <sheetData sheetId="50">
        <row r="6">
          <cell r="V6">
            <v>550496.67194199993</v>
          </cell>
        </row>
      </sheetData>
      <sheetData sheetId="51">
        <row r="23">
          <cell r="G23">
            <v>7523493.9383232836</v>
          </cell>
        </row>
      </sheetData>
      <sheetData sheetId="52">
        <row r="23">
          <cell r="G23">
            <v>6351723.6498362441</v>
          </cell>
        </row>
      </sheetData>
      <sheetData sheetId="53" refreshError="1"/>
      <sheetData sheetId="54">
        <row r="16">
          <cell r="V16">
            <v>5422345.636281671</v>
          </cell>
        </row>
      </sheetData>
      <sheetData sheetId="55" refreshError="1"/>
      <sheetData sheetId="56">
        <row r="100">
          <cell r="E100">
            <v>11343.2793</v>
          </cell>
        </row>
      </sheetData>
      <sheetData sheetId="57" refreshError="1"/>
      <sheetData sheetId="58" refreshError="1"/>
      <sheetData sheetId="59">
        <row r="9">
          <cell r="H9">
            <v>-3107389.6258930122</v>
          </cell>
        </row>
        <row r="10">
          <cell r="H10">
            <v>-8792480.685149977</v>
          </cell>
        </row>
        <row r="13">
          <cell r="H13">
            <v>42183171.414035596</v>
          </cell>
        </row>
        <row r="16">
          <cell r="H16">
            <v>-24740481.590397414</v>
          </cell>
        </row>
        <row r="41">
          <cell r="H41">
            <v>1556421</v>
          </cell>
        </row>
        <row r="42">
          <cell r="H42">
            <v>0</v>
          </cell>
        </row>
        <row r="43">
          <cell r="H43">
            <v>-179764</v>
          </cell>
        </row>
        <row r="44">
          <cell r="C44">
            <v>-81144</v>
          </cell>
          <cell r="D44">
            <v>-25246</v>
          </cell>
          <cell r="E44">
            <v>-51704</v>
          </cell>
          <cell r="F44">
            <v>-535</v>
          </cell>
          <cell r="G44">
            <v>-34931</v>
          </cell>
          <cell r="H44">
            <v>-193560</v>
          </cell>
        </row>
        <row r="74">
          <cell r="H74">
            <v>2104590.87</v>
          </cell>
        </row>
        <row r="75">
          <cell r="H75">
            <v>0</v>
          </cell>
        </row>
        <row r="76">
          <cell r="H76">
            <v>-139683.57</v>
          </cell>
        </row>
        <row r="77">
          <cell r="C77">
            <v>-566044.93000000005</v>
          </cell>
          <cell r="D77">
            <v>-29393.07</v>
          </cell>
          <cell r="E77">
            <v>-7957.11</v>
          </cell>
          <cell r="F77">
            <v>-111.84</v>
          </cell>
          <cell r="G77">
            <v>-113656.11</v>
          </cell>
          <cell r="H77">
            <v>-717163.05999999994</v>
          </cell>
        </row>
        <row r="140">
          <cell r="H140">
            <v>2673010</v>
          </cell>
        </row>
        <row r="141">
          <cell r="H141">
            <v>-29099.247009999999</v>
          </cell>
        </row>
        <row r="142">
          <cell r="H142">
            <v>-215235.69618999999</v>
          </cell>
        </row>
        <row r="143">
          <cell r="C143">
            <v>-253971</v>
          </cell>
          <cell r="D143">
            <v>-65209</v>
          </cell>
          <cell r="E143">
            <v>-9920</v>
          </cell>
          <cell r="F143">
            <v>-4695</v>
          </cell>
          <cell r="G143">
            <v>-116334</v>
          </cell>
          <cell r="H143">
            <v>-450129</v>
          </cell>
        </row>
        <row r="173">
          <cell r="H173">
            <v>1322820.1147058178</v>
          </cell>
        </row>
        <row r="174">
          <cell r="H174">
            <v>-17052.793250000002</v>
          </cell>
        </row>
        <row r="175">
          <cell r="H175">
            <v>-73334.030639999954</v>
          </cell>
        </row>
        <row r="176">
          <cell r="C176">
            <v>-43147.651840000202</v>
          </cell>
          <cell r="D176">
            <v>-20635.43446</v>
          </cell>
          <cell r="E176">
            <v>0</v>
          </cell>
          <cell r="F176">
            <v>-79.730879999999999</v>
          </cell>
          <cell r="G176">
            <v>-32694.910319999999</v>
          </cell>
          <cell r="H176">
            <v>-96557.727500000197</v>
          </cell>
        </row>
        <row r="206">
          <cell r="H206">
            <v>909143.1763727722</v>
          </cell>
        </row>
        <row r="207">
          <cell r="H207">
            <v>0</v>
          </cell>
        </row>
        <row r="208">
          <cell r="H208">
            <v>-29083.505584624996</v>
          </cell>
        </row>
        <row r="209">
          <cell r="C209">
            <v>-37799.38229621722</v>
          </cell>
          <cell r="D209">
            <v>-58996.709129365787</v>
          </cell>
          <cell r="E209">
            <v>-10703.527402805039</v>
          </cell>
          <cell r="F209">
            <v>-1113.9020909182393</v>
          </cell>
          <cell r="G209">
            <v>-340537.24858710868</v>
          </cell>
          <cell r="H209">
            <v>-449150.76950641494</v>
          </cell>
        </row>
        <row r="239">
          <cell r="H239">
            <v>1428816.56247</v>
          </cell>
        </row>
        <row r="240">
          <cell r="H240">
            <v>-39040.093519927483</v>
          </cell>
        </row>
        <row r="241">
          <cell r="H241">
            <v>-59261.922249999989</v>
          </cell>
        </row>
        <row r="242">
          <cell r="C242">
            <v>-215042.12192999999</v>
          </cell>
          <cell r="D242">
            <v>-16080.94526</v>
          </cell>
          <cell r="E242">
            <v>-17797.102079999997</v>
          </cell>
          <cell r="F242">
            <v>-2936.4312907763597</v>
          </cell>
          <cell r="G242">
            <v>-103997.04106999999</v>
          </cell>
          <cell r="H242">
            <v>-355853.64163077634</v>
          </cell>
        </row>
        <row r="272">
          <cell r="H272">
            <v>11568284</v>
          </cell>
        </row>
        <row r="273">
          <cell r="H273">
            <v>-68896</v>
          </cell>
        </row>
        <row r="274">
          <cell r="H274">
            <v>-1187909</v>
          </cell>
        </row>
        <row r="275">
          <cell r="C275">
            <v>-796213</v>
          </cell>
          <cell r="D275">
            <v>-138580</v>
          </cell>
          <cell r="E275">
            <v>223688</v>
          </cell>
          <cell r="F275">
            <v>-10932</v>
          </cell>
          <cell r="G275">
            <v>-381209</v>
          </cell>
          <cell r="H275">
            <v>-1103246</v>
          </cell>
        </row>
        <row r="305">
          <cell r="H305">
            <v>1304357.1563200001</v>
          </cell>
        </row>
        <row r="306">
          <cell r="H306">
            <v>-7122.8130000000001</v>
          </cell>
        </row>
        <row r="307">
          <cell r="H307">
            <v>-24293.057860000001</v>
          </cell>
        </row>
        <row r="308">
          <cell r="C308">
            <v>-20527.916550000002</v>
          </cell>
          <cell r="D308">
            <v>-5699.4227499999997</v>
          </cell>
          <cell r="E308">
            <v>-16146.39826</v>
          </cell>
          <cell r="F308">
            <v>0</v>
          </cell>
          <cell r="G308">
            <v>-7152.4512300000006</v>
          </cell>
          <cell r="H308">
            <v>-49526.18879</v>
          </cell>
        </row>
        <row r="341">
          <cell r="H341">
            <v>0</v>
          </cell>
        </row>
        <row r="371">
          <cell r="H371">
            <v>1863184.0349000001</v>
          </cell>
        </row>
        <row r="372">
          <cell r="H372">
            <v>0</v>
          </cell>
        </row>
        <row r="373">
          <cell r="H373">
            <v>-95823.096380000003</v>
          </cell>
        </row>
        <row r="374">
          <cell r="C374">
            <v>-199746.6642</v>
          </cell>
          <cell r="D374">
            <v>-19971.053090000001</v>
          </cell>
          <cell r="E374">
            <v>-40378.636599999998</v>
          </cell>
          <cell r="F374">
            <v>-45.235800000000005</v>
          </cell>
          <cell r="G374">
            <v>-68242.187819999992</v>
          </cell>
          <cell r="H374">
            <v>-328383.77750999999</v>
          </cell>
        </row>
        <row r="404">
          <cell r="H404">
            <v>6533291.0019510202</v>
          </cell>
        </row>
        <row r="405">
          <cell r="H405">
            <v>0</v>
          </cell>
        </row>
        <row r="406">
          <cell r="H406">
            <v>-190745.21148</v>
          </cell>
        </row>
        <row r="407">
          <cell r="C407">
            <v>-371405.00045178999</v>
          </cell>
          <cell r="D407">
            <v>-99967</v>
          </cell>
          <cell r="E407">
            <v>-108916.00017037</v>
          </cell>
          <cell r="G407">
            <v>-182719.00043258999</v>
          </cell>
          <cell r="H407">
            <v>-763007.00105475006</v>
          </cell>
        </row>
        <row r="440">
          <cell r="H440">
            <v>0</v>
          </cell>
        </row>
        <row r="503">
          <cell r="H503">
            <v>1510647.9527899998</v>
          </cell>
        </row>
        <row r="504">
          <cell r="H504">
            <v>0</v>
          </cell>
        </row>
        <row r="505">
          <cell r="H505">
            <v>-25127.140789999998</v>
          </cell>
        </row>
        <row r="506">
          <cell r="C506">
            <v>-34754.249620000002</v>
          </cell>
          <cell r="D506">
            <v>-4428.9517900000001</v>
          </cell>
          <cell r="E506">
            <v>-51847.06119</v>
          </cell>
          <cell r="F506">
            <v>-18978.975010000002</v>
          </cell>
          <cell r="G506">
            <v>-9042.9609999999993</v>
          </cell>
          <cell r="H506">
            <v>-119052.19861000001</v>
          </cell>
        </row>
        <row r="536">
          <cell r="H536">
            <v>1168433.2150399999</v>
          </cell>
        </row>
        <row r="537">
          <cell r="H537">
            <v>-13806.341930000001</v>
          </cell>
        </row>
        <row r="538">
          <cell r="H538">
            <v>-35643.897339999996</v>
          </cell>
        </row>
        <row r="539">
          <cell r="C539">
            <v>-44735.832649999902</v>
          </cell>
          <cell r="D539">
            <v>-21681.471120000002</v>
          </cell>
          <cell r="E539">
            <v>-39222.078590000005</v>
          </cell>
          <cell r="G539">
            <v>-23909.909029999995</v>
          </cell>
          <cell r="H539">
            <v>-129549.29138999991</v>
          </cell>
        </row>
        <row r="569">
          <cell r="H569">
            <v>3251084.2053000005</v>
          </cell>
        </row>
        <row r="570">
          <cell r="H570">
            <v>0</v>
          </cell>
        </row>
        <row r="571">
          <cell r="H571">
            <v>-166043.07708999998</v>
          </cell>
        </row>
        <row r="572">
          <cell r="C572">
            <v>-89343.28559</v>
          </cell>
          <cell r="D572">
            <v>-3410.07512</v>
          </cell>
          <cell r="E572">
            <v>-36860.07548</v>
          </cell>
          <cell r="F572">
            <v>0</v>
          </cell>
          <cell r="G572">
            <v>-26273.20923</v>
          </cell>
          <cell r="H572">
            <v>-155886.64541999999</v>
          </cell>
        </row>
        <row r="602">
          <cell r="H602">
            <v>13183760.064440006</v>
          </cell>
        </row>
        <row r="603">
          <cell r="H603">
            <v>0</v>
          </cell>
        </row>
        <row r="604">
          <cell r="H604">
            <v>-398089.40311000001</v>
          </cell>
        </row>
        <row r="605">
          <cell r="C605">
            <v>-1425090.71692</v>
          </cell>
          <cell r="D605">
            <v>-288740.77280999994</v>
          </cell>
          <cell r="E605">
            <v>-68485.939849999995</v>
          </cell>
          <cell r="F605">
            <v>0</v>
          </cell>
          <cell r="G605">
            <v>-964898.79269000003</v>
          </cell>
          <cell r="H605">
            <v>-2747216.2222699998</v>
          </cell>
        </row>
        <row r="635">
          <cell r="H635">
            <v>310544.31446999998</v>
          </cell>
        </row>
        <row r="636">
          <cell r="H636">
            <v>0</v>
          </cell>
        </row>
        <row r="637">
          <cell r="H637">
            <v>12047.49992</v>
          </cell>
        </row>
        <row r="638">
          <cell r="C638">
            <v>-15706.20901</v>
          </cell>
          <cell r="D638">
            <v>0</v>
          </cell>
          <cell r="E638">
            <v>-5913</v>
          </cell>
          <cell r="F638">
            <v>9.8000000000000004E-2</v>
          </cell>
          <cell r="G638">
            <v>-54275.298059999994</v>
          </cell>
          <cell r="H638">
            <v>-75894.409069999994</v>
          </cell>
        </row>
        <row r="668">
          <cell r="H668">
            <v>5391712.2664200002</v>
          </cell>
        </row>
        <row r="669">
          <cell r="H669">
            <v>0</v>
          </cell>
        </row>
        <row r="670">
          <cell r="H670">
            <v>-274746.31036</v>
          </cell>
        </row>
        <row r="671">
          <cell r="C671">
            <v>-586399.32802999998</v>
          </cell>
          <cell r="D671">
            <v>-201204.67728</v>
          </cell>
          <cell r="E671">
            <v>-55415.824820000002</v>
          </cell>
          <cell r="F671">
            <v>-1593.29908</v>
          </cell>
          <cell r="G671">
            <v>-136822.02947000001</v>
          </cell>
          <cell r="H671">
            <v>-981435.15867999988</v>
          </cell>
        </row>
        <row r="701">
          <cell r="H701">
            <v>379655.61662400002</v>
          </cell>
        </row>
        <row r="702">
          <cell r="H702">
            <v>0</v>
          </cell>
        </row>
        <row r="703">
          <cell r="H703">
            <v>-24654.206738387231</v>
          </cell>
        </row>
        <row r="704">
          <cell r="C704">
            <v>-18445.134309774701</v>
          </cell>
          <cell r="D704">
            <v>-15461.836204225299</v>
          </cell>
          <cell r="E704">
            <v>-6872.0366460585501</v>
          </cell>
          <cell r="G704">
            <v>-36090.586557976101</v>
          </cell>
          <cell r="H704">
            <v>-76869.593718034652</v>
          </cell>
        </row>
        <row r="770">
          <cell r="H770">
            <v>0</v>
          </cell>
        </row>
      </sheetData>
      <sheetData sheetId="60" refreshError="1"/>
      <sheetData sheetId="61" refreshError="1"/>
      <sheetData sheetId="62" refreshError="1"/>
      <sheetData sheetId="63" refreshError="1"/>
      <sheetData sheetId="64" refreshError="1"/>
      <sheetData sheetId="65">
        <row r="11">
          <cell r="E11">
            <v>12766837.92606</v>
          </cell>
        </row>
      </sheetData>
      <sheetData sheetId="66">
        <row r="64">
          <cell r="V64">
            <v>5861973.4802581202</v>
          </cell>
        </row>
      </sheetData>
      <sheetData sheetId="67" refreshError="1"/>
      <sheetData sheetId="68" refreshError="1"/>
      <sheetData sheetId="69" refreshError="1"/>
      <sheetData sheetId="70">
        <row r="14">
          <cell r="E14">
            <v>-18181123.708940003</v>
          </cell>
        </row>
        <row r="42">
          <cell r="E42">
            <v>2520283</v>
          </cell>
          <cell r="H42">
            <v>2034084</v>
          </cell>
        </row>
        <row r="76">
          <cell r="E76">
            <v>206494.24839999998</v>
          </cell>
          <cell r="H76">
            <v>101900.14992770001</v>
          </cell>
        </row>
        <row r="110">
          <cell r="E110">
            <v>828789.90813200013</v>
          </cell>
          <cell r="H110">
            <v>532141.81854000001</v>
          </cell>
        </row>
        <row r="144">
          <cell r="E144">
            <v>6863047</v>
          </cell>
          <cell r="H144">
            <v>6495863</v>
          </cell>
        </row>
        <row r="178">
          <cell r="E178">
            <v>542986.16200000001</v>
          </cell>
          <cell r="H178">
            <v>364758.88936999999</v>
          </cell>
        </row>
        <row r="212">
          <cell r="E212">
            <v>11122906.218729999</v>
          </cell>
          <cell r="H212">
            <v>10829470</v>
          </cell>
        </row>
        <row r="246">
          <cell r="E246">
            <v>337975.97847999999</v>
          </cell>
          <cell r="H246">
            <v>312055.98389999999</v>
          </cell>
        </row>
        <row r="280">
          <cell r="E280">
            <v>2014547</v>
          </cell>
          <cell r="H280">
            <v>1500027.7209900001</v>
          </cell>
        </row>
        <row r="314">
          <cell r="E314">
            <v>2150506.5177199999</v>
          </cell>
          <cell r="H314">
            <v>2025075.1086100002</v>
          </cell>
        </row>
        <row r="348">
          <cell r="E348">
            <v>322712</v>
          </cell>
          <cell r="H348">
            <v>303344</v>
          </cell>
        </row>
        <row r="382">
          <cell r="E382">
            <v>274797.61674999999</v>
          </cell>
          <cell r="H382">
            <v>106237.90670000001</v>
          </cell>
        </row>
        <row r="416">
          <cell r="E416">
            <v>251719.53922999999</v>
          </cell>
          <cell r="H416">
            <v>192780</v>
          </cell>
        </row>
        <row r="450">
          <cell r="E450">
            <v>8069964.2487999983</v>
          </cell>
          <cell r="H450">
            <v>7369031.3364199949</v>
          </cell>
        </row>
        <row r="484">
          <cell r="E484">
            <v>283975.24881000002</v>
          </cell>
          <cell r="H484">
            <v>203615.92386000001</v>
          </cell>
        </row>
        <row r="518">
          <cell r="E518">
            <v>5515063</v>
          </cell>
          <cell r="H518">
            <v>5106323</v>
          </cell>
        </row>
      </sheetData>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 1 - Risk Profile"/>
      <sheetName val="Sheet 2 - General Insurance"/>
      <sheetName val="Sheet 3 - Long term Insurance"/>
      <sheetName val="Sheet 4 Life &amp; General Combined"/>
      <sheetName val="Sheet 5 - CO-BS - 2012 &amp; 2011"/>
      <sheetName val="Sheet 6 - BR - IN"/>
    </sheetNames>
    <sheetDataSet>
      <sheetData sheetId="0" refreshError="1"/>
      <sheetData sheetId="1">
        <row r="10">
          <cell r="C10">
            <v>337</v>
          </cell>
          <cell r="D10">
            <v>5479</v>
          </cell>
          <cell r="F10">
            <v>430</v>
          </cell>
          <cell r="G10">
            <v>4</v>
          </cell>
          <cell r="H10">
            <v>18890</v>
          </cell>
        </row>
        <row r="11">
          <cell r="C11">
            <v>127</v>
          </cell>
          <cell r="D11">
            <v>30</v>
          </cell>
          <cell r="F11">
            <v>716</v>
          </cell>
          <cell r="G11">
            <v>1</v>
          </cell>
          <cell r="H11">
            <v>24034</v>
          </cell>
        </row>
      </sheetData>
      <sheetData sheetId="2" refreshError="1"/>
      <sheetData sheetId="3" refreshError="1"/>
      <sheetData sheetId="4" refreshError="1"/>
      <sheetData sheetId="5"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 1 - Risk Profile"/>
      <sheetName val="Sheet 2 - General Insurance"/>
      <sheetName val="Sheet 3 - Long term Insurance"/>
      <sheetName val="Sheet 4 Life &amp; General Combined"/>
      <sheetName val="Sheet 5 - CO-BS - 2012 &amp; 2011"/>
      <sheetName val="Sheet 6 - BR - IN"/>
      <sheetName val="Sheet1"/>
    </sheetNames>
    <sheetDataSet>
      <sheetData sheetId="0" refreshError="1"/>
      <sheetData sheetId="1">
        <row r="10">
          <cell r="C10">
            <v>14169</v>
          </cell>
          <cell r="D10">
            <v>19342</v>
          </cell>
          <cell r="E10">
            <v>283475</v>
          </cell>
          <cell r="F10">
            <v>109244</v>
          </cell>
          <cell r="G10">
            <v>858</v>
          </cell>
          <cell r="H10">
            <v>11370</v>
          </cell>
        </row>
        <row r="11">
          <cell r="C11">
            <v>24810</v>
          </cell>
          <cell r="D11">
            <v>934</v>
          </cell>
          <cell r="E11">
            <v>555853</v>
          </cell>
          <cell r="F11">
            <v>213533</v>
          </cell>
          <cell r="G11">
            <v>1401</v>
          </cell>
          <cell r="H11">
            <v>17822</v>
          </cell>
        </row>
        <row r="12">
          <cell r="C12">
            <v>14492</v>
          </cell>
          <cell r="D12">
            <v>20656</v>
          </cell>
          <cell r="E12">
            <v>291744</v>
          </cell>
          <cell r="F12">
            <v>144723</v>
          </cell>
          <cell r="G12">
            <v>891</v>
          </cell>
          <cell r="H12">
            <v>11432</v>
          </cell>
        </row>
        <row r="13">
          <cell r="C13">
            <v>25017</v>
          </cell>
          <cell r="D13">
            <v>605</v>
          </cell>
          <cell r="E13">
            <v>539286</v>
          </cell>
          <cell r="F13">
            <v>150064</v>
          </cell>
          <cell r="G13">
            <v>1325</v>
          </cell>
          <cell r="H13">
            <v>18513</v>
          </cell>
        </row>
        <row r="15">
          <cell r="C15">
            <v>39435</v>
          </cell>
          <cell r="D15">
            <v>2350</v>
          </cell>
          <cell r="E15">
            <v>842201</v>
          </cell>
          <cell r="F15">
            <v>325525</v>
          </cell>
          <cell r="G15">
            <v>2015</v>
          </cell>
          <cell r="H15">
            <v>18953</v>
          </cell>
        </row>
        <row r="16">
          <cell r="C16">
            <v>41196</v>
          </cell>
          <cell r="D16">
            <v>2291</v>
          </cell>
          <cell r="E16">
            <v>834132</v>
          </cell>
          <cell r="F16">
            <v>298274</v>
          </cell>
          <cell r="G16">
            <v>2004</v>
          </cell>
          <cell r="H16">
            <v>21314</v>
          </cell>
        </row>
      </sheetData>
      <sheetData sheetId="2" refreshError="1"/>
      <sheetData sheetId="3" refreshError="1"/>
      <sheetData sheetId="4" refreshError="1"/>
      <sheetData sheetId="5" refreshError="1"/>
      <sheetData sheetId="6"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 1 - Risk Profile"/>
      <sheetName val="Sheet 2 - General Insurance"/>
      <sheetName val="Sheet 3 - Long term Insurance"/>
      <sheetName val="Sheet 4 Life &amp; General Combined"/>
      <sheetName val="Sheet 5 - CO-BS - 2012 &amp; 2011"/>
      <sheetName val="Sheet 6 - BR - IN"/>
      <sheetName val="Sheet1"/>
    </sheetNames>
    <sheetDataSet>
      <sheetData sheetId="0" refreshError="1"/>
      <sheetData sheetId="1">
        <row r="10">
          <cell r="C10">
            <v>3923</v>
          </cell>
          <cell r="D10">
            <v>24058</v>
          </cell>
          <cell r="E10">
            <v>2048</v>
          </cell>
          <cell r="F10">
            <v>41725</v>
          </cell>
          <cell r="G10">
            <v>532</v>
          </cell>
        </row>
        <row r="11">
          <cell r="C11">
            <v>7671</v>
          </cell>
          <cell r="D11">
            <v>404</v>
          </cell>
          <cell r="E11">
            <v>1111</v>
          </cell>
          <cell r="F11">
            <v>53805</v>
          </cell>
        </row>
        <row r="12">
          <cell r="E12">
            <v>3997</v>
          </cell>
          <cell r="F12">
            <v>39712</v>
          </cell>
        </row>
        <row r="13">
          <cell r="E13">
            <v>1792</v>
          </cell>
          <cell r="F13">
            <v>49407</v>
          </cell>
        </row>
        <row r="15">
          <cell r="C15">
            <v>11594</v>
          </cell>
          <cell r="D15">
            <v>24462</v>
          </cell>
          <cell r="E15">
            <v>3159</v>
          </cell>
          <cell r="F15">
            <v>95530</v>
          </cell>
        </row>
        <row r="16">
          <cell r="E16">
            <v>5789</v>
          </cell>
          <cell r="F16">
            <v>89119</v>
          </cell>
        </row>
      </sheetData>
      <sheetData sheetId="2" refreshError="1"/>
      <sheetData sheetId="3" refreshError="1"/>
      <sheetData sheetId="4" refreshError="1"/>
      <sheetData sheetId="5" refreshError="1"/>
      <sheetData sheetId="6"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 1 - Risk Profile"/>
      <sheetName val="Sheet 2 - General Insurance"/>
      <sheetName val="Sheet 3 - Long term Insurance"/>
      <sheetName val="Sheet 4 Life &amp; General Combined"/>
      <sheetName val="Sheet 5 - CO-BS - 2012 &amp; 2011"/>
      <sheetName val="Sheet 6 - BR - IN"/>
      <sheetName val="Sheet1"/>
    </sheetNames>
    <sheetDataSet>
      <sheetData sheetId="0"/>
      <sheetData sheetId="1">
        <row r="12">
          <cell r="C12">
            <v>937</v>
          </cell>
          <cell r="D12">
            <v>5889</v>
          </cell>
          <cell r="E12">
            <v>53106</v>
          </cell>
          <cell r="F12">
            <v>23705</v>
          </cell>
          <cell r="G12">
            <v>109</v>
          </cell>
          <cell r="H12">
            <v>1257</v>
          </cell>
        </row>
        <row r="13">
          <cell r="C13">
            <v>616</v>
          </cell>
          <cell r="D13">
            <v>12</v>
          </cell>
          <cell r="E13">
            <v>30837</v>
          </cell>
          <cell r="F13">
            <v>14355</v>
          </cell>
          <cell r="G13">
            <v>86</v>
          </cell>
          <cell r="H13">
            <v>1692</v>
          </cell>
        </row>
        <row r="16">
          <cell r="C16">
            <v>1263</v>
          </cell>
          <cell r="D16">
            <v>5850</v>
          </cell>
          <cell r="E16">
            <v>72377</v>
          </cell>
          <cell r="F16">
            <v>25296</v>
          </cell>
          <cell r="G16">
            <v>145</v>
          </cell>
          <cell r="H16">
            <v>2163</v>
          </cell>
        </row>
      </sheetData>
      <sheetData sheetId="2"/>
      <sheetData sheetId="3"/>
      <sheetData sheetId="4"/>
      <sheetData sheetId="5"/>
      <sheetData sheetId="6"/>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 1 - Risk Profile"/>
      <sheetName val="Sheet 2 - General Insurance"/>
      <sheetName val="Sheet 3 - Long term Insurance"/>
      <sheetName val="Sheet 4 Life &amp; General Combined"/>
      <sheetName val="Sheet 5 - CO-BS - 2012 &amp; 2011"/>
      <sheetName val="Sheet 6 - BR - IN"/>
    </sheetNames>
    <sheetDataSet>
      <sheetData sheetId="0" refreshError="1"/>
      <sheetData sheetId="1">
        <row r="12">
          <cell r="C12">
            <v>597</v>
          </cell>
          <cell r="D12">
            <v>6466</v>
          </cell>
          <cell r="F12">
            <v>696</v>
          </cell>
          <cell r="G12">
            <v>6</v>
          </cell>
          <cell r="H12">
            <v>21271</v>
          </cell>
        </row>
        <row r="13">
          <cell r="C13">
            <v>788</v>
          </cell>
          <cell r="D13">
            <v>29</v>
          </cell>
          <cell r="F13">
            <v>1155</v>
          </cell>
          <cell r="G13">
            <v>10</v>
          </cell>
          <cell r="H13">
            <v>35461</v>
          </cell>
        </row>
        <row r="16">
          <cell r="C16">
            <v>5585</v>
          </cell>
          <cell r="D16">
            <v>36765</v>
          </cell>
          <cell r="F16">
            <v>17736</v>
          </cell>
          <cell r="G16">
            <v>658</v>
          </cell>
          <cell r="H16">
            <v>280235</v>
          </cell>
        </row>
      </sheetData>
      <sheetData sheetId="2" refreshError="1"/>
      <sheetData sheetId="3" refreshError="1"/>
      <sheetData sheetId="4" refreshError="1"/>
      <sheetData sheetId="5"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 1 - Risk Profile"/>
      <sheetName val="Sheet 2 - General Insurance"/>
      <sheetName val="Sheet 3 - Long term Insurance"/>
      <sheetName val="Sheet 4 Life &amp; General Combined"/>
      <sheetName val="Sheet 5 - CO-BS - 2012 &amp; 20 "/>
      <sheetName val="Sheet 6 - BR - IN"/>
    </sheetNames>
    <sheetDataSet>
      <sheetData sheetId="0" refreshError="1"/>
      <sheetData sheetId="1">
        <row r="16">
          <cell r="D16">
            <v>14630</v>
          </cell>
          <cell r="H16">
            <v>14948</v>
          </cell>
        </row>
      </sheetData>
      <sheetData sheetId="2" refreshError="1"/>
      <sheetData sheetId="3" refreshError="1"/>
      <sheetData sheetId="4" refreshError="1"/>
      <sheetData sheetId="5"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31-03SD"/>
      <sheetName val="30-06SD "/>
      <sheetName val="30-09SD"/>
      <sheetName val="31-12SD "/>
      <sheetName val="SD - 2011"/>
      <sheetName val="31-03GI"/>
      <sheetName val="30-06GI "/>
      <sheetName val="30-09GI "/>
      <sheetName val="31-12GI "/>
      <sheetName val="GI - 2011 (2)"/>
      <sheetName val="Mr. NR"/>
      <sheetName val="GI - 2011"/>
      <sheetName val="31-03 LI"/>
      <sheetName val="Sheet3"/>
      <sheetName val="30-06 LI"/>
      <sheetName val="30-09 LI"/>
      <sheetName val="31-12 LI "/>
      <sheetName val="LI - 2011 (2)"/>
      <sheetName val="LI - 2011"/>
      <sheetName val="SI - Company"/>
      <sheetName val="Assets - General"/>
      <sheetName val="Assets - Long Term"/>
      <sheetName val="Assets - Company"/>
      <sheetName val="solvency - life "/>
      <sheetName val="solvency - general"/>
      <sheetName val="Ratios"/>
      <sheetName val="admissable assets - life"/>
      <sheetName val="Admissable assets - general"/>
      <sheetName val="Highlights"/>
      <sheetName val="SD "/>
      <sheetName val="GI  "/>
      <sheetName val="LI "/>
      <sheetName val="Sheet1"/>
    </sheetNames>
    <sheetDataSet>
      <sheetData sheetId="0"/>
      <sheetData sheetId="1"/>
      <sheetData sheetId="2"/>
      <sheetData sheetId="3"/>
      <sheetData sheetId="4">
        <row r="5">
          <cell r="V5">
            <v>1697934.0145700001</v>
          </cell>
        </row>
      </sheetData>
      <sheetData sheetId="5"/>
      <sheetData sheetId="6"/>
      <sheetData sheetId="7"/>
      <sheetData sheetId="8">
        <row r="5">
          <cell r="V5">
            <v>12411407.117876999</v>
          </cell>
        </row>
      </sheetData>
      <sheetData sheetId="9">
        <row r="6">
          <cell r="V6">
            <v>-9816080.4323333353</v>
          </cell>
        </row>
      </sheetData>
      <sheetData sheetId="10"/>
      <sheetData sheetId="11"/>
      <sheetData sheetId="12"/>
      <sheetData sheetId="13"/>
      <sheetData sheetId="14"/>
      <sheetData sheetId="15">
        <row r="5">
          <cell r="S5">
            <v>9263493.2232159972</v>
          </cell>
        </row>
      </sheetData>
      <sheetData sheetId="16">
        <row r="5">
          <cell r="S5">
            <v>9263493.2232159972</v>
          </cell>
        </row>
      </sheetData>
      <sheetData sheetId="17">
        <row r="7">
          <cell r="W7">
            <v>24475926.614028081</v>
          </cell>
        </row>
      </sheetData>
      <sheetData sheetId="18">
        <row r="7">
          <cell r="T7">
            <v>84122180.959786803</v>
          </cell>
        </row>
        <row r="23">
          <cell r="S23">
            <v>18905733.773537412</v>
          </cell>
        </row>
      </sheetData>
      <sheetData sheetId="19">
        <row r="25">
          <cell r="Y25">
            <v>263314977.47730723</v>
          </cell>
        </row>
      </sheetData>
      <sheetData sheetId="20"/>
      <sheetData sheetId="21"/>
      <sheetData sheetId="22">
        <row r="5">
          <cell r="B5">
            <v>6.4229816726198834</v>
          </cell>
        </row>
      </sheetData>
      <sheetData sheetId="23"/>
      <sheetData sheetId="24"/>
      <sheetData sheetId="25"/>
      <sheetData sheetId="26"/>
      <sheetData sheetId="27"/>
      <sheetData sheetId="28"/>
      <sheetData sheetId="29" refreshError="1"/>
      <sheetData sheetId="30" refreshError="1"/>
      <sheetData sheetId="31" refreshError="1"/>
      <sheetData sheetId="3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3(i) -Motor Policies"/>
      <sheetName val="Additional Data GI - 2013"/>
      <sheetName val="Additional Data GI - 2012"/>
      <sheetName val="GWP - Dist Chan - GI"/>
      <sheetName val="Expenses 2008&amp;09 GI"/>
      <sheetName val="TR - 2012"/>
      <sheetName val="T12 GI - Claims Age"/>
      <sheetName val="GI - Claims Age Rs. 2012 "/>
      <sheetName val="NEP - LI - 2011 &amp; 12"/>
      <sheetName val="GI - Claims Outs - 2013"/>
      <sheetName val="LI - # of Customers"/>
      <sheetName val="Forf &amp; Surrender"/>
      <sheetName val="GWP - Dist Chan - LI (aft adjs)"/>
      <sheetName val="GWP - Dist Chan - LI"/>
      <sheetName val="Claim Details - LI"/>
      <sheetName val="T21 Age Claims Outs LI"/>
      <sheetName val="Age Claims Outs LI Rs.'000"/>
      <sheetName val="Marine Claims"/>
      <sheetName val="Marine Earned Premium"/>
      <sheetName val="SRCC &amp; TC 2011 &amp; 12"/>
      <sheetName val="Co Ins Outward"/>
      <sheetName val="List of tables"/>
      <sheetName val="New - LT"/>
      <sheetName val="Branches-Emp-Agents"/>
      <sheetName val="New Busi LT"/>
      <sheetName val="AR Table 11 &amp; Chart 12"/>
      <sheetName val="New &amp; Inforced Policies LI"/>
      <sheetName val="AR - Table 1"/>
      <sheetName val="Inforced LI"/>
      <sheetName val="LI - laps new "/>
      <sheetName val="LI - laps Total"/>
      <sheetName val="LI - Solvency"/>
      <sheetName val="AR6&amp;7 Support I"/>
      <sheetName val="P &amp; L - GI - 2012 "/>
      <sheetName val="P &amp; L - GI - 2013"/>
      <sheetName val="AR6&amp;7 Support II"/>
      <sheetName val="Invest Income GI - 2013"/>
      <sheetName val="Invest Income GI - 2012 "/>
      <sheetName val="GI - Solvency"/>
      <sheetName val="AR 5 Support"/>
      <sheetName val="Investment Income LI "/>
      <sheetName val="InV Income  - Life"/>
      <sheetName val="BS 2013"/>
      <sheetName val="Sheet3"/>
      <sheetName val="Misc BU GWP"/>
      <sheetName val="BS 2012"/>
      <sheetName val="AR Table 10 &amp; Chart 11"/>
      <sheetName val="Investment Income GI"/>
      <sheetName val="AR Table 4 &amp; Chart 4,5"/>
      <sheetName val="AR Table 7 &amp; Chart 8"/>
      <sheetName val="GWP - LT + GI "/>
      <sheetName val="AR Table 3 &amp; Chart 01,02"/>
      <sheetName val="Solvency  GI "/>
      <sheetName val="AR Table 2"/>
      <sheetName val="AR Table 8 &amp; Chart 9"/>
      <sheetName val="AR Table 12"/>
      <sheetName val="Sheet4"/>
      <sheetName val="To Rajan"/>
      <sheetName val="AR Table 9 &amp; Chart 10"/>
      <sheetName val="Solvency LI "/>
      <sheetName val="AR Table 5 &amp; Chart 6"/>
      <sheetName val="T13 -GI Policies "/>
      <sheetName val="AR table 6 &amp; Chart 7"/>
      <sheetName val="AR 6&amp;7 Support III"/>
      <sheetName val="AR7&amp;8 Support"/>
      <sheetName val="Ratio"/>
      <sheetName val="Premium Receivable"/>
      <sheetName val="LI - laps new  (2)"/>
      <sheetName val="Life Benifits Rs.'000"/>
      <sheetName val="P &amp; L LI 2013 &amp; 12"/>
      <sheetName val="# of Life Benifits Paid"/>
      <sheetName val="BR -IN"/>
      <sheetName val="New GI"/>
      <sheetName val="T14 (i) -GI Sum Insu"/>
      <sheetName val="T14As % of National Income"/>
      <sheetName val="Sheet1"/>
      <sheetName val="Ratios"/>
      <sheetName val="Sheet2"/>
      <sheetName val="AR table 6 &amp; Chart 7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ow r="7">
          <cell r="A7" t="str">
            <v xml:space="preserve">    - Treasury Bonds</v>
          </cell>
        </row>
        <row r="8">
          <cell r="A8" t="str">
            <v xml:space="preserve">    - Treasury Bills</v>
          </cell>
        </row>
        <row r="9">
          <cell r="A9" t="str">
            <v xml:space="preserve">    - Others (REPO)</v>
          </cell>
        </row>
        <row r="14">
          <cell r="A14" t="str">
            <v xml:space="preserve">    - Debentures</v>
          </cell>
        </row>
        <row r="15">
          <cell r="A15" t="str">
            <v xml:space="preserve">    - Commercial Papers</v>
          </cell>
        </row>
        <row r="16">
          <cell r="A16" t="str">
            <v xml:space="preserve">    - Asset Backed Securities </v>
          </cell>
        </row>
        <row r="17">
          <cell r="A17" t="str">
            <v xml:space="preserve">    - Other Similar Financial Instruments </v>
          </cell>
        </row>
      </sheetData>
      <sheetData sheetId="41">
        <row r="7">
          <cell r="B7" t="str">
            <v xml:space="preserve">    - Treasury Bonds</v>
          </cell>
          <cell r="C7">
            <v>9572296.2950755861</v>
          </cell>
          <cell r="D7">
            <v>140241.65463333332</v>
          </cell>
          <cell r="E7">
            <v>9712537.94970892</v>
          </cell>
          <cell r="F7">
            <v>9093604.9518445134</v>
          </cell>
          <cell r="G7">
            <v>169769.36645999996</v>
          </cell>
          <cell r="H7">
            <v>9263374.3183045126</v>
          </cell>
          <cell r="I7">
            <v>40563.145579999997</v>
          </cell>
          <cell r="J7">
            <v>44064.072110000001</v>
          </cell>
        </row>
        <row r="8">
          <cell r="B8" t="str">
            <v xml:space="preserve">    - Treasury Bills</v>
          </cell>
          <cell r="C8">
            <v>247051.68720708851</v>
          </cell>
          <cell r="D8">
            <v>2325</v>
          </cell>
          <cell r="E8">
            <v>249376.68720708851</v>
          </cell>
          <cell r="F8">
            <v>184533.66677000001</v>
          </cell>
          <cell r="G8">
            <v>3388.31</v>
          </cell>
          <cell r="H8">
            <v>187921.97677000001</v>
          </cell>
          <cell r="I8">
            <v>2325</v>
          </cell>
          <cell r="J8">
            <v>2108</v>
          </cell>
        </row>
        <row r="9">
          <cell r="B9" t="str">
            <v xml:space="preserve">    - Others (REPO)</v>
          </cell>
          <cell r="C9">
            <v>2016614.0250594034</v>
          </cell>
          <cell r="D9">
            <v>140789.13040901066</v>
          </cell>
          <cell r="E9">
            <v>2157403.1554684141</v>
          </cell>
          <cell r="F9">
            <v>1593608.2365135897</v>
          </cell>
          <cell r="G9">
            <v>298885.48438641027</v>
          </cell>
          <cell r="H9">
            <v>1892493.7208999998</v>
          </cell>
          <cell r="I9">
            <v>1579</v>
          </cell>
          <cell r="J9">
            <v>14888.301786410259</v>
          </cell>
        </row>
        <row r="10">
          <cell r="B10" t="str">
            <v>Equity</v>
          </cell>
          <cell r="C10">
            <v>889273.7882699999</v>
          </cell>
          <cell r="D10">
            <v>465838.67392999999</v>
          </cell>
          <cell r="E10">
            <v>1355112.4622</v>
          </cell>
          <cell r="F10">
            <v>-69948.105779999867</v>
          </cell>
          <cell r="G10">
            <v>377283.69107</v>
          </cell>
          <cell r="H10">
            <v>307335.58529000019</v>
          </cell>
          <cell r="I10">
            <v>25079</v>
          </cell>
          <cell r="J10">
            <v>0</v>
          </cell>
        </row>
        <row r="11">
          <cell r="B11" t="str">
            <v xml:space="preserve">    - Capital Gain/Losses</v>
          </cell>
          <cell r="C11">
            <v>-111548.19064000007</v>
          </cell>
          <cell r="D11">
            <v>88755.211909999998</v>
          </cell>
          <cell r="E11">
            <v>-22792.97873000009</v>
          </cell>
          <cell r="F11">
            <v>-855776.82077999995</v>
          </cell>
          <cell r="G11">
            <v>-16180.621929999999</v>
          </cell>
          <cell r="H11">
            <v>-871957.44270999997</v>
          </cell>
          <cell r="I11">
            <v>18767</v>
          </cell>
          <cell r="J11">
            <v>0</v>
          </cell>
        </row>
        <row r="12">
          <cell r="B12" t="str">
            <v xml:space="preserve">    - Dividend</v>
          </cell>
          <cell r="C12">
            <v>1000821.9789099999</v>
          </cell>
          <cell r="D12">
            <v>377083.46201999998</v>
          </cell>
          <cell r="E12">
            <v>1377905.44093</v>
          </cell>
          <cell r="F12">
            <v>785828.71500000008</v>
          </cell>
          <cell r="G12">
            <v>393464.31300000002</v>
          </cell>
          <cell r="H12">
            <v>1179293.0280000002</v>
          </cell>
          <cell r="I12">
            <v>6312</v>
          </cell>
          <cell r="J12">
            <v>0</v>
          </cell>
        </row>
        <row r="13">
          <cell r="B13" t="str">
            <v>Corporate Debts</v>
          </cell>
          <cell r="C13">
            <v>2452012.8320133537</v>
          </cell>
          <cell r="D13">
            <v>181146.85153088943</v>
          </cell>
          <cell r="E13">
            <v>2633159.6835442437</v>
          </cell>
          <cell r="F13">
            <v>1599062.9449199999</v>
          </cell>
          <cell r="G13">
            <v>62574.445732120963</v>
          </cell>
          <cell r="H13">
            <v>1661637.390652121</v>
          </cell>
          <cell r="I13">
            <v>106845.51794088942</v>
          </cell>
          <cell r="J13">
            <v>37175.92956212096</v>
          </cell>
        </row>
        <row r="14">
          <cell r="B14" t="str">
            <v xml:space="preserve">    - Debentures</v>
          </cell>
          <cell r="C14">
            <v>2392993.2641880517</v>
          </cell>
          <cell r="D14">
            <v>80960.95459456621</v>
          </cell>
          <cell r="E14">
            <v>2473954.2187826182</v>
          </cell>
          <cell r="F14">
            <v>1498133.0253900001</v>
          </cell>
          <cell r="G14">
            <v>28649.4461547793</v>
          </cell>
          <cell r="H14">
            <v>1526782.4715447794</v>
          </cell>
          <cell r="I14">
            <v>26963.621004566212</v>
          </cell>
          <cell r="J14">
            <v>6481.9299847792981</v>
          </cell>
        </row>
        <row r="15">
          <cell r="B15" t="str">
            <v xml:space="preserve">    - Commercial Papers</v>
          </cell>
          <cell r="C15">
            <v>42601.311545302298</v>
          </cell>
          <cell r="D15">
            <v>97008.827997867091</v>
          </cell>
          <cell r="E15">
            <v>139610.13954316938</v>
          </cell>
          <cell r="F15">
            <v>97021.170639999997</v>
          </cell>
          <cell r="G15">
            <v>32086.204471967532</v>
          </cell>
          <cell r="H15">
            <v>129107.37511196753</v>
          </cell>
          <cell r="I15">
            <v>76704.827997867091</v>
          </cell>
          <cell r="J15">
            <v>28855.204471967532</v>
          </cell>
        </row>
        <row r="16">
          <cell r="B16" t="str">
            <v xml:space="preserve">    - Asset backed securities </v>
          </cell>
          <cell r="C16">
            <v>16418.256280000001</v>
          </cell>
          <cell r="D16">
            <v>3177.068938456116</v>
          </cell>
          <cell r="E16">
            <v>19595.325218456117</v>
          </cell>
          <cell r="F16">
            <v>3908.7488900000003</v>
          </cell>
          <cell r="G16">
            <v>1838.7951053741269</v>
          </cell>
          <cell r="H16">
            <v>5747.543995374127</v>
          </cell>
          <cell r="I16">
            <v>3177.068938456116</v>
          </cell>
          <cell r="J16">
            <v>1838.7951053741269</v>
          </cell>
        </row>
        <row r="17">
          <cell r="B17" t="str">
            <v xml:space="preserve">    - Other similar financial instruments </v>
          </cell>
          <cell r="C17">
            <v>0</v>
          </cell>
          <cell r="D17">
            <v>0</v>
          </cell>
          <cell r="E17">
            <v>0</v>
          </cell>
          <cell r="F17">
            <v>0</v>
          </cell>
          <cell r="G17">
            <v>0</v>
          </cell>
          <cell r="H17">
            <v>0</v>
          </cell>
          <cell r="I17">
            <v>0</v>
          </cell>
          <cell r="J17">
            <v>0</v>
          </cell>
        </row>
        <row r="18">
          <cell r="B18" t="str">
            <v>Land and Buildings</v>
          </cell>
          <cell r="C18">
            <v>65635.83</v>
          </cell>
          <cell r="D18">
            <v>0</v>
          </cell>
          <cell r="E18">
            <v>65635.83</v>
          </cell>
          <cell r="F18">
            <v>56208.679359999995</v>
          </cell>
          <cell r="G18">
            <v>0</v>
          </cell>
          <cell r="H18">
            <v>56208.679359999995</v>
          </cell>
          <cell r="I18">
            <v>0</v>
          </cell>
          <cell r="J18">
            <v>0</v>
          </cell>
          <cell r="N18">
            <v>56208.679359999995</v>
          </cell>
        </row>
        <row r="19">
          <cell r="B19" t="str">
            <v>Deposits</v>
          </cell>
          <cell r="C19">
            <v>5798014.7726194058</v>
          </cell>
          <cell r="D19">
            <v>428824.44482063985</v>
          </cell>
          <cell r="E19">
            <v>6226839.2174400445</v>
          </cell>
          <cell r="F19">
            <v>3768413.8272799994</v>
          </cell>
          <cell r="G19">
            <v>219147.64689397262</v>
          </cell>
          <cell r="H19">
            <v>3987561.4741739724</v>
          </cell>
          <cell r="I19">
            <v>15618.82192</v>
          </cell>
          <cell r="J19">
            <v>9818.1722739726029</v>
          </cell>
        </row>
        <row r="20">
          <cell r="B20" t="str">
            <v xml:space="preserve">      - Bank</v>
          </cell>
          <cell r="C20">
            <v>5634201.4438144295</v>
          </cell>
          <cell r="D20">
            <v>428337.62290063984</v>
          </cell>
          <cell r="E20">
            <v>6062539.0667150682</v>
          </cell>
          <cell r="F20">
            <v>3652521.1949605937</v>
          </cell>
          <cell r="G20">
            <v>212631.37872958905</v>
          </cell>
          <cell r="H20">
            <v>3865152.573690183</v>
          </cell>
          <cell r="I20">
            <v>15438</v>
          </cell>
          <cell r="J20">
            <v>3788.9041095890407</v>
          </cell>
        </row>
        <row r="21">
          <cell r="B21" t="str">
            <v xml:space="preserve">      - Finance Companies</v>
          </cell>
          <cell r="C21">
            <v>163813.32880497642</v>
          </cell>
          <cell r="D21">
            <v>486.82191999999998</v>
          </cell>
          <cell r="E21">
            <v>164300.15072497644</v>
          </cell>
          <cell r="F21">
            <v>115892.63231940585</v>
          </cell>
          <cell r="G21">
            <v>6516.2681643835622</v>
          </cell>
          <cell r="H21">
            <v>122408.9004837894</v>
          </cell>
          <cell r="I21">
            <v>180.82192000000001</v>
          </cell>
          <cell r="J21">
            <v>6029.2681643835622</v>
          </cell>
        </row>
        <row r="22">
          <cell r="B22" t="str">
            <v>Unit Trust</v>
          </cell>
          <cell r="C22">
            <v>106619.3315</v>
          </cell>
          <cell r="D22">
            <v>296</v>
          </cell>
          <cell r="E22">
            <v>106915.3315</v>
          </cell>
          <cell r="F22">
            <v>123616.50711999999</v>
          </cell>
          <cell r="G22">
            <v>13136</v>
          </cell>
          <cell r="H22">
            <v>136752.50711999999</v>
          </cell>
          <cell r="I22">
            <v>0</v>
          </cell>
          <cell r="J22">
            <v>0</v>
          </cell>
          <cell r="N22">
            <v>123616.50711999999</v>
          </cell>
        </row>
        <row r="23">
          <cell r="B23" t="str">
            <v>Gold</v>
          </cell>
          <cell r="C23">
            <v>-10968</v>
          </cell>
          <cell r="D23">
            <v>0</v>
          </cell>
          <cell r="E23">
            <v>-10968</v>
          </cell>
          <cell r="F23">
            <v>25886.913</v>
          </cell>
          <cell r="G23">
            <v>0</v>
          </cell>
          <cell r="H23">
            <v>25886.913</v>
          </cell>
          <cell r="I23">
            <v>0</v>
          </cell>
          <cell r="J23">
            <v>0</v>
          </cell>
        </row>
        <row r="24">
          <cell r="B24" t="str">
            <v>Policy Loans</v>
          </cell>
          <cell r="C24">
            <v>25895.240530000003</v>
          </cell>
          <cell r="D24">
            <v>0</v>
          </cell>
          <cell r="E24">
            <v>25895.240530000003</v>
          </cell>
          <cell r="F24">
            <v>56895.01468</v>
          </cell>
          <cell r="G24">
            <v>0</v>
          </cell>
          <cell r="H24">
            <v>56895.01468</v>
          </cell>
          <cell r="I24">
            <v>0</v>
          </cell>
          <cell r="J24">
            <v>0</v>
          </cell>
          <cell r="N24">
            <v>56895.01468</v>
          </cell>
        </row>
        <row r="25">
          <cell r="B25" t="str">
            <v>Any other (Please specify)</v>
          </cell>
          <cell r="C25">
            <v>133911.45341000002</v>
          </cell>
          <cell r="D25">
            <v>-14795.542850000002</v>
          </cell>
          <cell r="E25">
            <v>119115.91056000002</v>
          </cell>
          <cell r="F25">
            <v>630170.28083000006</v>
          </cell>
          <cell r="G25">
            <v>-1996.3735100000004</v>
          </cell>
          <cell r="H25">
            <v>628173.90732</v>
          </cell>
          <cell r="I25">
            <v>-9537.1016899999995</v>
          </cell>
          <cell r="J25">
            <v>2317.78449</v>
          </cell>
          <cell r="M25">
            <v>124374.35172000002</v>
          </cell>
          <cell r="N25">
            <v>632488.06532000005</v>
          </cell>
        </row>
        <row r="26">
          <cell r="B26" t="str">
            <v>Total Investment Income</v>
          </cell>
          <cell r="C26">
            <v>21296357.255684838</v>
          </cell>
          <cell r="D26">
            <v>1344666.2124738733</v>
          </cell>
          <cell r="E26">
            <v>22641023.468158711</v>
          </cell>
          <cell r="F26">
            <v>17062052.916538104</v>
          </cell>
          <cell r="G26">
            <v>1142188.5710325039</v>
          </cell>
          <cell r="H26">
            <v>18204241.487570606</v>
          </cell>
          <cell r="I26">
            <v>182473.38375088939</v>
          </cell>
          <cell r="J26">
            <v>110372.26022250381</v>
          </cell>
          <cell r="M26">
            <v>21478830.639435727</v>
          </cell>
        </row>
        <row r="27">
          <cell r="C27">
            <v>21296357.63443033</v>
          </cell>
          <cell r="D27">
            <v>1344666.944790558</v>
          </cell>
          <cell r="E27">
            <v>22641024.579220887</v>
          </cell>
          <cell r="F27">
            <v>17062052.034297813</v>
          </cell>
          <cell r="G27">
            <v>1142188.5886963732</v>
          </cell>
          <cell r="H27">
            <v>18204240.622994184</v>
          </cell>
          <cell r="I27">
            <v>21478830.639435727</v>
          </cell>
          <cell r="J27">
            <v>17172425.176760606</v>
          </cell>
          <cell r="N27">
            <v>17172425.176760606</v>
          </cell>
        </row>
        <row r="28">
          <cell r="C28">
            <v>-0.37874549254775047</v>
          </cell>
          <cell r="D28">
            <v>-0.73231668467633426</v>
          </cell>
          <cell r="E28">
            <v>-1.1110621765255928</v>
          </cell>
          <cell r="F28">
            <v>0.88224029168486595</v>
          </cell>
          <cell r="G28">
            <v>-1.7663869308307767E-2</v>
          </cell>
          <cell r="H28">
            <v>0.86457642167806625</v>
          </cell>
        </row>
        <row r="29">
          <cell r="B29" t="str">
            <v>AAIPLC</v>
          </cell>
          <cell r="C29" t="str">
            <v>Asian</v>
          </cell>
        </row>
        <row r="30">
          <cell r="B30" t="str">
            <v>Breakup of Investment Income</v>
          </cell>
        </row>
        <row r="32">
          <cell r="C32">
            <v>2013</v>
          </cell>
          <cell r="F32" t="str">
            <v>2012 - As per Audited Financial Statements</v>
          </cell>
          <cell r="I32" t="str">
            <v>Issue</v>
          </cell>
        </row>
        <row r="33">
          <cell r="C33" t="str">
            <v>Long-term Insurance Business</v>
          </cell>
          <cell r="F33" t="str">
            <v>Long-term Insurance Business</v>
          </cell>
        </row>
        <row r="34">
          <cell r="C34" t="str">
            <v>Long-term Insurance Business            (Rs '000)</v>
          </cell>
          <cell r="D34" t="str">
            <v>Shareholders (Rs '000)</v>
          </cell>
          <cell r="E34" t="str">
            <v>Total       (Rs.'000)</v>
          </cell>
          <cell r="F34" t="str">
            <v>Long-term Insurance Business            (Rs '000)</v>
          </cell>
          <cell r="G34" t="str">
            <v>Shareholders (Rs '000)</v>
          </cell>
          <cell r="H34" t="str">
            <v>Total                         (Rs.'000)</v>
          </cell>
        </row>
        <row r="35">
          <cell r="B35" t="str">
            <v>Government Debt Securities</v>
          </cell>
          <cell r="C35">
            <v>261377</v>
          </cell>
          <cell r="D35">
            <v>0</v>
          </cell>
          <cell r="E35">
            <v>261377</v>
          </cell>
          <cell r="F35">
            <v>214865.81738999998</v>
          </cell>
          <cell r="G35">
            <v>0</v>
          </cell>
          <cell r="H35">
            <v>214865.81738999998</v>
          </cell>
        </row>
        <row r="36">
          <cell r="B36" t="str">
            <v xml:space="preserve">    - Treasury Bonds</v>
          </cell>
          <cell r="C36">
            <v>239485</v>
          </cell>
          <cell r="E36">
            <v>239485</v>
          </cell>
          <cell r="F36">
            <v>169455.13157</v>
          </cell>
          <cell r="H36">
            <v>169455.13157</v>
          </cell>
        </row>
        <row r="37">
          <cell r="B37" t="str">
            <v xml:space="preserve">    - Treasury Bills</v>
          </cell>
          <cell r="C37">
            <v>1363</v>
          </cell>
          <cell r="E37">
            <v>1363</v>
          </cell>
          <cell r="F37">
            <v>4606.3007500000003</v>
          </cell>
          <cell r="H37">
            <v>4606.3007500000003</v>
          </cell>
        </row>
        <row r="38">
          <cell r="B38" t="str">
            <v xml:space="preserve">    - Others (REPO)</v>
          </cell>
          <cell r="C38">
            <v>20529</v>
          </cell>
          <cell r="E38">
            <v>20529</v>
          </cell>
          <cell r="F38">
            <v>40804.385070000004</v>
          </cell>
          <cell r="H38">
            <v>40804.385070000004</v>
          </cell>
        </row>
        <row r="39">
          <cell r="B39" t="str">
            <v>Equity</v>
          </cell>
          <cell r="C39">
            <v>113622</v>
          </cell>
          <cell r="D39">
            <v>94312</v>
          </cell>
          <cell r="E39">
            <v>207934</v>
          </cell>
          <cell r="F39">
            <v>-46172.966039999992</v>
          </cell>
          <cell r="G39">
            <v>0</v>
          </cell>
          <cell r="H39">
            <v>-46172.966039999992</v>
          </cell>
        </row>
        <row r="40">
          <cell r="B40" t="str">
            <v xml:space="preserve">    - Capital Gain/Losses</v>
          </cell>
          <cell r="C40">
            <v>61363</v>
          </cell>
          <cell r="D40">
            <v>82682</v>
          </cell>
          <cell r="E40">
            <v>144045</v>
          </cell>
          <cell r="F40">
            <v>-56204.600439999995</v>
          </cell>
          <cell r="H40">
            <v>-56204.600439999995</v>
          </cell>
        </row>
        <row r="41">
          <cell r="B41" t="str">
            <v xml:space="preserve">    - Dividend</v>
          </cell>
          <cell r="C41">
            <v>52259</v>
          </cell>
          <cell r="D41">
            <v>11630</v>
          </cell>
          <cell r="E41">
            <v>63889</v>
          </cell>
          <cell r="F41">
            <v>10031.634400000001</v>
          </cell>
          <cell r="H41">
            <v>10031.634400000001</v>
          </cell>
        </row>
        <row r="42">
          <cell r="B42" t="str">
            <v>Corporate Debts</v>
          </cell>
          <cell r="C42">
            <v>69044</v>
          </cell>
          <cell r="D42">
            <v>20304</v>
          </cell>
          <cell r="E42">
            <v>89348</v>
          </cell>
          <cell r="F42">
            <v>60243.461370000005</v>
          </cell>
          <cell r="G42">
            <v>0</v>
          </cell>
          <cell r="H42">
            <v>60243.461370000005</v>
          </cell>
        </row>
        <row r="43">
          <cell r="B43" t="str">
            <v xml:space="preserve">    - Debentures</v>
          </cell>
          <cell r="C43">
            <v>59412</v>
          </cell>
          <cell r="E43">
            <v>59412</v>
          </cell>
          <cell r="F43">
            <v>52930.725010000002</v>
          </cell>
          <cell r="H43">
            <v>52930.725010000002</v>
          </cell>
        </row>
        <row r="44">
          <cell r="B44" t="str">
            <v xml:space="preserve">    - Commercial Papers</v>
          </cell>
          <cell r="C44">
            <v>9632</v>
          </cell>
          <cell r="D44">
            <v>20304</v>
          </cell>
          <cell r="E44">
            <v>29936</v>
          </cell>
          <cell r="F44">
            <v>7312.7363600000008</v>
          </cell>
          <cell r="H44">
            <v>7312.7363600000008</v>
          </cell>
        </row>
      </sheetData>
      <sheetData sheetId="42">
        <row r="13">
          <cell r="Q13">
            <v>94024168.604809076</v>
          </cell>
        </row>
        <row r="14">
          <cell r="Q14">
            <v>24490342.242850006</v>
          </cell>
        </row>
        <row r="15">
          <cell r="Q15">
            <v>521763.60429000005</v>
          </cell>
        </row>
        <row r="16">
          <cell r="Q16">
            <v>49158</v>
          </cell>
        </row>
        <row r="17">
          <cell r="Q17">
            <v>32934384.026166622</v>
          </cell>
        </row>
        <row r="18">
          <cell r="Q18">
            <v>6129837.1837599995</v>
          </cell>
        </row>
        <row r="19">
          <cell r="Q19">
            <v>40837962.794057339</v>
          </cell>
        </row>
        <row r="20">
          <cell r="Q20">
            <v>2302039.29783792</v>
          </cell>
        </row>
        <row r="21">
          <cell r="Q21">
            <v>29295</v>
          </cell>
        </row>
        <row r="23">
          <cell r="Q23">
            <v>5182398.9198819185</v>
          </cell>
        </row>
        <row r="28">
          <cell r="Q28">
            <v>969522.55007904</v>
          </cell>
        </row>
      </sheetData>
      <sheetData sheetId="43" refreshError="1"/>
      <sheetData sheetId="44" refreshError="1"/>
      <sheetData sheetId="45">
        <row r="13">
          <cell r="Q13">
            <v>98146810.473046437</v>
          </cell>
        </row>
        <row r="14">
          <cell r="Q14">
            <v>25833962.9817353</v>
          </cell>
        </row>
        <row r="15">
          <cell r="Q15">
            <v>521763</v>
          </cell>
        </row>
        <row r="16">
          <cell r="Q16">
            <v>49158</v>
          </cell>
        </row>
        <row r="17">
          <cell r="Q17">
            <v>13285666.582127919</v>
          </cell>
        </row>
        <row r="18">
          <cell r="Q18">
            <v>5951450.3726131096</v>
          </cell>
        </row>
        <row r="19">
          <cell r="Q19">
            <v>31790110.899298877</v>
          </cell>
        </row>
        <row r="20">
          <cell r="Q20">
            <v>1589873.4795658356</v>
          </cell>
        </row>
        <row r="21">
          <cell r="Q21">
            <v>31832</v>
          </cell>
        </row>
        <row r="23">
          <cell r="Q23">
            <v>4678904.00031</v>
          </cell>
        </row>
        <row r="28">
          <cell r="Q28">
            <v>917555.03461624123</v>
          </cell>
        </row>
      </sheetData>
      <sheetData sheetId="46" refreshError="1"/>
      <sheetData sheetId="47" refreshError="1"/>
      <sheetData sheetId="48">
        <row r="8">
          <cell r="F8" t="str">
            <v>AIA</v>
          </cell>
        </row>
      </sheetData>
      <sheetData sheetId="49" refreshError="1"/>
      <sheetData sheetId="50" refreshError="1"/>
      <sheetData sheetId="51">
        <row r="7">
          <cell r="F7" t="str">
            <v>AIA</v>
          </cell>
        </row>
      </sheetData>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List of tables"/>
      <sheetName val="Inv Income Vs Inv"/>
      <sheetName val="AR - Table 1"/>
      <sheetName val="AR Table 2"/>
      <sheetName val="AR Table 3 &amp; Chart 01,02"/>
      <sheetName val="AR Chart 03"/>
      <sheetName val="AR Table 4 &amp; Chart 4,5"/>
      <sheetName val="AR Table 5 &amp; Chart 6"/>
      <sheetName val="AR table 6 &amp; Chart 7"/>
      <sheetName val="AR Table 7 &amp; Chart 8"/>
      <sheetName val="AR Table 8 &amp; Chart 9"/>
      <sheetName val="AR Table 9 &amp; Chart 10"/>
      <sheetName val="AR Table 10 &amp; Chart 11"/>
      <sheetName val="AR Table 11 &amp; Chart 12"/>
      <sheetName val="AR Table 12"/>
      <sheetName val="New - LT"/>
      <sheetName val="New GI"/>
      <sheetName val="T9 Support"/>
      <sheetName val="T10 Support "/>
      <sheetName val="T10 Support  (2)"/>
      <sheetName val="T11 Support  "/>
      <sheetName val="T12 GI - Claims Age"/>
      <sheetName val="T24 BR -IN"/>
      <sheetName val="T22 Branches"/>
      <sheetName val="GI - Solvency"/>
      <sheetName val="LI - Solvency"/>
      <sheetName val="GI - Claims Outs - 2010"/>
      <sheetName val="GI - Claims Outs"/>
      <sheetName val="T13 -GI Policies "/>
      <sheetName val="T13(i) -Motor Policies"/>
      <sheetName val="T14As % of National Income"/>
      <sheetName val="T14 (i) -GI Sum Insu"/>
      <sheetName val="T14(ii) - LI classes - New"/>
      <sheetName val="T16 - LI classes - inforce"/>
      <sheetName val="T17LI - # of Customers"/>
      <sheetName val="T18 forf &amp; Surrender"/>
      <sheetName val="T19-laps new LI"/>
      <sheetName val="T19-laps Total"/>
      <sheetName val="T20 Claims - LI"/>
      <sheetName val="T23 Agents"/>
      <sheetName val="T21 Age Claims Outs LI"/>
      <sheetName val="GWP - Dist Chan - GI"/>
      <sheetName val="GWP - Dist Chan - LI"/>
      <sheetName val="Sheet1"/>
      <sheetName val="Mr. NR"/>
      <sheetName val="P &amp; L - GI - 2011"/>
      <sheetName val="P &amp; L GI - 2010"/>
      <sheetName val="P &amp; L LI 2011 &amp; 10"/>
      <sheetName val="T25 P &amp; L LI 2011 &amp; 10 (2)"/>
      <sheetName val="BS 2010"/>
      <sheetName val="BS 2011"/>
      <sheetName val="SRCC &amp; TC"/>
      <sheetName val="Co Ins Outward"/>
      <sheetName val="Info received"/>
      <sheetName val="Ratios"/>
      <sheetName val="T 1 - Penetration + SRCCTC"/>
      <sheetName val="New GI + SRCCTC"/>
      <sheetName val="Total GWP +SRCCTC"/>
      <sheetName val="T 8 - GWP - GI + SRCCTC"/>
      <sheetName val="T 9 - GWP Sub Class +SRCCTC"/>
      <sheetName val="T9 Support + SRCCTC"/>
      <sheetName val="T 11 - Retention + SRCCTC"/>
      <sheetName val="T11 Support  + SRCCTC"/>
      <sheetName val="T 8 - GWP - GI+SRCCTC"/>
    </sheetNames>
    <sheetDataSet>
      <sheetData sheetId="0"/>
      <sheetData sheetId="1"/>
      <sheetData sheetId="2"/>
      <sheetData sheetId="3"/>
      <sheetData sheetId="4">
        <row r="28">
          <cell r="C28">
            <v>139647177.67814398</v>
          </cell>
        </row>
      </sheetData>
      <sheetData sheetId="5">
        <row r="7">
          <cell r="L7">
            <v>1579190.6229400001</v>
          </cell>
        </row>
      </sheetData>
      <sheetData sheetId="6"/>
      <sheetData sheetId="7"/>
      <sheetData sheetId="8"/>
      <sheetData sheetId="9">
        <row r="7">
          <cell r="G7">
            <v>1137412.6968422052</v>
          </cell>
        </row>
      </sheetData>
      <sheetData sheetId="10"/>
      <sheetData sheetId="11">
        <row r="7">
          <cell r="H7">
            <v>2739921.14806</v>
          </cell>
          <cell r="Q7">
            <v>2995.414006</v>
          </cell>
        </row>
        <row r="8">
          <cell r="Q8">
            <v>219102.12200337049</v>
          </cell>
        </row>
      </sheetData>
      <sheetData sheetId="12">
        <row r="5">
          <cell r="B5" t="str">
            <v>Government Debt Securities</v>
          </cell>
        </row>
      </sheetData>
      <sheetData sheetId="13">
        <row r="5">
          <cell r="B5" t="str">
            <v>Government Debt Securities</v>
          </cell>
        </row>
      </sheetData>
      <sheetData sheetId="14"/>
      <sheetData sheetId="15">
        <row r="10">
          <cell r="I10">
            <v>1245630.5022100001</v>
          </cell>
        </row>
      </sheetData>
      <sheetData sheetId="16"/>
      <sheetData sheetId="17"/>
      <sheetData sheetId="18"/>
      <sheetData sheetId="19"/>
      <sheetData sheetId="20">
        <row r="11">
          <cell r="F11">
            <v>128815</v>
          </cell>
        </row>
      </sheetData>
      <sheetData sheetId="21"/>
      <sheetData sheetId="22"/>
      <sheetData sheetId="23"/>
      <sheetData sheetId="24">
        <row r="15">
          <cell r="C15">
            <v>1075</v>
          </cell>
        </row>
      </sheetData>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ow r="7">
          <cell r="C7">
            <v>6972852.9010600001</v>
          </cell>
        </row>
      </sheetData>
      <sheetData sheetId="47">
        <row r="20">
          <cell r="I20">
            <v>-10058322.227912756</v>
          </cell>
        </row>
        <row r="26">
          <cell r="H26">
            <v>12220021.678048341</v>
          </cell>
        </row>
      </sheetData>
      <sheetData sheetId="48">
        <row r="7">
          <cell r="H7">
            <v>31152085.591510002</v>
          </cell>
        </row>
      </sheetData>
      <sheetData sheetId="49"/>
      <sheetData sheetId="50">
        <row r="13">
          <cell r="Q13">
            <v>70038347.676369995</v>
          </cell>
        </row>
        <row r="14">
          <cell r="Q14">
            <v>21445607.44447</v>
          </cell>
        </row>
        <row r="15">
          <cell r="Q15">
            <v>200000</v>
          </cell>
        </row>
        <row r="16">
          <cell r="Q16">
            <v>125462</v>
          </cell>
        </row>
        <row r="17">
          <cell r="Q17">
            <v>8606697.7198600005</v>
          </cell>
        </row>
        <row r="18">
          <cell r="Q18">
            <v>482049</v>
          </cell>
        </row>
        <row r="19">
          <cell r="Q19">
            <v>19151994.766230002</v>
          </cell>
        </row>
        <row r="20">
          <cell r="Q20">
            <v>1246496</v>
          </cell>
        </row>
        <row r="21">
          <cell r="Q21">
            <v>0</v>
          </cell>
        </row>
        <row r="23">
          <cell r="Q23">
            <v>4190810.7754799998</v>
          </cell>
        </row>
        <row r="24">
          <cell r="Q24">
            <v>0</v>
          </cell>
        </row>
        <row r="28">
          <cell r="Q28">
            <v>218622</v>
          </cell>
        </row>
      </sheetData>
      <sheetData sheetId="51"/>
      <sheetData sheetId="52">
        <row r="55">
          <cell r="H55">
            <v>1926563.8965400003</v>
          </cell>
        </row>
      </sheetData>
      <sheetData sheetId="53">
        <row r="51">
          <cell r="H51">
            <v>339999.80257999996</v>
          </cell>
        </row>
      </sheetData>
      <sheetData sheetId="54"/>
      <sheetData sheetId="55">
        <row r="5">
          <cell r="B5">
            <v>6.5060669808186784</v>
          </cell>
        </row>
      </sheetData>
      <sheetData sheetId="56"/>
      <sheetData sheetId="57"/>
      <sheetData sheetId="58"/>
      <sheetData sheetId="59"/>
      <sheetData sheetId="60"/>
      <sheetData sheetId="61"/>
      <sheetData sheetId="62"/>
      <sheetData sheetId="63"/>
      <sheetData sheetId="6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 1 - Risk Profile"/>
      <sheetName val="Sheet 2 - General Insurance"/>
      <sheetName val="Sheet 3 - Long term Insurance"/>
      <sheetName val="Sheet 4 Life &amp; General Combined"/>
      <sheetName val="Sheet 5 - CO-BS - 2012 &amp; 2011"/>
      <sheetName val="Sheet 6 - BR - IN"/>
      <sheetName val="Sheet1"/>
    </sheetNames>
    <sheetDataSet>
      <sheetData sheetId="0" refreshError="1"/>
      <sheetData sheetId="1" refreshError="1"/>
      <sheetData sheetId="2" refreshError="1">
        <row r="203">
          <cell r="C203">
            <v>95289878.547700018</v>
          </cell>
        </row>
        <row r="205">
          <cell r="C205">
            <v>4990000</v>
          </cell>
        </row>
        <row r="266">
          <cell r="C266">
            <v>193910855.19603214</v>
          </cell>
        </row>
        <row r="268">
          <cell r="C268">
            <v>54242881.046549164</v>
          </cell>
        </row>
        <row r="269">
          <cell r="C269">
            <v>38731063.224477775</v>
          </cell>
        </row>
        <row r="271">
          <cell r="C271">
            <v>0.05</v>
          </cell>
        </row>
      </sheetData>
      <sheetData sheetId="3" refreshError="1"/>
      <sheetData sheetId="4" refreshError="1"/>
      <sheetData sheetId="5" refreshError="1"/>
      <sheetData sheetId="6"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surance"/>
      <sheetName val="Long term Insurance"/>
      <sheetName val="Life &amp; General Combined"/>
      <sheetName val="CO-BS - 2011 &amp; 2010"/>
      <sheetName val="BR - IN"/>
    </sheetNames>
    <sheetDataSet>
      <sheetData sheetId="0" refreshError="1">
        <row r="153">
          <cell r="E153">
            <v>186000</v>
          </cell>
        </row>
      </sheetData>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printerSettings" Target="../printerSettings/printerSettings31.bin"/><Relationship Id="rId3" Type="http://schemas.openxmlformats.org/officeDocument/2006/relationships/printerSettings" Target="../printerSettings/printerSettings26.bin"/><Relationship Id="rId7" Type="http://schemas.openxmlformats.org/officeDocument/2006/relationships/printerSettings" Target="../printerSettings/printerSettings30.bin"/><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 Id="rId6" Type="http://schemas.openxmlformats.org/officeDocument/2006/relationships/printerSettings" Target="../printerSettings/printerSettings29.bin"/><Relationship Id="rId5" Type="http://schemas.openxmlformats.org/officeDocument/2006/relationships/printerSettings" Target="../printerSettings/printerSettings28.bin"/><Relationship Id="rId4" Type="http://schemas.openxmlformats.org/officeDocument/2006/relationships/printerSettings" Target="../printerSettings/printerSettings27.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2.bin"/></Relationships>
</file>

<file path=xl/worksheets/_rels/sheet12.xml.rels><?xml version="1.0" encoding="UTF-8" standalone="yes"?>
<Relationships xmlns="http://schemas.openxmlformats.org/package/2006/relationships"><Relationship Id="rId8" Type="http://schemas.openxmlformats.org/officeDocument/2006/relationships/printerSettings" Target="../printerSettings/printerSettings40.bin"/><Relationship Id="rId13" Type="http://schemas.openxmlformats.org/officeDocument/2006/relationships/printerSettings" Target="../printerSettings/printerSettings45.bin"/><Relationship Id="rId3" Type="http://schemas.openxmlformats.org/officeDocument/2006/relationships/printerSettings" Target="../printerSettings/printerSettings35.bin"/><Relationship Id="rId7" Type="http://schemas.openxmlformats.org/officeDocument/2006/relationships/printerSettings" Target="../printerSettings/printerSettings39.bin"/><Relationship Id="rId12" Type="http://schemas.openxmlformats.org/officeDocument/2006/relationships/printerSettings" Target="../printerSettings/printerSettings44.bin"/><Relationship Id="rId17" Type="http://schemas.openxmlformats.org/officeDocument/2006/relationships/comments" Target="../comments3.xml"/><Relationship Id="rId2" Type="http://schemas.openxmlformats.org/officeDocument/2006/relationships/printerSettings" Target="../printerSettings/printerSettings34.bin"/><Relationship Id="rId16" Type="http://schemas.openxmlformats.org/officeDocument/2006/relationships/vmlDrawing" Target="../drawings/vmlDrawing3.vml"/><Relationship Id="rId1" Type="http://schemas.openxmlformats.org/officeDocument/2006/relationships/printerSettings" Target="../printerSettings/printerSettings33.bin"/><Relationship Id="rId6" Type="http://schemas.openxmlformats.org/officeDocument/2006/relationships/printerSettings" Target="../printerSettings/printerSettings38.bin"/><Relationship Id="rId11" Type="http://schemas.openxmlformats.org/officeDocument/2006/relationships/printerSettings" Target="../printerSettings/printerSettings43.bin"/><Relationship Id="rId5" Type="http://schemas.openxmlformats.org/officeDocument/2006/relationships/printerSettings" Target="../printerSettings/printerSettings37.bin"/><Relationship Id="rId15" Type="http://schemas.openxmlformats.org/officeDocument/2006/relationships/printerSettings" Target="../printerSettings/printerSettings47.bin"/><Relationship Id="rId10" Type="http://schemas.openxmlformats.org/officeDocument/2006/relationships/printerSettings" Target="../printerSettings/printerSettings42.bin"/><Relationship Id="rId4" Type="http://schemas.openxmlformats.org/officeDocument/2006/relationships/printerSettings" Target="../printerSettings/printerSettings36.bin"/><Relationship Id="rId9" Type="http://schemas.openxmlformats.org/officeDocument/2006/relationships/printerSettings" Target="../printerSettings/printerSettings41.bin"/><Relationship Id="rId14" Type="http://schemas.openxmlformats.org/officeDocument/2006/relationships/printerSettings" Target="../printerSettings/printerSettings46.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2.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53.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5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55.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57.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58.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59.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10.bin"/><Relationship Id="rId3" Type="http://schemas.openxmlformats.org/officeDocument/2006/relationships/printerSettings" Target="../printerSettings/printerSettings5.bin"/><Relationship Id="rId7" Type="http://schemas.openxmlformats.org/officeDocument/2006/relationships/printerSettings" Target="../printerSettings/printerSettings9.bin"/><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 Id="rId6" Type="http://schemas.openxmlformats.org/officeDocument/2006/relationships/printerSettings" Target="../printerSettings/printerSettings8.bin"/><Relationship Id="rId5" Type="http://schemas.openxmlformats.org/officeDocument/2006/relationships/printerSettings" Target="../printerSettings/printerSettings7.bin"/><Relationship Id="rId4" Type="http://schemas.openxmlformats.org/officeDocument/2006/relationships/printerSettings" Target="../printerSettings/printerSettings6.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35.xml.rels><?xml version="1.0" encoding="UTF-8" standalone="yes"?>
<Relationships xmlns="http://schemas.openxmlformats.org/package/2006/relationships"><Relationship Id="rId8" Type="http://schemas.openxmlformats.org/officeDocument/2006/relationships/printerSettings" Target="../printerSettings/printerSettings77.bin"/><Relationship Id="rId3" Type="http://schemas.openxmlformats.org/officeDocument/2006/relationships/printerSettings" Target="../printerSettings/printerSettings72.bin"/><Relationship Id="rId7" Type="http://schemas.openxmlformats.org/officeDocument/2006/relationships/printerSettings" Target="../printerSettings/printerSettings76.bin"/><Relationship Id="rId2" Type="http://schemas.openxmlformats.org/officeDocument/2006/relationships/printerSettings" Target="../printerSettings/printerSettings71.bin"/><Relationship Id="rId1" Type="http://schemas.openxmlformats.org/officeDocument/2006/relationships/printerSettings" Target="../printerSettings/printerSettings70.bin"/><Relationship Id="rId6" Type="http://schemas.openxmlformats.org/officeDocument/2006/relationships/printerSettings" Target="../printerSettings/printerSettings75.bin"/><Relationship Id="rId5" Type="http://schemas.openxmlformats.org/officeDocument/2006/relationships/printerSettings" Target="../printerSettings/printerSettings74.bin"/><Relationship Id="rId4" Type="http://schemas.openxmlformats.org/officeDocument/2006/relationships/printerSettings" Target="../printerSettings/printerSettings73.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39.xml.rels><?xml version="1.0" encoding="UTF-8" standalone="yes"?>
<Relationships xmlns="http://schemas.openxmlformats.org/package/2006/relationships"><Relationship Id="rId8" Type="http://schemas.openxmlformats.org/officeDocument/2006/relationships/printerSettings" Target="../printerSettings/printerSettings88.bin"/><Relationship Id="rId3" Type="http://schemas.openxmlformats.org/officeDocument/2006/relationships/printerSettings" Target="../printerSettings/printerSettings83.bin"/><Relationship Id="rId7" Type="http://schemas.openxmlformats.org/officeDocument/2006/relationships/printerSettings" Target="../printerSettings/printerSettings87.bin"/><Relationship Id="rId2" Type="http://schemas.openxmlformats.org/officeDocument/2006/relationships/printerSettings" Target="../printerSettings/printerSettings82.bin"/><Relationship Id="rId1" Type="http://schemas.openxmlformats.org/officeDocument/2006/relationships/printerSettings" Target="../printerSettings/printerSettings81.bin"/><Relationship Id="rId6" Type="http://schemas.openxmlformats.org/officeDocument/2006/relationships/printerSettings" Target="../printerSettings/printerSettings86.bin"/><Relationship Id="rId5" Type="http://schemas.openxmlformats.org/officeDocument/2006/relationships/printerSettings" Target="../printerSettings/printerSettings85.bin"/><Relationship Id="rId10" Type="http://schemas.openxmlformats.org/officeDocument/2006/relationships/comments" Target="../comments12.xml"/><Relationship Id="rId4" Type="http://schemas.openxmlformats.org/officeDocument/2006/relationships/printerSettings" Target="../printerSettings/printerSettings84.bin"/><Relationship Id="rId9" Type="http://schemas.openxmlformats.org/officeDocument/2006/relationships/vmlDrawing" Target="../drawings/vmlDrawing12.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40.xml.rels><?xml version="1.0" encoding="UTF-8" standalone="yes"?>
<Relationships xmlns="http://schemas.openxmlformats.org/package/2006/relationships"><Relationship Id="rId8" Type="http://schemas.openxmlformats.org/officeDocument/2006/relationships/drawing" Target="../drawings/drawing3.xml"/><Relationship Id="rId3" Type="http://schemas.openxmlformats.org/officeDocument/2006/relationships/printerSettings" Target="../printerSettings/printerSettings91.bin"/><Relationship Id="rId7" Type="http://schemas.openxmlformats.org/officeDocument/2006/relationships/printerSettings" Target="../printerSettings/printerSettings95.bin"/><Relationship Id="rId2" Type="http://schemas.openxmlformats.org/officeDocument/2006/relationships/printerSettings" Target="../printerSettings/printerSettings90.bin"/><Relationship Id="rId1" Type="http://schemas.openxmlformats.org/officeDocument/2006/relationships/printerSettings" Target="../printerSettings/printerSettings89.bin"/><Relationship Id="rId6" Type="http://schemas.openxmlformats.org/officeDocument/2006/relationships/printerSettings" Target="../printerSettings/printerSettings94.bin"/><Relationship Id="rId5" Type="http://schemas.openxmlformats.org/officeDocument/2006/relationships/printerSettings" Target="../printerSettings/printerSettings93.bin"/><Relationship Id="rId4" Type="http://schemas.openxmlformats.org/officeDocument/2006/relationships/printerSettings" Target="../printerSettings/printerSettings92.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99.bin"/><Relationship Id="rId7" Type="http://schemas.openxmlformats.org/officeDocument/2006/relationships/printerSettings" Target="../printerSettings/printerSettings103.bin"/><Relationship Id="rId2" Type="http://schemas.openxmlformats.org/officeDocument/2006/relationships/printerSettings" Target="../printerSettings/printerSettings98.bin"/><Relationship Id="rId1" Type="http://schemas.openxmlformats.org/officeDocument/2006/relationships/printerSettings" Target="../printerSettings/printerSettings97.bin"/><Relationship Id="rId6" Type="http://schemas.openxmlformats.org/officeDocument/2006/relationships/printerSettings" Target="../printerSettings/printerSettings102.bin"/><Relationship Id="rId5" Type="http://schemas.openxmlformats.org/officeDocument/2006/relationships/printerSettings" Target="../printerSettings/printerSettings101.bin"/><Relationship Id="rId4" Type="http://schemas.openxmlformats.org/officeDocument/2006/relationships/printerSettings" Target="../printerSettings/printerSettings100.bin"/></Relationships>
</file>

<file path=xl/worksheets/_rels/sheet43.xml.rels><?xml version="1.0" encoding="UTF-8" standalone="yes"?>
<Relationships xmlns="http://schemas.openxmlformats.org/package/2006/relationships"><Relationship Id="rId8" Type="http://schemas.openxmlformats.org/officeDocument/2006/relationships/printerSettings" Target="../printerSettings/printerSettings111.bin"/><Relationship Id="rId3" Type="http://schemas.openxmlformats.org/officeDocument/2006/relationships/printerSettings" Target="../printerSettings/printerSettings106.bin"/><Relationship Id="rId7" Type="http://schemas.openxmlformats.org/officeDocument/2006/relationships/printerSettings" Target="../printerSettings/printerSettings110.bin"/><Relationship Id="rId2" Type="http://schemas.openxmlformats.org/officeDocument/2006/relationships/printerSettings" Target="../printerSettings/printerSettings105.bin"/><Relationship Id="rId1" Type="http://schemas.openxmlformats.org/officeDocument/2006/relationships/printerSettings" Target="../printerSettings/printerSettings104.bin"/><Relationship Id="rId6" Type="http://schemas.openxmlformats.org/officeDocument/2006/relationships/printerSettings" Target="../printerSettings/printerSettings109.bin"/><Relationship Id="rId5" Type="http://schemas.openxmlformats.org/officeDocument/2006/relationships/printerSettings" Target="../printerSettings/printerSettings108.bin"/><Relationship Id="rId4" Type="http://schemas.openxmlformats.org/officeDocument/2006/relationships/printerSettings" Target="../printerSettings/printerSettings107.bin"/></Relationships>
</file>

<file path=xl/worksheets/_rels/sheet44.xml.rels><?xml version="1.0" encoding="UTF-8" standalone="yes"?>
<Relationships xmlns="http://schemas.openxmlformats.org/package/2006/relationships"><Relationship Id="rId8" Type="http://schemas.openxmlformats.org/officeDocument/2006/relationships/printerSettings" Target="../printerSettings/printerSettings119.bin"/><Relationship Id="rId3" Type="http://schemas.openxmlformats.org/officeDocument/2006/relationships/printerSettings" Target="../printerSettings/printerSettings114.bin"/><Relationship Id="rId7" Type="http://schemas.openxmlformats.org/officeDocument/2006/relationships/printerSettings" Target="../printerSettings/printerSettings118.bin"/><Relationship Id="rId2" Type="http://schemas.openxmlformats.org/officeDocument/2006/relationships/printerSettings" Target="../printerSettings/printerSettings113.bin"/><Relationship Id="rId1" Type="http://schemas.openxmlformats.org/officeDocument/2006/relationships/printerSettings" Target="../printerSettings/printerSettings112.bin"/><Relationship Id="rId6" Type="http://schemas.openxmlformats.org/officeDocument/2006/relationships/printerSettings" Target="../printerSettings/printerSettings117.bin"/><Relationship Id="rId5" Type="http://schemas.openxmlformats.org/officeDocument/2006/relationships/printerSettings" Target="../printerSettings/printerSettings116.bin"/><Relationship Id="rId4" Type="http://schemas.openxmlformats.org/officeDocument/2006/relationships/printerSettings" Target="../printerSettings/printerSettings115.bin"/></Relationships>
</file>

<file path=xl/worksheets/_rels/sheet45.xml.rels><?xml version="1.0" encoding="UTF-8" standalone="yes"?>
<Relationships xmlns="http://schemas.openxmlformats.org/package/2006/relationships"><Relationship Id="rId8" Type="http://schemas.openxmlformats.org/officeDocument/2006/relationships/drawing" Target="../drawings/drawing7.xml"/><Relationship Id="rId3" Type="http://schemas.openxmlformats.org/officeDocument/2006/relationships/printerSettings" Target="../printerSettings/printerSettings122.bin"/><Relationship Id="rId7" Type="http://schemas.openxmlformats.org/officeDocument/2006/relationships/printerSettings" Target="../printerSettings/printerSettings126.bin"/><Relationship Id="rId2" Type="http://schemas.openxmlformats.org/officeDocument/2006/relationships/printerSettings" Target="../printerSettings/printerSettings121.bin"/><Relationship Id="rId1" Type="http://schemas.openxmlformats.org/officeDocument/2006/relationships/printerSettings" Target="../printerSettings/printerSettings120.bin"/><Relationship Id="rId6" Type="http://schemas.openxmlformats.org/officeDocument/2006/relationships/printerSettings" Target="../printerSettings/printerSettings125.bin"/><Relationship Id="rId5" Type="http://schemas.openxmlformats.org/officeDocument/2006/relationships/printerSettings" Target="../printerSettings/printerSettings124.bin"/><Relationship Id="rId4" Type="http://schemas.openxmlformats.org/officeDocument/2006/relationships/printerSettings" Target="../printerSettings/printerSettings123.bin"/></Relationships>
</file>

<file path=xl/worksheets/_rels/sheet46.xml.rels><?xml version="1.0" encoding="UTF-8" standalone="yes"?>
<Relationships xmlns="http://schemas.openxmlformats.org/package/2006/relationships"><Relationship Id="rId8" Type="http://schemas.openxmlformats.org/officeDocument/2006/relationships/printerSettings" Target="../printerSettings/printerSettings134.bin"/><Relationship Id="rId3" Type="http://schemas.openxmlformats.org/officeDocument/2006/relationships/printerSettings" Target="../printerSettings/printerSettings129.bin"/><Relationship Id="rId7" Type="http://schemas.openxmlformats.org/officeDocument/2006/relationships/printerSettings" Target="../printerSettings/printerSettings133.bin"/><Relationship Id="rId2" Type="http://schemas.openxmlformats.org/officeDocument/2006/relationships/printerSettings" Target="../printerSettings/printerSettings128.bin"/><Relationship Id="rId1" Type="http://schemas.openxmlformats.org/officeDocument/2006/relationships/printerSettings" Target="../printerSettings/printerSettings127.bin"/><Relationship Id="rId6" Type="http://schemas.openxmlformats.org/officeDocument/2006/relationships/printerSettings" Target="../printerSettings/printerSettings132.bin"/><Relationship Id="rId5" Type="http://schemas.openxmlformats.org/officeDocument/2006/relationships/printerSettings" Target="../printerSettings/printerSettings131.bin"/><Relationship Id="rId10" Type="http://schemas.openxmlformats.org/officeDocument/2006/relationships/comments" Target="../comments13.xml"/><Relationship Id="rId4" Type="http://schemas.openxmlformats.org/officeDocument/2006/relationships/printerSettings" Target="../printerSettings/printerSettings130.bin"/><Relationship Id="rId9" Type="http://schemas.openxmlformats.org/officeDocument/2006/relationships/vmlDrawing" Target="../drawings/vmlDrawing13.vml"/></Relationships>
</file>

<file path=xl/worksheets/_rels/sheet47.xml.rels><?xml version="1.0" encoding="UTF-8" standalone="yes"?>
<Relationships xmlns="http://schemas.openxmlformats.org/package/2006/relationships"><Relationship Id="rId3" Type="http://schemas.openxmlformats.org/officeDocument/2006/relationships/printerSettings" Target="../printerSettings/printerSettings137.bin"/><Relationship Id="rId7" Type="http://schemas.openxmlformats.org/officeDocument/2006/relationships/printerSettings" Target="../printerSettings/printerSettings141.bin"/><Relationship Id="rId2" Type="http://schemas.openxmlformats.org/officeDocument/2006/relationships/printerSettings" Target="../printerSettings/printerSettings136.bin"/><Relationship Id="rId1" Type="http://schemas.openxmlformats.org/officeDocument/2006/relationships/printerSettings" Target="../printerSettings/printerSettings135.bin"/><Relationship Id="rId6" Type="http://schemas.openxmlformats.org/officeDocument/2006/relationships/printerSettings" Target="../printerSettings/printerSettings140.bin"/><Relationship Id="rId5" Type="http://schemas.openxmlformats.org/officeDocument/2006/relationships/printerSettings" Target="../printerSettings/printerSettings139.bin"/><Relationship Id="rId4" Type="http://schemas.openxmlformats.org/officeDocument/2006/relationships/printerSettings" Target="../printerSettings/printerSettings138.bin"/></Relationships>
</file>

<file path=xl/worksheets/_rels/sheet48.xml.rels><?xml version="1.0" encoding="UTF-8" standalone="yes"?>
<Relationships xmlns="http://schemas.openxmlformats.org/package/2006/relationships"><Relationship Id="rId8" Type="http://schemas.openxmlformats.org/officeDocument/2006/relationships/printerSettings" Target="../printerSettings/printerSettings149.bin"/><Relationship Id="rId13" Type="http://schemas.openxmlformats.org/officeDocument/2006/relationships/printerSettings" Target="../printerSettings/printerSettings154.bin"/><Relationship Id="rId3" Type="http://schemas.openxmlformats.org/officeDocument/2006/relationships/printerSettings" Target="../printerSettings/printerSettings144.bin"/><Relationship Id="rId7" Type="http://schemas.openxmlformats.org/officeDocument/2006/relationships/printerSettings" Target="../printerSettings/printerSettings148.bin"/><Relationship Id="rId12" Type="http://schemas.openxmlformats.org/officeDocument/2006/relationships/printerSettings" Target="../printerSettings/printerSettings153.bin"/><Relationship Id="rId2" Type="http://schemas.openxmlformats.org/officeDocument/2006/relationships/printerSettings" Target="../printerSettings/printerSettings143.bin"/><Relationship Id="rId1" Type="http://schemas.openxmlformats.org/officeDocument/2006/relationships/printerSettings" Target="../printerSettings/printerSettings142.bin"/><Relationship Id="rId6" Type="http://schemas.openxmlformats.org/officeDocument/2006/relationships/printerSettings" Target="../printerSettings/printerSettings147.bin"/><Relationship Id="rId11" Type="http://schemas.openxmlformats.org/officeDocument/2006/relationships/printerSettings" Target="../printerSettings/printerSettings152.bin"/><Relationship Id="rId5" Type="http://schemas.openxmlformats.org/officeDocument/2006/relationships/printerSettings" Target="../printerSettings/printerSettings146.bin"/><Relationship Id="rId15" Type="http://schemas.openxmlformats.org/officeDocument/2006/relationships/printerSettings" Target="../printerSettings/printerSettings156.bin"/><Relationship Id="rId10" Type="http://schemas.openxmlformats.org/officeDocument/2006/relationships/printerSettings" Target="../printerSettings/printerSettings151.bin"/><Relationship Id="rId4" Type="http://schemas.openxmlformats.org/officeDocument/2006/relationships/printerSettings" Target="../printerSettings/printerSettings145.bin"/><Relationship Id="rId9" Type="http://schemas.openxmlformats.org/officeDocument/2006/relationships/printerSettings" Target="../printerSettings/printerSettings150.bin"/><Relationship Id="rId14" Type="http://schemas.openxmlformats.org/officeDocument/2006/relationships/printerSettings" Target="../printerSettings/printerSettings155.bin"/></Relationships>
</file>

<file path=xl/worksheets/_rels/sheet49.xml.rels><?xml version="1.0" encoding="UTF-8" standalone="yes"?>
<Relationships xmlns="http://schemas.openxmlformats.org/package/2006/relationships"><Relationship Id="rId3" Type="http://schemas.openxmlformats.org/officeDocument/2006/relationships/printerSettings" Target="../printerSettings/printerSettings159.bin"/><Relationship Id="rId7" Type="http://schemas.openxmlformats.org/officeDocument/2006/relationships/printerSettings" Target="../printerSettings/printerSettings163.bin"/><Relationship Id="rId2" Type="http://schemas.openxmlformats.org/officeDocument/2006/relationships/printerSettings" Target="../printerSettings/printerSettings158.bin"/><Relationship Id="rId1" Type="http://schemas.openxmlformats.org/officeDocument/2006/relationships/printerSettings" Target="../printerSettings/printerSettings157.bin"/><Relationship Id="rId6" Type="http://schemas.openxmlformats.org/officeDocument/2006/relationships/printerSettings" Target="../printerSettings/printerSettings162.bin"/><Relationship Id="rId5" Type="http://schemas.openxmlformats.org/officeDocument/2006/relationships/printerSettings" Target="../printerSettings/printerSettings161.bin"/><Relationship Id="rId4" Type="http://schemas.openxmlformats.org/officeDocument/2006/relationships/printerSettings" Target="../printerSettings/printerSettings160.bin"/></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19.bin"/><Relationship Id="rId3" Type="http://schemas.openxmlformats.org/officeDocument/2006/relationships/printerSettings" Target="../printerSettings/printerSettings14.bin"/><Relationship Id="rId7" Type="http://schemas.openxmlformats.org/officeDocument/2006/relationships/printerSettings" Target="../printerSettings/printerSettings18.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printerSettings" Target="../printerSettings/printerSettings17.bin"/><Relationship Id="rId5" Type="http://schemas.openxmlformats.org/officeDocument/2006/relationships/printerSettings" Target="../printerSettings/printerSettings16.bin"/><Relationship Id="rId10" Type="http://schemas.openxmlformats.org/officeDocument/2006/relationships/comments" Target="../comments1.xml"/><Relationship Id="rId4" Type="http://schemas.openxmlformats.org/officeDocument/2006/relationships/printerSettings" Target="../printerSettings/printerSettings15.bin"/><Relationship Id="rId9" Type="http://schemas.openxmlformats.org/officeDocument/2006/relationships/vmlDrawing" Target="../drawings/vmlDrawing1.vml"/></Relationships>
</file>

<file path=xl/worksheets/_rels/sheet50.xml.rels><?xml version="1.0" encoding="UTF-8" standalone="yes"?>
<Relationships xmlns="http://schemas.openxmlformats.org/package/2006/relationships"><Relationship Id="rId8" Type="http://schemas.openxmlformats.org/officeDocument/2006/relationships/printerSettings" Target="../printerSettings/printerSettings171.bin"/><Relationship Id="rId3" Type="http://schemas.openxmlformats.org/officeDocument/2006/relationships/printerSettings" Target="../printerSettings/printerSettings166.bin"/><Relationship Id="rId7" Type="http://schemas.openxmlformats.org/officeDocument/2006/relationships/printerSettings" Target="../printerSettings/printerSettings170.bin"/><Relationship Id="rId2" Type="http://schemas.openxmlformats.org/officeDocument/2006/relationships/printerSettings" Target="../printerSettings/printerSettings165.bin"/><Relationship Id="rId1" Type="http://schemas.openxmlformats.org/officeDocument/2006/relationships/printerSettings" Target="../printerSettings/printerSettings164.bin"/><Relationship Id="rId6" Type="http://schemas.openxmlformats.org/officeDocument/2006/relationships/printerSettings" Target="../printerSettings/printerSettings169.bin"/><Relationship Id="rId5" Type="http://schemas.openxmlformats.org/officeDocument/2006/relationships/printerSettings" Target="../printerSettings/printerSettings168.bin"/><Relationship Id="rId4" Type="http://schemas.openxmlformats.org/officeDocument/2006/relationships/printerSettings" Target="../printerSettings/printerSettings167.bin"/><Relationship Id="rId9" Type="http://schemas.openxmlformats.org/officeDocument/2006/relationships/printerSettings" Target="../printerSettings/printerSettings172.bin"/></Relationships>
</file>

<file path=xl/worksheets/_rels/sheet51.xml.rels><?xml version="1.0" encoding="UTF-8" standalone="yes"?>
<Relationships xmlns="http://schemas.openxmlformats.org/package/2006/relationships"><Relationship Id="rId3" Type="http://schemas.openxmlformats.org/officeDocument/2006/relationships/printerSettings" Target="../printerSettings/printerSettings175.bin"/><Relationship Id="rId7" Type="http://schemas.openxmlformats.org/officeDocument/2006/relationships/printerSettings" Target="../printerSettings/printerSettings179.bin"/><Relationship Id="rId2" Type="http://schemas.openxmlformats.org/officeDocument/2006/relationships/printerSettings" Target="../printerSettings/printerSettings174.bin"/><Relationship Id="rId1" Type="http://schemas.openxmlformats.org/officeDocument/2006/relationships/printerSettings" Target="../printerSettings/printerSettings173.bin"/><Relationship Id="rId6" Type="http://schemas.openxmlformats.org/officeDocument/2006/relationships/printerSettings" Target="../printerSettings/printerSettings178.bin"/><Relationship Id="rId5" Type="http://schemas.openxmlformats.org/officeDocument/2006/relationships/printerSettings" Target="../printerSettings/printerSettings177.bin"/><Relationship Id="rId4" Type="http://schemas.openxmlformats.org/officeDocument/2006/relationships/printerSettings" Target="../printerSettings/printerSettings176.bin"/></Relationships>
</file>

<file path=xl/worksheets/_rels/sheet52.xml.rels><?xml version="1.0" encoding="UTF-8" standalone="yes"?>
<Relationships xmlns="http://schemas.openxmlformats.org/package/2006/relationships"><Relationship Id="rId3" Type="http://schemas.openxmlformats.org/officeDocument/2006/relationships/printerSettings" Target="../printerSettings/printerSettings182.bin"/><Relationship Id="rId7" Type="http://schemas.openxmlformats.org/officeDocument/2006/relationships/printerSettings" Target="../printerSettings/printerSettings186.bin"/><Relationship Id="rId2" Type="http://schemas.openxmlformats.org/officeDocument/2006/relationships/printerSettings" Target="../printerSettings/printerSettings181.bin"/><Relationship Id="rId1" Type="http://schemas.openxmlformats.org/officeDocument/2006/relationships/printerSettings" Target="../printerSettings/printerSettings180.bin"/><Relationship Id="rId6" Type="http://schemas.openxmlformats.org/officeDocument/2006/relationships/printerSettings" Target="../printerSettings/printerSettings185.bin"/><Relationship Id="rId5" Type="http://schemas.openxmlformats.org/officeDocument/2006/relationships/printerSettings" Target="../printerSettings/printerSettings184.bin"/><Relationship Id="rId4" Type="http://schemas.openxmlformats.org/officeDocument/2006/relationships/printerSettings" Target="../printerSettings/printerSettings183.bin"/></Relationships>
</file>

<file path=xl/worksheets/_rels/sheet53.xml.rels><?xml version="1.0" encoding="UTF-8" standalone="yes"?>
<Relationships xmlns="http://schemas.openxmlformats.org/package/2006/relationships"><Relationship Id="rId8" Type="http://schemas.openxmlformats.org/officeDocument/2006/relationships/printerSettings" Target="../printerSettings/printerSettings194.bin"/><Relationship Id="rId13" Type="http://schemas.openxmlformats.org/officeDocument/2006/relationships/printerSettings" Target="../printerSettings/printerSettings199.bin"/><Relationship Id="rId3" Type="http://schemas.openxmlformats.org/officeDocument/2006/relationships/printerSettings" Target="../printerSettings/printerSettings189.bin"/><Relationship Id="rId7" Type="http://schemas.openxmlformats.org/officeDocument/2006/relationships/printerSettings" Target="../printerSettings/printerSettings193.bin"/><Relationship Id="rId12" Type="http://schemas.openxmlformats.org/officeDocument/2006/relationships/printerSettings" Target="../printerSettings/printerSettings198.bin"/><Relationship Id="rId2" Type="http://schemas.openxmlformats.org/officeDocument/2006/relationships/printerSettings" Target="../printerSettings/printerSettings188.bin"/><Relationship Id="rId1" Type="http://schemas.openxmlformats.org/officeDocument/2006/relationships/printerSettings" Target="../printerSettings/printerSettings187.bin"/><Relationship Id="rId6" Type="http://schemas.openxmlformats.org/officeDocument/2006/relationships/printerSettings" Target="../printerSettings/printerSettings192.bin"/><Relationship Id="rId11" Type="http://schemas.openxmlformats.org/officeDocument/2006/relationships/printerSettings" Target="../printerSettings/printerSettings197.bin"/><Relationship Id="rId5" Type="http://schemas.openxmlformats.org/officeDocument/2006/relationships/printerSettings" Target="../printerSettings/printerSettings191.bin"/><Relationship Id="rId15" Type="http://schemas.openxmlformats.org/officeDocument/2006/relationships/printerSettings" Target="../printerSettings/printerSettings201.bin"/><Relationship Id="rId10" Type="http://schemas.openxmlformats.org/officeDocument/2006/relationships/printerSettings" Target="../printerSettings/printerSettings196.bin"/><Relationship Id="rId4" Type="http://schemas.openxmlformats.org/officeDocument/2006/relationships/printerSettings" Target="../printerSettings/printerSettings190.bin"/><Relationship Id="rId9" Type="http://schemas.openxmlformats.org/officeDocument/2006/relationships/printerSettings" Target="../printerSettings/printerSettings195.bin"/><Relationship Id="rId14" Type="http://schemas.openxmlformats.org/officeDocument/2006/relationships/printerSettings" Target="../printerSettings/printerSettings200.bin"/></Relationships>
</file>

<file path=xl/worksheets/_rels/sheet54.xml.rels><?xml version="1.0" encoding="UTF-8" standalone="yes"?>
<Relationships xmlns="http://schemas.openxmlformats.org/package/2006/relationships"><Relationship Id="rId3" Type="http://schemas.openxmlformats.org/officeDocument/2006/relationships/printerSettings" Target="../printerSettings/printerSettings204.bin"/><Relationship Id="rId7" Type="http://schemas.openxmlformats.org/officeDocument/2006/relationships/printerSettings" Target="../printerSettings/printerSettings208.bin"/><Relationship Id="rId2" Type="http://schemas.openxmlformats.org/officeDocument/2006/relationships/printerSettings" Target="../printerSettings/printerSettings203.bin"/><Relationship Id="rId1" Type="http://schemas.openxmlformats.org/officeDocument/2006/relationships/printerSettings" Target="../printerSettings/printerSettings202.bin"/><Relationship Id="rId6" Type="http://schemas.openxmlformats.org/officeDocument/2006/relationships/printerSettings" Target="../printerSettings/printerSettings207.bin"/><Relationship Id="rId5" Type="http://schemas.openxmlformats.org/officeDocument/2006/relationships/printerSettings" Target="../printerSettings/printerSettings206.bin"/><Relationship Id="rId4" Type="http://schemas.openxmlformats.org/officeDocument/2006/relationships/printerSettings" Target="../printerSettings/printerSettings205.bin"/></Relationships>
</file>

<file path=xl/worksheets/_rels/sheet55.xml.rels><?xml version="1.0" encoding="UTF-8" standalone="yes"?>
<Relationships xmlns="http://schemas.openxmlformats.org/package/2006/relationships"><Relationship Id="rId8" Type="http://schemas.openxmlformats.org/officeDocument/2006/relationships/printerSettings" Target="../printerSettings/printerSettings216.bin"/><Relationship Id="rId3" Type="http://schemas.openxmlformats.org/officeDocument/2006/relationships/printerSettings" Target="../printerSettings/printerSettings211.bin"/><Relationship Id="rId7" Type="http://schemas.openxmlformats.org/officeDocument/2006/relationships/printerSettings" Target="../printerSettings/printerSettings215.bin"/><Relationship Id="rId2" Type="http://schemas.openxmlformats.org/officeDocument/2006/relationships/printerSettings" Target="../printerSettings/printerSettings210.bin"/><Relationship Id="rId1" Type="http://schemas.openxmlformats.org/officeDocument/2006/relationships/printerSettings" Target="../printerSettings/printerSettings209.bin"/><Relationship Id="rId6" Type="http://schemas.openxmlformats.org/officeDocument/2006/relationships/printerSettings" Target="../printerSettings/printerSettings214.bin"/><Relationship Id="rId5" Type="http://schemas.openxmlformats.org/officeDocument/2006/relationships/printerSettings" Target="../printerSettings/printerSettings213.bin"/><Relationship Id="rId4" Type="http://schemas.openxmlformats.org/officeDocument/2006/relationships/printerSettings" Target="../printerSettings/printerSettings212.bin"/></Relationships>
</file>

<file path=xl/worksheets/_rels/sheet56.xml.rels><?xml version="1.0" encoding="UTF-8" standalone="yes"?>
<Relationships xmlns="http://schemas.openxmlformats.org/package/2006/relationships"><Relationship Id="rId8" Type="http://schemas.openxmlformats.org/officeDocument/2006/relationships/printerSettings" Target="../printerSettings/printerSettings224.bin"/><Relationship Id="rId3" Type="http://schemas.openxmlformats.org/officeDocument/2006/relationships/printerSettings" Target="../printerSettings/printerSettings219.bin"/><Relationship Id="rId7" Type="http://schemas.openxmlformats.org/officeDocument/2006/relationships/printerSettings" Target="../printerSettings/printerSettings223.bin"/><Relationship Id="rId2" Type="http://schemas.openxmlformats.org/officeDocument/2006/relationships/printerSettings" Target="../printerSettings/printerSettings218.bin"/><Relationship Id="rId1" Type="http://schemas.openxmlformats.org/officeDocument/2006/relationships/printerSettings" Target="../printerSettings/printerSettings217.bin"/><Relationship Id="rId6" Type="http://schemas.openxmlformats.org/officeDocument/2006/relationships/printerSettings" Target="../printerSettings/printerSettings222.bin"/><Relationship Id="rId5" Type="http://schemas.openxmlformats.org/officeDocument/2006/relationships/printerSettings" Target="../printerSettings/printerSettings221.bin"/><Relationship Id="rId10" Type="http://schemas.openxmlformats.org/officeDocument/2006/relationships/comments" Target="../comments14.xml"/><Relationship Id="rId4" Type="http://schemas.openxmlformats.org/officeDocument/2006/relationships/printerSettings" Target="../printerSettings/printerSettings220.bin"/><Relationship Id="rId9" Type="http://schemas.openxmlformats.org/officeDocument/2006/relationships/vmlDrawing" Target="../drawings/vmlDrawing14.vml"/></Relationships>
</file>

<file path=xl/worksheets/_rels/sheet57.xml.rels><?xml version="1.0" encoding="UTF-8" standalone="yes"?>
<Relationships xmlns="http://schemas.openxmlformats.org/package/2006/relationships"><Relationship Id="rId8" Type="http://schemas.openxmlformats.org/officeDocument/2006/relationships/printerSettings" Target="../printerSettings/printerSettings232.bin"/><Relationship Id="rId3" Type="http://schemas.openxmlformats.org/officeDocument/2006/relationships/printerSettings" Target="../printerSettings/printerSettings227.bin"/><Relationship Id="rId7" Type="http://schemas.openxmlformats.org/officeDocument/2006/relationships/printerSettings" Target="../printerSettings/printerSettings231.bin"/><Relationship Id="rId2" Type="http://schemas.openxmlformats.org/officeDocument/2006/relationships/printerSettings" Target="../printerSettings/printerSettings226.bin"/><Relationship Id="rId1" Type="http://schemas.openxmlformats.org/officeDocument/2006/relationships/printerSettings" Target="../printerSettings/printerSettings225.bin"/><Relationship Id="rId6" Type="http://schemas.openxmlformats.org/officeDocument/2006/relationships/printerSettings" Target="../printerSettings/printerSettings230.bin"/><Relationship Id="rId5" Type="http://schemas.openxmlformats.org/officeDocument/2006/relationships/printerSettings" Target="../printerSettings/printerSettings229.bin"/><Relationship Id="rId4" Type="http://schemas.openxmlformats.org/officeDocument/2006/relationships/printerSettings" Target="../printerSettings/printerSettings228.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233.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23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60.xml.rels><?xml version="1.0" encoding="UTF-8" standalone="yes"?>
<Relationships xmlns="http://schemas.openxmlformats.org/package/2006/relationships"><Relationship Id="rId8" Type="http://schemas.openxmlformats.org/officeDocument/2006/relationships/printerSettings" Target="../printerSettings/printerSettings242.bin"/><Relationship Id="rId3" Type="http://schemas.openxmlformats.org/officeDocument/2006/relationships/printerSettings" Target="../printerSettings/printerSettings237.bin"/><Relationship Id="rId7" Type="http://schemas.openxmlformats.org/officeDocument/2006/relationships/printerSettings" Target="../printerSettings/printerSettings241.bin"/><Relationship Id="rId2" Type="http://schemas.openxmlformats.org/officeDocument/2006/relationships/printerSettings" Target="../printerSettings/printerSettings236.bin"/><Relationship Id="rId1" Type="http://schemas.openxmlformats.org/officeDocument/2006/relationships/printerSettings" Target="../printerSettings/printerSettings235.bin"/><Relationship Id="rId6" Type="http://schemas.openxmlformats.org/officeDocument/2006/relationships/printerSettings" Target="../printerSettings/printerSettings240.bin"/><Relationship Id="rId5" Type="http://schemas.openxmlformats.org/officeDocument/2006/relationships/printerSettings" Target="../printerSettings/printerSettings239.bin"/><Relationship Id="rId4" Type="http://schemas.openxmlformats.org/officeDocument/2006/relationships/printerSettings" Target="../printerSettings/printerSettings238.bin"/></Relationships>
</file>

<file path=xl/worksheets/_rels/sheet61.xml.rels><?xml version="1.0" encoding="UTF-8" standalone="yes"?>
<Relationships xmlns="http://schemas.openxmlformats.org/package/2006/relationships"><Relationship Id="rId8" Type="http://schemas.openxmlformats.org/officeDocument/2006/relationships/printerSettings" Target="../printerSettings/printerSettings250.bin"/><Relationship Id="rId3" Type="http://schemas.openxmlformats.org/officeDocument/2006/relationships/printerSettings" Target="../printerSettings/printerSettings245.bin"/><Relationship Id="rId7" Type="http://schemas.openxmlformats.org/officeDocument/2006/relationships/printerSettings" Target="../printerSettings/printerSettings249.bin"/><Relationship Id="rId2" Type="http://schemas.openxmlformats.org/officeDocument/2006/relationships/printerSettings" Target="../printerSettings/printerSettings244.bin"/><Relationship Id="rId1" Type="http://schemas.openxmlformats.org/officeDocument/2006/relationships/printerSettings" Target="../printerSettings/printerSettings243.bin"/><Relationship Id="rId6" Type="http://schemas.openxmlformats.org/officeDocument/2006/relationships/printerSettings" Target="../printerSettings/printerSettings248.bin"/><Relationship Id="rId5" Type="http://schemas.openxmlformats.org/officeDocument/2006/relationships/printerSettings" Target="../printerSettings/printerSettings247.bin"/><Relationship Id="rId4" Type="http://schemas.openxmlformats.org/officeDocument/2006/relationships/printerSettings" Target="../printerSettings/printerSettings246.bin"/></Relationships>
</file>

<file path=xl/worksheets/_rels/sheet62.xml.rels><?xml version="1.0" encoding="UTF-8" standalone="yes"?>
<Relationships xmlns="http://schemas.openxmlformats.org/package/2006/relationships"><Relationship Id="rId8" Type="http://schemas.openxmlformats.org/officeDocument/2006/relationships/printerSettings" Target="../printerSettings/printerSettings258.bin"/><Relationship Id="rId3" Type="http://schemas.openxmlformats.org/officeDocument/2006/relationships/printerSettings" Target="../printerSettings/printerSettings253.bin"/><Relationship Id="rId7" Type="http://schemas.openxmlformats.org/officeDocument/2006/relationships/printerSettings" Target="../printerSettings/printerSettings257.bin"/><Relationship Id="rId2" Type="http://schemas.openxmlformats.org/officeDocument/2006/relationships/printerSettings" Target="../printerSettings/printerSettings252.bin"/><Relationship Id="rId1" Type="http://schemas.openxmlformats.org/officeDocument/2006/relationships/printerSettings" Target="../printerSettings/printerSettings251.bin"/><Relationship Id="rId6" Type="http://schemas.openxmlformats.org/officeDocument/2006/relationships/printerSettings" Target="../printerSettings/printerSettings256.bin"/><Relationship Id="rId5" Type="http://schemas.openxmlformats.org/officeDocument/2006/relationships/printerSettings" Target="../printerSettings/printerSettings255.bin"/><Relationship Id="rId4" Type="http://schemas.openxmlformats.org/officeDocument/2006/relationships/printerSettings" Target="../printerSettings/printerSettings254.bin"/></Relationships>
</file>

<file path=xl/worksheets/_rels/sheet63.xml.rels><?xml version="1.0" encoding="UTF-8" standalone="yes"?>
<Relationships xmlns="http://schemas.openxmlformats.org/package/2006/relationships"><Relationship Id="rId8" Type="http://schemas.openxmlformats.org/officeDocument/2006/relationships/printerSettings" Target="../printerSettings/printerSettings266.bin"/><Relationship Id="rId3" Type="http://schemas.openxmlformats.org/officeDocument/2006/relationships/printerSettings" Target="../printerSettings/printerSettings261.bin"/><Relationship Id="rId7" Type="http://schemas.openxmlformats.org/officeDocument/2006/relationships/printerSettings" Target="../printerSettings/printerSettings265.bin"/><Relationship Id="rId2" Type="http://schemas.openxmlformats.org/officeDocument/2006/relationships/printerSettings" Target="../printerSettings/printerSettings260.bin"/><Relationship Id="rId1" Type="http://schemas.openxmlformats.org/officeDocument/2006/relationships/printerSettings" Target="../printerSettings/printerSettings259.bin"/><Relationship Id="rId6" Type="http://schemas.openxmlformats.org/officeDocument/2006/relationships/printerSettings" Target="../printerSettings/printerSettings264.bin"/><Relationship Id="rId5" Type="http://schemas.openxmlformats.org/officeDocument/2006/relationships/printerSettings" Target="../printerSettings/printerSettings263.bin"/><Relationship Id="rId4" Type="http://schemas.openxmlformats.org/officeDocument/2006/relationships/printerSettings" Target="../printerSettings/printerSettings262.bin"/></Relationships>
</file>

<file path=xl/worksheets/_rels/sheet64.xml.rels><?xml version="1.0" encoding="UTF-8" standalone="yes"?>
<Relationships xmlns="http://schemas.openxmlformats.org/package/2006/relationships"><Relationship Id="rId8" Type="http://schemas.openxmlformats.org/officeDocument/2006/relationships/printerSettings" Target="../printerSettings/printerSettings274.bin"/><Relationship Id="rId3" Type="http://schemas.openxmlformats.org/officeDocument/2006/relationships/printerSettings" Target="../printerSettings/printerSettings269.bin"/><Relationship Id="rId7" Type="http://schemas.openxmlformats.org/officeDocument/2006/relationships/printerSettings" Target="../printerSettings/printerSettings273.bin"/><Relationship Id="rId2" Type="http://schemas.openxmlformats.org/officeDocument/2006/relationships/printerSettings" Target="../printerSettings/printerSettings268.bin"/><Relationship Id="rId1" Type="http://schemas.openxmlformats.org/officeDocument/2006/relationships/printerSettings" Target="../printerSettings/printerSettings267.bin"/><Relationship Id="rId6" Type="http://schemas.openxmlformats.org/officeDocument/2006/relationships/printerSettings" Target="../printerSettings/printerSettings272.bin"/><Relationship Id="rId5" Type="http://schemas.openxmlformats.org/officeDocument/2006/relationships/printerSettings" Target="../printerSettings/printerSettings271.bin"/><Relationship Id="rId4" Type="http://schemas.openxmlformats.org/officeDocument/2006/relationships/printerSettings" Target="../printerSettings/printerSettings270.bin"/></Relationships>
</file>

<file path=xl/worksheets/_rels/sheet65.xml.rels><?xml version="1.0" encoding="UTF-8" standalone="yes"?>
<Relationships xmlns="http://schemas.openxmlformats.org/package/2006/relationships"><Relationship Id="rId8" Type="http://schemas.openxmlformats.org/officeDocument/2006/relationships/printerSettings" Target="../printerSettings/printerSettings282.bin"/><Relationship Id="rId3" Type="http://schemas.openxmlformats.org/officeDocument/2006/relationships/printerSettings" Target="../printerSettings/printerSettings277.bin"/><Relationship Id="rId7" Type="http://schemas.openxmlformats.org/officeDocument/2006/relationships/printerSettings" Target="../printerSettings/printerSettings281.bin"/><Relationship Id="rId2" Type="http://schemas.openxmlformats.org/officeDocument/2006/relationships/printerSettings" Target="../printerSettings/printerSettings276.bin"/><Relationship Id="rId1" Type="http://schemas.openxmlformats.org/officeDocument/2006/relationships/printerSettings" Target="../printerSettings/printerSettings275.bin"/><Relationship Id="rId6" Type="http://schemas.openxmlformats.org/officeDocument/2006/relationships/printerSettings" Target="../printerSettings/printerSettings280.bin"/><Relationship Id="rId5" Type="http://schemas.openxmlformats.org/officeDocument/2006/relationships/printerSettings" Target="../printerSettings/printerSettings279.bin"/><Relationship Id="rId4" Type="http://schemas.openxmlformats.org/officeDocument/2006/relationships/printerSettings" Target="../printerSettings/printerSettings278.bin"/></Relationships>
</file>

<file path=xl/worksheets/_rels/sheet66.xml.rels><?xml version="1.0" encoding="UTF-8" standalone="yes"?>
<Relationships xmlns="http://schemas.openxmlformats.org/package/2006/relationships"><Relationship Id="rId8" Type="http://schemas.openxmlformats.org/officeDocument/2006/relationships/printerSettings" Target="../printerSettings/printerSettings290.bin"/><Relationship Id="rId3" Type="http://schemas.openxmlformats.org/officeDocument/2006/relationships/printerSettings" Target="../printerSettings/printerSettings285.bin"/><Relationship Id="rId7" Type="http://schemas.openxmlformats.org/officeDocument/2006/relationships/printerSettings" Target="../printerSettings/printerSettings289.bin"/><Relationship Id="rId2" Type="http://schemas.openxmlformats.org/officeDocument/2006/relationships/printerSettings" Target="../printerSettings/printerSettings284.bin"/><Relationship Id="rId1" Type="http://schemas.openxmlformats.org/officeDocument/2006/relationships/printerSettings" Target="../printerSettings/printerSettings283.bin"/><Relationship Id="rId6" Type="http://schemas.openxmlformats.org/officeDocument/2006/relationships/printerSettings" Target="../printerSettings/printerSettings288.bin"/><Relationship Id="rId11" Type="http://schemas.openxmlformats.org/officeDocument/2006/relationships/comments" Target="../comments15.xml"/><Relationship Id="rId5" Type="http://schemas.openxmlformats.org/officeDocument/2006/relationships/printerSettings" Target="../printerSettings/printerSettings287.bin"/><Relationship Id="rId10" Type="http://schemas.openxmlformats.org/officeDocument/2006/relationships/vmlDrawing" Target="../drawings/vmlDrawing15.vml"/><Relationship Id="rId4" Type="http://schemas.openxmlformats.org/officeDocument/2006/relationships/printerSettings" Target="../printerSettings/printerSettings286.bin"/><Relationship Id="rId9" Type="http://schemas.openxmlformats.org/officeDocument/2006/relationships/drawing" Target="../drawings/drawing9.xml"/></Relationships>
</file>

<file path=xl/worksheets/_rels/sheet67.xml.rels><?xml version="1.0" encoding="UTF-8" standalone="yes"?>
<Relationships xmlns="http://schemas.openxmlformats.org/package/2006/relationships"><Relationship Id="rId8" Type="http://schemas.openxmlformats.org/officeDocument/2006/relationships/printerSettings" Target="../printerSettings/printerSettings298.bin"/><Relationship Id="rId3" Type="http://schemas.openxmlformats.org/officeDocument/2006/relationships/printerSettings" Target="../printerSettings/printerSettings293.bin"/><Relationship Id="rId7" Type="http://schemas.openxmlformats.org/officeDocument/2006/relationships/printerSettings" Target="../printerSettings/printerSettings297.bin"/><Relationship Id="rId2" Type="http://schemas.openxmlformats.org/officeDocument/2006/relationships/printerSettings" Target="../printerSettings/printerSettings292.bin"/><Relationship Id="rId1" Type="http://schemas.openxmlformats.org/officeDocument/2006/relationships/printerSettings" Target="../printerSettings/printerSettings291.bin"/><Relationship Id="rId6" Type="http://schemas.openxmlformats.org/officeDocument/2006/relationships/printerSettings" Target="../printerSettings/printerSettings296.bin"/><Relationship Id="rId5" Type="http://schemas.openxmlformats.org/officeDocument/2006/relationships/printerSettings" Target="../printerSettings/printerSettings295.bin"/><Relationship Id="rId4" Type="http://schemas.openxmlformats.org/officeDocument/2006/relationships/printerSettings" Target="../printerSettings/printerSettings294.bin"/></Relationships>
</file>

<file path=xl/worksheets/_rels/sheet68.xml.rels><?xml version="1.0" encoding="UTF-8" standalone="yes"?>
<Relationships xmlns="http://schemas.openxmlformats.org/package/2006/relationships"><Relationship Id="rId8" Type="http://schemas.openxmlformats.org/officeDocument/2006/relationships/printerSettings" Target="../printerSettings/printerSettings306.bin"/><Relationship Id="rId3" Type="http://schemas.openxmlformats.org/officeDocument/2006/relationships/printerSettings" Target="../printerSettings/printerSettings301.bin"/><Relationship Id="rId7" Type="http://schemas.openxmlformats.org/officeDocument/2006/relationships/printerSettings" Target="../printerSettings/printerSettings305.bin"/><Relationship Id="rId2" Type="http://schemas.openxmlformats.org/officeDocument/2006/relationships/printerSettings" Target="../printerSettings/printerSettings300.bin"/><Relationship Id="rId1" Type="http://schemas.openxmlformats.org/officeDocument/2006/relationships/printerSettings" Target="../printerSettings/printerSettings299.bin"/><Relationship Id="rId6" Type="http://schemas.openxmlformats.org/officeDocument/2006/relationships/printerSettings" Target="../printerSettings/printerSettings304.bin"/><Relationship Id="rId5" Type="http://schemas.openxmlformats.org/officeDocument/2006/relationships/printerSettings" Target="../printerSettings/printerSettings303.bin"/><Relationship Id="rId4" Type="http://schemas.openxmlformats.org/officeDocument/2006/relationships/printerSettings" Target="../printerSettings/printerSettings302.bin"/></Relationships>
</file>

<file path=xl/worksheets/_rels/sheet69.xml.rels><?xml version="1.0" encoding="UTF-8" standalone="yes"?>
<Relationships xmlns="http://schemas.openxmlformats.org/package/2006/relationships"><Relationship Id="rId8" Type="http://schemas.openxmlformats.org/officeDocument/2006/relationships/printerSettings" Target="../printerSettings/printerSettings314.bin"/><Relationship Id="rId13" Type="http://schemas.openxmlformats.org/officeDocument/2006/relationships/printerSettings" Target="../printerSettings/printerSettings319.bin"/><Relationship Id="rId3" Type="http://schemas.openxmlformats.org/officeDocument/2006/relationships/printerSettings" Target="../printerSettings/printerSettings309.bin"/><Relationship Id="rId7" Type="http://schemas.openxmlformats.org/officeDocument/2006/relationships/printerSettings" Target="../printerSettings/printerSettings313.bin"/><Relationship Id="rId12" Type="http://schemas.openxmlformats.org/officeDocument/2006/relationships/printerSettings" Target="../printerSettings/printerSettings318.bin"/><Relationship Id="rId2" Type="http://schemas.openxmlformats.org/officeDocument/2006/relationships/printerSettings" Target="../printerSettings/printerSettings308.bin"/><Relationship Id="rId1" Type="http://schemas.openxmlformats.org/officeDocument/2006/relationships/printerSettings" Target="../printerSettings/printerSettings307.bin"/><Relationship Id="rId6" Type="http://schemas.openxmlformats.org/officeDocument/2006/relationships/printerSettings" Target="../printerSettings/printerSettings312.bin"/><Relationship Id="rId11" Type="http://schemas.openxmlformats.org/officeDocument/2006/relationships/printerSettings" Target="../printerSettings/printerSettings317.bin"/><Relationship Id="rId5" Type="http://schemas.openxmlformats.org/officeDocument/2006/relationships/printerSettings" Target="../printerSettings/printerSettings311.bin"/><Relationship Id="rId15" Type="http://schemas.openxmlformats.org/officeDocument/2006/relationships/printerSettings" Target="../printerSettings/printerSettings321.bin"/><Relationship Id="rId10" Type="http://schemas.openxmlformats.org/officeDocument/2006/relationships/printerSettings" Target="../printerSettings/printerSettings316.bin"/><Relationship Id="rId4" Type="http://schemas.openxmlformats.org/officeDocument/2006/relationships/printerSettings" Target="../printerSettings/printerSettings310.bin"/><Relationship Id="rId9" Type="http://schemas.openxmlformats.org/officeDocument/2006/relationships/printerSettings" Target="../printerSettings/printerSettings315.bin"/><Relationship Id="rId14" Type="http://schemas.openxmlformats.org/officeDocument/2006/relationships/printerSettings" Target="../printerSettings/printerSettings320.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70.xml.rels><?xml version="1.0" encoding="UTF-8" standalone="yes"?>
<Relationships xmlns="http://schemas.openxmlformats.org/package/2006/relationships"><Relationship Id="rId8" Type="http://schemas.openxmlformats.org/officeDocument/2006/relationships/printerSettings" Target="../printerSettings/printerSettings329.bin"/><Relationship Id="rId13" Type="http://schemas.openxmlformats.org/officeDocument/2006/relationships/printerSettings" Target="../printerSettings/printerSettings334.bin"/><Relationship Id="rId3" Type="http://schemas.openxmlformats.org/officeDocument/2006/relationships/printerSettings" Target="../printerSettings/printerSettings324.bin"/><Relationship Id="rId7" Type="http://schemas.openxmlformats.org/officeDocument/2006/relationships/printerSettings" Target="../printerSettings/printerSettings328.bin"/><Relationship Id="rId12" Type="http://schemas.openxmlformats.org/officeDocument/2006/relationships/printerSettings" Target="../printerSettings/printerSettings333.bin"/><Relationship Id="rId2" Type="http://schemas.openxmlformats.org/officeDocument/2006/relationships/printerSettings" Target="../printerSettings/printerSettings323.bin"/><Relationship Id="rId16" Type="http://schemas.openxmlformats.org/officeDocument/2006/relationships/drawing" Target="../drawings/drawing10.xml"/><Relationship Id="rId1" Type="http://schemas.openxmlformats.org/officeDocument/2006/relationships/printerSettings" Target="../printerSettings/printerSettings322.bin"/><Relationship Id="rId6" Type="http://schemas.openxmlformats.org/officeDocument/2006/relationships/printerSettings" Target="../printerSettings/printerSettings327.bin"/><Relationship Id="rId11" Type="http://schemas.openxmlformats.org/officeDocument/2006/relationships/printerSettings" Target="../printerSettings/printerSettings332.bin"/><Relationship Id="rId5" Type="http://schemas.openxmlformats.org/officeDocument/2006/relationships/printerSettings" Target="../printerSettings/printerSettings326.bin"/><Relationship Id="rId15" Type="http://schemas.openxmlformats.org/officeDocument/2006/relationships/printerSettings" Target="../printerSettings/printerSettings336.bin"/><Relationship Id="rId10" Type="http://schemas.openxmlformats.org/officeDocument/2006/relationships/printerSettings" Target="../printerSettings/printerSettings331.bin"/><Relationship Id="rId4" Type="http://schemas.openxmlformats.org/officeDocument/2006/relationships/printerSettings" Target="../printerSettings/printerSettings325.bin"/><Relationship Id="rId9" Type="http://schemas.openxmlformats.org/officeDocument/2006/relationships/printerSettings" Target="../printerSettings/printerSettings330.bin"/><Relationship Id="rId14" Type="http://schemas.openxmlformats.org/officeDocument/2006/relationships/printerSettings" Target="../printerSettings/printerSettings335.bin"/></Relationships>
</file>

<file path=xl/worksheets/_rels/sheet71.xml.rels><?xml version="1.0" encoding="UTF-8" standalone="yes"?>
<Relationships xmlns="http://schemas.openxmlformats.org/package/2006/relationships"><Relationship Id="rId8" Type="http://schemas.openxmlformats.org/officeDocument/2006/relationships/drawing" Target="../drawings/drawing11.xml"/><Relationship Id="rId3" Type="http://schemas.openxmlformats.org/officeDocument/2006/relationships/printerSettings" Target="../printerSettings/printerSettings339.bin"/><Relationship Id="rId7" Type="http://schemas.openxmlformats.org/officeDocument/2006/relationships/printerSettings" Target="../printerSettings/printerSettings343.bin"/><Relationship Id="rId2" Type="http://schemas.openxmlformats.org/officeDocument/2006/relationships/printerSettings" Target="../printerSettings/printerSettings338.bin"/><Relationship Id="rId1" Type="http://schemas.openxmlformats.org/officeDocument/2006/relationships/printerSettings" Target="../printerSettings/printerSettings337.bin"/><Relationship Id="rId6" Type="http://schemas.openxmlformats.org/officeDocument/2006/relationships/printerSettings" Target="../printerSettings/printerSettings342.bin"/><Relationship Id="rId5" Type="http://schemas.openxmlformats.org/officeDocument/2006/relationships/printerSettings" Target="../printerSettings/printerSettings341.bin"/><Relationship Id="rId4" Type="http://schemas.openxmlformats.org/officeDocument/2006/relationships/printerSettings" Target="../printerSettings/printerSettings340.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344.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345.bin"/></Relationships>
</file>

<file path=xl/worksheets/_rels/sheet74.xml.rels><?xml version="1.0" encoding="UTF-8" standalone="yes"?>
<Relationships xmlns="http://schemas.openxmlformats.org/package/2006/relationships"><Relationship Id="rId8" Type="http://schemas.openxmlformats.org/officeDocument/2006/relationships/printerSettings" Target="../printerSettings/printerSettings353.bin"/><Relationship Id="rId3" Type="http://schemas.openxmlformats.org/officeDocument/2006/relationships/printerSettings" Target="../printerSettings/printerSettings348.bin"/><Relationship Id="rId7" Type="http://schemas.openxmlformats.org/officeDocument/2006/relationships/printerSettings" Target="../printerSettings/printerSettings352.bin"/><Relationship Id="rId2" Type="http://schemas.openxmlformats.org/officeDocument/2006/relationships/printerSettings" Target="../printerSettings/printerSettings347.bin"/><Relationship Id="rId1" Type="http://schemas.openxmlformats.org/officeDocument/2006/relationships/printerSettings" Target="../printerSettings/printerSettings346.bin"/><Relationship Id="rId6" Type="http://schemas.openxmlformats.org/officeDocument/2006/relationships/printerSettings" Target="../printerSettings/printerSettings351.bin"/><Relationship Id="rId5" Type="http://schemas.openxmlformats.org/officeDocument/2006/relationships/printerSettings" Target="../printerSettings/printerSettings350.bin"/><Relationship Id="rId10" Type="http://schemas.openxmlformats.org/officeDocument/2006/relationships/comments" Target="../comments16.xml"/><Relationship Id="rId4" Type="http://schemas.openxmlformats.org/officeDocument/2006/relationships/printerSettings" Target="../printerSettings/printerSettings349.bin"/><Relationship Id="rId9" Type="http://schemas.openxmlformats.org/officeDocument/2006/relationships/vmlDrawing" Target="../drawings/vmlDrawing16.vml"/></Relationships>
</file>

<file path=xl/worksheets/_rels/sheet75.xml.rels><?xml version="1.0" encoding="UTF-8" standalone="yes"?>
<Relationships xmlns="http://schemas.openxmlformats.org/package/2006/relationships"><Relationship Id="rId8" Type="http://schemas.openxmlformats.org/officeDocument/2006/relationships/printerSettings" Target="../printerSettings/printerSettings361.bin"/><Relationship Id="rId3" Type="http://schemas.openxmlformats.org/officeDocument/2006/relationships/printerSettings" Target="../printerSettings/printerSettings356.bin"/><Relationship Id="rId7" Type="http://schemas.openxmlformats.org/officeDocument/2006/relationships/printerSettings" Target="../printerSettings/printerSettings360.bin"/><Relationship Id="rId2" Type="http://schemas.openxmlformats.org/officeDocument/2006/relationships/printerSettings" Target="../printerSettings/printerSettings355.bin"/><Relationship Id="rId1" Type="http://schemas.openxmlformats.org/officeDocument/2006/relationships/printerSettings" Target="../printerSettings/printerSettings354.bin"/><Relationship Id="rId6" Type="http://schemas.openxmlformats.org/officeDocument/2006/relationships/printerSettings" Target="../printerSettings/printerSettings359.bin"/><Relationship Id="rId5" Type="http://schemas.openxmlformats.org/officeDocument/2006/relationships/printerSettings" Target="../printerSettings/printerSettings358.bin"/><Relationship Id="rId10" Type="http://schemas.openxmlformats.org/officeDocument/2006/relationships/comments" Target="../comments17.xml"/><Relationship Id="rId4" Type="http://schemas.openxmlformats.org/officeDocument/2006/relationships/printerSettings" Target="../printerSettings/printerSettings357.bin"/><Relationship Id="rId9" Type="http://schemas.openxmlformats.org/officeDocument/2006/relationships/vmlDrawing" Target="../drawings/vmlDrawing17.vml"/></Relationships>
</file>

<file path=xl/worksheets/_rels/sheet76.xml.rels><?xml version="1.0" encoding="UTF-8" standalone="yes"?>
<Relationships xmlns="http://schemas.openxmlformats.org/package/2006/relationships"><Relationship Id="rId8" Type="http://schemas.openxmlformats.org/officeDocument/2006/relationships/printerSettings" Target="../printerSettings/printerSettings369.bin"/><Relationship Id="rId3" Type="http://schemas.openxmlformats.org/officeDocument/2006/relationships/printerSettings" Target="../printerSettings/printerSettings364.bin"/><Relationship Id="rId7" Type="http://schemas.openxmlformats.org/officeDocument/2006/relationships/printerSettings" Target="../printerSettings/printerSettings368.bin"/><Relationship Id="rId2" Type="http://schemas.openxmlformats.org/officeDocument/2006/relationships/printerSettings" Target="../printerSettings/printerSettings363.bin"/><Relationship Id="rId1" Type="http://schemas.openxmlformats.org/officeDocument/2006/relationships/printerSettings" Target="../printerSettings/printerSettings362.bin"/><Relationship Id="rId6" Type="http://schemas.openxmlformats.org/officeDocument/2006/relationships/printerSettings" Target="../printerSettings/printerSettings367.bin"/><Relationship Id="rId5" Type="http://schemas.openxmlformats.org/officeDocument/2006/relationships/printerSettings" Target="../printerSettings/printerSettings366.bin"/><Relationship Id="rId4" Type="http://schemas.openxmlformats.org/officeDocument/2006/relationships/printerSettings" Target="../printerSettings/printerSettings365.bin"/><Relationship Id="rId9" Type="http://schemas.openxmlformats.org/officeDocument/2006/relationships/drawing" Target="../drawings/drawing12.xml"/></Relationships>
</file>

<file path=xl/worksheets/_rels/sheet77.xml.rels><?xml version="1.0" encoding="UTF-8" standalone="yes"?>
<Relationships xmlns="http://schemas.openxmlformats.org/package/2006/relationships"><Relationship Id="rId8" Type="http://schemas.openxmlformats.org/officeDocument/2006/relationships/printerSettings" Target="../printerSettings/printerSettings377.bin"/><Relationship Id="rId3" Type="http://schemas.openxmlformats.org/officeDocument/2006/relationships/printerSettings" Target="../printerSettings/printerSettings372.bin"/><Relationship Id="rId7" Type="http://schemas.openxmlformats.org/officeDocument/2006/relationships/printerSettings" Target="../printerSettings/printerSettings376.bin"/><Relationship Id="rId2" Type="http://schemas.openxmlformats.org/officeDocument/2006/relationships/printerSettings" Target="../printerSettings/printerSettings371.bin"/><Relationship Id="rId1" Type="http://schemas.openxmlformats.org/officeDocument/2006/relationships/printerSettings" Target="../printerSettings/printerSettings370.bin"/><Relationship Id="rId6" Type="http://schemas.openxmlformats.org/officeDocument/2006/relationships/printerSettings" Target="../printerSettings/printerSettings375.bin"/><Relationship Id="rId5" Type="http://schemas.openxmlformats.org/officeDocument/2006/relationships/printerSettings" Target="../printerSettings/printerSettings374.bin"/><Relationship Id="rId4" Type="http://schemas.openxmlformats.org/officeDocument/2006/relationships/printerSettings" Target="../printerSettings/printerSettings373.bin"/></Relationships>
</file>

<file path=xl/worksheets/_rels/sheet78.xml.rels><?xml version="1.0" encoding="UTF-8" standalone="yes"?>
<Relationships xmlns="http://schemas.openxmlformats.org/package/2006/relationships"><Relationship Id="rId8" Type="http://schemas.openxmlformats.org/officeDocument/2006/relationships/printerSettings" Target="../printerSettings/printerSettings385.bin"/><Relationship Id="rId3" Type="http://schemas.openxmlformats.org/officeDocument/2006/relationships/printerSettings" Target="../printerSettings/printerSettings380.bin"/><Relationship Id="rId7" Type="http://schemas.openxmlformats.org/officeDocument/2006/relationships/printerSettings" Target="../printerSettings/printerSettings384.bin"/><Relationship Id="rId2" Type="http://schemas.openxmlformats.org/officeDocument/2006/relationships/printerSettings" Target="../printerSettings/printerSettings379.bin"/><Relationship Id="rId1" Type="http://schemas.openxmlformats.org/officeDocument/2006/relationships/printerSettings" Target="../printerSettings/printerSettings378.bin"/><Relationship Id="rId6" Type="http://schemas.openxmlformats.org/officeDocument/2006/relationships/printerSettings" Target="../printerSettings/printerSettings383.bin"/><Relationship Id="rId5" Type="http://schemas.openxmlformats.org/officeDocument/2006/relationships/printerSettings" Target="../printerSettings/printerSettings382.bin"/><Relationship Id="rId4" Type="http://schemas.openxmlformats.org/officeDocument/2006/relationships/printerSettings" Target="../printerSettings/printerSettings381.bin"/></Relationships>
</file>

<file path=xl/worksheets/_rels/sheet79.xml.rels><?xml version="1.0" encoding="UTF-8" standalone="yes"?>
<Relationships xmlns="http://schemas.openxmlformats.org/package/2006/relationships"><Relationship Id="rId8" Type="http://schemas.openxmlformats.org/officeDocument/2006/relationships/printerSettings" Target="../printerSettings/printerSettings393.bin"/><Relationship Id="rId3" Type="http://schemas.openxmlformats.org/officeDocument/2006/relationships/printerSettings" Target="../printerSettings/printerSettings388.bin"/><Relationship Id="rId7" Type="http://schemas.openxmlformats.org/officeDocument/2006/relationships/printerSettings" Target="../printerSettings/printerSettings392.bin"/><Relationship Id="rId2" Type="http://schemas.openxmlformats.org/officeDocument/2006/relationships/printerSettings" Target="../printerSettings/printerSettings387.bin"/><Relationship Id="rId1" Type="http://schemas.openxmlformats.org/officeDocument/2006/relationships/printerSettings" Target="../printerSettings/printerSettings386.bin"/><Relationship Id="rId6" Type="http://schemas.openxmlformats.org/officeDocument/2006/relationships/printerSettings" Target="../printerSettings/printerSettings391.bin"/><Relationship Id="rId5" Type="http://schemas.openxmlformats.org/officeDocument/2006/relationships/printerSettings" Target="../printerSettings/printerSettings390.bin"/><Relationship Id="rId4" Type="http://schemas.openxmlformats.org/officeDocument/2006/relationships/printerSettings" Target="../printerSettings/printerSettings38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80.xml.rels><?xml version="1.0" encoding="UTF-8" standalone="yes"?>
<Relationships xmlns="http://schemas.openxmlformats.org/package/2006/relationships"><Relationship Id="rId3" Type="http://schemas.openxmlformats.org/officeDocument/2006/relationships/printerSettings" Target="../printerSettings/printerSettings396.bin"/><Relationship Id="rId7" Type="http://schemas.openxmlformats.org/officeDocument/2006/relationships/printerSettings" Target="../printerSettings/printerSettings400.bin"/><Relationship Id="rId2" Type="http://schemas.openxmlformats.org/officeDocument/2006/relationships/printerSettings" Target="../printerSettings/printerSettings395.bin"/><Relationship Id="rId1" Type="http://schemas.openxmlformats.org/officeDocument/2006/relationships/printerSettings" Target="../printerSettings/printerSettings394.bin"/><Relationship Id="rId6" Type="http://schemas.openxmlformats.org/officeDocument/2006/relationships/printerSettings" Target="../printerSettings/printerSettings399.bin"/><Relationship Id="rId5" Type="http://schemas.openxmlformats.org/officeDocument/2006/relationships/printerSettings" Target="../printerSettings/printerSettings398.bin"/><Relationship Id="rId4" Type="http://schemas.openxmlformats.org/officeDocument/2006/relationships/printerSettings" Target="../printerSettings/printerSettings397.bin"/></Relationships>
</file>

<file path=xl/worksheets/_rels/sheet81.xml.rels><?xml version="1.0" encoding="UTF-8" standalone="yes"?>
<Relationships xmlns="http://schemas.openxmlformats.org/package/2006/relationships"><Relationship Id="rId8" Type="http://schemas.openxmlformats.org/officeDocument/2006/relationships/vmlDrawing" Target="../drawings/vmlDrawing18.vml"/><Relationship Id="rId3" Type="http://schemas.openxmlformats.org/officeDocument/2006/relationships/printerSettings" Target="../printerSettings/printerSettings403.bin"/><Relationship Id="rId7" Type="http://schemas.openxmlformats.org/officeDocument/2006/relationships/printerSettings" Target="../printerSettings/printerSettings407.bin"/><Relationship Id="rId2" Type="http://schemas.openxmlformats.org/officeDocument/2006/relationships/printerSettings" Target="../printerSettings/printerSettings402.bin"/><Relationship Id="rId1" Type="http://schemas.openxmlformats.org/officeDocument/2006/relationships/printerSettings" Target="../printerSettings/printerSettings401.bin"/><Relationship Id="rId6" Type="http://schemas.openxmlformats.org/officeDocument/2006/relationships/printerSettings" Target="../printerSettings/printerSettings406.bin"/><Relationship Id="rId5" Type="http://schemas.openxmlformats.org/officeDocument/2006/relationships/printerSettings" Target="../printerSettings/printerSettings405.bin"/><Relationship Id="rId4" Type="http://schemas.openxmlformats.org/officeDocument/2006/relationships/printerSettings" Target="../printerSettings/printerSettings404.bin"/><Relationship Id="rId9" Type="http://schemas.openxmlformats.org/officeDocument/2006/relationships/comments" Target="../comments18.xml"/></Relationships>
</file>

<file path=xl/worksheets/_rels/sheet82.xml.rels><?xml version="1.0" encoding="UTF-8" standalone="yes"?>
<Relationships xmlns="http://schemas.openxmlformats.org/package/2006/relationships"><Relationship Id="rId8" Type="http://schemas.openxmlformats.org/officeDocument/2006/relationships/printerSettings" Target="../printerSettings/printerSettings415.bin"/><Relationship Id="rId3" Type="http://schemas.openxmlformats.org/officeDocument/2006/relationships/printerSettings" Target="../printerSettings/printerSettings410.bin"/><Relationship Id="rId7" Type="http://schemas.openxmlformats.org/officeDocument/2006/relationships/printerSettings" Target="../printerSettings/printerSettings414.bin"/><Relationship Id="rId2" Type="http://schemas.openxmlformats.org/officeDocument/2006/relationships/printerSettings" Target="../printerSettings/printerSettings409.bin"/><Relationship Id="rId1" Type="http://schemas.openxmlformats.org/officeDocument/2006/relationships/printerSettings" Target="../printerSettings/printerSettings408.bin"/><Relationship Id="rId6" Type="http://schemas.openxmlformats.org/officeDocument/2006/relationships/printerSettings" Target="../printerSettings/printerSettings413.bin"/><Relationship Id="rId5" Type="http://schemas.openxmlformats.org/officeDocument/2006/relationships/printerSettings" Target="../printerSettings/printerSettings412.bin"/><Relationship Id="rId4" Type="http://schemas.openxmlformats.org/officeDocument/2006/relationships/printerSettings" Target="../printerSettings/printerSettings411.bin"/></Relationships>
</file>

<file path=xl/worksheets/_rels/sheet83.xml.rels><?xml version="1.0" encoding="UTF-8" standalone="yes"?>
<Relationships xmlns="http://schemas.openxmlformats.org/package/2006/relationships"><Relationship Id="rId8" Type="http://schemas.openxmlformats.org/officeDocument/2006/relationships/printerSettings" Target="../printerSettings/printerSettings423.bin"/><Relationship Id="rId3" Type="http://schemas.openxmlformats.org/officeDocument/2006/relationships/printerSettings" Target="../printerSettings/printerSettings418.bin"/><Relationship Id="rId7" Type="http://schemas.openxmlformats.org/officeDocument/2006/relationships/printerSettings" Target="../printerSettings/printerSettings422.bin"/><Relationship Id="rId2" Type="http://schemas.openxmlformats.org/officeDocument/2006/relationships/printerSettings" Target="../printerSettings/printerSettings417.bin"/><Relationship Id="rId1" Type="http://schemas.openxmlformats.org/officeDocument/2006/relationships/printerSettings" Target="../printerSettings/printerSettings416.bin"/><Relationship Id="rId6" Type="http://schemas.openxmlformats.org/officeDocument/2006/relationships/printerSettings" Target="../printerSettings/printerSettings421.bin"/><Relationship Id="rId5" Type="http://schemas.openxmlformats.org/officeDocument/2006/relationships/printerSettings" Target="../printerSettings/printerSettings420.bin"/><Relationship Id="rId4" Type="http://schemas.openxmlformats.org/officeDocument/2006/relationships/printerSettings" Target="../printerSettings/printerSettings419.bin"/><Relationship Id="rId9" Type="http://schemas.openxmlformats.org/officeDocument/2006/relationships/drawing" Target="../drawings/drawing13.xml"/></Relationships>
</file>

<file path=xl/worksheets/_rels/sheet84.xml.rels><?xml version="1.0" encoding="UTF-8" standalone="yes"?>
<Relationships xmlns="http://schemas.openxmlformats.org/package/2006/relationships"><Relationship Id="rId3" Type="http://schemas.openxmlformats.org/officeDocument/2006/relationships/printerSettings" Target="../printerSettings/printerSettings426.bin"/><Relationship Id="rId7" Type="http://schemas.openxmlformats.org/officeDocument/2006/relationships/printerSettings" Target="../printerSettings/printerSettings430.bin"/><Relationship Id="rId2" Type="http://schemas.openxmlformats.org/officeDocument/2006/relationships/printerSettings" Target="../printerSettings/printerSettings425.bin"/><Relationship Id="rId1" Type="http://schemas.openxmlformats.org/officeDocument/2006/relationships/printerSettings" Target="../printerSettings/printerSettings424.bin"/><Relationship Id="rId6" Type="http://schemas.openxmlformats.org/officeDocument/2006/relationships/printerSettings" Target="../printerSettings/printerSettings429.bin"/><Relationship Id="rId5" Type="http://schemas.openxmlformats.org/officeDocument/2006/relationships/printerSettings" Target="../printerSettings/printerSettings428.bin"/><Relationship Id="rId4" Type="http://schemas.openxmlformats.org/officeDocument/2006/relationships/printerSettings" Target="../printerSettings/printerSettings42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1"/>
  <sheetViews>
    <sheetView showGridLines="0" view="pageBreakPreview" topLeftCell="A28" zoomScale="110" zoomScaleNormal="110" zoomScaleSheetLayoutView="110" workbookViewId="0">
      <selection activeCell="K17" sqref="K17"/>
    </sheetView>
  </sheetViews>
  <sheetFormatPr defaultColWidth="9.140625" defaultRowHeight="14.45"/>
  <cols>
    <col min="1" max="1" width="3.140625" customWidth="1"/>
    <col min="2" max="2" width="8.5703125" customWidth="1"/>
    <col min="3" max="5" width="7.5703125" customWidth="1"/>
    <col min="6" max="6" width="14.7109375" customWidth="1"/>
    <col min="7" max="13" width="7.5703125" customWidth="1"/>
    <col min="14" max="14" width="2.42578125" customWidth="1"/>
  </cols>
  <sheetData>
    <row r="1" spans="1:13">
      <c r="A1" s="655"/>
      <c r="B1" s="655"/>
      <c r="C1" s="655"/>
      <c r="D1" s="655"/>
      <c r="E1" s="655"/>
      <c r="F1" s="655"/>
      <c r="G1" s="655"/>
      <c r="H1" s="655"/>
      <c r="I1" s="655"/>
      <c r="J1" s="655"/>
      <c r="K1" s="655"/>
      <c r="L1" s="655"/>
      <c r="M1" s="655"/>
    </row>
    <row r="2" spans="1:13">
      <c r="A2" s="655"/>
      <c r="B2" s="3105" t="s">
        <v>0</v>
      </c>
      <c r="C2" s="1104" t="s">
        <v>0</v>
      </c>
      <c r="D2" s="1104" t="s">
        <v>0</v>
      </c>
      <c r="E2" s="1104" t="s">
        <v>0</v>
      </c>
      <c r="F2" s="1104" t="s">
        <v>0</v>
      </c>
      <c r="G2" s="1104" t="s">
        <v>0</v>
      </c>
      <c r="H2" s="1104" t="s">
        <v>0</v>
      </c>
      <c r="I2" s="1104" t="s">
        <v>0</v>
      </c>
      <c r="J2" s="1104" t="s">
        <v>0</v>
      </c>
      <c r="K2" s="1104" t="s">
        <v>0</v>
      </c>
      <c r="L2" s="1104" t="s">
        <v>0</v>
      </c>
      <c r="M2" s="3106" t="s">
        <v>0</v>
      </c>
    </row>
    <row r="3" spans="1:13">
      <c r="A3" s="655"/>
      <c r="B3" s="656" t="s">
        <v>0</v>
      </c>
      <c r="C3" s="655"/>
      <c r="D3" s="655"/>
      <c r="E3" s="655"/>
      <c r="F3" s="655"/>
      <c r="G3" s="655"/>
      <c r="H3" s="655"/>
      <c r="I3" s="655"/>
      <c r="J3" s="655"/>
      <c r="K3" s="655"/>
      <c r="L3" s="655"/>
      <c r="M3" s="657" t="s">
        <v>0</v>
      </c>
    </row>
    <row r="4" spans="1:13">
      <c r="A4" s="655"/>
      <c r="B4" s="656" t="s">
        <v>0</v>
      </c>
      <c r="C4" s="655"/>
      <c r="D4" s="655"/>
      <c r="E4" s="655"/>
      <c r="F4" s="655"/>
      <c r="G4" s="655"/>
      <c r="H4" s="655"/>
      <c r="I4" s="655"/>
      <c r="J4" s="655"/>
      <c r="K4" s="655"/>
      <c r="L4" s="655"/>
      <c r="M4" s="657" t="s">
        <v>0</v>
      </c>
    </row>
    <row r="5" spans="1:13">
      <c r="A5" s="655"/>
      <c r="B5" s="656" t="s">
        <v>0</v>
      </c>
      <c r="C5" s="655"/>
      <c r="D5" s="655"/>
      <c r="E5" s="655"/>
      <c r="F5" s="655"/>
      <c r="G5" s="655"/>
      <c r="H5" s="655"/>
      <c r="I5" s="655"/>
      <c r="J5" s="655"/>
      <c r="K5" s="655"/>
      <c r="L5" s="655"/>
      <c r="M5" s="657" t="s">
        <v>0</v>
      </c>
    </row>
    <row r="6" spans="1:13">
      <c r="A6" s="655"/>
      <c r="B6" s="656" t="s">
        <v>0</v>
      </c>
      <c r="C6" s="655"/>
      <c r="D6" s="655"/>
      <c r="E6" s="655"/>
      <c r="F6" s="655"/>
      <c r="G6" s="655"/>
      <c r="H6" s="655"/>
      <c r="I6" s="655"/>
      <c r="J6" s="655"/>
      <c r="K6" s="655"/>
      <c r="L6" s="655"/>
      <c r="M6" s="657" t="s">
        <v>0</v>
      </c>
    </row>
    <row r="7" spans="1:13">
      <c r="A7" s="655"/>
      <c r="B7" s="656" t="s">
        <v>0</v>
      </c>
      <c r="C7" s="3729" t="s">
        <v>0</v>
      </c>
      <c r="D7" s="3730"/>
      <c r="E7" s="3730"/>
      <c r="F7" s="3730"/>
      <c r="G7" s="3730"/>
      <c r="H7" s="3730"/>
      <c r="I7" s="3730"/>
      <c r="J7" s="3730"/>
      <c r="K7" s="3730"/>
      <c r="L7" s="3731"/>
      <c r="M7" s="657" t="s">
        <v>0</v>
      </c>
    </row>
    <row r="8" spans="1:13">
      <c r="A8" s="655"/>
      <c r="B8" s="656" t="s">
        <v>0</v>
      </c>
      <c r="C8" s="3732"/>
      <c r="D8" s="3733"/>
      <c r="E8" s="3733"/>
      <c r="F8" s="3733"/>
      <c r="G8" s="3733"/>
      <c r="H8" s="3733"/>
      <c r="I8" s="3733"/>
      <c r="J8" s="3733"/>
      <c r="K8" s="3733"/>
      <c r="L8" s="3734"/>
      <c r="M8" s="657" t="s">
        <v>0</v>
      </c>
    </row>
    <row r="9" spans="1:13">
      <c r="A9" s="655"/>
      <c r="B9" s="656" t="s">
        <v>0</v>
      </c>
      <c r="C9" s="3732"/>
      <c r="D9" s="3733"/>
      <c r="E9" s="3733"/>
      <c r="F9" s="3733"/>
      <c r="G9" s="3733"/>
      <c r="H9" s="3733"/>
      <c r="I9" s="3733"/>
      <c r="J9" s="3733"/>
      <c r="K9" s="3733"/>
      <c r="L9" s="3734"/>
      <c r="M9" s="657" t="s">
        <v>0</v>
      </c>
    </row>
    <row r="10" spans="1:13">
      <c r="A10" s="655"/>
      <c r="B10" s="656" t="s">
        <v>0</v>
      </c>
      <c r="C10" s="3732"/>
      <c r="D10" s="3733"/>
      <c r="E10" s="3733"/>
      <c r="F10" s="3733"/>
      <c r="G10" s="3733"/>
      <c r="H10" s="3733"/>
      <c r="I10" s="3733"/>
      <c r="J10" s="3733"/>
      <c r="K10" s="3733"/>
      <c r="L10" s="3734"/>
      <c r="M10" s="657" t="s">
        <v>0</v>
      </c>
    </row>
    <row r="11" spans="1:13">
      <c r="A11" s="655"/>
      <c r="B11" s="656" t="s">
        <v>0</v>
      </c>
      <c r="C11" s="3732"/>
      <c r="D11" s="3733"/>
      <c r="E11" s="3733"/>
      <c r="F11" s="3733"/>
      <c r="G11" s="3733"/>
      <c r="H11" s="3733"/>
      <c r="I11" s="3733"/>
      <c r="J11" s="3733"/>
      <c r="K11" s="3733"/>
      <c r="L11" s="3734"/>
      <c r="M11" s="657" t="s">
        <v>0</v>
      </c>
    </row>
    <row r="12" spans="1:13">
      <c r="A12" s="655"/>
      <c r="B12" s="656" t="s">
        <v>0</v>
      </c>
      <c r="C12" s="3732"/>
      <c r="D12" s="3733"/>
      <c r="E12" s="3733"/>
      <c r="F12" s="3733"/>
      <c r="G12" s="3733"/>
      <c r="H12" s="3733"/>
      <c r="I12" s="3733"/>
      <c r="J12" s="3733"/>
      <c r="K12" s="3733"/>
      <c r="L12" s="3734"/>
      <c r="M12" s="657" t="s">
        <v>0</v>
      </c>
    </row>
    <row r="13" spans="1:13">
      <c r="A13" s="655"/>
      <c r="B13" s="656" t="s">
        <v>0</v>
      </c>
      <c r="C13" s="3732"/>
      <c r="D13" s="3733"/>
      <c r="E13" s="3733"/>
      <c r="F13" s="3733"/>
      <c r="G13" s="3733"/>
      <c r="H13" s="3733"/>
      <c r="I13" s="3733"/>
      <c r="J13" s="3733"/>
      <c r="K13" s="3733"/>
      <c r="L13" s="3734"/>
      <c r="M13" s="657" t="s">
        <v>0</v>
      </c>
    </row>
    <row r="14" spans="1:13">
      <c r="A14" s="655"/>
      <c r="B14" s="656" t="s">
        <v>0</v>
      </c>
      <c r="C14" s="3732"/>
      <c r="D14" s="3733"/>
      <c r="E14" s="3733"/>
      <c r="F14" s="3733"/>
      <c r="G14" s="3733"/>
      <c r="H14" s="3733"/>
      <c r="I14" s="3733"/>
      <c r="J14" s="3733"/>
      <c r="K14" s="3733"/>
      <c r="L14" s="3734"/>
      <c r="M14" s="657" t="s">
        <v>0</v>
      </c>
    </row>
    <row r="15" spans="1:13">
      <c r="A15" s="655"/>
      <c r="B15" s="656" t="s">
        <v>0</v>
      </c>
      <c r="C15" s="3735"/>
      <c r="D15" s="3736"/>
      <c r="E15" s="3736"/>
      <c r="F15" s="3736"/>
      <c r="G15" s="3736"/>
      <c r="H15" s="3736"/>
      <c r="I15" s="3736"/>
      <c r="J15" s="3736"/>
      <c r="K15" s="3736"/>
      <c r="L15" s="3737"/>
      <c r="M15" s="657" t="s">
        <v>0</v>
      </c>
    </row>
    <row r="16" spans="1:13">
      <c r="A16" s="655"/>
      <c r="B16" s="656" t="s">
        <v>0</v>
      </c>
      <c r="C16" s="655"/>
      <c r="D16" s="655"/>
      <c r="E16" s="655"/>
      <c r="F16" s="655"/>
      <c r="G16" s="655"/>
      <c r="H16" s="655"/>
      <c r="I16" s="655"/>
      <c r="J16" s="655"/>
      <c r="K16" s="655"/>
      <c r="L16" s="655"/>
      <c r="M16" s="657" t="s">
        <v>0</v>
      </c>
    </row>
    <row r="17" spans="1:13" ht="27.75" customHeight="1">
      <c r="A17" s="655"/>
      <c r="B17" s="656" t="s">
        <v>0</v>
      </c>
      <c r="C17" s="655"/>
      <c r="D17" s="655"/>
      <c r="E17" s="655"/>
      <c r="F17" s="655"/>
      <c r="G17" s="655"/>
      <c r="H17" s="655"/>
      <c r="I17" s="655"/>
      <c r="J17" s="655"/>
      <c r="K17" s="655"/>
      <c r="L17" s="655"/>
      <c r="M17" s="657" t="s">
        <v>0</v>
      </c>
    </row>
    <row r="18" spans="1:13" ht="27.75" customHeight="1">
      <c r="A18" s="655"/>
      <c r="B18" s="656" t="s">
        <v>0</v>
      </c>
      <c r="C18" s="655"/>
      <c r="D18" s="655"/>
      <c r="E18" s="655"/>
      <c r="F18" s="655"/>
      <c r="G18" s="655"/>
      <c r="H18" s="655"/>
      <c r="I18" s="655"/>
      <c r="J18" s="655"/>
      <c r="K18" s="655"/>
      <c r="L18" s="655"/>
      <c r="M18" s="657" t="s">
        <v>0</v>
      </c>
    </row>
    <row r="19" spans="1:13" ht="27.75" customHeight="1">
      <c r="A19" s="655"/>
      <c r="B19" s="656" t="s">
        <v>0</v>
      </c>
      <c r="C19" s="655"/>
      <c r="D19" s="655"/>
      <c r="E19" s="655"/>
      <c r="F19" s="655"/>
      <c r="G19" s="655"/>
      <c r="H19" s="655"/>
      <c r="I19" s="655"/>
      <c r="J19" s="655"/>
      <c r="K19" s="655"/>
      <c r="L19" s="655"/>
      <c r="M19" s="657" t="s">
        <v>0</v>
      </c>
    </row>
    <row r="20" spans="1:13" ht="27.75" customHeight="1">
      <c r="A20" s="655"/>
      <c r="B20" s="656" t="s">
        <v>0</v>
      </c>
      <c r="C20" s="655"/>
      <c r="D20" s="655"/>
      <c r="E20" s="655"/>
      <c r="F20" s="655"/>
      <c r="G20" s="655"/>
      <c r="H20" s="655"/>
      <c r="I20" s="655"/>
      <c r="J20" s="655"/>
      <c r="K20" s="655"/>
      <c r="L20" s="655"/>
      <c r="M20" s="657" t="s">
        <v>0</v>
      </c>
    </row>
    <row r="21" spans="1:13" ht="27.75" customHeight="1">
      <c r="A21" s="655"/>
      <c r="B21" s="656" t="s">
        <v>0</v>
      </c>
      <c r="C21" s="655"/>
      <c r="D21" s="655"/>
      <c r="E21" s="655"/>
      <c r="F21" s="655"/>
      <c r="G21" s="655"/>
      <c r="H21" s="655"/>
      <c r="I21" s="655"/>
      <c r="J21" s="655"/>
      <c r="K21" s="655"/>
      <c r="L21" s="655"/>
      <c r="M21" s="657" t="s">
        <v>0</v>
      </c>
    </row>
    <row r="22" spans="1:13" ht="27.75" customHeight="1">
      <c r="A22" s="655"/>
      <c r="B22" s="656" t="s">
        <v>0</v>
      </c>
      <c r="D22" s="655"/>
      <c r="E22" s="655"/>
      <c r="F22" s="655"/>
      <c r="G22" s="655"/>
      <c r="H22" s="655"/>
      <c r="I22" s="655"/>
      <c r="J22" s="655"/>
      <c r="K22" s="655"/>
      <c r="L22" s="655"/>
      <c r="M22" s="657" t="s">
        <v>0</v>
      </c>
    </row>
    <row r="23" spans="1:13">
      <c r="A23" s="655"/>
      <c r="B23" s="656" t="s">
        <v>0</v>
      </c>
      <c r="C23" s="655"/>
      <c r="D23" s="655"/>
      <c r="E23" s="655"/>
      <c r="F23" s="655"/>
      <c r="G23" s="655"/>
      <c r="H23" s="655"/>
      <c r="I23" s="655"/>
      <c r="J23" s="655"/>
      <c r="K23" s="655"/>
      <c r="L23" s="655"/>
      <c r="M23" s="657" t="s">
        <v>0</v>
      </c>
    </row>
    <row r="24" spans="1:13" ht="23.45">
      <c r="A24" s="655"/>
      <c r="B24" s="656" t="s">
        <v>0</v>
      </c>
      <c r="C24" s="655"/>
      <c r="D24" s="655"/>
      <c r="E24" s="655" t="s">
        <v>1</v>
      </c>
      <c r="F24" s="658" t="s">
        <v>2</v>
      </c>
      <c r="H24" s="655"/>
      <c r="I24" s="655"/>
      <c r="J24" s="655"/>
      <c r="K24" s="655"/>
      <c r="L24" s="655"/>
      <c r="M24" s="657" t="s">
        <v>0</v>
      </c>
    </row>
    <row r="25" spans="1:13" ht="23.45">
      <c r="A25" s="655"/>
      <c r="B25" s="658" t="s">
        <v>3</v>
      </c>
      <c r="D25" s="655"/>
      <c r="E25" s="655"/>
      <c r="F25" s="655"/>
      <c r="H25" s="655"/>
      <c r="I25" s="655"/>
      <c r="J25" s="655"/>
      <c r="K25" s="655"/>
      <c r="L25" s="655"/>
      <c r="M25" s="657" t="s">
        <v>0</v>
      </c>
    </row>
    <row r="26" spans="1:13" ht="21">
      <c r="A26" s="655"/>
      <c r="B26" s="656" t="s">
        <v>0</v>
      </c>
      <c r="C26" s="655"/>
      <c r="D26" s="655"/>
      <c r="E26" s="655"/>
      <c r="F26" s="3195">
        <v>45222</v>
      </c>
      <c r="G26" s="3195"/>
      <c r="H26" s="3195"/>
      <c r="I26" s="655"/>
      <c r="J26" s="655"/>
      <c r="K26" s="655"/>
      <c r="L26" s="655"/>
      <c r="M26" s="657" t="s">
        <v>0</v>
      </c>
    </row>
    <row r="27" spans="1:13" ht="38.25" customHeight="1">
      <c r="A27" s="655"/>
      <c r="B27" s="656" t="s">
        <v>0</v>
      </c>
      <c r="C27" s="655"/>
      <c r="D27" s="655"/>
      <c r="E27" s="655"/>
      <c r="F27" s="655"/>
      <c r="G27" s="655"/>
      <c r="H27" s="655"/>
      <c r="I27" s="655"/>
      <c r="J27" s="655"/>
      <c r="K27" s="655"/>
      <c r="L27" s="655"/>
      <c r="M27" s="657" t="s">
        <v>0</v>
      </c>
    </row>
    <row r="28" spans="1:13" ht="38.25" customHeight="1">
      <c r="A28" s="655"/>
      <c r="B28" s="656" t="s">
        <v>0</v>
      </c>
      <c r="C28" s="655"/>
      <c r="D28" s="655"/>
      <c r="E28" s="655"/>
      <c r="F28" s="655"/>
      <c r="G28" s="655"/>
      <c r="H28" s="655"/>
      <c r="I28" s="655"/>
      <c r="J28" s="655"/>
      <c r="K28" s="655"/>
      <c r="L28" s="655"/>
      <c r="M28" s="657" t="s">
        <v>0</v>
      </c>
    </row>
    <row r="29" spans="1:13" ht="38.25" customHeight="1">
      <c r="A29" s="655"/>
      <c r="B29" s="656" t="s">
        <v>0</v>
      </c>
      <c r="C29" s="655"/>
      <c r="D29" s="655"/>
      <c r="E29" s="655"/>
      <c r="F29" s="655"/>
      <c r="G29" s="655"/>
      <c r="H29" s="655"/>
      <c r="I29" s="655"/>
      <c r="J29" s="655"/>
      <c r="K29" s="655"/>
      <c r="L29" s="655"/>
      <c r="M29" s="657" t="s">
        <v>0</v>
      </c>
    </row>
    <row r="30" spans="1:13" ht="38.25" customHeight="1">
      <c r="A30" s="655"/>
      <c r="B30" s="656" t="s">
        <v>0</v>
      </c>
      <c r="C30" s="655"/>
      <c r="D30" s="655"/>
      <c r="E30" s="655"/>
      <c r="F30" s="655"/>
      <c r="G30" s="655"/>
      <c r="H30" s="655"/>
      <c r="I30" s="655"/>
      <c r="J30" s="655"/>
      <c r="K30" s="655"/>
      <c r="L30" s="655"/>
      <c r="M30" s="657" t="s">
        <v>0</v>
      </c>
    </row>
    <row r="31" spans="1:13" ht="38.25" customHeight="1">
      <c r="A31" s="655"/>
      <c r="B31" s="656" t="s">
        <v>0</v>
      </c>
      <c r="C31" s="655"/>
      <c r="D31" s="655"/>
      <c r="E31" s="655"/>
      <c r="F31" s="655"/>
      <c r="G31" s="655"/>
      <c r="H31" s="655"/>
      <c r="I31" s="655"/>
      <c r="J31" s="655"/>
      <c r="K31" s="655"/>
      <c r="L31" s="655"/>
      <c r="M31" s="657" t="s">
        <v>0</v>
      </c>
    </row>
    <row r="32" spans="1:13" ht="9.75" customHeight="1">
      <c r="A32" s="655"/>
      <c r="B32" s="656" t="s">
        <v>0</v>
      </c>
      <c r="C32" s="655"/>
      <c r="D32" s="655"/>
      <c r="E32" s="655"/>
      <c r="F32" s="655"/>
      <c r="G32" s="655"/>
      <c r="H32" s="655"/>
      <c r="I32" s="655"/>
      <c r="J32" s="655"/>
      <c r="K32" s="655"/>
      <c r="L32" s="655"/>
      <c r="M32" s="657" t="s">
        <v>0</v>
      </c>
    </row>
    <row r="33" spans="1:13">
      <c r="A33" s="655"/>
      <c r="B33" s="656" t="s">
        <v>0</v>
      </c>
      <c r="C33" s="655"/>
      <c r="D33" s="655"/>
      <c r="E33" s="655"/>
      <c r="F33" s="655"/>
      <c r="G33" s="655"/>
      <c r="H33" s="655"/>
      <c r="I33" s="655"/>
      <c r="J33" s="655"/>
      <c r="K33" s="655"/>
      <c r="L33" s="655"/>
      <c r="M33" s="657" t="s">
        <v>0</v>
      </c>
    </row>
    <row r="34" spans="1:13">
      <c r="A34" s="655"/>
      <c r="B34" s="656" t="s">
        <v>0</v>
      </c>
      <c r="C34" s="655"/>
      <c r="D34" s="655"/>
      <c r="E34" s="655"/>
      <c r="F34" s="655"/>
      <c r="G34" s="655"/>
      <c r="H34" s="655"/>
      <c r="I34" s="3733"/>
      <c r="J34" s="3733"/>
      <c r="K34" s="3733"/>
      <c r="L34" s="3733"/>
      <c r="M34" s="657" t="s">
        <v>0</v>
      </c>
    </row>
    <row r="35" spans="1:13">
      <c r="A35" s="655"/>
      <c r="B35" s="656" t="s">
        <v>0</v>
      </c>
      <c r="C35" s="655"/>
      <c r="D35" s="655"/>
      <c r="E35" s="655"/>
      <c r="F35" s="655"/>
      <c r="G35" s="655"/>
      <c r="H35" s="655"/>
      <c r="I35" s="3733"/>
      <c r="J35" s="3733"/>
      <c r="K35" s="3733"/>
      <c r="L35" s="3733"/>
      <c r="M35" s="657" t="s">
        <v>0</v>
      </c>
    </row>
    <row r="36" spans="1:13">
      <c r="A36" s="655"/>
      <c r="B36" s="656" t="s">
        <v>0</v>
      </c>
      <c r="C36" s="655"/>
      <c r="D36" s="655"/>
      <c r="E36" s="655"/>
      <c r="F36" s="655"/>
      <c r="G36" s="655"/>
      <c r="H36" s="655"/>
      <c r="I36" s="3733"/>
      <c r="J36" s="3733"/>
      <c r="K36" s="3733"/>
      <c r="L36" s="3733"/>
      <c r="M36" s="657" t="s">
        <v>0</v>
      </c>
    </row>
    <row r="37" spans="1:13">
      <c r="A37" s="655"/>
      <c r="B37" s="656" t="s">
        <v>0</v>
      </c>
      <c r="C37" s="655"/>
      <c r="D37" s="655"/>
      <c r="E37" s="655"/>
      <c r="F37" s="655"/>
      <c r="G37" s="655"/>
      <c r="H37" s="655"/>
      <c r="I37" s="3733"/>
      <c r="J37" s="3733"/>
      <c r="K37" s="3733"/>
      <c r="L37" s="3733"/>
      <c r="M37" s="657" t="s">
        <v>0</v>
      </c>
    </row>
    <row r="38" spans="1:13">
      <c r="A38" s="655"/>
      <c r="B38" s="656" t="s">
        <v>0</v>
      </c>
      <c r="C38" s="655"/>
      <c r="D38" s="655"/>
      <c r="E38" s="655"/>
      <c r="F38" s="655"/>
      <c r="G38" s="655"/>
      <c r="H38" s="655"/>
      <c r="I38" s="3733"/>
      <c r="J38" s="3733"/>
      <c r="K38" s="3733"/>
      <c r="L38" s="3733"/>
      <c r="M38" s="657" t="s">
        <v>0</v>
      </c>
    </row>
    <row r="39" spans="1:13">
      <c r="A39" s="655"/>
      <c r="B39" s="656" t="s">
        <v>0</v>
      </c>
      <c r="C39" s="655"/>
      <c r="D39" s="655"/>
      <c r="E39" s="655"/>
      <c r="F39" s="655"/>
      <c r="G39" s="655"/>
      <c r="H39" s="655"/>
      <c r="I39" s="3733"/>
      <c r="J39" s="3733"/>
      <c r="K39" s="3733"/>
      <c r="L39" s="3733"/>
      <c r="M39" s="657" t="s">
        <v>0</v>
      </c>
    </row>
    <row r="40" spans="1:13">
      <c r="A40" s="655"/>
      <c r="B40" s="656" t="s">
        <v>0</v>
      </c>
      <c r="C40" s="655"/>
      <c r="D40" s="655"/>
      <c r="E40" s="655"/>
      <c r="F40" s="655"/>
      <c r="G40" s="655"/>
      <c r="H40" s="655"/>
      <c r="I40" s="655"/>
      <c r="J40" s="655"/>
      <c r="K40" s="655"/>
      <c r="L40" s="655"/>
      <c r="M40" s="657" t="s">
        <v>0</v>
      </c>
    </row>
    <row r="41" spans="1:13">
      <c r="A41" s="655"/>
      <c r="B41" s="659" t="s">
        <v>0</v>
      </c>
      <c r="C41" s="660" t="s">
        <v>0</v>
      </c>
      <c r="D41" s="660" t="s">
        <v>0</v>
      </c>
      <c r="E41" s="660" t="s">
        <v>0</v>
      </c>
      <c r="F41" s="660" t="s">
        <v>0</v>
      </c>
      <c r="G41" s="660" t="s">
        <v>0</v>
      </c>
      <c r="H41" s="660" t="s">
        <v>0</v>
      </c>
      <c r="I41" s="660" t="s">
        <v>0</v>
      </c>
      <c r="J41" s="660" t="s">
        <v>0</v>
      </c>
      <c r="K41" s="660" t="s">
        <v>0</v>
      </c>
      <c r="L41" s="660" t="s">
        <v>0</v>
      </c>
      <c r="M41" s="661" t="s">
        <v>0</v>
      </c>
    </row>
  </sheetData>
  <mergeCells count="3">
    <mergeCell ref="C7:L15"/>
    <mergeCell ref="I34:L39"/>
    <mergeCell ref="F26:H26"/>
  </mergeCells>
  <pageMargins left="0.7" right="0.7" top="0.75" bottom="0.75" header="0.3" footer="0.3"/>
  <pageSetup paperSize="9" scale="83"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44">
    <tabColor rgb="FF00B050"/>
  </sheetPr>
  <dimension ref="A1:T65"/>
  <sheetViews>
    <sheetView topLeftCell="A25" workbookViewId="0">
      <selection activeCell="D30" sqref="D30:J30"/>
    </sheetView>
  </sheetViews>
  <sheetFormatPr defaultRowHeight="14.45"/>
  <cols>
    <col min="1" max="1" width="6.42578125" customWidth="1"/>
    <col min="2" max="2" width="1.140625" hidden="1" customWidth="1"/>
    <col min="3" max="3" width="14.42578125" customWidth="1"/>
    <col min="4" max="4" width="14.7109375" customWidth="1"/>
    <col min="5" max="5" width="14.85546875" bestFit="1" customWidth="1"/>
    <col min="6" max="6" width="11.140625" bestFit="1" customWidth="1"/>
    <col min="7" max="7" width="14.7109375" bestFit="1" customWidth="1"/>
    <col min="8" max="8" width="9.5703125" customWidth="1"/>
    <col min="9" max="9" width="14.85546875" bestFit="1" customWidth="1"/>
    <col min="10" max="10" width="15.42578125" customWidth="1"/>
    <col min="11" max="11" width="11" customWidth="1"/>
    <col min="12" max="12" width="13.140625" customWidth="1"/>
    <col min="13" max="13" width="7.28515625" customWidth="1"/>
    <col min="14" max="14" width="14.7109375" customWidth="1"/>
    <col min="15" max="15" width="12" style="111" customWidth="1"/>
    <col min="16" max="16" width="10.28515625" bestFit="1" customWidth="1"/>
    <col min="17" max="17" width="10.5703125" customWidth="1"/>
    <col min="18" max="18" width="11.7109375" customWidth="1"/>
    <col min="19" max="19" width="12" customWidth="1"/>
  </cols>
  <sheetData>
    <row r="1" spans="1:20">
      <c r="B1" s="3"/>
      <c r="C1" s="3"/>
      <c r="D1" s="40"/>
      <c r="F1" s="41"/>
      <c r="H1" s="41"/>
      <c r="I1" s="150"/>
    </row>
    <row r="2" spans="1:20">
      <c r="B2" s="42"/>
      <c r="C2" s="42"/>
      <c r="D2" s="3"/>
      <c r="E2" s="3"/>
      <c r="F2" s="316"/>
      <c r="G2" s="316"/>
      <c r="H2" s="3"/>
      <c r="I2" s="3"/>
      <c r="J2" s="3"/>
      <c r="K2" s="3"/>
      <c r="L2" s="3"/>
      <c r="M2" s="3"/>
    </row>
    <row r="3" spans="1:20">
      <c r="B3" s="1766"/>
      <c r="C3" s="1766" t="s">
        <v>171</v>
      </c>
      <c r="D3" s="1767"/>
      <c r="E3" s="1767"/>
      <c r="F3" s="1767"/>
      <c r="G3" s="1767"/>
      <c r="H3" s="1767"/>
      <c r="I3" s="1767"/>
      <c r="J3" s="1767"/>
      <c r="K3" s="1767"/>
      <c r="L3" s="1767"/>
      <c r="M3" s="1768"/>
    </row>
    <row r="4" spans="1:20">
      <c r="B4" s="1766"/>
      <c r="C4" s="3241" t="s">
        <v>172</v>
      </c>
      <c r="D4" s="3241"/>
      <c r="E4" s="3241"/>
      <c r="F4" s="3241"/>
      <c r="G4" s="3241"/>
      <c r="H4" s="3241"/>
      <c r="I4" s="3241"/>
      <c r="J4" s="3241"/>
      <c r="K4" s="3241"/>
      <c r="L4" s="3241"/>
      <c r="M4" s="3242"/>
    </row>
    <row r="5" spans="1:20">
      <c r="B5" s="3246" t="s">
        <v>84</v>
      </c>
      <c r="C5" s="3246" t="s">
        <v>84</v>
      </c>
      <c r="D5" s="3243" t="s">
        <v>173</v>
      </c>
      <c r="E5" s="3244"/>
      <c r="F5" s="3244"/>
      <c r="G5" s="3244"/>
      <c r="H5" s="3245"/>
      <c r="I5" s="3243" t="s">
        <v>174</v>
      </c>
      <c r="J5" s="3738"/>
      <c r="K5" s="3738"/>
      <c r="L5" s="3738"/>
      <c r="M5" s="3739"/>
    </row>
    <row r="6" spans="1:20" ht="48" customHeight="1">
      <c r="B6" s="3247"/>
      <c r="C6" s="3740"/>
      <c r="D6" s="1769" t="s">
        <v>155</v>
      </c>
      <c r="E6" s="1770" t="s">
        <v>156</v>
      </c>
      <c r="F6" s="1769" t="s">
        <v>175</v>
      </c>
      <c r="G6" s="1769" t="s">
        <v>176</v>
      </c>
      <c r="H6" s="1771" t="s">
        <v>159</v>
      </c>
      <c r="I6" s="1769" t="s">
        <v>155</v>
      </c>
      <c r="J6" s="1770" t="s">
        <v>156</v>
      </c>
      <c r="K6" s="1769" t="s">
        <v>175</v>
      </c>
      <c r="L6" s="1769" t="s">
        <v>176</v>
      </c>
      <c r="M6" s="1771" t="s">
        <v>159</v>
      </c>
      <c r="O6" s="106"/>
      <c r="P6" s="43"/>
      <c r="Q6" s="43"/>
      <c r="R6" s="43"/>
      <c r="S6" s="106"/>
      <c r="T6" s="43"/>
    </row>
    <row r="7" spans="1:20" ht="20.100000000000001" customHeight="1">
      <c r="A7">
        <v>1</v>
      </c>
      <c r="B7" s="1772" t="s">
        <v>177</v>
      </c>
      <c r="C7" s="1738" t="s">
        <v>125</v>
      </c>
      <c r="D7" s="1773">
        <v>36115715</v>
      </c>
      <c r="E7" s="1773">
        <v>4831102</v>
      </c>
      <c r="F7" s="1773">
        <v>189</v>
      </c>
      <c r="G7" s="1773">
        <f>D7+E7-F7</f>
        <v>40946628</v>
      </c>
      <c r="H7" s="1774">
        <f>G7/G28*100</f>
        <v>0.18298064521856153</v>
      </c>
      <c r="I7" s="1773">
        <v>38589030</v>
      </c>
      <c r="J7" s="1773">
        <v>5595491</v>
      </c>
      <c r="K7" s="1773">
        <v>26385</v>
      </c>
      <c r="L7" s="1773">
        <v>44158136</v>
      </c>
      <c r="M7" s="1774">
        <f>L7/L28*100</f>
        <v>0.1689404773684714</v>
      </c>
      <c r="N7" s="14"/>
      <c r="R7" s="186"/>
      <c r="S7" s="14"/>
      <c r="T7" s="14"/>
    </row>
    <row r="8" spans="1:20" ht="20.100000000000001" customHeight="1">
      <c r="A8">
        <v>2</v>
      </c>
      <c r="B8" s="1772" t="s">
        <v>178</v>
      </c>
      <c r="C8" s="1738" t="s">
        <v>127</v>
      </c>
      <c r="D8" s="1773">
        <v>0</v>
      </c>
      <c r="E8" s="1773">
        <v>877849.7566940001</v>
      </c>
      <c r="F8" s="1773">
        <v>0</v>
      </c>
      <c r="G8" s="1773">
        <f>D8+E8-F8</f>
        <v>877849.7566940001</v>
      </c>
      <c r="H8" s="1774">
        <f>G7/G28*100</f>
        <v>0.18298064521856153</v>
      </c>
      <c r="I8" s="1773">
        <v>0</v>
      </c>
      <c r="J8" s="1773">
        <v>877849.7566940001</v>
      </c>
      <c r="K8" s="1773">
        <v>0</v>
      </c>
      <c r="L8" s="1773">
        <f t="shared" ref="L8:L28" si="0">I8+J8-K8</f>
        <v>877849.7566940001</v>
      </c>
      <c r="M8" s="1774">
        <f>L8/L28*100</f>
        <v>3.3584831785852748E-3</v>
      </c>
      <c r="N8" s="58"/>
      <c r="O8" s="58"/>
      <c r="P8" s="58"/>
      <c r="Q8" s="58"/>
      <c r="R8" s="186"/>
      <c r="S8" s="58"/>
      <c r="T8" s="58"/>
    </row>
    <row r="9" spans="1:20" ht="20.100000000000001" customHeight="1">
      <c r="A9">
        <v>3</v>
      </c>
      <c r="B9" s="1772" t="s">
        <v>179</v>
      </c>
      <c r="C9" s="1738" t="s">
        <v>91</v>
      </c>
      <c r="D9" s="1773"/>
      <c r="E9" s="1773">
        <v>1970061</v>
      </c>
      <c r="F9" s="1773"/>
      <c r="G9" s="1773">
        <f t="shared" ref="G9:G27" si="1">D9+E9-F9</f>
        <v>1970061</v>
      </c>
      <c r="H9" s="1774">
        <f>G9/G28*100</f>
        <v>8.803729403552462E-3</v>
      </c>
      <c r="I9" s="1773">
        <v>0</v>
      </c>
      <c r="J9" s="1773">
        <v>2727780</v>
      </c>
      <c r="K9" s="1773">
        <v>0</v>
      </c>
      <c r="L9" s="1773">
        <f t="shared" si="0"/>
        <v>2727780</v>
      </c>
      <c r="M9" s="1774">
        <f>L9/L28*100</f>
        <v>1.043595806118648E-2</v>
      </c>
      <c r="O9" s="99"/>
      <c r="P9" s="99"/>
      <c r="Q9" s="99"/>
      <c r="R9" s="99"/>
      <c r="S9" s="99"/>
      <c r="T9" s="99"/>
    </row>
    <row r="10" spans="1:20" ht="20.100000000000001" customHeight="1">
      <c r="A10">
        <v>4</v>
      </c>
      <c r="B10" s="1772" t="s">
        <v>180</v>
      </c>
      <c r="C10" s="1738" t="s">
        <v>92</v>
      </c>
      <c r="D10" s="1773">
        <v>621737.5117472501</v>
      </c>
      <c r="E10" s="1773"/>
      <c r="F10" s="1773"/>
      <c r="G10" s="1773">
        <f t="shared" si="1"/>
        <v>621737.5117472501</v>
      </c>
      <c r="H10" s="1774">
        <f>G10/G28*100</f>
        <v>2.7783955996595082E-3</v>
      </c>
      <c r="I10" s="1773">
        <v>1069783.7977776085</v>
      </c>
      <c r="J10" s="1773">
        <v>0</v>
      </c>
      <c r="K10" s="1773">
        <v>0</v>
      </c>
      <c r="L10" s="1773">
        <f t="shared" si="0"/>
        <v>1069783.7977776085</v>
      </c>
      <c r="M10" s="1774">
        <f>L10/L28*100</f>
        <v>4.0927856528546738E-3</v>
      </c>
      <c r="O10" s="21"/>
      <c r="R10" s="14"/>
      <c r="S10" s="14"/>
      <c r="T10" s="14"/>
    </row>
    <row r="11" spans="1:20" ht="20.100000000000001" customHeight="1">
      <c r="A11">
        <v>5</v>
      </c>
      <c r="B11" s="1772" t="s">
        <v>181</v>
      </c>
      <c r="C11" s="1738" t="s">
        <v>126</v>
      </c>
      <c r="D11" s="1773">
        <v>899002.18392999994</v>
      </c>
      <c r="E11" s="1773">
        <v>1337353.14188</v>
      </c>
      <c r="F11" s="1773">
        <v>66277.441000000006</v>
      </c>
      <c r="G11" s="1773">
        <f t="shared" si="1"/>
        <v>2170077.8848099997</v>
      </c>
      <c r="H11" s="1774">
        <f>G11/G28*100</f>
        <v>9.6975568180379841E-3</v>
      </c>
      <c r="I11" s="1773">
        <v>1006855.51333</v>
      </c>
      <c r="J11" s="1773">
        <v>1602459.9923800002</v>
      </c>
      <c r="K11" s="1773">
        <v>44253.078999999998</v>
      </c>
      <c r="L11" s="1773">
        <f t="shared" si="0"/>
        <v>2565062.4267100003</v>
      </c>
      <c r="M11" s="1774">
        <f>L11/L28*100</f>
        <v>9.8134321350954925E-3</v>
      </c>
      <c r="N11" s="14"/>
      <c r="O11" s="20"/>
    </row>
    <row r="12" spans="1:20" ht="20.100000000000001" customHeight="1">
      <c r="A12">
        <v>6</v>
      </c>
      <c r="B12" s="1772" t="s">
        <v>182</v>
      </c>
      <c r="C12" s="1738" t="s">
        <v>95</v>
      </c>
      <c r="D12" s="1773">
        <v>574548880.0200001</v>
      </c>
      <c r="E12" s="1773">
        <v>0</v>
      </c>
      <c r="F12" s="1773">
        <v>0</v>
      </c>
      <c r="G12" s="1773">
        <f t="shared" si="1"/>
        <v>574548880.0200001</v>
      </c>
      <c r="H12" s="1774">
        <f>G12/G28*100</f>
        <v>2.5675209391030078</v>
      </c>
      <c r="I12" s="1773">
        <v>576387191.11000001</v>
      </c>
      <c r="J12" s="1773"/>
      <c r="K12" s="1773"/>
      <c r="L12" s="1773">
        <f t="shared" si="0"/>
        <v>576387191.11000001</v>
      </c>
      <c r="M12" s="1774">
        <f>L12/L28*100</f>
        <v>2.2051457791423932</v>
      </c>
      <c r="O12" s="20"/>
    </row>
    <row r="13" spans="1:20" ht="20.100000000000001" customHeight="1">
      <c r="A13">
        <v>7</v>
      </c>
      <c r="B13" s="1772" t="s">
        <v>183</v>
      </c>
      <c r="C13" s="1738" t="s">
        <v>124</v>
      </c>
      <c r="D13" s="1773">
        <v>3896593664.4123263</v>
      </c>
      <c r="E13" s="1773">
        <v>1809536830.1605849</v>
      </c>
      <c r="F13" s="1773"/>
      <c r="G13" s="1773">
        <f t="shared" si="1"/>
        <v>5706130494.5729113</v>
      </c>
      <c r="H13" s="1774">
        <f>G13/G28*100</f>
        <v>25.499326576983606</v>
      </c>
      <c r="I13" s="1773">
        <v>5265406901.5063429</v>
      </c>
      <c r="J13" s="1773">
        <v>2074620983.4072509</v>
      </c>
      <c r="K13" s="1773">
        <v>0</v>
      </c>
      <c r="L13" s="1773">
        <f t="shared" si="0"/>
        <v>7340027884.9135933</v>
      </c>
      <c r="M13" s="1774">
        <f>L13/L28*100</f>
        <v>28.081525333750363</v>
      </c>
      <c r="N13" s="14"/>
      <c r="O13" s="20"/>
    </row>
    <row r="14" spans="1:20" ht="20.100000000000001" customHeight="1">
      <c r="A14">
        <v>8</v>
      </c>
      <c r="B14" s="1772" t="s">
        <v>184</v>
      </c>
      <c r="C14" s="1738" t="s">
        <v>129</v>
      </c>
      <c r="D14" s="1773">
        <v>52991651</v>
      </c>
      <c r="E14" s="1773">
        <v>20153222</v>
      </c>
      <c r="F14" s="1773">
        <v>4809161</v>
      </c>
      <c r="G14" s="1773">
        <f t="shared" si="1"/>
        <v>68335712</v>
      </c>
      <c r="H14" s="1774">
        <f>G14/G28*100</f>
        <v>0.30537588280113803</v>
      </c>
      <c r="I14" s="1775">
        <v>64046017.954829998</v>
      </c>
      <c r="J14" s="1773">
        <v>24011104</v>
      </c>
      <c r="K14" s="1773">
        <v>6483228</v>
      </c>
      <c r="L14" s="1773">
        <f t="shared" si="0"/>
        <v>81573893.954829991</v>
      </c>
      <c r="M14" s="1774">
        <f>L14/L28*100</f>
        <v>0.31208592195861806</v>
      </c>
      <c r="O14" s="21"/>
    </row>
    <row r="15" spans="1:20" ht="20.100000000000001" customHeight="1">
      <c r="A15">
        <v>9</v>
      </c>
      <c r="B15" s="1772" t="s">
        <v>185</v>
      </c>
      <c r="C15" s="1738" t="s">
        <v>131</v>
      </c>
      <c r="D15" s="1775">
        <v>0</v>
      </c>
      <c r="E15" s="1775">
        <v>0</v>
      </c>
      <c r="F15" s="1775">
        <v>0</v>
      </c>
      <c r="G15" s="1773">
        <f t="shared" si="1"/>
        <v>0</v>
      </c>
      <c r="H15" s="1774">
        <f>G15/G28*100</f>
        <v>0</v>
      </c>
      <c r="I15" s="1775">
        <v>0</v>
      </c>
      <c r="J15" s="1775">
        <v>0</v>
      </c>
      <c r="K15" s="1775">
        <v>0</v>
      </c>
      <c r="L15" s="1773">
        <f t="shared" si="0"/>
        <v>0</v>
      </c>
      <c r="M15" s="1774">
        <f>L15/L28*100</f>
        <v>0</v>
      </c>
      <c r="O15" s="20"/>
    </row>
    <row r="16" spans="1:20" ht="20.100000000000001" customHeight="1">
      <c r="A16">
        <v>10</v>
      </c>
      <c r="B16" s="1772" t="s">
        <v>186</v>
      </c>
      <c r="C16" s="1738" t="s">
        <v>128</v>
      </c>
      <c r="D16" s="1773"/>
      <c r="E16" s="1773">
        <v>1313231.1247274249</v>
      </c>
      <c r="F16" s="1773"/>
      <c r="G16" s="1773">
        <f t="shared" si="1"/>
        <v>1313231.1247274249</v>
      </c>
      <c r="H16" s="1774">
        <f>G16/G28*100</f>
        <v>5.8685144604269119E-3</v>
      </c>
      <c r="I16" s="1773">
        <v>0</v>
      </c>
      <c r="J16" s="1773">
        <v>1415145.3073086524</v>
      </c>
      <c r="K16" s="1773">
        <v>0</v>
      </c>
      <c r="L16" s="1773">
        <f t="shared" si="0"/>
        <v>1415145.3073086524</v>
      </c>
      <c r="M16" s="1774">
        <f>L16/L28*100</f>
        <v>5.4140719110624576E-3</v>
      </c>
      <c r="O16" s="20"/>
    </row>
    <row r="17" spans="1:15" ht="20.100000000000001" customHeight="1">
      <c r="A17">
        <v>11</v>
      </c>
      <c r="B17" s="1772" t="s">
        <v>187</v>
      </c>
      <c r="C17" s="1738" t="s">
        <v>130</v>
      </c>
      <c r="D17" s="1773">
        <v>845507.18628000002</v>
      </c>
      <c r="E17" s="1773">
        <v>1499022.1700399995</v>
      </c>
      <c r="F17" s="1773">
        <v>24583.892</v>
      </c>
      <c r="G17" s="1773">
        <f t="shared" si="1"/>
        <v>2319945.4643199993</v>
      </c>
      <c r="H17" s="1774">
        <f>G17/G28*100</f>
        <v>1.036727903291936E-2</v>
      </c>
      <c r="I17" s="1773">
        <v>977823.36600449902</v>
      </c>
      <c r="J17" s="1775">
        <v>2031451.08292</v>
      </c>
      <c r="K17" s="1775">
        <v>6385.5942800000003</v>
      </c>
      <c r="L17" s="1773">
        <f t="shared" si="0"/>
        <v>3002888.8546444993</v>
      </c>
      <c r="M17" s="1774">
        <f>L17/L28*100</f>
        <v>1.1488471265818466E-2</v>
      </c>
      <c r="O17" s="20"/>
    </row>
    <row r="18" spans="1:15" ht="20.100000000000001" customHeight="1">
      <c r="A18">
        <v>12</v>
      </c>
      <c r="B18" s="1772" t="s">
        <v>188</v>
      </c>
      <c r="C18" s="1738" t="s">
        <v>132</v>
      </c>
      <c r="D18" s="1773">
        <v>4375309.9953300003</v>
      </c>
      <c r="E18" s="1773">
        <v>2643968.2601200002</v>
      </c>
      <c r="F18" s="1773">
        <v>2039754.0000000002</v>
      </c>
      <c r="G18" s="1773">
        <f t="shared" si="1"/>
        <v>4979524.255450001</v>
      </c>
      <c r="H18" s="1774">
        <f>G18/G28*100</f>
        <v>2.2252297823979996E-2</v>
      </c>
      <c r="I18" s="1773">
        <v>5101422.8000000007</v>
      </c>
      <c r="J18" s="1773">
        <v>2933254.4972099997</v>
      </c>
      <c r="K18" s="1773">
        <v>0</v>
      </c>
      <c r="L18" s="1773">
        <f t="shared" si="0"/>
        <v>8034677.2972100005</v>
      </c>
      <c r="M18" s="1774">
        <f>L18/L28*100</f>
        <v>3.0739119470357103E-2</v>
      </c>
      <c r="O18" s="20"/>
    </row>
    <row r="19" spans="1:15" ht="20.100000000000001" customHeight="1">
      <c r="A19">
        <v>13</v>
      </c>
      <c r="B19" s="1772" t="s">
        <v>189</v>
      </c>
      <c r="C19" s="1738" t="s">
        <v>133</v>
      </c>
      <c r="D19" s="1773">
        <f>6225304789.14451+590958</f>
        <v>6225895747.1445103</v>
      </c>
      <c r="E19" s="1773">
        <v>9580533396.5501842</v>
      </c>
      <c r="F19" s="1773">
        <v>0</v>
      </c>
      <c r="G19" s="1773">
        <f t="shared" si="1"/>
        <v>15806429143.694695</v>
      </c>
      <c r="H19" s="1774">
        <f>G19/G28*100</f>
        <v>70.635135164603298</v>
      </c>
      <c r="I19" s="1773">
        <f>7199652841.21+331256</f>
        <v>7199984097.21</v>
      </c>
      <c r="J19" s="1773">
        <v>10692653911.000002</v>
      </c>
      <c r="K19" s="1773">
        <v>0</v>
      </c>
      <c r="L19" s="1773">
        <f t="shared" si="0"/>
        <v>17892638008.210003</v>
      </c>
      <c r="M19" s="1774">
        <f>L19/L28*100</f>
        <v>68.453768213591559</v>
      </c>
      <c r="O19" s="20"/>
    </row>
    <row r="20" spans="1:15" ht="20.100000000000001" customHeight="1">
      <c r="A20">
        <v>14</v>
      </c>
      <c r="B20" s="1772" t="s">
        <v>190</v>
      </c>
      <c r="C20" s="1738" t="s">
        <v>106</v>
      </c>
      <c r="D20" s="1773">
        <v>807179</v>
      </c>
      <c r="E20" s="1773">
        <v>0</v>
      </c>
      <c r="F20" s="1773">
        <v>0</v>
      </c>
      <c r="G20" s="1773">
        <f t="shared" si="1"/>
        <v>807179</v>
      </c>
      <c r="H20" s="1774">
        <f>G20/G28*100</f>
        <v>3.6070890679172234E-3</v>
      </c>
      <c r="I20" s="1773">
        <v>1404322</v>
      </c>
      <c r="J20" s="1773">
        <v>0</v>
      </c>
      <c r="K20" s="1773">
        <v>0</v>
      </c>
      <c r="L20" s="1773">
        <f t="shared" si="0"/>
        <v>1404322</v>
      </c>
      <c r="M20" s="1774">
        <f>L20/L28*100</f>
        <v>5.3726640331703884E-3</v>
      </c>
      <c r="O20" s="20"/>
    </row>
    <row r="21" spans="1:15" ht="20.100000000000001" customHeight="1">
      <c r="A21">
        <v>15</v>
      </c>
      <c r="B21" s="1772" t="s">
        <v>191</v>
      </c>
      <c r="C21" s="1738" t="s">
        <v>134</v>
      </c>
      <c r="D21" s="1773">
        <v>235258.19600999999</v>
      </c>
      <c r="E21" s="1773">
        <v>1698884.4920899996</v>
      </c>
      <c r="F21" s="1773">
        <v>3814.3910000000001</v>
      </c>
      <c r="G21" s="1773">
        <f t="shared" si="1"/>
        <v>1930328.2970999996</v>
      </c>
      <c r="H21" s="1774">
        <f>G21/G28*100</f>
        <v>8.6261734980229657E-3</v>
      </c>
      <c r="I21" s="1773">
        <v>235258</v>
      </c>
      <c r="J21" s="1773">
        <v>1698884.4920899996</v>
      </c>
      <c r="K21" s="1773">
        <v>3814.3910000000001</v>
      </c>
      <c r="L21" s="1773">
        <f t="shared" si="0"/>
        <v>1930328.1010899995</v>
      </c>
      <c r="M21" s="1774">
        <f>L21/L28*100</f>
        <v>7.3850615179028266E-3</v>
      </c>
      <c r="N21" s="18"/>
      <c r="O21" s="22"/>
    </row>
    <row r="22" spans="1:15" ht="20.100000000000001" customHeight="1">
      <c r="A22">
        <v>16</v>
      </c>
      <c r="B22" s="1772" t="s">
        <v>192</v>
      </c>
      <c r="C22" s="1738" t="s">
        <v>109</v>
      </c>
      <c r="D22" s="1773">
        <v>213718</v>
      </c>
      <c r="E22" s="1773">
        <v>1091219</v>
      </c>
      <c r="F22" s="1773">
        <v>0</v>
      </c>
      <c r="G22" s="1773">
        <f t="shared" si="1"/>
        <v>1304937</v>
      </c>
      <c r="H22" s="1774">
        <f>G22/G28*100</f>
        <v>5.8314500092553172E-3</v>
      </c>
      <c r="I22" s="1773">
        <v>279450</v>
      </c>
      <c r="J22" s="1773">
        <v>1248344.8790099998</v>
      </c>
      <c r="K22" s="1773">
        <v>0</v>
      </c>
      <c r="L22" s="1773">
        <f t="shared" si="0"/>
        <v>1527794.8790099998</v>
      </c>
      <c r="M22" s="1774">
        <f>L22/L28*100</f>
        <v>5.8450473584540658E-3</v>
      </c>
    </row>
    <row r="23" spans="1:15" ht="20.100000000000001" customHeight="1">
      <c r="A23">
        <v>17</v>
      </c>
      <c r="B23" s="1772" t="s">
        <v>193</v>
      </c>
      <c r="C23" s="1738" t="s">
        <v>111</v>
      </c>
      <c r="D23" s="1773">
        <v>0</v>
      </c>
      <c r="E23" s="1773">
        <v>928425.29215393949</v>
      </c>
      <c r="F23" s="1773">
        <v>0</v>
      </c>
      <c r="G23" s="1773">
        <f t="shared" si="1"/>
        <v>928425.29215393949</v>
      </c>
      <c r="H23" s="1774">
        <f>G23/G28*100</f>
        <v>4.1489096243910329E-3</v>
      </c>
      <c r="I23" s="1773">
        <v>0</v>
      </c>
      <c r="J23" s="1773">
        <v>929205.62006575894</v>
      </c>
      <c r="K23" s="1773">
        <v>0</v>
      </c>
      <c r="L23" s="1773">
        <f t="shared" si="0"/>
        <v>929205.62006575894</v>
      </c>
      <c r="M23" s="1774">
        <f>L23/L28*100</f>
        <v>3.5549607670798374E-3</v>
      </c>
    </row>
    <row r="24" spans="1:15" ht="20.100000000000001" customHeight="1">
      <c r="A24">
        <v>18</v>
      </c>
      <c r="B24" s="1772" t="s">
        <v>194</v>
      </c>
      <c r="C24" s="1738" t="s">
        <v>112</v>
      </c>
      <c r="D24" s="1773">
        <v>0</v>
      </c>
      <c r="E24" s="1773">
        <v>3163419</v>
      </c>
      <c r="F24" s="1773">
        <v>0</v>
      </c>
      <c r="G24" s="1773">
        <f t="shared" si="1"/>
        <v>3163419</v>
      </c>
      <c r="H24" s="1774">
        <f>G24/G28*100</f>
        <v>1.4136559662902075E-2</v>
      </c>
      <c r="I24" s="1773">
        <v>0</v>
      </c>
      <c r="J24" s="1773">
        <v>3853668.7748255096</v>
      </c>
      <c r="K24" s="1773">
        <v>0</v>
      </c>
      <c r="L24" s="1773">
        <f t="shared" si="0"/>
        <v>3853668.7748255096</v>
      </c>
      <c r="M24" s="1774">
        <f>L24/L28*100</f>
        <v>1.4743390491822253E-2</v>
      </c>
    </row>
    <row r="25" spans="1:15" ht="20.100000000000001" customHeight="1">
      <c r="A25">
        <v>19</v>
      </c>
      <c r="B25" s="1772" t="s">
        <v>195</v>
      </c>
      <c r="C25" s="1738" t="s">
        <v>135</v>
      </c>
      <c r="D25" s="1773">
        <v>475235</v>
      </c>
      <c r="E25" s="1773">
        <v>483343</v>
      </c>
      <c r="F25" s="1773">
        <v>0</v>
      </c>
      <c r="G25" s="1773">
        <f t="shared" si="1"/>
        <v>958578</v>
      </c>
      <c r="H25" s="1774">
        <f>G25/G28*100</f>
        <v>4.2836548331237016E-3</v>
      </c>
      <c r="I25" s="1773">
        <v>709052</v>
      </c>
      <c r="J25" s="1773">
        <v>481345</v>
      </c>
      <c r="K25" s="1773">
        <v>0</v>
      </c>
      <c r="L25" s="1773">
        <f t="shared" si="0"/>
        <v>1190397</v>
      </c>
      <c r="M25" s="1774">
        <f>L25/L28*100</f>
        <v>4.5542284085088253E-3</v>
      </c>
      <c r="O25" s="17"/>
    </row>
    <row r="26" spans="1:15" ht="20.100000000000001" customHeight="1">
      <c r="A26">
        <v>20</v>
      </c>
      <c r="B26" s="1772" t="s">
        <v>196</v>
      </c>
      <c r="C26" s="1738" t="s">
        <v>115</v>
      </c>
      <c r="D26" s="1773">
        <v>82583945.305500016</v>
      </c>
      <c r="E26" s="1773">
        <v>49798431.409699976</v>
      </c>
      <c r="F26" s="1773">
        <v>282157</v>
      </c>
      <c r="G26" s="1773">
        <f t="shared" si="1"/>
        <v>132100219.71519999</v>
      </c>
      <c r="H26" s="1774">
        <f>G26/G28*100</f>
        <v>0.59032415164933816</v>
      </c>
      <c r="I26" s="1773">
        <v>85872885.3125</v>
      </c>
      <c r="J26" s="1773">
        <v>57032597.35489998</v>
      </c>
      <c r="K26" s="1773">
        <v>0</v>
      </c>
      <c r="L26" s="1773">
        <f t="shared" si="0"/>
        <v>142905482.66739997</v>
      </c>
      <c r="M26" s="1774">
        <f>L26/L28*100</f>
        <v>0.54672870386563344</v>
      </c>
    </row>
    <row r="27" spans="1:15" ht="20.100000000000001" customHeight="1">
      <c r="A27">
        <v>21</v>
      </c>
      <c r="B27" s="1772" t="s">
        <v>197</v>
      </c>
      <c r="C27" s="1738" t="s">
        <v>136</v>
      </c>
      <c r="D27" s="1776">
        <v>19470171.755439997</v>
      </c>
      <c r="E27" s="1776">
        <v>7106666.9566799989</v>
      </c>
      <c r="F27" s="1773">
        <v>839915</v>
      </c>
      <c r="G27" s="1773">
        <f t="shared" si="1"/>
        <v>25736923.712119997</v>
      </c>
      <c r="H27" s="1774">
        <f>G27/G28*100</f>
        <v>0.11501213010225439</v>
      </c>
      <c r="I27" s="1773">
        <v>22967532.090350006</v>
      </c>
      <c r="J27" s="1773">
        <v>7743332.6034599999</v>
      </c>
      <c r="K27" s="1773">
        <v>649778.12127000024</v>
      </c>
      <c r="L27" s="1773">
        <f t="shared" si="0"/>
        <v>30061086.572540004</v>
      </c>
      <c r="M27" s="1774">
        <f>L27/L28*100</f>
        <v>0.11500789607106272</v>
      </c>
    </row>
    <row r="28" spans="1:15" s="15" customFormat="1" ht="24.75" customHeight="1">
      <c r="B28" s="1777" t="s">
        <v>160</v>
      </c>
      <c r="C28" s="1778" t="s">
        <v>160</v>
      </c>
      <c r="D28" s="1779">
        <f>SUM(D7:D27)</f>
        <v>10896672721.711075</v>
      </c>
      <c r="E28" s="1779">
        <f>SUM(E7:E27)</f>
        <v>11488966425.314856</v>
      </c>
      <c r="F28" s="1779">
        <f>SUM(F7:F27)</f>
        <v>8065851.7239999995</v>
      </c>
      <c r="G28" s="1773">
        <f>D28+E28-F28</f>
        <v>22377573295.301933</v>
      </c>
      <c r="H28" s="1774">
        <f>G28/G28*100</f>
        <v>100</v>
      </c>
      <c r="I28" s="1779">
        <f>SUM(I7:I27)</f>
        <v>13264037622.661135</v>
      </c>
      <c r="J28" s="1779">
        <f>SUM(J7:J27)</f>
        <v>12881456808.768118</v>
      </c>
      <c r="K28" s="1779">
        <f>SUM(K7:K27)</f>
        <v>7213844.1855499996</v>
      </c>
      <c r="L28" s="1773">
        <f t="shared" si="0"/>
        <v>26138280587.243702</v>
      </c>
      <c r="M28" s="1774">
        <f>L28/L28*100</f>
        <v>100</v>
      </c>
      <c r="N28" s="187"/>
      <c r="O28" s="188"/>
    </row>
    <row r="29" spans="1:15">
      <c r="B29" s="4"/>
      <c r="C29" s="4"/>
      <c r="D29" s="151"/>
      <c r="E29" s="99"/>
      <c r="G29" s="4"/>
      <c r="H29" s="4"/>
      <c r="I29" s="151"/>
      <c r="J29" s="151"/>
      <c r="K29" s="5"/>
      <c r="L29" s="5"/>
      <c r="M29" s="4"/>
      <c r="O29" s="19"/>
    </row>
    <row r="30" spans="1:15">
      <c r="D30" t="s">
        <v>198</v>
      </c>
      <c r="H30" s="16"/>
      <c r="I30" s="16"/>
      <c r="J30" s="16"/>
      <c r="K30" s="16"/>
      <c r="N30" s="111"/>
      <c r="O30"/>
    </row>
    <row r="31" spans="1:15">
      <c r="O31"/>
    </row>
    <row r="32" spans="1:15">
      <c r="O32"/>
    </row>
    <row r="33" spans="1:15">
      <c r="O33"/>
    </row>
    <row r="34" spans="1:15">
      <c r="O34"/>
    </row>
    <row r="35" spans="1:15">
      <c r="O35"/>
    </row>
    <row r="36" spans="1:15">
      <c r="O36"/>
    </row>
    <row r="37" spans="1:15">
      <c r="O37"/>
    </row>
    <row r="38" spans="1:15">
      <c r="O38"/>
    </row>
    <row r="39" spans="1:15">
      <c r="O39"/>
    </row>
    <row r="40" spans="1:15">
      <c r="O40"/>
    </row>
    <row r="41" spans="1:15">
      <c r="O41"/>
    </row>
    <row r="42" spans="1:15">
      <c r="O42"/>
    </row>
    <row r="43" spans="1:15">
      <c r="A43" s="111"/>
      <c r="O43"/>
    </row>
    <row r="44" spans="1:15">
      <c r="A44" s="111"/>
      <c r="O44"/>
    </row>
    <row r="45" spans="1:15">
      <c r="A45" s="111"/>
      <c r="O45"/>
    </row>
    <row r="46" spans="1:15">
      <c r="A46" s="111"/>
      <c r="O46"/>
    </row>
    <row r="47" spans="1:15">
      <c r="A47" s="111"/>
      <c r="O47"/>
    </row>
    <row r="48" spans="1:15">
      <c r="A48" s="111"/>
      <c r="O48"/>
    </row>
    <row r="49" spans="1:15">
      <c r="A49" s="111"/>
      <c r="O49"/>
    </row>
    <row r="50" spans="1:15">
      <c r="A50" s="111"/>
      <c r="O50"/>
    </row>
    <row r="51" spans="1:15">
      <c r="A51" s="111"/>
      <c r="O51"/>
    </row>
    <row r="52" spans="1:15">
      <c r="B52" s="111"/>
      <c r="O52"/>
    </row>
    <row r="53" spans="1:15">
      <c r="B53" s="111"/>
      <c r="O53"/>
    </row>
    <row r="54" spans="1:15">
      <c r="B54" s="111"/>
      <c r="O54"/>
    </row>
    <row r="55" spans="1:15">
      <c r="B55" s="111"/>
      <c r="O55"/>
    </row>
    <row r="56" spans="1:15">
      <c r="B56" s="111"/>
      <c r="O56"/>
    </row>
    <row r="57" spans="1:15">
      <c r="B57" s="111"/>
      <c r="O57"/>
    </row>
    <row r="58" spans="1:15">
      <c r="B58" s="111"/>
      <c r="O58"/>
    </row>
    <row r="59" spans="1:15" ht="28.5" customHeight="1">
      <c r="B59" s="111"/>
      <c r="O59"/>
    </row>
    <row r="60" spans="1:15" ht="51.75" customHeight="1">
      <c r="B60" s="111"/>
      <c r="O60"/>
    </row>
    <row r="61" spans="1:15">
      <c r="B61" s="111"/>
      <c r="O61"/>
    </row>
    <row r="62" spans="1:15">
      <c r="B62" s="111"/>
      <c r="O62"/>
    </row>
    <row r="63" spans="1:15">
      <c r="B63" s="111"/>
      <c r="O63"/>
    </row>
    <row r="64" spans="1:15">
      <c r="B64" s="111"/>
      <c r="O64"/>
    </row>
    <row r="65" spans="2:15">
      <c r="B65" s="111"/>
      <c r="O65"/>
    </row>
  </sheetData>
  <customSheetViews>
    <customSheetView guid="{2ACFE167-4169-43A6-9AB2-59D5A2DA2DB4}" showPageBreaks="1" printArea="1" hiddenColumns="1" state="hidden" topLeftCell="A25">
      <selection activeCell="D30" sqref="D30:J30"/>
      <colBreaks count="1" manualBreakCount="1">
        <brk id="13" max="1048575" man="1"/>
      </colBreaks>
      <pageMargins left="0" right="0" top="0" bottom="0" header="0" footer="0"/>
      <pageSetup scale="90" orientation="landscape" r:id="rId1"/>
    </customSheetView>
    <customSheetView guid="{967E0446-E234-427F-8E57-7FE287052E2E}" showPageBreaks="1" printArea="1" hiddenColumns="1" state="hidden" topLeftCell="A25">
      <selection activeCell="D30" sqref="D30:J30"/>
      <colBreaks count="1" manualBreakCount="1">
        <brk id="13" max="1048575" man="1"/>
      </colBreaks>
      <pageMargins left="0" right="0" top="0" bottom="0" header="0" footer="0"/>
      <pageSetup scale="90" orientation="landscape" r:id="rId2"/>
    </customSheetView>
    <customSheetView guid="{B2E1A0C6-5BA1-4CF1-B412-16D81FCDF11F}" showPageBreaks="1" printArea="1" hiddenColumns="1" state="hidden" topLeftCell="A25">
      <selection activeCell="D30" sqref="D30:J30"/>
      <colBreaks count="1" manualBreakCount="1">
        <brk id="13" max="1048575" man="1"/>
      </colBreaks>
      <pageMargins left="0" right="0" top="0" bottom="0" header="0" footer="0"/>
      <pageSetup scale="90" orientation="landscape" r:id="rId3"/>
    </customSheetView>
    <customSheetView guid="{46F31544-8E6F-41C5-8628-1D6EE074AF15}" hiddenColumns="1" state="hidden" topLeftCell="A25">
      <selection activeCell="D30" sqref="D30:J30"/>
      <colBreaks count="1" manualBreakCount="1">
        <brk id="13" max="1048575" man="1"/>
      </colBreaks>
      <pageMargins left="0" right="0" top="0" bottom="0" header="0" footer="0"/>
      <pageSetup scale="90" orientation="landscape" r:id="rId4"/>
    </customSheetView>
    <customSheetView guid="{E82B35BE-4719-4C53-A9EF-1CC6F153A6F3}" showPageBreaks="1" printArea="1" hiddenColumns="1" topLeftCell="A13">
      <selection activeCell="D30" sqref="D30"/>
      <colBreaks count="1" manualBreakCount="1">
        <brk id="13" max="1048575" man="1"/>
      </colBreaks>
      <pageMargins left="0" right="0" top="0" bottom="0" header="0" footer="0"/>
      <pageSetup scale="90" orientation="landscape" r:id="rId5"/>
    </customSheetView>
    <customSheetView guid="{B1E1B596-A9A1-411D-A882-A48CB025B978}" showPageBreaks="1" printArea="1" hiddenColumns="1" state="hidden" topLeftCell="A25">
      <selection activeCell="D30" sqref="D30:J30"/>
      <colBreaks count="1" manualBreakCount="1">
        <brk id="13" max="1048575" man="1"/>
      </colBreaks>
      <pageMargins left="0" right="0" top="0" bottom="0" header="0" footer="0"/>
      <pageSetup scale="90" orientation="landscape" r:id="rId6"/>
    </customSheetView>
    <customSheetView guid="{5E394B0B-7867-4722-9497-A93AB2A9A773}" showPageBreaks="1" printArea="1" hiddenColumns="1" state="hidden" topLeftCell="A25">
      <selection activeCell="D30" sqref="D30:J30"/>
      <colBreaks count="1" manualBreakCount="1">
        <brk id="13" max="1048575" man="1"/>
      </colBreaks>
      <pageMargins left="0" right="0" top="0" bottom="0" header="0" footer="0"/>
      <pageSetup scale="90" orientation="landscape" r:id="rId7"/>
    </customSheetView>
  </customSheetViews>
  <mergeCells count="5">
    <mergeCell ref="C4:M4"/>
    <mergeCell ref="D5:H5"/>
    <mergeCell ref="B5:B6"/>
    <mergeCell ref="I5:M5"/>
    <mergeCell ref="C5:C6"/>
  </mergeCells>
  <pageMargins left="0.31" right="0.2" top="0.65" bottom="0.75" header="0.3" footer="0.3"/>
  <pageSetup scale="90" orientation="landscape" r:id="rId8"/>
  <colBreaks count="1" manualBreakCount="1">
    <brk id="13" max="1048575" man="1"/>
  </colBreak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7030A0"/>
  </sheetPr>
  <dimension ref="B2:AB72"/>
  <sheetViews>
    <sheetView showGridLines="0" view="pageBreakPreview" zoomScale="70" zoomScaleNormal="100" zoomScaleSheetLayoutView="70" workbookViewId="0">
      <pane xSplit="2" ySplit="8" topLeftCell="C9" activePane="bottomRight" state="frozen"/>
      <selection pane="bottomRight" activeCell="B39" sqref="B39:F39"/>
      <selection pane="bottomLeft" activeCell="A9" sqref="A9"/>
      <selection pane="topRight" activeCell="C1" sqref="C1"/>
    </sheetView>
  </sheetViews>
  <sheetFormatPr defaultColWidth="9.140625" defaultRowHeight="13.15"/>
  <cols>
    <col min="1" max="1" width="3.7109375" style="2" customWidth="1"/>
    <col min="2" max="2" width="22.28515625" style="2" customWidth="1"/>
    <col min="3" max="3" width="16.85546875" style="2" customWidth="1"/>
    <col min="4" max="4" width="13.140625" style="2" customWidth="1"/>
    <col min="5" max="5" width="15.7109375" style="2" customWidth="1"/>
    <col min="6" max="6" width="15.42578125" style="2" customWidth="1"/>
    <col min="7" max="7" width="16" style="2" bestFit="1" customWidth="1"/>
    <col min="8" max="8" width="16.7109375" style="2" customWidth="1"/>
    <col min="9" max="9" width="15.140625" style="2" customWidth="1"/>
    <col min="10" max="10" width="11.85546875" style="2" bestFit="1" customWidth="1"/>
    <col min="11" max="11" width="4" style="2" customWidth="1"/>
    <col min="12" max="12" width="13.28515625" style="2" bestFit="1" customWidth="1"/>
    <col min="13" max="13" width="13.85546875" style="2" customWidth="1"/>
    <col min="14" max="14" width="17" style="2" customWidth="1"/>
    <col min="15" max="15" width="13.42578125" style="2" customWidth="1"/>
    <col min="16" max="16" width="15.5703125" style="2" customWidth="1"/>
    <col min="17" max="17" width="13.42578125" style="2" customWidth="1"/>
    <col min="18" max="18" width="18" style="2" customWidth="1"/>
    <col min="19" max="20" width="13.42578125" style="2" customWidth="1"/>
    <col min="21" max="21" width="12.42578125" style="2" bestFit="1" customWidth="1"/>
    <col min="22" max="22" width="9.140625" style="2"/>
    <col min="23" max="23" width="13.5703125" style="2" customWidth="1"/>
    <col min="24" max="24" width="12.5703125" style="2" customWidth="1"/>
    <col min="25" max="25" width="11.7109375" style="2" customWidth="1"/>
    <col min="26" max="26" width="12.7109375" style="2" customWidth="1"/>
    <col min="27" max="27" width="13.140625" style="2" customWidth="1"/>
    <col min="28" max="28" width="12.5703125" style="2" customWidth="1"/>
    <col min="29" max="16384" width="9.140625" style="2"/>
  </cols>
  <sheetData>
    <row r="2" spans="2:27">
      <c r="B2" s="725" t="s">
        <v>199</v>
      </c>
    </row>
    <row r="3" spans="2:27">
      <c r="B3" s="1"/>
    </row>
    <row r="4" spans="2:27" ht="15" customHeight="1">
      <c r="B4" s="3199" t="s">
        <v>84</v>
      </c>
      <c r="C4" s="3238" t="s">
        <v>138</v>
      </c>
      <c r="D4" s="3236"/>
      <c r="E4" s="3234" t="s">
        <v>139</v>
      </c>
      <c r="F4" s="3235"/>
      <c r="G4" s="3235"/>
      <c r="H4" s="3235"/>
      <c r="I4" s="3235"/>
      <c r="J4" s="3236"/>
    </row>
    <row r="5" spans="2:27" ht="33" customHeight="1">
      <c r="B5" s="3249"/>
      <c r="C5" s="3252" t="s">
        <v>200</v>
      </c>
      <c r="D5" s="3250" t="s">
        <v>159</v>
      </c>
      <c r="E5" s="3254" t="s">
        <v>201</v>
      </c>
      <c r="F5" s="3255" t="s">
        <v>202</v>
      </c>
      <c r="G5" s="3254" t="s">
        <v>203</v>
      </c>
      <c r="H5" s="3255" t="s">
        <v>204</v>
      </c>
      <c r="I5" s="3254" t="s">
        <v>200</v>
      </c>
      <c r="J5" s="3250" t="s">
        <v>159</v>
      </c>
    </row>
    <row r="6" spans="2:27">
      <c r="B6" s="3249"/>
      <c r="C6" s="3252"/>
      <c r="D6" s="3251"/>
      <c r="E6" s="3254"/>
      <c r="F6" s="3256"/>
      <c r="G6" s="3254"/>
      <c r="H6" s="3256"/>
      <c r="I6" s="3254"/>
      <c r="J6" s="3251"/>
    </row>
    <row r="7" spans="2:27">
      <c r="B7" s="3249"/>
      <c r="C7" s="3253"/>
      <c r="D7" s="3251"/>
      <c r="E7" s="3255"/>
      <c r="F7" s="3256"/>
      <c r="G7" s="3255"/>
      <c r="H7" s="3256"/>
      <c r="I7" s="3255"/>
      <c r="J7" s="3251"/>
    </row>
    <row r="8" spans="2:27" ht="14.25" customHeight="1">
      <c r="B8" s="3200"/>
      <c r="C8" s="1781" t="s">
        <v>142</v>
      </c>
      <c r="D8" s="3251"/>
      <c r="E8" s="1782" t="s">
        <v>142</v>
      </c>
      <c r="F8" s="1780" t="s">
        <v>142</v>
      </c>
      <c r="G8" s="1780" t="s">
        <v>142</v>
      </c>
      <c r="H8" s="1780" t="s">
        <v>142</v>
      </c>
      <c r="I8" s="1781" t="s">
        <v>142</v>
      </c>
      <c r="J8" s="3257"/>
    </row>
    <row r="9" spans="2:27" ht="17.25" customHeight="1">
      <c r="B9" s="1450" t="s">
        <v>90</v>
      </c>
      <c r="C9" s="3072">
        <v>19749096</v>
      </c>
      <c r="D9" s="1783">
        <f>C9/$C$37*100</f>
        <v>7.4068808105860677</v>
      </c>
      <c r="E9" s="1784">
        <v>3201921.8960000002</v>
      </c>
      <c r="F9" s="1784">
        <v>6080848</v>
      </c>
      <c r="G9" s="1785">
        <v>9106572.5669072568</v>
      </c>
      <c r="H9" s="1786">
        <f>F9+G9</f>
        <v>15187420.566907257</v>
      </c>
      <c r="I9" s="1787">
        <f>E9+H9</f>
        <v>18389342.462907258</v>
      </c>
      <c r="J9" s="1788">
        <f>I9/$I$37*100</f>
        <v>6.7363571971285205</v>
      </c>
      <c r="K9" s="645"/>
      <c r="L9" s="632"/>
      <c r="M9" s="850"/>
      <c r="N9" s="851"/>
      <c r="O9" s="852"/>
      <c r="P9" s="851"/>
      <c r="Q9" s="853"/>
      <c r="S9" s="852"/>
      <c r="U9" s="240"/>
      <c r="V9" s="240"/>
      <c r="W9" s="240"/>
      <c r="X9" s="240"/>
      <c r="Y9" s="240"/>
      <c r="Z9" s="240"/>
      <c r="AA9" s="240"/>
    </row>
    <row r="10" spans="2:27" ht="17.25" customHeight="1">
      <c r="B10" s="1789" t="s">
        <v>91</v>
      </c>
      <c r="C10" s="3072">
        <v>12290522.431429999</v>
      </c>
      <c r="D10" s="1783">
        <f t="shared" ref="D10:D17" si="0">C10/$C$37*100</f>
        <v>4.6095494573238431</v>
      </c>
      <c r="E10" s="1790">
        <v>8619971.7019999996</v>
      </c>
      <c r="F10" s="1685"/>
      <c r="G10" s="1791">
        <v>3938605.7469599969</v>
      </c>
      <c r="H10" s="1786">
        <f t="shared" ref="H10:H36" si="1">F10+G10</f>
        <v>3938605.7469599969</v>
      </c>
      <c r="I10" s="1787">
        <f>E10+H10</f>
        <v>12558577.448959997</v>
      </c>
      <c r="J10" s="1788">
        <f t="shared" ref="J10:J36" si="2">I10/$I$37*100</f>
        <v>4.6004398338135539</v>
      </c>
      <c r="K10" s="632"/>
      <c r="L10" s="632"/>
      <c r="M10" s="850"/>
      <c r="N10" s="851"/>
      <c r="O10" s="852"/>
      <c r="P10" s="851"/>
      <c r="Q10" s="853"/>
      <c r="S10" s="852"/>
      <c r="U10" s="240"/>
      <c r="V10" s="240"/>
      <c r="W10" s="240"/>
      <c r="X10" s="240"/>
      <c r="Y10" s="240"/>
      <c r="Z10" s="240"/>
      <c r="AA10" s="240"/>
    </row>
    <row r="11" spans="2:27" ht="17.25" customHeight="1">
      <c r="B11" s="1789" t="s">
        <v>92</v>
      </c>
      <c r="C11" s="3072">
        <v>1327099.6280025309</v>
      </c>
      <c r="D11" s="1783">
        <f t="shared" si="0"/>
        <v>0.49772752982657303</v>
      </c>
      <c r="E11" s="1784">
        <v>739623.5</v>
      </c>
      <c r="F11" s="1685"/>
      <c r="G11" s="1792">
        <v>-1289180.3072494324</v>
      </c>
      <c r="H11" s="1786">
        <f t="shared" si="1"/>
        <v>-1289180.3072494324</v>
      </c>
      <c r="I11" s="2961">
        <f>E11+H11</f>
        <v>-549556.80724943243</v>
      </c>
      <c r="J11" s="1788">
        <f t="shared" si="2"/>
        <v>-0.20131285070213523</v>
      </c>
      <c r="K11" s="632"/>
      <c r="L11" s="632"/>
      <c r="M11" s="850"/>
      <c r="N11" s="851"/>
      <c r="O11" s="852"/>
      <c r="P11" s="851"/>
      <c r="Q11" s="853"/>
      <c r="S11" s="852"/>
      <c r="U11" s="240"/>
      <c r="V11" s="240"/>
      <c r="W11" s="240"/>
      <c r="X11" s="240"/>
      <c r="Y11" s="240"/>
      <c r="Z11" s="240"/>
      <c r="AA11" s="240"/>
    </row>
    <row r="12" spans="2:27" ht="17.25" customHeight="1">
      <c r="B12" s="1789" t="s">
        <v>94</v>
      </c>
      <c r="C12" s="3072">
        <v>1611078</v>
      </c>
      <c r="D12" s="1783">
        <f t="shared" si="0"/>
        <v>0.60423336453260346</v>
      </c>
      <c r="E12" s="1784">
        <v>1860001</v>
      </c>
      <c r="F12" s="1685"/>
      <c r="G12" s="1791">
        <v>959913.03179446934</v>
      </c>
      <c r="H12" s="1786">
        <f t="shared" si="1"/>
        <v>959913.03179446934</v>
      </c>
      <c r="I12" s="1787">
        <f>E12+H12</f>
        <v>2819914.0317944693</v>
      </c>
      <c r="J12" s="1788">
        <f t="shared" si="2"/>
        <v>1.0329868086191059</v>
      </c>
      <c r="K12" s="632"/>
      <c r="L12" s="632"/>
      <c r="M12" s="850"/>
      <c r="N12" s="853"/>
      <c r="O12" s="852"/>
      <c r="P12" s="851"/>
      <c r="Q12" s="853"/>
      <c r="R12" s="853"/>
      <c r="S12" s="852"/>
      <c r="T12" s="853"/>
      <c r="U12" s="240"/>
      <c r="V12" s="240"/>
      <c r="W12" s="240"/>
      <c r="X12" s="240"/>
      <c r="Y12" s="240"/>
      <c r="Z12" s="240"/>
      <c r="AA12" s="240"/>
    </row>
    <row r="13" spans="2:27" ht="17.25" customHeight="1">
      <c r="B13" s="1793" t="s">
        <v>93</v>
      </c>
      <c r="C13" s="3072">
        <v>483756.43300000002</v>
      </c>
      <c r="D13" s="1783">
        <f t="shared" si="0"/>
        <v>0.1814324179995512</v>
      </c>
      <c r="E13" s="1784">
        <v>500000</v>
      </c>
      <c r="F13" s="1685"/>
      <c r="G13" s="1792">
        <v>42408.516800000005</v>
      </c>
      <c r="H13" s="1786">
        <f t="shared" si="1"/>
        <v>42408.516800000005</v>
      </c>
      <c r="I13" s="1787">
        <f t="shared" ref="I13:I36" si="3">E13+H13</f>
        <v>542408.51679999998</v>
      </c>
      <c r="J13" s="1788">
        <f t="shared" si="2"/>
        <v>0.19869429933667299</v>
      </c>
      <c r="K13" s="632"/>
      <c r="L13" s="632"/>
      <c r="M13" s="850"/>
      <c r="N13" s="853"/>
      <c r="O13" s="852"/>
      <c r="P13" s="851"/>
      <c r="Q13" s="853"/>
      <c r="R13" s="853"/>
      <c r="S13" s="852"/>
      <c r="T13" s="853"/>
      <c r="U13" s="240"/>
      <c r="V13" s="240"/>
      <c r="W13" s="240"/>
      <c r="X13" s="240"/>
      <c r="Y13" s="240"/>
      <c r="Z13" s="240"/>
      <c r="AA13" s="240"/>
    </row>
    <row r="14" spans="2:27" ht="17.25" customHeight="1">
      <c r="B14" s="1789" t="s">
        <v>95</v>
      </c>
      <c r="C14" s="3072">
        <v>2071145.5382491772</v>
      </c>
      <c r="D14" s="1783">
        <f t="shared" si="0"/>
        <v>0.7767812837199628</v>
      </c>
      <c r="E14" s="1784">
        <v>675564.87</v>
      </c>
      <c r="F14" s="1685"/>
      <c r="G14" s="1792">
        <v>1417626.6788899999</v>
      </c>
      <c r="H14" s="1786">
        <f t="shared" si="1"/>
        <v>1417626.6788899999</v>
      </c>
      <c r="I14" s="1787">
        <f t="shared" si="3"/>
        <v>2093191.5488899997</v>
      </c>
      <c r="J14" s="1788">
        <f t="shared" si="2"/>
        <v>0.76677488516925107</v>
      </c>
      <c r="K14" s="632"/>
      <c r="L14" s="632"/>
      <c r="M14" s="850"/>
      <c r="N14" s="853"/>
      <c r="O14" s="852"/>
      <c r="P14" s="851"/>
      <c r="Q14" s="853"/>
      <c r="R14" s="853"/>
      <c r="S14" s="852"/>
      <c r="T14" s="853"/>
      <c r="U14" s="240"/>
      <c r="V14" s="240"/>
      <c r="W14" s="240"/>
      <c r="X14" s="240"/>
      <c r="Y14" s="240"/>
      <c r="Z14" s="240"/>
      <c r="AA14" s="240"/>
    </row>
    <row r="15" spans="2:27" ht="17.25" customHeight="1">
      <c r="B15" s="1738" t="s">
        <v>97</v>
      </c>
      <c r="C15" s="3072">
        <v>14468104</v>
      </c>
      <c r="D15" s="1783">
        <f t="shared" si="0"/>
        <v>5.4262494791236788</v>
      </c>
      <c r="E15" s="1784">
        <v>500200</v>
      </c>
      <c r="F15" s="1685"/>
      <c r="G15" s="1791">
        <v>16671350</v>
      </c>
      <c r="H15" s="1786">
        <f t="shared" si="1"/>
        <v>16671350</v>
      </c>
      <c r="I15" s="1787">
        <f t="shared" si="3"/>
        <v>17171550</v>
      </c>
      <c r="J15" s="1788">
        <f t="shared" si="2"/>
        <v>6.2902572325070958</v>
      </c>
      <c r="K15" s="632"/>
      <c r="L15" s="632"/>
      <c r="M15" s="850"/>
      <c r="N15" s="853"/>
      <c r="O15" s="852"/>
      <c r="P15" s="851"/>
      <c r="Q15" s="853"/>
      <c r="R15" s="853"/>
      <c r="S15" s="852"/>
      <c r="T15" s="853"/>
      <c r="U15" s="240"/>
      <c r="V15" s="240"/>
      <c r="W15" s="240"/>
      <c r="X15" s="240"/>
      <c r="Y15" s="240"/>
      <c r="Z15" s="240"/>
      <c r="AA15" s="240"/>
    </row>
    <row r="16" spans="2:27" ht="17.25" customHeight="1">
      <c r="B16" s="1738" t="s">
        <v>96</v>
      </c>
      <c r="C16" s="3072">
        <v>44194033</v>
      </c>
      <c r="D16" s="1783">
        <f t="shared" si="0"/>
        <v>16.574932592869438</v>
      </c>
      <c r="E16" s="1784">
        <v>500001</v>
      </c>
      <c r="F16" s="1784">
        <v>3456184.2829999998</v>
      </c>
      <c r="G16" s="1792">
        <v>45442825.810758621</v>
      </c>
      <c r="H16" s="1786">
        <f t="shared" si="1"/>
        <v>48899010.09375862</v>
      </c>
      <c r="I16" s="1787">
        <f t="shared" si="3"/>
        <v>49399011.09375862</v>
      </c>
      <c r="J16" s="1788">
        <f t="shared" si="2"/>
        <v>18.095773929040384</v>
      </c>
      <c r="K16" s="632"/>
      <c r="L16" s="632"/>
      <c r="M16" s="850"/>
      <c r="N16" s="853"/>
      <c r="O16" s="852"/>
      <c r="P16" s="851"/>
      <c r="Q16" s="853"/>
      <c r="R16" s="853"/>
      <c r="S16" s="852"/>
      <c r="T16" s="853"/>
      <c r="U16" s="240"/>
      <c r="V16" s="240"/>
      <c r="W16" s="240"/>
      <c r="X16" s="240"/>
      <c r="Y16" s="240"/>
      <c r="Z16" s="240"/>
      <c r="AA16" s="240"/>
    </row>
    <row r="17" spans="2:28" ht="17.25" customHeight="1">
      <c r="B17" s="1738" t="s">
        <v>205</v>
      </c>
      <c r="C17" s="3072">
        <v>3508435</v>
      </c>
      <c r="D17" s="1783">
        <f t="shared" si="0"/>
        <v>1.3158354122481621</v>
      </c>
      <c r="E17" s="1784">
        <v>1250000</v>
      </c>
      <c r="F17" s="1685"/>
      <c r="G17" s="1791">
        <v>3705926</v>
      </c>
      <c r="H17" s="1786">
        <f t="shared" si="1"/>
        <v>3705926</v>
      </c>
      <c r="I17" s="1787">
        <f t="shared" si="3"/>
        <v>4955926</v>
      </c>
      <c r="J17" s="1788">
        <f t="shared" si="2"/>
        <v>1.8154476075409594</v>
      </c>
      <c r="K17" s="632"/>
      <c r="L17" s="632"/>
      <c r="M17" s="850"/>
      <c r="N17" s="853"/>
      <c r="O17" s="852"/>
      <c r="P17" s="851"/>
      <c r="Q17" s="853"/>
      <c r="R17" s="853"/>
      <c r="S17" s="852"/>
      <c r="T17" s="853"/>
      <c r="U17" s="240"/>
      <c r="V17" s="240"/>
      <c r="W17" s="240"/>
      <c r="X17" s="240"/>
      <c r="Y17" s="240"/>
      <c r="Z17" s="240"/>
      <c r="AA17" s="240"/>
    </row>
    <row r="18" spans="2:28" ht="21.75" customHeight="1">
      <c r="B18" s="1738" t="s">
        <v>206</v>
      </c>
      <c r="C18" s="3072"/>
      <c r="D18" s="1783"/>
      <c r="E18" s="1784">
        <v>500000</v>
      </c>
      <c r="F18" s="1685"/>
      <c r="G18" s="1792">
        <v>48270.866593652237</v>
      </c>
      <c r="H18" s="1786">
        <f t="shared" si="1"/>
        <v>48270.866593652237</v>
      </c>
      <c r="I18" s="1787">
        <f t="shared" si="3"/>
        <v>548270.86659365229</v>
      </c>
      <c r="J18" s="1788">
        <f t="shared" si="2"/>
        <v>0.20084178679057244</v>
      </c>
      <c r="K18" s="632"/>
      <c r="L18" s="632"/>
      <c r="M18" s="850"/>
      <c r="N18" s="853"/>
      <c r="O18" s="852"/>
      <c r="P18" s="851"/>
      <c r="Q18" s="853"/>
      <c r="R18" s="853"/>
      <c r="S18" s="852"/>
      <c r="T18" s="853"/>
      <c r="U18" s="240"/>
      <c r="V18" s="240"/>
      <c r="W18" s="240"/>
      <c r="X18" s="240"/>
      <c r="Y18" s="240"/>
      <c r="Z18" s="240"/>
      <c r="AA18" s="240"/>
    </row>
    <row r="19" spans="2:28" ht="17.25" customHeight="1">
      <c r="B19" s="1738" t="s">
        <v>101</v>
      </c>
      <c r="C19" s="3072">
        <v>4619660</v>
      </c>
      <c r="D19" s="1783">
        <f t="shared" ref="D19:D36" si="4">C19/$C$37*100</f>
        <v>1.7325993557088402</v>
      </c>
      <c r="E19" s="1784">
        <v>2198316</v>
      </c>
      <c r="F19" s="1685"/>
      <c r="G19" s="1791">
        <v>2847456</v>
      </c>
      <c r="H19" s="1786">
        <f t="shared" si="1"/>
        <v>2847456</v>
      </c>
      <c r="I19" s="1787">
        <f t="shared" si="3"/>
        <v>5045772</v>
      </c>
      <c r="J19" s="1788">
        <f t="shared" si="2"/>
        <v>1.8483598636454948</v>
      </c>
      <c r="K19" s="632"/>
      <c r="L19" s="632"/>
      <c r="M19" s="850"/>
      <c r="N19" s="853"/>
      <c r="O19" s="852"/>
      <c r="P19" s="851"/>
      <c r="Q19" s="853"/>
      <c r="R19" s="853"/>
      <c r="S19" s="852"/>
      <c r="T19" s="853"/>
      <c r="U19" s="240"/>
      <c r="V19" s="240"/>
      <c r="W19" s="240"/>
      <c r="X19" s="240"/>
      <c r="Y19" s="240"/>
      <c r="Z19" s="240"/>
      <c r="AA19" s="240"/>
    </row>
    <row r="20" spans="2:28" ht="17.25" customHeight="1">
      <c r="B20" s="1738" t="s">
        <v>100</v>
      </c>
      <c r="C20" s="3072">
        <v>1153382.143306647</v>
      </c>
      <c r="D20" s="1783">
        <f t="shared" si="4"/>
        <v>0.43257494239385103</v>
      </c>
      <c r="E20" s="1784">
        <v>544260.04</v>
      </c>
      <c r="F20" s="1685"/>
      <c r="G20" s="1792">
        <v>752259.63966610539</v>
      </c>
      <c r="H20" s="1786">
        <f t="shared" si="1"/>
        <v>752259.63966610539</v>
      </c>
      <c r="I20" s="1787">
        <f t="shared" si="3"/>
        <v>1296519.6796661054</v>
      </c>
      <c r="J20" s="1788">
        <f t="shared" si="2"/>
        <v>0.47493920421321917</v>
      </c>
      <c r="K20" s="632"/>
      <c r="L20" s="632"/>
      <c r="M20" s="850"/>
      <c r="N20" s="853"/>
      <c r="O20" s="852"/>
      <c r="P20" s="851"/>
      <c r="Q20" s="853"/>
      <c r="R20" s="853"/>
      <c r="S20" s="852"/>
      <c r="T20" s="853"/>
      <c r="U20" s="240"/>
      <c r="V20" s="240"/>
      <c r="W20" s="240"/>
      <c r="X20" s="240"/>
      <c r="Y20" s="240"/>
      <c r="Z20" s="240"/>
      <c r="AA20" s="240"/>
    </row>
    <row r="21" spans="2:28" ht="17.25" customHeight="1">
      <c r="B21" s="1794" t="s">
        <v>102</v>
      </c>
      <c r="C21" s="3072">
        <v>6877412</v>
      </c>
      <c r="D21" s="1783">
        <f t="shared" si="4"/>
        <v>2.5793672261907252</v>
      </c>
      <c r="E21" s="1784">
        <v>3131949</v>
      </c>
      <c r="F21" s="1685"/>
      <c r="G21" s="1791">
        <v>4609688</v>
      </c>
      <c r="H21" s="1786">
        <f t="shared" si="1"/>
        <v>4609688</v>
      </c>
      <c r="I21" s="1787">
        <f t="shared" si="3"/>
        <v>7741637</v>
      </c>
      <c r="J21" s="1788">
        <f t="shared" si="2"/>
        <v>2.835905211276474</v>
      </c>
      <c r="K21" s="632"/>
      <c r="L21" s="632"/>
      <c r="M21" s="850"/>
      <c r="N21" s="853"/>
      <c r="O21" s="852"/>
      <c r="P21" s="851"/>
      <c r="Q21" s="853"/>
      <c r="R21" s="853"/>
      <c r="S21" s="852"/>
      <c r="T21" s="853"/>
      <c r="U21" s="240"/>
      <c r="V21" s="240"/>
      <c r="W21" s="240"/>
      <c r="X21" s="240"/>
      <c r="Y21" s="240"/>
      <c r="Z21" s="240"/>
      <c r="AA21" s="240"/>
    </row>
    <row r="22" spans="2:28" ht="17.25" customHeight="1">
      <c r="B22" s="1738" t="s">
        <v>104</v>
      </c>
      <c r="C22" s="3072">
        <v>7032385</v>
      </c>
      <c r="D22" s="1783">
        <f t="shared" si="4"/>
        <v>2.6374897113849314</v>
      </c>
      <c r="E22" s="1784">
        <v>1150000</v>
      </c>
      <c r="F22" s="1685"/>
      <c r="G22" s="1791">
        <v>1104988</v>
      </c>
      <c r="H22" s="1786">
        <f t="shared" si="1"/>
        <v>1104988</v>
      </c>
      <c r="I22" s="1787">
        <f t="shared" si="3"/>
        <v>2254988</v>
      </c>
      <c r="J22" s="1788">
        <f t="shared" si="2"/>
        <v>0.82604392592495801</v>
      </c>
      <c r="K22" s="632"/>
      <c r="L22" s="632"/>
      <c r="M22" s="850"/>
      <c r="N22" s="853"/>
      <c r="O22" s="852"/>
      <c r="P22" s="851"/>
      <c r="Q22" s="853"/>
      <c r="R22" s="853"/>
      <c r="S22" s="852"/>
      <c r="T22" s="853"/>
      <c r="U22" s="240"/>
      <c r="V22" s="240"/>
      <c r="W22" s="240"/>
      <c r="X22" s="240"/>
      <c r="Y22" s="240"/>
      <c r="Z22" s="240"/>
      <c r="AA22" s="240"/>
    </row>
    <row r="23" spans="2:28" ht="17.25" customHeight="1">
      <c r="B23" s="1738" t="s">
        <v>103</v>
      </c>
      <c r="C23" s="3072">
        <v>2240623</v>
      </c>
      <c r="D23" s="1783">
        <f t="shared" si="4"/>
        <v>0.84034365433525593</v>
      </c>
      <c r="E23" s="1784">
        <v>1171875</v>
      </c>
      <c r="F23" s="1784">
        <v>381156</v>
      </c>
      <c r="G23" s="1792">
        <v>5140375</v>
      </c>
      <c r="H23" s="1786">
        <f t="shared" si="1"/>
        <v>5521531</v>
      </c>
      <c r="I23" s="1787">
        <f t="shared" si="3"/>
        <v>6693406</v>
      </c>
      <c r="J23" s="1788">
        <f t="shared" si="2"/>
        <v>2.4519187552437836</v>
      </c>
      <c r="K23" s="632"/>
      <c r="L23" s="632"/>
      <c r="M23" s="850"/>
      <c r="N23" s="853"/>
      <c r="O23" s="852"/>
      <c r="P23" s="851"/>
      <c r="Q23" s="853"/>
      <c r="R23" s="853"/>
      <c r="S23" s="852"/>
      <c r="T23" s="853"/>
      <c r="U23" s="240"/>
      <c r="V23" s="240"/>
      <c r="W23" s="240"/>
      <c r="X23" s="240"/>
      <c r="Y23" s="240"/>
      <c r="Z23" s="240"/>
      <c r="AA23" s="240"/>
    </row>
    <row r="24" spans="2:28" ht="17.25" customHeight="1">
      <c r="B24" s="1738" t="s">
        <v>105</v>
      </c>
      <c r="C24" s="3072">
        <v>10544931.79005</v>
      </c>
      <c r="D24" s="1783">
        <f t="shared" si="4"/>
        <v>3.9548672468177957</v>
      </c>
      <c r="E24" s="1784">
        <v>4853751.6210000003</v>
      </c>
      <c r="F24" s="1784">
        <v>1795828.6910000001</v>
      </c>
      <c r="G24" s="1792">
        <v>3107768.4507999998</v>
      </c>
      <c r="H24" s="1786">
        <f t="shared" si="1"/>
        <v>4903597.1417999994</v>
      </c>
      <c r="I24" s="1787">
        <f t="shared" si="3"/>
        <v>9757348.7628000006</v>
      </c>
      <c r="J24" s="1788">
        <f t="shared" si="2"/>
        <v>3.5742978138430646</v>
      </c>
      <c r="K24" s="632"/>
      <c r="L24" s="632"/>
      <c r="M24" s="850"/>
      <c r="N24" s="853"/>
      <c r="O24" s="852"/>
      <c r="P24" s="851"/>
      <c r="Q24" s="853"/>
      <c r="R24" s="853"/>
      <c r="S24" s="852"/>
      <c r="T24" s="853"/>
      <c r="U24" s="240"/>
      <c r="V24" s="240"/>
      <c r="W24" s="240"/>
      <c r="X24" s="240"/>
      <c r="Y24" s="240"/>
      <c r="Z24" s="240"/>
      <c r="AA24" s="240"/>
    </row>
    <row r="25" spans="2:28" ht="17.25" customHeight="1">
      <c r="B25" s="1738" t="s">
        <v>106</v>
      </c>
      <c r="C25" s="3072">
        <v>330368.01587176829</v>
      </c>
      <c r="D25" s="1783">
        <f t="shared" si="4"/>
        <v>0.12390422919570568</v>
      </c>
      <c r="E25" s="1784">
        <v>870000</v>
      </c>
      <c r="F25" s="1685"/>
      <c r="G25" s="1792">
        <v>-584815.83904049895</v>
      </c>
      <c r="H25" s="1786">
        <f t="shared" si="1"/>
        <v>-584815.83904049895</v>
      </c>
      <c r="I25" s="1787">
        <f t="shared" si="3"/>
        <v>285184.16095950105</v>
      </c>
      <c r="J25" s="1788">
        <f t="shared" si="2"/>
        <v>0.10446824725036293</v>
      </c>
      <c r="K25" s="632"/>
      <c r="L25" s="632"/>
      <c r="M25" s="850"/>
      <c r="N25" s="853"/>
      <c r="O25" s="852"/>
      <c r="P25" s="851"/>
      <c r="Q25" s="853"/>
      <c r="R25" s="853"/>
      <c r="S25" s="852"/>
      <c r="T25" s="853"/>
      <c r="U25" s="240"/>
      <c r="V25" s="240"/>
      <c r="W25" s="240"/>
      <c r="X25" s="240"/>
      <c r="Y25" s="240"/>
      <c r="Z25" s="240"/>
      <c r="AA25" s="240"/>
    </row>
    <row r="26" spans="2:28" ht="17.25" customHeight="1">
      <c r="B26" s="1738" t="s">
        <v>108</v>
      </c>
      <c r="C26" s="3072">
        <v>4004018</v>
      </c>
      <c r="D26" s="1783">
        <f t="shared" si="4"/>
        <v>1.5017033736349858</v>
      </c>
      <c r="E26" s="1784">
        <v>800000</v>
      </c>
      <c r="F26" s="1685"/>
      <c r="G26" s="1791">
        <v>2812902</v>
      </c>
      <c r="H26" s="1786">
        <f t="shared" si="1"/>
        <v>2812902</v>
      </c>
      <c r="I26" s="1787">
        <f t="shared" si="3"/>
        <v>3612902</v>
      </c>
      <c r="J26" s="1788">
        <f t="shared" si="2"/>
        <v>1.3234730083096373</v>
      </c>
      <c r="K26" s="632"/>
      <c r="L26" s="632"/>
      <c r="M26" s="850"/>
      <c r="N26" s="853"/>
      <c r="O26" s="852"/>
      <c r="P26" s="851"/>
      <c r="Q26" s="853"/>
      <c r="R26" s="853"/>
      <c r="S26" s="852"/>
      <c r="T26" s="853"/>
      <c r="U26" s="240"/>
      <c r="V26" s="240"/>
      <c r="W26" s="240"/>
      <c r="X26" s="240"/>
      <c r="Y26" s="240"/>
      <c r="Z26" s="240"/>
      <c r="AA26" s="240"/>
    </row>
    <row r="27" spans="2:28" ht="21" customHeight="1">
      <c r="B27" s="1738" t="s">
        <v>107</v>
      </c>
      <c r="C27" s="3072">
        <v>2401816.5434599998</v>
      </c>
      <c r="D27" s="1783">
        <f t="shared" si="4"/>
        <v>0.90079914879658451</v>
      </c>
      <c r="E27" s="1784">
        <v>1350000</v>
      </c>
      <c r="F27" s="1717">
        <v>256134.38</v>
      </c>
      <c r="G27" s="1795">
        <v>1484575.3382699999</v>
      </c>
      <c r="H27" s="1786">
        <f t="shared" si="1"/>
        <v>1740709.7182700001</v>
      </c>
      <c r="I27" s="1787">
        <f t="shared" si="3"/>
        <v>3090709.7182700001</v>
      </c>
      <c r="J27" s="1788">
        <f t="shared" si="2"/>
        <v>1.1321842908140405</v>
      </c>
      <c r="K27" s="632"/>
      <c r="L27" s="632"/>
      <c r="M27" s="850"/>
      <c r="N27" s="853"/>
      <c r="O27" s="852"/>
      <c r="P27" s="851"/>
      <c r="Q27" s="853"/>
      <c r="R27" s="853"/>
      <c r="S27" s="852"/>
      <c r="T27" s="853"/>
      <c r="U27" s="240"/>
      <c r="V27" s="240"/>
      <c r="W27" s="240"/>
      <c r="X27" s="240"/>
      <c r="Y27" s="240"/>
      <c r="Z27" s="854"/>
      <c r="AA27" s="854"/>
    </row>
    <row r="28" spans="2:28" ht="17.25" customHeight="1">
      <c r="B28" s="1738" t="s">
        <v>109</v>
      </c>
      <c r="C28" s="3072">
        <v>919260.08529999992</v>
      </c>
      <c r="D28" s="1783">
        <f t="shared" si="4"/>
        <v>0.34476767370750949</v>
      </c>
      <c r="E28" s="1784">
        <v>2280022</v>
      </c>
      <c r="F28" s="1685"/>
      <c r="G28" s="1796">
        <v>-1337055.7056800001</v>
      </c>
      <c r="H28" s="1786">
        <f>F28+G28</f>
        <v>-1337055.7056800001</v>
      </c>
      <c r="I28" s="1787">
        <f>E28+H28</f>
        <v>942966.29431999987</v>
      </c>
      <c r="J28" s="1788">
        <f t="shared" si="2"/>
        <v>0.34542604207871708</v>
      </c>
      <c r="K28" s="682"/>
      <c r="L28" s="632"/>
      <c r="M28" s="850"/>
      <c r="N28" s="853"/>
      <c r="O28" s="852"/>
      <c r="P28" s="851"/>
      <c r="Q28" s="853"/>
      <c r="R28" s="853"/>
      <c r="S28" s="852"/>
      <c r="T28" s="853"/>
      <c r="U28" s="240"/>
      <c r="V28" s="240"/>
      <c r="W28" s="682"/>
      <c r="X28" s="682"/>
      <c r="Y28" s="682"/>
      <c r="Z28" s="682"/>
      <c r="AB28" s="632"/>
    </row>
    <row r="29" spans="2:28" ht="17.25" customHeight="1">
      <c r="B29" s="1738" t="s">
        <v>110</v>
      </c>
      <c r="C29" s="3072">
        <v>17382037</v>
      </c>
      <c r="D29" s="1783">
        <f t="shared" si="4"/>
        <v>6.5191174474111131</v>
      </c>
      <c r="E29" s="1685"/>
      <c r="F29" s="1685"/>
      <c r="G29" s="1797">
        <v>14687133</v>
      </c>
      <c r="H29" s="1786">
        <f t="shared" si="1"/>
        <v>14687133</v>
      </c>
      <c r="I29" s="1787">
        <f t="shared" si="3"/>
        <v>14687133</v>
      </c>
      <c r="J29" s="1788">
        <f t="shared" si="2"/>
        <v>5.3801692088392512</v>
      </c>
      <c r="K29" s="632"/>
      <c r="L29" s="632"/>
      <c r="M29" s="850"/>
      <c r="N29" s="853"/>
      <c r="O29" s="852"/>
      <c r="P29" s="851"/>
      <c r="Q29" s="853"/>
      <c r="R29" s="853"/>
      <c r="S29" s="852"/>
      <c r="T29" s="853"/>
      <c r="U29" s="240"/>
      <c r="V29" s="240"/>
      <c r="W29" s="240"/>
      <c r="X29" s="240"/>
      <c r="Y29" s="240"/>
      <c r="Z29" s="240"/>
    </row>
    <row r="30" spans="2:28" ht="17.25" customHeight="1">
      <c r="B30" s="1738" t="s">
        <v>111</v>
      </c>
      <c r="C30" s="3072">
        <v>1154137</v>
      </c>
      <c r="D30" s="1783">
        <f t="shared" si="4"/>
        <v>0.43285805072228983</v>
      </c>
      <c r="E30" s="1784">
        <v>825000</v>
      </c>
      <c r="F30" s="1685"/>
      <c r="G30" s="1790">
        <v>486722</v>
      </c>
      <c r="H30" s="1786">
        <f t="shared" si="1"/>
        <v>486722</v>
      </c>
      <c r="I30" s="1787">
        <f t="shared" si="3"/>
        <v>1311722</v>
      </c>
      <c r="J30" s="1788">
        <f t="shared" si="2"/>
        <v>0.48050809609724643</v>
      </c>
      <c r="K30" s="632"/>
      <c r="L30" s="632"/>
      <c r="M30" s="850"/>
      <c r="N30" s="853"/>
      <c r="O30" s="852"/>
      <c r="P30" s="851"/>
      <c r="Q30" s="853"/>
      <c r="R30" s="853"/>
      <c r="S30" s="852"/>
      <c r="T30" s="853"/>
      <c r="U30" s="240"/>
      <c r="V30" s="240"/>
      <c r="W30" s="240"/>
      <c r="X30" s="240"/>
      <c r="Y30" s="240"/>
      <c r="Z30" s="240"/>
      <c r="AA30" s="240"/>
      <c r="AB30" s="852"/>
    </row>
    <row r="31" spans="2:28" ht="17.25" customHeight="1">
      <c r="B31" s="1738" t="s">
        <v>112</v>
      </c>
      <c r="C31" s="3072">
        <v>4993096</v>
      </c>
      <c r="D31" s="1783">
        <f t="shared" si="4"/>
        <v>1.8726561938740918</v>
      </c>
      <c r="E31" s="1784">
        <v>1350000</v>
      </c>
      <c r="F31" s="1685"/>
      <c r="G31" s="1791">
        <v>3301512.5901100002</v>
      </c>
      <c r="H31" s="1786">
        <f t="shared" si="1"/>
        <v>3301512.5901100002</v>
      </c>
      <c r="I31" s="1787">
        <f t="shared" si="3"/>
        <v>4651512.5901100002</v>
      </c>
      <c r="J31" s="1788">
        <f t="shared" si="2"/>
        <v>1.703935329777291</v>
      </c>
      <c r="K31" s="632"/>
      <c r="L31" s="632"/>
      <c r="M31" s="850"/>
      <c r="N31" s="853"/>
      <c r="O31" s="852"/>
      <c r="P31" s="851"/>
      <c r="Q31" s="853"/>
      <c r="R31" s="853"/>
      <c r="S31" s="852"/>
      <c r="T31" s="853"/>
      <c r="U31" s="240"/>
      <c r="V31" s="240"/>
      <c r="W31" s="240"/>
      <c r="X31" s="240"/>
      <c r="Y31" s="240"/>
      <c r="Z31" s="240"/>
      <c r="AA31" s="240"/>
    </row>
    <row r="32" spans="2:28" ht="17.25" customHeight="1">
      <c r="B32" s="1738" t="s">
        <v>207</v>
      </c>
      <c r="C32" s="3072">
        <v>740551</v>
      </c>
      <c r="D32" s="1783">
        <f t="shared" si="4"/>
        <v>0.27774299092780363</v>
      </c>
      <c r="E32" s="1784">
        <v>508996</v>
      </c>
      <c r="F32" s="1685"/>
      <c r="G32" s="1790">
        <v>192940</v>
      </c>
      <c r="H32" s="1786">
        <f t="shared" si="1"/>
        <v>192940</v>
      </c>
      <c r="I32" s="1787">
        <f t="shared" si="3"/>
        <v>701936</v>
      </c>
      <c r="J32" s="1788">
        <f t="shared" si="2"/>
        <v>0.25713217506614727</v>
      </c>
      <c r="K32" s="632"/>
      <c r="L32" s="632"/>
      <c r="M32" s="850"/>
      <c r="N32" s="853"/>
      <c r="O32" s="852"/>
      <c r="P32" s="851"/>
      <c r="Q32" s="853"/>
      <c r="R32" s="853"/>
      <c r="S32" s="852"/>
      <c r="T32" s="853"/>
      <c r="U32" s="240"/>
      <c r="V32" s="240"/>
      <c r="W32" s="240"/>
      <c r="X32" s="240"/>
      <c r="Y32" s="240"/>
      <c r="Z32" s="240"/>
      <c r="AA32" s="240"/>
    </row>
    <row r="33" spans="2:27" ht="21.75" customHeight="1">
      <c r="B33" s="1738" t="s">
        <v>113</v>
      </c>
      <c r="C33" s="3072">
        <v>1196343.9829350221</v>
      </c>
      <c r="D33" s="1783">
        <f t="shared" si="4"/>
        <v>0.44868774196355732</v>
      </c>
      <c r="E33" s="1784">
        <v>1045345.56</v>
      </c>
      <c r="F33" s="1685"/>
      <c r="G33" s="1792">
        <v>239334.43569371037</v>
      </c>
      <c r="H33" s="1786">
        <f>F33+G33</f>
        <v>239334.43569371037</v>
      </c>
      <c r="I33" s="1787">
        <f t="shared" si="3"/>
        <v>1284679.9956937104</v>
      </c>
      <c r="J33" s="1788">
        <f t="shared" si="2"/>
        <v>0.47060210839263472</v>
      </c>
      <c r="K33" s="632"/>
      <c r="L33" s="632"/>
      <c r="M33" s="850"/>
      <c r="N33" s="853"/>
      <c r="O33" s="852"/>
      <c r="P33" s="851"/>
      <c r="Q33" s="853"/>
      <c r="R33" s="853"/>
      <c r="S33" s="852"/>
      <c r="T33" s="853"/>
      <c r="U33" s="240"/>
      <c r="V33" s="240"/>
      <c r="W33" s="240"/>
      <c r="X33" s="240"/>
      <c r="Y33" s="240"/>
      <c r="Z33" s="240"/>
      <c r="AA33" s="240"/>
    </row>
    <row r="34" spans="2:27" ht="17.25" customHeight="1">
      <c r="B34" s="1738" t="s">
        <v>115</v>
      </c>
      <c r="C34" s="3072">
        <v>75294936.411788672</v>
      </c>
      <c r="D34" s="1783">
        <f t="shared" si="4"/>
        <v>28.239298631328531</v>
      </c>
      <c r="E34" s="1784">
        <v>6000000</v>
      </c>
      <c r="F34" s="1784">
        <v>98236.63</v>
      </c>
      <c r="G34" s="1791">
        <v>70514451.35878098</v>
      </c>
      <c r="H34" s="1786">
        <f>F34+G34</f>
        <v>70612687.988780975</v>
      </c>
      <c r="I34" s="1787">
        <f>E34+H34</f>
        <v>76612687.988780975</v>
      </c>
      <c r="J34" s="1788">
        <f t="shared" si="2"/>
        <v>28.06464848678419</v>
      </c>
      <c r="K34" s="632"/>
      <c r="L34" s="632"/>
      <c r="M34" s="850"/>
      <c r="N34" s="853"/>
      <c r="O34" s="852"/>
      <c r="P34" s="851"/>
      <c r="Q34" s="853"/>
      <c r="R34" s="853"/>
      <c r="S34" s="852"/>
      <c r="T34" s="853"/>
      <c r="U34" s="240"/>
      <c r="V34" s="240"/>
      <c r="W34" s="240"/>
      <c r="X34" s="240"/>
      <c r="Y34" s="240"/>
      <c r="Z34" s="240"/>
      <c r="AA34" s="240"/>
    </row>
    <row r="35" spans="2:27" ht="17.25" customHeight="1">
      <c r="B35" s="1798" t="s">
        <v>208</v>
      </c>
      <c r="C35" s="3072">
        <v>10588430</v>
      </c>
      <c r="D35" s="1783">
        <f t="shared" si="4"/>
        <v>3.9711812115974237</v>
      </c>
      <c r="E35" s="1784">
        <v>1062500</v>
      </c>
      <c r="F35" s="1784">
        <v>798004</v>
      </c>
      <c r="G35" s="1799">
        <v>9012420</v>
      </c>
      <c r="H35" s="1786">
        <f t="shared" si="1"/>
        <v>9810424</v>
      </c>
      <c r="I35" s="1787">
        <f t="shared" si="3"/>
        <v>10872924</v>
      </c>
      <c r="J35" s="1788">
        <f t="shared" si="2"/>
        <v>3.9829537129437931</v>
      </c>
      <c r="K35" s="632"/>
      <c r="L35" s="632"/>
      <c r="M35" s="850"/>
      <c r="N35" s="853"/>
      <c r="O35" s="852"/>
      <c r="P35" s="851"/>
      <c r="Q35" s="853"/>
      <c r="R35" s="853"/>
      <c r="S35" s="852"/>
      <c r="T35" s="853"/>
      <c r="U35" s="240"/>
      <c r="V35" s="240"/>
      <c r="W35" s="240"/>
      <c r="X35" s="240"/>
      <c r="Y35" s="240"/>
      <c r="Z35" s="240"/>
      <c r="AA35" s="240"/>
    </row>
    <row r="36" spans="2:27" ht="17.25" customHeight="1">
      <c r="B36" s="1738" t="s">
        <v>117</v>
      </c>
      <c r="C36" s="3072">
        <v>15455093</v>
      </c>
      <c r="D36" s="1783">
        <f t="shared" si="4"/>
        <v>5.7964188217791364</v>
      </c>
      <c r="E36" s="1784">
        <v>1000000</v>
      </c>
      <c r="F36" s="1784">
        <v>3381934</v>
      </c>
      <c r="G36" s="1799">
        <v>9831853</v>
      </c>
      <c r="H36" s="1786">
        <f t="shared" si="1"/>
        <v>13213787</v>
      </c>
      <c r="I36" s="1787">
        <f t="shared" si="3"/>
        <v>14213787</v>
      </c>
      <c r="J36" s="1788">
        <f t="shared" si="2"/>
        <v>5.2067737902557045</v>
      </c>
      <c r="K36" s="632"/>
      <c r="L36" s="632"/>
      <c r="M36" s="850"/>
      <c r="N36" s="853"/>
      <c r="O36" s="852"/>
      <c r="P36" s="851"/>
      <c r="Q36" s="853"/>
      <c r="R36" s="853"/>
      <c r="S36" s="852"/>
      <c r="T36" s="853"/>
      <c r="U36" s="240"/>
      <c r="V36" s="240"/>
      <c r="W36" s="240"/>
      <c r="X36" s="240"/>
      <c r="Y36" s="240"/>
      <c r="Z36" s="240"/>
      <c r="AA36" s="240"/>
    </row>
    <row r="37" spans="2:27" ht="17.25" customHeight="1">
      <c r="B37" s="1754" t="s">
        <v>118</v>
      </c>
      <c r="C37" s="1800">
        <f t="shared" ref="C37:J37" si="5">SUM(C9:C36)</f>
        <v>266631751.0033938</v>
      </c>
      <c r="D37" s="1800">
        <f t="shared" si="5"/>
        <v>100.00000000000003</v>
      </c>
      <c r="E37" s="1801">
        <f t="shared" si="5"/>
        <v>48489299.188999996</v>
      </c>
      <c r="F37" s="1801">
        <f t="shared" si="5"/>
        <v>16248325.984000001</v>
      </c>
      <c r="G37" s="1801">
        <f t="shared" si="5"/>
        <v>208248826.18005487</v>
      </c>
      <c r="H37" s="1801">
        <f t="shared" si="5"/>
        <v>224497152.16405487</v>
      </c>
      <c r="I37" s="1801">
        <f t="shared" si="5"/>
        <v>272986451.35305488</v>
      </c>
      <c r="J37" s="1801">
        <f t="shared" si="5"/>
        <v>99.999999999999972</v>
      </c>
      <c r="K37" s="634"/>
      <c r="L37" s="632"/>
      <c r="M37" s="850"/>
      <c r="N37" s="853"/>
      <c r="O37" s="852"/>
      <c r="P37" s="851"/>
      <c r="Q37" s="853"/>
      <c r="R37" s="853"/>
      <c r="S37" s="852"/>
      <c r="T37" s="853"/>
      <c r="U37" s="240"/>
      <c r="V37" s="240"/>
      <c r="W37" s="240"/>
      <c r="X37" s="240"/>
      <c r="Y37" s="240"/>
      <c r="Z37" s="240"/>
      <c r="AA37" s="240"/>
    </row>
    <row r="38" spans="2:27" ht="17.25" customHeight="1">
      <c r="L38" s="852"/>
    </row>
    <row r="39" spans="2:27" ht="16.899999999999999" customHeight="1">
      <c r="B39" s="3248" t="s">
        <v>209</v>
      </c>
      <c r="C39" s="3248"/>
      <c r="D39" s="3248"/>
      <c r="E39" s="3248"/>
      <c r="F39" s="3248"/>
      <c r="J39" s="2">
        <v>6</v>
      </c>
    </row>
    <row r="40" spans="2:27" ht="16.899999999999999" customHeight="1"/>
    <row r="41" spans="2:27" ht="16.149999999999999" customHeight="1">
      <c r="B41" s="489"/>
    </row>
    <row r="42" spans="2:27" ht="15" customHeight="1">
      <c r="B42" s="450"/>
    </row>
    <row r="43" spans="2:27">
      <c r="B43" s="450"/>
      <c r="C43" s="381"/>
      <c r="I43" s="381"/>
    </row>
    <row r="44" spans="2:27">
      <c r="B44" s="450"/>
      <c r="I44" s="240"/>
    </row>
    <row r="45" spans="2:27" ht="17.25" customHeight="1">
      <c r="C45" s="3073"/>
      <c r="D45" s="1099"/>
      <c r="E45" s="1100"/>
      <c r="F45" s="851"/>
      <c r="G45" s="291"/>
      <c r="I45" s="240"/>
    </row>
    <row r="46" spans="2:27" ht="14.45">
      <c r="C46" s="1098"/>
      <c r="D46" s="157"/>
      <c r="E46" s="1100"/>
      <c r="F46" s="851"/>
      <c r="G46" s="1664"/>
      <c r="H46" s="384"/>
      <c r="I46" s="384"/>
    </row>
    <row r="47" spans="2:27" ht="14.45" customHeight="1">
      <c r="C47" s="1098"/>
      <c r="D47" s="157"/>
      <c r="E47" s="1100"/>
      <c r="F47" s="384"/>
      <c r="G47" s="1101"/>
    </row>
    <row r="48" spans="2:27" ht="14.45">
      <c r="C48" s="1098"/>
      <c r="D48" s="157"/>
      <c r="E48" s="1100"/>
      <c r="G48" s="1101"/>
    </row>
    <row r="49" spans="7:7" ht="15" customHeight="1">
      <c r="G49" s="1101"/>
    </row>
    <row r="50" spans="7:7">
      <c r="G50" s="851"/>
    </row>
    <row r="52" spans="7:7">
      <c r="G52" s="240"/>
    </row>
    <row r="72" spans="2:2">
      <c r="B72" s="1"/>
    </row>
  </sheetData>
  <mergeCells count="12">
    <mergeCell ref="B39:F39"/>
    <mergeCell ref="B4:B8"/>
    <mergeCell ref="C4:D4"/>
    <mergeCell ref="D5:D8"/>
    <mergeCell ref="C5:C7"/>
    <mergeCell ref="E4:J4"/>
    <mergeCell ref="E5:E7"/>
    <mergeCell ref="F5:F7"/>
    <mergeCell ref="G5:G7"/>
    <mergeCell ref="H5:H7"/>
    <mergeCell ref="I5:I7"/>
    <mergeCell ref="J5:J8"/>
  </mergeCells>
  <pageMargins left="0.7" right="0.7" top="0.75" bottom="0.75" header="0.3" footer="0.3"/>
  <pageSetup paperSize="9" scale="59" orientation="landscape"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56">
    <tabColor rgb="FF00B050"/>
  </sheetPr>
  <dimension ref="A1:M51"/>
  <sheetViews>
    <sheetView workbookViewId="0">
      <pane xSplit="2" ySplit="9" topLeftCell="D10" activePane="bottomRight" state="frozen"/>
      <selection pane="bottomRight" activeCell="D21" sqref="D21"/>
      <selection pane="bottomLeft" activeCell="A10" sqref="A10"/>
      <selection pane="topRight" activeCell="C1" sqref="C1"/>
    </sheetView>
  </sheetViews>
  <sheetFormatPr defaultRowHeight="14.45"/>
  <cols>
    <col min="1" max="1" width="3.5703125" customWidth="1"/>
    <col min="2" max="2" width="9.140625" hidden="1" customWidth="1"/>
    <col min="3" max="3" width="11.5703125" customWidth="1"/>
    <col min="4" max="4" width="19.85546875" customWidth="1"/>
    <col min="5" max="5" width="7.28515625" customWidth="1"/>
    <col min="6" max="6" width="13.5703125" customWidth="1"/>
    <col min="7" max="7" width="12.28515625" customWidth="1"/>
    <col min="8" max="8" width="13.7109375" customWidth="1"/>
    <col min="9" max="9" width="13.85546875" bestFit="1" customWidth="1"/>
    <col min="10" max="10" width="17.85546875" customWidth="1"/>
    <col min="11" max="11" width="7.42578125" customWidth="1"/>
    <col min="12" max="12" width="11.28515625" bestFit="1" customWidth="1"/>
    <col min="13" max="13" width="11.5703125" bestFit="1" customWidth="1"/>
  </cols>
  <sheetData>
    <row r="1" spans="1:12">
      <c r="B1" s="3"/>
      <c r="C1" s="3"/>
      <c r="D1" s="40"/>
      <c r="F1" s="41"/>
      <c r="H1" s="41"/>
      <c r="I1" s="202"/>
    </row>
    <row r="2" spans="1:12">
      <c r="A2" s="220"/>
      <c r="B2" s="201"/>
      <c r="C2" s="201"/>
      <c r="D2" s="241"/>
      <c r="E2" s="241"/>
      <c r="F2" s="242"/>
      <c r="G2" s="242"/>
      <c r="H2" s="242"/>
      <c r="I2" s="242"/>
      <c r="J2" s="242"/>
      <c r="K2" s="3"/>
    </row>
    <row r="3" spans="1:12">
      <c r="G3" s="242"/>
      <c r="H3" s="242"/>
      <c r="I3" s="242"/>
      <c r="J3" s="242"/>
      <c r="K3" s="3"/>
    </row>
    <row r="4" spans="1:12">
      <c r="B4" s="42" t="s">
        <v>31</v>
      </c>
      <c r="C4" s="42" t="s">
        <v>31</v>
      </c>
      <c r="D4" s="241"/>
      <c r="E4" s="241"/>
      <c r="F4" s="242"/>
      <c r="G4" s="242"/>
      <c r="H4" s="242"/>
      <c r="I4" s="242"/>
      <c r="J4" s="242"/>
      <c r="K4" s="3"/>
    </row>
    <row r="5" spans="1:12">
      <c r="B5" s="3263" t="s">
        <v>84</v>
      </c>
      <c r="C5" s="3263" t="s">
        <v>84</v>
      </c>
      <c r="D5" s="3259" t="s">
        <v>210</v>
      </c>
      <c r="E5" s="3259"/>
      <c r="F5" s="3260" t="s">
        <v>211</v>
      </c>
      <c r="G5" s="3241"/>
      <c r="H5" s="3241"/>
      <c r="I5" s="3241"/>
      <c r="J5" s="3241"/>
      <c r="K5" s="3242"/>
    </row>
    <row r="6" spans="1:12" ht="15" customHeight="1">
      <c r="B6" s="3264"/>
      <c r="C6" s="3264"/>
      <c r="D6" s="3266" t="s">
        <v>212</v>
      </c>
      <c r="E6" s="3266" t="s">
        <v>159</v>
      </c>
      <c r="F6" s="1803" t="s">
        <v>213</v>
      </c>
      <c r="G6" s="1803" t="s">
        <v>214</v>
      </c>
      <c r="H6" s="1803" t="s">
        <v>215</v>
      </c>
      <c r="I6" s="3261" t="s">
        <v>216</v>
      </c>
      <c r="J6" s="3266" t="s">
        <v>212</v>
      </c>
      <c r="K6" s="3263" t="s">
        <v>159</v>
      </c>
    </row>
    <row r="7" spans="1:12">
      <c r="B7" s="3264"/>
      <c r="C7" s="3264"/>
      <c r="D7" s="3267"/>
      <c r="E7" s="3267"/>
      <c r="F7" s="243" t="s">
        <v>214</v>
      </c>
      <c r="G7" s="243" t="s">
        <v>217</v>
      </c>
      <c r="H7" s="243" t="s">
        <v>218</v>
      </c>
      <c r="I7" s="3262"/>
      <c r="J7" s="3267"/>
      <c r="K7" s="3264"/>
    </row>
    <row r="8" spans="1:12">
      <c r="B8" s="3264"/>
      <c r="C8" s="3264"/>
      <c r="D8" s="3267"/>
      <c r="E8" s="3267"/>
      <c r="F8" s="243"/>
      <c r="G8" s="243"/>
      <c r="H8" s="243" t="s">
        <v>219</v>
      </c>
      <c r="I8" s="3262"/>
      <c r="J8" s="3267"/>
      <c r="K8" s="3264"/>
    </row>
    <row r="9" spans="1:12">
      <c r="B9" s="3265"/>
      <c r="C9" s="3265"/>
      <c r="D9" s="171" t="s">
        <v>142</v>
      </c>
      <c r="E9" s="3268"/>
      <c r="F9" s="171" t="s">
        <v>142</v>
      </c>
      <c r="G9" s="244" t="s">
        <v>220</v>
      </c>
      <c r="H9" s="244" t="s">
        <v>220</v>
      </c>
      <c r="I9" s="171" t="s">
        <v>142</v>
      </c>
      <c r="J9" s="171" t="s">
        <v>142</v>
      </c>
      <c r="K9" s="3265"/>
    </row>
    <row r="10" spans="1:12" s="39" customFormat="1" ht="20.100000000000001" customHeight="1">
      <c r="A10" s="39">
        <v>1</v>
      </c>
      <c r="B10" s="1804" t="s">
        <v>177</v>
      </c>
      <c r="C10" s="1698" t="s">
        <v>125</v>
      </c>
      <c r="D10" s="1805">
        <v>4017462</v>
      </c>
      <c r="E10" s="1806">
        <f>D10/D31*100</f>
        <v>7.4590393542945749E-2</v>
      </c>
      <c r="F10" s="1773">
        <v>300000</v>
      </c>
      <c r="G10" s="1773">
        <v>72096</v>
      </c>
      <c r="H10" s="1773">
        <v>4166354</v>
      </c>
      <c r="I10" s="1773">
        <f>G10+H10</f>
        <v>4238450</v>
      </c>
      <c r="J10" s="1773">
        <f>F10+I10</f>
        <v>4538450</v>
      </c>
      <c r="K10" s="1807">
        <f>J10/J31*100</f>
        <v>7.0204670120961307E-2</v>
      </c>
      <c r="L10" s="328"/>
    </row>
    <row r="11" spans="1:12" s="39" customFormat="1" ht="20.100000000000001" customHeight="1">
      <c r="A11" s="39">
        <v>2</v>
      </c>
      <c r="B11" s="1804" t="s">
        <v>178</v>
      </c>
      <c r="C11" s="1804" t="s">
        <v>127</v>
      </c>
      <c r="D11" s="1805">
        <v>229338.86594820017</v>
      </c>
      <c r="E11" s="1806">
        <f>D11/D31*100</f>
        <v>4.2580306337108177E-3</v>
      </c>
      <c r="F11" s="1773">
        <v>536264.82270999998</v>
      </c>
      <c r="G11" s="1773">
        <v>0</v>
      </c>
      <c r="H11" s="1773">
        <v>-193459.40358620189</v>
      </c>
      <c r="I11" s="1773">
        <f t="shared" ref="I11:I30" si="0">G11+H11</f>
        <v>-193459.40358620189</v>
      </c>
      <c r="J11" s="1773">
        <f t="shared" ref="J11:J30" si="1">F11+I11</f>
        <v>342805.41912379808</v>
      </c>
      <c r="K11" s="1807">
        <f>J11/J31*100</f>
        <v>5.3028107316956509E-3</v>
      </c>
    </row>
    <row r="12" spans="1:12" s="39" customFormat="1" ht="20.100000000000001" customHeight="1">
      <c r="A12" s="39">
        <v>3</v>
      </c>
      <c r="B12" s="1804" t="s">
        <v>179</v>
      </c>
      <c r="C12" s="1804" t="s">
        <v>91</v>
      </c>
      <c r="D12" s="1805">
        <v>780285</v>
      </c>
      <c r="E12" s="1806">
        <f>D12/D31*100</f>
        <v>1.4487197445963999E-2</v>
      </c>
      <c r="F12" s="1773">
        <v>250000</v>
      </c>
      <c r="G12" s="1773">
        <v>0</v>
      </c>
      <c r="H12" s="1773">
        <v>624849</v>
      </c>
      <c r="I12" s="1773">
        <f t="shared" si="0"/>
        <v>624849</v>
      </c>
      <c r="J12" s="1773">
        <f t="shared" si="1"/>
        <v>874849</v>
      </c>
      <c r="K12" s="1807">
        <f>J12/J31*100</f>
        <v>1.353292103045156E-2</v>
      </c>
    </row>
    <row r="13" spans="1:12" s="39" customFormat="1" ht="20.100000000000001" customHeight="1">
      <c r="A13" s="39">
        <v>4</v>
      </c>
      <c r="B13" s="1804" t="s">
        <v>180</v>
      </c>
      <c r="C13" s="1804" t="s">
        <v>92</v>
      </c>
      <c r="D13" s="1805">
        <v>155104.78389500198</v>
      </c>
      <c r="E13" s="1806">
        <f>D13/D31*100</f>
        <v>2.8797601249549469E-3</v>
      </c>
      <c r="F13" s="1773">
        <v>592623.5</v>
      </c>
      <c r="G13" s="1773">
        <v>0</v>
      </c>
      <c r="H13" s="1773">
        <v>-330709.946500608</v>
      </c>
      <c r="I13" s="1773">
        <f t="shared" si="0"/>
        <v>-330709.946500608</v>
      </c>
      <c r="J13" s="1773">
        <f t="shared" si="1"/>
        <v>261913.553499392</v>
      </c>
      <c r="K13" s="1807">
        <f>J13/J31*100</f>
        <v>4.051505387000753E-3</v>
      </c>
    </row>
    <row r="14" spans="1:12" s="39" customFormat="1" ht="20.100000000000001" customHeight="1">
      <c r="A14" s="39">
        <v>5</v>
      </c>
      <c r="B14" s="1804" t="s">
        <v>181</v>
      </c>
      <c r="C14" s="1804" t="s">
        <v>126</v>
      </c>
      <c r="D14" s="1805">
        <v>837986.86999999988</v>
      </c>
      <c r="E14" s="1806">
        <f>D14/D31*100</f>
        <v>1.5558521877026169E-2</v>
      </c>
      <c r="F14" s="1773">
        <v>1250000.8999999999</v>
      </c>
      <c r="G14" s="1773">
        <v>30128</v>
      </c>
      <c r="H14" s="1773">
        <v>-373397.451</v>
      </c>
      <c r="I14" s="1773">
        <f t="shared" si="0"/>
        <v>-343269.451</v>
      </c>
      <c r="J14" s="1773">
        <f t="shared" si="1"/>
        <v>906731.44899999991</v>
      </c>
      <c r="K14" s="1807">
        <f>J14/J31*100</f>
        <v>1.4026106328227973E-2</v>
      </c>
      <c r="L14" s="197"/>
    </row>
    <row r="15" spans="1:12" s="39" customFormat="1" ht="20.100000000000001" customHeight="1">
      <c r="A15" s="39">
        <v>6</v>
      </c>
      <c r="B15" s="1804" t="s">
        <v>182</v>
      </c>
      <c r="C15" s="1698" t="s">
        <v>95</v>
      </c>
      <c r="D15" s="1805">
        <v>470459092.13015085</v>
      </c>
      <c r="E15" s="1806">
        <f>D15/D31*100</f>
        <v>8.7348004356593592</v>
      </c>
      <c r="F15" s="1773">
        <v>563000070</v>
      </c>
      <c r="G15" s="1773">
        <v>0</v>
      </c>
      <c r="H15" s="1773">
        <v>-46333735.789999992</v>
      </c>
      <c r="I15" s="1773">
        <f t="shared" si="0"/>
        <v>-46333735.789999992</v>
      </c>
      <c r="J15" s="1773">
        <f t="shared" si="1"/>
        <v>516666334.21000004</v>
      </c>
      <c r="K15" s="1807">
        <f>J15/J31*100</f>
        <v>7.9922417468121054</v>
      </c>
    </row>
    <row r="16" spans="1:12" s="39" customFormat="1" ht="20.100000000000001" customHeight="1">
      <c r="A16" s="39">
        <v>7</v>
      </c>
      <c r="B16" s="1804" t="s">
        <v>183</v>
      </c>
      <c r="C16" s="1804" t="s">
        <v>124</v>
      </c>
      <c r="D16" s="1805">
        <v>1461503320.4200001</v>
      </c>
      <c r="E16" s="1806">
        <f>D16/D31*100</f>
        <v>27.135068815697505</v>
      </c>
      <c r="F16" s="1773">
        <v>1062500000</v>
      </c>
      <c r="G16" s="1773">
        <v>114662115.94999999</v>
      </c>
      <c r="H16" s="1773">
        <v>654530403.82999992</v>
      </c>
      <c r="I16" s="1773">
        <f t="shared" si="0"/>
        <v>769192519.77999997</v>
      </c>
      <c r="J16" s="1773">
        <f t="shared" si="1"/>
        <v>1831692519.78</v>
      </c>
      <c r="K16" s="1807">
        <f>J16/J31*100</f>
        <v>28.334204213814694</v>
      </c>
      <c r="L16" s="197" t="s">
        <v>221</v>
      </c>
    </row>
    <row r="17" spans="1:13" s="39" customFormat="1" ht="20.100000000000001" customHeight="1">
      <c r="A17" s="39">
        <v>8</v>
      </c>
      <c r="B17" s="1804" t="s">
        <v>184</v>
      </c>
      <c r="C17" s="1804" t="s">
        <v>129</v>
      </c>
      <c r="D17" s="1808">
        <v>12500697</v>
      </c>
      <c r="E17" s="1806">
        <f>D17/D31*100</f>
        <v>0.23209476749030139</v>
      </c>
      <c r="F17" s="1775">
        <v>1324822</v>
      </c>
      <c r="G17" s="1773">
        <v>711535</v>
      </c>
      <c r="H17" s="1773">
        <v>13885802</v>
      </c>
      <c r="I17" s="1773">
        <f t="shared" si="0"/>
        <v>14597337</v>
      </c>
      <c r="J17" s="1773">
        <f t="shared" si="1"/>
        <v>15922159</v>
      </c>
      <c r="K17" s="1807">
        <f>J17/J31*100</f>
        <v>0.24629772724355123</v>
      </c>
      <c r="L17" s="197" t="s">
        <v>222</v>
      </c>
    </row>
    <row r="18" spans="1:13" s="39" customFormat="1" ht="20.100000000000001" customHeight="1">
      <c r="A18" s="39">
        <v>9</v>
      </c>
      <c r="B18" s="1804" t="s">
        <v>185</v>
      </c>
      <c r="C18" s="1804" t="s">
        <v>131</v>
      </c>
      <c r="D18" s="1805">
        <v>0</v>
      </c>
      <c r="E18" s="1806">
        <v>0</v>
      </c>
      <c r="F18" s="1773">
        <v>0</v>
      </c>
      <c r="G18" s="1773">
        <v>0</v>
      </c>
      <c r="H18" s="1773">
        <v>0</v>
      </c>
      <c r="I18" s="1773">
        <f t="shared" si="0"/>
        <v>0</v>
      </c>
      <c r="J18" s="1773">
        <f t="shared" si="1"/>
        <v>0</v>
      </c>
      <c r="K18" s="1807">
        <f>J18/J31*100</f>
        <v>0</v>
      </c>
      <c r="L18" s="197">
        <v>1324822</v>
      </c>
    </row>
    <row r="19" spans="1:13" s="39" customFormat="1" ht="20.100000000000001" customHeight="1">
      <c r="A19" s="39">
        <v>10</v>
      </c>
      <c r="B19" s="1804" t="s">
        <v>186</v>
      </c>
      <c r="C19" s="1804" t="s">
        <v>128</v>
      </c>
      <c r="D19" s="1805">
        <v>504077.74014395714</v>
      </c>
      <c r="E19" s="1806">
        <f>D19/D31*100</f>
        <v>9.358982614789263E-3</v>
      </c>
      <c r="F19" s="1773">
        <v>500000.07</v>
      </c>
      <c r="G19" s="1773">
        <v>0</v>
      </c>
      <c r="H19" s="1773">
        <v>67275.673808572261</v>
      </c>
      <c r="I19" s="1773">
        <f t="shared" si="0"/>
        <v>67275.673808572261</v>
      </c>
      <c r="J19" s="1773">
        <f t="shared" si="1"/>
        <v>567275.7438085723</v>
      </c>
      <c r="K19" s="1807">
        <f>J19/J31*100</f>
        <v>8.7751118689649056E-3</v>
      </c>
    </row>
    <row r="20" spans="1:13" s="39" customFormat="1" ht="20.100000000000001" customHeight="1">
      <c r="A20" s="39">
        <v>11</v>
      </c>
      <c r="B20" s="1804" t="s">
        <v>187</v>
      </c>
      <c r="C20" s="1804" t="s">
        <v>130</v>
      </c>
      <c r="D20" s="1805">
        <v>753979.06112000009</v>
      </c>
      <c r="E20" s="1806">
        <f>D20/D31*100</f>
        <v>1.3998787018292031E-2</v>
      </c>
      <c r="F20" s="1773">
        <v>632019.95299999998</v>
      </c>
      <c r="G20" s="1773">
        <v>3036.0003999999999</v>
      </c>
      <c r="H20" s="1773">
        <v>360944.58178803331</v>
      </c>
      <c r="I20" s="1773">
        <f t="shared" si="0"/>
        <v>363980.58218803332</v>
      </c>
      <c r="J20" s="1773">
        <f t="shared" si="1"/>
        <v>996000.53518803325</v>
      </c>
      <c r="K20" s="1807">
        <f>J20/J31*100</f>
        <v>1.5406997766457004E-2</v>
      </c>
      <c r="L20" s="197">
        <f>+L18+G17+H17</f>
        <v>15922159</v>
      </c>
    </row>
    <row r="21" spans="1:13" s="39" customFormat="1" ht="20.100000000000001" customHeight="1">
      <c r="A21" s="39">
        <v>12</v>
      </c>
      <c r="B21" s="1804" t="s">
        <v>188</v>
      </c>
      <c r="C21" s="1804" t="s">
        <v>132</v>
      </c>
      <c r="D21" s="1805">
        <v>1914517</v>
      </c>
      <c r="E21" s="1806">
        <f>D21/D31*100</f>
        <v>3.5545968194511821E-2</v>
      </c>
      <c r="F21" s="1773">
        <v>1171875</v>
      </c>
      <c r="G21" s="1773">
        <v>0</v>
      </c>
      <c r="H21" s="1773">
        <v>941737</v>
      </c>
      <c r="I21" s="1773">
        <f t="shared" si="0"/>
        <v>941737</v>
      </c>
      <c r="J21" s="1773">
        <f t="shared" si="1"/>
        <v>2113612</v>
      </c>
      <c r="K21" s="1807">
        <f>J21/J31*100</f>
        <v>3.2695178579406028E-2</v>
      </c>
    </row>
    <row r="22" spans="1:13" s="39" customFormat="1" ht="20.100000000000001" customHeight="1">
      <c r="A22" s="39">
        <v>13</v>
      </c>
      <c r="B22" s="1804" t="s">
        <v>189</v>
      </c>
      <c r="C22" s="1804" t="s">
        <v>133</v>
      </c>
      <c r="D22" s="1805">
        <f>3376380101.76738</f>
        <v>3376380101.7673802</v>
      </c>
      <c r="E22" s="1806">
        <f>D22/D31*100</f>
        <v>62.687716907191685</v>
      </c>
      <c r="F22" s="1773">
        <f>1496000400</f>
        <v>1496000400</v>
      </c>
      <c r="G22" s="1773">
        <v>0</v>
      </c>
      <c r="H22" s="1773">
        <f>2532490857.93883</f>
        <v>2532490857.9388299</v>
      </c>
      <c r="I22" s="1773">
        <f t="shared" si="0"/>
        <v>2532490857.9388299</v>
      </c>
      <c r="J22" s="1773">
        <f t="shared" si="1"/>
        <v>4028491257.9388299</v>
      </c>
      <c r="K22" s="1807">
        <f>J22/J31*100</f>
        <v>62.316187211222342</v>
      </c>
    </row>
    <row r="23" spans="1:13" s="39" customFormat="1" ht="20.100000000000001" customHeight="1">
      <c r="A23" s="39">
        <v>14</v>
      </c>
      <c r="B23" s="1804" t="s">
        <v>190</v>
      </c>
      <c r="C23" s="1804" t="s">
        <v>106</v>
      </c>
      <c r="D23" s="1805">
        <v>597143</v>
      </c>
      <c r="E23" s="1806">
        <f>D23/D31*100</f>
        <v>1.1086883054877743E-2</v>
      </c>
      <c r="F23" s="1773">
        <v>500000</v>
      </c>
      <c r="G23" s="1773">
        <v>0</v>
      </c>
      <c r="H23" s="1773">
        <v>177226</v>
      </c>
      <c r="I23" s="1773">
        <f t="shared" si="0"/>
        <v>177226</v>
      </c>
      <c r="J23" s="1773">
        <f t="shared" si="1"/>
        <v>677226</v>
      </c>
      <c r="K23" s="1807">
        <f>J23/J31*100</f>
        <v>1.047591753293264E-2</v>
      </c>
    </row>
    <row r="24" spans="1:13" s="39" customFormat="1" ht="20.100000000000001" customHeight="1">
      <c r="A24" s="39">
        <v>15</v>
      </c>
      <c r="B24" s="1804" t="s">
        <v>191</v>
      </c>
      <c r="C24" s="1804" t="s">
        <v>134</v>
      </c>
      <c r="D24" s="1805">
        <v>586356.50856999995</v>
      </c>
      <c r="E24" s="1806">
        <f>D24/D31*100</f>
        <v>1.088661516417677E-2</v>
      </c>
      <c r="F24" s="1773">
        <v>650000</v>
      </c>
      <c r="G24" s="1773">
        <v>0</v>
      </c>
      <c r="H24" s="1773">
        <v>65243.938979999395</v>
      </c>
      <c r="I24" s="1773">
        <f t="shared" si="0"/>
        <v>65243.938979999395</v>
      </c>
      <c r="J24" s="1773">
        <f t="shared" si="1"/>
        <v>715243.9389799994</v>
      </c>
      <c r="K24" s="1807">
        <f>J24/J31*100</f>
        <v>1.1064011896596379E-2</v>
      </c>
    </row>
    <row r="25" spans="1:13" s="39" customFormat="1" ht="20.100000000000001" customHeight="1">
      <c r="A25" s="39">
        <v>16</v>
      </c>
      <c r="B25" s="1804" t="s">
        <v>192</v>
      </c>
      <c r="C25" s="1804" t="s">
        <v>109</v>
      </c>
      <c r="D25" s="1805">
        <v>400851</v>
      </c>
      <c r="E25" s="1806">
        <f>D25/D31*100</f>
        <v>7.4424185822002413E-3</v>
      </c>
      <c r="F25" s="1773">
        <v>880724.245</v>
      </c>
      <c r="G25" s="1773">
        <v>1961</v>
      </c>
      <c r="H25" s="1773">
        <v>-483633.61800000002</v>
      </c>
      <c r="I25" s="1773">
        <f t="shared" si="0"/>
        <v>-481672.61800000002</v>
      </c>
      <c r="J25" s="1773">
        <f t="shared" si="1"/>
        <v>399051.62699999998</v>
      </c>
      <c r="K25" s="1807">
        <f>J25/J31*100</f>
        <v>6.1728757251413796E-3</v>
      </c>
      <c r="L25" s="197" t="s">
        <v>221</v>
      </c>
    </row>
    <row r="26" spans="1:13" s="39" customFormat="1" ht="20.100000000000001" customHeight="1">
      <c r="A26" s="39">
        <v>17</v>
      </c>
      <c r="B26" s="1804" t="s">
        <v>193</v>
      </c>
      <c r="C26" s="1804" t="s">
        <v>111</v>
      </c>
      <c r="D26" s="1805">
        <v>673561.17307999998</v>
      </c>
      <c r="E26" s="1806">
        <f>D26/D31*100</f>
        <v>1.2505704590431817E-2</v>
      </c>
      <c r="F26" s="1773">
        <v>750000</v>
      </c>
      <c r="G26" s="1773">
        <v>0</v>
      </c>
      <c r="H26" s="1773">
        <v>-69669.947789999991</v>
      </c>
      <c r="I26" s="1773">
        <f t="shared" si="0"/>
        <v>-69669.947789999991</v>
      </c>
      <c r="J26" s="1773">
        <f t="shared" si="1"/>
        <v>680330.05220999999</v>
      </c>
      <c r="K26" s="1807">
        <f>J26/J31*100</f>
        <v>1.0523933697359107E-2</v>
      </c>
    </row>
    <row r="27" spans="1:13" s="39" customFormat="1" ht="20.100000000000001" customHeight="1">
      <c r="A27" s="39">
        <v>18</v>
      </c>
      <c r="B27" s="1804" t="s">
        <v>194</v>
      </c>
      <c r="C27" s="1804" t="s">
        <v>112</v>
      </c>
      <c r="D27" s="1805">
        <v>863002</v>
      </c>
      <c r="E27" s="1806">
        <f>D27/D31*100</f>
        <v>1.6022966442084396E-2</v>
      </c>
      <c r="F27" s="1773">
        <v>600000</v>
      </c>
      <c r="G27" s="1773">
        <v>0</v>
      </c>
      <c r="H27" s="1773">
        <v>484881.24699999997</v>
      </c>
      <c r="I27" s="1773">
        <f t="shared" si="0"/>
        <v>484881.24699999997</v>
      </c>
      <c r="J27" s="1773">
        <f t="shared" si="1"/>
        <v>1084881.247</v>
      </c>
      <c r="K27" s="1807">
        <f>J27/J31*100</f>
        <v>1.6781881493913593E-2</v>
      </c>
    </row>
    <row r="28" spans="1:13" s="39" customFormat="1" ht="20.100000000000001" customHeight="1">
      <c r="A28" s="39">
        <v>19</v>
      </c>
      <c r="B28" s="1804" t="s">
        <v>195</v>
      </c>
      <c r="C28" s="1804" t="s">
        <v>135</v>
      </c>
      <c r="D28" s="1805">
        <v>377602</v>
      </c>
      <c r="E28" s="1806">
        <f>D28/D31*100</f>
        <v>7.0107649512561408E-3</v>
      </c>
      <c r="F28" s="1773">
        <v>352922</v>
      </c>
      <c r="G28" s="1773">
        <v>-882</v>
      </c>
      <c r="H28" s="1773">
        <v>64671</v>
      </c>
      <c r="I28" s="1773">
        <f t="shared" si="0"/>
        <v>63789</v>
      </c>
      <c r="J28" s="1773">
        <f t="shared" si="1"/>
        <v>416711</v>
      </c>
      <c r="K28" s="1807">
        <f>J28/J31*100</f>
        <v>6.4460461811358298E-3</v>
      </c>
    </row>
    <row r="29" spans="1:13" s="39" customFormat="1" ht="20.100000000000001" customHeight="1">
      <c r="A29" s="39">
        <v>20</v>
      </c>
      <c r="B29" s="1804" t="s">
        <v>196</v>
      </c>
      <c r="C29" s="1804" t="s">
        <v>115</v>
      </c>
      <c r="D29" s="1805">
        <v>48187839.26811</v>
      </c>
      <c r="E29" s="1806">
        <f>D29/D31*100</f>
        <v>0.89468174060950401</v>
      </c>
      <c r="F29" s="1773">
        <v>6000000</v>
      </c>
      <c r="G29" s="1773">
        <v>5231794.6532500004</v>
      </c>
      <c r="H29" s="1773">
        <v>40901986.99927</v>
      </c>
      <c r="I29" s="1773">
        <f t="shared" si="0"/>
        <v>46133781.652520001</v>
      </c>
      <c r="J29" s="1773">
        <f t="shared" si="1"/>
        <v>52133781.652520001</v>
      </c>
      <c r="K29" s="1807">
        <f>J29/J31*100</f>
        <v>0.8064504275850547</v>
      </c>
      <c r="L29" s="39" t="s">
        <v>223</v>
      </c>
    </row>
    <row r="30" spans="1:13" s="39" customFormat="1" ht="20.100000000000001" customHeight="1">
      <c r="A30" s="39">
        <v>21</v>
      </c>
      <c r="B30" s="1804" t="s">
        <v>197</v>
      </c>
      <c r="C30" s="1804" t="s">
        <v>136</v>
      </c>
      <c r="D30" s="1805">
        <v>4309058.8071799995</v>
      </c>
      <c r="E30" s="1806">
        <f>D30/D31*100</f>
        <v>8.0004339114409184E-2</v>
      </c>
      <c r="F30" s="1773">
        <v>1138432.3049999999</v>
      </c>
      <c r="G30" s="1773">
        <v>812520.99821999995</v>
      </c>
      <c r="H30" s="1773">
        <v>3166339.0935199996</v>
      </c>
      <c r="I30" s="1773">
        <f t="shared" si="0"/>
        <v>3978860.0917399996</v>
      </c>
      <c r="J30" s="1773">
        <f t="shared" si="1"/>
        <v>5117292.3967399998</v>
      </c>
      <c r="K30" s="1807">
        <f>J30/J31*100</f>
        <v>7.915870498201702E-2</v>
      </c>
      <c r="L30" s="197" t="s">
        <v>221</v>
      </c>
    </row>
    <row r="31" spans="1:13" s="39" customFormat="1" ht="20.100000000000001" customHeight="1">
      <c r="B31" s="1778" t="s">
        <v>118</v>
      </c>
      <c r="C31" s="1778" t="s">
        <v>118</v>
      </c>
      <c r="D31" s="1809">
        <f>SUM(D10:D30)</f>
        <v>5386031376.3955793</v>
      </c>
      <c r="E31" s="1806">
        <f>D31/D31*100</f>
        <v>100</v>
      </c>
      <c r="F31" s="1809">
        <f>SUM(F10:F30)</f>
        <v>3138930154.7957101</v>
      </c>
      <c r="G31" s="1809">
        <f>SUM(G10:G30)</f>
        <v>121524305.60186999</v>
      </c>
      <c r="H31" s="1809">
        <f>SUM(H10:H30)</f>
        <v>3204143966.1463199</v>
      </c>
      <c r="I31" s="1809">
        <f>SUM(I10:I30)</f>
        <v>3325668271.7481899</v>
      </c>
      <c r="J31" s="1809">
        <f>SUM(J10:J30)</f>
        <v>6464598426.5438995</v>
      </c>
      <c r="K31" s="1807">
        <f>J31/J31*100</f>
        <v>100</v>
      </c>
      <c r="M31" s="251"/>
    </row>
    <row r="33" spans="2:11">
      <c r="B33" s="175"/>
      <c r="C33" s="175"/>
    </row>
    <row r="34" spans="2:11">
      <c r="B34" s="175"/>
      <c r="C34" s="175"/>
    </row>
    <row r="35" spans="2:11">
      <c r="B35" s="175"/>
      <c r="C35" s="175"/>
    </row>
    <row r="36" spans="2:11">
      <c r="B36" s="175"/>
      <c r="C36" s="175"/>
    </row>
    <row r="37" spans="2:11">
      <c r="B37" s="232"/>
      <c r="C37" s="232"/>
      <c r="D37" s="13"/>
    </row>
    <row r="38" spans="2:11">
      <c r="B38" s="3258"/>
      <c r="C38" s="3258"/>
      <c r="D38" s="3258"/>
      <c r="E38" s="3258"/>
      <c r="F38" s="3258"/>
      <c r="G38" s="3258"/>
      <c r="H38" s="3258"/>
      <c r="I38" s="3258"/>
      <c r="J38" s="3258"/>
      <c r="K38" s="3258"/>
    </row>
    <row r="39" spans="2:11">
      <c r="B39" s="3258"/>
      <c r="C39" s="3258"/>
      <c r="D39" s="3258"/>
      <c r="E39" s="3258"/>
      <c r="F39" s="3258"/>
      <c r="G39" s="3258"/>
      <c r="H39" s="3258"/>
      <c r="I39" s="3258"/>
      <c r="J39" s="3258"/>
      <c r="K39" s="3258"/>
    </row>
    <row r="40" spans="2:11">
      <c r="D40" s="41"/>
      <c r="E40" s="15"/>
    </row>
    <row r="41" spans="2:11">
      <c r="E41" s="15"/>
    </row>
    <row r="42" spans="2:11">
      <c r="D42" s="58"/>
      <c r="J42" s="58"/>
    </row>
    <row r="43" spans="2:11">
      <c r="D43" s="14"/>
      <c r="J43" s="14"/>
    </row>
    <row r="44" spans="2:11">
      <c r="D44" s="58"/>
    </row>
    <row r="45" spans="2:11">
      <c r="D45" s="14"/>
    </row>
    <row r="46" spans="2:11">
      <c r="C46" s="42"/>
      <c r="D46" s="14"/>
    </row>
    <row r="48" spans="2:11">
      <c r="F48" s="186"/>
      <c r="G48" s="186"/>
      <c r="H48" s="186"/>
      <c r="I48" s="193"/>
    </row>
    <row r="49" spans="4:10">
      <c r="F49" s="186"/>
      <c r="G49" s="186"/>
      <c r="H49" s="186"/>
      <c r="I49" s="186"/>
    </row>
    <row r="51" spans="4:10">
      <c r="D51" s="14"/>
      <c r="J51" s="14"/>
    </row>
  </sheetData>
  <customSheetViews>
    <customSheetView guid="{2ACFE167-4169-43A6-9AB2-59D5A2DA2DB4}" showPageBreaks="1" printArea="1" hiddenColumns="1" state="hidden">
      <pane xSplit="1" ySplit="9" topLeftCell="D10" activePane="bottomRight" state="frozen"/>
      <selection pane="bottomRight" activeCell="D21" sqref="D21"/>
      <rowBreaks count="1" manualBreakCount="1">
        <brk id="32" max="16383" man="1"/>
      </rowBreaks>
      <pageMargins left="0" right="0" top="0" bottom="0" header="0" footer="0"/>
      <pageSetup orientation="portrait" r:id="rId1"/>
    </customSheetView>
    <customSheetView guid="{967E0446-E234-427F-8E57-7FE287052E2E}" showPageBreaks="1" printArea="1" hiddenColumns="1" state="hidden">
      <pane xSplit="1" ySplit="9" topLeftCell="D10" activePane="bottomRight" state="frozen"/>
      <selection pane="bottomRight" activeCell="D21" sqref="D21"/>
      <rowBreaks count="1" manualBreakCount="1">
        <brk id="32" max="16383" man="1"/>
      </rowBreaks>
      <pageMargins left="0" right="0" top="0" bottom="0" header="0" footer="0"/>
      <pageSetup orientation="portrait" r:id="rId2"/>
    </customSheetView>
    <customSheetView guid="{B2E1A0C6-5BA1-4CF1-B412-16D81FCDF11F}" showPageBreaks="1" printArea="1" hiddenColumns="1" state="hidden">
      <pane xSplit="1" ySplit="9" topLeftCell="D10" activePane="bottomRight" state="frozen"/>
      <selection pane="bottomRight" activeCell="D21" sqref="D21"/>
      <rowBreaks count="1" manualBreakCount="1">
        <brk id="32" max="16383" man="1"/>
      </rowBreaks>
      <pageMargins left="0" right="0" top="0" bottom="0" header="0" footer="0"/>
      <pageSetup orientation="portrait" r:id="rId3"/>
    </customSheetView>
    <customSheetView guid="{46F31544-8E6F-41C5-8628-1D6EE074AF15}" hiddenColumns="1" state="hidden">
      <pane xSplit="1" ySplit="9" topLeftCell="D10" activePane="bottomRight" state="frozen"/>
      <selection pane="bottomRight" activeCell="D21" sqref="D21"/>
      <rowBreaks count="1" manualBreakCount="1">
        <brk id="32" max="16383" man="1"/>
      </rowBreaks>
      <pageMargins left="0" right="0" top="0" bottom="0" header="0" footer="0"/>
      <pageSetup orientation="portrait" r:id="rId4"/>
    </customSheetView>
    <customSheetView guid="{D020F570-D9CD-4C16-921E-7638848CF929}" scale="124" topLeftCell="A31">
      <selection activeCell="G60" sqref="G60"/>
      <pageMargins left="0" right="0" top="0" bottom="0" header="0" footer="0"/>
      <pageSetup orientation="landscape" r:id="rId5"/>
    </customSheetView>
    <customSheetView guid="{F66B1C5E-2E3D-4890-AA4B-3A6E976CA29E}" topLeftCell="A28">
      <selection activeCell="D67" sqref="D67"/>
      <pageMargins left="0" right="0" top="0" bottom="0" header="0" footer="0"/>
      <pageSetup orientation="landscape" r:id="rId6"/>
    </customSheetView>
    <customSheetView guid="{C4538C36-F6A2-4603-9311-8D97FB7695CB}" topLeftCell="A16">
      <selection activeCell="I37" sqref="I37"/>
      <pageMargins left="0" right="0" top="0" bottom="0" header="0" footer="0"/>
      <pageSetup orientation="landscape" r:id="rId7"/>
    </customSheetView>
    <customSheetView guid="{3199A5C7-1303-43ED-A74D-8C27C3B99779}" scale="124">
      <selection activeCell="F17" sqref="F17"/>
      <pageMargins left="0" right="0" top="0" bottom="0" header="0" footer="0"/>
      <pageSetup orientation="landscape" r:id="rId8"/>
    </customSheetView>
    <customSheetView guid="{B8318771-9061-42D8-AFEA-0FF27D639C94}" scale="124" topLeftCell="E4">
      <selection activeCell="I17" sqref="I17"/>
      <pageMargins left="0" right="0" top="0" bottom="0" header="0" footer="0"/>
      <pageSetup orientation="landscape" r:id="rId9"/>
    </customSheetView>
    <customSheetView guid="{F7C0CA98-A3B8-42B1-9940-E27294444C95}" showPageBreaks="1" topLeftCell="A37">
      <selection activeCell="J53" sqref="J53"/>
      <pageMargins left="0" right="0" top="0" bottom="0" header="0" footer="0"/>
      <pageSetup scale="60" orientation="landscape" r:id="rId10"/>
    </customSheetView>
    <customSheetView guid="{B4A67912-05A8-4D20-958A-E8812294BB39}">
      <selection activeCell="C9" sqref="C9"/>
      <pageMargins left="0" right="0" top="0" bottom="0" header="0" footer="0"/>
      <pageSetup orientation="landscape" r:id="rId11"/>
    </customSheetView>
    <customSheetView guid="{E82B35BE-4719-4C53-A9EF-1CC6F153A6F3}" showPageBreaks="1" printArea="1" hiddenColumns="1">
      <pane xSplit="1" ySplit="9" topLeftCell="C16" activePane="bottomRight" state="frozen"/>
      <selection pane="bottomRight" activeCell="J30" sqref="J30"/>
      <rowBreaks count="1" manualBreakCount="1">
        <brk id="32" max="16383" man="1"/>
      </rowBreaks>
      <pageMargins left="0" right="0" top="0" bottom="0" header="0" footer="0"/>
      <pageSetup orientation="portrait" r:id="rId12"/>
    </customSheetView>
    <customSheetView guid="{B1E1B596-A9A1-411D-A882-A48CB025B978}" showPageBreaks="1" printArea="1" hiddenColumns="1" state="hidden">
      <pane xSplit="1" ySplit="9" topLeftCell="D10" activePane="bottomRight" state="frozen"/>
      <selection pane="bottomRight" activeCell="D21" sqref="D21"/>
      <rowBreaks count="1" manualBreakCount="1">
        <brk id="32" max="16383" man="1"/>
      </rowBreaks>
      <pageMargins left="0" right="0" top="0" bottom="0" header="0" footer="0"/>
      <pageSetup orientation="portrait" r:id="rId13"/>
    </customSheetView>
    <customSheetView guid="{5E394B0B-7867-4722-9497-A93AB2A9A773}" showPageBreaks="1" printArea="1" hiddenColumns="1" state="hidden">
      <pane xSplit="1" ySplit="9" topLeftCell="D10" activePane="bottomRight" state="frozen"/>
      <selection pane="bottomRight" activeCell="D21" sqref="D21"/>
      <rowBreaks count="1" manualBreakCount="1">
        <brk id="32" max="16383" man="1"/>
      </rowBreaks>
      <pageMargins left="0" right="0" top="0" bottom="0" header="0" footer="0"/>
      <pageSetup orientation="portrait" r:id="rId14"/>
    </customSheetView>
  </customSheetViews>
  <mergeCells count="10">
    <mergeCell ref="B38:K39"/>
    <mergeCell ref="D5:E5"/>
    <mergeCell ref="F5:K5"/>
    <mergeCell ref="I6:I8"/>
    <mergeCell ref="B5:B9"/>
    <mergeCell ref="C5:C9"/>
    <mergeCell ref="E6:E9"/>
    <mergeCell ref="K6:K9"/>
    <mergeCell ref="D6:D8"/>
    <mergeCell ref="J6:J8"/>
  </mergeCells>
  <pageMargins left="0.7" right="0.7" top="0.75" bottom="0.75" header="0.3" footer="0.3"/>
  <pageSetup orientation="portrait" r:id="rId15"/>
  <rowBreaks count="1" manualBreakCount="1">
    <brk id="32" max="16383" man="1"/>
  </rowBreaks>
  <legacyDrawing r:id="rId16"/>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2D050"/>
  </sheetPr>
  <dimension ref="A1:I24"/>
  <sheetViews>
    <sheetView showGridLines="0" view="pageBreakPreview" zoomScaleNormal="100" zoomScaleSheetLayoutView="100" workbookViewId="0">
      <selection activeCell="C28" sqref="C28:C30"/>
    </sheetView>
  </sheetViews>
  <sheetFormatPr defaultColWidth="9.140625" defaultRowHeight="13.15"/>
  <cols>
    <col min="1" max="1" width="3.5703125" style="54" customWidth="1"/>
    <col min="2" max="2" width="25.5703125" style="54" customWidth="1"/>
    <col min="3" max="3" width="17.28515625" style="54" customWidth="1"/>
    <col min="4" max="4" width="18.28515625" style="54" customWidth="1"/>
    <col min="5" max="6" width="15.28515625" style="54" customWidth="1"/>
    <col min="7" max="9" width="7.42578125" style="54" customWidth="1"/>
    <col min="10" max="10" width="4.5703125" style="54" customWidth="1"/>
    <col min="11" max="11" width="12.85546875" style="54" customWidth="1"/>
    <col min="12" max="12" width="14.85546875" style="54" customWidth="1"/>
    <col min="13" max="13" width="12.140625" style="54" customWidth="1"/>
    <col min="14" max="14" width="12.85546875" style="54" customWidth="1"/>
    <col min="15" max="15" width="16.42578125" style="54" customWidth="1"/>
    <col min="16" max="16" width="15.140625" style="54" customWidth="1"/>
    <col min="17" max="17" width="16.28515625" style="54" customWidth="1"/>
    <col min="18" max="18" width="12.42578125" style="54" bestFit="1" customWidth="1"/>
    <col min="19" max="19" width="17.42578125" style="54" customWidth="1"/>
    <col min="20" max="20" width="9.140625" style="54"/>
    <col min="21" max="21" width="10.7109375" style="54" customWidth="1"/>
    <col min="22" max="16384" width="9.140625" style="54"/>
  </cols>
  <sheetData>
    <row r="1" spans="1:9">
      <c r="B1" s="390"/>
    </row>
    <row r="2" spans="1:9" ht="12.75" customHeight="1">
      <c r="B2" s="3273" t="s">
        <v>224</v>
      </c>
      <c r="C2" s="3273"/>
      <c r="D2" s="3273"/>
      <c r="E2" s="3273"/>
      <c r="F2" s="3273"/>
      <c r="G2" s="37"/>
    </row>
    <row r="3" spans="1:9">
      <c r="B3" s="409"/>
      <c r="C3" s="409"/>
      <c r="D3" s="409"/>
      <c r="G3" s="37"/>
    </row>
    <row r="4" spans="1:9">
      <c r="B4" s="3211" t="s">
        <v>225</v>
      </c>
      <c r="C4" s="3270" t="s">
        <v>138</v>
      </c>
      <c r="D4" s="3271"/>
      <c r="E4" s="3272" t="s">
        <v>139</v>
      </c>
      <c r="F4" s="3271"/>
      <c r="G4" s="37"/>
    </row>
    <row r="5" spans="1:9" s="52" customFormat="1">
      <c r="B5" s="3213"/>
      <c r="C5" s="1601" t="s">
        <v>220</v>
      </c>
      <c r="D5" s="1600" t="s">
        <v>159</v>
      </c>
      <c r="E5" s="1600" t="s">
        <v>220</v>
      </c>
      <c r="F5" s="1600" t="s">
        <v>159</v>
      </c>
      <c r="G5" s="516"/>
    </row>
    <row r="6" spans="1:9" s="52" customFormat="1">
      <c r="B6" s="1635" t="s">
        <v>226</v>
      </c>
      <c r="C6" s="1810">
        <v>274545008.62907135</v>
      </c>
      <c r="D6" s="1743">
        <f>(C6/$C$15)*100</f>
        <v>43.393490818629076</v>
      </c>
      <c r="E6" s="1811">
        <v>326662243.1126253</v>
      </c>
      <c r="F6" s="1746">
        <f>(E6/$E$15)*100</f>
        <v>48.638622847844005</v>
      </c>
      <c r="G6" s="3191"/>
      <c r="H6" s="264"/>
      <c r="I6" s="264"/>
    </row>
    <row r="7" spans="1:9" s="52" customFormat="1">
      <c r="B7" s="1789" t="s">
        <v>227</v>
      </c>
      <c r="C7" s="1810">
        <v>49049127.167460002</v>
      </c>
      <c r="D7" s="1743">
        <f t="shared" ref="D7:D14" si="0">(C7/$C$15)*100</f>
        <v>7.7525097252034669</v>
      </c>
      <c r="E7" s="1811">
        <v>47714165.683901764</v>
      </c>
      <c r="F7" s="1746">
        <f t="shared" ref="F7:F14" si="1">(E7/$E$15)*100</f>
        <v>7.1044369471212478</v>
      </c>
      <c r="G7" s="3191"/>
      <c r="H7" s="264"/>
      <c r="I7" s="264"/>
    </row>
    <row r="8" spans="1:9" s="52" customFormat="1">
      <c r="B8" s="1789" t="s">
        <v>228</v>
      </c>
      <c r="C8" s="1810">
        <v>140753423.32071495</v>
      </c>
      <c r="D8" s="1743">
        <f t="shared" si="0"/>
        <v>22.246925606322268</v>
      </c>
      <c r="E8" s="1811">
        <v>134798503.36546928</v>
      </c>
      <c r="F8" s="1746">
        <f t="shared" si="1"/>
        <v>20.070925562665646</v>
      </c>
      <c r="G8" s="3191"/>
      <c r="H8" s="264"/>
      <c r="I8" s="264"/>
    </row>
    <row r="9" spans="1:9" s="52" customFormat="1">
      <c r="B9" s="1789" t="s">
        <v>229</v>
      </c>
      <c r="C9" s="1810">
        <v>4493200.0003399998</v>
      </c>
      <c r="D9" s="1743">
        <f t="shared" si="0"/>
        <v>0.71017730001583468</v>
      </c>
      <c r="E9" s="1811">
        <v>4840730.0017200001</v>
      </c>
      <c r="F9" s="1746">
        <f t="shared" si="1"/>
        <v>0.72076417102397128</v>
      </c>
      <c r="G9" s="3191"/>
      <c r="H9" s="264"/>
      <c r="I9" s="264"/>
    </row>
    <row r="10" spans="1:9" s="52" customFormat="1">
      <c r="A10" s="412"/>
      <c r="B10" s="1789" t="s">
        <v>230</v>
      </c>
      <c r="C10" s="1810">
        <v>88122138.288668901</v>
      </c>
      <c r="D10" s="1743">
        <f t="shared" si="0"/>
        <v>13.928234273287032</v>
      </c>
      <c r="E10" s="1811">
        <v>73047156.773024216</v>
      </c>
      <c r="F10" s="1746">
        <f t="shared" si="1"/>
        <v>10.876411900366151</v>
      </c>
      <c r="G10" s="3191"/>
      <c r="H10" s="264"/>
      <c r="I10" s="264"/>
    </row>
    <row r="11" spans="1:9" s="52" customFormat="1">
      <c r="B11" s="1789" t="s">
        <v>231</v>
      </c>
      <c r="C11" s="1810">
        <v>13426656.300228273</v>
      </c>
      <c r="D11" s="1743">
        <f t="shared" si="0"/>
        <v>2.1221638295235414</v>
      </c>
      <c r="E11" s="1811">
        <v>6809831.7010629587</v>
      </c>
      <c r="F11" s="1746">
        <f t="shared" si="1"/>
        <v>1.0139550644397437</v>
      </c>
      <c r="G11" s="3191"/>
      <c r="H11" s="264"/>
      <c r="I11" s="264"/>
    </row>
    <row r="12" spans="1:9" s="52" customFormat="1">
      <c r="B12" s="1789" t="s">
        <v>232</v>
      </c>
      <c r="C12" s="1810">
        <v>6719018.6763000004</v>
      </c>
      <c r="D12" s="1743">
        <f t="shared" si="0"/>
        <v>1.0619813366708868</v>
      </c>
      <c r="E12" s="1811">
        <v>8942800.6802418306</v>
      </c>
      <c r="F12" s="1746">
        <f t="shared" si="1"/>
        <v>1.3315451009737893</v>
      </c>
      <c r="G12" s="3191"/>
      <c r="H12" s="264"/>
      <c r="I12" s="264"/>
    </row>
    <row r="13" spans="1:9" s="52" customFormat="1">
      <c r="B13" s="1789" t="s">
        <v>233</v>
      </c>
      <c r="C13" s="1119">
        <v>50831178.138233222</v>
      </c>
      <c r="D13" s="1743">
        <f t="shared" si="0"/>
        <v>8.034173605471107</v>
      </c>
      <c r="E13" s="1811">
        <v>63209073.916855395</v>
      </c>
      <c r="F13" s="1746">
        <f t="shared" si="1"/>
        <v>9.41156307967751</v>
      </c>
      <c r="G13" s="3191"/>
      <c r="H13" s="264"/>
      <c r="I13" s="264"/>
    </row>
    <row r="14" spans="1:9" s="52" customFormat="1">
      <c r="B14" s="1789" t="s">
        <v>234</v>
      </c>
      <c r="C14" s="1810">
        <v>4747326.3877799725</v>
      </c>
      <c r="D14" s="1743">
        <f t="shared" si="0"/>
        <v>0.75034350487678936</v>
      </c>
      <c r="E14" s="1811">
        <v>5586292.9049262283</v>
      </c>
      <c r="F14" s="1746">
        <f t="shared" si="1"/>
        <v>0.83177532588795311</v>
      </c>
      <c r="G14" s="3191"/>
      <c r="H14" s="264"/>
      <c r="I14" s="264"/>
    </row>
    <row r="15" spans="1:9" s="52" customFormat="1" ht="19.5" customHeight="1">
      <c r="B15" s="1689" t="s">
        <v>118</v>
      </c>
      <c r="C15" s="1691">
        <f>SUM(C6:C14)</f>
        <v>632687076.90879667</v>
      </c>
      <c r="D15" s="1691">
        <f>SUM(D6:D14)</f>
        <v>100</v>
      </c>
      <c r="E15" s="1691">
        <f>SUM(E6:E14)</f>
        <v>671610798.13982689</v>
      </c>
      <c r="F15" s="1691">
        <f>SUM(F6:F14)</f>
        <v>100</v>
      </c>
      <c r="G15" s="3191"/>
      <c r="H15" s="264"/>
      <c r="I15" s="264"/>
    </row>
    <row r="16" spans="1:9" s="52" customFormat="1">
      <c r="C16" s="410"/>
      <c r="F16" s="264"/>
      <c r="G16" s="37"/>
    </row>
    <row r="17" spans="2:7">
      <c r="B17" s="245" t="s">
        <v>235</v>
      </c>
      <c r="C17" s="2"/>
      <c r="D17" s="2"/>
      <c r="E17" s="389"/>
      <c r="F17" s="109"/>
      <c r="G17" s="37"/>
    </row>
    <row r="18" spans="2:7" ht="33.75" customHeight="1">
      <c r="B18" s="3269" t="s">
        <v>236</v>
      </c>
      <c r="C18" s="3269"/>
      <c r="D18" s="3269"/>
      <c r="E18" s="3269"/>
      <c r="F18" s="389">
        <v>7</v>
      </c>
      <c r="G18" s="37"/>
    </row>
    <row r="19" spans="2:7" ht="12.75" hidden="1" customHeight="1">
      <c r="B19" s="3269"/>
      <c r="C19" s="3269"/>
      <c r="D19" s="3269"/>
      <c r="E19" s="3269"/>
      <c r="F19" s="346"/>
    </row>
    <row r="20" spans="2:7">
      <c r="B20" s="489"/>
      <c r="C20" s="238"/>
      <c r="F20" s="346"/>
    </row>
    <row r="21" spans="2:7">
      <c r="B21" s="518"/>
      <c r="C21" s="66"/>
      <c r="D21" s="66"/>
      <c r="E21" s="66"/>
      <c r="F21" s="346"/>
    </row>
    <row r="22" spans="2:7">
      <c r="C22" s="66"/>
      <c r="D22" s="66"/>
      <c r="E22" s="66"/>
    </row>
    <row r="23" spans="2:7">
      <c r="C23" s="77"/>
      <c r="E23" s="77"/>
    </row>
    <row r="24" spans="2:7">
      <c r="C24" s="77"/>
      <c r="E24" s="77"/>
    </row>
  </sheetData>
  <mergeCells count="5">
    <mergeCell ref="B18:E19"/>
    <mergeCell ref="B4:B5"/>
    <mergeCell ref="C4:D4"/>
    <mergeCell ref="E4:F4"/>
    <mergeCell ref="B2:F2"/>
  </mergeCells>
  <pageMargins left="0.2" right="0.2" top="1" bottom="0.28999999999999998" header="0.3" footer="0.3"/>
  <pageSetup paperSize="9" scale="112" orientation="landscape" r:id="rId1"/>
  <colBreaks count="1" manualBreakCount="1">
    <brk id="10" min="1" max="60" man="1"/>
  </colBreak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92D050"/>
  </sheetPr>
  <dimension ref="A1:R46"/>
  <sheetViews>
    <sheetView showGridLines="0" view="pageBreakPreview" zoomScale="85" zoomScaleNormal="100" zoomScaleSheetLayoutView="85" workbookViewId="0">
      <pane xSplit="2" ySplit="4" topLeftCell="C38" activePane="bottomRight" state="frozen"/>
      <selection pane="bottomRight" activeCell="J38" sqref="J38"/>
      <selection pane="bottomLeft" activeCell="A5" sqref="A5"/>
      <selection pane="topRight" activeCell="C1" sqref="C1"/>
    </sheetView>
  </sheetViews>
  <sheetFormatPr defaultColWidth="9.140625" defaultRowHeight="13.15"/>
  <cols>
    <col min="1" max="1" width="6" style="54" customWidth="1"/>
    <col min="2" max="2" width="28.140625" style="54" customWidth="1"/>
    <col min="3" max="3" width="15.28515625" style="54" customWidth="1"/>
    <col min="4" max="4" width="13.7109375" style="54" customWidth="1"/>
    <col min="5" max="5" width="13.28515625" style="54" customWidth="1"/>
    <col min="6" max="6" width="14.140625" style="54" customWidth="1"/>
    <col min="7" max="7" width="15.28515625" style="54" customWidth="1"/>
    <col min="8" max="9" width="13.7109375" style="54" customWidth="1"/>
    <col min="10" max="10" width="14.7109375" style="54" customWidth="1"/>
    <col min="11" max="11" width="16.7109375" style="54" customWidth="1"/>
    <col min="12" max="12" width="13.7109375" style="54" customWidth="1"/>
    <col min="13" max="13" width="12" style="54" customWidth="1"/>
    <col min="14" max="14" width="13.140625" style="54" customWidth="1"/>
    <col min="15" max="19" width="8.5703125" style="54" customWidth="1"/>
    <col min="20" max="16384" width="9.140625" style="54"/>
  </cols>
  <sheetData>
    <row r="1" spans="2:18">
      <c r="B1" s="390"/>
      <c r="C1" s="390"/>
    </row>
    <row r="2" spans="2:18">
      <c r="B2" s="3198" t="s">
        <v>237</v>
      </c>
      <c r="C2" s="3198"/>
      <c r="D2" s="3198"/>
      <c r="E2" s="3198"/>
      <c r="F2" s="3198"/>
      <c r="G2" s="3198"/>
      <c r="H2" s="3198"/>
      <c r="I2" s="3198"/>
      <c r="J2" s="3198"/>
    </row>
    <row r="3" spans="2:18">
      <c r="B3" s="443"/>
      <c r="C3" s="382"/>
      <c r="D3" s="382"/>
      <c r="E3" s="382"/>
      <c r="F3" s="382"/>
      <c r="G3" s="382"/>
      <c r="H3" s="382"/>
      <c r="I3" s="51" t="s">
        <v>238</v>
      </c>
      <c r="J3" s="382"/>
    </row>
    <row r="4" spans="2:18" s="52" customFormat="1">
      <c r="B4" s="1603" t="s">
        <v>225</v>
      </c>
      <c r="C4" s="1812" t="s">
        <v>125</v>
      </c>
      <c r="D4" s="1721" t="s">
        <v>92</v>
      </c>
      <c r="E4" s="1722" t="s">
        <v>93</v>
      </c>
      <c r="F4" s="1721" t="s">
        <v>95</v>
      </c>
      <c r="G4" s="1721" t="s">
        <v>129</v>
      </c>
      <c r="H4" s="1813" t="s">
        <v>239</v>
      </c>
      <c r="I4" s="1721" t="s">
        <v>132</v>
      </c>
      <c r="J4" s="1721" t="s">
        <v>133</v>
      </c>
      <c r="K4" s="1721" t="s">
        <v>99</v>
      </c>
      <c r="L4" s="214"/>
    </row>
    <row r="5" spans="2:18" s="52" customFormat="1">
      <c r="B5" s="1602" t="s">
        <v>226</v>
      </c>
      <c r="C5" s="1678">
        <v>44047977.078701451</v>
      </c>
      <c r="D5" s="1678">
        <v>3778104.8043328915</v>
      </c>
      <c r="E5" s="1678">
        <v>296138.54692580324</v>
      </c>
      <c r="F5" s="1678">
        <v>1797386.5255912277</v>
      </c>
      <c r="G5" s="1678">
        <v>88742934.402210012</v>
      </c>
      <c r="H5" s="1678">
        <v>1829729</v>
      </c>
      <c r="I5" s="1678">
        <v>18543182.977930989</v>
      </c>
      <c r="J5" s="1678">
        <v>6395654.75825</v>
      </c>
      <c r="K5" s="1678">
        <v>233672.07857142854</v>
      </c>
      <c r="L5" s="284"/>
      <c r="M5" s="305"/>
      <c r="N5" s="491"/>
      <c r="O5" s="305"/>
      <c r="P5" s="305"/>
      <c r="Q5" s="305"/>
      <c r="R5" s="305"/>
    </row>
    <row r="6" spans="2:18" s="52" customFormat="1">
      <c r="B6" s="1814" t="s">
        <v>227</v>
      </c>
      <c r="C6" s="1678">
        <v>805458.32834999997</v>
      </c>
      <c r="D6" s="1678">
        <v>164783.57696675663</v>
      </c>
      <c r="E6" s="1678">
        <v>159839.52002500801</v>
      </c>
      <c r="F6" s="1678">
        <v>108640.03200000001</v>
      </c>
      <c r="G6" s="1678">
        <v>3946417.9404200003</v>
      </c>
      <c r="H6" s="1678">
        <v>1046</v>
      </c>
      <c r="I6" s="1678">
        <v>1272698.8066</v>
      </c>
      <c r="J6" s="1678">
        <v>3747634.8200900001</v>
      </c>
      <c r="K6" s="1678"/>
      <c r="L6" s="264"/>
      <c r="M6" s="305"/>
      <c r="N6" s="491"/>
      <c r="O6" s="305"/>
      <c r="P6" s="305"/>
      <c r="Q6" s="305"/>
      <c r="R6" s="305"/>
    </row>
    <row r="7" spans="2:18" s="52" customFormat="1">
      <c r="B7" s="1814" t="s">
        <v>228</v>
      </c>
      <c r="C7" s="1678">
        <v>11977521.36712</v>
      </c>
      <c r="D7" s="1678">
        <v>47942.556860280863</v>
      </c>
      <c r="E7" s="1685"/>
      <c r="F7" s="1678">
        <v>894529.66319821926</v>
      </c>
      <c r="G7" s="1678">
        <v>25383241.937129997</v>
      </c>
      <c r="H7" s="1678">
        <v>1534827</v>
      </c>
      <c r="I7" s="1678">
        <v>6664824.8975678515</v>
      </c>
      <c r="J7" s="1678">
        <v>8032002.5095499996</v>
      </c>
      <c r="K7" s="1678">
        <v>7045.5002222582643</v>
      </c>
      <c r="L7" s="305"/>
      <c r="M7" s="305"/>
      <c r="N7" s="491"/>
      <c r="O7" s="305"/>
      <c r="P7" s="305"/>
      <c r="Q7" s="305"/>
      <c r="R7" s="305"/>
    </row>
    <row r="8" spans="2:18" s="52" customFormat="1">
      <c r="B8" s="1814" t="s">
        <v>229</v>
      </c>
      <c r="C8" s="1685"/>
      <c r="D8" s="1685"/>
      <c r="E8" s="1678">
        <v>147500</v>
      </c>
      <c r="F8" s="1685"/>
      <c r="G8" s="1678">
        <v>4268230.0017200001</v>
      </c>
      <c r="H8" s="1678"/>
      <c r="I8" s="1685"/>
      <c r="J8" s="1678">
        <v>0</v>
      </c>
      <c r="K8" s="1678"/>
      <c r="L8" s="305"/>
      <c r="M8" s="305"/>
      <c r="N8" s="491"/>
      <c r="O8" s="305"/>
      <c r="P8" s="305"/>
      <c r="R8" s="305"/>
    </row>
    <row r="9" spans="2:18" s="52" customFormat="1">
      <c r="B9" s="1814" t="s">
        <v>230</v>
      </c>
      <c r="C9" s="1678">
        <v>114413.72516999999</v>
      </c>
      <c r="D9" s="1678">
        <v>142186.46622451651</v>
      </c>
      <c r="E9" s="1678">
        <v>2705675.200588827</v>
      </c>
      <c r="F9" s="1678">
        <v>784297.29440486955</v>
      </c>
      <c r="G9" s="1678">
        <v>42825874</v>
      </c>
      <c r="H9" s="1678">
        <v>434482</v>
      </c>
      <c r="I9" s="1678">
        <v>4692300.2209787229</v>
      </c>
      <c r="J9" s="1678">
        <v>877692.29670000018</v>
      </c>
      <c r="K9" s="1678">
        <v>223035.43709999989</v>
      </c>
      <c r="L9" s="305"/>
      <c r="M9" s="305"/>
      <c r="N9" s="491"/>
      <c r="O9" s="305"/>
      <c r="P9" s="305"/>
      <c r="Q9" s="305"/>
      <c r="R9" s="305"/>
    </row>
    <row r="10" spans="2:18" s="52" customFormat="1">
      <c r="B10" s="1814" t="s">
        <v>231</v>
      </c>
      <c r="C10" s="1685"/>
      <c r="D10" s="1678"/>
      <c r="E10" s="1678"/>
      <c r="F10" s="1678">
        <v>89876.075816023993</v>
      </c>
      <c r="G10" s="1685"/>
      <c r="H10" s="1685"/>
      <c r="I10" s="1685"/>
      <c r="J10" s="1678">
        <v>1315169.9646300001</v>
      </c>
      <c r="K10" s="1678">
        <v>127602.49166827982</v>
      </c>
      <c r="L10" s="305"/>
      <c r="M10" s="305"/>
      <c r="N10" s="491"/>
      <c r="Q10" s="305"/>
      <c r="R10" s="305"/>
    </row>
    <row r="11" spans="2:18" s="52" customFormat="1">
      <c r="B11" s="1814" t="s">
        <v>240</v>
      </c>
      <c r="C11" s="1685"/>
      <c r="D11" s="1685"/>
      <c r="E11" s="1678">
        <v>211500</v>
      </c>
      <c r="F11" s="1678"/>
      <c r="G11" s="1685"/>
      <c r="H11" s="1685"/>
      <c r="I11" s="1685"/>
      <c r="J11" s="1685">
        <v>0</v>
      </c>
      <c r="K11" s="1685"/>
      <c r="L11" s="305"/>
      <c r="M11" s="305"/>
      <c r="N11" s="491"/>
    </row>
    <row r="12" spans="2:18" s="52" customFormat="1">
      <c r="B12" s="1814" t="s">
        <v>241</v>
      </c>
      <c r="C12" s="1678">
        <v>137581.25437000001</v>
      </c>
      <c r="D12" s="1678">
        <v>132086.89000000001</v>
      </c>
      <c r="E12" s="1685"/>
      <c r="F12" s="1678">
        <v>1902.6662299999596</v>
      </c>
      <c r="G12" s="1678">
        <v>499816.45397000003</v>
      </c>
      <c r="H12" s="1678">
        <v>13451</v>
      </c>
      <c r="I12" s="1678">
        <v>184249</v>
      </c>
      <c r="J12" s="1678">
        <v>299781.43399499997</v>
      </c>
      <c r="K12" s="1678"/>
      <c r="L12" s="305"/>
      <c r="M12" s="305"/>
      <c r="N12" s="491"/>
      <c r="O12" s="305"/>
      <c r="P12" s="305"/>
      <c r="Q12" s="305"/>
      <c r="R12" s="305"/>
    </row>
    <row r="13" spans="2:18" s="52" customFormat="1">
      <c r="B13" s="1814" t="s">
        <v>232</v>
      </c>
      <c r="C13" s="1678">
        <v>387432.39713</v>
      </c>
      <c r="D13" s="1685"/>
      <c r="E13" s="1685"/>
      <c r="F13" s="1678">
        <v>321812.16084999987</v>
      </c>
      <c r="G13" s="1678">
        <v>2703621.8594800001</v>
      </c>
      <c r="H13" s="1678">
        <v>34763</v>
      </c>
      <c r="I13" s="1678">
        <v>420914.28296183096</v>
      </c>
      <c r="J13" s="1678">
        <v>292099.23306</v>
      </c>
      <c r="K13" s="1678"/>
      <c r="L13" s="305"/>
      <c r="M13" s="685"/>
      <c r="N13" s="491"/>
      <c r="O13" s="305"/>
      <c r="P13" s="305"/>
      <c r="Q13" s="305"/>
      <c r="R13" s="305"/>
    </row>
    <row r="14" spans="2:18" s="52" customFormat="1" ht="26.45">
      <c r="B14" s="1815" t="s">
        <v>242</v>
      </c>
      <c r="C14" s="1678">
        <v>416494.45308999997</v>
      </c>
      <c r="D14" s="1678">
        <v>69467.09</v>
      </c>
      <c r="E14" s="52">
        <v>36821.56927</v>
      </c>
      <c r="F14" s="1678">
        <v>99334.58438</v>
      </c>
      <c r="G14" s="1678">
        <v>368088.80660000001</v>
      </c>
      <c r="H14" s="1678">
        <v>18301</v>
      </c>
      <c r="I14" s="1678">
        <v>18547</v>
      </c>
      <c r="J14" s="1678">
        <v>65996.672340000005</v>
      </c>
      <c r="K14" s="1678">
        <v>10331.803</v>
      </c>
      <c r="L14" s="305"/>
      <c r="M14" s="305"/>
      <c r="N14" s="491"/>
      <c r="O14" s="305"/>
      <c r="P14" s="305"/>
      <c r="Q14" s="305"/>
      <c r="R14" s="305"/>
    </row>
    <row r="15" spans="2:18" s="52" customFormat="1">
      <c r="B15" s="1814" t="s">
        <v>243</v>
      </c>
      <c r="C15" s="1678">
        <v>1331056.0017500005</v>
      </c>
      <c r="D15" s="1678">
        <v>73582.97</v>
      </c>
      <c r="E15" s="1678">
        <v>21478.544000000002</v>
      </c>
      <c r="F15" s="1678">
        <v>75284.032260000007</v>
      </c>
      <c r="G15" s="1678">
        <v>11835208.831239998</v>
      </c>
      <c r="H15" s="1678">
        <v>351860</v>
      </c>
      <c r="I15" s="1678">
        <v>260442</v>
      </c>
      <c r="J15" s="1678">
        <v>2376398.6934799999</v>
      </c>
      <c r="K15" s="1678"/>
      <c r="L15" s="305"/>
      <c r="M15" s="305"/>
      <c r="N15" s="491"/>
      <c r="O15" s="305"/>
      <c r="P15" s="305"/>
      <c r="Q15" s="305"/>
      <c r="R15" s="305"/>
    </row>
    <row r="16" spans="2:18" s="52" customFormat="1">
      <c r="B16" s="1814" t="s">
        <v>233</v>
      </c>
      <c r="C16" s="1678">
        <v>5207498.1916399989</v>
      </c>
      <c r="D16" s="1678">
        <v>3464345.91707</v>
      </c>
      <c r="E16" s="1678">
        <v>165436.91078199999</v>
      </c>
      <c r="F16" s="1678">
        <v>365123.32601236535</v>
      </c>
      <c r="G16" s="1678">
        <v>10553171.59189</v>
      </c>
      <c r="H16" s="1678">
        <v>186124</v>
      </c>
      <c r="I16" s="1678">
        <v>1114171.36747006</v>
      </c>
      <c r="J16" s="1678">
        <v>4346895.9476159802</v>
      </c>
      <c r="K16" s="1678">
        <v>12635.121419999999</v>
      </c>
      <c r="L16" s="305"/>
      <c r="M16" s="305"/>
      <c r="N16" s="491"/>
      <c r="O16" s="305"/>
      <c r="P16" s="305"/>
      <c r="Q16" s="305"/>
      <c r="R16" s="305"/>
    </row>
    <row r="17" spans="1:18" s="52" customFormat="1">
      <c r="B17" s="1814" t="s">
        <v>234</v>
      </c>
      <c r="C17" s="1678">
        <v>1212348.9905000001</v>
      </c>
      <c r="D17" s="1678">
        <v>115527.16869443274</v>
      </c>
      <c r="E17" s="1678">
        <v>30669</v>
      </c>
      <c r="F17" s="1678">
        <v>152225.56093000001</v>
      </c>
      <c r="G17" s="1678">
        <v>405331.38050007541</v>
      </c>
      <c r="H17" s="1678">
        <v>31754</v>
      </c>
      <c r="I17" s="1678">
        <v>547287.41099999996</v>
      </c>
      <c r="J17" s="1678">
        <v>346752.24874000001</v>
      </c>
      <c r="K17" s="1678">
        <v>522.59992171999806</v>
      </c>
      <c r="L17" s="305"/>
      <c r="M17" s="240"/>
      <c r="N17" s="491"/>
      <c r="O17" s="305"/>
      <c r="P17" s="305"/>
      <c r="Q17" s="305"/>
      <c r="R17" s="491"/>
    </row>
    <row r="18" spans="1:18" s="52" customFormat="1">
      <c r="B18" s="1689" t="s">
        <v>118</v>
      </c>
      <c r="C18" s="1691">
        <f t="shared" ref="C18:K18" si="0">SUM(C5:C17)</f>
        <v>65637781.787821442</v>
      </c>
      <c r="D18" s="1691">
        <f t="shared" si="0"/>
        <v>7988027.440148877</v>
      </c>
      <c r="E18" s="1691">
        <f t="shared" si="0"/>
        <v>3775059.2915916382</v>
      </c>
      <c r="F18" s="1691">
        <f t="shared" si="0"/>
        <v>4690411.9216727056</v>
      </c>
      <c r="G18" s="1691">
        <f t="shared" si="0"/>
        <v>191531937.20516008</v>
      </c>
      <c r="H18" s="1691">
        <f t="shared" si="0"/>
        <v>4436337</v>
      </c>
      <c r="I18" s="1691">
        <f t="shared" si="0"/>
        <v>33718617.964509457</v>
      </c>
      <c r="J18" s="1691">
        <f t="shared" si="0"/>
        <v>28096078.578450978</v>
      </c>
      <c r="K18" s="1691">
        <f t="shared" si="0"/>
        <v>614845.03190368647</v>
      </c>
      <c r="L18" s="305"/>
      <c r="M18" s="305"/>
      <c r="N18" s="305"/>
      <c r="O18" s="305"/>
      <c r="P18" s="305"/>
      <c r="Q18" s="305"/>
      <c r="R18" s="305"/>
    </row>
    <row r="19" spans="1:18" s="52" customFormat="1">
      <c r="B19" s="236"/>
      <c r="C19" s="279"/>
      <c r="D19" s="279"/>
      <c r="E19" s="279"/>
      <c r="F19" s="279"/>
      <c r="G19" s="279"/>
      <c r="H19" s="279"/>
      <c r="I19" s="279"/>
      <c r="J19" s="279"/>
    </row>
    <row r="20" spans="1:18" s="52" customFormat="1">
      <c r="C20" s="279"/>
      <c r="D20" s="279"/>
      <c r="E20" s="279"/>
      <c r="F20" s="279"/>
      <c r="G20" s="279"/>
      <c r="H20" s="279"/>
      <c r="I20" s="279"/>
      <c r="J20" s="264">
        <v>8</v>
      </c>
    </row>
    <row r="21" spans="1:18" s="52" customFormat="1">
      <c r="C21" s="279"/>
      <c r="D21" s="279"/>
      <c r="E21" s="279"/>
      <c r="F21" s="279"/>
      <c r="G21" s="279"/>
      <c r="H21" s="279"/>
      <c r="I21" s="279"/>
      <c r="J21" s="279"/>
    </row>
    <row r="22" spans="1:18" s="52" customFormat="1">
      <c r="B22" s="3198" t="s">
        <v>244</v>
      </c>
      <c r="C22" s="3198"/>
      <c r="D22" s="3198"/>
      <c r="E22" s="3198"/>
      <c r="F22" s="3198"/>
      <c r="G22" s="3198"/>
      <c r="H22" s="3198"/>
      <c r="I22" s="3198"/>
      <c r="J22" s="3198"/>
    </row>
    <row r="23" spans="1:18" s="52" customFormat="1">
      <c r="B23" s="492"/>
      <c r="C23" s="492"/>
      <c r="D23" s="492"/>
      <c r="E23" s="492"/>
      <c r="F23" s="492"/>
      <c r="G23" s="492"/>
      <c r="H23" s="492"/>
      <c r="I23" s="51" t="s">
        <v>238</v>
      </c>
      <c r="J23" s="492"/>
    </row>
    <row r="24" spans="1:18">
      <c r="A24" s="52"/>
      <c r="B24" s="1603" t="s">
        <v>225</v>
      </c>
      <c r="C24" s="1812" t="s">
        <v>106</v>
      </c>
      <c r="D24" s="1721" t="s">
        <v>107</v>
      </c>
      <c r="E24" s="1721" t="s">
        <v>109</v>
      </c>
      <c r="F24" s="1721" t="s">
        <v>113</v>
      </c>
      <c r="G24" s="1721" t="s">
        <v>115</v>
      </c>
      <c r="H24" s="1813" t="s">
        <v>116</v>
      </c>
      <c r="I24" s="1721" t="s">
        <v>117</v>
      </c>
      <c r="J24" s="1708" t="s">
        <v>118</v>
      </c>
    </row>
    <row r="25" spans="1:18" s="52" customFormat="1">
      <c r="B25" s="1602" t="s">
        <v>226</v>
      </c>
      <c r="C25" s="1678">
        <v>1361753.7426386897</v>
      </c>
      <c r="D25" s="1678">
        <v>5069805.7916999999</v>
      </c>
      <c r="E25" s="1678">
        <v>776921.42572523444</v>
      </c>
      <c r="F25" s="1678">
        <v>567007.20197757182</v>
      </c>
      <c r="G25" s="1678">
        <v>76921739.778069988</v>
      </c>
      <c r="H25" s="1816">
        <v>26749495</v>
      </c>
      <c r="I25" s="1678">
        <v>49550740</v>
      </c>
      <c r="J25" s="1690">
        <f>C5+D5+E5+F5+G5+H5+I5+J5+C25+D25+E25+F25+G25+H25+I25+K5</f>
        <v>326662243.1126253</v>
      </c>
      <c r="K25" s="305"/>
      <c r="L25" s="182"/>
      <c r="M25" s="493"/>
      <c r="N25" s="305"/>
      <c r="O25" s="305"/>
      <c r="P25" s="305"/>
    </row>
    <row r="26" spans="1:18" s="52" customFormat="1" ht="14.45">
      <c r="B26" s="1814" t="s">
        <v>227</v>
      </c>
      <c r="C26" s="1678">
        <v>225386.17324999999</v>
      </c>
      <c r="D26" s="1678">
        <v>89550</v>
      </c>
      <c r="E26" s="1678"/>
      <c r="F26" s="1678">
        <v>578781.50459999999</v>
      </c>
      <c r="G26" s="1678">
        <v>30142019.981599998</v>
      </c>
      <c r="H26" s="1817">
        <v>1437071</v>
      </c>
      <c r="I26" s="1678">
        <v>5034838</v>
      </c>
      <c r="J26" s="1690">
        <f t="shared" ref="J26:J37" si="1">C6+D6+E6+F6+G6+H6+I6+J6+C26+D26+E26+F26+G26+H26+I26+K6</f>
        <v>47714165.683901757</v>
      </c>
      <c r="K26" s="419"/>
      <c r="L26" s="182"/>
      <c r="M26" s="493"/>
      <c r="N26" s="305"/>
      <c r="O26" s="305"/>
      <c r="P26" s="305"/>
    </row>
    <row r="27" spans="1:18" s="52" customFormat="1">
      <c r="B27" s="1814" t="s">
        <v>228</v>
      </c>
      <c r="C27" s="1678">
        <v>387217.29622561904</v>
      </c>
      <c r="D27" s="1678">
        <v>3767721.8119899998</v>
      </c>
      <c r="E27" s="1685"/>
      <c r="F27" s="1678">
        <v>491430.19431506848</v>
      </c>
      <c r="G27" s="1678">
        <v>53265206.631289996</v>
      </c>
      <c r="H27" s="1816">
        <v>11312882</v>
      </c>
      <c r="I27" s="1678">
        <v>11032110</v>
      </c>
      <c r="J27" s="1690">
        <f>C7+D7+E7+F7+G7+H7+I7+J7+C27+D27+E27+F27+G27+H27+I27+K7</f>
        <v>134798503.36546931</v>
      </c>
      <c r="K27" s="305"/>
      <c r="L27" s="182"/>
      <c r="M27" s="493"/>
      <c r="N27" s="305"/>
      <c r="O27" s="305"/>
    </row>
    <row r="28" spans="1:18" s="52" customFormat="1">
      <c r="B28" s="1814" t="s">
        <v>229</v>
      </c>
      <c r="C28" s="1678">
        <v>425000</v>
      </c>
      <c r="D28" s="1685"/>
      <c r="E28" s="1685"/>
      <c r="F28" s="1685"/>
      <c r="G28" s="1816"/>
      <c r="H28" s="1816"/>
      <c r="I28" s="1678"/>
      <c r="J28" s="1690">
        <f t="shared" si="1"/>
        <v>4840730.0017200001</v>
      </c>
      <c r="K28" s="305"/>
      <c r="L28" s="182"/>
      <c r="M28" s="493"/>
      <c r="N28" s="305"/>
      <c r="O28" s="305"/>
    </row>
    <row r="29" spans="1:18" s="52" customFormat="1">
      <c r="B29" s="1814" t="s">
        <v>230</v>
      </c>
      <c r="C29" s="1678">
        <v>439675.52812964621</v>
      </c>
      <c r="D29" s="1678">
        <v>256715.01259</v>
      </c>
      <c r="E29" s="1678">
        <v>170180.55913575343</v>
      </c>
      <c r="F29" s="1678">
        <v>558769.13899999997</v>
      </c>
      <c r="G29" s="1678">
        <v>17758450.893001899</v>
      </c>
      <c r="H29" s="1816">
        <v>522007</v>
      </c>
      <c r="I29" s="1816">
        <v>541402</v>
      </c>
      <c r="J29" s="1690">
        <f t="shared" si="1"/>
        <v>73047156.773024216</v>
      </c>
      <c r="K29" s="305"/>
      <c r="L29" s="182"/>
      <c r="M29" s="493"/>
      <c r="N29" s="305"/>
      <c r="O29" s="305"/>
    </row>
    <row r="30" spans="1:18" s="52" customFormat="1">
      <c r="B30" s="1814" t="s">
        <v>231</v>
      </c>
      <c r="C30" s="1678"/>
      <c r="D30" s="1678"/>
      <c r="E30" s="1678">
        <v>53550.747229400004</v>
      </c>
      <c r="F30" s="1678">
        <v>187.42171925400004</v>
      </c>
      <c r="G30" s="1678">
        <v>2645045</v>
      </c>
      <c r="H30" s="1816">
        <v>2578400</v>
      </c>
      <c r="I30" s="1678"/>
      <c r="J30" s="1690">
        <f t="shared" si="1"/>
        <v>6809831.7010629587</v>
      </c>
      <c r="K30" s="305"/>
      <c r="L30" s="182"/>
      <c r="M30" s="493"/>
      <c r="N30" s="305"/>
      <c r="O30" s="305"/>
    </row>
    <row r="31" spans="1:18" s="52" customFormat="1">
      <c r="B31" s="1814" t="s">
        <v>240</v>
      </c>
      <c r="C31" s="1685"/>
      <c r="D31" s="1685"/>
      <c r="E31" s="1685"/>
      <c r="F31" s="1685"/>
      <c r="G31" s="1685"/>
      <c r="H31" s="1685"/>
      <c r="I31" s="1685"/>
      <c r="J31" s="1690">
        <f t="shared" si="1"/>
        <v>211500</v>
      </c>
      <c r="L31" s="182"/>
      <c r="M31" s="493"/>
    </row>
    <row r="32" spans="1:18" s="52" customFormat="1">
      <c r="B32" s="1814" t="s">
        <v>241</v>
      </c>
      <c r="C32" s="1685"/>
      <c r="D32" s="1678">
        <v>60236.644</v>
      </c>
      <c r="E32" s="1678">
        <v>4966.6695399999999</v>
      </c>
      <c r="F32" s="1678">
        <v>18772.830550000002</v>
      </c>
      <c r="G32" s="1678">
        <v>992021</v>
      </c>
      <c r="H32" s="1816">
        <v>568379</v>
      </c>
      <c r="I32" s="1678">
        <v>556985</v>
      </c>
      <c r="J32" s="1690">
        <f t="shared" si="1"/>
        <v>3470229.8426550003</v>
      </c>
      <c r="L32" s="182"/>
      <c r="M32" s="493"/>
      <c r="N32" s="305"/>
      <c r="O32" s="305"/>
    </row>
    <row r="33" spans="2:15" s="52" customFormat="1">
      <c r="B33" s="1814" t="s">
        <v>232</v>
      </c>
      <c r="C33" s="1678">
        <v>110935</v>
      </c>
      <c r="D33" s="1678">
        <v>89614.062959999996</v>
      </c>
      <c r="E33" s="1678">
        <v>2978.4459100000004</v>
      </c>
      <c r="F33" s="1678">
        <v>228783.23789000002</v>
      </c>
      <c r="G33" s="1678">
        <v>1966671</v>
      </c>
      <c r="H33" s="1816">
        <v>265060</v>
      </c>
      <c r="I33" s="1678">
        <v>2118116</v>
      </c>
      <c r="J33" s="1690">
        <f>C13+D13+E13+F13+G13+H13+I13+J13+C33+D33+E33+F33+G33+H33+I33+K13</f>
        <v>8942800.6802418306</v>
      </c>
      <c r="K33" s="305"/>
      <c r="L33" s="182"/>
      <c r="M33" s="493"/>
      <c r="N33" s="305"/>
      <c r="O33" s="305"/>
    </row>
    <row r="34" spans="2:15" s="52" customFormat="1" ht="26.45">
      <c r="B34" s="1815" t="s">
        <v>242</v>
      </c>
      <c r="C34" s="1678">
        <v>14146.745999999999</v>
      </c>
      <c r="D34" s="1678">
        <v>406794.44329999998</v>
      </c>
      <c r="E34" s="1678">
        <v>1709.6690000000003</v>
      </c>
      <c r="F34" s="1678">
        <v>23396.715510000002</v>
      </c>
      <c r="G34" s="1678">
        <v>675083</v>
      </c>
      <c r="H34" s="1816">
        <v>1763388</v>
      </c>
      <c r="I34" s="1678">
        <v>878441</v>
      </c>
      <c r="J34" s="1690">
        <f t="shared" si="1"/>
        <v>4866342.5524900006</v>
      </c>
      <c r="K34" s="305"/>
      <c r="L34" s="182"/>
      <c r="M34" s="493"/>
      <c r="N34" s="305"/>
      <c r="O34" s="305"/>
    </row>
    <row r="35" spans="2:15" s="52" customFormat="1">
      <c r="B35" s="1814" t="s">
        <v>243</v>
      </c>
      <c r="C35" s="1678">
        <v>13150.120260000002</v>
      </c>
      <c r="D35" s="1678">
        <v>24708.033439999999</v>
      </c>
      <c r="E35" s="1678">
        <v>74.069160000000039</v>
      </c>
      <c r="F35" s="1678">
        <v>132208.25925999996</v>
      </c>
      <c r="G35" s="1685">
        <v>95450.899969999999</v>
      </c>
      <c r="H35" s="1816">
        <v>579357</v>
      </c>
      <c r="I35" s="1678">
        <v>2759687</v>
      </c>
      <c r="J35" s="1690">
        <f t="shared" si="1"/>
        <v>19929946.45482</v>
      </c>
      <c r="K35" s="305"/>
      <c r="L35" s="342"/>
      <c r="M35" s="493"/>
      <c r="N35" s="305"/>
      <c r="O35" s="305"/>
    </row>
    <row r="36" spans="2:15" s="52" customFormat="1">
      <c r="B36" s="1814" t="s">
        <v>233</v>
      </c>
      <c r="C36" s="1678">
        <v>108110.54429000001</v>
      </c>
      <c r="D36" s="1678">
        <v>227805.49109999998</v>
      </c>
      <c r="E36" s="1678">
        <v>5123.23218000011</v>
      </c>
      <c r="F36" s="1678">
        <v>356558.28587999998</v>
      </c>
      <c r="G36" s="1678">
        <v>4341339.1395399999</v>
      </c>
      <c r="H36" s="1816">
        <v>1732360</v>
      </c>
      <c r="I36" s="1678">
        <v>2544356</v>
      </c>
      <c r="J36" s="1690">
        <f t="shared" si="1"/>
        <v>34731055.066890404</v>
      </c>
      <c r="K36" s="305"/>
      <c r="L36" s="342"/>
      <c r="M36" s="493"/>
      <c r="N36" s="305"/>
      <c r="O36" s="305"/>
    </row>
    <row r="37" spans="2:15" s="52" customFormat="1">
      <c r="B37" s="1747" t="s">
        <v>234</v>
      </c>
      <c r="C37" s="1678">
        <v>37518.435160000001</v>
      </c>
      <c r="D37" s="1678">
        <v>341063.12514999998</v>
      </c>
      <c r="E37" s="1678">
        <v>6880.9843299999993</v>
      </c>
      <c r="F37" s="1678">
        <v>64539</v>
      </c>
      <c r="G37" s="1678">
        <v>601597</v>
      </c>
      <c r="H37" s="1816">
        <v>739944</v>
      </c>
      <c r="I37" s="1678">
        <v>952332</v>
      </c>
      <c r="J37" s="1690">
        <f t="shared" si="1"/>
        <v>5586292.9049262274</v>
      </c>
      <c r="K37" s="491"/>
      <c r="L37" s="342"/>
      <c r="M37" s="493"/>
      <c r="N37" s="305"/>
      <c r="O37" s="305"/>
    </row>
    <row r="38" spans="2:15" s="52" customFormat="1">
      <c r="B38" s="1689" t="s">
        <v>118</v>
      </c>
      <c r="C38" s="1691">
        <f t="shared" ref="C38:I38" si="2">SUM(C25:C37)</f>
        <v>3122893.5859539551</v>
      </c>
      <c r="D38" s="1691">
        <f t="shared" si="2"/>
        <v>10334014.416230001</v>
      </c>
      <c r="E38" s="1691">
        <f t="shared" si="2"/>
        <v>1022385.802210388</v>
      </c>
      <c r="F38" s="1691">
        <f t="shared" si="2"/>
        <v>3020433.7907018936</v>
      </c>
      <c r="G38" s="1691">
        <f t="shared" si="2"/>
        <v>189404624.32347187</v>
      </c>
      <c r="H38" s="1691">
        <f t="shared" si="2"/>
        <v>48248343</v>
      </c>
      <c r="I38" s="1691">
        <f t="shared" si="2"/>
        <v>75969007</v>
      </c>
      <c r="J38" s="1691">
        <f>SUM(J25:J37)</f>
        <v>671610798.13982689</v>
      </c>
      <c r="K38" s="305"/>
      <c r="L38" s="517"/>
      <c r="M38" s="493"/>
      <c r="N38" s="305"/>
      <c r="O38" s="305"/>
    </row>
    <row r="39" spans="2:15">
      <c r="C39" s="342"/>
      <c r="D39" s="342"/>
      <c r="E39" s="342"/>
      <c r="F39" s="342"/>
      <c r="G39" s="342"/>
      <c r="H39" s="342"/>
      <c r="I39" s="342"/>
      <c r="J39" s="342"/>
      <c r="M39" s="493"/>
    </row>
    <row r="40" spans="2:15">
      <c r="B40" s="3274" t="s">
        <v>245</v>
      </c>
      <c r="C40" s="3274"/>
      <c r="D40" s="3274"/>
      <c r="E40" s="3274"/>
      <c r="F40" s="3274"/>
      <c r="G40" s="342"/>
      <c r="H40" s="342"/>
      <c r="I40" s="342"/>
      <c r="J40" s="342"/>
      <c r="M40" s="493"/>
    </row>
    <row r="41" spans="2:15">
      <c r="C41" s="342"/>
      <c r="D41" s="342"/>
      <c r="E41" s="342"/>
      <c r="F41" s="342"/>
      <c r="G41" s="342"/>
      <c r="H41" s="342"/>
      <c r="I41" s="342"/>
      <c r="J41" s="346">
        <v>9</v>
      </c>
      <c r="M41" s="493"/>
    </row>
    <row r="42" spans="2:15">
      <c r="B42" s="2"/>
      <c r="C42" s="451"/>
      <c r="D42" s="451"/>
      <c r="E42" s="451"/>
      <c r="F42" s="451"/>
      <c r="G42" s="451"/>
      <c r="H42" s="451"/>
      <c r="I42" s="451"/>
      <c r="J42" s="77"/>
      <c r="M42" s="493"/>
    </row>
    <row r="43" spans="2:15">
      <c r="B43" s="384"/>
      <c r="C43" s="452"/>
      <c r="D43" s="452"/>
      <c r="E43" s="452"/>
      <c r="F43" s="452"/>
      <c r="G43" s="452"/>
      <c r="H43" s="452"/>
      <c r="I43" s="452"/>
      <c r="J43" s="452"/>
      <c r="M43" s="493"/>
    </row>
    <row r="44" spans="2:15">
      <c r="B44" s="489"/>
      <c r="C44" s="493"/>
      <c r="D44" s="493"/>
      <c r="E44" s="493"/>
      <c r="F44" s="493"/>
      <c r="G44" s="493"/>
      <c r="H44" s="493"/>
      <c r="I44" s="493"/>
      <c r="J44" s="493"/>
      <c r="M44" s="493"/>
    </row>
    <row r="46" spans="2:15">
      <c r="J46" s="77">
        <f>+J38-'7. Concentration of Assets-LTIB'!E15</f>
        <v>0</v>
      </c>
    </row>
  </sheetData>
  <mergeCells count="3">
    <mergeCell ref="B2:J2"/>
    <mergeCell ref="B22:J22"/>
    <mergeCell ref="B40:F40"/>
  </mergeCells>
  <pageMargins left="0.22" right="0.24" top="0.19" bottom="0.28999999999999998" header="0.17" footer="0.17"/>
  <pageSetup paperSize="9" scale="83" orientation="landscape" r:id="rId1"/>
  <rowBreaks count="1" manualBreakCount="1">
    <brk id="20" max="10" man="1"/>
  </rowBreaks>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6699"/>
  </sheetPr>
  <dimension ref="A1:N49"/>
  <sheetViews>
    <sheetView showGridLines="0" view="pageBreakPreview" topLeftCell="A12" zoomScaleNormal="100" zoomScaleSheetLayoutView="100" workbookViewId="0">
      <selection activeCell="H17" sqref="H17"/>
    </sheetView>
  </sheetViews>
  <sheetFormatPr defaultColWidth="9.140625" defaultRowHeight="13.15"/>
  <cols>
    <col min="1" max="1" width="3.140625" style="2" customWidth="1"/>
    <col min="2" max="2" width="37.85546875" style="2" customWidth="1"/>
    <col min="3" max="3" width="18" style="2" customWidth="1"/>
    <col min="4" max="4" width="15.5703125" style="2" customWidth="1"/>
    <col min="5" max="5" width="15.140625" style="2" customWidth="1"/>
    <col min="6" max="6" width="14.7109375" style="2" bestFit="1" customWidth="1"/>
    <col min="7" max="7" width="16.85546875" style="54" bestFit="1" customWidth="1"/>
    <col min="8" max="8" width="14.5703125" style="2" bestFit="1" customWidth="1"/>
    <col min="9" max="9" width="14.42578125" style="2" customWidth="1"/>
    <col min="10" max="10" width="14.85546875" style="2" bestFit="1" customWidth="1"/>
    <col min="11" max="11" width="15.42578125" style="2" bestFit="1" customWidth="1"/>
    <col min="12" max="12" width="14.85546875" style="2" customWidth="1"/>
    <col min="13" max="13" width="11.42578125" style="2" customWidth="1"/>
    <col min="14" max="14" width="12.5703125" style="2" customWidth="1"/>
    <col min="15" max="15" width="10.42578125" style="2" bestFit="1" customWidth="1"/>
    <col min="16" max="16" width="14" style="2" bestFit="1" customWidth="1"/>
    <col min="17" max="17" width="11.28515625" style="2" bestFit="1" customWidth="1"/>
    <col min="18" max="18" width="13.42578125" style="2" bestFit="1" customWidth="1"/>
    <col min="19" max="20" width="13.42578125" style="2" customWidth="1"/>
    <col min="21" max="21" width="14.85546875" style="2" bestFit="1" customWidth="1"/>
    <col min="22" max="22" width="13.28515625" style="2" bestFit="1" customWidth="1"/>
    <col min="23" max="16384" width="9.140625" style="2"/>
  </cols>
  <sheetData>
    <row r="1" spans="1:14">
      <c r="B1" s="1"/>
    </row>
    <row r="2" spans="1:14">
      <c r="B2" s="3237" t="s">
        <v>246</v>
      </c>
      <c r="C2" s="3237"/>
      <c r="D2" s="3237"/>
    </row>
    <row r="3" spans="1:14">
      <c r="B3" s="391"/>
      <c r="C3" s="453"/>
    </row>
    <row r="4" spans="1:14">
      <c r="B4" s="3211" t="s">
        <v>225</v>
      </c>
      <c r="C4" s="3275" t="s">
        <v>138</v>
      </c>
      <c r="D4" s="3276"/>
      <c r="E4" s="3275" t="s">
        <v>139</v>
      </c>
      <c r="F4" s="3276"/>
    </row>
    <row r="5" spans="1:14">
      <c r="B5" s="3213"/>
      <c r="C5" s="1604" t="s">
        <v>220</v>
      </c>
      <c r="D5" s="1604" t="s">
        <v>159</v>
      </c>
      <c r="E5" s="1604" t="s">
        <v>220</v>
      </c>
      <c r="F5" s="1604" t="s">
        <v>159</v>
      </c>
    </row>
    <row r="6" spans="1:14" s="292" customFormat="1">
      <c r="B6" s="1450" t="s">
        <v>226</v>
      </c>
      <c r="C6" s="1124">
        <v>76232271.07315743</v>
      </c>
      <c r="D6" s="3192">
        <f>(C6/$C$17)*100</f>
        <v>30.558100645277808</v>
      </c>
      <c r="E6" s="3074">
        <v>92500674.252093777</v>
      </c>
      <c r="F6" s="3193">
        <f>(E6/$E$17)*100</f>
        <v>32.970575670963399</v>
      </c>
      <c r="G6" s="396"/>
      <c r="H6" s="396"/>
      <c r="N6" s="396"/>
    </row>
    <row r="7" spans="1:14" s="292" customFormat="1">
      <c r="B7" s="1738" t="s">
        <v>227</v>
      </c>
      <c r="C7" s="1124">
        <v>35074692.184</v>
      </c>
      <c r="D7" s="3192">
        <f>(C7/$C$17)*100</f>
        <v>14.059872003973577</v>
      </c>
      <c r="E7" s="3074">
        <v>33041242.490000002</v>
      </c>
      <c r="F7" s="3193">
        <f t="shared" ref="F7:F16" si="0">(E7/$E$17)*100</f>
        <v>11.777090216772528</v>
      </c>
      <c r="G7" s="396"/>
      <c r="H7" s="396"/>
      <c r="N7" s="396"/>
    </row>
    <row r="8" spans="1:14" s="292" customFormat="1">
      <c r="B8" s="1738" t="s">
        <v>228</v>
      </c>
      <c r="C8" s="1124">
        <v>20092439.294369999</v>
      </c>
      <c r="D8" s="3192">
        <f t="shared" ref="D8:D16" si="1">(C8/$C$17)*100</f>
        <v>8.0541583442696023</v>
      </c>
      <c r="E8" s="3074">
        <v>18520478.302609999</v>
      </c>
      <c r="F8" s="3193">
        <f t="shared" si="0"/>
        <v>6.6013662740930439</v>
      </c>
      <c r="G8" s="396"/>
      <c r="H8" s="396"/>
    </row>
    <row r="9" spans="1:14" s="292" customFormat="1">
      <c r="B9" s="1738" t="s">
        <v>229</v>
      </c>
      <c r="C9" s="1124">
        <v>2205700</v>
      </c>
      <c r="D9" s="3192">
        <f t="shared" si="1"/>
        <v>0.8841662677031612</v>
      </c>
      <c r="E9" s="3074">
        <v>4587900</v>
      </c>
      <c r="F9" s="3193">
        <f t="shared" si="0"/>
        <v>1.6352929894171992</v>
      </c>
      <c r="G9" s="396"/>
      <c r="H9" s="396"/>
    </row>
    <row r="10" spans="1:14" s="292" customFormat="1">
      <c r="B10" s="1738" t="s">
        <v>230</v>
      </c>
      <c r="C10" s="1124">
        <v>23474558.542249672</v>
      </c>
      <c r="D10" s="3192">
        <f t="shared" si="1"/>
        <v>9.4098983598314625</v>
      </c>
      <c r="E10" s="3074">
        <v>28822782</v>
      </c>
      <c r="F10" s="3193">
        <f t="shared" si="0"/>
        <v>10.273478789882134</v>
      </c>
      <c r="G10" s="396"/>
      <c r="H10" s="396"/>
    </row>
    <row r="11" spans="1:14" s="292" customFormat="1">
      <c r="A11" s="292" t="s">
        <v>247</v>
      </c>
      <c r="B11" s="1738" t="s">
        <v>231</v>
      </c>
      <c r="C11" s="1124">
        <v>7320603.7139999997</v>
      </c>
      <c r="D11" s="3192">
        <f t="shared" si="1"/>
        <v>2.9345019101152832</v>
      </c>
      <c r="E11" s="3074">
        <v>2690860</v>
      </c>
      <c r="F11" s="3193">
        <f t="shared" si="0"/>
        <v>0.95911953039585962</v>
      </c>
      <c r="G11" s="396"/>
      <c r="H11" s="396"/>
    </row>
    <row r="12" spans="1:14" s="292" customFormat="1">
      <c r="B12" s="1738" t="s">
        <v>248</v>
      </c>
      <c r="C12" s="1124">
        <v>14838220.992212223</v>
      </c>
      <c r="D12" s="3192">
        <f t="shared" si="1"/>
        <v>5.9479777277231625</v>
      </c>
      <c r="E12" s="3074">
        <v>18642219.75403402</v>
      </c>
      <c r="F12" s="3193">
        <f t="shared" si="0"/>
        <v>6.6447593171051365</v>
      </c>
      <c r="G12" s="396"/>
      <c r="H12" s="396"/>
    </row>
    <row r="13" spans="1:14" s="292" customFormat="1" ht="26.45">
      <c r="B13" s="1794" t="s">
        <v>242</v>
      </c>
      <c r="C13" s="1124">
        <v>29196682.122998092</v>
      </c>
      <c r="D13" s="3192">
        <f t="shared" si="1"/>
        <v>11.703641230451483</v>
      </c>
      <c r="E13" s="3074">
        <v>33332644.587803699</v>
      </c>
      <c r="F13" s="3193">
        <f t="shared" si="0"/>
        <v>11.88095643173795</v>
      </c>
      <c r="G13" s="396"/>
      <c r="H13" s="396"/>
    </row>
    <row r="14" spans="1:14" s="292" customFormat="1">
      <c r="B14" s="1738" t="s">
        <v>243</v>
      </c>
      <c r="C14" s="1124">
        <v>21033703.516290803</v>
      </c>
      <c r="D14" s="3192">
        <f t="shared" si="1"/>
        <v>8.4314689821706015</v>
      </c>
      <c r="E14" s="3074">
        <v>22293618.194446407</v>
      </c>
      <c r="F14" s="3193">
        <f t="shared" si="0"/>
        <v>7.9462493825327325</v>
      </c>
      <c r="G14" s="396"/>
      <c r="H14" s="396"/>
    </row>
    <row r="15" spans="1:14" s="292" customFormat="1" ht="14.45">
      <c r="B15" s="1738" t="s">
        <v>233</v>
      </c>
      <c r="C15" s="1818">
        <v>14540716.126894001</v>
      </c>
      <c r="D15" s="3192">
        <f t="shared" si="1"/>
        <v>5.8287213617658953</v>
      </c>
      <c r="E15" s="1819">
        <v>19257078.821557306</v>
      </c>
      <c r="F15" s="3193">
        <f t="shared" si="0"/>
        <v>6.86391725921382</v>
      </c>
      <c r="G15" s="396"/>
      <c r="H15" s="396"/>
    </row>
    <row r="16" spans="1:14" s="292" customFormat="1">
      <c r="B16" s="1738" t="s">
        <v>234</v>
      </c>
      <c r="C16" s="1124">
        <v>5457066</v>
      </c>
      <c r="D16" s="3192">
        <f t="shared" si="1"/>
        <v>2.1874931667179665</v>
      </c>
      <c r="E16" s="1123">
        <v>6865731.1306699999</v>
      </c>
      <c r="F16" s="3193">
        <f t="shared" si="0"/>
        <v>2.4471941378861941</v>
      </c>
      <c r="G16" s="396"/>
      <c r="H16" s="396"/>
    </row>
    <row r="17" spans="2:8">
      <c r="B17" s="1754" t="s">
        <v>118</v>
      </c>
      <c r="C17" s="1691">
        <f>SUM(C6:C16)</f>
        <v>249466653.56617221</v>
      </c>
      <c r="D17" s="1820">
        <f>SUM(D6:D16)</f>
        <v>100</v>
      </c>
      <c r="E17" s="1737">
        <f>SUM(E6:E16)</f>
        <v>280555229.53321522</v>
      </c>
      <c r="F17" s="1737">
        <f>SUM(F6:F16)</f>
        <v>100.00000000000001</v>
      </c>
      <c r="G17" s="396"/>
      <c r="H17" s="396"/>
    </row>
    <row r="18" spans="2:8">
      <c r="B18" s="728"/>
      <c r="C18" s="728"/>
      <c r="D18" s="728"/>
      <c r="E18" s="550"/>
      <c r="F18" s="550"/>
      <c r="G18" s="396"/>
      <c r="H18" s="396"/>
    </row>
    <row r="19" spans="2:8">
      <c r="B19" s="204" t="s">
        <v>249</v>
      </c>
      <c r="C19" s="204"/>
      <c r="D19" s="204"/>
    </row>
    <row r="20" spans="2:8">
      <c r="B20" s="204" t="s">
        <v>250</v>
      </c>
      <c r="C20" s="204"/>
      <c r="D20" s="204"/>
    </row>
    <row r="21" spans="2:8">
      <c r="B21" s="295"/>
      <c r="C21" s="295"/>
      <c r="D21" s="292"/>
      <c r="F21" s="292">
        <v>10</v>
      </c>
    </row>
    <row r="22" spans="2:8">
      <c r="B22" s="295"/>
      <c r="C22" s="295"/>
      <c r="D22" s="295"/>
    </row>
    <row r="23" spans="2:8">
      <c r="B23" s="54"/>
      <c r="C23" s="392"/>
      <c r="D23" s="392"/>
    </row>
    <row r="24" spans="2:8">
      <c r="B24" s="233"/>
      <c r="C24" s="381"/>
      <c r="D24" s="381"/>
      <c r="E24" s="381"/>
    </row>
    <row r="25" spans="2:8">
      <c r="B25" s="233"/>
      <c r="C25" s="240"/>
      <c r="E25" s="240"/>
    </row>
    <row r="26" spans="2:8">
      <c r="B26" s="233"/>
    </row>
    <row r="27" spans="2:8">
      <c r="B27" s="233"/>
    </row>
    <row r="28" spans="2:8">
      <c r="B28" s="233"/>
    </row>
    <row r="29" spans="2:8">
      <c r="B29" s="233"/>
    </row>
    <row r="30" spans="2:8">
      <c r="B30" s="233"/>
    </row>
    <row r="31" spans="2:8">
      <c r="B31" s="233"/>
    </row>
    <row r="32" spans="2:8">
      <c r="B32" s="233"/>
    </row>
    <row r="33" spans="2:2">
      <c r="B33" s="233"/>
    </row>
    <row r="34" spans="2:2">
      <c r="B34" s="233"/>
    </row>
    <row r="35" spans="2:2">
      <c r="B35" s="233"/>
    </row>
    <row r="36" spans="2:2">
      <c r="B36" s="233"/>
    </row>
    <row r="37" spans="2:2">
      <c r="B37" s="233"/>
    </row>
    <row r="38" spans="2:2">
      <c r="B38" s="233"/>
    </row>
    <row r="39" spans="2:2">
      <c r="B39" s="233"/>
    </row>
    <row r="40" spans="2:2">
      <c r="B40" s="233"/>
    </row>
    <row r="41" spans="2:2">
      <c r="B41" s="233"/>
    </row>
    <row r="42" spans="2:2">
      <c r="B42" s="233"/>
    </row>
    <row r="43" spans="2:2">
      <c r="B43" s="233"/>
    </row>
    <row r="44" spans="2:2">
      <c r="B44" s="233"/>
    </row>
    <row r="45" spans="2:2">
      <c r="B45" s="233"/>
    </row>
    <row r="46" spans="2:2">
      <c r="B46" s="233"/>
    </row>
    <row r="47" spans="2:2">
      <c r="B47" s="233"/>
    </row>
    <row r="48" spans="2:2">
      <c r="B48" s="233"/>
    </row>
    <row r="49" spans="3:3">
      <c r="C49" s="2">
        <v>10</v>
      </c>
    </row>
  </sheetData>
  <mergeCells count="4">
    <mergeCell ref="B2:D2"/>
    <mergeCell ref="B4:B5"/>
    <mergeCell ref="C4:D4"/>
    <mergeCell ref="E4:F4"/>
  </mergeCells>
  <pageMargins left="0.7" right="0.2" top="0.75" bottom="0.75" header="0.3" footer="0.3"/>
  <pageSetup paperSize="9" scale="98"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6699"/>
    <pageSetUpPr autoPageBreaks="0"/>
  </sheetPr>
  <dimension ref="A1:T42"/>
  <sheetViews>
    <sheetView showGridLines="0" view="pageBreakPreview" topLeftCell="B1" zoomScale="85" zoomScaleNormal="100" zoomScaleSheetLayoutView="85" workbookViewId="0">
      <pane xSplit="1" topLeftCell="L15" activePane="topRight" state="frozen"/>
      <selection pane="topRight" activeCell="L15" sqref="L15"/>
      <selection activeCell="B1" sqref="B1"/>
    </sheetView>
  </sheetViews>
  <sheetFormatPr defaultColWidth="9.140625" defaultRowHeight="13.15"/>
  <cols>
    <col min="1" max="1" width="6" style="54" customWidth="1"/>
    <col min="2" max="2" width="39" style="54" customWidth="1"/>
    <col min="3" max="9" width="18.85546875" style="54" customWidth="1"/>
    <col min="10" max="10" width="20.140625" style="77" customWidth="1"/>
    <col min="11" max="11" width="15.42578125" style="54" customWidth="1"/>
    <col min="12" max="12" width="14.5703125" style="54" bestFit="1" customWidth="1"/>
    <col min="13" max="13" width="16.42578125" style="54" customWidth="1"/>
    <col min="14" max="14" width="12.7109375" style="54" bestFit="1" customWidth="1"/>
    <col min="15" max="15" width="17.42578125" style="54" customWidth="1"/>
    <col min="16" max="16" width="16.140625" style="54" bestFit="1" customWidth="1"/>
    <col min="17" max="17" width="17.7109375" style="54" bestFit="1" customWidth="1"/>
    <col min="18" max="16384" width="9.140625" style="54"/>
  </cols>
  <sheetData>
    <row r="1" spans="2:20">
      <c r="B1" s="390"/>
      <c r="C1" s="390"/>
    </row>
    <row r="2" spans="2:20">
      <c r="B2" s="3237" t="s">
        <v>251</v>
      </c>
      <c r="C2" s="3237"/>
      <c r="D2" s="3237"/>
      <c r="E2" s="3237"/>
      <c r="F2" s="3237"/>
      <c r="G2" s="3237"/>
      <c r="H2" s="3237"/>
      <c r="I2" s="3237"/>
      <c r="J2" s="3237"/>
      <c r="K2" s="3237"/>
      <c r="L2" s="391"/>
    </row>
    <row r="3" spans="2:20">
      <c r="B3" s="443"/>
      <c r="C3" s="443"/>
      <c r="D3" s="443"/>
      <c r="E3" s="443"/>
      <c r="F3" s="443"/>
      <c r="G3" s="443"/>
      <c r="H3" s="443"/>
      <c r="I3" s="51" t="s">
        <v>238</v>
      </c>
      <c r="L3" s="443"/>
    </row>
    <row r="4" spans="2:20" s="236" customFormat="1">
      <c r="B4" s="1603" t="s">
        <v>225</v>
      </c>
      <c r="C4" s="1821" t="s">
        <v>91</v>
      </c>
      <c r="D4" s="1708" t="s">
        <v>94</v>
      </c>
      <c r="E4" s="1708" t="s">
        <v>97</v>
      </c>
      <c r="F4" s="1708" t="s">
        <v>128</v>
      </c>
      <c r="G4" s="1708" t="s">
        <v>101</v>
      </c>
      <c r="H4" s="1708" t="s">
        <v>102</v>
      </c>
      <c r="I4" s="1708" t="s">
        <v>104</v>
      </c>
      <c r="J4" s="478"/>
    </row>
    <row r="5" spans="2:20" s="52" customFormat="1">
      <c r="B5" s="1602" t="s">
        <v>226</v>
      </c>
      <c r="C5" s="1822">
        <v>17428399</v>
      </c>
      <c r="D5" s="1824">
        <v>464438.58032578375</v>
      </c>
      <c r="E5" s="1824">
        <v>5482765</v>
      </c>
      <c r="F5" s="1102">
        <v>1676073</v>
      </c>
      <c r="G5" s="1823">
        <v>1490598</v>
      </c>
      <c r="H5" s="1823">
        <v>10759195</v>
      </c>
      <c r="I5" s="1823">
        <v>2426639</v>
      </c>
      <c r="J5" s="264"/>
      <c r="K5" s="415"/>
      <c r="L5" s="305"/>
      <c r="M5" s="305"/>
      <c r="N5" s="305"/>
      <c r="O5" s="305"/>
      <c r="P5" s="305"/>
      <c r="Q5" s="305"/>
      <c r="R5" s="305"/>
      <c r="S5" s="305"/>
      <c r="T5" s="305"/>
    </row>
    <row r="6" spans="2:20" s="52" customFormat="1">
      <c r="B6" s="1814" t="s">
        <v>227</v>
      </c>
      <c r="C6" s="1685"/>
      <c r="D6" s="1824">
        <v>2228409.4900000002</v>
      </c>
      <c r="E6" s="1824">
        <v>602350</v>
      </c>
      <c r="F6" s="1102">
        <v>538741</v>
      </c>
      <c r="G6" s="1823">
        <v>553504</v>
      </c>
      <c r="H6" s="1103">
        <v>246703</v>
      </c>
      <c r="I6" s="1823">
        <v>1862</v>
      </c>
      <c r="J6" s="264"/>
      <c r="K6" s="415"/>
      <c r="L6" s="305"/>
      <c r="M6" s="305"/>
      <c r="N6" s="305"/>
      <c r="O6" s="305"/>
      <c r="P6" s="305"/>
      <c r="Q6" s="305"/>
      <c r="R6" s="305"/>
      <c r="S6" s="305"/>
      <c r="T6" s="305"/>
    </row>
    <row r="7" spans="2:20" s="52" customFormat="1">
      <c r="B7" s="1814" t="s">
        <v>228</v>
      </c>
      <c r="C7" s="1822">
        <v>203337</v>
      </c>
      <c r="D7" s="1824"/>
      <c r="E7" s="1824">
        <v>1356616</v>
      </c>
      <c r="F7" s="1102">
        <v>1462097</v>
      </c>
      <c r="G7" s="1823">
        <v>2494424</v>
      </c>
      <c r="H7" s="1823">
        <v>1338507</v>
      </c>
      <c r="I7" s="1823">
        <v>958278</v>
      </c>
      <c r="J7" s="264"/>
      <c r="K7" s="415"/>
      <c r="L7" s="305"/>
      <c r="M7" s="305"/>
      <c r="N7" s="305"/>
      <c r="O7" s="305"/>
      <c r="P7" s="305"/>
      <c r="Q7" s="305"/>
      <c r="R7" s="305"/>
      <c r="S7" s="305"/>
      <c r="T7" s="305"/>
    </row>
    <row r="8" spans="2:20" s="52" customFormat="1">
      <c r="B8" s="1814" t="s">
        <v>229</v>
      </c>
      <c r="C8" s="1685"/>
      <c r="D8" s="1824"/>
      <c r="E8" s="1824">
        <v>2409500</v>
      </c>
      <c r="F8" s="1102"/>
      <c r="G8" s="1823"/>
      <c r="H8" s="1825"/>
      <c r="I8" s="1823"/>
      <c r="J8" s="264"/>
      <c r="K8" s="415"/>
      <c r="L8" s="305"/>
      <c r="M8" s="305"/>
      <c r="N8" s="305"/>
      <c r="O8" s="305"/>
      <c r="P8" s="305"/>
      <c r="Q8" s="305"/>
      <c r="R8" s="305"/>
      <c r="S8" s="305"/>
      <c r="T8" s="305"/>
    </row>
    <row r="9" spans="2:20" s="52" customFormat="1">
      <c r="B9" s="1814" t="s">
        <v>230</v>
      </c>
      <c r="C9" s="1822">
        <v>109853</v>
      </c>
      <c r="D9" s="1824">
        <v>803858</v>
      </c>
      <c r="E9" s="1824">
        <v>9463356</v>
      </c>
      <c r="F9" s="1102">
        <v>3738041</v>
      </c>
      <c r="G9" s="1823">
        <v>2439656</v>
      </c>
      <c r="H9" s="1823">
        <v>180894</v>
      </c>
      <c r="I9" s="1823">
        <v>1392477</v>
      </c>
      <c r="J9" s="264"/>
      <c r="K9" s="415"/>
      <c r="L9" s="305"/>
      <c r="M9" s="305"/>
      <c r="N9" s="305"/>
      <c r="O9" s="305"/>
      <c r="P9" s="305"/>
      <c r="Q9" s="305"/>
      <c r="R9" s="305"/>
      <c r="S9" s="305"/>
      <c r="T9" s="305"/>
    </row>
    <row r="10" spans="2:20" s="52" customFormat="1">
      <c r="B10" s="1814" t="s">
        <v>231</v>
      </c>
      <c r="C10" s="1102"/>
      <c r="D10" s="1824"/>
      <c r="E10" s="1824">
        <v>224106</v>
      </c>
      <c r="F10" s="1102">
        <v>572021</v>
      </c>
      <c r="G10" s="1823"/>
      <c r="H10" s="1825"/>
      <c r="I10" s="1823"/>
      <c r="J10" s="264"/>
      <c r="K10" s="415"/>
      <c r="L10" s="305"/>
      <c r="M10" s="305"/>
      <c r="N10" s="305"/>
      <c r="O10" s="305"/>
      <c r="P10" s="305"/>
      <c r="Q10" s="305"/>
      <c r="R10" s="305"/>
      <c r="S10" s="305"/>
      <c r="T10" s="305"/>
    </row>
    <row r="11" spans="2:20" s="52" customFormat="1">
      <c r="B11" s="1814" t="s">
        <v>248</v>
      </c>
      <c r="C11" s="1822">
        <v>1447780</v>
      </c>
      <c r="D11" s="1824">
        <v>123635.81725401967</v>
      </c>
      <c r="E11" s="1824">
        <v>5279902</v>
      </c>
      <c r="F11" s="1102">
        <v>358210</v>
      </c>
      <c r="G11" s="1823">
        <v>482339</v>
      </c>
      <c r="H11" s="1823">
        <v>3314822</v>
      </c>
      <c r="I11" s="1823">
        <v>860069</v>
      </c>
      <c r="J11" s="264"/>
      <c r="K11" s="415"/>
      <c r="L11" s="305"/>
      <c r="M11" s="305"/>
      <c r="N11" s="305"/>
      <c r="O11" s="305"/>
      <c r="P11" s="305"/>
      <c r="Q11" s="305"/>
      <c r="R11" s="305"/>
      <c r="S11" s="305"/>
      <c r="T11" s="305"/>
    </row>
    <row r="12" spans="2:20" s="52" customFormat="1" ht="26.45">
      <c r="B12" s="1815" t="s">
        <v>242</v>
      </c>
      <c r="C12" s="1822">
        <v>4549254</v>
      </c>
      <c r="D12" s="1824">
        <v>1021764.0101800004</v>
      </c>
      <c r="E12" s="1824">
        <v>6843368</v>
      </c>
      <c r="F12" s="1102">
        <v>1874339</v>
      </c>
      <c r="G12" s="1823">
        <v>1321254</v>
      </c>
      <c r="H12" s="1823">
        <v>2864315</v>
      </c>
      <c r="I12" s="1823">
        <v>1835123</v>
      </c>
      <c r="J12" s="264"/>
      <c r="K12" s="415"/>
      <c r="L12" s="305"/>
      <c r="M12" s="305"/>
      <c r="N12" s="305"/>
      <c r="O12" s="305"/>
      <c r="P12" s="305"/>
      <c r="Q12" s="305"/>
      <c r="R12" s="305"/>
      <c r="S12" s="305"/>
      <c r="T12" s="305"/>
    </row>
    <row r="13" spans="2:20" s="52" customFormat="1">
      <c r="B13" s="1814" t="s">
        <v>243</v>
      </c>
      <c r="C13" s="1822">
        <v>210189</v>
      </c>
      <c r="D13" s="1824">
        <v>44800.208658946503</v>
      </c>
      <c r="E13" s="1824">
        <v>4367284</v>
      </c>
      <c r="F13" s="1102">
        <v>68951</v>
      </c>
      <c r="G13" s="1823">
        <v>1071182</v>
      </c>
      <c r="H13" s="1823">
        <v>680275</v>
      </c>
      <c r="I13" s="1823">
        <v>157816</v>
      </c>
      <c r="J13" s="264"/>
      <c r="K13" s="415"/>
      <c r="L13" s="305"/>
      <c r="M13" s="305"/>
      <c r="N13" s="305"/>
      <c r="O13" s="305"/>
      <c r="P13" s="305"/>
      <c r="Q13" s="305"/>
      <c r="R13" s="305"/>
      <c r="S13" s="305"/>
      <c r="T13" s="305"/>
    </row>
    <row r="14" spans="2:20" s="52" customFormat="1">
      <c r="B14" s="1814" t="s">
        <v>233</v>
      </c>
      <c r="C14" s="1822">
        <v>5931451</v>
      </c>
      <c r="D14" s="1824">
        <v>319636.7685564158</v>
      </c>
      <c r="E14" s="1824">
        <v>6262433</v>
      </c>
      <c r="F14" s="1102">
        <v>845152</v>
      </c>
      <c r="G14" s="1823">
        <v>486799</v>
      </c>
      <c r="H14" s="1823">
        <v>2536342</v>
      </c>
      <c r="I14" s="1823">
        <v>608605</v>
      </c>
      <c r="J14" s="264"/>
      <c r="K14" s="415"/>
      <c r="L14" s="305"/>
      <c r="M14" s="305"/>
      <c r="N14" s="305"/>
      <c r="O14" s="305"/>
      <c r="P14" s="305"/>
      <c r="Q14" s="305"/>
      <c r="R14" s="305"/>
      <c r="S14" s="305"/>
      <c r="T14" s="305"/>
    </row>
    <row r="15" spans="2:20" s="52" customFormat="1">
      <c r="B15" s="1814" t="s">
        <v>234</v>
      </c>
      <c r="C15" s="1102">
        <v>3918491</v>
      </c>
      <c r="D15" s="1824">
        <v>56304.689669999854</v>
      </c>
      <c r="E15" s="1824">
        <v>410294</v>
      </c>
      <c r="F15" s="1102">
        <v>544602</v>
      </c>
      <c r="G15" s="1823">
        <v>65035</v>
      </c>
      <c r="H15" s="1103">
        <v>269842</v>
      </c>
      <c r="I15" s="1823">
        <v>307885</v>
      </c>
      <c r="J15" s="264"/>
      <c r="K15" s="415"/>
      <c r="L15" s="305"/>
      <c r="M15" s="305"/>
      <c r="N15" s="305"/>
      <c r="O15" s="305"/>
      <c r="P15" s="305"/>
      <c r="Q15" s="305"/>
      <c r="R15" s="305"/>
      <c r="S15" s="305"/>
      <c r="T15" s="305"/>
    </row>
    <row r="16" spans="2:20" s="52" customFormat="1">
      <c r="B16" s="1689" t="s">
        <v>118</v>
      </c>
      <c r="C16" s="1691">
        <f>SUM(C5:C15)</f>
        <v>33798754</v>
      </c>
      <c r="D16" s="1691">
        <f t="shared" ref="D16:I16" si="0">SUM(D5:D15)</f>
        <v>5062847.5646451665</v>
      </c>
      <c r="E16" s="1691">
        <f t="shared" si="0"/>
        <v>42701974</v>
      </c>
      <c r="F16" s="1691">
        <f t="shared" si="0"/>
        <v>11678227</v>
      </c>
      <c r="G16" s="1691">
        <f t="shared" si="0"/>
        <v>10404791</v>
      </c>
      <c r="H16" s="1691">
        <f t="shared" si="0"/>
        <v>22190895</v>
      </c>
      <c r="I16" s="1691">
        <f t="shared" si="0"/>
        <v>8548754</v>
      </c>
      <c r="J16" s="279"/>
      <c r="K16" s="415"/>
      <c r="L16" s="305"/>
      <c r="M16" s="305"/>
      <c r="N16" s="305"/>
      <c r="O16" s="305"/>
      <c r="P16" s="305"/>
      <c r="Q16" s="305"/>
      <c r="R16" s="305"/>
      <c r="S16" s="305"/>
      <c r="T16" s="305"/>
    </row>
    <row r="17" spans="1:19">
      <c r="B17" s="233"/>
      <c r="C17" s="452"/>
      <c r="D17" s="452"/>
      <c r="E17" s="452"/>
      <c r="F17" s="452"/>
    </row>
    <row r="18" spans="1:19">
      <c r="B18" s="233"/>
      <c r="C18" s="452"/>
      <c r="D18" s="452"/>
      <c r="E18" s="452"/>
      <c r="F18" s="452"/>
      <c r="J18" s="77">
        <v>11</v>
      </c>
    </row>
    <row r="19" spans="1:19">
      <c r="B19" s="233"/>
      <c r="C19" s="452"/>
      <c r="D19" s="452"/>
      <c r="E19" s="452"/>
      <c r="F19" s="452"/>
    </row>
    <row r="20" spans="1:19">
      <c r="B20" s="3237" t="s">
        <v>252</v>
      </c>
      <c r="C20" s="3237"/>
      <c r="D20" s="3237"/>
      <c r="E20" s="3237"/>
      <c r="F20" s="3237"/>
      <c r="G20" s="3237"/>
      <c r="H20" s="3237"/>
      <c r="I20" s="3237"/>
      <c r="J20" s="3237"/>
      <c r="K20" s="3237"/>
      <c r="L20" s="391"/>
    </row>
    <row r="21" spans="1:19">
      <c r="B21" s="627"/>
      <c r="C21" s="627"/>
      <c r="D21" s="627"/>
      <c r="E21" s="627"/>
      <c r="F21" s="627"/>
      <c r="G21" s="627"/>
      <c r="H21" s="627"/>
      <c r="I21" s="51" t="s">
        <v>238</v>
      </c>
      <c r="J21" s="474"/>
      <c r="K21" s="627"/>
      <c r="L21" s="627"/>
    </row>
    <row r="22" spans="1:19" s="67" customFormat="1">
      <c r="A22" s="236"/>
      <c r="B22" s="1603" t="s">
        <v>225</v>
      </c>
      <c r="C22" s="1821" t="s">
        <v>108</v>
      </c>
      <c r="D22" s="1708" t="s">
        <v>109</v>
      </c>
      <c r="E22" s="1708" t="s">
        <v>110</v>
      </c>
      <c r="F22" s="1708" t="s">
        <v>111</v>
      </c>
      <c r="G22" s="1708" t="s">
        <v>112</v>
      </c>
      <c r="H22" s="1708" t="s">
        <v>114</v>
      </c>
      <c r="I22" s="1708" t="s">
        <v>115</v>
      </c>
      <c r="J22" s="1826" t="s">
        <v>118</v>
      </c>
    </row>
    <row r="23" spans="1:19" s="52" customFormat="1">
      <c r="B23" s="1602" t="s">
        <v>226</v>
      </c>
      <c r="C23" s="1822">
        <v>5842386</v>
      </c>
      <c r="D23" s="1822">
        <v>911257</v>
      </c>
      <c r="E23" s="1822">
        <v>21343505</v>
      </c>
      <c r="F23" s="1822">
        <v>939151</v>
      </c>
      <c r="G23" s="1822">
        <v>2597642.6717679948</v>
      </c>
      <c r="H23" s="1822">
        <v>210551</v>
      </c>
      <c r="I23" s="1822">
        <v>20928074</v>
      </c>
      <c r="J23" s="1690">
        <f>SUM(C5:I5)+C23+D23+E23+F23+H23+G23+I23</f>
        <v>92500674.252093777</v>
      </c>
      <c r="K23" s="305"/>
      <c r="L23" s="305"/>
      <c r="M23" s="305"/>
      <c r="N23" s="305"/>
      <c r="O23" s="305"/>
      <c r="P23" s="305"/>
      <c r="Q23" s="305"/>
      <c r="R23" s="305"/>
      <c r="S23" s="305"/>
    </row>
    <row r="24" spans="1:19" s="52" customFormat="1">
      <c r="B24" s="1814" t="s">
        <v>227</v>
      </c>
      <c r="C24" s="1102">
        <v>67772</v>
      </c>
      <c r="D24" s="1102">
        <v>6337</v>
      </c>
      <c r="E24" s="1685"/>
      <c r="F24" s="1685"/>
      <c r="G24" s="1685"/>
      <c r="H24" s="1102">
        <v>79485</v>
      </c>
      <c r="I24" s="1102">
        <v>28716079</v>
      </c>
      <c r="J24" s="1690">
        <f t="shared" ref="J24:J31" si="1">SUM(C6:I6)+C24+D24+E24+F24+H24+G24+I24</f>
        <v>33041242.490000002</v>
      </c>
      <c r="K24" s="305"/>
      <c r="L24" s="305"/>
      <c r="M24" s="305"/>
      <c r="N24" s="305"/>
      <c r="O24" s="305"/>
      <c r="P24" s="305"/>
      <c r="Q24" s="305"/>
      <c r="R24" s="305"/>
      <c r="S24" s="305"/>
    </row>
    <row r="25" spans="1:19" s="52" customFormat="1">
      <c r="B25" s="1814" t="s">
        <v>228</v>
      </c>
      <c r="C25" s="1822">
        <v>2130486</v>
      </c>
      <c r="D25" s="1685"/>
      <c r="E25" s="1685"/>
      <c r="F25" s="1822">
        <v>30042.302610000002</v>
      </c>
      <c r="G25" s="1822">
        <v>2450973</v>
      </c>
      <c r="H25" s="1822">
        <v>202615</v>
      </c>
      <c r="I25" s="1822">
        <v>5893103</v>
      </c>
      <c r="J25" s="1690">
        <f t="shared" si="1"/>
        <v>18520478.302610002</v>
      </c>
      <c r="K25" s="305"/>
      <c r="L25" s="305"/>
      <c r="M25" s="305"/>
      <c r="N25" s="305"/>
      <c r="O25" s="305"/>
      <c r="P25" s="305"/>
      <c r="Q25" s="305"/>
      <c r="R25" s="305"/>
      <c r="S25" s="305"/>
    </row>
    <row r="26" spans="1:19" s="52" customFormat="1">
      <c r="B26" s="1814" t="s">
        <v>229</v>
      </c>
      <c r="C26" s="1685"/>
      <c r="D26" s="1685"/>
      <c r="E26" s="1685"/>
      <c r="F26" s="1685"/>
      <c r="G26" s="1685"/>
      <c r="H26" s="1102">
        <v>98300</v>
      </c>
      <c r="I26" s="1102">
        <v>2080100</v>
      </c>
      <c r="J26" s="1690">
        <f>SUM(C8:I8)+C26+D26+E26+F26+H26+G26+I26</f>
        <v>4587900</v>
      </c>
      <c r="K26" s="305"/>
      <c r="L26" s="305"/>
      <c r="M26" s="305"/>
      <c r="N26" s="305"/>
      <c r="O26" s="305"/>
      <c r="P26" s="305"/>
      <c r="Q26" s="305"/>
      <c r="R26" s="305"/>
      <c r="S26" s="305"/>
    </row>
    <row r="27" spans="1:19" s="52" customFormat="1">
      <c r="B27" s="1814" t="s">
        <v>230</v>
      </c>
      <c r="C27" s="1822">
        <v>1028902</v>
      </c>
      <c r="D27" s="1685">
        <v>102664</v>
      </c>
      <c r="E27" s="1685"/>
      <c r="F27" s="1822">
        <v>1437657</v>
      </c>
      <c r="G27" s="1822">
        <v>3570827</v>
      </c>
      <c r="H27" s="1102">
        <v>273723</v>
      </c>
      <c r="I27" s="1102">
        <v>4280874</v>
      </c>
      <c r="J27" s="1690">
        <f t="shared" si="1"/>
        <v>28822782</v>
      </c>
      <c r="K27" s="305"/>
      <c r="L27" s="305"/>
      <c r="M27" s="305"/>
      <c r="N27" s="305"/>
      <c r="O27" s="305"/>
      <c r="P27" s="305"/>
      <c r="Q27" s="305"/>
      <c r="R27" s="305"/>
      <c r="S27" s="305"/>
    </row>
    <row r="28" spans="1:19" s="52" customFormat="1">
      <c r="B28" s="1814" t="s">
        <v>231</v>
      </c>
      <c r="C28" s="1102"/>
      <c r="D28" s="2962">
        <v>8737</v>
      </c>
      <c r="E28" s="1685"/>
      <c r="F28" s="1685"/>
      <c r="G28" s="1102"/>
      <c r="H28" s="1685"/>
      <c r="I28" s="1102">
        <v>1885996</v>
      </c>
      <c r="J28" s="1690">
        <f t="shared" si="1"/>
        <v>2690860</v>
      </c>
      <c r="K28" s="305"/>
      <c r="L28" s="305"/>
      <c r="M28" s="305"/>
      <c r="N28" s="305"/>
      <c r="O28" s="305"/>
      <c r="P28" s="305"/>
      <c r="Q28" s="305"/>
      <c r="R28" s="305"/>
      <c r="S28" s="305"/>
    </row>
    <row r="29" spans="1:19" s="52" customFormat="1">
      <c r="B29" s="1814" t="s">
        <v>248</v>
      </c>
      <c r="C29" s="1822">
        <v>895453</v>
      </c>
      <c r="D29" s="1822">
        <v>30731</v>
      </c>
      <c r="E29" s="1822">
        <v>1700728</v>
      </c>
      <c r="F29" s="1822">
        <v>323061.93677999987</v>
      </c>
      <c r="G29" s="1822">
        <v>557604</v>
      </c>
      <c r="H29" s="1822">
        <v>31366</v>
      </c>
      <c r="I29" s="1822">
        <v>3236518</v>
      </c>
      <c r="J29" s="1690">
        <f t="shared" si="1"/>
        <v>18642219.75403402</v>
      </c>
      <c r="K29" s="305"/>
      <c r="L29" s="305"/>
      <c r="M29" s="305"/>
      <c r="N29" s="305"/>
      <c r="O29" s="305"/>
      <c r="P29" s="305"/>
      <c r="Q29" s="305"/>
      <c r="R29" s="305"/>
      <c r="S29" s="305"/>
    </row>
    <row r="30" spans="1:19" s="52" customFormat="1" ht="26.45">
      <c r="B30" s="1815" t="s">
        <v>242</v>
      </c>
      <c r="C30" s="1822">
        <v>2076580</v>
      </c>
      <c r="D30" s="1822">
        <v>143313</v>
      </c>
      <c r="E30" s="1822">
        <v>3316896</v>
      </c>
      <c r="F30" s="1822">
        <v>691579.83662369999</v>
      </c>
      <c r="G30" s="1822">
        <v>1049725.7409999999</v>
      </c>
      <c r="H30" s="1822">
        <v>259846</v>
      </c>
      <c r="I30" s="1822">
        <v>5485287</v>
      </c>
      <c r="J30" s="1690">
        <f t="shared" si="1"/>
        <v>33332644.587803699</v>
      </c>
      <c r="K30" s="305"/>
      <c r="L30" s="305"/>
      <c r="M30" s="305"/>
      <c r="N30" s="305"/>
      <c r="O30" s="305"/>
      <c r="P30" s="305"/>
      <c r="Q30" s="305"/>
      <c r="R30" s="305"/>
      <c r="S30" s="305"/>
    </row>
    <row r="31" spans="1:19" s="52" customFormat="1">
      <c r="B31" s="1814" t="s">
        <v>243</v>
      </c>
      <c r="C31" s="1822">
        <v>112387</v>
      </c>
      <c r="D31" s="1822">
        <v>38084</v>
      </c>
      <c r="E31" s="1822">
        <v>31749</v>
      </c>
      <c r="F31" s="1822">
        <v>49385.494010000002</v>
      </c>
      <c r="G31" s="1822">
        <v>49601.365999999995</v>
      </c>
      <c r="H31" s="1822">
        <v>94684</v>
      </c>
      <c r="I31" s="1822">
        <v>12656634</v>
      </c>
      <c r="J31" s="1690">
        <f t="shared" si="1"/>
        <v>19633022.068668947</v>
      </c>
      <c r="K31" s="305"/>
      <c r="L31" s="305"/>
      <c r="M31" s="305"/>
      <c r="N31" s="305"/>
      <c r="O31" s="305"/>
      <c r="P31" s="305"/>
      <c r="Q31" s="305"/>
      <c r="R31" s="305"/>
      <c r="S31" s="305"/>
    </row>
    <row r="32" spans="1:19" s="52" customFormat="1">
      <c r="B32" s="1814" t="s">
        <v>233</v>
      </c>
      <c r="C32" s="1822">
        <v>754047</v>
      </c>
      <c r="D32" s="1678">
        <v>61213</v>
      </c>
      <c r="E32" s="1822">
        <v>889220</v>
      </c>
      <c r="F32" s="1678">
        <v>288010.03377834806</v>
      </c>
      <c r="G32" s="1822">
        <v>806971.1449999999</v>
      </c>
      <c r="H32" s="1822">
        <v>198246</v>
      </c>
      <c r="I32" s="1822">
        <v>1929549</v>
      </c>
      <c r="J32" s="1690">
        <f>SUM(C14:I14)+C32+D32+E32+F32+H32+G32+I32</f>
        <v>21917674.947334763</v>
      </c>
      <c r="K32" s="305"/>
      <c r="L32" s="305"/>
      <c r="M32" s="305"/>
      <c r="N32" s="305"/>
      <c r="O32" s="305"/>
      <c r="P32" s="305"/>
      <c r="Q32" s="305"/>
      <c r="R32" s="305"/>
      <c r="S32" s="305"/>
    </row>
    <row r="33" spans="2:19" s="52" customFormat="1">
      <c r="B33" s="1814" t="s">
        <v>234</v>
      </c>
      <c r="C33" s="1102">
        <v>460603</v>
      </c>
      <c r="D33" s="1822">
        <v>7948</v>
      </c>
      <c r="E33" s="1102">
        <v>193448</v>
      </c>
      <c r="F33" s="1822">
        <v>107784</v>
      </c>
      <c r="G33" s="1102">
        <v>154241.44099999999</v>
      </c>
      <c r="H33" s="1102">
        <v>28161</v>
      </c>
      <c r="I33" s="2962">
        <v>341092</v>
      </c>
      <c r="J33" s="1690">
        <f>SUM(C15:I15)+C33+D33+E33+F33+H33+G33+I33</f>
        <v>6865731.1306699999</v>
      </c>
      <c r="K33" s="305"/>
      <c r="L33" s="305"/>
      <c r="M33" s="305"/>
      <c r="N33" s="305"/>
      <c r="O33" s="305"/>
      <c r="P33" s="305"/>
      <c r="Q33" s="305"/>
      <c r="R33" s="305"/>
      <c r="S33" s="305"/>
    </row>
    <row r="34" spans="2:19" s="52" customFormat="1">
      <c r="B34" s="1689" t="s">
        <v>118</v>
      </c>
      <c r="C34" s="1691">
        <f t="shared" ref="C34:I34" si="2">SUM(C23:C33)</f>
        <v>13368616</v>
      </c>
      <c r="D34" s="1691">
        <f t="shared" si="2"/>
        <v>1310284</v>
      </c>
      <c r="E34" s="1691">
        <f t="shared" si="2"/>
        <v>27475546</v>
      </c>
      <c r="F34" s="1691">
        <f t="shared" si="2"/>
        <v>3866671.6038020477</v>
      </c>
      <c r="G34" s="1691">
        <f t="shared" si="2"/>
        <v>11237586.364767995</v>
      </c>
      <c r="H34" s="1691">
        <f t="shared" si="2"/>
        <v>1476977</v>
      </c>
      <c r="I34" s="1691">
        <f t="shared" si="2"/>
        <v>87433306</v>
      </c>
      <c r="J34" s="1690">
        <f>SUM(J23:J33)</f>
        <v>280555229.53321522</v>
      </c>
      <c r="K34" s="305"/>
      <c r="L34" s="305"/>
      <c r="M34" s="305"/>
      <c r="N34" s="305"/>
      <c r="O34" s="305"/>
      <c r="P34" s="305"/>
      <c r="Q34" s="305"/>
      <c r="R34" s="305"/>
      <c r="S34" s="305"/>
    </row>
    <row r="35" spans="2:19" s="52" customFormat="1">
      <c r="B35" s="236"/>
      <c r="C35" s="279"/>
      <c r="D35" s="279"/>
      <c r="E35" s="279"/>
      <c r="F35" s="279"/>
      <c r="G35" s="279"/>
      <c r="H35" s="279"/>
      <c r="I35" s="279"/>
      <c r="J35" s="419"/>
      <c r="K35" s="305"/>
      <c r="L35" s="305"/>
      <c r="M35" s="305"/>
      <c r="N35" s="305"/>
      <c r="O35" s="305"/>
      <c r="P35" s="305"/>
      <c r="Q35" s="305"/>
      <c r="R35" s="305"/>
      <c r="S35" s="305"/>
    </row>
    <row r="36" spans="2:19" s="52" customFormat="1">
      <c r="B36" s="236"/>
      <c r="C36" s="279"/>
      <c r="D36" s="279"/>
      <c r="E36" s="279"/>
      <c r="F36" s="279"/>
      <c r="G36" s="279"/>
      <c r="H36" s="279"/>
      <c r="I36" s="279"/>
      <c r="J36" s="419"/>
      <c r="K36" s="305"/>
      <c r="L36" s="305"/>
      <c r="M36" s="305"/>
      <c r="N36" s="305"/>
      <c r="O36" s="305"/>
      <c r="P36" s="305"/>
      <c r="Q36" s="305"/>
      <c r="R36" s="305"/>
      <c r="S36" s="305"/>
    </row>
    <row r="37" spans="2:19">
      <c r="B37" s="531" t="s">
        <v>253</v>
      </c>
    </row>
    <row r="38" spans="2:19">
      <c r="B38" s="233"/>
      <c r="C38" s="452"/>
      <c r="D38" s="452"/>
      <c r="E38" s="452"/>
      <c r="F38" s="452"/>
      <c r="J38" s="77">
        <v>12</v>
      </c>
    </row>
    <row r="39" spans="2:19">
      <c r="B39" s="233"/>
      <c r="C39" s="452"/>
      <c r="D39" s="452"/>
      <c r="E39" s="452"/>
      <c r="F39" s="452"/>
    </row>
    <row r="40" spans="2:19">
      <c r="C40" s="452"/>
      <c r="D40" s="452"/>
      <c r="E40" s="452"/>
      <c r="F40" s="452"/>
      <c r="I40" s="77"/>
    </row>
    <row r="41" spans="2:19">
      <c r="B41" s="233"/>
      <c r="C41" s="452"/>
      <c r="D41" s="452"/>
      <c r="E41" s="452"/>
      <c r="F41" s="452"/>
    </row>
    <row r="42" spans="2:19">
      <c r="B42" s="233"/>
      <c r="C42" s="452"/>
      <c r="D42" s="452"/>
      <c r="E42" s="452"/>
      <c r="F42" s="452"/>
    </row>
  </sheetData>
  <mergeCells count="2">
    <mergeCell ref="B2:K2"/>
    <mergeCell ref="B20:K20"/>
  </mergeCells>
  <pageMargins left="0.24" right="0.17" top="0.75" bottom="0.75" header="0.3" footer="0.3"/>
  <pageSetup paperSize="9" scale="71" orientation="landscape" r:id="rId1"/>
  <rowBreaks count="1" manualBreakCount="1">
    <brk id="18"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92D050"/>
  </sheetPr>
  <dimension ref="A1:AS956"/>
  <sheetViews>
    <sheetView showGridLines="0" view="pageBreakPreview" topLeftCell="A98" zoomScale="70" zoomScaleNormal="70" zoomScaleSheetLayoutView="70" workbookViewId="0">
      <selection activeCell="E198" sqref="E198"/>
    </sheetView>
  </sheetViews>
  <sheetFormatPr defaultColWidth="9.140625" defaultRowHeight="14.45"/>
  <cols>
    <col min="1" max="1" width="5.85546875" style="856" customWidth="1"/>
    <col min="2" max="2" width="41.7109375" style="856" customWidth="1"/>
    <col min="3" max="3" width="9.5703125" style="856" customWidth="1"/>
    <col min="4" max="4" width="15.42578125" style="856" customWidth="1"/>
    <col min="5" max="5" width="14.7109375" style="856" customWidth="1"/>
    <col min="6" max="6" width="15.28515625" style="856" customWidth="1"/>
    <col min="7" max="7" width="15.42578125" style="856" customWidth="1"/>
    <col min="8" max="9" width="15.28515625" style="856" customWidth="1"/>
    <col min="10" max="10" width="21.28515625" style="856" customWidth="1"/>
    <col min="11" max="11" width="13.5703125" style="856" customWidth="1"/>
    <col min="12" max="12" width="12.5703125" style="856" customWidth="1"/>
    <col min="13" max="13" width="15" style="856" customWidth="1"/>
    <col min="14" max="14" width="14.5703125" style="856" customWidth="1"/>
    <col min="15" max="15" width="15" bestFit="1" customWidth="1"/>
    <col min="16" max="16" width="5.85546875" bestFit="1" customWidth="1"/>
    <col min="17" max="17" width="16.140625" bestFit="1" customWidth="1"/>
    <col min="18" max="18" width="13.42578125" bestFit="1" customWidth="1"/>
    <col min="19" max="19" width="13.7109375" bestFit="1" customWidth="1"/>
    <col min="20" max="20" width="12.7109375" bestFit="1" customWidth="1"/>
    <col min="21" max="21" width="13.7109375" bestFit="1" customWidth="1"/>
    <col min="22" max="22" width="7.28515625" customWidth="1"/>
    <col min="23" max="27" width="13.7109375" bestFit="1" customWidth="1"/>
    <col min="28" max="29" width="7.28515625" customWidth="1"/>
    <col min="30" max="30" width="8.7109375" customWidth="1"/>
    <col min="31" max="31" width="15.5703125" customWidth="1"/>
    <col min="32" max="32" width="12.28515625" customWidth="1"/>
    <col min="36" max="36" width="13.42578125" bestFit="1" customWidth="1"/>
    <col min="37" max="38" width="13.42578125" style="2975" bestFit="1" customWidth="1"/>
    <col min="39" max="39" width="9.42578125" style="2975" bestFit="1" customWidth="1"/>
    <col min="40" max="40" width="12.28515625" style="2975" bestFit="1" customWidth="1"/>
    <col min="41" max="42" width="11.28515625" style="2975" bestFit="1" customWidth="1"/>
    <col min="43" max="16384" width="9.140625" style="856"/>
  </cols>
  <sheetData>
    <row r="1" spans="1:17">
      <c r="A1" s="662"/>
      <c r="B1" s="662"/>
      <c r="C1" s="662"/>
      <c r="D1" s="662"/>
      <c r="E1" s="662"/>
      <c r="F1" s="662"/>
      <c r="G1" s="662"/>
      <c r="H1" s="662"/>
      <c r="I1" s="662"/>
      <c r="J1" s="662"/>
      <c r="K1" s="662"/>
      <c r="L1" s="662"/>
      <c r="M1" s="662"/>
      <c r="N1" s="662"/>
    </row>
    <row r="2" spans="1:17">
      <c r="A2" s="662"/>
      <c r="B2" s="662"/>
      <c r="C2" s="662"/>
      <c r="D2" s="662"/>
      <c r="E2" s="662"/>
      <c r="F2" s="662"/>
      <c r="G2" s="662"/>
      <c r="H2" s="662"/>
      <c r="I2" s="662"/>
      <c r="J2" s="662"/>
      <c r="K2" s="662"/>
      <c r="L2" s="662"/>
      <c r="M2" s="662"/>
      <c r="N2" s="662"/>
    </row>
    <row r="3" spans="1:17">
      <c r="A3" s="662"/>
      <c r="B3" s="857" t="s">
        <v>254</v>
      </c>
      <c r="C3" s="662"/>
      <c r="D3" s="662"/>
      <c r="E3" s="662"/>
      <c r="F3" s="662"/>
      <c r="G3" s="662"/>
      <c r="H3" s="662"/>
      <c r="I3" s="662"/>
      <c r="J3" s="662"/>
      <c r="K3" s="662"/>
      <c r="L3" s="662"/>
      <c r="M3" s="662"/>
      <c r="N3" s="662"/>
    </row>
    <row r="4" spans="1:17">
      <c r="A4" s="662"/>
      <c r="B4" s="662"/>
      <c r="C4" s="662"/>
      <c r="D4" s="662"/>
      <c r="E4" s="662"/>
      <c r="F4" s="662"/>
      <c r="G4" s="662"/>
      <c r="H4" s="662"/>
      <c r="I4" s="662"/>
      <c r="J4" s="662"/>
      <c r="K4" s="662"/>
      <c r="L4" s="662"/>
      <c r="M4" s="662"/>
      <c r="N4" s="662"/>
    </row>
    <row r="5" spans="1:17">
      <c r="A5" s="662"/>
      <c r="B5" s="857" t="s">
        <v>255</v>
      </c>
      <c r="C5" s="662"/>
      <c r="D5" s="662"/>
      <c r="E5" s="662"/>
      <c r="F5" s="662"/>
      <c r="G5" s="662"/>
      <c r="H5" s="662"/>
      <c r="I5" s="662"/>
      <c r="J5" s="662"/>
      <c r="K5" s="662"/>
      <c r="L5" s="662"/>
      <c r="M5" s="662"/>
      <c r="N5" s="662"/>
    </row>
    <row r="6" spans="1:17" ht="15" thickBot="1">
      <c r="A6" s="662"/>
      <c r="B6" s="662"/>
      <c r="C6" s="662"/>
      <c r="D6" s="662"/>
      <c r="E6" s="662"/>
      <c r="F6" s="662"/>
      <c r="G6" s="662"/>
      <c r="H6" s="662"/>
      <c r="I6" s="662"/>
      <c r="J6" s="662"/>
      <c r="K6" s="662"/>
      <c r="L6" s="662"/>
      <c r="M6" s="662"/>
      <c r="N6" s="662"/>
    </row>
    <row r="7" spans="1:17" ht="15" thickBot="1">
      <c r="A7" s="3277" t="s">
        <v>256</v>
      </c>
      <c r="B7" s="3278"/>
      <c r="C7" s="3279"/>
      <c r="D7" s="662"/>
      <c r="E7" s="662"/>
      <c r="F7" s="662"/>
      <c r="G7" s="662"/>
      <c r="H7" s="662"/>
      <c r="I7" s="662"/>
      <c r="J7" s="662"/>
      <c r="K7" s="662"/>
      <c r="L7" s="662"/>
      <c r="M7" s="3292"/>
      <c r="N7" s="3292" t="s">
        <v>257</v>
      </c>
    </row>
    <row r="8" spans="1:17" ht="13.5" customHeight="1" thickBot="1">
      <c r="A8" s="3293" t="s">
        <v>258</v>
      </c>
      <c r="B8" s="3293"/>
      <c r="C8" s="3280" t="s">
        <v>259</v>
      </c>
      <c r="D8" s="3283" t="s">
        <v>260</v>
      </c>
      <c r="E8" s="3283" t="s">
        <v>261</v>
      </c>
      <c r="F8" s="3283" t="s">
        <v>262</v>
      </c>
      <c r="G8" s="3286" t="s">
        <v>263</v>
      </c>
      <c r="H8" s="3287"/>
      <c r="I8" s="3287"/>
      <c r="J8" s="3287"/>
      <c r="K8" s="3287"/>
      <c r="L8" s="3287"/>
      <c r="M8" s="3287"/>
      <c r="N8" s="3288"/>
    </row>
    <row r="9" spans="1:17" ht="13.5" customHeight="1" thickBot="1">
      <c r="A9" s="3294"/>
      <c r="B9" s="3294"/>
      <c r="C9" s="3281"/>
      <c r="D9" s="3284"/>
      <c r="E9" s="3284"/>
      <c r="F9" s="3284"/>
      <c r="G9" s="3289" t="s">
        <v>264</v>
      </c>
      <c r="H9" s="3290"/>
      <c r="I9" s="3290"/>
      <c r="J9" s="3291"/>
      <c r="K9" s="3289" t="s">
        <v>265</v>
      </c>
      <c r="L9" s="3290"/>
      <c r="M9" s="3290"/>
      <c r="N9" s="3291"/>
    </row>
    <row r="10" spans="1:17" ht="40.15" thickBot="1">
      <c r="A10" s="3294"/>
      <c r="B10" s="3294" t="s">
        <v>266</v>
      </c>
      <c r="C10" s="3281"/>
      <c r="D10" s="3285"/>
      <c r="E10" s="3285"/>
      <c r="F10" s="3285"/>
      <c r="G10" s="1125" t="s">
        <v>267</v>
      </c>
      <c r="H10" s="1125" t="s">
        <v>268</v>
      </c>
      <c r="I10" s="1125" t="s">
        <v>269</v>
      </c>
      <c r="J10" s="1125" t="s">
        <v>160</v>
      </c>
      <c r="K10" s="1126" t="s">
        <v>270</v>
      </c>
      <c r="L10" s="1126" t="s">
        <v>271</v>
      </c>
      <c r="M10" s="1127" t="s">
        <v>272</v>
      </c>
      <c r="N10" s="2963" t="s">
        <v>160</v>
      </c>
    </row>
    <row r="11" spans="1:17" ht="15" thickBot="1">
      <c r="A11" s="3294"/>
      <c r="B11" s="3294"/>
      <c r="C11" s="3281"/>
      <c r="D11" s="3283">
        <v>1</v>
      </c>
      <c r="E11" s="3283">
        <v>2</v>
      </c>
      <c r="F11" s="3283">
        <v>3</v>
      </c>
      <c r="G11" s="3283">
        <v>4</v>
      </c>
      <c r="H11" s="3283">
        <v>5</v>
      </c>
      <c r="I11" s="3283">
        <v>6</v>
      </c>
      <c r="J11" s="2974">
        <v>7</v>
      </c>
      <c r="K11" s="3283">
        <v>8</v>
      </c>
      <c r="L11" s="3283">
        <v>9</v>
      </c>
      <c r="M11" s="3296">
        <v>10</v>
      </c>
      <c r="N11" s="1129">
        <v>11</v>
      </c>
    </row>
    <row r="12" spans="1:17" ht="15" thickBot="1">
      <c r="A12" s="3295"/>
      <c r="B12" s="3295"/>
      <c r="C12" s="3282"/>
      <c r="D12" s="3285"/>
      <c r="E12" s="3285"/>
      <c r="F12" s="3285"/>
      <c r="G12" s="3285"/>
      <c r="H12" s="3285"/>
      <c r="I12" s="3285"/>
      <c r="J12" s="1131" t="s">
        <v>273</v>
      </c>
      <c r="K12" s="3285"/>
      <c r="L12" s="3285"/>
      <c r="M12" s="3297"/>
      <c r="N12" s="1132" t="s">
        <v>274</v>
      </c>
    </row>
    <row r="13" spans="1:17">
      <c r="A13" s="1133"/>
      <c r="B13" s="1134" t="s">
        <v>275</v>
      </c>
      <c r="C13" s="1133"/>
      <c r="D13" s="1827"/>
      <c r="E13" s="1021"/>
      <c r="F13" s="1021"/>
      <c r="G13" s="1022"/>
      <c r="H13" s="985"/>
      <c r="I13" s="985"/>
      <c r="J13" s="1149"/>
      <c r="K13" s="984"/>
      <c r="L13" s="985"/>
      <c r="M13" s="986"/>
      <c r="N13" s="1151"/>
    </row>
    <row r="14" spans="1:17">
      <c r="A14" s="1828">
        <v>1</v>
      </c>
      <c r="B14" s="1829" t="s">
        <v>276</v>
      </c>
      <c r="C14" s="1830"/>
      <c r="D14" s="1831">
        <f t="shared" ref="D14:N29" si="0">+D65+D117+D168+D220+D273+D327+D378+D431+D484+D537+D589+D643+D697+D751+D804+D857+D911</f>
        <v>0</v>
      </c>
      <c r="E14" s="1832">
        <f t="shared" si="0"/>
        <v>0</v>
      </c>
      <c r="F14" s="1832">
        <f t="shared" si="0"/>
        <v>0</v>
      </c>
      <c r="G14" s="1832">
        <f t="shared" si="0"/>
        <v>0</v>
      </c>
      <c r="H14" s="1832">
        <f t="shared" si="0"/>
        <v>0</v>
      </c>
      <c r="I14" s="1832">
        <f t="shared" si="0"/>
        <v>0</v>
      </c>
      <c r="J14" s="1833">
        <f t="shared" si="0"/>
        <v>0</v>
      </c>
      <c r="K14" s="1832">
        <f t="shared" si="0"/>
        <v>0</v>
      </c>
      <c r="L14" s="1832">
        <f t="shared" si="0"/>
        <v>0</v>
      </c>
      <c r="M14" s="1834">
        <f t="shared" si="0"/>
        <v>0</v>
      </c>
      <c r="N14" s="1835">
        <f t="shared" si="0"/>
        <v>0</v>
      </c>
      <c r="Q14" s="14"/>
    </row>
    <row r="15" spans="1:17">
      <c r="A15" s="1828">
        <v>2</v>
      </c>
      <c r="B15" s="1829" t="s">
        <v>277</v>
      </c>
      <c r="C15" s="1830"/>
      <c r="D15" s="1831">
        <f t="shared" si="0"/>
        <v>2986705.5722512323</v>
      </c>
      <c r="E15" s="1832">
        <f t="shared" si="0"/>
        <v>0</v>
      </c>
      <c r="F15" s="1832">
        <f t="shared" si="0"/>
        <v>2384128.9602199998</v>
      </c>
      <c r="G15" s="1832">
        <f t="shared" si="0"/>
        <v>296.4495853556071</v>
      </c>
      <c r="H15" s="1832">
        <f t="shared" si="0"/>
        <v>1414.3974622772703</v>
      </c>
      <c r="I15" s="1832">
        <f t="shared" si="0"/>
        <v>600865.76498360001</v>
      </c>
      <c r="J15" s="1833">
        <f t="shared" si="0"/>
        <v>602576.61203123291</v>
      </c>
      <c r="K15" s="1832">
        <f t="shared" si="0"/>
        <v>0</v>
      </c>
      <c r="L15" s="1832">
        <f t="shared" si="0"/>
        <v>0</v>
      </c>
      <c r="M15" s="1834">
        <f t="shared" si="0"/>
        <v>0</v>
      </c>
      <c r="N15" s="1835">
        <f t="shared" si="0"/>
        <v>0</v>
      </c>
      <c r="Q15" s="14"/>
    </row>
    <row r="16" spans="1:17">
      <c r="A16" s="1828">
        <v>3</v>
      </c>
      <c r="B16" s="1829" t="s">
        <v>278</v>
      </c>
      <c r="C16" s="1830"/>
      <c r="D16" s="1831">
        <f t="shared" si="0"/>
        <v>0</v>
      </c>
      <c r="E16" s="1832">
        <f t="shared" si="0"/>
        <v>0</v>
      </c>
      <c r="F16" s="1832">
        <f t="shared" si="0"/>
        <v>0</v>
      </c>
      <c r="G16" s="1832">
        <f t="shared" si="0"/>
        <v>0</v>
      </c>
      <c r="H16" s="1832">
        <f t="shared" si="0"/>
        <v>0</v>
      </c>
      <c r="I16" s="1832">
        <f t="shared" si="0"/>
        <v>0</v>
      </c>
      <c r="J16" s="1833">
        <f t="shared" si="0"/>
        <v>0</v>
      </c>
      <c r="K16" s="1832">
        <f t="shared" si="0"/>
        <v>0</v>
      </c>
      <c r="L16" s="1832">
        <f t="shared" si="0"/>
        <v>0</v>
      </c>
      <c r="M16" s="1834">
        <f t="shared" si="0"/>
        <v>0</v>
      </c>
      <c r="N16" s="1835">
        <f t="shared" si="0"/>
        <v>0</v>
      </c>
      <c r="Q16" s="14"/>
    </row>
    <row r="17" spans="1:17">
      <c r="A17" s="1828">
        <v>4</v>
      </c>
      <c r="B17" s="1829" t="s">
        <v>279</v>
      </c>
      <c r="C17" s="1830"/>
      <c r="D17" s="1831">
        <f t="shared" si="0"/>
        <v>3266231.8626709464</v>
      </c>
      <c r="E17" s="1832">
        <f t="shared" si="0"/>
        <v>0</v>
      </c>
      <c r="F17" s="1832">
        <f t="shared" si="0"/>
        <v>1477901.4506599999</v>
      </c>
      <c r="G17" s="1832">
        <f t="shared" si="0"/>
        <v>868334.10124785139</v>
      </c>
      <c r="H17" s="1832">
        <f t="shared" si="0"/>
        <v>338607.80524242227</v>
      </c>
      <c r="I17" s="1832">
        <f t="shared" si="0"/>
        <v>581388.50552067265</v>
      </c>
      <c r="J17" s="1833">
        <f t="shared" si="0"/>
        <v>1788330.4120109463</v>
      </c>
      <c r="K17" s="1832">
        <f t="shared" si="0"/>
        <v>0</v>
      </c>
      <c r="L17" s="1832">
        <f t="shared" si="0"/>
        <v>0</v>
      </c>
      <c r="M17" s="1834">
        <f t="shared" si="0"/>
        <v>0</v>
      </c>
      <c r="N17" s="1835">
        <f t="shared" si="0"/>
        <v>0</v>
      </c>
      <c r="Q17" s="14"/>
    </row>
    <row r="18" spans="1:17">
      <c r="A18" s="1828">
        <v>5</v>
      </c>
      <c r="B18" s="1829" t="s">
        <v>280</v>
      </c>
      <c r="C18" s="1836"/>
      <c r="D18" s="1831">
        <f t="shared" si="0"/>
        <v>17293304.715744525</v>
      </c>
      <c r="E18" s="1832">
        <f t="shared" si="0"/>
        <v>0</v>
      </c>
      <c r="F18" s="1832">
        <f t="shared" si="0"/>
        <v>4786011.5301867994</v>
      </c>
      <c r="G18" s="1832">
        <f t="shared" si="0"/>
        <v>9344029.7002275009</v>
      </c>
      <c r="H18" s="1832">
        <f t="shared" si="0"/>
        <v>2816549.1191638755</v>
      </c>
      <c r="I18" s="1832">
        <f t="shared" si="0"/>
        <v>346714.36616634805</v>
      </c>
      <c r="J18" s="1833">
        <f t="shared" si="0"/>
        <v>12507293.185557725</v>
      </c>
      <c r="K18" s="1832">
        <f t="shared" si="0"/>
        <v>0</v>
      </c>
      <c r="L18" s="1832">
        <f t="shared" si="0"/>
        <v>0</v>
      </c>
      <c r="M18" s="1834">
        <f t="shared" si="0"/>
        <v>0</v>
      </c>
      <c r="N18" s="1835">
        <f t="shared" si="0"/>
        <v>0</v>
      </c>
      <c r="Q18" s="14"/>
    </row>
    <row r="19" spans="1:17">
      <c r="A19" s="1828">
        <v>6</v>
      </c>
      <c r="B19" s="1829" t="s">
        <v>281</v>
      </c>
      <c r="C19" s="1830"/>
      <c r="D19" s="1831">
        <f t="shared" si="0"/>
        <v>7108621.7245461568</v>
      </c>
      <c r="E19" s="1832">
        <f t="shared" si="0"/>
        <v>0</v>
      </c>
      <c r="F19" s="1832">
        <f>+F70+F122+F173+F225+F278+F332+F383+F436+F489+F542+F594+F648+F702+F756+F809+F862+F916</f>
        <v>4889671.7238861565</v>
      </c>
      <c r="G19" s="1832">
        <f t="shared" si="0"/>
        <v>2031870.0006599999</v>
      </c>
      <c r="H19" s="1832">
        <f t="shared" si="0"/>
        <v>187080</v>
      </c>
      <c r="I19" s="1832">
        <f t="shared" si="0"/>
        <v>0</v>
      </c>
      <c r="J19" s="1833">
        <f t="shared" si="0"/>
        <v>2218950.0006599999</v>
      </c>
      <c r="K19" s="1832">
        <f t="shared" si="0"/>
        <v>0</v>
      </c>
      <c r="L19" s="1832">
        <f t="shared" si="0"/>
        <v>0</v>
      </c>
      <c r="M19" s="1834">
        <f t="shared" si="0"/>
        <v>0</v>
      </c>
      <c r="N19" s="1835">
        <f t="shared" si="0"/>
        <v>0</v>
      </c>
      <c r="Q19" s="14"/>
    </row>
    <row r="20" spans="1:17">
      <c r="A20" s="1828">
        <v>7</v>
      </c>
      <c r="B20" s="1829" t="s">
        <v>282</v>
      </c>
      <c r="C20" s="1836"/>
      <c r="D20" s="1831">
        <f t="shared" si="0"/>
        <v>5970683.96</v>
      </c>
      <c r="E20" s="1832">
        <f t="shared" si="0"/>
        <v>0</v>
      </c>
      <c r="F20" s="1832">
        <f t="shared" si="0"/>
        <v>5955683.96</v>
      </c>
      <c r="G20" s="1832">
        <f t="shared" si="0"/>
        <v>15000</v>
      </c>
      <c r="H20" s="1832">
        <f t="shared" si="0"/>
        <v>0</v>
      </c>
      <c r="I20" s="1832">
        <f t="shared" si="0"/>
        <v>0</v>
      </c>
      <c r="J20" s="1833">
        <f t="shared" si="0"/>
        <v>15000</v>
      </c>
      <c r="K20" s="1832">
        <f t="shared" si="0"/>
        <v>0</v>
      </c>
      <c r="L20" s="1832">
        <f t="shared" si="0"/>
        <v>0</v>
      </c>
      <c r="M20" s="1834">
        <f t="shared" si="0"/>
        <v>0</v>
      </c>
      <c r="N20" s="1835">
        <f t="shared" si="0"/>
        <v>0</v>
      </c>
      <c r="Q20" s="14"/>
    </row>
    <row r="21" spans="1:17">
      <c r="A21" s="1830"/>
      <c r="B21" s="1837" t="s">
        <v>283</v>
      </c>
      <c r="C21" s="1836"/>
      <c r="D21" s="1831">
        <f t="shared" si="0"/>
        <v>1456140.591</v>
      </c>
      <c r="E21" s="1832">
        <f t="shared" si="0"/>
        <v>0</v>
      </c>
      <c r="F21" s="1832">
        <f t="shared" si="0"/>
        <v>1456140.591</v>
      </c>
      <c r="G21" s="1832">
        <f t="shared" si="0"/>
        <v>0</v>
      </c>
      <c r="H21" s="1832">
        <f t="shared" si="0"/>
        <v>0</v>
      </c>
      <c r="I21" s="1832">
        <f t="shared" si="0"/>
        <v>0</v>
      </c>
      <c r="J21" s="1833">
        <f t="shared" si="0"/>
        <v>0</v>
      </c>
      <c r="K21" s="1832">
        <f t="shared" si="0"/>
        <v>0</v>
      </c>
      <c r="L21" s="1832">
        <f t="shared" si="0"/>
        <v>0</v>
      </c>
      <c r="M21" s="1834">
        <f t="shared" si="0"/>
        <v>0</v>
      </c>
      <c r="N21" s="1835">
        <f t="shared" si="0"/>
        <v>0</v>
      </c>
      <c r="Q21" s="14"/>
    </row>
    <row r="22" spans="1:17">
      <c r="A22" s="1830"/>
      <c r="B22" s="1837" t="s">
        <v>284</v>
      </c>
      <c r="C22" s="1836"/>
      <c r="D22" s="1831">
        <f t="shared" si="0"/>
        <v>4514543.3689999999</v>
      </c>
      <c r="E22" s="1832">
        <f t="shared" si="0"/>
        <v>0</v>
      </c>
      <c r="F22" s="1832">
        <f t="shared" si="0"/>
        <v>4499543.3689999999</v>
      </c>
      <c r="G22" s="1832">
        <f t="shared" si="0"/>
        <v>15000</v>
      </c>
      <c r="H22" s="1832">
        <f t="shared" si="0"/>
        <v>0</v>
      </c>
      <c r="I22" s="1832">
        <f t="shared" si="0"/>
        <v>0</v>
      </c>
      <c r="J22" s="1833">
        <f t="shared" si="0"/>
        <v>15000</v>
      </c>
      <c r="K22" s="1832">
        <f t="shared" si="0"/>
        <v>0</v>
      </c>
      <c r="L22" s="1832">
        <f t="shared" si="0"/>
        <v>0</v>
      </c>
      <c r="M22" s="1834">
        <f t="shared" si="0"/>
        <v>0</v>
      </c>
      <c r="N22" s="1835">
        <f t="shared" si="0"/>
        <v>0</v>
      </c>
      <c r="Q22" s="14"/>
    </row>
    <row r="23" spans="1:17">
      <c r="A23" s="1828">
        <v>8</v>
      </c>
      <c r="B23" s="1829" t="s">
        <v>285</v>
      </c>
      <c r="C23" s="1830"/>
      <c r="D23" s="1831">
        <f t="shared" si="0"/>
        <v>4434782.0569700003</v>
      </c>
      <c r="E23" s="1832">
        <f t="shared" si="0"/>
        <v>0</v>
      </c>
      <c r="F23" s="1832">
        <f t="shared" si="0"/>
        <v>4391791.56697</v>
      </c>
      <c r="G23" s="1832">
        <f t="shared" si="0"/>
        <v>13858.33</v>
      </c>
      <c r="H23" s="1832">
        <f t="shared" si="0"/>
        <v>29132.16</v>
      </c>
      <c r="I23" s="1832">
        <f t="shared" si="0"/>
        <v>0</v>
      </c>
      <c r="J23" s="1833">
        <f t="shared" si="0"/>
        <v>42990.49</v>
      </c>
      <c r="K23" s="1832">
        <f t="shared" si="0"/>
        <v>0</v>
      </c>
      <c r="L23" s="1832">
        <f t="shared" si="0"/>
        <v>0</v>
      </c>
      <c r="M23" s="1834">
        <f t="shared" si="0"/>
        <v>0</v>
      </c>
      <c r="N23" s="1835">
        <f t="shared" si="0"/>
        <v>0</v>
      </c>
      <c r="Q23" s="14"/>
    </row>
    <row r="24" spans="1:17">
      <c r="A24" s="1828"/>
      <c r="B24" s="1837" t="s">
        <v>286</v>
      </c>
      <c r="C24" s="1830"/>
      <c r="D24" s="1831">
        <f t="shared" si="0"/>
        <v>0</v>
      </c>
      <c r="E24" s="1832">
        <f t="shared" si="0"/>
        <v>0</v>
      </c>
      <c r="F24" s="1832">
        <f t="shared" si="0"/>
        <v>0</v>
      </c>
      <c r="G24" s="1832">
        <f t="shared" si="0"/>
        <v>0</v>
      </c>
      <c r="H24" s="1832">
        <f t="shared" si="0"/>
        <v>0</v>
      </c>
      <c r="I24" s="1832">
        <f t="shared" si="0"/>
        <v>0</v>
      </c>
      <c r="J24" s="1833">
        <f t="shared" si="0"/>
        <v>0</v>
      </c>
      <c r="K24" s="1832">
        <f t="shared" si="0"/>
        <v>0</v>
      </c>
      <c r="L24" s="1832">
        <f t="shared" si="0"/>
        <v>0</v>
      </c>
      <c r="M24" s="1834">
        <f t="shared" si="0"/>
        <v>0</v>
      </c>
      <c r="N24" s="1835">
        <f t="shared" si="0"/>
        <v>0</v>
      </c>
      <c r="Q24" s="14"/>
    </row>
    <row r="25" spans="1:17">
      <c r="A25" s="1828"/>
      <c r="B25" s="1837" t="s">
        <v>287</v>
      </c>
      <c r="C25" s="1830"/>
      <c r="D25" s="1831">
        <f t="shared" si="0"/>
        <v>2731622.0569700003</v>
      </c>
      <c r="E25" s="1832">
        <f t="shared" si="0"/>
        <v>0</v>
      </c>
      <c r="F25" s="1832">
        <f t="shared" si="0"/>
        <v>2688631.56697</v>
      </c>
      <c r="G25" s="1832">
        <f t="shared" si="0"/>
        <v>13858.33</v>
      </c>
      <c r="H25" s="1832">
        <f t="shared" si="0"/>
        <v>29132.16</v>
      </c>
      <c r="I25" s="1832">
        <f t="shared" si="0"/>
        <v>0</v>
      </c>
      <c r="J25" s="1833">
        <f t="shared" si="0"/>
        <v>42990.49</v>
      </c>
      <c r="K25" s="1832">
        <f t="shared" si="0"/>
        <v>0</v>
      </c>
      <c r="L25" s="1832">
        <f t="shared" si="0"/>
        <v>0</v>
      </c>
      <c r="M25" s="1834">
        <f t="shared" si="0"/>
        <v>0</v>
      </c>
      <c r="N25" s="1835">
        <f t="shared" si="0"/>
        <v>0</v>
      </c>
      <c r="Q25" s="14"/>
    </row>
    <row r="26" spans="1:17" ht="26.45">
      <c r="A26" s="1838">
        <v>9</v>
      </c>
      <c r="B26" s="1839" t="s">
        <v>288</v>
      </c>
      <c r="C26" s="1840"/>
      <c r="D26" s="1841">
        <f t="shared" si="0"/>
        <v>577357276.66146374</v>
      </c>
      <c r="E26" s="1842">
        <f t="shared" si="0"/>
        <v>0</v>
      </c>
      <c r="F26" s="1842">
        <f t="shared" si="0"/>
        <v>109171331.68534635</v>
      </c>
      <c r="G26" s="1842">
        <f t="shared" si="0"/>
        <v>224370596.47298533</v>
      </c>
      <c r="H26" s="1842">
        <f t="shared" si="0"/>
        <v>90909297.323656633</v>
      </c>
      <c r="I26" s="1842">
        <f t="shared" si="0"/>
        <v>143333560.71194327</v>
      </c>
      <c r="J26" s="1843">
        <f t="shared" si="0"/>
        <v>458613454.50858516</v>
      </c>
      <c r="K26" s="1842">
        <f t="shared" si="0"/>
        <v>834820.55186069605</v>
      </c>
      <c r="L26" s="1842">
        <f t="shared" si="0"/>
        <v>75584.106579999992</v>
      </c>
      <c r="M26" s="1844">
        <f t="shared" si="0"/>
        <v>8662085.8090914525</v>
      </c>
      <c r="N26" s="1845">
        <f t="shared" si="0"/>
        <v>9572490.4675321467</v>
      </c>
      <c r="Q26" s="14"/>
    </row>
    <row r="27" spans="1:17">
      <c r="A27" s="1830">
        <v>10</v>
      </c>
      <c r="B27" s="1846" t="s">
        <v>289</v>
      </c>
      <c r="C27" s="1830"/>
      <c r="D27" s="1831">
        <f t="shared" si="0"/>
        <v>212942273.58681512</v>
      </c>
      <c r="E27" s="1832">
        <f t="shared" si="0"/>
        <v>0</v>
      </c>
      <c r="F27" s="1832">
        <f>+F78+F130+F181+F233+F286+F340+F391+F444+F497+F550+F602+F656+F710+F764+F817+F870+F924</f>
        <v>17597256.891647853</v>
      </c>
      <c r="G27" s="1832">
        <f t="shared" si="0"/>
        <v>108482505.5552429</v>
      </c>
      <c r="H27" s="1832">
        <f t="shared" si="0"/>
        <v>34855372.003544778</v>
      </c>
      <c r="I27" s="1832">
        <f t="shared" si="0"/>
        <v>52007139.1363796</v>
      </c>
      <c r="J27" s="1833">
        <f t="shared" si="0"/>
        <v>195345016.6951673</v>
      </c>
      <c r="K27" s="1832">
        <f t="shared" si="0"/>
        <v>0</v>
      </c>
      <c r="L27" s="1832">
        <f t="shared" si="0"/>
        <v>0</v>
      </c>
      <c r="M27" s="1834">
        <f t="shared" si="0"/>
        <v>0</v>
      </c>
      <c r="N27" s="1835">
        <f t="shared" si="0"/>
        <v>0</v>
      </c>
      <c r="Q27" s="14"/>
    </row>
    <row r="28" spans="1:17">
      <c r="A28" s="1830">
        <v>11</v>
      </c>
      <c r="B28" s="1846" t="s">
        <v>290</v>
      </c>
      <c r="C28" s="1830"/>
      <c r="D28" s="1831">
        <f t="shared" si="0"/>
        <v>221015273.1053257</v>
      </c>
      <c r="E28" s="1832">
        <f t="shared" si="0"/>
        <v>0</v>
      </c>
      <c r="F28" s="1832">
        <f t="shared" si="0"/>
        <v>59294431.784014799</v>
      </c>
      <c r="G28" s="1832">
        <f t="shared" si="0"/>
        <v>59949414.91179578</v>
      </c>
      <c r="H28" s="1832">
        <f t="shared" si="0"/>
        <v>44682498.240083121</v>
      </c>
      <c r="I28" s="1832">
        <f t="shared" si="0"/>
        <v>50348285.550102845</v>
      </c>
      <c r="J28" s="1833">
        <f t="shared" si="0"/>
        <v>154980198.70198175</v>
      </c>
      <c r="K28" s="1832">
        <f t="shared" si="0"/>
        <v>600926.55186069605</v>
      </c>
      <c r="L28" s="1832">
        <f t="shared" si="0"/>
        <v>75584.106579999992</v>
      </c>
      <c r="M28" s="1834">
        <f t="shared" si="0"/>
        <v>6064131.9608884454</v>
      </c>
      <c r="N28" s="1835">
        <f t="shared" si="0"/>
        <v>6740642.6193291415</v>
      </c>
      <c r="Q28" s="14"/>
    </row>
    <row r="29" spans="1:17">
      <c r="A29" s="1830">
        <v>12</v>
      </c>
      <c r="B29" s="1846" t="s">
        <v>291</v>
      </c>
      <c r="C29" s="1830"/>
      <c r="D29" s="1831">
        <f t="shared" si="0"/>
        <v>107413128.68843932</v>
      </c>
      <c r="E29" s="1832">
        <f t="shared" si="0"/>
        <v>0</v>
      </c>
      <c r="F29" s="1832">
        <f t="shared" si="0"/>
        <v>25318225.052708518</v>
      </c>
      <c r="G29" s="1832">
        <f t="shared" si="0"/>
        <v>37751973.689548373</v>
      </c>
      <c r="H29" s="1832">
        <f t="shared" si="0"/>
        <v>6375137.615458617</v>
      </c>
      <c r="I29" s="1832">
        <f t="shared" si="0"/>
        <v>36760727.9268208</v>
      </c>
      <c r="J29" s="1833">
        <f t="shared" si="0"/>
        <v>80887839.231827796</v>
      </c>
      <c r="K29" s="1832">
        <f t="shared" si="0"/>
        <v>233894</v>
      </c>
      <c r="L29" s="1832">
        <f t="shared" si="0"/>
        <v>0</v>
      </c>
      <c r="M29" s="1834">
        <f t="shared" si="0"/>
        <v>973170.4039030053</v>
      </c>
      <c r="N29" s="1835">
        <f t="shared" si="0"/>
        <v>1207064.4039030052</v>
      </c>
      <c r="Q29" s="14"/>
    </row>
    <row r="30" spans="1:17" ht="26.45">
      <c r="A30" s="1830">
        <v>13</v>
      </c>
      <c r="B30" s="1846" t="s">
        <v>292</v>
      </c>
      <c r="C30" s="1830"/>
      <c r="D30" s="1831">
        <f t="shared" ref="D30:N45" si="1">+D81+D133+D184+D236+D289+D343+D394+D447+D500+D553+D605+D659+D713+D767+D820+D873+D927</f>
        <v>35986601.280883558</v>
      </c>
      <c r="E30" s="1832">
        <f t="shared" si="1"/>
        <v>0</v>
      </c>
      <c r="F30" s="1832">
        <f t="shared" si="1"/>
        <v>6961417.956975203</v>
      </c>
      <c r="G30" s="1832">
        <f t="shared" si="1"/>
        <v>18186702.316398252</v>
      </c>
      <c r="H30" s="1832">
        <f t="shared" si="1"/>
        <v>4996289.464570106</v>
      </c>
      <c r="I30" s="1832">
        <f t="shared" si="1"/>
        <v>4217408.0986400004</v>
      </c>
      <c r="J30" s="1833">
        <f t="shared" si="1"/>
        <v>27400399.879608359</v>
      </c>
      <c r="K30" s="1832">
        <f t="shared" si="1"/>
        <v>0</v>
      </c>
      <c r="L30" s="1832">
        <f t="shared" si="1"/>
        <v>0</v>
      </c>
      <c r="M30" s="1834">
        <f t="shared" si="1"/>
        <v>1624783.4443000001</v>
      </c>
      <c r="N30" s="1835">
        <f t="shared" si="1"/>
        <v>1624783.4443000001</v>
      </c>
      <c r="Q30" s="14"/>
    </row>
    <row r="31" spans="1:17">
      <c r="A31" s="1830">
        <v>14</v>
      </c>
      <c r="B31" s="1829" t="s">
        <v>293</v>
      </c>
      <c r="C31" s="1830"/>
      <c r="D31" s="1831">
        <f t="shared" si="1"/>
        <v>8942799.0512889996</v>
      </c>
      <c r="E31" s="1832">
        <f t="shared" si="1"/>
        <v>0</v>
      </c>
      <c r="F31" s="1832">
        <f t="shared" si="1"/>
        <v>7.0000022649765019E-5</v>
      </c>
      <c r="G31" s="1832">
        <f t="shared" si="1"/>
        <v>3055464.8933725497</v>
      </c>
      <c r="H31" s="1832">
        <f t="shared" si="1"/>
        <v>2884343.9371554507</v>
      </c>
      <c r="I31" s="1832">
        <f t="shared" si="1"/>
        <v>3002990.2206910001</v>
      </c>
      <c r="J31" s="1833">
        <f t="shared" si="1"/>
        <v>8942799.0512190014</v>
      </c>
      <c r="K31" s="1832">
        <f t="shared" si="1"/>
        <v>0</v>
      </c>
      <c r="L31" s="1832">
        <f t="shared" si="1"/>
        <v>0</v>
      </c>
      <c r="M31" s="1834">
        <f t="shared" si="1"/>
        <v>0</v>
      </c>
      <c r="N31" s="1835">
        <f t="shared" si="1"/>
        <v>0</v>
      </c>
      <c r="Q31" s="14"/>
    </row>
    <row r="32" spans="1:17">
      <c r="A32" s="1830">
        <v>15</v>
      </c>
      <c r="B32" s="1829" t="s">
        <v>294</v>
      </c>
      <c r="C32" s="1836"/>
      <c r="D32" s="1831">
        <f t="shared" si="1"/>
        <v>3470229.2512100004</v>
      </c>
      <c r="E32" s="1832">
        <f t="shared" si="1"/>
        <v>0</v>
      </c>
      <c r="F32" s="1832">
        <f t="shared" si="1"/>
        <v>-2.1157894656062125E-4</v>
      </c>
      <c r="G32" s="1832">
        <f t="shared" si="1"/>
        <v>946367.57674565597</v>
      </c>
      <c r="H32" s="1832">
        <f t="shared" si="1"/>
        <v>2295301.0421917676</v>
      </c>
      <c r="I32" s="1832">
        <f t="shared" si="1"/>
        <v>180612.51006415547</v>
      </c>
      <c r="J32" s="1833">
        <f t="shared" si="1"/>
        <v>3422281.1290015792</v>
      </c>
      <c r="K32" s="1832">
        <f t="shared" si="1"/>
        <v>12174.592419999999</v>
      </c>
      <c r="L32" s="1832">
        <f t="shared" si="1"/>
        <v>0</v>
      </c>
      <c r="M32" s="1834">
        <f t="shared" si="1"/>
        <v>35773.53</v>
      </c>
      <c r="N32" s="1835">
        <f t="shared" si="1"/>
        <v>47948.12242</v>
      </c>
      <c r="Q32" s="14"/>
    </row>
    <row r="33" spans="1:17">
      <c r="A33" s="1830">
        <v>16</v>
      </c>
      <c r="B33" s="1829" t="s">
        <v>295</v>
      </c>
      <c r="C33" s="1830"/>
      <c r="D33" s="1831">
        <f t="shared" si="1"/>
        <v>4866341.2766500013</v>
      </c>
      <c r="E33" s="1832">
        <f t="shared" si="1"/>
        <v>0</v>
      </c>
      <c r="F33" s="1832">
        <f t="shared" si="1"/>
        <v>-4.8999999836087224E-4</v>
      </c>
      <c r="G33" s="1832">
        <f t="shared" si="1"/>
        <v>874800.94342104276</v>
      </c>
      <c r="H33" s="1832">
        <f t="shared" si="1"/>
        <v>2722357.4971601572</v>
      </c>
      <c r="I33" s="1832">
        <f t="shared" si="1"/>
        <v>1240348.8629387999</v>
      </c>
      <c r="J33" s="1833">
        <f t="shared" si="1"/>
        <v>4837507.3035200005</v>
      </c>
      <c r="K33" s="1832">
        <f t="shared" si="1"/>
        <v>4641.9688399999995</v>
      </c>
      <c r="L33" s="1832">
        <f t="shared" si="1"/>
        <v>0</v>
      </c>
      <c r="M33" s="1834">
        <f t="shared" si="1"/>
        <v>24192.004779999999</v>
      </c>
      <c r="N33" s="1835">
        <f t="shared" si="1"/>
        <v>28833.973620000001</v>
      </c>
      <c r="Q33" s="14"/>
    </row>
    <row r="34" spans="1:17">
      <c r="A34" s="1830">
        <v>17</v>
      </c>
      <c r="B34" s="1829" t="s">
        <v>296</v>
      </c>
      <c r="C34" s="1836"/>
      <c r="D34" s="1831">
        <f t="shared" si="1"/>
        <v>25920243.013379507</v>
      </c>
      <c r="E34" s="1832">
        <f t="shared" si="1"/>
        <v>-3378244.1215428109</v>
      </c>
      <c r="F34" s="1832">
        <f>+F85+F137+F188+F240+F293+F347+F398+F451+F504+F557+F609+F663+F717+F771+F824+F877+F931+20501</f>
        <v>14666981.957696993</v>
      </c>
      <c r="G34" s="1832">
        <f>+G85+G137+G188+G240+G293+G347+G398+G451+G504+G557+G609+G663+G717+G771+G824+G877+G931</f>
        <v>5333088.5632711761</v>
      </c>
      <c r="H34" s="1832">
        <f t="shared" si="1"/>
        <v>5196883.6798051829</v>
      </c>
      <c r="I34" s="1832">
        <f t="shared" si="1"/>
        <v>4096495.8724096497</v>
      </c>
      <c r="J34" s="1833">
        <f t="shared" si="1"/>
        <v>14540689.929362517</v>
      </c>
      <c r="K34" s="1832">
        <f t="shared" si="1"/>
        <v>6534.2483406112005</v>
      </c>
      <c r="L34" s="1832">
        <f t="shared" si="1"/>
        <v>0</v>
      </c>
      <c r="M34" s="1834">
        <f t="shared" si="1"/>
        <v>104781.9995222</v>
      </c>
      <c r="N34" s="1835">
        <f t="shared" si="1"/>
        <v>111316.24786281119</v>
      </c>
      <c r="Q34" s="14"/>
    </row>
    <row r="35" spans="1:17">
      <c r="A35" s="1830">
        <v>18</v>
      </c>
      <c r="B35" s="1829" t="s">
        <v>297</v>
      </c>
      <c r="C35" s="1830"/>
      <c r="D35" s="1831">
        <f t="shared" si="1"/>
        <v>2102488.5099999998</v>
      </c>
      <c r="E35" s="1832">
        <f t="shared" si="1"/>
        <v>0</v>
      </c>
      <c r="F35" s="1832">
        <f t="shared" si="1"/>
        <v>0</v>
      </c>
      <c r="G35" s="1832">
        <f t="shared" si="1"/>
        <v>0</v>
      </c>
      <c r="H35" s="1832">
        <f t="shared" si="1"/>
        <v>0</v>
      </c>
      <c r="I35" s="1832">
        <f t="shared" si="1"/>
        <v>2102488.5099999998</v>
      </c>
      <c r="J35" s="1833">
        <f t="shared" si="1"/>
        <v>2102488.5099999998</v>
      </c>
      <c r="K35" s="1832">
        <f t="shared" si="1"/>
        <v>0</v>
      </c>
      <c r="L35" s="1832">
        <f t="shared" si="1"/>
        <v>0</v>
      </c>
      <c r="M35" s="1834">
        <f t="shared" si="1"/>
        <v>0</v>
      </c>
      <c r="N35" s="1835">
        <f t="shared" si="1"/>
        <v>0</v>
      </c>
      <c r="Q35" s="14"/>
    </row>
    <row r="36" spans="1:17" ht="15" thickBot="1">
      <c r="A36" s="1847">
        <v>19</v>
      </c>
      <c r="B36" s="1848" t="s">
        <v>298</v>
      </c>
      <c r="C36" s="1847"/>
      <c r="D36" s="1831">
        <f t="shared" si="1"/>
        <v>7891091.000216227</v>
      </c>
      <c r="E36" s="3111">
        <f t="shared" si="1"/>
        <v>0</v>
      </c>
      <c r="F36" s="3111">
        <f t="shared" si="1"/>
        <v>1340383.8436554326</v>
      </c>
      <c r="G36" s="3111">
        <f t="shared" si="1"/>
        <v>2870285.2230394408</v>
      </c>
      <c r="H36" s="3111">
        <f t="shared" si="1"/>
        <v>2944520.2966691596</v>
      </c>
      <c r="I36" s="3111">
        <f t="shared" si="1"/>
        <v>706640.371552194</v>
      </c>
      <c r="J36" s="3112">
        <f t="shared" si="1"/>
        <v>6521445.8912607944</v>
      </c>
      <c r="K36" s="3111">
        <f t="shared" si="1"/>
        <v>11055.725559999988</v>
      </c>
      <c r="L36" s="3111">
        <f t="shared" si="1"/>
        <v>51.061419999999998</v>
      </c>
      <c r="M36" s="1070">
        <f t="shared" si="1"/>
        <v>18154.478320000002</v>
      </c>
      <c r="N36" s="1849">
        <f t="shared" si="1"/>
        <v>29261.265299999988</v>
      </c>
      <c r="Q36" s="14"/>
    </row>
    <row r="37" spans="1:17" ht="27" thickBot="1">
      <c r="A37" s="1143">
        <v>20</v>
      </c>
      <c r="B37" s="1144" t="s">
        <v>299</v>
      </c>
      <c r="C37" s="1143"/>
      <c r="D37" s="1145">
        <f>+D88+D140+D191+D243+D296+D350+D401+D454+D507+D560+D612+D666+D720+D774+D827+D880+D934</f>
        <v>671610798.65639138</v>
      </c>
      <c r="E37" s="1145">
        <f>+E88+E140+E191+E243+E296+E350+E401+E454+E507+E560+E612+E666+E720+E774+E827+E880+E934</f>
        <v>-3378244.1215428109</v>
      </c>
      <c r="F37" s="1145">
        <f>+F88+F140+F191+F243+F296+F350+F401+F454+F507+F560+F612+F666+F720+F774+F827+F880+F934+20501</f>
        <v>149063886.67799017</v>
      </c>
      <c r="G37" s="1145">
        <f t="shared" si="1"/>
        <v>249723992.25455588</v>
      </c>
      <c r="H37" s="1145">
        <f t="shared" si="1"/>
        <v>110325487.25850692</v>
      </c>
      <c r="I37" s="1145">
        <f t="shared" si="1"/>
        <v>156192105.69626963</v>
      </c>
      <c r="J37" s="1145">
        <f t="shared" si="1"/>
        <v>516155807.02320892</v>
      </c>
      <c r="K37" s="1145">
        <f t="shared" si="1"/>
        <v>869227.0870213072</v>
      </c>
      <c r="L37" s="1145">
        <f t="shared" si="1"/>
        <v>75635.167999999991</v>
      </c>
      <c r="M37" s="1146">
        <f t="shared" si="1"/>
        <v>8844987.8217136525</v>
      </c>
      <c r="N37" s="1147">
        <f t="shared" si="1"/>
        <v>9789850.0767349582</v>
      </c>
      <c r="Q37" s="14"/>
    </row>
    <row r="38" spans="1:17">
      <c r="A38" s="1830"/>
      <c r="B38" s="1850" t="s">
        <v>300</v>
      </c>
      <c r="C38" s="1830"/>
      <c r="D38" s="1831">
        <f t="shared" si="1"/>
        <v>0</v>
      </c>
      <c r="E38" s="1832">
        <f t="shared" si="1"/>
        <v>0</v>
      </c>
      <c r="F38" s="1832">
        <f t="shared" si="1"/>
        <v>0</v>
      </c>
      <c r="G38" s="1832">
        <f t="shared" si="1"/>
        <v>0</v>
      </c>
      <c r="H38" s="1832">
        <f t="shared" si="1"/>
        <v>0</v>
      </c>
      <c r="I38" s="1832">
        <f t="shared" si="1"/>
        <v>0</v>
      </c>
      <c r="J38" s="1833">
        <f t="shared" si="1"/>
        <v>0</v>
      </c>
      <c r="K38" s="1832">
        <f t="shared" si="1"/>
        <v>0</v>
      </c>
      <c r="L38" s="1832">
        <f t="shared" si="1"/>
        <v>0</v>
      </c>
      <c r="M38" s="1834">
        <f t="shared" si="1"/>
        <v>0</v>
      </c>
      <c r="N38" s="1835">
        <f t="shared" si="1"/>
        <v>0</v>
      </c>
      <c r="Q38" s="14"/>
    </row>
    <row r="39" spans="1:17">
      <c r="A39" s="1830"/>
      <c r="B39" s="1850" t="s">
        <v>301</v>
      </c>
      <c r="C39" s="1830"/>
      <c r="D39" s="1831">
        <f t="shared" si="1"/>
        <v>0</v>
      </c>
      <c r="E39" s="1832">
        <f t="shared" si="1"/>
        <v>0</v>
      </c>
      <c r="F39" s="1832">
        <f t="shared" si="1"/>
        <v>0</v>
      </c>
      <c r="G39" s="1832">
        <f t="shared" si="1"/>
        <v>0</v>
      </c>
      <c r="H39" s="1832">
        <f t="shared" si="1"/>
        <v>0</v>
      </c>
      <c r="I39" s="1832">
        <f t="shared" si="1"/>
        <v>0</v>
      </c>
      <c r="J39" s="1833">
        <f t="shared" si="1"/>
        <v>0</v>
      </c>
      <c r="K39" s="1832">
        <f t="shared" si="1"/>
        <v>0</v>
      </c>
      <c r="L39" s="1832">
        <f t="shared" si="1"/>
        <v>0</v>
      </c>
      <c r="M39" s="1834">
        <f t="shared" si="1"/>
        <v>0</v>
      </c>
      <c r="N39" s="1835">
        <f t="shared" si="1"/>
        <v>0</v>
      </c>
      <c r="Q39" s="14"/>
    </row>
    <row r="40" spans="1:17">
      <c r="A40" s="1830">
        <v>21</v>
      </c>
      <c r="B40" s="1829" t="s">
        <v>302</v>
      </c>
      <c r="C40" s="1836"/>
      <c r="D40" s="1831">
        <f t="shared" si="1"/>
        <v>483191661.40867114</v>
      </c>
      <c r="E40" s="1832">
        <f t="shared" si="1"/>
        <v>0</v>
      </c>
      <c r="F40" s="1832">
        <f t="shared" si="1"/>
        <v>0</v>
      </c>
      <c r="G40" s="1832">
        <f t="shared" si="1"/>
        <v>242428191.33191431</v>
      </c>
      <c r="H40" s="1832">
        <f t="shared" si="1"/>
        <v>80460976.103073478</v>
      </c>
      <c r="I40" s="1832">
        <f t="shared" si="1"/>
        <v>151386185.8257761</v>
      </c>
      <c r="J40" s="1833">
        <f t="shared" si="1"/>
        <v>474275353.26076388</v>
      </c>
      <c r="K40" s="1832">
        <f t="shared" si="1"/>
        <v>268661.3447013307</v>
      </c>
      <c r="L40" s="1832">
        <f t="shared" si="1"/>
        <v>75399.807019999993</v>
      </c>
      <c r="M40" s="1834">
        <f t="shared" si="1"/>
        <v>8572246.9961859994</v>
      </c>
      <c r="N40" s="1835">
        <f t="shared" si="1"/>
        <v>8916308.1479073316</v>
      </c>
      <c r="Q40" s="14"/>
    </row>
    <row r="41" spans="1:17">
      <c r="A41" s="1830">
        <v>22</v>
      </c>
      <c r="B41" s="1829" t="s">
        <v>303</v>
      </c>
      <c r="C41" s="1830"/>
      <c r="D41" s="1831">
        <f t="shared" si="1"/>
        <v>1845494.3538905049</v>
      </c>
      <c r="E41" s="1832">
        <f t="shared" si="1"/>
        <v>0</v>
      </c>
      <c r="F41" s="1832">
        <f t="shared" si="1"/>
        <v>451845.74806000001</v>
      </c>
      <c r="G41" s="1832">
        <f t="shared" si="1"/>
        <v>684390.29927897896</v>
      </c>
      <c r="H41" s="1832">
        <f t="shared" si="1"/>
        <v>676122.56430442096</v>
      </c>
      <c r="I41" s="1832">
        <f t="shared" si="1"/>
        <v>33135.742247105161</v>
      </c>
      <c r="J41" s="1833">
        <f t="shared" si="1"/>
        <v>1393648.605830505</v>
      </c>
      <c r="K41" s="1832">
        <f t="shared" si="1"/>
        <v>0</v>
      </c>
      <c r="L41" s="1832">
        <f t="shared" si="1"/>
        <v>0</v>
      </c>
      <c r="M41" s="1834">
        <f t="shared" si="1"/>
        <v>0</v>
      </c>
      <c r="N41" s="1835">
        <f t="shared" si="1"/>
        <v>0</v>
      </c>
      <c r="Q41" s="14"/>
    </row>
    <row r="42" spans="1:17">
      <c r="A42" s="1830">
        <v>23</v>
      </c>
      <c r="B42" s="1829" t="s">
        <v>304</v>
      </c>
      <c r="C42" s="1830"/>
      <c r="D42" s="1831">
        <f t="shared" si="1"/>
        <v>5427990.7524287328</v>
      </c>
      <c r="E42" s="1832">
        <f t="shared" si="1"/>
        <v>0</v>
      </c>
      <c r="F42" s="1832">
        <f t="shared" si="1"/>
        <v>0</v>
      </c>
      <c r="G42" s="1832">
        <f t="shared" si="1"/>
        <v>886808.55356321251</v>
      </c>
      <c r="H42" s="1832">
        <f t="shared" si="1"/>
        <v>4391472.4140459904</v>
      </c>
      <c r="I42" s="1832">
        <f t="shared" si="1"/>
        <v>19060.344609530875</v>
      </c>
      <c r="J42" s="1833">
        <f t="shared" si="1"/>
        <v>5297341.3122187331</v>
      </c>
      <c r="K42" s="1832">
        <f t="shared" si="1"/>
        <v>115510.57910999999</v>
      </c>
      <c r="L42" s="1832">
        <f t="shared" si="1"/>
        <v>0</v>
      </c>
      <c r="M42" s="1834">
        <f t="shared" si="1"/>
        <v>15138.8610999999</v>
      </c>
      <c r="N42" s="1835">
        <f t="shared" si="1"/>
        <v>130649.4402099999</v>
      </c>
      <c r="Q42" s="14"/>
    </row>
    <row r="43" spans="1:17">
      <c r="A43" s="1830">
        <v>24</v>
      </c>
      <c r="B43" s="1829" t="s">
        <v>305</v>
      </c>
      <c r="C43" s="1830"/>
      <c r="D43" s="1831">
        <f t="shared" si="1"/>
        <v>1123072.15561</v>
      </c>
      <c r="E43" s="1832">
        <f t="shared" si="1"/>
        <v>0</v>
      </c>
      <c r="F43" s="1832">
        <f t="shared" si="1"/>
        <v>0</v>
      </c>
      <c r="G43" s="1832">
        <f t="shared" si="1"/>
        <v>187025.18256454621</v>
      </c>
      <c r="H43" s="1832">
        <f t="shared" si="1"/>
        <v>792191.79384545388</v>
      </c>
      <c r="I43" s="1832">
        <f t="shared" si="1"/>
        <v>137048.08678000001</v>
      </c>
      <c r="J43" s="1833">
        <f t="shared" si="1"/>
        <v>1116265.0631900001</v>
      </c>
      <c r="K43" s="1832">
        <f t="shared" si="1"/>
        <v>6807.0924199999999</v>
      </c>
      <c r="L43" s="1832">
        <f t="shared" si="1"/>
        <v>0</v>
      </c>
      <c r="M43" s="1834">
        <f t="shared" si="1"/>
        <v>0</v>
      </c>
      <c r="N43" s="1835">
        <f t="shared" si="1"/>
        <v>6807.0924199999999</v>
      </c>
      <c r="Q43" s="14"/>
    </row>
    <row r="44" spans="1:17">
      <c r="A44" s="1830">
        <v>25</v>
      </c>
      <c r="B44" s="1851" t="s">
        <v>306</v>
      </c>
      <c r="C44" s="1830"/>
      <c r="D44" s="1831">
        <f t="shared" si="1"/>
        <v>6579150.48936</v>
      </c>
      <c r="E44" s="1832">
        <f t="shared" si="1"/>
        <v>0</v>
      </c>
      <c r="F44" s="1832">
        <f t="shared" si="1"/>
        <v>6118132.8991900003</v>
      </c>
      <c r="G44" s="1832">
        <f t="shared" si="1"/>
        <v>152071.76566</v>
      </c>
      <c r="H44" s="1832">
        <f t="shared" si="1"/>
        <v>308945.82451000001</v>
      </c>
      <c r="I44" s="1832">
        <f t="shared" si="1"/>
        <v>0</v>
      </c>
      <c r="J44" s="1833">
        <f t="shared" si="1"/>
        <v>461017.59017000004</v>
      </c>
      <c r="K44" s="1832">
        <f t="shared" si="1"/>
        <v>0</v>
      </c>
      <c r="L44" s="1832">
        <f t="shared" si="1"/>
        <v>0</v>
      </c>
      <c r="M44" s="1834">
        <f t="shared" si="1"/>
        <v>0</v>
      </c>
      <c r="N44" s="1835">
        <f t="shared" si="1"/>
        <v>0</v>
      </c>
      <c r="Q44" s="14"/>
    </row>
    <row r="45" spans="1:17" ht="15" thickBot="1">
      <c r="A45" s="1847">
        <v>26</v>
      </c>
      <c r="B45" s="1848" t="s">
        <v>307</v>
      </c>
      <c r="C45" s="1852"/>
      <c r="D45" s="3113">
        <f t="shared" si="1"/>
        <v>34884002.422630407</v>
      </c>
      <c r="E45" s="3111">
        <f t="shared" si="1"/>
        <v>-3378244.1215428109</v>
      </c>
      <c r="F45" s="3111">
        <f>+F96+F148+F199+F251+F304+F358+F409+F462+F515+F568+F620+F674+F728+F782+F835+F888+F942</f>
        <v>750738.41678950831</v>
      </c>
      <c r="G45" s="3111">
        <f t="shared" si="1"/>
        <v>6593452.0707814246</v>
      </c>
      <c r="H45" s="3111">
        <f>+H96+H148+H199+H251+H304+H358+H409+H462+H515+H568+H620+H674+H728+H782+H835+H888+H942+20501</f>
        <v>21280819.485483654</v>
      </c>
      <c r="I45" s="3111">
        <f t="shared" si="1"/>
        <v>8977072.1159359179</v>
      </c>
      <c r="J45" s="3112">
        <f t="shared" si="1"/>
        <v>36745064.48607751</v>
      </c>
      <c r="K45" s="3111">
        <f t="shared" si="1"/>
        <v>508606.25839999999</v>
      </c>
      <c r="L45" s="3111">
        <f t="shared" si="1"/>
        <v>235.36116000000001</v>
      </c>
      <c r="M45" s="1070">
        <f t="shared" si="1"/>
        <v>257602.0217462001</v>
      </c>
      <c r="N45" s="1849">
        <f t="shared" si="1"/>
        <v>766443.64130620006</v>
      </c>
      <c r="Q45" s="14"/>
    </row>
    <row r="46" spans="1:17" ht="15" thickBot="1">
      <c r="A46" s="1135">
        <v>27</v>
      </c>
      <c r="B46" s="1136" t="s">
        <v>308</v>
      </c>
      <c r="C46" s="1135"/>
      <c r="D46" s="1148">
        <f t="shared" ref="D46:N54" si="2">+D97+D149+D200+D252+D305+D359+D410+D463+D516+D569+D621+D675+D729+D783+D836+D889+D943</f>
        <v>533051371.58259082</v>
      </c>
      <c r="E46" s="993">
        <f t="shared" si="2"/>
        <v>-3378244.1215428109</v>
      </c>
      <c r="F46" s="993">
        <f t="shared" si="2"/>
        <v>7320717.0640395079</v>
      </c>
      <c r="G46" s="993">
        <f t="shared" si="2"/>
        <v>250931939.20376247</v>
      </c>
      <c r="H46" s="993">
        <f>+H97+H149+H200+H252+H305+H359+H410+H463+H516+H569+H621+H675+H729+H783+H836+H889+H943+20501</f>
        <v>107910528.18526298</v>
      </c>
      <c r="I46" s="993">
        <f t="shared" si="2"/>
        <v>160552502.11534864</v>
      </c>
      <c r="J46" s="1150">
        <f t="shared" si="2"/>
        <v>519288690.3182506</v>
      </c>
      <c r="K46" s="993">
        <f t="shared" si="2"/>
        <v>899585.27463133074</v>
      </c>
      <c r="L46" s="993">
        <f t="shared" si="2"/>
        <v>75635.168179999993</v>
      </c>
      <c r="M46" s="994">
        <f t="shared" si="2"/>
        <v>8844987.8790322002</v>
      </c>
      <c r="N46" s="1152">
        <f t="shared" si="2"/>
        <v>9820208.321843531</v>
      </c>
      <c r="Q46" s="14"/>
    </row>
    <row r="47" spans="1:17">
      <c r="A47" s="1133"/>
      <c r="B47" s="1134" t="s">
        <v>309</v>
      </c>
      <c r="C47" s="1133"/>
      <c r="D47" s="1831">
        <f t="shared" si="2"/>
        <v>0</v>
      </c>
      <c r="E47" s="1832">
        <f t="shared" si="2"/>
        <v>0</v>
      </c>
      <c r="F47" s="1832">
        <f t="shared" si="2"/>
        <v>0</v>
      </c>
      <c r="G47" s="1832">
        <f t="shared" si="2"/>
        <v>0</v>
      </c>
      <c r="H47" s="1832">
        <f t="shared" si="2"/>
        <v>0</v>
      </c>
      <c r="I47" s="1832">
        <f t="shared" si="2"/>
        <v>0</v>
      </c>
      <c r="J47" s="1833">
        <f t="shared" si="2"/>
        <v>0</v>
      </c>
      <c r="K47" s="1832">
        <f t="shared" si="2"/>
        <v>0</v>
      </c>
      <c r="L47" s="1832">
        <f t="shared" si="2"/>
        <v>0</v>
      </c>
      <c r="M47" s="1834">
        <f t="shared" si="2"/>
        <v>0</v>
      </c>
      <c r="N47" s="1835">
        <f t="shared" si="2"/>
        <v>0</v>
      </c>
      <c r="Q47" s="14"/>
    </row>
    <row r="48" spans="1:17">
      <c r="A48" s="1830">
        <v>28</v>
      </c>
      <c r="B48" s="1829" t="s">
        <v>310</v>
      </c>
      <c r="C48" s="1836"/>
      <c r="D48" s="1831">
        <f t="shared" si="2"/>
        <v>18414843.487</v>
      </c>
      <c r="E48" s="1832">
        <f t="shared" si="2"/>
        <v>0</v>
      </c>
      <c r="F48" s="1832">
        <f t="shared" si="2"/>
        <v>18414843.487</v>
      </c>
      <c r="G48" s="1832">
        <f t="shared" si="2"/>
        <v>0</v>
      </c>
      <c r="H48" s="1832">
        <f t="shared" si="2"/>
        <v>0</v>
      </c>
      <c r="I48" s="1832">
        <f t="shared" si="2"/>
        <v>0</v>
      </c>
      <c r="J48" s="1833">
        <f t="shared" si="2"/>
        <v>0</v>
      </c>
      <c r="K48" s="1832">
        <f t="shared" si="2"/>
        <v>0</v>
      </c>
      <c r="L48" s="1832">
        <f t="shared" si="2"/>
        <v>0</v>
      </c>
      <c r="M48" s="1834">
        <f t="shared" si="2"/>
        <v>0</v>
      </c>
      <c r="N48" s="1835">
        <f t="shared" si="2"/>
        <v>0</v>
      </c>
      <c r="Q48" s="14"/>
    </row>
    <row r="49" spans="1:45">
      <c r="A49" s="1830">
        <v>29</v>
      </c>
      <c r="B49" s="1829" t="s">
        <v>311</v>
      </c>
      <c r="C49" s="1836"/>
      <c r="D49" s="1831">
        <f t="shared" si="2"/>
        <v>-6304803.6226497777</v>
      </c>
      <c r="E49" s="1832">
        <f t="shared" si="2"/>
        <v>0</v>
      </c>
      <c r="F49" s="1832">
        <f t="shared" si="2"/>
        <v>471588.99750145013</v>
      </c>
      <c r="G49" s="1832">
        <f t="shared" si="2"/>
        <v>-1642472.4162448549</v>
      </c>
      <c r="H49" s="1832">
        <f t="shared" si="2"/>
        <v>-697471.73908637615</v>
      </c>
      <c r="I49" s="1832">
        <f t="shared" si="2"/>
        <v>-4406090.4648199994</v>
      </c>
      <c r="J49" s="1833">
        <f t="shared" si="2"/>
        <v>-6746034.6201512311</v>
      </c>
      <c r="K49" s="1832">
        <f t="shared" si="2"/>
        <v>-30358</v>
      </c>
      <c r="L49" s="1832">
        <f t="shared" si="2"/>
        <v>0</v>
      </c>
      <c r="M49" s="1834">
        <f t="shared" si="2"/>
        <v>0</v>
      </c>
      <c r="N49" s="1835">
        <f t="shared" si="2"/>
        <v>-30358</v>
      </c>
      <c r="Q49" s="14"/>
      <c r="AK49"/>
      <c r="AL49"/>
      <c r="AM49"/>
      <c r="AN49"/>
      <c r="AO49"/>
      <c r="AP49"/>
      <c r="AQ49"/>
      <c r="AR49"/>
      <c r="AS49"/>
    </row>
    <row r="50" spans="1:45">
      <c r="A50" s="1830">
        <v>30</v>
      </c>
      <c r="B50" s="1848" t="s">
        <v>312</v>
      </c>
      <c r="C50" s="1852"/>
      <c r="D50" s="1831">
        <f t="shared" si="2"/>
        <v>3620063.4337898334</v>
      </c>
      <c r="E50" s="1832">
        <f t="shared" si="2"/>
        <v>0</v>
      </c>
      <c r="F50" s="1832">
        <f t="shared" si="2"/>
        <v>1591144.1849398336</v>
      </c>
      <c r="G50" s="1832">
        <f t="shared" si="2"/>
        <v>187902.321348</v>
      </c>
      <c r="H50" s="1832">
        <f t="shared" si="2"/>
        <v>1841016.927502</v>
      </c>
      <c r="I50" s="1832">
        <f t="shared" si="2"/>
        <v>0</v>
      </c>
      <c r="J50" s="1833">
        <f t="shared" si="2"/>
        <v>2028919.2488500001</v>
      </c>
      <c r="K50" s="1832">
        <f t="shared" si="2"/>
        <v>0</v>
      </c>
      <c r="L50" s="1832">
        <f t="shared" si="2"/>
        <v>0</v>
      </c>
      <c r="M50" s="1834">
        <f t="shared" si="2"/>
        <v>0</v>
      </c>
      <c r="N50" s="1835">
        <f t="shared" si="2"/>
        <v>0</v>
      </c>
      <c r="Q50" s="14"/>
      <c r="AK50"/>
      <c r="AL50"/>
      <c r="AM50"/>
      <c r="AN50"/>
      <c r="AO50"/>
      <c r="AP50"/>
      <c r="AQ50"/>
      <c r="AR50"/>
      <c r="AS50"/>
    </row>
    <row r="51" spans="1:45">
      <c r="A51" s="1830">
        <v>31</v>
      </c>
      <c r="B51" s="1853" t="s">
        <v>313</v>
      </c>
      <c r="C51" s="1852"/>
      <c r="D51" s="1831">
        <f t="shared" si="2"/>
        <v>16248325.984000001</v>
      </c>
      <c r="E51" s="1832">
        <f t="shared" si="2"/>
        <v>0</v>
      </c>
      <c r="F51" s="1832">
        <f t="shared" si="2"/>
        <v>16248325.984000001</v>
      </c>
      <c r="G51" s="1832">
        <f t="shared" si="2"/>
        <v>0</v>
      </c>
      <c r="H51" s="1832">
        <f t="shared" si="2"/>
        <v>0</v>
      </c>
      <c r="I51" s="1832">
        <f t="shared" si="2"/>
        <v>0</v>
      </c>
      <c r="J51" s="1833">
        <f t="shared" si="2"/>
        <v>0</v>
      </c>
      <c r="K51" s="1832">
        <f t="shared" si="2"/>
        <v>0</v>
      </c>
      <c r="L51" s="1832">
        <f t="shared" si="2"/>
        <v>0</v>
      </c>
      <c r="M51" s="1834">
        <f t="shared" si="2"/>
        <v>0</v>
      </c>
      <c r="N51" s="1835">
        <f t="shared" si="2"/>
        <v>0</v>
      </c>
      <c r="Q51" s="14"/>
      <c r="AK51"/>
      <c r="AL51"/>
      <c r="AM51"/>
      <c r="AN51"/>
      <c r="AO51"/>
      <c r="AP51"/>
      <c r="AQ51"/>
      <c r="AR51"/>
      <c r="AS51"/>
    </row>
    <row r="52" spans="1:45" ht="15" thickBot="1">
      <c r="A52" s="1847">
        <v>32</v>
      </c>
      <c r="B52" s="1848" t="s">
        <v>314</v>
      </c>
      <c r="C52" s="1852"/>
      <c r="D52" s="3113">
        <f t="shared" si="2"/>
        <v>106581000.00005037</v>
      </c>
      <c r="E52" s="3111">
        <f t="shared" si="2"/>
        <v>0</v>
      </c>
      <c r="F52" s="3111">
        <f t="shared" si="2"/>
        <v>105017268.3670934</v>
      </c>
      <c r="G52" s="3111">
        <f t="shared" si="2"/>
        <v>246623.66273191455</v>
      </c>
      <c r="H52" s="3111">
        <f t="shared" si="2"/>
        <v>1271413.9265097841</v>
      </c>
      <c r="I52" s="3111">
        <f t="shared" si="2"/>
        <v>45694.043715255917</v>
      </c>
      <c r="J52" s="3112">
        <f t="shared" si="2"/>
        <v>1563731.6329569549</v>
      </c>
      <c r="K52" s="3111">
        <f t="shared" si="2"/>
        <v>0</v>
      </c>
      <c r="L52" s="3111">
        <f t="shared" si="2"/>
        <v>0</v>
      </c>
      <c r="M52" s="1070">
        <f t="shared" si="2"/>
        <v>0</v>
      </c>
      <c r="N52" s="1849">
        <f t="shared" si="2"/>
        <v>0</v>
      </c>
      <c r="Q52" s="14"/>
      <c r="AK52"/>
      <c r="AL52"/>
      <c r="AM52"/>
      <c r="AN52"/>
      <c r="AO52"/>
      <c r="AP52"/>
      <c r="AQ52"/>
      <c r="AR52"/>
      <c r="AS52"/>
    </row>
    <row r="53" spans="1:45" ht="15" thickBot="1">
      <c r="A53" s="1135">
        <v>33</v>
      </c>
      <c r="B53" s="1137" t="s">
        <v>315</v>
      </c>
      <c r="C53" s="1162" t="s">
        <v>316</v>
      </c>
      <c r="D53" s="1148">
        <f t="shared" si="2"/>
        <v>138559429.28219041</v>
      </c>
      <c r="E53" s="993">
        <f t="shared" si="2"/>
        <v>0</v>
      </c>
      <c r="F53" s="993">
        <f t="shared" si="2"/>
        <v>141743171.02053466</v>
      </c>
      <c r="G53" s="993">
        <f t="shared" si="2"/>
        <v>-1207946.4321649408</v>
      </c>
      <c r="H53" s="993">
        <f t="shared" si="2"/>
        <v>2414959.1149254083</v>
      </c>
      <c r="I53" s="993">
        <f t="shared" si="2"/>
        <v>-4360396.4211047441</v>
      </c>
      <c r="J53" s="1150">
        <f t="shared" si="2"/>
        <v>-3153383.7383442763</v>
      </c>
      <c r="K53" s="993">
        <f t="shared" si="2"/>
        <v>-30358</v>
      </c>
      <c r="L53" s="993">
        <f t="shared" si="2"/>
        <v>0</v>
      </c>
      <c r="M53" s="994">
        <f t="shared" si="2"/>
        <v>0</v>
      </c>
      <c r="N53" s="1152">
        <f t="shared" si="2"/>
        <v>-30358</v>
      </c>
      <c r="Q53" s="14"/>
      <c r="AK53"/>
      <c r="AL53"/>
      <c r="AM53"/>
      <c r="AN53"/>
      <c r="AO53"/>
      <c r="AP53"/>
      <c r="AQ53"/>
      <c r="AR53"/>
      <c r="AS53"/>
    </row>
    <row r="54" spans="1:45" ht="27" thickBot="1">
      <c r="A54" s="1143">
        <v>34</v>
      </c>
      <c r="B54" s="1144" t="s">
        <v>317</v>
      </c>
      <c r="C54" s="1143"/>
      <c r="D54" s="1145">
        <f t="shared" si="2"/>
        <v>671610800.86478114</v>
      </c>
      <c r="E54" s="1145">
        <f t="shared" si="2"/>
        <v>-3378244.1215428109</v>
      </c>
      <c r="F54" s="1145">
        <f t="shared" si="2"/>
        <v>149063888.08457416</v>
      </c>
      <c r="G54" s="1145">
        <f t="shared" si="2"/>
        <v>249723992.7715975</v>
      </c>
      <c r="H54" s="1145">
        <f>+H105+H157+H208+H260+H313+H367+H418+H471+H524+H577+H629+H683+H737+H791+H844+H897+H951+20501</f>
        <v>110325487.30018839</v>
      </c>
      <c r="I54" s="1145">
        <f t="shared" si="2"/>
        <v>156192105.69424391</v>
      </c>
      <c r="J54" s="1145">
        <f t="shared" si="2"/>
        <v>516135306.57990628</v>
      </c>
      <c r="K54" s="1145">
        <f t="shared" si="2"/>
        <v>869227.27463133074</v>
      </c>
      <c r="L54" s="1145">
        <f t="shared" si="2"/>
        <v>75635.168179999993</v>
      </c>
      <c r="M54" s="1146">
        <f t="shared" si="2"/>
        <v>8844987.8790322002</v>
      </c>
      <c r="N54" s="1147">
        <f t="shared" si="2"/>
        <v>9789850.321843531</v>
      </c>
      <c r="Q54" s="14"/>
      <c r="AK54"/>
      <c r="AL54"/>
      <c r="AM54"/>
      <c r="AN54"/>
      <c r="AO54"/>
      <c r="AP54"/>
      <c r="AQ54"/>
      <c r="AR54"/>
      <c r="AS54"/>
    </row>
    <row r="55" spans="1:45">
      <c r="B55"/>
      <c r="C55"/>
      <c r="D55" s="14"/>
      <c r="E55" s="14"/>
      <c r="F55" s="14"/>
      <c r="G55" s="14"/>
      <c r="H55" s="14"/>
      <c r="I55" s="14"/>
      <c r="J55" s="14"/>
      <c r="K55" s="14"/>
      <c r="L55" s="14"/>
      <c r="M55" s="14"/>
      <c r="N55" s="14"/>
      <c r="AK55"/>
      <c r="AL55"/>
      <c r="AM55"/>
      <c r="AN55"/>
      <c r="AO55"/>
      <c r="AP55"/>
      <c r="AQ55"/>
      <c r="AR55"/>
      <c r="AS55"/>
    </row>
    <row r="56" spans="1:45">
      <c r="B56" s="3090"/>
      <c r="C56"/>
      <c r="D56"/>
      <c r="E56"/>
      <c r="F56"/>
      <c r="G56"/>
      <c r="H56"/>
      <c r="I56"/>
      <c r="J56"/>
      <c r="K56"/>
      <c r="L56"/>
      <c r="M56"/>
      <c r="N56"/>
      <c r="AK56"/>
      <c r="AL56"/>
      <c r="AM56"/>
      <c r="AN56"/>
      <c r="AO56"/>
      <c r="AP56"/>
      <c r="AQ56"/>
      <c r="AR56"/>
      <c r="AS56"/>
    </row>
    <row r="57" spans="1:45" ht="15" thickBot="1">
      <c r="B57"/>
      <c r="C57"/>
      <c r="D57"/>
      <c r="E57"/>
      <c r="F57"/>
      <c r="G57"/>
      <c r="H57"/>
      <c r="I57"/>
      <c r="J57"/>
      <c r="K57"/>
      <c r="L57"/>
      <c r="M57"/>
      <c r="N57"/>
      <c r="AK57"/>
      <c r="AL57"/>
      <c r="AM57"/>
      <c r="AN57"/>
      <c r="AO57"/>
      <c r="AP57"/>
      <c r="AQ57"/>
      <c r="AR57"/>
      <c r="AS57"/>
    </row>
    <row r="58" spans="1:45" ht="15" thickBot="1">
      <c r="A58" s="1153" t="s">
        <v>318</v>
      </c>
      <c r="B58" s="3301" t="s">
        <v>319</v>
      </c>
      <c r="C58" s="3302"/>
      <c r="D58" s="662"/>
      <c r="E58" s="662"/>
      <c r="F58" s="662"/>
      <c r="G58" s="662"/>
      <c r="H58" s="662"/>
      <c r="I58" s="662"/>
      <c r="J58" s="662"/>
      <c r="K58" s="662"/>
      <c r="L58" s="662"/>
      <c r="M58" s="3292"/>
      <c r="N58" s="3292" t="s">
        <v>257</v>
      </c>
      <c r="AK58"/>
      <c r="AL58"/>
      <c r="AM58"/>
      <c r="AN58"/>
      <c r="AO58"/>
      <c r="AP58"/>
      <c r="AQ58"/>
      <c r="AR58"/>
      <c r="AS58"/>
    </row>
    <row r="59" spans="1:45" ht="13.5" customHeight="1" thickBot="1">
      <c r="A59" s="3293" t="s">
        <v>258</v>
      </c>
      <c r="B59" s="3293"/>
      <c r="C59" s="3293" t="s">
        <v>259</v>
      </c>
      <c r="D59" s="3293" t="s">
        <v>260</v>
      </c>
      <c r="E59" s="3283" t="s">
        <v>261</v>
      </c>
      <c r="F59" s="3283" t="s">
        <v>262</v>
      </c>
      <c r="G59" s="3286" t="s">
        <v>263</v>
      </c>
      <c r="H59" s="3287"/>
      <c r="I59" s="3287"/>
      <c r="J59" s="3287"/>
      <c r="K59" s="3287"/>
      <c r="L59" s="3287"/>
      <c r="M59" s="3287"/>
      <c r="N59" s="3288"/>
      <c r="AK59"/>
      <c r="AL59"/>
      <c r="AM59"/>
      <c r="AN59"/>
      <c r="AO59"/>
      <c r="AP59"/>
      <c r="AQ59"/>
      <c r="AR59"/>
      <c r="AS59"/>
    </row>
    <row r="60" spans="1:45" ht="13.5" customHeight="1" thickBot="1">
      <c r="A60" s="3294"/>
      <c r="B60" s="3294"/>
      <c r="C60" s="3294"/>
      <c r="D60" s="3294"/>
      <c r="E60" s="3284"/>
      <c r="F60" s="3284"/>
      <c r="G60" s="3289" t="s">
        <v>264</v>
      </c>
      <c r="H60" s="3290"/>
      <c r="I60" s="3290"/>
      <c r="J60" s="3291"/>
      <c r="K60" s="3289" t="s">
        <v>265</v>
      </c>
      <c r="L60" s="3290"/>
      <c r="M60" s="3290"/>
      <c r="N60" s="3291"/>
      <c r="AK60"/>
      <c r="AL60"/>
      <c r="AM60"/>
      <c r="AN60"/>
      <c r="AO60"/>
      <c r="AP60"/>
      <c r="AQ60"/>
      <c r="AR60"/>
      <c r="AS60"/>
    </row>
    <row r="61" spans="1:45" ht="51" customHeight="1" thickBot="1">
      <c r="A61" s="3294"/>
      <c r="B61" s="3294"/>
      <c r="C61" s="3294"/>
      <c r="D61" s="3294"/>
      <c r="E61" s="3285"/>
      <c r="F61" s="3285"/>
      <c r="G61" s="1125" t="s">
        <v>267</v>
      </c>
      <c r="H61" s="1154" t="s">
        <v>268</v>
      </c>
      <c r="I61" s="1125" t="s">
        <v>269</v>
      </c>
      <c r="J61" s="1155" t="s">
        <v>160</v>
      </c>
      <c r="K61" s="1126" t="s">
        <v>270</v>
      </c>
      <c r="L61" s="1126" t="s">
        <v>271</v>
      </c>
      <c r="M61" s="1127" t="s">
        <v>272</v>
      </c>
      <c r="N61" s="2963" t="s">
        <v>160</v>
      </c>
      <c r="AK61"/>
      <c r="AL61"/>
      <c r="AM61"/>
      <c r="AN61"/>
      <c r="AO61"/>
      <c r="AP61"/>
      <c r="AQ61"/>
      <c r="AR61"/>
      <c r="AS61"/>
    </row>
    <row r="62" spans="1:45" ht="15" thickBot="1">
      <c r="A62" s="3294"/>
      <c r="B62" s="3294"/>
      <c r="C62" s="3294"/>
      <c r="D62" s="3294">
        <v>1</v>
      </c>
      <c r="E62" s="3283">
        <v>2</v>
      </c>
      <c r="F62" s="3283">
        <v>3</v>
      </c>
      <c r="G62" s="3283">
        <v>4</v>
      </c>
      <c r="H62" s="3296">
        <v>5</v>
      </c>
      <c r="I62" s="3283">
        <v>6</v>
      </c>
      <c r="J62" s="2974">
        <v>7</v>
      </c>
      <c r="K62" s="3296">
        <v>8</v>
      </c>
      <c r="L62" s="3283">
        <v>9</v>
      </c>
      <c r="M62" s="3307">
        <v>10</v>
      </c>
      <c r="N62" s="1128">
        <v>11</v>
      </c>
      <c r="AK62"/>
      <c r="AL62"/>
      <c r="AM62"/>
      <c r="AN62"/>
      <c r="AO62"/>
      <c r="AP62"/>
      <c r="AQ62"/>
      <c r="AR62"/>
      <c r="AS62"/>
    </row>
    <row r="63" spans="1:45" ht="15" thickBot="1">
      <c r="A63" s="3295"/>
      <c r="B63" s="3295"/>
      <c r="C63" s="3295"/>
      <c r="D63" s="3295"/>
      <c r="E63" s="3305"/>
      <c r="F63" s="3305"/>
      <c r="G63" s="3305"/>
      <c r="H63" s="3306"/>
      <c r="I63" s="3305"/>
      <c r="J63" s="1156" t="s">
        <v>273</v>
      </c>
      <c r="K63" s="3306"/>
      <c r="L63" s="3305"/>
      <c r="M63" s="3308"/>
      <c r="N63" s="1157" t="s">
        <v>274</v>
      </c>
      <c r="AK63"/>
      <c r="AL63"/>
      <c r="AM63"/>
      <c r="AN63"/>
      <c r="AO63"/>
      <c r="AP63"/>
      <c r="AQ63"/>
      <c r="AR63"/>
      <c r="AS63"/>
    </row>
    <row r="64" spans="1:45">
      <c r="A64" s="1133"/>
      <c r="B64" s="1134" t="s">
        <v>275</v>
      </c>
      <c r="C64" s="1160"/>
      <c r="D64" s="1171"/>
      <c r="E64" s="1023"/>
      <c r="F64" s="1024"/>
      <c r="G64" s="1025"/>
      <c r="H64" s="1026"/>
      <c r="I64" s="1031"/>
      <c r="J64" s="1175"/>
      <c r="K64" s="1028"/>
      <c r="L64" s="1031"/>
      <c r="M64" s="1030"/>
      <c r="N64" s="1179"/>
      <c r="AK64"/>
      <c r="AL64"/>
      <c r="AM64"/>
      <c r="AN64"/>
      <c r="AO64"/>
      <c r="AP64"/>
      <c r="AQ64"/>
      <c r="AR64"/>
      <c r="AS64"/>
    </row>
    <row r="65" spans="1:45">
      <c r="A65" s="1828">
        <v>1</v>
      </c>
      <c r="B65" s="1829" t="s">
        <v>276</v>
      </c>
      <c r="C65" s="1854"/>
      <c r="D65" s="1855">
        <f t="shared" ref="D65:D105" si="3">+E65+F65+J65+N65</f>
        <v>0</v>
      </c>
      <c r="E65" s="1856"/>
      <c r="F65" s="1832">
        <v>0</v>
      </c>
      <c r="G65" s="1857"/>
      <c r="H65" s="1858"/>
      <c r="I65" s="1859"/>
      <c r="J65" s="1860">
        <f t="shared" ref="J65:J91" si="4">G65+H65+I65</f>
        <v>0</v>
      </c>
      <c r="K65" s="1834"/>
      <c r="L65" s="1859"/>
      <c r="M65" s="1834"/>
      <c r="N65" s="1835">
        <f t="shared" ref="N65:N80" si="5">K65+L65+M65</f>
        <v>0</v>
      </c>
      <c r="AK65"/>
      <c r="AL65"/>
      <c r="AM65" s="14">
        <f>K65-'[1]Sheet 7 BS - 2019 &amp; 2018 -LI'!J17</f>
        <v>0</v>
      </c>
      <c r="AN65" s="14">
        <f>L65-'[1]Sheet 7 BS - 2019 &amp; 2018 -LI'!K17</f>
        <v>0</v>
      </c>
      <c r="AO65" s="14">
        <f>M65-'[1]Sheet 7 BS - 2019 &amp; 2018 -LI'!L17</f>
        <v>0</v>
      </c>
      <c r="AP65" s="14">
        <f>N65-'[1]Sheet 7 BS - 2019 &amp; 2018 -LI'!M17</f>
        <v>0</v>
      </c>
      <c r="AQ65" s="14"/>
      <c r="AR65"/>
      <c r="AS65"/>
    </row>
    <row r="66" spans="1:45">
      <c r="A66" s="1828">
        <v>2</v>
      </c>
      <c r="B66" s="1829" t="s">
        <v>277</v>
      </c>
      <c r="C66" s="1854"/>
      <c r="D66" s="1861">
        <f t="shared" si="3"/>
        <v>1170048.1065299998</v>
      </c>
      <c r="E66" s="1862"/>
      <c r="F66" s="1863">
        <v>1170048.1065299998</v>
      </c>
      <c r="G66" s="1864"/>
      <c r="H66" s="1865"/>
      <c r="I66" s="1866"/>
      <c r="J66" s="1867">
        <f t="shared" si="4"/>
        <v>0</v>
      </c>
      <c r="K66" s="1868"/>
      <c r="L66" s="1869"/>
      <c r="M66" s="1868"/>
      <c r="N66" s="1870">
        <f t="shared" si="5"/>
        <v>0</v>
      </c>
      <c r="AK66"/>
      <c r="AL66"/>
      <c r="AM66" s="14">
        <f>K66-'[1]Sheet 7 BS - 2019 &amp; 2018 -LI'!J18</f>
        <v>0</v>
      </c>
      <c r="AN66" s="14">
        <f>L66-'[1]Sheet 7 BS - 2019 &amp; 2018 -LI'!K18</f>
        <v>0</v>
      </c>
      <c r="AO66" s="14">
        <f>M66-'[1]Sheet 7 BS - 2019 &amp; 2018 -LI'!L18</f>
        <v>0</v>
      </c>
      <c r="AP66" s="14">
        <f>N66-'[1]Sheet 7 BS - 2019 &amp; 2018 -LI'!M18</f>
        <v>0</v>
      </c>
      <c r="AQ66"/>
      <c r="AR66"/>
      <c r="AS66"/>
    </row>
    <row r="67" spans="1:45">
      <c r="A67" s="1828">
        <v>3</v>
      </c>
      <c r="B67" s="1829" t="s">
        <v>278</v>
      </c>
      <c r="C67" s="1854"/>
      <c r="D67" s="1861">
        <f t="shared" si="3"/>
        <v>0</v>
      </c>
      <c r="E67" s="1862"/>
      <c r="F67" s="1032">
        <v>0</v>
      </c>
      <c r="G67" s="1864"/>
      <c r="H67" s="1865"/>
      <c r="I67" s="1866"/>
      <c r="J67" s="1867">
        <f t="shared" si="4"/>
        <v>0</v>
      </c>
      <c r="K67" s="1868"/>
      <c r="L67" s="1869"/>
      <c r="M67" s="1868"/>
      <c r="N67" s="1870">
        <f t="shared" si="5"/>
        <v>0</v>
      </c>
      <c r="AK67"/>
      <c r="AL67"/>
      <c r="AM67" s="14">
        <f>K67-'[1]Sheet 7 BS - 2019 &amp; 2018 -LI'!J19</f>
        <v>0</v>
      </c>
      <c r="AN67" s="14">
        <f>L67-'[1]Sheet 7 BS - 2019 &amp; 2018 -LI'!K19</f>
        <v>0</v>
      </c>
      <c r="AO67" s="14">
        <f>M67-'[1]Sheet 7 BS - 2019 &amp; 2018 -LI'!L19</f>
        <v>0</v>
      </c>
      <c r="AP67" s="14">
        <f>N67-'[1]Sheet 7 BS - 2019 &amp; 2018 -LI'!M19</f>
        <v>0</v>
      </c>
      <c r="AQ67"/>
      <c r="AR67"/>
      <c r="AS67"/>
    </row>
    <row r="68" spans="1:45">
      <c r="A68" s="1828">
        <v>4</v>
      </c>
      <c r="B68" s="1161" t="s">
        <v>279</v>
      </c>
      <c r="C68" s="1854"/>
      <c r="D68" s="1861">
        <f t="shared" si="3"/>
        <v>746567.03954999999</v>
      </c>
      <c r="E68" s="1862"/>
      <c r="F68" s="1032">
        <v>746567.03954999999</v>
      </c>
      <c r="G68" s="1864"/>
      <c r="H68" s="1865"/>
      <c r="I68" s="1866"/>
      <c r="J68" s="1867">
        <f t="shared" si="4"/>
        <v>0</v>
      </c>
      <c r="K68" s="1868"/>
      <c r="L68" s="1869"/>
      <c r="M68" s="1868"/>
      <c r="N68" s="1870">
        <f t="shared" si="5"/>
        <v>0</v>
      </c>
      <c r="AK68"/>
      <c r="AL68"/>
      <c r="AM68" s="14"/>
      <c r="AN68" s="14"/>
      <c r="AO68" s="14"/>
      <c r="AP68" s="14"/>
      <c r="AQ68"/>
      <c r="AR68"/>
      <c r="AS68"/>
    </row>
    <row r="69" spans="1:45">
      <c r="A69" s="1828">
        <v>5</v>
      </c>
      <c r="B69" s="1829" t="s">
        <v>280</v>
      </c>
      <c r="C69" s="1871">
        <v>5</v>
      </c>
      <c r="D69" s="1861">
        <f t="shared" si="3"/>
        <v>584488.96220000053</v>
      </c>
      <c r="E69" s="1862"/>
      <c r="F69" s="1863">
        <v>584488.96220000053</v>
      </c>
      <c r="G69" s="1864"/>
      <c r="H69" s="1865"/>
      <c r="I69" s="1866"/>
      <c r="J69" s="1867">
        <f t="shared" si="4"/>
        <v>0</v>
      </c>
      <c r="K69" s="1868"/>
      <c r="L69" s="1869"/>
      <c r="M69" s="1868"/>
      <c r="N69" s="1870">
        <f t="shared" si="5"/>
        <v>0</v>
      </c>
      <c r="AK69"/>
      <c r="AL69"/>
      <c r="AM69" s="14">
        <f>K69-'[1]Sheet 7 BS - 2019 &amp; 2018 -LI'!J20</f>
        <v>0</v>
      </c>
      <c r="AN69" s="14">
        <f>L69-'[1]Sheet 7 BS - 2019 &amp; 2018 -LI'!K20</f>
        <v>0</v>
      </c>
      <c r="AO69" s="14">
        <f>M69-'[1]Sheet 7 BS - 2019 &amp; 2018 -LI'!L20</f>
        <v>0</v>
      </c>
      <c r="AP69" s="14">
        <f>N69-'[1]Sheet 7 BS - 2019 &amp; 2018 -LI'!M20</f>
        <v>0</v>
      </c>
      <c r="AQ69"/>
      <c r="AR69"/>
      <c r="AS69"/>
    </row>
    <row r="70" spans="1:45">
      <c r="A70" s="1828">
        <v>6</v>
      </c>
      <c r="B70" s="1829" t="s">
        <v>281</v>
      </c>
      <c r="C70" s="1854">
        <v>6</v>
      </c>
      <c r="D70" s="1861">
        <f t="shared" si="3"/>
        <v>0</v>
      </c>
      <c r="E70" s="1862"/>
      <c r="F70" s="1032">
        <v>0</v>
      </c>
      <c r="G70" s="1864"/>
      <c r="H70" s="1865"/>
      <c r="I70" s="1866"/>
      <c r="J70" s="1867">
        <f t="shared" si="4"/>
        <v>0</v>
      </c>
      <c r="K70" s="1868"/>
      <c r="L70" s="1869"/>
      <c r="M70" s="1868"/>
      <c r="N70" s="1870">
        <f t="shared" si="5"/>
        <v>0</v>
      </c>
      <c r="AK70"/>
      <c r="AL70"/>
      <c r="AM70" s="14">
        <f>K70-'[1]Sheet 7 BS - 2019 &amp; 2018 -LI'!J21</f>
        <v>0</v>
      </c>
      <c r="AN70" s="14">
        <f>L70-'[1]Sheet 7 BS - 2019 &amp; 2018 -LI'!K21</f>
        <v>0</v>
      </c>
      <c r="AO70" s="14">
        <f>M70-'[1]Sheet 7 BS - 2019 &amp; 2018 -LI'!L21</f>
        <v>0</v>
      </c>
      <c r="AP70" s="14">
        <f>N70-'[1]Sheet 7 BS - 2019 &amp; 2018 -LI'!M21</f>
        <v>0</v>
      </c>
      <c r="AQ70"/>
      <c r="AR70"/>
      <c r="AS70"/>
    </row>
    <row r="71" spans="1:45">
      <c r="A71" s="1828">
        <v>7</v>
      </c>
      <c r="B71" s="1829" t="s">
        <v>282</v>
      </c>
      <c r="C71" s="1871">
        <v>7</v>
      </c>
      <c r="D71" s="1861">
        <f>+E71+F71+J71+N71</f>
        <v>1000</v>
      </c>
      <c r="E71" s="1862"/>
      <c r="F71" s="1032">
        <f>SUM(F72:F73)</f>
        <v>1000</v>
      </c>
      <c r="G71" s="1863">
        <f>SUM(G72:G73)</f>
        <v>0</v>
      </c>
      <c r="H71" s="1868">
        <f>SUM(H72:H73)</f>
        <v>0</v>
      </c>
      <c r="I71" s="1869">
        <f>SUM(I72:I73)</f>
        <v>0</v>
      </c>
      <c r="J71" s="1867">
        <f t="shared" si="4"/>
        <v>0</v>
      </c>
      <c r="K71" s="1868">
        <f>K72+K73</f>
        <v>0</v>
      </c>
      <c r="L71" s="1869">
        <f>L72+L73</f>
        <v>0</v>
      </c>
      <c r="M71" s="1868">
        <f>M72+M73</f>
        <v>0</v>
      </c>
      <c r="N71" s="1870">
        <f t="shared" si="5"/>
        <v>0</v>
      </c>
      <c r="AK71"/>
      <c r="AL71"/>
      <c r="AM71" s="14">
        <f>K71-'[1]Sheet 7 BS - 2019 &amp; 2018 -LI'!J22</f>
        <v>0</v>
      </c>
      <c r="AN71" s="14">
        <f>L71-'[1]Sheet 7 BS - 2019 &amp; 2018 -LI'!K22</f>
        <v>0</v>
      </c>
      <c r="AO71" s="14">
        <f>M71-'[1]Sheet 7 BS - 2019 &amp; 2018 -LI'!L22</f>
        <v>0</v>
      </c>
      <c r="AP71" s="14">
        <f>N71-'[1]Sheet 7 BS - 2019 &amp; 2018 -LI'!M22</f>
        <v>0</v>
      </c>
      <c r="AQ71"/>
      <c r="AR71"/>
      <c r="AS71"/>
    </row>
    <row r="72" spans="1:45">
      <c r="A72" s="1830"/>
      <c r="B72" s="1837" t="s">
        <v>283</v>
      </c>
      <c r="C72" s="1871"/>
      <c r="D72" s="1861">
        <f t="shared" si="3"/>
        <v>0</v>
      </c>
      <c r="E72" s="1862"/>
      <c r="F72" s="1032"/>
      <c r="G72" s="1864"/>
      <c r="H72" s="1872"/>
      <c r="I72" s="1869"/>
      <c r="J72" s="1867">
        <f t="shared" si="4"/>
        <v>0</v>
      </c>
      <c r="K72" s="1868"/>
      <c r="L72" s="1869"/>
      <c r="M72" s="1868"/>
      <c r="N72" s="1870">
        <f t="shared" si="5"/>
        <v>0</v>
      </c>
      <c r="AK72"/>
      <c r="AL72"/>
      <c r="AM72" s="14">
        <f>K72-'[1]Sheet 7 BS - 2019 &amp; 2018 -LI'!J23</f>
        <v>0</v>
      </c>
      <c r="AN72" s="14">
        <f>L72-'[1]Sheet 7 BS - 2019 &amp; 2018 -LI'!K23</f>
        <v>0</v>
      </c>
      <c r="AO72" s="14">
        <f>M72-'[1]Sheet 7 BS - 2019 &amp; 2018 -LI'!L23</f>
        <v>0</v>
      </c>
      <c r="AP72" s="14">
        <f>N72-'[1]Sheet 7 BS - 2019 &amp; 2018 -LI'!M23</f>
        <v>0</v>
      </c>
      <c r="AQ72"/>
      <c r="AR72"/>
      <c r="AS72"/>
    </row>
    <row r="73" spans="1:45">
      <c r="A73" s="1830"/>
      <c r="B73" s="1837" t="s">
        <v>284</v>
      </c>
      <c r="C73" s="1871"/>
      <c r="D73" s="1861">
        <f t="shared" si="3"/>
        <v>1000</v>
      </c>
      <c r="E73" s="1862"/>
      <c r="F73" s="1032">
        <v>1000</v>
      </c>
      <c r="G73" s="1864"/>
      <c r="H73" s="1872"/>
      <c r="I73" s="1869"/>
      <c r="J73" s="1867">
        <f t="shared" si="4"/>
        <v>0</v>
      </c>
      <c r="K73" s="1868"/>
      <c r="L73" s="1869"/>
      <c r="M73" s="1868"/>
      <c r="N73" s="1870">
        <f t="shared" si="5"/>
        <v>0</v>
      </c>
      <c r="AK73"/>
      <c r="AL73"/>
      <c r="AM73"/>
      <c r="AN73"/>
      <c r="AO73"/>
      <c r="AP73"/>
      <c r="AQ73"/>
      <c r="AR73"/>
      <c r="AS73"/>
    </row>
    <row r="74" spans="1:45">
      <c r="A74" s="1828">
        <v>8</v>
      </c>
      <c r="B74" s="1829" t="s">
        <v>285</v>
      </c>
      <c r="C74" s="1854">
        <v>8</v>
      </c>
      <c r="D74" s="1861">
        <f t="shared" si="3"/>
        <v>0</v>
      </c>
      <c r="E74" s="1862"/>
      <c r="F74" s="1032"/>
      <c r="G74" s="1863"/>
      <c r="H74" s="1868"/>
      <c r="I74" s="1869"/>
      <c r="J74" s="1867">
        <f t="shared" si="4"/>
        <v>0</v>
      </c>
      <c r="K74" s="1868">
        <f>K75+K76</f>
        <v>0</v>
      </c>
      <c r="L74" s="1869">
        <f>L75+L76</f>
        <v>0</v>
      </c>
      <c r="M74" s="1868">
        <f>M75+M76</f>
        <v>0</v>
      </c>
      <c r="N74" s="1870">
        <f t="shared" si="5"/>
        <v>0</v>
      </c>
      <c r="AK74"/>
      <c r="AL74"/>
      <c r="AM74"/>
      <c r="AN74"/>
      <c r="AO74"/>
      <c r="AP74"/>
      <c r="AQ74"/>
      <c r="AR74"/>
      <c r="AS74"/>
    </row>
    <row r="75" spans="1:45">
      <c r="A75" s="1828"/>
      <c r="B75" s="1837" t="s">
        <v>286</v>
      </c>
      <c r="C75" s="1854"/>
      <c r="D75" s="1861">
        <f t="shared" si="3"/>
        <v>0</v>
      </c>
      <c r="E75" s="1862"/>
      <c r="F75" s="1032"/>
      <c r="G75" s="1864"/>
      <c r="H75" s="1872"/>
      <c r="I75" s="1869"/>
      <c r="J75" s="1867">
        <f t="shared" si="4"/>
        <v>0</v>
      </c>
      <c r="K75" s="1868"/>
      <c r="L75" s="1869"/>
      <c r="M75" s="1868"/>
      <c r="N75" s="1870">
        <f t="shared" si="5"/>
        <v>0</v>
      </c>
      <c r="AK75"/>
      <c r="AL75"/>
      <c r="AM75"/>
      <c r="AN75"/>
      <c r="AO75"/>
      <c r="AP75"/>
      <c r="AQ75"/>
      <c r="AR75"/>
      <c r="AS75"/>
    </row>
    <row r="76" spans="1:45">
      <c r="A76" s="1828"/>
      <c r="B76" s="1837" t="s">
        <v>287</v>
      </c>
      <c r="C76" s="1854"/>
      <c r="D76" s="1861">
        <f t="shared" si="3"/>
        <v>0</v>
      </c>
      <c r="E76" s="1862"/>
      <c r="F76" s="1032"/>
      <c r="G76" s="1864"/>
      <c r="H76" s="1872"/>
      <c r="I76" s="1869"/>
      <c r="J76" s="1867">
        <f t="shared" si="4"/>
        <v>0</v>
      </c>
      <c r="K76" s="1868"/>
      <c r="L76" s="1869"/>
      <c r="M76" s="1868"/>
      <c r="N76" s="1870">
        <f t="shared" si="5"/>
        <v>0</v>
      </c>
      <c r="AK76"/>
      <c r="AL76"/>
      <c r="AM76"/>
      <c r="AN76"/>
      <c r="AO76"/>
      <c r="AP76"/>
      <c r="AQ76"/>
      <c r="AR76"/>
      <c r="AS76"/>
    </row>
    <row r="77" spans="1:45" ht="26.45">
      <c r="A77" s="1838">
        <v>9</v>
      </c>
      <c r="B77" s="1839" t="s">
        <v>288</v>
      </c>
      <c r="C77" s="1873"/>
      <c r="D77" s="1874">
        <f>+E77+F77+J77+N77</f>
        <v>56944370.499341458</v>
      </c>
      <c r="E77" s="1875">
        <f>SUM(E78:E81)</f>
        <v>0</v>
      </c>
      <c r="F77" s="1875">
        <f>SUM(F78:F81)</f>
        <v>15047990.017280001</v>
      </c>
      <c r="G77" s="1875">
        <f>SUM(G78:G81)</f>
        <v>0</v>
      </c>
      <c r="H77" s="1876">
        <f>SUM(H78:H81)</f>
        <v>378069.61832000007</v>
      </c>
      <c r="I77" s="1877">
        <f>SUM(I78:I81)</f>
        <v>36307740.518010005</v>
      </c>
      <c r="J77" s="1878">
        <f t="shared" si="4"/>
        <v>36685810.136330009</v>
      </c>
      <c r="K77" s="1876">
        <f>SUM(K78:K81)</f>
        <v>521767.18708</v>
      </c>
      <c r="L77" s="1877">
        <f>SUM(L78:L81)</f>
        <v>75584.106579999992</v>
      </c>
      <c r="M77" s="1879">
        <f>SUM(M78:M81)</f>
        <v>4613219.0520714512</v>
      </c>
      <c r="N77" s="1880">
        <f t="shared" si="5"/>
        <v>5210570.3457314512</v>
      </c>
      <c r="AK77"/>
      <c r="AL77"/>
      <c r="AM77"/>
      <c r="AN77"/>
      <c r="AO77"/>
      <c r="AP77"/>
      <c r="AQ77"/>
      <c r="AR77"/>
      <c r="AS77"/>
    </row>
    <row r="78" spans="1:45">
      <c r="A78" s="1830">
        <v>10</v>
      </c>
      <c r="B78" s="1846" t="s">
        <v>289</v>
      </c>
      <c r="C78" s="1854">
        <v>9</v>
      </c>
      <c r="D78" s="1861">
        <f t="shared" si="3"/>
        <v>0</v>
      </c>
      <c r="E78" s="1862"/>
      <c r="F78" s="1863">
        <v>0</v>
      </c>
      <c r="G78" s="1032">
        <v>0</v>
      </c>
      <c r="H78" s="1033">
        <v>0</v>
      </c>
      <c r="I78" s="1869">
        <v>0</v>
      </c>
      <c r="J78" s="1867">
        <f t="shared" si="4"/>
        <v>0</v>
      </c>
      <c r="K78" s="1868">
        <v>0</v>
      </c>
      <c r="L78" s="1869">
        <v>0</v>
      </c>
      <c r="M78" s="1868">
        <v>0</v>
      </c>
      <c r="N78" s="1870">
        <f t="shared" si="5"/>
        <v>0</v>
      </c>
      <c r="AK78"/>
      <c r="AL78"/>
      <c r="AM78"/>
      <c r="AN78"/>
      <c r="AO78"/>
      <c r="AP78"/>
      <c r="AQ78"/>
      <c r="AR78"/>
      <c r="AS78"/>
    </row>
    <row r="79" spans="1:45">
      <c r="A79" s="1830">
        <v>11</v>
      </c>
      <c r="B79" s="1846" t="s">
        <v>290</v>
      </c>
      <c r="C79" s="1854">
        <v>10</v>
      </c>
      <c r="D79" s="1861">
        <f>+E79+F79+J79+N79</f>
        <v>25350542.373805229</v>
      </c>
      <c r="E79" s="1862"/>
      <c r="F79" s="1032">
        <v>5308266.7957799993</v>
      </c>
      <c r="G79" s="1863">
        <v>0</v>
      </c>
      <c r="H79" s="1868">
        <v>43436.142469999999</v>
      </c>
      <c r="I79" s="1034">
        <v>15797695.532420002</v>
      </c>
      <c r="J79" s="1867">
        <f t="shared" si="4"/>
        <v>15841131.674890002</v>
      </c>
      <c r="K79" s="1872">
        <v>521767.18708</v>
      </c>
      <c r="L79" s="1869">
        <v>75584.106579999992</v>
      </c>
      <c r="M79" s="1868">
        <v>3603792.6094752289</v>
      </c>
      <c r="N79" s="1881">
        <f t="shared" si="5"/>
        <v>4201143.9031352289</v>
      </c>
      <c r="AK79"/>
      <c r="AL79"/>
      <c r="AM79"/>
      <c r="AN79"/>
      <c r="AO79"/>
      <c r="AP79"/>
      <c r="AQ79"/>
      <c r="AR79"/>
      <c r="AS79"/>
    </row>
    <row r="80" spans="1:45">
      <c r="A80" s="1830">
        <v>12</v>
      </c>
      <c r="B80" s="1846" t="s">
        <v>291</v>
      </c>
      <c r="C80" s="1854">
        <v>11</v>
      </c>
      <c r="D80" s="1861">
        <f t="shared" si="3"/>
        <v>30822450.858186226</v>
      </c>
      <c r="E80" s="1862"/>
      <c r="F80" s="1032">
        <v>9739723.2215000018</v>
      </c>
      <c r="G80" s="1032">
        <v>0</v>
      </c>
      <c r="H80" s="1033">
        <v>334633.47585000005</v>
      </c>
      <c r="I80" s="1034">
        <v>20510044.98559</v>
      </c>
      <c r="J80" s="1867">
        <f t="shared" si="4"/>
        <v>20844678.461440001</v>
      </c>
      <c r="K80" s="1035">
        <v>0</v>
      </c>
      <c r="L80" s="1034">
        <v>0</v>
      </c>
      <c r="M80" s="1033">
        <v>238049.17524622244</v>
      </c>
      <c r="N80" s="1881">
        <f t="shared" si="5"/>
        <v>238049.17524622244</v>
      </c>
      <c r="AK80"/>
      <c r="AL80"/>
      <c r="AM80"/>
      <c r="AN80"/>
      <c r="AO80"/>
      <c r="AP80"/>
      <c r="AQ80"/>
      <c r="AR80"/>
      <c r="AS80"/>
    </row>
    <row r="81" spans="1:45" ht="26.45">
      <c r="A81" s="1830">
        <v>13</v>
      </c>
      <c r="B81" s="1846" t="s">
        <v>292</v>
      </c>
      <c r="C81" s="1854">
        <v>12</v>
      </c>
      <c r="D81" s="1861">
        <f t="shared" si="3"/>
        <v>771377.26734999998</v>
      </c>
      <c r="E81" s="1862"/>
      <c r="F81" s="1032"/>
      <c r="G81" s="1032"/>
      <c r="H81" s="1033"/>
      <c r="I81" s="1866"/>
      <c r="J81" s="1867">
        <f t="shared" si="4"/>
        <v>0</v>
      </c>
      <c r="K81" s="1872"/>
      <c r="L81" s="1869"/>
      <c r="M81" s="1868">
        <v>771377.26734999998</v>
      </c>
      <c r="N81" s="1881">
        <f>K81+L81+M81</f>
        <v>771377.26734999998</v>
      </c>
      <c r="AK81"/>
      <c r="AL81"/>
      <c r="AM81"/>
      <c r="AN81"/>
      <c r="AO81"/>
      <c r="AP81"/>
      <c r="AQ81"/>
      <c r="AR81"/>
      <c r="AS81"/>
    </row>
    <row r="82" spans="1:45">
      <c r="A82" s="1830">
        <v>14</v>
      </c>
      <c r="B82" s="1829" t="s">
        <v>293</v>
      </c>
      <c r="C82" s="1854">
        <v>13</v>
      </c>
      <c r="D82" s="1861">
        <f t="shared" si="3"/>
        <v>387432.39713</v>
      </c>
      <c r="E82" s="1862"/>
      <c r="F82" s="1863">
        <v>0</v>
      </c>
      <c r="G82" s="1032">
        <v>0</v>
      </c>
      <c r="H82" s="1033">
        <v>0</v>
      </c>
      <c r="I82" s="1869">
        <v>387432.39713</v>
      </c>
      <c r="J82" s="1867">
        <f t="shared" si="4"/>
        <v>387432.39713</v>
      </c>
      <c r="K82" s="1865"/>
      <c r="L82" s="1866"/>
      <c r="M82" s="1865"/>
      <c r="N82" s="1881"/>
      <c r="AK82"/>
      <c r="AL82"/>
      <c r="AM82"/>
      <c r="AN82"/>
      <c r="AO82"/>
      <c r="AP82"/>
      <c r="AQ82"/>
      <c r="AR82"/>
      <c r="AS82"/>
    </row>
    <row r="83" spans="1:45">
      <c r="A83" s="1830">
        <v>15</v>
      </c>
      <c r="B83" s="1829" t="s">
        <v>294</v>
      </c>
      <c r="C83" s="1871">
        <v>14</v>
      </c>
      <c r="D83" s="1861">
        <f t="shared" si="3"/>
        <v>137581.25437000001</v>
      </c>
      <c r="E83" s="1862"/>
      <c r="F83" s="1863">
        <v>0</v>
      </c>
      <c r="G83" s="1863">
        <v>0</v>
      </c>
      <c r="H83" s="1868">
        <v>1422.6576699999998</v>
      </c>
      <c r="I83" s="1034">
        <v>123984.00428000001</v>
      </c>
      <c r="J83" s="1867">
        <f t="shared" si="4"/>
        <v>125406.66195000001</v>
      </c>
      <c r="K83" s="1872">
        <v>12174.592419999999</v>
      </c>
      <c r="L83" s="1866">
        <v>0</v>
      </c>
      <c r="M83" s="1865">
        <v>0</v>
      </c>
      <c r="N83" s="1881">
        <f>K83+L83+M83</f>
        <v>12174.592419999999</v>
      </c>
      <c r="AK83"/>
      <c r="AL83"/>
      <c r="AM83"/>
      <c r="AN83"/>
      <c r="AO83"/>
      <c r="AP83"/>
      <c r="AQ83"/>
      <c r="AR83"/>
      <c r="AS83"/>
    </row>
    <row r="84" spans="1:45">
      <c r="A84" s="1830">
        <v>16</v>
      </c>
      <c r="B84" s="1829" t="s">
        <v>295</v>
      </c>
      <c r="C84" s="1854">
        <v>15</v>
      </c>
      <c r="D84" s="1861">
        <f t="shared" si="3"/>
        <v>416494.45308999997</v>
      </c>
      <c r="E84" s="1862"/>
      <c r="F84" s="1863">
        <v>0</v>
      </c>
      <c r="G84" s="1032">
        <v>0</v>
      </c>
      <c r="H84" s="1033">
        <v>0</v>
      </c>
      <c r="I84" s="1034">
        <v>416494.45308999997</v>
      </c>
      <c r="J84" s="1867">
        <f t="shared" si="4"/>
        <v>416494.45308999997</v>
      </c>
      <c r="K84" s="1035">
        <v>0</v>
      </c>
      <c r="L84" s="1866">
        <v>0</v>
      </c>
      <c r="M84" s="1865">
        <v>0</v>
      </c>
      <c r="N84" s="1881"/>
      <c r="AK84"/>
      <c r="AL84"/>
      <c r="AM84"/>
      <c r="AN84"/>
      <c r="AO84"/>
      <c r="AP84"/>
      <c r="AQ84"/>
      <c r="AR84"/>
      <c r="AS84"/>
    </row>
    <row r="85" spans="1:45">
      <c r="A85" s="1830">
        <v>17</v>
      </c>
      <c r="B85" s="1829" t="s">
        <v>296</v>
      </c>
      <c r="C85" s="1871">
        <v>16</v>
      </c>
      <c r="D85" s="1861">
        <f>+E85+F85+J85+N85</f>
        <v>4037450.0828799997</v>
      </c>
      <c r="E85" s="1862"/>
      <c r="F85" s="1863">
        <f>397651.40613+1668859.00774</f>
        <v>2066510.41387</v>
      </c>
      <c r="G85" s="1864">
        <v>0</v>
      </c>
      <c r="H85" s="1865">
        <v>-104634.93827</v>
      </c>
      <c r="I85" s="1034">
        <v>2118079.5240399996</v>
      </c>
      <c r="J85" s="1867">
        <f t="shared" si="4"/>
        <v>2013444.5857699995</v>
      </c>
      <c r="K85" s="1035">
        <v>-66975.23732</v>
      </c>
      <c r="L85" s="1869">
        <v>0</v>
      </c>
      <c r="M85" s="1868">
        <v>24470.320559999996</v>
      </c>
      <c r="N85" s="1881">
        <f>K85+L85+M85</f>
        <v>-42504.916760000007</v>
      </c>
      <c r="AK85"/>
      <c r="AL85"/>
      <c r="AM85"/>
      <c r="AN85"/>
      <c r="AO85"/>
      <c r="AP85"/>
      <c r="AQ85"/>
      <c r="AR85"/>
      <c r="AS85"/>
    </row>
    <row r="86" spans="1:45">
      <c r="A86" s="1830">
        <v>18</v>
      </c>
      <c r="B86" s="1829" t="s">
        <v>297</v>
      </c>
      <c r="C86" s="1854"/>
      <c r="D86" s="1861">
        <f t="shared" si="3"/>
        <v>0</v>
      </c>
      <c r="E86" s="1862"/>
      <c r="F86" s="1863">
        <v>0</v>
      </c>
      <c r="G86" s="1864">
        <v>0</v>
      </c>
      <c r="H86" s="1865">
        <v>0</v>
      </c>
      <c r="I86" s="1034">
        <v>0</v>
      </c>
      <c r="J86" s="1867">
        <f t="shared" si="4"/>
        <v>0</v>
      </c>
      <c r="K86" s="1035">
        <v>0</v>
      </c>
      <c r="L86" s="1869">
        <v>0</v>
      </c>
      <c r="M86" s="1868">
        <v>0</v>
      </c>
      <c r="N86" s="1881">
        <f>K86+L86+M86</f>
        <v>0</v>
      </c>
      <c r="AK86"/>
      <c r="AL86"/>
      <c r="AM86"/>
      <c r="AN86"/>
      <c r="AO86"/>
      <c r="AP86"/>
      <c r="AQ86"/>
      <c r="AR86"/>
      <c r="AS86"/>
    </row>
    <row r="87" spans="1:45" ht="15" thickBot="1">
      <c r="A87" s="1847">
        <v>19</v>
      </c>
      <c r="B87" s="1848" t="s">
        <v>298</v>
      </c>
      <c r="C87" s="1882"/>
      <c r="D87" s="1883">
        <f t="shared" si="3"/>
        <v>1212348.9905000001</v>
      </c>
      <c r="E87" s="1884"/>
      <c r="F87" s="1036">
        <v>589178.26965999999</v>
      </c>
      <c r="G87" s="3114">
        <v>0</v>
      </c>
      <c r="H87" s="1037">
        <v>219.91029999999998</v>
      </c>
      <c r="I87" s="1038">
        <v>610838.54723999999</v>
      </c>
      <c r="J87" s="3115">
        <f t="shared" si="4"/>
        <v>611058.45753999997</v>
      </c>
      <c r="K87" s="1885">
        <v>9796.725559999988</v>
      </c>
      <c r="L87" s="1886">
        <v>51.061419999999998</v>
      </c>
      <c r="M87" s="1037">
        <v>2264.4763200000002</v>
      </c>
      <c r="N87" s="1887">
        <f>K87+L87+M87</f>
        <v>12112.263299999988</v>
      </c>
      <c r="AK87"/>
      <c r="AL87"/>
      <c r="AM87"/>
      <c r="AN87"/>
      <c r="AO87"/>
      <c r="AP87"/>
      <c r="AQ87"/>
      <c r="AR87"/>
      <c r="AS87"/>
    </row>
    <row r="88" spans="1:45" ht="27" thickBot="1">
      <c r="A88" s="1138">
        <v>20</v>
      </c>
      <c r="B88" s="1139" t="s">
        <v>299</v>
      </c>
      <c r="C88" s="1138"/>
      <c r="D88" s="1163">
        <f t="shared" si="3"/>
        <v>65637781.785591453</v>
      </c>
      <c r="E88" s="1163">
        <f>SUM(E65:E71)+E74+E77+SUM(E82:E87)</f>
        <v>0</v>
      </c>
      <c r="F88" s="1163">
        <f>SUM(F65:F71)+F74+F77+SUM(F82:F87)</f>
        <v>20205782.80909</v>
      </c>
      <c r="G88" s="1163">
        <f>SUM(G65:G71)+G74+G77+SUM(G82:G87)</f>
        <v>0</v>
      </c>
      <c r="H88" s="1164">
        <f>SUM(H65:H71)+H74+H77+SUM(H82:H87)</f>
        <v>275077.24802000006</v>
      </c>
      <c r="I88" s="1165">
        <f>SUM(I65:I71)+I74+I77+SUM(I82:I87)</f>
        <v>39964569.443790004</v>
      </c>
      <c r="J88" s="1163">
        <f t="shared" si="4"/>
        <v>40239646.691810004</v>
      </c>
      <c r="K88" s="1164">
        <f>SUM(K65:K71)+K74+K77+SUM(K82:K87)</f>
        <v>476763.26773999998</v>
      </c>
      <c r="L88" s="1165">
        <f>SUM(L65:L71)+L74+L77+SUM(L82:L87)</f>
        <v>75635.167999999991</v>
      </c>
      <c r="M88" s="1164">
        <f>SUM(M65:M71)+M74+M77+SUM(M82:M87)</f>
        <v>4639953.8489514515</v>
      </c>
      <c r="N88" s="1165">
        <f>SUM(N65:N71)+N74+N77+SUM(N82:N87)</f>
        <v>5192352.2846914511</v>
      </c>
      <c r="AK88"/>
      <c r="AL88"/>
      <c r="AM88"/>
      <c r="AN88"/>
      <c r="AO88"/>
      <c r="AP88"/>
      <c r="AQ88"/>
      <c r="AR88"/>
      <c r="AS88"/>
    </row>
    <row r="89" spans="1:45">
      <c r="A89" s="1830"/>
      <c r="B89" s="1850" t="s">
        <v>300</v>
      </c>
      <c r="C89" s="1830"/>
      <c r="D89" s="1172">
        <f t="shared" si="3"/>
        <v>0</v>
      </c>
      <c r="E89" s="1032"/>
      <c r="F89" s="1032"/>
      <c r="G89" s="1042"/>
      <c r="H89" s="1035"/>
      <c r="I89" s="1034"/>
      <c r="J89" s="1177">
        <f t="shared" si="4"/>
        <v>0</v>
      </c>
      <c r="K89" s="1043"/>
      <c r="L89" s="1044"/>
      <c r="M89" s="1043"/>
      <c r="N89" s="1181">
        <f t="shared" ref="N89:N105" si="6">K89+L89+M89</f>
        <v>0</v>
      </c>
      <c r="AK89"/>
      <c r="AL89"/>
      <c r="AM89"/>
      <c r="AN89"/>
      <c r="AO89"/>
      <c r="AP89"/>
      <c r="AQ89"/>
      <c r="AR89"/>
      <c r="AS89"/>
    </row>
    <row r="90" spans="1:45">
      <c r="A90" s="1830"/>
      <c r="B90" s="1850" t="s">
        <v>301</v>
      </c>
      <c r="C90" s="1830"/>
      <c r="D90" s="1888">
        <f t="shared" si="3"/>
        <v>0</v>
      </c>
      <c r="E90" s="1863"/>
      <c r="F90" s="1863"/>
      <c r="G90" s="1864"/>
      <c r="H90" s="1872"/>
      <c r="I90" s="1869"/>
      <c r="J90" s="1889">
        <f t="shared" si="4"/>
        <v>0</v>
      </c>
      <c r="K90" s="1865"/>
      <c r="L90" s="1866"/>
      <c r="M90" s="1865"/>
      <c r="N90" s="1870">
        <f t="shared" si="6"/>
        <v>0</v>
      </c>
      <c r="AK90"/>
      <c r="AL90"/>
      <c r="AM90"/>
      <c r="AN90"/>
      <c r="AO90"/>
      <c r="AP90"/>
      <c r="AQ90"/>
      <c r="AR90"/>
      <c r="AS90"/>
    </row>
    <row r="91" spans="1:45">
      <c r="A91" s="1830">
        <v>21</v>
      </c>
      <c r="B91" s="1829" t="s">
        <v>302</v>
      </c>
      <c r="C91" s="1836">
        <v>17</v>
      </c>
      <c r="D91" s="1888">
        <f t="shared" si="3"/>
        <v>41136944.612779997</v>
      </c>
      <c r="E91" s="1863"/>
      <c r="F91" s="1863">
        <v>0</v>
      </c>
      <c r="G91" s="1864">
        <v>0</v>
      </c>
      <c r="H91" s="1868">
        <v>189631.83541999996</v>
      </c>
      <c r="I91" s="1869">
        <v>36171373.242040001</v>
      </c>
      <c r="J91" s="1889">
        <f t="shared" si="4"/>
        <v>36361005.077459998</v>
      </c>
      <c r="K91" s="1872">
        <v>72864.8033</v>
      </c>
      <c r="L91" s="1869">
        <v>75399.807019999993</v>
      </c>
      <c r="M91" s="1868">
        <v>4627674.9249999998</v>
      </c>
      <c r="N91" s="1870">
        <f t="shared" si="6"/>
        <v>4775939.5353199998</v>
      </c>
      <c r="AK91"/>
      <c r="AL91"/>
      <c r="AM91"/>
      <c r="AN91"/>
      <c r="AO91"/>
      <c r="AP91"/>
      <c r="AQ91"/>
      <c r="AR91"/>
      <c r="AS91"/>
    </row>
    <row r="92" spans="1:45">
      <c r="A92" s="1830">
        <v>22</v>
      </c>
      <c r="B92" s="1829" t="s">
        <v>303</v>
      </c>
      <c r="C92" s="1830"/>
      <c r="D92" s="1888">
        <f t="shared" si="3"/>
        <v>255614.27106</v>
      </c>
      <c r="E92" s="1863"/>
      <c r="F92" s="1032">
        <v>255614.27106</v>
      </c>
      <c r="G92" s="1864">
        <v>0</v>
      </c>
      <c r="H92" s="1033">
        <v>0</v>
      </c>
      <c r="I92" s="1034">
        <v>0</v>
      </c>
      <c r="J92" s="1889">
        <v>0</v>
      </c>
      <c r="K92" s="1035">
        <v>0</v>
      </c>
      <c r="L92" s="1034">
        <v>0</v>
      </c>
      <c r="M92" s="1033">
        <v>0</v>
      </c>
      <c r="N92" s="1870">
        <f t="shared" si="6"/>
        <v>0</v>
      </c>
      <c r="AK92"/>
      <c r="AL92"/>
      <c r="AM92"/>
      <c r="AN92"/>
      <c r="AO92"/>
      <c r="AP92"/>
      <c r="AQ92"/>
      <c r="AR92"/>
      <c r="AS92"/>
    </row>
    <row r="93" spans="1:45">
      <c r="A93" s="1830">
        <v>23</v>
      </c>
      <c r="B93" s="1829" t="s">
        <v>304</v>
      </c>
      <c r="C93" s="1830">
        <v>18</v>
      </c>
      <c r="D93" s="1888">
        <f t="shared" si="3"/>
        <v>100972.9289</v>
      </c>
      <c r="E93" s="1863"/>
      <c r="F93" s="1032">
        <v>0</v>
      </c>
      <c r="G93" s="3116">
        <v>0</v>
      </c>
      <c r="H93" s="1033">
        <v>54173.890369999994</v>
      </c>
      <c r="I93" s="1034">
        <v>0</v>
      </c>
      <c r="J93" s="1889">
        <f t="shared" ref="J93:J105" si="7">G93+H93+I93</f>
        <v>54173.890369999994</v>
      </c>
      <c r="K93" s="1035">
        <v>46799.038529999998</v>
      </c>
      <c r="L93" s="1034">
        <v>0</v>
      </c>
      <c r="M93" s="1033">
        <v>0</v>
      </c>
      <c r="N93" s="1870">
        <f t="shared" si="6"/>
        <v>46799.038529999998</v>
      </c>
      <c r="AK93"/>
      <c r="AL93"/>
      <c r="AM93"/>
      <c r="AN93"/>
      <c r="AO93"/>
      <c r="AP93"/>
      <c r="AQ93"/>
      <c r="AR93"/>
      <c r="AS93"/>
    </row>
    <row r="94" spans="1:45">
      <c r="A94" s="1830">
        <v>24</v>
      </c>
      <c r="B94" s="1829" t="s">
        <v>305</v>
      </c>
      <c r="C94" s="1830"/>
      <c r="D94" s="1888">
        <f t="shared" si="3"/>
        <v>58580.158499999998</v>
      </c>
      <c r="E94" s="1863"/>
      <c r="F94" s="1032">
        <v>0</v>
      </c>
      <c r="G94" s="3116">
        <v>0</v>
      </c>
      <c r="H94" s="1033">
        <v>0</v>
      </c>
      <c r="I94" s="1034">
        <v>51773.066079999997</v>
      </c>
      <c r="J94" s="1889">
        <f t="shared" si="7"/>
        <v>51773.066079999997</v>
      </c>
      <c r="K94" s="1035">
        <v>6807.0924199999999</v>
      </c>
      <c r="L94" s="1034">
        <v>0</v>
      </c>
      <c r="M94" s="1033">
        <v>0</v>
      </c>
      <c r="N94" s="1870">
        <f t="shared" si="6"/>
        <v>6807.0924199999999</v>
      </c>
      <c r="AK94"/>
      <c r="AL94"/>
      <c r="AM94"/>
      <c r="AN94"/>
      <c r="AO94"/>
      <c r="AP94"/>
      <c r="AQ94"/>
      <c r="AR94"/>
      <c r="AS94"/>
    </row>
    <row r="95" spans="1:45">
      <c r="A95" s="1830">
        <v>25</v>
      </c>
      <c r="B95" s="1851" t="s">
        <v>306</v>
      </c>
      <c r="C95" s="1830"/>
      <c r="D95" s="1888">
        <f t="shared" si="3"/>
        <v>0</v>
      </c>
      <c r="E95" s="1863"/>
      <c r="F95" s="1032">
        <v>0</v>
      </c>
      <c r="G95" s="3116">
        <v>0</v>
      </c>
      <c r="H95" s="1033">
        <v>0</v>
      </c>
      <c r="I95" s="1034">
        <v>0</v>
      </c>
      <c r="J95" s="1889">
        <f t="shared" si="7"/>
        <v>0</v>
      </c>
      <c r="K95" s="1035">
        <v>0</v>
      </c>
      <c r="L95" s="1034">
        <v>0</v>
      </c>
      <c r="M95" s="1033">
        <v>0</v>
      </c>
      <c r="N95" s="1870">
        <f t="shared" si="6"/>
        <v>0</v>
      </c>
      <c r="AK95"/>
      <c r="AL95"/>
      <c r="AM95"/>
      <c r="AN95"/>
      <c r="AO95"/>
      <c r="AP95"/>
      <c r="AQ95"/>
      <c r="AR95"/>
      <c r="AS95"/>
    </row>
    <row r="96" spans="1:45" ht="15" thickBot="1">
      <c r="A96" s="1847">
        <v>26</v>
      </c>
      <c r="B96" s="1848" t="s">
        <v>307</v>
      </c>
      <c r="C96" s="1852">
        <v>19</v>
      </c>
      <c r="D96" s="3117">
        <f t="shared" si="3"/>
        <v>5696328.5565499999</v>
      </c>
      <c r="E96" s="3114"/>
      <c r="F96" s="3114">
        <v>1560826.84323</v>
      </c>
      <c r="G96" s="3114">
        <v>0</v>
      </c>
      <c r="H96" s="1037">
        <v>31271.522240000002</v>
      </c>
      <c r="I96" s="1886">
        <v>3741423.1368299997</v>
      </c>
      <c r="J96" s="3118">
        <f t="shared" si="7"/>
        <v>3772694.6590699996</v>
      </c>
      <c r="K96" s="1885">
        <v>350292.33402000001</v>
      </c>
      <c r="L96" s="1886">
        <v>235.36116000000001</v>
      </c>
      <c r="M96" s="1037">
        <v>12279.35907</v>
      </c>
      <c r="N96" s="1890">
        <f t="shared" si="6"/>
        <v>362807.05424999999</v>
      </c>
      <c r="AK96"/>
      <c r="AL96"/>
      <c r="AM96"/>
      <c r="AN96"/>
      <c r="AO96"/>
      <c r="AP96"/>
      <c r="AQ96"/>
      <c r="AR96"/>
      <c r="AS96"/>
    </row>
    <row r="97" spans="1:45" ht="15" thickBot="1">
      <c r="A97" s="1135">
        <v>27</v>
      </c>
      <c r="B97" s="1136" t="s">
        <v>308</v>
      </c>
      <c r="C97" s="1135"/>
      <c r="D97" s="1173">
        <f t="shared" si="3"/>
        <v>47248440.527789995</v>
      </c>
      <c r="E97" s="1041">
        <f>SUM(E91:E96)</f>
        <v>0</v>
      </c>
      <c r="F97" s="1041">
        <f>SUM(F91:F96)</f>
        <v>1816441.1142899999</v>
      </c>
      <c r="G97" s="1041">
        <f>SUM(G91:G96)</f>
        <v>0</v>
      </c>
      <c r="H97" s="1045">
        <f>SUM(H91:H96)</f>
        <v>275077.24802999996</v>
      </c>
      <c r="I97" s="1041">
        <f>SUM(I91:I96)</f>
        <v>39964569.444949999</v>
      </c>
      <c r="J97" s="1176">
        <f t="shared" si="7"/>
        <v>40239646.692979999</v>
      </c>
      <c r="K97" s="1045">
        <f>SUM(K91:K96)</f>
        <v>476763.26827</v>
      </c>
      <c r="L97" s="1041">
        <f>SUM(L91:L96)</f>
        <v>75635.168179999993</v>
      </c>
      <c r="M97" s="1040">
        <f>SUM(M91:M96)</f>
        <v>4639954.2840700001</v>
      </c>
      <c r="N97" s="1180">
        <f t="shared" si="6"/>
        <v>5192352.72052</v>
      </c>
      <c r="AK97"/>
      <c r="AL97"/>
      <c r="AM97"/>
      <c r="AN97"/>
      <c r="AO97"/>
      <c r="AP97"/>
      <c r="AQ97"/>
      <c r="AR97"/>
      <c r="AS97"/>
    </row>
    <row r="98" spans="1:45">
      <c r="A98" s="1133"/>
      <c r="B98" s="1134" t="s">
        <v>309</v>
      </c>
      <c r="C98" s="1133">
        <v>20</v>
      </c>
      <c r="D98" s="1172">
        <f t="shared" si="3"/>
        <v>0</v>
      </c>
      <c r="E98" s="1032"/>
      <c r="F98" s="1032"/>
      <c r="G98" s="1032"/>
      <c r="H98" s="1033"/>
      <c r="I98" s="1034"/>
      <c r="J98" s="1177">
        <f t="shared" si="7"/>
        <v>0</v>
      </c>
      <c r="K98" s="1033"/>
      <c r="L98" s="1034"/>
      <c r="M98" s="1033"/>
      <c r="N98" s="1181">
        <f t="shared" si="6"/>
        <v>0</v>
      </c>
      <c r="AK98"/>
      <c r="AL98"/>
      <c r="AM98"/>
      <c r="AN98"/>
      <c r="AO98"/>
      <c r="AP98"/>
      <c r="AQ98"/>
      <c r="AR98"/>
      <c r="AS98"/>
    </row>
    <row r="99" spans="1:45">
      <c r="A99" s="1830">
        <v>28</v>
      </c>
      <c r="B99" s="1829" t="s">
        <v>310</v>
      </c>
      <c r="C99" s="1836"/>
      <c r="D99" s="1888">
        <f t="shared" si="3"/>
        <v>3201921.8960000002</v>
      </c>
      <c r="E99" s="1863"/>
      <c r="F99" s="1863">
        <v>3201921.8960000002</v>
      </c>
      <c r="G99" s="1863"/>
      <c r="H99" s="1868"/>
      <c r="I99" s="1869"/>
      <c r="J99" s="1889">
        <f t="shared" si="7"/>
        <v>0</v>
      </c>
      <c r="K99" s="1868"/>
      <c r="L99" s="1869"/>
      <c r="M99" s="1868"/>
      <c r="N99" s="1870">
        <f t="shared" si="6"/>
        <v>0</v>
      </c>
      <c r="AK99"/>
      <c r="AL99"/>
      <c r="AM99"/>
      <c r="AN99"/>
      <c r="AO99"/>
      <c r="AP99"/>
      <c r="AQ99"/>
      <c r="AR99"/>
      <c r="AS99"/>
    </row>
    <row r="100" spans="1:45">
      <c r="A100" s="1830">
        <v>29</v>
      </c>
      <c r="B100" s="1829" t="s">
        <v>311</v>
      </c>
      <c r="C100" s="1836"/>
      <c r="D100" s="1888">
        <f t="shared" si="3"/>
        <v>-3843364.9832300027</v>
      </c>
      <c r="E100" s="1863"/>
      <c r="F100" s="1032">
        <v>-3843364.9832300027</v>
      </c>
      <c r="G100" s="1863"/>
      <c r="H100" s="1868"/>
      <c r="I100" s="1869"/>
      <c r="J100" s="1889">
        <f t="shared" si="7"/>
        <v>0</v>
      </c>
      <c r="K100" s="1868"/>
      <c r="L100" s="1869"/>
      <c r="M100" s="1868"/>
      <c r="N100" s="1870">
        <f t="shared" si="6"/>
        <v>0</v>
      </c>
      <c r="AK100"/>
      <c r="AL100"/>
      <c r="AM100"/>
      <c r="AN100"/>
      <c r="AO100"/>
      <c r="AP100"/>
      <c r="AQ100"/>
      <c r="AR100"/>
      <c r="AS100"/>
    </row>
    <row r="101" spans="1:45">
      <c r="A101" s="1830">
        <v>30</v>
      </c>
      <c r="B101" s="1848" t="s">
        <v>312</v>
      </c>
      <c r="C101" s="1852"/>
      <c r="D101" s="1888">
        <f t="shared" si="3"/>
        <v>232916</v>
      </c>
      <c r="E101" s="1863"/>
      <c r="F101" s="1032">
        <v>232916</v>
      </c>
      <c r="G101" s="1863"/>
      <c r="H101" s="1868"/>
      <c r="I101" s="1869"/>
      <c r="J101" s="1889">
        <f t="shared" si="7"/>
        <v>0</v>
      </c>
      <c r="K101" s="1868"/>
      <c r="L101" s="1869"/>
      <c r="M101" s="1868"/>
      <c r="N101" s="1870">
        <f t="shared" si="6"/>
        <v>0</v>
      </c>
      <c r="AK101"/>
      <c r="AL101"/>
      <c r="AM101"/>
      <c r="AN101"/>
      <c r="AO101"/>
      <c r="AP101"/>
      <c r="AQ101"/>
      <c r="AR101"/>
      <c r="AS101"/>
    </row>
    <row r="102" spans="1:45">
      <c r="A102" s="1830">
        <v>31</v>
      </c>
      <c r="B102" s="1848" t="s">
        <v>313</v>
      </c>
      <c r="C102" s="1852"/>
      <c r="D102" s="1888">
        <f t="shared" si="3"/>
        <v>6080848</v>
      </c>
      <c r="E102" s="1863"/>
      <c r="F102" s="1032">
        <v>6080848</v>
      </c>
      <c r="G102" s="1863"/>
      <c r="H102" s="1868"/>
      <c r="I102" s="1869"/>
      <c r="J102" s="1889">
        <f t="shared" si="7"/>
        <v>0</v>
      </c>
      <c r="K102" s="1868"/>
      <c r="L102" s="1869"/>
      <c r="M102" s="1868"/>
      <c r="N102" s="1870">
        <f t="shared" si="6"/>
        <v>0</v>
      </c>
      <c r="AK102"/>
      <c r="AL102"/>
      <c r="AM102"/>
      <c r="AN102"/>
      <c r="AO102"/>
      <c r="AP102"/>
      <c r="AQ102"/>
      <c r="AR102"/>
      <c r="AS102"/>
    </row>
    <row r="103" spans="1:45" ht="15" thickBot="1">
      <c r="A103" s="1847">
        <v>32</v>
      </c>
      <c r="B103" s="1829" t="s">
        <v>314</v>
      </c>
      <c r="C103" s="1852"/>
      <c r="D103" s="1888">
        <f t="shared" si="3"/>
        <v>12717021.550137259</v>
      </c>
      <c r="E103" s="1863"/>
      <c r="F103" s="1032">
        <v>12717021.550137259</v>
      </c>
      <c r="G103" s="1863"/>
      <c r="H103" s="1868"/>
      <c r="I103" s="1869"/>
      <c r="J103" s="1889">
        <f t="shared" si="7"/>
        <v>0</v>
      </c>
      <c r="K103" s="1868"/>
      <c r="L103" s="1869"/>
      <c r="M103" s="1868"/>
      <c r="N103" s="1870">
        <f t="shared" si="6"/>
        <v>0</v>
      </c>
      <c r="AK103"/>
      <c r="AL103"/>
      <c r="AM103"/>
      <c r="AN103"/>
      <c r="AO103"/>
      <c r="AP103"/>
      <c r="AQ103"/>
      <c r="AR103"/>
      <c r="AS103"/>
    </row>
    <row r="104" spans="1:45" ht="15" thickBot="1">
      <c r="A104" s="1135">
        <v>33</v>
      </c>
      <c r="B104" s="1169" t="s">
        <v>315</v>
      </c>
      <c r="C104" s="1170"/>
      <c r="D104" s="1174">
        <f t="shared" si="3"/>
        <v>18389342.462907255</v>
      </c>
      <c r="E104" s="1046">
        <f>SUM(E99:E103)</f>
        <v>0</v>
      </c>
      <c r="F104" s="1046">
        <f>SUM(F99:F103)</f>
        <v>18389342.462907255</v>
      </c>
      <c r="G104" s="1046">
        <f>SUM(G99:G103)</f>
        <v>0</v>
      </c>
      <c r="H104" s="1047">
        <f>SUM(H99:H103)</f>
        <v>0</v>
      </c>
      <c r="I104" s="1048">
        <f>SUM(I99:I103)</f>
        <v>0</v>
      </c>
      <c r="J104" s="1178">
        <f t="shared" si="7"/>
        <v>0</v>
      </c>
      <c r="K104" s="1047">
        <f>SUM(K99:K103)</f>
        <v>0</v>
      </c>
      <c r="L104" s="1048">
        <f>SUM(L99:L103)</f>
        <v>0</v>
      </c>
      <c r="M104" s="1047">
        <f>SUM(M99:M103)</f>
        <v>0</v>
      </c>
      <c r="N104" s="1182">
        <f t="shared" si="6"/>
        <v>0</v>
      </c>
      <c r="AK104"/>
      <c r="AL104"/>
      <c r="AM104"/>
      <c r="AN104"/>
      <c r="AO104"/>
      <c r="AP104"/>
      <c r="AQ104"/>
      <c r="AR104"/>
      <c r="AS104"/>
    </row>
    <row r="105" spans="1:45" ht="27" thickBot="1">
      <c r="A105" s="1138">
        <v>34</v>
      </c>
      <c r="B105" s="1139" t="s">
        <v>317</v>
      </c>
      <c r="C105" s="1138"/>
      <c r="D105" s="1166">
        <f t="shared" si="3"/>
        <v>65637782.99069725</v>
      </c>
      <c r="E105" s="1166">
        <f>E104+E97</f>
        <v>0</v>
      </c>
      <c r="F105" s="1166">
        <f>F104+F97</f>
        <v>20205783.577197254</v>
      </c>
      <c r="G105" s="1166">
        <f>G104+G97</f>
        <v>0</v>
      </c>
      <c r="H105" s="1167">
        <f>H104+H97</f>
        <v>275077.24802999996</v>
      </c>
      <c r="I105" s="1168">
        <f>I104+I97</f>
        <v>39964569.444949999</v>
      </c>
      <c r="J105" s="1166">
        <f t="shared" si="7"/>
        <v>40239646.692979999</v>
      </c>
      <c r="K105" s="1167">
        <f>K104+K97</f>
        <v>476763.26827</v>
      </c>
      <c r="L105" s="1168">
        <f>L104+L97</f>
        <v>75635.168179999993</v>
      </c>
      <c r="M105" s="1167">
        <f>M104+M97</f>
        <v>4639954.2840700001</v>
      </c>
      <c r="N105" s="1168">
        <f t="shared" si="6"/>
        <v>5192352.72052</v>
      </c>
      <c r="AK105"/>
      <c r="AL105"/>
      <c r="AM105"/>
      <c r="AN105"/>
      <c r="AO105"/>
      <c r="AP105"/>
      <c r="AQ105"/>
      <c r="AR105"/>
      <c r="AS105"/>
    </row>
    <row r="106" spans="1:45">
      <c r="B106"/>
      <c r="C106"/>
      <c r="D106"/>
      <c r="E106"/>
      <c r="F106"/>
      <c r="G106"/>
      <c r="H106"/>
      <c r="I106"/>
      <c r="J106"/>
      <c r="K106"/>
      <c r="L106"/>
      <c r="M106"/>
      <c r="N106"/>
      <c r="AK106"/>
      <c r="AL106"/>
      <c r="AM106"/>
      <c r="AN106"/>
      <c r="AO106"/>
      <c r="AP106"/>
      <c r="AQ106"/>
      <c r="AR106"/>
      <c r="AS106"/>
    </row>
    <row r="107" spans="1:45">
      <c r="B107"/>
      <c r="C107"/>
      <c r="D107"/>
      <c r="E107"/>
      <c r="F107"/>
      <c r="G107"/>
      <c r="H107"/>
      <c r="I107"/>
      <c r="J107"/>
      <c r="K107"/>
      <c r="L107"/>
      <c r="M107"/>
      <c r="N107"/>
      <c r="AK107"/>
      <c r="AL107"/>
      <c r="AM107"/>
      <c r="AN107"/>
      <c r="AO107"/>
      <c r="AP107"/>
      <c r="AQ107"/>
      <c r="AR107"/>
      <c r="AS107"/>
    </row>
    <row r="108" spans="1:45">
      <c r="B108"/>
      <c r="C108"/>
      <c r="D108"/>
      <c r="E108"/>
      <c r="F108"/>
      <c r="G108"/>
      <c r="H108"/>
      <c r="I108"/>
      <c r="J108"/>
      <c r="K108"/>
      <c r="L108"/>
      <c r="M108"/>
      <c r="N108"/>
      <c r="AK108"/>
      <c r="AL108"/>
      <c r="AM108"/>
      <c r="AN108"/>
      <c r="AO108"/>
      <c r="AP108"/>
      <c r="AQ108"/>
      <c r="AR108"/>
      <c r="AS108"/>
    </row>
    <row r="109" spans="1:45" ht="15" thickBot="1">
      <c r="AK109"/>
      <c r="AL109"/>
      <c r="AM109"/>
      <c r="AN109"/>
      <c r="AO109"/>
      <c r="AP109"/>
      <c r="AQ109"/>
      <c r="AR109"/>
      <c r="AS109"/>
    </row>
    <row r="110" spans="1:45" ht="15" thickBot="1">
      <c r="A110" s="1153" t="s">
        <v>180</v>
      </c>
      <c r="B110" s="3301" t="s">
        <v>92</v>
      </c>
      <c r="C110" s="3302"/>
      <c r="D110" s="389"/>
      <c r="E110" s="662"/>
      <c r="F110" s="662"/>
      <c r="G110" s="662"/>
      <c r="H110" s="662"/>
      <c r="I110" s="662"/>
      <c r="J110" s="662"/>
      <c r="K110" s="662"/>
      <c r="L110" s="662"/>
      <c r="M110" s="3292"/>
      <c r="N110" s="3292" t="s">
        <v>257</v>
      </c>
      <c r="AK110"/>
      <c r="AL110"/>
      <c r="AM110"/>
      <c r="AN110"/>
      <c r="AO110"/>
      <c r="AP110"/>
      <c r="AQ110"/>
      <c r="AR110"/>
      <c r="AS110"/>
    </row>
    <row r="111" spans="1:45" ht="13.5" customHeight="1" thickBot="1">
      <c r="A111" s="3293" t="s">
        <v>258</v>
      </c>
      <c r="B111" s="3298"/>
      <c r="C111" s="3280" t="s">
        <v>259</v>
      </c>
      <c r="D111" s="3283" t="s">
        <v>260</v>
      </c>
      <c r="E111" s="3283" t="s">
        <v>261</v>
      </c>
      <c r="F111" s="3283" t="s">
        <v>262</v>
      </c>
      <c r="G111" s="3286" t="s">
        <v>263</v>
      </c>
      <c r="H111" s="3287"/>
      <c r="I111" s="3287"/>
      <c r="J111" s="3287"/>
      <c r="K111" s="3287"/>
      <c r="L111" s="3287"/>
      <c r="M111" s="3287"/>
      <c r="N111" s="3288"/>
      <c r="AK111"/>
      <c r="AL111"/>
      <c r="AM111"/>
      <c r="AN111"/>
      <c r="AO111"/>
      <c r="AP111"/>
      <c r="AQ111"/>
      <c r="AR111"/>
      <c r="AS111"/>
    </row>
    <row r="112" spans="1:45" ht="13.5" customHeight="1" thickBot="1">
      <c r="A112" s="3294"/>
      <c r="B112" s="3299"/>
      <c r="C112" s="3281"/>
      <c r="D112" s="3284"/>
      <c r="E112" s="3284"/>
      <c r="F112" s="3284"/>
      <c r="G112" s="3289" t="s">
        <v>264</v>
      </c>
      <c r="H112" s="3290"/>
      <c r="I112" s="3290"/>
      <c r="J112" s="3291"/>
      <c r="K112" s="3289" t="s">
        <v>265</v>
      </c>
      <c r="L112" s="3290"/>
      <c r="M112" s="3290"/>
      <c r="N112" s="3291"/>
      <c r="AK112"/>
      <c r="AL112"/>
      <c r="AM112"/>
      <c r="AN112"/>
      <c r="AO112"/>
      <c r="AP112"/>
      <c r="AQ112"/>
      <c r="AR112"/>
      <c r="AS112"/>
    </row>
    <row r="113" spans="1:45" ht="40.15" thickBot="1">
      <c r="A113" s="3294"/>
      <c r="B113" s="3299"/>
      <c r="C113" s="3281"/>
      <c r="D113" s="3285"/>
      <c r="E113" s="3285"/>
      <c r="F113" s="3285"/>
      <c r="G113" s="1125" t="s">
        <v>267</v>
      </c>
      <c r="H113" s="1125" t="s">
        <v>268</v>
      </c>
      <c r="I113" s="1125" t="s">
        <v>269</v>
      </c>
      <c r="J113" s="1125" t="s">
        <v>160</v>
      </c>
      <c r="K113" s="1126" t="s">
        <v>270</v>
      </c>
      <c r="L113" s="1126" t="s">
        <v>271</v>
      </c>
      <c r="M113" s="1126" t="s">
        <v>272</v>
      </c>
      <c r="N113" s="2969" t="s">
        <v>160</v>
      </c>
      <c r="AK113"/>
      <c r="AL113"/>
      <c r="AM113"/>
      <c r="AN113"/>
      <c r="AO113"/>
      <c r="AP113"/>
      <c r="AQ113"/>
      <c r="AR113"/>
      <c r="AS113"/>
    </row>
    <row r="114" spans="1:45" ht="15" thickBot="1">
      <c r="A114" s="3294"/>
      <c r="B114" s="3299"/>
      <c r="C114" s="3281"/>
      <c r="D114" s="1128">
        <v>1</v>
      </c>
      <c r="E114" s="3283">
        <v>2</v>
      </c>
      <c r="F114" s="3283">
        <v>3</v>
      </c>
      <c r="G114" s="3283">
        <v>4</v>
      </c>
      <c r="H114" s="3283">
        <v>5</v>
      </c>
      <c r="I114" s="3283">
        <v>6</v>
      </c>
      <c r="J114" s="2974">
        <v>7</v>
      </c>
      <c r="K114" s="3283">
        <v>8</v>
      </c>
      <c r="L114" s="3283">
        <v>9</v>
      </c>
      <c r="M114" s="3283">
        <v>10</v>
      </c>
      <c r="N114" s="1128">
        <v>11</v>
      </c>
      <c r="AK114"/>
      <c r="AL114"/>
      <c r="AM114"/>
      <c r="AN114"/>
      <c r="AO114"/>
      <c r="AP114"/>
      <c r="AQ114"/>
      <c r="AR114"/>
      <c r="AS114"/>
    </row>
    <row r="115" spans="1:45" ht="15" thickBot="1">
      <c r="A115" s="3295"/>
      <c r="B115" s="3300"/>
      <c r="C115" s="3282"/>
      <c r="D115" s="1130"/>
      <c r="E115" s="3285"/>
      <c r="F115" s="3285"/>
      <c r="G115" s="3285"/>
      <c r="H115" s="3285"/>
      <c r="I115" s="3285"/>
      <c r="J115" s="1156" t="s">
        <v>273</v>
      </c>
      <c r="K115" s="3285"/>
      <c r="L115" s="3285"/>
      <c r="M115" s="3285"/>
      <c r="N115" s="1157" t="s">
        <v>274</v>
      </c>
      <c r="AK115"/>
      <c r="AL115"/>
      <c r="AM115"/>
      <c r="AN115"/>
      <c r="AO115"/>
      <c r="AP115"/>
      <c r="AQ115"/>
      <c r="AR115"/>
      <c r="AS115"/>
    </row>
    <row r="116" spans="1:45">
      <c r="A116" s="1183"/>
      <c r="B116" s="1184" t="s">
        <v>275</v>
      </c>
      <c r="C116" s="1183"/>
      <c r="D116" s="1827"/>
      <c r="E116" s="1021"/>
      <c r="F116" s="1021"/>
      <c r="G116" s="1022"/>
      <c r="H116" s="985"/>
      <c r="I116" s="1049"/>
      <c r="J116" s="1188"/>
      <c r="K116" s="984"/>
      <c r="L116" s="985"/>
      <c r="M116" s="1050"/>
      <c r="N116" s="1891"/>
      <c r="AK116"/>
      <c r="AL116"/>
      <c r="AM116"/>
      <c r="AN116"/>
      <c r="AO116"/>
      <c r="AP116"/>
      <c r="AQ116"/>
      <c r="AR116"/>
      <c r="AS116"/>
    </row>
    <row r="117" spans="1:45">
      <c r="A117" s="1892">
        <v>1</v>
      </c>
      <c r="B117" s="1893" t="s">
        <v>276</v>
      </c>
      <c r="C117" s="1894"/>
      <c r="D117" s="1888">
        <f t="shared" ref="D117:D157" si="8">+E117+F117+J117+N117</f>
        <v>0</v>
      </c>
      <c r="E117" s="1863"/>
      <c r="F117" s="1863">
        <v>0</v>
      </c>
      <c r="G117" s="1864"/>
      <c r="H117" s="1872"/>
      <c r="I117" s="1895"/>
      <c r="J117" s="1896">
        <f t="shared" ref="J117:J157" si="9">G117+H117+I117</f>
        <v>0</v>
      </c>
      <c r="K117" s="1863"/>
      <c r="L117" s="1868"/>
      <c r="M117" s="1897"/>
      <c r="N117" s="1889">
        <f t="shared" ref="N117:N157" si="10">K117+L117+M117</f>
        <v>0</v>
      </c>
      <c r="AK117"/>
      <c r="AL117"/>
      <c r="AM117"/>
      <c r="AN117"/>
      <c r="AO117"/>
      <c r="AP117"/>
      <c r="AQ117"/>
      <c r="AR117"/>
      <c r="AS117"/>
    </row>
    <row r="118" spans="1:45">
      <c r="A118" s="1892">
        <v>2</v>
      </c>
      <c r="B118" s="1893" t="s">
        <v>277</v>
      </c>
      <c r="C118" s="1894"/>
      <c r="D118" s="1888">
        <f t="shared" si="8"/>
        <v>13598.86</v>
      </c>
      <c r="E118" s="1863"/>
      <c r="F118" s="1863">
        <v>13598.86</v>
      </c>
      <c r="G118" s="1864"/>
      <c r="H118" s="1872">
        <v>0</v>
      </c>
      <c r="I118" s="1895"/>
      <c r="J118" s="1896">
        <f t="shared" si="9"/>
        <v>0</v>
      </c>
      <c r="K118" s="1863"/>
      <c r="L118" s="1868"/>
      <c r="M118" s="1897"/>
      <c r="N118" s="1889">
        <f t="shared" si="10"/>
        <v>0</v>
      </c>
      <c r="AK118"/>
      <c r="AL118"/>
      <c r="AM118"/>
      <c r="AN118"/>
      <c r="AO118"/>
      <c r="AP118"/>
      <c r="AQ118"/>
      <c r="AR118"/>
      <c r="AS118"/>
    </row>
    <row r="119" spans="1:45">
      <c r="A119" s="1892">
        <v>3</v>
      </c>
      <c r="B119" s="1893" t="s">
        <v>278</v>
      </c>
      <c r="C119" s="1894"/>
      <c r="D119" s="1888">
        <f t="shared" si="8"/>
        <v>0</v>
      </c>
      <c r="E119" s="1863"/>
      <c r="F119" s="1863">
        <v>0</v>
      </c>
      <c r="G119" s="1864"/>
      <c r="H119" s="1872">
        <v>0</v>
      </c>
      <c r="I119" s="1895"/>
      <c r="J119" s="1896">
        <f t="shared" si="9"/>
        <v>0</v>
      </c>
      <c r="K119" s="1863"/>
      <c r="L119" s="1868"/>
      <c r="M119" s="1897"/>
      <c r="N119" s="1889">
        <f t="shared" si="10"/>
        <v>0</v>
      </c>
      <c r="AK119"/>
      <c r="AL119"/>
      <c r="AM119"/>
      <c r="AN119"/>
      <c r="AO119"/>
      <c r="AP119"/>
      <c r="AQ119"/>
      <c r="AR119"/>
      <c r="AS119"/>
    </row>
    <row r="120" spans="1:45">
      <c r="A120" s="1892">
        <v>4</v>
      </c>
      <c r="B120" s="1893" t="s">
        <v>279</v>
      </c>
      <c r="C120" s="1894"/>
      <c r="D120" s="1888">
        <f t="shared" si="8"/>
        <v>265550.95832999999</v>
      </c>
      <c r="E120" s="1863"/>
      <c r="F120" s="1863">
        <v>265550.95832999999</v>
      </c>
      <c r="G120" s="1864"/>
      <c r="H120" s="1872">
        <v>0</v>
      </c>
      <c r="I120" s="1895"/>
      <c r="J120" s="1896">
        <f t="shared" si="9"/>
        <v>0</v>
      </c>
      <c r="K120" s="1863"/>
      <c r="L120" s="1868"/>
      <c r="M120" s="1897"/>
      <c r="N120" s="1889">
        <f t="shared" si="10"/>
        <v>0</v>
      </c>
    </row>
    <row r="121" spans="1:45">
      <c r="A121" s="1892">
        <v>5</v>
      </c>
      <c r="B121" s="1893" t="s">
        <v>280</v>
      </c>
      <c r="C121" s="1898">
        <v>5</v>
      </c>
      <c r="D121" s="1888">
        <f t="shared" si="8"/>
        <v>73582.97</v>
      </c>
      <c r="E121" s="1863"/>
      <c r="F121" s="1863">
        <v>73582.97</v>
      </c>
      <c r="G121" s="1864"/>
      <c r="H121" s="1872">
        <v>0</v>
      </c>
      <c r="I121" s="1895"/>
      <c r="J121" s="1896">
        <f t="shared" si="9"/>
        <v>0</v>
      </c>
      <c r="K121" s="1863"/>
      <c r="L121" s="1868"/>
      <c r="M121" s="1897"/>
      <c r="N121" s="1889">
        <f t="shared" si="10"/>
        <v>0</v>
      </c>
    </row>
    <row r="122" spans="1:45">
      <c r="A122" s="1892">
        <v>6</v>
      </c>
      <c r="B122" s="1893" t="s">
        <v>281</v>
      </c>
      <c r="C122" s="1894">
        <v>6</v>
      </c>
      <c r="D122" s="1888">
        <f t="shared" si="8"/>
        <v>0</v>
      </c>
      <c r="E122" s="1863"/>
      <c r="F122" s="1863"/>
      <c r="G122" s="1864"/>
      <c r="H122" s="1872"/>
      <c r="I122" s="1895"/>
      <c r="J122" s="1896">
        <f t="shared" si="9"/>
        <v>0</v>
      </c>
      <c r="K122" s="1863"/>
      <c r="L122" s="1868"/>
      <c r="M122" s="1897"/>
      <c r="N122" s="1889">
        <f t="shared" si="10"/>
        <v>0</v>
      </c>
    </row>
    <row r="123" spans="1:45">
      <c r="A123" s="1892">
        <v>7</v>
      </c>
      <c r="B123" s="1893" t="s">
        <v>282</v>
      </c>
      <c r="C123" s="1898">
        <v>7</v>
      </c>
      <c r="D123" s="1888">
        <f t="shared" si="8"/>
        <v>0</v>
      </c>
      <c r="E123" s="1863">
        <v>0</v>
      </c>
      <c r="F123" s="1863">
        <f>F124+F125</f>
        <v>0</v>
      </c>
      <c r="G123" s="1863">
        <f>G124+G125</f>
        <v>0</v>
      </c>
      <c r="H123" s="1868">
        <f>H124+H125</f>
        <v>0</v>
      </c>
      <c r="I123" s="1895">
        <f>I124+I125</f>
        <v>0</v>
      </c>
      <c r="J123" s="1896">
        <f t="shared" si="9"/>
        <v>0</v>
      </c>
      <c r="K123" s="1863">
        <f>K124+K125</f>
        <v>0</v>
      </c>
      <c r="L123" s="1868">
        <f>L124+L125</f>
        <v>0</v>
      </c>
      <c r="M123" s="1897">
        <f>M124+M125</f>
        <v>0</v>
      </c>
      <c r="N123" s="1889">
        <f t="shared" si="10"/>
        <v>0</v>
      </c>
    </row>
    <row r="124" spans="1:45">
      <c r="A124" s="1894"/>
      <c r="B124" s="1899" t="s">
        <v>283</v>
      </c>
      <c r="C124" s="1898"/>
      <c r="D124" s="1888">
        <f t="shared" si="8"/>
        <v>0</v>
      </c>
      <c r="E124" s="1863"/>
      <c r="F124" s="1863"/>
      <c r="G124" s="1863"/>
      <c r="H124" s="1868"/>
      <c r="I124" s="1895"/>
      <c r="J124" s="1896">
        <f t="shared" si="9"/>
        <v>0</v>
      </c>
      <c r="K124" s="1863"/>
      <c r="L124" s="1868"/>
      <c r="M124" s="1897"/>
      <c r="N124" s="1889">
        <f t="shared" si="10"/>
        <v>0</v>
      </c>
    </row>
    <row r="125" spans="1:45">
      <c r="A125" s="1894"/>
      <c r="B125" s="1899" t="s">
        <v>284</v>
      </c>
      <c r="C125" s="1898"/>
      <c r="D125" s="1888">
        <f t="shared" si="8"/>
        <v>0</v>
      </c>
      <c r="E125" s="1863"/>
      <c r="F125" s="1863"/>
      <c r="G125" s="1863"/>
      <c r="H125" s="1868"/>
      <c r="I125" s="1895"/>
      <c r="J125" s="1896">
        <f t="shared" si="9"/>
        <v>0</v>
      </c>
      <c r="K125" s="1863"/>
      <c r="L125" s="1868"/>
      <c r="M125" s="1897"/>
      <c r="N125" s="1889">
        <f t="shared" si="10"/>
        <v>0</v>
      </c>
    </row>
    <row r="126" spans="1:45">
      <c r="A126" s="1892">
        <v>8</v>
      </c>
      <c r="B126" s="1893" t="s">
        <v>285</v>
      </c>
      <c r="C126" s="1894">
        <v>8</v>
      </c>
      <c r="D126" s="1888">
        <f t="shared" si="8"/>
        <v>0</v>
      </c>
      <c r="E126" s="1863">
        <v>0</v>
      </c>
      <c r="F126" s="1863">
        <f>F127+F128</f>
        <v>0</v>
      </c>
      <c r="G126" s="1863">
        <f>G127+G128</f>
        <v>0</v>
      </c>
      <c r="H126" s="1868">
        <f>H127+H128</f>
        <v>0</v>
      </c>
      <c r="I126" s="1895">
        <f>I127+I128</f>
        <v>0</v>
      </c>
      <c r="J126" s="1896">
        <f t="shared" si="9"/>
        <v>0</v>
      </c>
      <c r="K126" s="1863">
        <f>K127+K128</f>
        <v>0</v>
      </c>
      <c r="L126" s="1868">
        <f>L127+L128</f>
        <v>0</v>
      </c>
      <c r="M126" s="1897">
        <f>M127+M128</f>
        <v>0</v>
      </c>
      <c r="N126" s="1889">
        <f t="shared" si="10"/>
        <v>0</v>
      </c>
    </row>
    <row r="127" spans="1:45">
      <c r="A127" s="1892"/>
      <c r="B127" s="1899" t="s">
        <v>286</v>
      </c>
      <c r="C127" s="1894"/>
      <c r="D127" s="1888">
        <f t="shared" si="8"/>
        <v>0</v>
      </c>
      <c r="E127" s="1863"/>
      <c r="F127" s="1863"/>
      <c r="G127" s="1864"/>
      <c r="H127" s="1872"/>
      <c r="I127" s="1895"/>
      <c r="J127" s="1896">
        <f t="shared" si="9"/>
        <v>0</v>
      </c>
      <c r="K127" s="1863"/>
      <c r="L127" s="1900"/>
      <c r="M127" s="1897"/>
      <c r="N127" s="1889">
        <f t="shared" si="10"/>
        <v>0</v>
      </c>
    </row>
    <row r="128" spans="1:45">
      <c r="A128" s="1892"/>
      <c r="B128" s="1899" t="s">
        <v>287</v>
      </c>
      <c r="C128" s="1894"/>
      <c r="D128" s="1888">
        <f t="shared" si="8"/>
        <v>0</v>
      </c>
      <c r="E128" s="1863"/>
      <c r="F128" s="1863"/>
      <c r="G128" s="1863"/>
      <c r="H128" s="1868"/>
      <c r="I128" s="1895"/>
      <c r="J128" s="1896">
        <f t="shared" si="9"/>
        <v>0</v>
      </c>
      <c r="K128" s="1868"/>
      <c r="L128" s="1051"/>
      <c r="M128" s="1901"/>
      <c r="N128" s="1889">
        <f t="shared" si="10"/>
        <v>0</v>
      </c>
    </row>
    <row r="129" spans="1:14" ht="27">
      <c r="A129" s="1902">
        <v>9</v>
      </c>
      <c r="B129" s="1903" t="s">
        <v>288</v>
      </c>
      <c r="C129" s="1904"/>
      <c r="D129" s="1905">
        <f t="shared" si="8"/>
        <v>4168953.5431218166</v>
      </c>
      <c r="E129" s="1906">
        <f>SUM(E130:E133)</f>
        <v>0</v>
      </c>
      <c r="F129" s="1906">
        <f>SUM(F130:F133)</f>
        <v>0</v>
      </c>
      <c r="G129" s="1906">
        <f>SUM(G130:G133)</f>
        <v>0</v>
      </c>
      <c r="H129" s="1879">
        <f>SUM(H130:H133)</f>
        <v>164530.58680301651</v>
      </c>
      <c r="I129" s="1876">
        <f>SUM(I130:I133)</f>
        <v>3471188.2207587999</v>
      </c>
      <c r="J129" s="1907">
        <f t="shared" si="9"/>
        <v>3635718.8075618166</v>
      </c>
      <c r="K129" s="1879">
        <f>SUM(K130:K133)</f>
        <v>0</v>
      </c>
      <c r="L129" s="1063">
        <f>SUM(L130:L133)</f>
        <v>0</v>
      </c>
      <c r="M129" s="1064">
        <f>SUM(M130:M133)</f>
        <v>533234.73555999994</v>
      </c>
      <c r="N129" s="1908">
        <f t="shared" si="10"/>
        <v>533234.73555999994</v>
      </c>
    </row>
    <row r="130" spans="1:14">
      <c r="A130" s="1894">
        <v>10</v>
      </c>
      <c r="B130" s="1909" t="s">
        <v>289</v>
      </c>
      <c r="C130" s="1894">
        <v>9</v>
      </c>
      <c r="D130" s="1888">
        <f t="shared" si="8"/>
        <v>0</v>
      </c>
      <c r="E130" s="1863"/>
      <c r="F130" s="1863">
        <v>0</v>
      </c>
      <c r="G130" s="1864"/>
      <c r="H130" s="1872">
        <v>0</v>
      </c>
      <c r="I130" s="1895"/>
      <c r="J130" s="1896">
        <f t="shared" si="9"/>
        <v>0</v>
      </c>
      <c r="K130" s="1865"/>
      <c r="L130" s="1910"/>
      <c r="M130" s="1911">
        <v>0</v>
      </c>
      <c r="N130" s="1889">
        <f t="shared" si="10"/>
        <v>0</v>
      </c>
    </row>
    <row r="131" spans="1:14">
      <c r="A131" s="1894">
        <v>11</v>
      </c>
      <c r="B131" s="1909" t="s">
        <v>290</v>
      </c>
      <c r="C131" s="1894">
        <v>10</v>
      </c>
      <c r="D131" s="1888">
        <f t="shared" si="8"/>
        <v>210762.83552773358</v>
      </c>
      <c r="E131" s="1863"/>
      <c r="F131" s="1863">
        <v>0</v>
      </c>
      <c r="G131" s="1864"/>
      <c r="H131" s="1864">
        <v>142186.46622451651</v>
      </c>
      <c r="I131" s="1910"/>
      <c r="J131" s="1896">
        <f t="shared" si="9"/>
        <v>142186.46622451651</v>
      </c>
      <c r="K131" s="1865"/>
      <c r="L131" s="1910"/>
      <c r="M131" s="1911">
        <v>68576.36930321707</v>
      </c>
      <c r="N131" s="1889">
        <f t="shared" si="10"/>
        <v>68576.36930321707</v>
      </c>
    </row>
    <row r="132" spans="1:14">
      <c r="A132" s="1894">
        <v>12</v>
      </c>
      <c r="B132" s="1909" t="s">
        <v>291</v>
      </c>
      <c r="C132" s="1894">
        <v>11</v>
      </c>
      <c r="D132" s="1888">
        <f t="shared" si="8"/>
        <v>3958190.7075940827</v>
      </c>
      <c r="E132" s="1863"/>
      <c r="F132" s="1863">
        <v>0</v>
      </c>
      <c r="G132" s="1864"/>
      <c r="H132" s="1042">
        <v>22344.120578499998</v>
      </c>
      <c r="I132" s="1864">
        <v>3471188.2207587999</v>
      </c>
      <c r="J132" s="1896">
        <f t="shared" si="9"/>
        <v>3493532.3413372999</v>
      </c>
      <c r="K132" s="1865"/>
      <c r="L132" s="1910"/>
      <c r="M132" s="1053">
        <v>464658.36625678284</v>
      </c>
      <c r="N132" s="1889">
        <f t="shared" si="10"/>
        <v>464658.36625678284</v>
      </c>
    </row>
    <row r="133" spans="1:14" ht="27">
      <c r="A133" s="1894">
        <v>13</v>
      </c>
      <c r="B133" s="1909" t="s">
        <v>292</v>
      </c>
      <c r="C133" s="1894">
        <v>12</v>
      </c>
      <c r="D133" s="1888">
        <f t="shared" si="8"/>
        <v>0</v>
      </c>
      <c r="E133" s="1863"/>
      <c r="F133" s="1863">
        <v>0</v>
      </c>
      <c r="G133" s="1864"/>
      <c r="H133" s="1042">
        <v>0</v>
      </c>
      <c r="I133" s="1910"/>
      <c r="J133" s="1896">
        <f t="shared" si="9"/>
        <v>0</v>
      </c>
      <c r="K133" s="1865"/>
      <c r="L133" s="1912"/>
      <c r="M133" s="1911"/>
      <c r="N133" s="1889">
        <f t="shared" si="10"/>
        <v>0</v>
      </c>
    </row>
    <row r="134" spans="1:14">
      <c r="A134" s="1894">
        <v>14</v>
      </c>
      <c r="B134" s="1893" t="s">
        <v>293</v>
      </c>
      <c r="C134" s="1894">
        <v>13</v>
      </c>
      <c r="D134" s="1888">
        <f t="shared" si="8"/>
        <v>0</v>
      </c>
      <c r="E134" s="1863"/>
      <c r="F134" s="1863">
        <v>0</v>
      </c>
      <c r="G134" s="1864"/>
      <c r="H134" s="1872">
        <v>0</v>
      </c>
      <c r="I134" s="1895"/>
      <c r="J134" s="1896">
        <f t="shared" si="9"/>
        <v>0</v>
      </c>
      <c r="K134" s="1864"/>
      <c r="L134" s="1054"/>
      <c r="M134" s="1911"/>
      <c r="N134" s="1889">
        <f t="shared" si="10"/>
        <v>0</v>
      </c>
    </row>
    <row r="135" spans="1:14">
      <c r="A135" s="1894">
        <v>15</v>
      </c>
      <c r="B135" s="1893" t="s">
        <v>294</v>
      </c>
      <c r="C135" s="1898">
        <v>14</v>
      </c>
      <c r="D135" s="1888">
        <f t="shared" si="8"/>
        <v>132086.89000000001</v>
      </c>
      <c r="E135" s="1863"/>
      <c r="F135" s="1863">
        <v>0</v>
      </c>
      <c r="G135" s="1864"/>
      <c r="H135" s="1872">
        <v>66362.031400000007</v>
      </c>
      <c r="I135" s="1872">
        <v>29951.328600000001</v>
      </c>
      <c r="J135" s="1896">
        <f t="shared" si="9"/>
        <v>96313.360000000015</v>
      </c>
      <c r="K135" s="1864"/>
      <c r="L135" s="1913"/>
      <c r="M135" s="1911">
        <v>35773.53</v>
      </c>
      <c r="N135" s="1889">
        <f t="shared" si="10"/>
        <v>35773.53</v>
      </c>
    </row>
    <row r="136" spans="1:14">
      <c r="A136" s="1894">
        <v>16</v>
      </c>
      <c r="B136" s="1893" t="s">
        <v>295</v>
      </c>
      <c r="C136" s="1894">
        <v>15</v>
      </c>
      <c r="D136" s="1888">
        <f t="shared" si="8"/>
        <v>69467.09</v>
      </c>
      <c r="E136" s="1863"/>
      <c r="F136" s="1863">
        <v>0</v>
      </c>
      <c r="G136" s="1864"/>
      <c r="H136" s="1035">
        <v>29290.170449999991</v>
      </c>
      <c r="I136" s="1035">
        <v>37047.78893000001</v>
      </c>
      <c r="J136" s="1896">
        <f t="shared" si="9"/>
        <v>66337.95938</v>
      </c>
      <c r="K136" s="1864"/>
      <c r="L136" s="1913"/>
      <c r="M136" s="1055">
        <v>3129.1306199999999</v>
      </c>
      <c r="N136" s="1889">
        <f t="shared" si="10"/>
        <v>3129.1306199999999</v>
      </c>
    </row>
    <row r="137" spans="1:14">
      <c r="A137" s="1894">
        <v>17</v>
      </c>
      <c r="B137" s="1893" t="s">
        <v>296</v>
      </c>
      <c r="C137" s="1898">
        <v>16</v>
      </c>
      <c r="D137" s="1888">
        <f t="shared" si="8"/>
        <v>1046771.45</v>
      </c>
      <c r="E137" s="1863"/>
      <c r="F137" s="1863">
        <v>1046771.45</v>
      </c>
      <c r="G137" s="1864"/>
      <c r="H137" s="1042">
        <v>0</v>
      </c>
      <c r="I137" s="1042"/>
      <c r="J137" s="1896">
        <f t="shared" si="9"/>
        <v>0</v>
      </c>
      <c r="K137" s="1864"/>
      <c r="L137" s="1865"/>
      <c r="M137" s="1056">
        <v>0</v>
      </c>
      <c r="N137" s="1889">
        <f t="shared" si="10"/>
        <v>0</v>
      </c>
    </row>
    <row r="138" spans="1:14">
      <c r="A138" s="1894">
        <v>18</v>
      </c>
      <c r="B138" s="1893" t="s">
        <v>297</v>
      </c>
      <c r="C138" s="1894"/>
      <c r="D138" s="1888">
        <f t="shared" si="8"/>
        <v>2102488.5099999998</v>
      </c>
      <c r="E138" s="1863"/>
      <c r="F138" s="1032">
        <v>0</v>
      </c>
      <c r="G138" s="1864"/>
      <c r="H138" s="1035"/>
      <c r="I138" s="1035">
        <v>2102488.5099999998</v>
      </c>
      <c r="J138" s="1896">
        <f t="shared" si="9"/>
        <v>2102488.5099999998</v>
      </c>
      <c r="K138" s="1864"/>
      <c r="L138" s="1913"/>
      <c r="M138" s="1057">
        <v>0</v>
      </c>
      <c r="N138" s="1889">
        <f t="shared" si="10"/>
        <v>0</v>
      </c>
    </row>
    <row r="139" spans="1:14" ht="15" thickBot="1">
      <c r="A139" s="1914">
        <v>19</v>
      </c>
      <c r="B139" s="1915" t="s">
        <v>298</v>
      </c>
      <c r="C139" s="1914"/>
      <c r="D139" s="3117">
        <f t="shared" si="8"/>
        <v>115527.16869443274</v>
      </c>
      <c r="E139" s="3114"/>
      <c r="F139" s="1036">
        <v>115527.16869443274</v>
      </c>
      <c r="G139" s="3116"/>
      <c r="H139" s="1885">
        <v>0</v>
      </c>
      <c r="I139" s="1058"/>
      <c r="J139" s="1916">
        <f t="shared" si="9"/>
        <v>0</v>
      </c>
      <c r="K139" s="3116"/>
      <c r="L139" s="1917"/>
      <c r="M139" s="1056">
        <v>0</v>
      </c>
      <c r="N139" s="3118">
        <f t="shared" si="10"/>
        <v>0</v>
      </c>
    </row>
    <row r="140" spans="1:14" ht="27" thickBot="1">
      <c r="A140" s="1191">
        <v>20</v>
      </c>
      <c r="B140" s="1139" t="s">
        <v>299</v>
      </c>
      <c r="C140" s="1191"/>
      <c r="D140" s="1163">
        <f t="shared" si="8"/>
        <v>7988027.4401462488</v>
      </c>
      <c r="E140" s="1163">
        <f>SUM(E117:E123)+E126+E129+SUM(E134:E139)</f>
        <v>0</v>
      </c>
      <c r="F140" s="1163">
        <f>SUM(F117:F123)+F126+F129+SUM(F134:F139)</f>
        <v>1515031.4070244329</v>
      </c>
      <c r="G140" s="1163">
        <f>SUM(G117:G123)+G126+G129+SUM(G134:G139)</f>
        <v>0</v>
      </c>
      <c r="H140" s="1164">
        <f>SUM(H117:H123)+H126+H129+SUM(H134:H139)</f>
        <v>260182.7886530165</v>
      </c>
      <c r="I140" s="1192">
        <f>SUM(I117:I123)+I126+I129+SUM(I134:I139)</f>
        <v>5640675.8482887996</v>
      </c>
      <c r="J140" s="1193">
        <f t="shared" si="9"/>
        <v>5900858.6369418157</v>
      </c>
      <c r="K140" s="1163">
        <f>SUM(K117:K123)+K126+K129+SUM(K134:K139)</f>
        <v>0</v>
      </c>
      <c r="L140" s="1164">
        <f>SUM(L117:L123)+L126+L129+SUM(L134:L139)</f>
        <v>0</v>
      </c>
      <c r="M140" s="1193">
        <f>SUM(M117:M123)+M126+M129+SUM(M134:M139)</f>
        <v>572137.39617999992</v>
      </c>
      <c r="N140" s="1163">
        <f t="shared" si="10"/>
        <v>572137.39617999992</v>
      </c>
    </row>
    <row r="141" spans="1:14">
      <c r="A141" s="1183"/>
      <c r="B141" s="1184" t="s">
        <v>300</v>
      </c>
      <c r="C141" s="1183"/>
      <c r="D141" s="1172">
        <f t="shared" si="8"/>
        <v>0</v>
      </c>
      <c r="E141" s="1032"/>
      <c r="F141" s="1032"/>
      <c r="G141" s="1042"/>
      <c r="H141" s="1035"/>
      <c r="I141" s="1059"/>
      <c r="J141" s="1190">
        <f t="shared" si="9"/>
        <v>0</v>
      </c>
      <c r="K141" s="1042"/>
      <c r="L141" s="1054"/>
      <c r="M141" s="1053"/>
      <c r="N141" s="1177">
        <f t="shared" si="10"/>
        <v>0</v>
      </c>
    </row>
    <row r="142" spans="1:14">
      <c r="A142" s="1894"/>
      <c r="B142" s="1918" t="s">
        <v>301</v>
      </c>
      <c r="C142" s="1894"/>
      <c r="D142" s="1888">
        <f t="shared" si="8"/>
        <v>0</v>
      </c>
      <c r="E142" s="1863"/>
      <c r="F142" s="1863"/>
      <c r="G142" s="1864"/>
      <c r="H142" s="1872"/>
      <c r="I142" s="1895"/>
      <c r="J142" s="1896">
        <f t="shared" si="9"/>
        <v>0</v>
      </c>
      <c r="K142" s="1864"/>
      <c r="L142" s="1913"/>
      <c r="M142" s="1911"/>
      <c r="N142" s="1889">
        <f t="shared" si="10"/>
        <v>0</v>
      </c>
    </row>
    <row r="143" spans="1:14">
      <c r="A143" s="1894">
        <v>21</v>
      </c>
      <c r="B143" s="1893" t="s">
        <v>302</v>
      </c>
      <c r="C143" s="1898">
        <v>17</v>
      </c>
      <c r="D143" s="1888">
        <f t="shared" si="8"/>
        <v>7661901.7000000002</v>
      </c>
      <c r="E143" s="1863"/>
      <c r="F143" s="1863">
        <v>0</v>
      </c>
      <c r="G143" s="1864"/>
      <c r="H143" s="1872">
        <v>152208.48219821882</v>
      </c>
      <c r="I143" s="1872">
        <v>6976458.3978017811</v>
      </c>
      <c r="J143" s="1896">
        <f t="shared" si="9"/>
        <v>7128666.8799999999</v>
      </c>
      <c r="K143" s="1864"/>
      <c r="L143" s="1913"/>
      <c r="M143" s="1911">
        <v>533234.81999999995</v>
      </c>
      <c r="N143" s="1889">
        <f t="shared" si="10"/>
        <v>533234.81999999995</v>
      </c>
    </row>
    <row r="144" spans="1:14">
      <c r="A144" s="1894">
        <v>22</v>
      </c>
      <c r="B144" s="1893" t="s">
        <v>303</v>
      </c>
      <c r="C144" s="1894"/>
      <c r="D144" s="1888">
        <f t="shared" si="8"/>
        <v>19748.919999999998</v>
      </c>
      <c r="E144" s="1863"/>
      <c r="F144" s="1863">
        <v>19748.919999999998</v>
      </c>
      <c r="G144" s="1864"/>
      <c r="H144" s="1035">
        <v>0</v>
      </c>
      <c r="I144" s="1895"/>
      <c r="J144" s="1896">
        <f t="shared" si="9"/>
        <v>0</v>
      </c>
      <c r="K144" s="1864"/>
      <c r="L144" s="1913"/>
      <c r="M144" s="1053">
        <v>0</v>
      </c>
      <c r="N144" s="1889">
        <f t="shared" si="10"/>
        <v>0</v>
      </c>
    </row>
    <row r="145" spans="1:14">
      <c r="A145" s="1894">
        <v>23</v>
      </c>
      <c r="B145" s="1893" t="s">
        <v>304</v>
      </c>
      <c r="C145" s="1894">
        <v>18</v>
      </c>
      <c r="D145" s="1888">
        <f t="shared" si="8"/>
        <v>171372.27</v>
      </c>
      <c r="E145" s="1863"/>
      <c r="F145" s="1863">
        <v>0</v>
      </c>
      <c r="G145" s="1864"/>
      <c r="H145" s="1035">
        <v>97499.101569998995</v>
      </c>
      <c r="I145" s="1872">
        <v>58734.307330001102</v>
      </c>
      <c r="J145" s="1896">
        <f t="shared" si="9"/>
        <v>156233.4089000001</v>
      </c>
      <c r="K145" s="1864"/>
      <c r="L145" s="1913"/>
      <c r="M145" s="1053">
        <v>15138.8610999999</v>
      </c>
      <c r="N145" s="1889">
        <f t="shared" si="10"/>
        <v>15138.8610999999</v>
      </c>
    </row>
    <row r="146" spans="1:14">
      <c r="A146" s="1894">
        <v>24</v>
      </c>
      <c r="B146" s="1893" t="s">
        <v>305</v>
      </c>
      <c r="C146" s="1894"/>
      <c r="D146" s="1888">
        <f t="shared" si="8"/>
        <v>95814.63</v>
      </c>
      <c r="E146" s="1863"/>
      <c r="F146" s="1863">
        <v>0</v>
      </c>
      <c r="G146" s="1864"/>
      <c r="H146" s="1035">
        <v>10539.6093</v>
      </c>
      <c r="I146" s="1035">
        <v>85275.020700000008</v>
      </c>
      <c r="J146" s="1896">
        <f t="shared" si="9"/>
        <v>95814.63</v>
      </c>
      <c r="K146" s="1864"/>
      <c r="L146" s="1913"/>
      <c r="M146" s="1053">
        <v>0</v>
      </c>
      <c r="N146" s="1889">
        <f t="shared" si="10"/>
        <v>0</v>
      </c>
    </row>
    <row r="147" spans="1:14">
      <c r="A147" s="1894">
        <v>25</v>
      </c>
      <c r="B147" s="1919" t="s">
        <v>306</v>
      </c>
      <c r="C147" s="1894"/>
      <c r="D147" s="1888">
        <f t="shared" si="8"/>
        <v>0</v>
      </c>
      <c r="E147" s="1863"/>
      <c r="F147" s="1863">
        <v>0</v>
      </c>
      <c r="G147" s="1864"/>
      <c r="H147" s="1035">
        <v>0</v>
      </c>
      <c r="I147" s="1895"/>
      <c r="J147" s="1896">
        <f t="shared" si="9"/>
        <v>0</v>
      </c>
      <c r="K147" s="1864"/>
      <c r="L147" s="1913"/>
      <c r="M147" s="1053">
        <v>0</v>
      </c>
      <c r="N147" s="1889">
        <f t="shared" si="10"/>
        <v>0</v>
      </c>
    </row>
    <row r="148" spans="1:14" ht="15" thickBot="1">
      <c r="A148" s="1914">
        <v>26</v>
      </c>
      <c r="B148" s="1915" t="s">
        <v>307</v>
      </c>
      <c r="C148" s="1920">
        <v>19</v>
      </c>
      <c r="D148" s="3117">
        <f t="shared" si="8"/>
        <v>588746.72739568108</v>
      </c>
      <c r="E148" s="3114"/>
      <c r="F148" s="3114">
        <v>564983.01231568097</v>
      </c>
      <c r="G148" s="3116"/>
      <c r="H148" s="1060">
        <v>0</v>
      </c>
      <c r="I148" s="1921"/>
      <c r="J148" s="1916">
        <f t="shared" si="9"/>
        <v>0</v>
      </c>
      <c r="K148" s="3116"/>
      <c r="L148" s="1065"/>
      <c r="M148" s="1056">
        <v>23763.715080000082</v>
      </c>
      <c r="N148" s="3118">
        <f t="shared" si="10"/>
        <v>23763.715080000082</v>
      </c>
    </row>
    <row r="149" spans="1:14" ht="15" thickBot="1">
      <c r="A149" s="1185">
        <v>27</v>
      </c>
      <c r="B149" s="1136" t="s">
        <v>308</v>
      </c>
      <c r="C149" s="1185"/>
      <c r="D149" s="1173">
        <f t="shared" si="8"/>
        <v>8537584.2473956812</v>
      </c>
      <c r="E149" s="1041">
        <f>SUM(E143:E148)</f>
        <v>0</v>
      </c>
      <c r="F149" s="1041">
        <f>SUM(F143:F148)</f>
        <v>584731.93231568101</v>
      </c>
      <c r="G149" s="1041">
        <f>SUM(G143:G148)</f>
        <v>0</v>
      </c>
      <c r="H149" s="1045">
        <f>SUM(H143:H148)</f>
        <v>260247.19306821784</v>
      </c>
      <c r="I149" s="1067">
        <f>SUM(I143:I148)</f>
        <v>7120467.7258317824</v>
      </c>
      <c r="J149" s="1189">
        <f t="shared" si="9"/>
        <v>7380714.9188999999</v>
      </c>
      <c r="K149" s="1039">
        <f>SUM(K143:K148)</f>
        <v>0</v>
      </c>
      <c r="L149" s="1045">
        <f>SUM(L143:L148)</f>
        <v>0</v>
      </c>
      <c r="M149" s="1068">
        <f>SUM(M143:M148)</f>
        <v>572137.39617999992</v>
      </c>
      <c r="N149" s="1176">
        <f t="shared" si="10"/>
        <v>572137.39617999992</v>
      </c>
    </row>
    <row r="150" spans="1:14">
      <c r="A150" s="1183"/>
      <c r="B150" s="1184" t="s">
        <v>309</v>
      </c>
      <c r="C150" s="1183">
        <v>20</v>
      </c>
      <c r="D150" s="1172">
        <f t="shared" si="8"/>
        <v>0</v>
      </c>
      <c r="E150" s="1032"/>
      <c r="F150" s="1032"/>
      <c r="G150" s="1042"/>
      <c r="H150" s="1035"/>
      <c r="I150" s="1052"/>
      <c r="J150" s="1177">
        <f t="shared" si="9"/>
        <v>0</v>
      </c>
      <c r="K150" s="1042"/>
      <c r="L150" s="1054"/>
      <c r="M150" s="1053"/>
      <c r="N150" s="1177">
        <f t="shared" si="10"/>
        <v>0</v>
      </c>
    </row>
    <row r="151" spans="1:14">
      <c r="A151" s="1894">
        <v>28</v>
      </c>
      <c r="B151" s="1893" t="s">
        <v>310</v>
      </c>
      <c r="C151" s="1898"/>
      <c r="D151" s="1888">
        <f t="shared" si="8"/>
        <v>739623.5</v>
      </c>
      <c r="E151" s="1863"/>
      <c r="F151" s="1863">
        <v>739623.5</v>
      </c>
      <c r="G151" s="1864"/>
      <c r="H151" s="1872">
        <v>0</v>
      </c>
      <c r="I151" s="1897"/>
      <c r="J151" s="1889">
        <f t="shared" si="9"/>
        <v>0</v>
      </c>
      <c r="K151" s="1864"/>
      <c r="L151" s="1913"/>
      <c r="M151" s="1911"/>
      <c r="N151" s="1889">
        <f t="shared" si="10"/>
        <v>0</v>
      </c>
    </row>
    <row r="152" spans="1:14">
      <c r="A152" s="1894">
        <v>29</v>
      </c>
      <c r="B152" s="1893" t="s">
        <v>311</v>
      </c>
      <c r="C152" s="1898"/>
      <c r="D152" s="1888">
        <f t="shared" si="8"/>
        <v>-1656374.8327799998</v>
      </c>
      <c r="E152" s="1863"/>
      <c r="F152" s="1032">
        <v>709874.92722000007</v>
      </c>
      <c r="G152" s="1864"/>
      <c r="H152" s="1872">
        <v>-260287.47359999997</v>
      </c>
      <c r="I152" s="1897">
        <v>-2105962.2863999996</v>
      </c>
      <c r="J152" s="1889">
        <f t="shared" si="9"/>
        <v>-2366249.7599999998</v>
      </c>
      <c r="K152" s="1864"/>
      <c r="L152" s="1913"/>
      <c r="M152" s="1911"/>
      <c r="N152" s="1889">
        <f t="shared" si="10"/>
        <v>0</v>
      </c>
    </row>
    <row r="153" spans="1:14">
      <c r="A153" s="1894">
        <v>30</v>
      </c>
      <c r="B153" s="1915" t="s">
        <v>312</v>
      </c>
      <c r="C153" s="1920"/>
      <c r="D153" s="1888">
        <f t="shared" si="8"/>
        <v>0</v>
      </c>
      <c r="E153" s="1863"/>
      <c r="F153" s="1036">
        <v>0</v>
      </c>
      <c r="G153" s="3116"/>
      <c r="H153" s="1885">
        <v>0</v>
      </c>
      <c r="I153" s="1051"/>
      <c r="J153" s="1889">
        <f t="shared" si="9"/>
        <v>0</v>
      </c>
      <c r="K153" s="1864"/>
      <c r="L153" s="1917"/>
      <c r="M153" s="1922"/>
      <c r="N153" s="1889">
        <f t="shared" si="10"/>
        <v>0</v>
      </c>
    </row>
    <row r="154" spans="1:14">
      <c r="A154" s="1894">
        <v>31</v>
      </c>
      <c r="B154" s="1915" t="s">
        <v>313</v>
      </c>
      <c r="C154" s="1920"/>
      <c r="D154" s="1888">
        <f t="shared" si="8"/>
        <v>0</v>
      </c>
      <c r="E154" s="1863"/>
      <c r="F154" s="3114">
        <v>0</v>
      </c>
      <c r="G154" s="3116"/>
      <c r="H154" s="1885">
        <v>0</v>
      </c>
      <c r="I154" s="1923"/>
      <c r="J154" s="1889">
        <f t="shared" si="9"/>
        <v>0</v>
      </c>
      <c r="K154" s="1864"/>
      <c r="L154" s="1917"/>
      <c r="M154" s="1922"/>
      <c r="N154" s="1889">
        <f t="shared" si="10"/>
        <v>0</v>
      </c>
    </row>
    <row r="155" spans="1:14" ht="15" thickBot="1">
      <c r="A155" s="1914">
        <v>32</v>
      </c>
      <c r="B155" s="1915" t="s">
        <v>314</v>
      </c>
      <c r="C155" s="1920"/>
      <c r="D155" s="1888">
        <f t="shared" si="8"/>
        <v>367194.52553056745</v>
      </c>
      <c r="E155" s="1863"/>
      <c r="F155" s="3114">
        <v>-519198.952511248</v>
      </c>
      <c r="G155" s="3116"/>
      <c r="H155" s="1885">
        <v>260223.06918479863</v>
      </c>
      <c r="I155" s="1923">
        <v>626170.40885701682</v>
      </c>
      <c r="J155" s="1889">
        <f t="shared" si="9"/>
        <v>886393.47804181546</v>
      </c>
      <c r="K155" s="1864"/>
      <c r="L155" s="1885"/>
      <c r="M155" s="1923"/>
      <c r="N155" s="1889">
        <f t="shared" si="10"/>
        <v>0</v>
      </c>
    </row>
    <row r="156" spans="1:14" ht="15" thickBot="1">
      <c r="A156" s="1185">
        <v>33</v>
      </c>
      <c r="B156" s="1186" t="s">
        <v>315</v>
      </c>
      <c r="C156" s="1187"/>
      <c r="D156" s="1174">
        <f t="shared" si="8"/>
        <v>-549556.8072494322</v>
      </c>
      <c r="E156" s="1046">
        <f>SUM(E151:E155)</f>
        <v>0</v>
      </c>
      <c r="F156" s="1046">
        <f>SUM(F151:F155)</f>
        <v>930299.47470875201</v>
      </c>
      <c r="G156" s="1046">
        <f>SUM(G151:G155)</f>
        <v>0</v>
      </c>
      <c r="H156" s="1047">
        <f>SUM(H151:H155)</f>
        <v>-64.404415201337542</v>
      </c>
      <c r="I156" s="1066">
        <f>SUM(I151:I155)</f>
        <v>-1479791.8775429828</v>
      </c>
      <c r="J156" s="1178">
        <f t="shared" si="9"/>
        <v>-1479856.2819581842</v>
      </c>
      <c r="K156" s="1046">
        <f>SUM(K151:K155)</f>
        <v>0</v>
      </c>
      <c r="L156" s="1047">
        <f>SUM(L151:L155)</f>
        <v>0</v>
      </c>
      <c r="M156" s="1066">
        <f>SUM(M151:M155)</f>
        <v>0</v>
      </c>
      <c r="N156" s="1178">
        <f t="shared" si="10"/>
        <v>0</v>
      </c>
    </row>
    <row r="157" spans="1:14" ht="27" thickBot="1">
      <c r="A157" s="1191">
        <v>34</v>
      </c>
      <c r="B157" s="1139" t="s">
        <v>317</v>
      </c>
      <c r="C157" s="1191"/>
      <c r="D157" s="1166">
        <f t="shared" si="8"/>
        <v>7988027.4401462488</v>
      </c>
      <c r="E157" s="1166">
        <f>E156+E149</f>
        <v>0</v>
      </c>
      <c r="F157" s="1166">
        <f>F156+F149</f>
        <v>1515031.4070244329</v>
      </c>
      <c r="G157" s="1166">
        <f>G156+G149</f>
        <v>0</v>
      </c>
      <c r="H157" s="1166">
        <f>H156+H149</f>
        <v>260182.7886530165</v>
      </c>
      <c r="I157" s="1166">
        <f>I156+I149</f>
        <v>5640675.8482887996</v>
      </c>
      <c r="J157" s="1166">
        <f t="shared" si="9"/>
        <v>5900858.6369418157</v>
      </c>
      <c r="K157" s="1166">
        <f>K156+K149</f>
        <v>0</v>
      </c>
      <c r="L157" s="1166">
        <f>L156+L149</f>
        <v>0</v>
      </c>
      <c r="M157" s="1166">
        <f>M156+M149</f>
        <v>572137.39617999992</v>
      </c>
      <c r="N157" s="1166">
        <f t="shared" si="10"/>
        <v>572137.39617999992</v>
      </c>
    </row>
    <row r="158" spans="1:14">
      <c r="B158"/>
      <c r="C158"/>
      <c r="D158"/>
      <c r="E158"/>
      <c r="F158"/>
      <c r="G158"/>
      <c r="H158"/>
      <c r="I158"/>
      <c r="J158"/>
      <c r="K158"/>
      <c r="L158"/>
      <c r="M158"/>
      <c r="N158"/>
    </row>
    <row r="159" spans="1:14">
      <c r="B159"/>
      <c r="C159"/>
      <c r="D159"/>
      <c r="E159"/>
      <c r="F159"/>
      <c r="G159"/>
      <c r="H159"/>
      <c r="I159"/>
      <c r="J159"/>
      <c r="K159"/>
      <c r="L159"/>
      <c r="M159"/>
      <c r="N159"/>
    </row>
    <row r="160" spans="1:14" ht="15" thickBot="1">
      <c r="B160"/>
      <c r="C160"/>
      <c r="D160"/>
      <c r="E160"/>
      <c r="F160"/>
      <c r="G160"/>
      <c r="H160"/>
      <c r="I160"/>
      <c r="J160"/>
      <c r="K160"/>
      <c r="L160"/>
      <c r="M160"/>
      <c r="N160"/>
    </row>
    <row r="161" spans="1:14" ht="15" thickBot="1">
      <c r="A161" s="1153" t="s">
        <v>182</v>
      </c>
      <c r="B161" s="3301" t="s">
        <v>320</v>
      </c>
      <c r="C161" s="3302"/>
      <c r="D161" s="389"/>
      <c r="E161" s="662"/>
      <c r="F161" s="662"/>
      <c r="G161" s="662"/>
      <c r="H161" s="662"/>
      <c r="I161" s="662"/>
      <c r="J161" s="662"/>
      <c r="K161" s="662"/>
      <c r="L161" s="662"/>
      <c r="M161" s="3292"/>
      <c r="N161" s="3292" t="s">
        <v>257</v>
      </c>
    </row>
    <row r="162" spans="1:14" ht="13.5" customHeight="1" thickBot="1">
      <c r="A162" s="3293" t="s">
        <v>258</v>
      </c>
      <c r="B162" s="3298"/>
      <c r="C162" s="3280" t="s">
        <v>259</v>
      </c>
      <c r="D162" s="3283" t="s">
        <v>260</v>
      </c>
      <c r="E162" s="3283" t="s">
        <v>261</v>
      </c>
      <c r="F162" s="3283" t="s">
        <v>262</v>
      </c>
      <c r="G162" s="3286" t="s">
        <v>263</v>
      </c>
      <c r="H162" s="3287"/>
      <c r="I162" s="3287"/>
      <c r="J162" s="3287"/>
      <c r="K162" s="3287"/>
      <c r="L162" s="3287"/>
      <c r="M162" s="3287"/>
      <c r="N162" s="3288"/>
    </row>
    <row r="163" spans="1:14" ht="13.5" customHeight="1" thickBot="1">
      <c r="A163" s="3294"/>
      <c r="B163" s="3299"/>
      <c r="C163" s="3281"/>
      <c r="D163" s="3284"/>
      <c r="E163" s="3284"/>
      <c r="F163" s="3284"/>
      <c r="G163" s="3289" t="s">
        <v>264</v>
      </c>
      <c r="H163" s="3290"/>
      <c r="I163" s="3290"/>
      <c r="J163" s="3291"/>
      <c r="K163" s="3289" t="s">
        <v>265</v>
      </c>
      <c r="L163" s="3290"/>
      <c r="M163" s="3290"/>
      <c r="N163" s="3291"/>
    </row>
    <row r="164" spans="1:14" ht="40.15" thickBot="1">
      <c r="A164" s="3294"/>
      <c r="B164" s="3299"/>
      <c r="C164" s="3281"/>
      <c r="D164" s="3285"/>
      <c r="E164" s="3285"/>
      <c r="F164" s="3285"/>
      <c r="G164" s="1125" t="s">
        <v>267</v>
      </c>
      <c r="H164" s="1125" t="s">
        <v>268</v>
      </c>
      <c r="I164" s="1125" t="s">
        <v>269</v>
      </c>
      <c r="J164" s="1125" t="s">
        <v>160</v>
      </c>
      <c r="K164" s="1126" t="s">
        <v>270</v>
      </c>
      <c r="L164" s="1126" t="s">
        <v>271</v>
      </c>
      <c r="M164" s="1126" t="s">
        <v>272</v>
      </c>
      <c r="N164" s="2969" t="s">
        <v>160</v>
      </c>
    </row>
    <row r="165" spans="1:14" ht="15" thickBot="1">
      <c r="A165" s="3294"/>
      <c r="B165" s="3299"/>
      <c r="C165" s="3281"/>
      <c r="D165" s="1128">
        <v>1</v>
      </c>
      <c r="E165" s="3283">
        <v>2</v>
      </c>
      <c r="F165" s="3283">
        <v>3</v>
      </c>
      <c r="G165" s="3283">
        <v>4</v>
      </c>
      <c r="H165" s="3283">
        <v>5</v>
      </c>
      <c r="I165" s="3283">
        <v>6</v>
      </c>
      <c r="J165" s="2974">
        <v>7</v>
      </c>
      <c r="K165" s="3283">
        <v>8</v>
      </c>
      <c r="L165" s="3283">
        <v>9</v>
      </c>
      <c r="M165" s="3283">
        <v>10</v>
      </c>
      <c r="N165" s="1128">
        <v>11</v>
      </c>
    </row>
    <row r="166" spans="1:14" ht="15" thickBot="1">
      <c r="A166" s="3295"/>
      <c r="B166" s="3300"/>
      <c r="C166" s="3282"/>
      <c r="D166" s="1130"/>
      <c r="E166" s="3285"/>
      <c r="F166" s="3285"/>
      <c r="G166" s="3285"/>
      <c r="H166" s="3285"/>
      <c r="I166" s="3285"/>
      <c r="J166" s="1156" t="s">
        <v>273</v>
      </c>
      <c r="K166" s="3285"/>
      <c r="L166" s="3285"/>
      <c r="M166" s="3285"/>
      <c r="N166" s="1157" t="s">
        <v>274</v>
      </c>
    </row>
    <row r="167" spans="1:14">
      <c r="A167" s="1183"/>
      <c r="B167" s="1184" t="s">
        <v>275</v>
      </c>
      <c r="C167" s="1183"/>
      <c r="D167" s="1827"/>
      <c r="E167" s="1021"/>
      <c r="F167" s="1021"/>
      <c r="G167" s="1022"/>
      <c r="H167" s="985"/>
      <c r="I167" s="1049"/>
      <c r="J167" s="1188"/>
      <c r="K167" s="984"/>
      <c r="L167" s="985"/>
      <c r="M167" s="1050"/>
      <c r="N167" s="1891"/>
    </row>
    <row r="168" spans="1:14">
      <c r="A168" s="1892">
        <v>1</v>
      </c>
      <c r="B168" s="1893" t="s">
        <v>276</v>
      </c>
      <c r="C168" s="1894"/>
      <c r="D168" s="1888">
        <f t="shared" ref="D168:D208" si="11">+E168+F168+J168+N168</f>
        <v>0</v>
      </c>
      <c r="E168" s="1863"/>
      <c r="F168" s="1863"/>
      <c r="G168" s="1864"/>
      <c r="H168" s="1872"/>
      <c r="I168" s="1895"/>
      <c r="J168" s="1896">
        <f>G168+H168+I168</f>
        <v>0</v>
      </c>
      <c r="K168" s="1863"/>
      <c r="L168" s="1868"/>
      <c r="M168" s="1897"/>
      <c r="N168" s="1889">
        <f>K168+L168+M168</f>
        <v>0</v>
      </c>
    </row>
    <row r="169" spans="1:14">
      <c r="A169" s="1892">
        <v>2</v>
      </c>
      <c r="B169" s="1893" t="s">
        <v>277</v>
      </c>
      <c r="C169" s="1894"/>
      <c r="D169" s="1888">
        <f t="shared" si="11"/>
        <v>20231.816999999999</v>
      </c>
      <c r="E169" s="1863"/>
      <c r="F169" s="1863">
        <v>20231.816999999999</v>
      </c>
      <c r="G169" s="1864"/>
      <c r="H169" s="1872"/>
      <c r="I169" s="1895"/>
      <c r="J169" s="1896">
        <f>G169+H169+I169</f>
        <v>0</v>
      </c>
      <c r="K169" s="1863"/>
      <c r="L169" s="1868"/>
      <c r="M169" s="1897"/>
      <c r="N169" s="1889">
        <f>K169+L169+M169</f>
        <v>0</v>
      </c>
    </row>
    <row r="170" spans="1:14">
      <c r="A170" s="1892">
        <v>3</v>
      </c>
      <c r="B170" s="1893" t="s">
        <v>278</v>
      </c>
      <c r="C170" s="1894"/>
      <c r="D170" s="1888">
        <f t="shared" si="11"/>
        <v>0</v>
      </c>
      <c r="E170" s="1863"/>
      <c r="F170" s="1863"/>
      <c r="G170" s="1864"/>
      <c r="H170" s="1872"/>
      <c r="I170" s="1895"/>
      <c r="J170" s="1896">
        <f>G170+H170+I170</f>
        <v>0</v>
      </c>
      <c r="K170" s="1863"/>
      <c r="L170" s="1868"/>
      <c r="M170" s="1897"/>
      <c r="N170" s="1889">
        <f>K170+L170+M170</f>
        <v>0</v>
      </c>
    </row>
    <row r="171" spans="1:14">
      <c r="A171" s="1892">
        <v>4</v>
      </c>
      <c r="B171" s="1893" t="s">
        <v>321</v>
      </c>
      <c r="C171" s="1894"/>
      <c r="D171" s="1888">
        <f t="shared" si="11"/>
        <v>7846.4070000000002</v>
      </c>
      <c r="E171" s="1863"/>
      <c r="F171" s="1863">
        <v>7846.4070000000002</v>
      </c>
      <c r="G171" s="1864"/>
      <c r="H171" s="1872"/>
      <c r="I171" s="1895"/>
      <c r="J171" s="1896"/>
      <c r="K171" s="1863"/>
      <c r="L171" s="1868"/>
      <c r="M171" s="1897"/>
      <c r="N171" s="1889"/>
    </row>
    <row r="172" spans="1:14">
      <c r="A172" s="1892">
        <v>5</v>
      </c>
      <c r="B172" s="1893" t="s">
        <v>280</v>
      </c>
      <c r="C172" s="1898">
        <v>5</v>
      </c>
      <c r="D172" s="1888">
        <f t="shared" si="11"/>
        <v>21478.544000000002</v>
      </c>
      <c r="E172" s="1863"/>
      <c r="F172" s="1863">
        <v>21478.544000000002</v>
      </c>
      <c r="G172" s="1864">
        <v>0</v>
      </c>
      <c r="H172" s="1872">
        <v>0</v>
      </c>
      <c r="I172" s="1895"/>
      <c r="J172" s="1896">
        <f t="shared" ref="J172:J188" si="12">G172+H172+I172</f>
        <v>0</v>
      </c>
      <c r="K172" s="1863"/>
      <c r="L172" s="1868"/>
      <c r="M172" s="1897"/>
      <c r="N172" s="1889">
        <f t="shared" ref="N172:N208" si="13">K172+L172+M172</f>
        <v>0</v>
      </c>
    </row>
    <row r="173" spans="1:14">
      <c r="A173" s="1892">
        <v>6</v>
      </c>
      <c r="B173" s="1893" t="s">
        <v>281</v>
      </c>
      <c r="C173" s="1894">
        <v>6</v>
      </c>
      <c r="D173" s="1888">
        <f t="shared" si="11"/>
        <v>147500</v>
      </c>
      <c r="E173" s="1863"/>
      <c r="F173" s="1863">
        <v>147500</v>
      </c>
      <c r="G173" s="1864">
        <v>0</v>
      </c>
      <c r="H173" s="1872">
        <v>0</v>
      </c>
      <c r="I173" s="1895"/>
      <c r="J173" s="1896">
        <f t="shared" si="12"/>
        <v>0</v>
      </c>
      <c r="K173" s="1863"/>
      <c r="L173" s="1868"/>
      <c r="M173" s="1897"/>
      <c r="N173" s="1889">
        <f t="shared" si="13"/>
        <v>0</v>
      </c>
    </row>
    <row r="174" spans="1:14">
      <c r="A174" s="1892">
        <v>7</v>
      </c>
      <c r="B174" s="1893" t="s">
        <v>282</v>
      </c>
      <c r="C174" s="1898">
        <v>7</v>
      </c>
      <c r="D174" s="1888">
        <f t="shared" si="11"/>
        <v>0</v>
      </c>
      <c r="E174" s="1863">
        <v>0</v>
      </c>
      <c r="F174" s="1863">
        <f>F175+F176</f>
        <v>0</v>
      </c>
      <c r="G174" s="1863">
        <f>G175+G176</f>
        <v>0</v>
      </c>
      <c r="H174" s="1868">
        <f>H175+H176</f>
        <v>0</v>
      </c>
      <c r="I174" s="1895">
        <f>I175+I176</f>
        <v>0</v>
      </c>
      <c r="J174" s="1896">
        <f t="shared" si="12"/>
        <v>0</v>
      </c>
      <c r="K174" s="1863">
        <f>K175+K176</f>
        <v>0</v>
      </c>
      <c r="L174" s="1868">
        <f>L175+L176</f>
        <v>0</v>
      </c>
      <c r="M174" s="1897">
        <f>M175+M176</f>
        <v>0</v>
      </c>
      <c r="N174" s="1889">
        <f t="shared" si="13"/>
        <v>0</v>
      </c>
    </row>
    <row r="175" spans="1:14">
      <c r="A175" s="1894"/>
      <c r="B175" s="1899" t="s">
        <v>283</v>
      </c>
      <c r="C175" s="1898"/>
      <c r="D175" s="1888">
        <f t="shared" si="11"/>
        <v>0</v>
      </c>
      <c r="E175" s="1863"/>
      <c r="F175" s="1863"/>
      <c r="G175" s="1863"/>
      <c r="H175" s="1868"/>
      <c r="I175" s="1895"/>
      <c r="J175" s="1896">
        <f t="shared" si="12"/>
        <v>0</v>
      </c>
      <c r="K175" s="1863"/>
      <c r="L175" s="1868"/>
      <c r="M175" s="1897"/>
      <c r="N175" s="1889">
        <f t="shared" si="13"/>
        <v>0</v>
      </c>
    </row>
    <row r="176" spans="1:14">
      <c r="A176" s="1894"/>
      <c r="B176" s="1899" t="s">
        <v>284</v>
      </c>
      <c r="C176" s="1898"/>
      <c r="D176" s="1888">
        <f t="shared" si="11"/>
        <v>0</v>
      </c>
      <c r="E176" s="1863"/>
      <c r="F176" s="1863"/>
      <c r="G176" s="1863"/>
      <c r="H176" s="1868"/>
      <c r="I176" s="1895"/>
      <c r="J176" s="1896">
        <f t="shared" si="12"/>
        <v>0</v>
      </c>
      <c r="K176" s="1863"/>
      <c r="L176" s="1868"/>
      <c r="M176" s="1897"/>
      <c r="N176" s="1889">
        <f t="shared" si="13"/>
        <v>0</v>
      </c>
    </row>
    <row r="177" spans="1:14">
      <c r="A177" s="1892">
        <v>8</v>
      </c>
      <c r="B177" s="1893" t="s">
        <v>285</v>
      </c>
      <c r="C177" s="1894">
        <v>8</v>
      </c>
      <c r="D177" s="1888">
        <f t="shared" si="11"/>
        <v>0</v>
      </c>
      <c r="E177" s="1863">
        <v>0</v>
      </c>
      <c r="F177" s="1863">
        <f>F178+F179</f>
        <v>0</v>
      </c>
      <c r="G177" s="1863">
        <f>G178+G179</f>
        <v>0</v>
      </c>
      <c r="H177" s="1868">
        <f>H178+H179</f>
        <v>0</v>
      </c>
      <c r="I177" s="1895">
        <f>I178+I179</f>
        <v>0</v>
      </c>
      <c r="J177" s="1896">
        <f t="shared" si="12"/>
        <v>0</v>
      </c>
      <c r="K177" s="1863">
        <f>K178+K179</f>
        <v>0</v>
      </c>
      <c r="L177" s="1868">
        <f>L178+L179</f>
        <v>0</v>
      </c>
      <c r="M177" s="1897">
        <f>M178+M179</f>
        <v>0</v>
      </c>
      <c r="N177" s="1889">
        <f t="shared" si="13"/>
        <v>0</v>
      </c>
    </row>
    <row r="178" spans="1:14">
      <c r="A178" s="1892"/>
      <c r="B178" s="1899" t="s">
        <v>286</v>
      </c>
      <c r="C178" s="1894"/>
      <c r="D178" s="1888">
        <f t="shared" si="11"/>
        <v>0</v>
      </c>
      <c r="E178" s="1863"/>
      <c r="F178" s="1863"/>
      <c r="G178" s="1864"/>
      <c r="H178" s="1872"/>
      <c r="I178" s="1895"/>
      <c r="J178" s="1896">
        <f t="shared" si="12"/>
        <v>0</v>
      </c>
      <c r="K178" s="1863"/>
      <c r="L178" s="1900"/>
      <c r="M178" s="1897"/>
      <c r="N178" s="1889">
        <f t="shared" si="13"/>
        <v>0</v>
      </c>
    </row>
    <row r="179" spans="1:14">
      <c r="A179" s="1892"/>
      <c r="B179" s="1899" t="s">
        <v>287</v>
      </c>
      <c r="C179" s="1894"/>
      <c r="D179" s="1888">
        <f t="shared" si="11"/>
        <v>0</v>
      </c>
      <c r="E179" s="1863"/>
      <c r="F179" s="1863"/>
      <c r="G179" s="1863"/>
      <c r="H179" s="1868"/>
      <c r="I179" s="1895"/>
      <c r="J179" s="1896">
        <f t="shared" si="12"/>
        <v>0</v>
      </c>
      <c r="K179" s="1868"/>
      <c r="L179" s="1051"/>
      <c r="M179" s="1901"/>
      <c r="N179" s="1889">
        <f t="shared" si="13"/>
        <v>0</v>
      </c>
    </row>
    <row r="180" spans="1:14" ht="27">
      <c r="A180" s="1902">
        <v>9</v>
      </c>
      <c r="B180" s="1903" t="s">
        <v>288</v>
      </c>
      <c r="C180" s="1904"/>
      <c r="D180" s="1905">
        <f t="shared" si="11"/>
        <v>3474864.1933208113</v>
      </c>
      <c r="E180" s="1906">
        <f>SUM(E181:E184)</f>
        <v>0</v>
      </c>
      <c r="F180" s="1906">
        <f>SUM(F181:F184)</f>
        <v>397583.47411000001</v>
      </c>
      <c r="G180" s="1906">
        <f>SUM(G181:G184)</f>
        <v>0</v>
      </c>
      <c r="H180" s="1879">
        <f>SUM(H181:H184)</f>
        <v>650759.32017011498</v>
      </c>
      <c r="I180" s="1876">
        <f>SUM(I181:I184)</f>
        <v>0</v>
      </c>
      <c r="J180" s="1907">
        <f t="shared" si="12"/>
        <v>650759.32017011498</v>
      </c>
      <c r="K180" s="1879">
        <f>SUM(K181:K184)</f>
        <v>60845.364780696036</v>
      </c>
      <c r="L180" s="1063">
        <f>SUM(L181:L184)</f>
        <v>0</v>
      </c>
      <c r="M180" s="1064">
        <f>SUM(M181:M184)</f>
        <v>2365676.0342600001</v>
      </c>
      <c r="N180" s="1908">
        <f t="shared" si="13"/>
        <v>2426521.3990406962</v>
      </c>
    </row>
    <row r="181" spans="1:14">
      <c r="A181" s="1894">
        <v>10</v>
      </c>
      <c r="B181" s="1909" t="s">
        <v>289</v>
      </c>
      <c r="C181" s="1894">
        <v>9</v>
      </c>
      <c r="D181" s="1888">
        <f t="shared" si="11"/>
        <v>0</v>
      </c>
      <c r="E181" s="1863"/>
      <c r="F181" s="1863">
        <v>0</v>
      </c>
      <c r="G181" s="1864">
        <v>0</v>
      </c>
      <c r="H181" s="1872">
        <v>0</v>
      </c>
      <c r="I181" s="1895"/>
      <c r="J181" s="1896">
        <f t="shared" si="12"/>
        <v>0</v>
      </c>
      <c r="K181" s="1865">
        <v>0</v>
      </c>
      <c r="L181" s="1910">
        <v>0</v>
      </c>
      <c r="M181" s="1911">
        <v>0</v>
      </c>
      <c r="N181" s="1889">
        <f t="shared" si="13"/>
        <v>0</v>
      </c>
    </row>
    <row r="182" spans="1:14">
      <c r="A182" s="1894">
        <v>11</v>
      </c>
      <c r="B182" s="1909" t="s">
        <v>290</v>
      </c>
      <c r="C182" s="1894">
        <v>10</v>
      </c>
      <c r="D182" s="1888">
        <f t="shared" si="11"/>
        <v>3103524.4122958034</v>
      </c>
      <c r="E182" s="1863"/>
      <c r="F182" s="1863">
        <v>350333.47411000001</v>
      </c>
      <c r="G182" s="1864">
        <v>0</v>
      </c>
      <c r="H182" s="1864">
        <v>475245.80216510699</v>
      </c>
      <c r="I182" s="1910"/>
      <c r="J182" s="1896">
        <f t="shared" si="12"/>
        <v>475245.80216510699</v>
      </c>
      <c r="K182" s="1865">
        <v>60845.364780696036</v>
      </c>
      <c r="L182" s="1910">
        <v>0</v>
      </c>
      <c r="M182" s="1911">
        <v>2217099.7712400001</v>
      </c>
      <c r="N182" s="1889">
        <f t="shared" si="13"/>
        <v>2277945.1360206963</v>
      </c>
    </row>
    <row r="183" spans="1:14">
      <c r="A183" s="1894">
        <v>12</v>
      </c>
      <c r="B183" s="1909" t="s">
        <v>291</v>
      </c>
      <c r="C183" s="1894">
        <v>11</v>
      </c>
      <c r="D183" s="1888">
        <f t="shared" si="11"/>
        <v>97174.520025007994</v>
      </c>
      <c r="E183" s="1863"/>
      <c r="F183" s="1863">
        <v>0</v>
      </c>
      <c r="G183" s="1864">
        <v>0</v>
      </c>
      <c r="H183" s="1042">
        <v>63013.518005007994</v>
      </c>
      <c r="I183" s="1864"/>
      <c r="J183" s="1896">
        <f t="shared" si="12"/>
        <v>63013.518005007994</v>
      </c>
      <c r="K183" s="1865">
        <v>0</v>
      </c>
      <c r="L183" s="1910">
        <v>0</v>
      </c>
      <c r="M183" s="1053">
        <v>34161.00202</v>
      </c>
      <c r="N183" s="1889">
        <f t="shared" si="13"/>
        <v>34161.00202</v>
      </c>
    </row>
    <row r="184" spans="1:14" ht="27">
      <c r="A184" s="1894">
        <v>13</v>
      </c>
      <c r="B184" s="1909" t="s">
        <v>292</v>
      </c>
      <c r="C184" s="1894">
        <v>12</v>
      </c>
      <c r="D184" s="1888">
        <f t="shared" si="11"/>
        <v>274165.261</v>
      </c>
      <c r="E184" s="1863"/>
      <c r="F184" s="1863">
        <v>47250</v>
      </c>
      <c r="G184" s="1864">
        <v>0</v>
      </c>
      <c r="H184" s="1042">
        <v>112500</v>
      </c>
      <c r="I184" s="1910"/>
      <c r="J184" s="1896">
        <f t="shared" si="12"/>
        <v>112500</v>
      </c>
      <c r="K184" s="1865">
        <v>0</v>
      </c>
      <c r="L184" s="1912">
        <v>0</v>
      </c>
      <c r="M184" s="1911">
        <v>114415.261</v>
      </c>
      <c r="N184" s="1889">
        <f t="shared" si="13"/>
        <v>114415.261</v>
      </c>
    </row>
    <row r="185" spans="1:14">
      <c r="A185" s="1894">
        <v>14</v>
      </c>
      <c r="B185" s="1893" t="s">
        <v>293</v>
      </c>
      <c r="C185" s="1894">
        <v>13</v>
      </c>
      <c r="D185" s="1888">
        <f t="shared" si="11"/>
        <v>0</v>
      </c>
      <c r="E185" s="1863"/>
      <c r="F185" s="1863"/>
      <c r="G185" s="1864"/>
      <c r="H185" s="1872"/>
      <c r="I185" s="1895"/>
      <c r="J185" s="1896">
        <f t="shared" si="12"/>
        <v>0</v>
      </c>
      <c r="K185" s="1864"/>
      <c r="L185" s="1054"/>
      <c r="M185" s="1911"/>
      <c r="N185" s="1889">
        <f t="shared" si="13"/>
        <v>0</v>
      </c>
    </row>
    <row r="186" spans="1:14">
      <c r="A186" s="1894">
        <v>15</v>
      </c>
      <c r="B186" s="1893" t="s">
        <v>294</v>
      </c>
      <c r="C186" s="1898">
        <v>14</v>
      </c>
      <c r="D186" s="1888">
        <f t="shared" si="11"/>
        <v>0</v>
      </c>
      <c r="E186" s="1863"/>
      <c r="F186" s="1863"/>
      <c r="G186" s="1864"/>
      <c r="H186" s="1872"/>
      <c r="I186" s="1872"/>
      <c r="J186" s="1896">
        <f t="shared" si="12"/>
        <v>0</v>
      </c>
      <c r="K186" s="1864"/>
      <c r="L186" s="1913"/>
      <c r="M186" s="1911"/>
      <c r="N186" s="1889">
        <f t="shared" si="13"/>
        <v>0</v>
      </c>
    </row>
    <row r="187" spans="1:14">
      <c r="A187" s="1894">
        <v>16</v>
      </c>
      <c r="B187" s="1893" t="s">
        <v>295</v>
      </c>
      <c r="C187" s="1894">
        <v>15</v>
      </c>
      <c r="D187" s="1888">
        <f t="shared" si="11"/>
        <v>36821.56927</v>
      </c>
      <c r="E187" s="1863"/>
      <c r="F187" s="1863"/>
      <c r="G187" s="1864"/>
      <c r="H187" s="1035">
        <v>11116.726269999999</v>
      </c>
      <c r="I187" s="1035"/>
      <c r="J187" s="1896">
        <f t="shared" si="12"/>
        <v>11116.726269999999</v>
      </c>
      <c r="K187" s="1864">
        <v>4641.9688399999995</v>
      </c>
      <c r="L187" s="1913"/>
      <c r="M187" s="1055">
        <v>21062.874159999999</v>
      </c>
      <c r="N187" s="1889">
        <f t="shared" si="13"/>
        <v>25704.843000000001</v>
      </c>
    </row>
    <row r="188" spans="1:14">
      <c r="A188" s="1894">
        <v>17</v>
      </c>
      <c r="B188" s="1893" t="s">
        <v>296</v>
      </c>
      <c r="C188" s="1898">
        <v>16</v>
      </c>
      <c r="D188" s="1888">
        <f>+E188+F188+J188+N188</f>
        <v>38758.649012000096</v>
      </c>
      <c r="E188" s="1863">
        <v>-209310.6213328111</v>
      </c>
      <c r="F188" s="1863">
        <v>109314.15308</v>
      </c>
      <c r="G188" s="1864">
        <v>0</v>
      </c>
      <c r="H188" s="1042">
        <v>1015.952642</v>
      </c>
      <c r="I188" s="1042"/>
      <c r="J188" s="1896">
        <f t="shared" si="12"/>
        <v>1015.952642</v>
      </c>
      <c r="K188" s="1864">
        <v>70745.485660611201</v>
      </c>
      <c r="L188" s="1865">
        <v>0</v>
      </c>
      <c r="M188" s="1056">
        <v>66993.678962200007</v>
      </c>
      <c r="N188" s="1889">
        <f t="shared" si="13"/>
        <v>137739.16462281119</v>
      </c>
    </row>
    <row r="189" spans="1:14">
      <c r="A189" s="1894">
        <v>18</v>
      </c>
      <c r="B189" s="1893" t="s">
        <v>297</v>
      </c>
      <c r="C189" s="1894"/>
      <c r="D189" s="1888">
        <f t="shared" si="11"/>
        <v>0</v>
      </c>
      <c r="E189" s="1863"/>
      <c r="F189" s="1032"/>
      <c r="G189" s="1864"/>
      <c r="H189" s="1035"/>
      <c r="I189" s="1035"/>
      <c r="J189" s="1896">
        <f>G189+H189+I189</f>
        <v>0</v>
      </c>
      <c r="K189" s="1864"/>
      <c r="L189" s="1913"/>
      <c r="M189" s="1057"/>
      <c r="N189" s="1889">
        <f t="shared" si="13"/>
        <v>0</v>
      </c>
    </row>
    <row r="190" spans="1:14" ht="15" thickBot="1">
      <c r="A190" s="1914">
        <v>19</v>
      </c>
      <c r="B190" s="1915" t="s">
        <v>298</v>
      </c>
      <c r="C190" s="1914"/>
      <c r="D190" s="3117">
        <f t="shared" si="11"/>
        <v>27558.159869999618</v>
      </c>
      <c r="E190" s="3114"/>
      <c r="F190" s="1036">
        <v>10663.9935</v>
      </c>
      <c r="G190" s="3116">
        <v>0</v>
      </c>
      <c r="H190" s="1885">
        <v>1053.1643699996191</v>
      </c>
      <c r="I190" s="1058"/>
      <c r="J190" s="1916">
        <f>G190+H190+I190</f>
        <v>1053.1643699996191</v>
      </c>
      <c r="K190" s="3116">
        <v>0</v>
      </c>
      <c r="L190" s="1917">
        <v>0</v>
      </c>
      <c r="M190" s="1056">
        <v>15841.002</v>
      </c>
      <c r="N190" s="3118">
        <f t="shared" si="13"/>
        <v>15841.002</v>
      </c>
    </row>
    <row r="191" spans="1:14" ht="27" thickBot="1">
      <c r="A191" s="1191">
        <v>20</v>
      </c>
      <c r="B191" s="1139" t="s">
        <v>299</v>
      </c>
      <c r="C191" s="1191"/>
      <c r="D191" s="1163">
        <f t="shared" si="11"/>
        <v>3775059.3394728107</v>
      </c>
      <c r="E191" s="1163">
        <f>SUM(E168:E174)+E177+E180+SUM(E185:E190)</f>
        <v>-209310.6213328111</v>
      </c>
      <c r="F191" s="1163">
        <f>SUM(F168:F174)+F177+F180+SUM(F185:F190)</f>
        <v>714618.38868999993</v>
      </c>
      <c r="G191" s="1163">
        <f>SUM(G168:G174)+G177+G180+SUM(G185:G190)</f>
        <v>0</v>
      </c>
      <c r="H191" s="1164">
        <f>SUM(H168:H174)+H177+H180+SUM(H185:H190)</f>
        <v>663945.16345211456</v>
      </c>
      <c r="I191" s="1192">
        <f>SUM(I168:I174)+I177+I180+SUM(I185:I190)</f>
        <v>0</v>
      </c>
      <c r="J191" s="1193">
        <f t="shared" ref="J191:J200" si="14">G191+H191+I191</f>
        <v>663945.16345211456</v>
      </c>
      <c r="K191" s="1163">
        <f>SUM(K168:K174)+K177+K180+SUM(K185:K190)</f>
        <v>136232.81928130722</v>
      </c>
      <c r="L191" s="1164">
        <f>SUM(L168:L174)+L177+L180+SUM(L185:L190)</f>
        <v>0</v>
      </c>
      <c r="M191" s="1193">
        <f>SUM(M168:M174)+M177+M180+SUM(M185:M190)</f>
        <v>2469573.5893822</v>
      </c>
      <c r="N191" s="1163">
        <f t="shared" si="13"/>
        <v>2605806.4086635071</v>
      </c>
    </row>
    <row r="192" spans="1:14">
      <c r="A192" s="1183"/>
      <c r="B192" s="1184" t="s">
        <v>300</v>
      </c>
      <c r="C192" s="1183"/>
      <c r="D192" s="1172">
        <f t="shared" si="11"/>
        <v>0</v>
      </c>
      <c r="E192" s="1032"/>
      <c r="F192" s="1032"/>
      <c r="G192" s="1042"/>
      <c r="H192" s="1035"/>
      <c r="I192" s="1059"/>
      <c r="J192" s="1190">
        <f t="shared" si="14"/>
        <v>0</v>
      </c>
      <c r="K192" s="1042"/>
      <c r="L192" s="1054"/>
      <c r="M192" s="1053"/>
      <c r="N192" s="1177">
        <f t="shared" si="13"/>
        <v>0</v>
      </c>
    </row>
    <row r="193" spans="1:14">
      <c r="A193" s="1894"/>
      <c r="B193" s="1918" t="s">
        <v>301</v>
      </c>
      <c r="C193" s="1894"/>
      <c r="D193" s="1888">
        <f t="shared" si="11"/>
        <v>0</v>
      </c>
      <c r="E193" s="1863"/>
      <c r="F193" s="1863"/>
      <c r="G193" s="1864"/>
      <c r="H193" s="1872"/>
      <c r="I193" s="1895"/>
      <c r="J193" s="1896">
        <f t="shared" si="14"/>
        <v>0</v>
      </c>
      <c r="K193" s="1864"/>
      <c r="L193" s="1913"/>
      <c r="M193" s="1911"/>
      <c r="N193" s="1889">
        <f t="shared" si="13"/>
        <v>0</v>
      </c>
    </row>
    <row r="194" spans="1:14">
      <c r="A194" s="1894">
        <v>21</v>
      </c>
      <c r="B194" s="1893" t="s">
        <v>302</v>
      </c>
      <c r="C194" s="1898">
        <v>17</v>
      </c>
      <c r="D194" s="1888">
        <f>+E194+F194+J194+N194</f>
        <v>2830635.9217173308</v>
      </c>
      <c r="E194" s="1863"/>
      <c r="F194" s="1863"/>
      <c r="G194" s="1864"/>
      <c r="H194" s="1872">
        <v>364342.94400000002</v>
      </c>
      <c r="I194" s="1872"/>
      <c r="J194" s="1896">
        <f t="shared" si="14"/>
        <v>364342.94400000002</v>
      </c>
      <c r="K194" s="1864">
        <v>56350.541401330694</v>
      </c>
      <c r="L194" s="1913"/>
      <c r="M194" s="1911">
        <v>2409942.4363159998</v>
      </c>
      <c r="N194" s="1889">
        <f t="shared" si="13"/>
        <v>2466292.9777173307</v>
      </c>
    </row>
    <row r="195" spans="1:14">
      <c r="A195" s="1894">
        <v>22</v>
      </c>
      <c r="B195" s="1893" t="s">
        <v>303</v>
      </c>
      <c r="C195" s="1894"/>
      <c r="D195" s="1888">
        <f t="shared" si="11"/>
        <v>13257</v>
      </c>
      <c r="E195" s="1863"/>
      <c r="F195" s="1863">
        <v>13257</v>
      </c>
      <c r="G195" s="1864"/>
      <c r="H195" s="1035"/>
      <c r="I195" s="1895"/>
      <c r="J195" s="1896">
        <f t="shared" si="14"/>
        <v>0</v>
      </c>
      <c r="K195" s="1864"/>
      <c r="L195" s="1913"/>
      <c r="M195" s="1053"/>
      <c r="N195" s="1889">
        <f t="shared" si="13"/>
        <v>0</v>
      </c>
    </row>
    <row r="196" spans="1:14">
      <c r="A196" s="1894">
        <v>23</v>
      </c>
      <c r="B196" s="1893" t="s">
        <v>304</v>
      </c>
      <c r="C196" s="1894">
        <v>18</v>
      </c>
      <c r="D196" s="1888">
        <f t="shared" si="11"/>
        <v>100477.13012</v>
      </c>
      <c r="E196" s="1863"/>
      <c r="F196" s="1863"/>
      <c r="G196" s="1864"/>
      <c r="H196" s="1035">
        <v>33399.589540000001</v>
      </c>
      <c r="I196" s="1872"/>
      <c r="J196" s="1896">
        <f t="shared" si="14"/>
        <v>33399.589540000001</v>
      </c>
      <c r="K196" s="1864">
        <v>67077.540580000001</v>
      </c>
      <c r="L196" s="1913"/>
      <c r="M196" s="1053"/>
      <c r="N196" s="1889">
        <f t="shared" si="13"/>
        <v>67077.540580000001</v>
      </c>
    </row>
    <row r="197" spans="1:14">
      <c r="A197" s="1894">
        <v>24</v>
      </c>
      <c r="B197" s="1893" t="s">
        <v>305</v>
      </c>
      <c r="C197" s="1894"/>
      <c r="D197" s="1888">
        <f t="shared" si="11"/>
        <v>0</v>
      </c>
      <c r="E197" s="1863"/>
      <c r="F197" s="1863"/>
      <c r="G197" s="1864"/>
      <c r="H197" s="1035"/>
      <c r="I197" s="1035"/>
      <c r="J197" s="1896">
        <f t="shared" si="14"/>
        <v>0</v>
      </c>
      <c r="K197" s="1864"/>
      <c r="L197" s="1913"/>
      <c r="M197" s="1053"/>
      <c r="N197" s="1889">
        <f t="shared" si="13"/>
        <v>0</v>
      </c>
    </row>
    <row r="198" spans="1:14">
      <c r="A198" s="1894">
        <v>25</v>
      </c>
      <c r="B198" s="1919" t="s">
        <v>306</v>
      </c>
      <c r="C198" s="1894"/>
      <c r="D198" s="1888">
        <f t="shared" si="11"/>
        <v>118924.99975</v>
      </c>
      <c r="E198" s="1863"/>
      <c r="F198" s="1863">
        <v>118924.99975</v>
      </c>
      <c r="G198" s="1864"/>
      <c r="H198" s="1035"/>
      <c r="I198" s="1895"/>
      <c r="J198" s="1896">
        <f t="shared" si="14"/>
        <v>0</v>
      </c>
      <c r="K198" s="1864"/>
      <c r="L198" s="1913"/>
      <c r="M198" s="1053"/>
      <c r="N198" s="1889">
        <f t="shared" si="13"/>
        <v>0</v>
      </c>
    </row>
    <row r="199" spans="1:14" ht="15" thickBot="1">
      <c r="A199" s="1914">
        <v>26</v>
      </c>
      <c r="B199" s="1915" t="s">
        <v>307</v>
      </c>
      <c r="C199" s="1920">
        <v>19</v>
      </c>
      <c r="D199" s="3117">
        <f t="shared" si="11"/>
        <v>169355.62840299989</v>
      </c>
      <c r="E199" s="3114">
        <v>-209310.6213328111</v>
      </c>
      <c r="F199" s="3114">
        <v>40028.358200000002</v>
      </c>
      <c r="G199" s="3116">
        <v>0</v>
      </c>
      <c r="H199" s="1060">
        <v>266202.19188961101</v>
      </c>
      <c r="I199" s="1921"/>
      <c r="J199" s="1916">
        <f t="shared" si="14"/>
        <v>266202.19188961101</v>
      </c>
      <c r="K199" s="3116">
        <v>12804.92438</v>
      </c>
      <c r="L199" s="1065">
        <v>0</v>
      </c>
      <c r="M199" s="1056">
        <v>59630.775266199998</v>
      </c>
      <c r="N199" s="3118">
        <f t="shared" si="13"/>
        <v>72435.699646199995</v>
      </c>
    </row>
    <row r="200" spans="1:14" ht="15" thickBot="1">
      <c r="A200" s="1185">
        <v>27</v>
      </c>
      <c r="B200" s="1136" t="s">
        <v>308</v>
      </c>
      <c r="C200" s="1185"/>
      <c r="D200" s="1173">
        <f t="shared" si="11"/>
        <v>3232650.6799903307</v>
      </c>
      <c r="E200" s="1041">
        <f>SUM(E194:E199)</f>
        <v>-209310.6213328111</v>
      </c>
      <c r="F200" s="1041">
        <f>SUM(F194:F199)</f>
        <v>172210.35795000003</v>
      </c>
      <c r="G200" s="1041">
        <f>SUM(G194:G199)</f>
        <v>0</v>
      </c>
      <c r="H200" s="1045">
        <f>SUM(H194:H199)</f>
        <v>663944.72542961105</v>
      </c>
      <c r="I200" s="1067">
        <f>SUM(I194:I199)</f>
        <v>0</v>
      </c>
      <c r="J200" s="1189">
        <f t="shared" si="14"/>
        <v>663944.72542961105</v>
      </c>
      <c r="K200" s="1039">
        <f>SUM(K194:K199)</f>
        <v>136233.00636133071</v>
      </c>
      <c r="L200" s="1045">
        <f>SUM(L194:L199)</f>
        <v>0</v>
      </c>
      <c r="M200" s="1068">
        <f>SUM(M194:M199)</f>
        <v>2469573.2115821997</v>
      </c>
      <c r="N200" s="1176">
        <f t="shared" si="13"/>
        <v>2605806.2179435305</v>
      </c>
    </row>
    <row r="201" spans="1:14">
      <c r="A201" s="1183"/>
      <c r="B201" s="1184" t="s">
        <v>309</v>
      </c>
      <c r="C201" s="1183">
        <v>20</v>
      </c>
      <c r="D201" s="1172">
        <f t="shared" si="11"/>
        <v>0</v>
      </c>
      <c r="E201" s="1032"/>
      <c r="F201" s="1032"/>
      <c r="G201" s="1042"/>
      <c r="H201" s="1035"/>
      <c r="I201" s="1052"/>
      <c r="J201" s="1177"/>
      <c r="K201" s="1042"/>
      <c r="L201" s="1054"/>
      <c r="M201" s="1053"/>
      <c r="N201" s="1177">
        <f t="shared" si="13"/>
        <v>0</v>
      </c>
    </row>
    <row r="202" spans="1:14">
      <c r="A202" s="1894">
        <v>28</v>
      </c>
      <c r="B202" s="1893" t="s">
        <v>310</v>
      </c>
      <c r="C202" s="1898"/>
      <c r="D202" s="1888">
        <f t="shared" si="11"/>
        <v>499999.99999999994</v>
      </c>
      <c r="E202" s="1863"/>
      <c r="F202" s="1863">
        <f>618924.99975-118924.99975</f>
        <v>499999.99999999994</v>
      </c>
      <c r="G202" s="1864"/>
      <c r="H202" s="1872"/>
      <c r="I202" s="1897"/>
      <c r="J202" s="1889">
        <f t="shared" ref="J202:J208" si="15">G202+H202+I202</f>
        <v>0</v>
      </c>
      <c r="K202" s="1864"/>
      <c r="L202" s="1913"/>
      <c r="M202" s="1911">
        <v>0</v>
      </c>
      <c r="N202" s="1889">
        <f t="shared" si="13"/>
        <v>0</v>
      </c>
    </row>
    <row r="203" spans="1:14">
      <c r="A203" s="1894">
        <v>29</v>
      </c>
      <c r="B203" s="1893" t="s">
        <v>311</v>
      </c>
      <c r="C203" s="1898"/>
      <c r="D203" s="1888">
        <f t="shared" si="11"/>
        <v>0</v>
      </c>
      <c r="E203" s="1863"/>
      <c r="F203" s="1032"/>
      <c r="G203" s="1864"/>
      <c r="H203" s="1872"/>
      <c r="I203" s="1897"/>
      <c r="J203" s="1889">
        <f t="shared" si="15"/>
        <v>0</v>
      </c>
      <c r="K203" s="1864"/>
      <c r="L203" s="1913"/>
      <c r="M203" s="1911"/>
      <c r="N203" s="1889">
        <f t="shared" si="13"/>
        <v>0</v>
      </c>
    </row>
    <row r="204" spans="1:14">
      <c r="A204" s="1894">
        <v>30</v>
      </c>
      <c r="B204" s="1915" t="s">
        <v>312</v>
      </c>
      <c r="C204" s="1920"/>
      <c r="D204" s="1888">
        <f t="shared" si="11"/>
        <v>11998.900800000001</v>
      </c>
      <c r="E204" s="1863"/>
      <c r="F204" s="1036">
        <v>11998.900800000001</v>
      </c>
      <c r="G204" s="3116"/>
      <c r="H204" s="1885"/>
      <c r="I204" s="1051"/>
      <c r="J204" s="1889">
        <f t="shared" si="15"/>
        <v>0</v>
      </c>
      <c r="K204" s="1864"/>
      <c r="L204" s="1917"/>
      <c r="M204" s="1922"/>
      <c r="N204" s="1889">
        <f t="shared" si="13"/>
        <v>0</v>
      </c>
    </row>
    <row r="205" spans="1:14">
      <c r="A205" s="1894">
        <v>31</v>
      </c>
      <c r="B205" s="1915" t="s">
        <v>313</v>
      </c>
      <c r="C205" s="1920"/>
      <c r="D205" s="1888">
        <f t="shared" si="11"/>
        <v>0</v>
      </c>
      <c r="E205" s="1863"/>
      <c r="F205" s="3114">
        <v>0</v>
      </c>
      <c r="G205" s="3116"/>
      <c r="H205" s="1885"/>
      <c r="I205" s="1923"/>
      <c r="J205" s="1889">
        <f t="shared" si="15"/>
        <v>0</v>
      </c>
      <c r="K205" s="1864"/>
      <c r="L205" s="1917"/>
      <c r="M205" s="1922"/>
      <c r="N205" s="1889">
        <f t="shared" si="13"/>
        <v>0</v>
      </c>
    </row>
    <row r="206" spans="1:14" ht="15" thickBot="1">
      <c r="A206" s="1914">
        <v>32</v>
      </c>
      <c r="B206" s="1915" t="s">
        <v>314</v>
      </c>
      <c r="C206" s="1920"/>
      <c r="D206" s="1888">
        <f t="shared" si="11"/>
        <v>30409.616000000002</v>
      </c>
      <c r="E206" s="1863"/>
      <c r="F206" s="3114">
        <v>30409.616000000002</v>
      </c>
      <c r="G206" s="3116"/>
      <c r="H206" s="1885"/>
      <c r="I206" s="1923"/>
      <c r="J206" s="1889">
        <f t="shared" si="15"/>
        <v>0</v>
      </c>
      <c r="K206" s="1864"/>
      <c r="L206" s="1885"/>
      <c r="M206" s="1923"/>
      <c r="N206" s="1889">
        <f t="shared" si="13"/>
        <v>0</v>
      </c>
    </row>
    <row r="207" spans="1:14" ht="15" thickBot="1">
      <c r="A207" s="1185">
        <v>33</v>
      </c>
      <c r="B207" s="1186" t="s">
        <v>315</v>
      </c>
      <c r="C207" s="1187"/>
      <c r="D207" s="1174">
        <f t="shared" si="11"/>
        <v>542408.51679999998</v>
      </c>
      <c r="E207" s="1046">
        <f>SUM(E202:E206)</f>
        <v>0</v>
      </c>
      <c r="F207" s="1046">
        <f>SUM(F202:F206)</f>
        <v>542408.51679999998</v>
      </c>
      <c r="G207" s="1046">
        <f>SUM(G202:G206)</f>
        <v>0</v>
      </c>
      <c r="H207" s="1047">
        <f>SUM(H202:H206)</f>
        <v>0</v>
      </c>
      <c r="I207" s="1066">
        <f>SUM(I202:I206)</f>
        <v>0</v>
      </c>
      <c r="J207" s="1178">
        <f t="shared" si="15"/>
        <v>0</v>
      </c>
      <c r="K207" s="1046">
        <f>SUM(K202:K206)</f>
        <v>0</v>
      </c>
      <c r="L207" s="1047">
        <f>SUM(L202:L206)</f>
        <v>0</v>
      </c>
      <c r="M207" s="1066">
        <f>SUM(M202:M206)</f>
        <v>0</v>
      </c>
      <c r="N207" s="1178">
        <f t="shared" si="13"/>
        <v>0</v>
      </c>
    </row>
    <row r="208" spans="1:14" ht="27" thickBot="1">
      <c r="A208" s="1191">
        <v>34</v>
      </c>
      <c r="B208" s="1139" t="s">
        <v>322</v>
      </c>
      <c r="C208" s="1191"/>
      <c r="D208" s="1166">
        <f t="shared" si="11"/>
        <v>3775059.1967903306</v>
      </c>
      <c r="E208" s="1166">
        <f>E207+E200</f>
        <v>-209310.6213328111</v>
      </c>
      <c r="F208" s="1166">
        <f>F207+F200</f>
        <v>714618.87474999996</v>
      </c>
      <c r="G208" s="1166">
        <f>G207+G200</f>
        <v>0</v>
      </c>
      <c r="H208" s="1166">
        <f>H207+H200</f>
        <v>663944.72542961105</v>
      </c>
      <c r="I208" s="1166">
        <f>I207+I200</f>
        <v>0</v>
      </c>
      <c r="J208" s="1166">
        <f t="shared" si="15"/>
        <v>663944.72542961105</v>
      </c>
      <c r="K208" s="1166">
        <f>K207+K200</f>
        <v>136233.00636133071</v>
      </c>
      <c r="L208" s="1166">
        <f>L207+L200</f>
        <v>0</v>
      </c>
      <c r="M208" s="1166">
        <f>M207+M200</f>
        <v>2469573.2115821997</v>
      </c>
      <c r="N208" s="1166">
        <f t="shared" si="13"/>
        <v>2605806.2179435305</v>
      </c>
    </row>
    <row r="209" spans="1:14">
      <c r="B209"/>
      <c r="C209"/>
      <c r="D209"/>
      <c r="E209"/>
      <c r="F209"/>
      <c r="G209"/>
      <c r="H209"/>
      <c r="I209"/>
      <c r="J209"/>
      <c r="K209"/>
      <c r="L209"/>
      <c r="M209"/>
      <c r="N209"/>
    </row>
    <row r="210" spans="1:14">
      <c r="B210"/>
      <c r="C210"/>
      <c r="D210"/>
      <c r="E210"/>
      <c r="F210"/>
      <c r="G210"/>
      <c r="H210"/>
      <c r="I210"/>
      <c r="J210"/>
      <c r="K210"/>
      <c r="L210"/>
      <c r="M210"/>
      <c r="N210"/>
    </row>
    <row r="211" spans="1:14">
      <c r="B211"/>
      <c r="C211"/>
      <c r="D211"/>
      <c r="E211"/>
      <c r="F211"/>
      <c r="G211"/>
      <c r="H211"/>
      <c r="I211"/>
      <c r="J211"/>
      <c r="K211"/>
      <c r="L211"/>
      <c r="M211"/>
      <c r="N211"/>
    </row>
    <row r="212" spans="1:14" ht="15" thickBot="1"/>
    <row r="213" spans="1:14" ht="15" thickBot="1">
      <c r="A213" s="1153" t="s">
        <v>178</v>
      </c>
      <c r="B213" s="3301" t="s">
        <v>323</v>
      </c>
      <c r="C213" s="3302"/>
      <c r="D213" s="411"/>
      <c r="E213" s="662"/>
      <c r="F213" s="662"/>
      <c r="G213" s="662"/>
      <c r="H213" s="662"/>
      <c r="I213" s="662"/>
      <c r="J213" s="662"/>
      <c r="K213" s="662"/>
      <c r="L213" s="662"/>
      <c r="M213" s="3292"/>
      <c r="N213" s="3292" t="s">
        <v>257</v>
      </c>
    </row>
    <row r="214" spans="1:14" ht="13.5" customHeight="1" thickBot="1">
      <c r="A214" s="3293" t="s">
        <v>258</v>
      </c>
      <c r="B214" s="3298"/>
      <c r="C214" s="3280" t="s">
        <v>259</v>
      </c>
      <c r="D214" s="3283" t="s">
        <v>260</v>
      </c>
      <c r="E214" s="3283" t="s">
        <v>261</v>
      </c>
      <c r="F214" s="3283" t="s">
        <v>262</v>
      </c>
      <c r="G214" s="3286" t="s">
        <v>263</v>
      </c>
      <c r="H214" s="3287"/>
      <c r="I214" s="3287"/>
      <c r="J214" s="3287"/>
      <c r="K214" s="3287"/>
      <c r="L214" s="3287"/>
      <c r="M214" s="3287"/>
      <c r="N214" s="3288"/>
    </row>
    <row r="215" spans="1:14" ht="13.5" customHeight="1" thickBot="1">
      <c r="A215" s="3294"/>
      <c r="B215" s="3299"/>
      <c r="C215" s="3281"/>
      <c r="D215" s="3284"/>
      <c r="E215" s="3284"/>
      <c r="F215" s="3284"/>
      <c r="G215" s="3289" t="s">
        <v>264</v>
      </c>
      <c r="H215" s="3290"/>
      <c r="I215" s="3290"/>
      <c r="J215" s="3291"/>
      <c r="K215" s="3289" t="s">
        <v>265</v>
      </c>
      <c r="L215" s="3290"/>
      <c r="M215" s="3290"/>
      <c r="N215" s="3291"/>
    </row>
    <row r="216" spans="1:14" ht="40.15" thickBot="1">
      <c r="A216" s="3294"/>
      <c r="B216" s="3299"/>
      <c r="C216" s="3281"/>
      <c r="D216" s="3285"/>
      <c r="E216" s="3285"/>
      <c r="F216" s="3285"/>
      <c r="G216" s="1125" t="s">
        <v>267</v>
      </c>
      <c r="H216" s="1125" t="s">
        <v>268</v>
      </c>
      <c r="I216" s="1125" t="s">
        <v>269</v>
      </c>
      <c r="J216" s="1125" t="s">
        <v>160</v>
      </c>
      <c r="K216" s="1126" t="s">
        <v>270</v>
      </c>
      <c r="L216" s="1126" t="s">
        <v>271</v>
      </c>
      <c r="M216" s="1126" t="s">
        <v>272</v>
      </c>
      <c r="N216" s="2969" t="s">
        <v>160</v>
      </c>
    </row>
    <row r="217" spans="1:14" ht="15" thickBot="1">
      <c r="A217" s="3294"/>
      <c r="B217" s="3299"/>
      <c r="C217" s="3281"/>
      <c r="D217" s="1128">
        <v>1</v>
      </c>
      <c r="E217" s="3283">
        <v>2</v>
      </c>
      <c r="F217" s="3283">
        <v>3</v>
      </c>
      <c r="G217" s="3283">
        <v>4</v>
      </c>
      <c r="H217" s="3283">
        <v>5</v>
      </c>
      <c r="I217" s="3283">
        <v>6</v>
      </c>
      <c r="J217" s="2974">
        <v>7</v>
      </c>
      <c r="K217" s="3283">
        <v>8</v>
      </c>
      <c r="L217" s="3283">
        <v>9</v>
      </c>
      <c r="M217" s="3283">
        <v>10</v>
      </c>
      <c r="N217" s="1128">
        <v>11</v>
      </c>
    </row>
    <row r="218" spans="1:14" ht="15" thickBot="1">
      <c r="A218" s="3295"/>
      <c r="B218" s="3300"/>
      <c r="C218" s="3282"/>
      <c r="D218" s="1130"/>
      <c r="E218" s="3285"/>
      <c r="F218" s="3285"/>
      <c r="G218" s="3285"/>
      <c r="H218" s="3285"/>
      <c r="I218" s="3285"/>
      <c r="J218" s="1156" t="s">
        <v>273</v>
      </c>
      <c r="K218" s="3285"/>
      <c r="L218" s="3285"/>
      <c r="M218" s="3285"/>
      <c r="N218" s="1157" t="s">
        <v>274</v>
      </c>
    </row>
    <row r="219" spans="1:14">
      <c r="A219" s="1183"/>
      <c r="B219" s="1184" t="s">
        <v>275</v>
      </c>
      <c r="C219" s="1183"/>
      <c r="D219" s="1827"/>
      <c r="E219" s="1021"/>
      <c r="F219" s="1021"/>
      <c r="G219" s="1022"/>
      <c r="H219" s="985"/>
      <c r="I219" s="1049"/>
      <c r="J219" s="1188"/>
      <c r="K219" s="984"/>
      <c r="L219" s="985"/>
      <c r="M219" s="1050"/>
      <c r="N219" s="1891"/>
    </row>
    <row r="220" spans="1:14">
      <c r="A220" s="1892">
        <v>1</v>
      </c>
      <c r="B220" s="1893" t="s">
        <v>276</v>
      </c>
      <c r="C220" s="1894"/>
      <c r="D220" s="1888">
        <f t="shared" ref="D220:D260" si="16">+E220+F220+J220+N220</f>
        <v>0</v>
      </c>
      <c r="E220" s="1863"/>
      <c r="F220" s="1863"/>
      <c r="G220" s="1864"/>
      <c r="H220" s="1872"/>
      <c r="I220" s="1895"/>
      <c r="J220" s="1896">
        <f t="shared" ref="J220:J260" si="17">G220+H220+I220</f>
        <v>0</v>
      </c>
      <c r="K220" s="1863"/>
      <c r="L220" s="1868"/>
      <c r="M220" s="1897"/>
      <c r="N220" s="1889">
        <f t="shared" ref="N220:N260" si="18">K220+L220+M220</f>
        <v>0</v>
      </c>
    </row>
    <row r="221" spans="1:14">
      <c r="A221" s="1892">
        <v>2</v>
      </c>
      <c r="B221" s="1893" t="s">
        <v>277</v>
      </c>
      <c r="C221" s="1894"/>
      <c r="D221" s="1888">
        <f t="shared" si="16"/>
        <v>1118.3268600000006</v>
      </c>
      <c r="E221" s="1863"/>
      <c r="F221" s="1863"/>
      <c r="G221" s="1864"/>
      <c r="H221" s="1872">
        <v>827.56187640000041</v>
      </c>
      <c r="I221" s="1895">
        <v>290.76498360000016</v>
      </c>
      <c r="J221" s="1896">
        <f t="shared" si="17"/>
        <v>1118.3268600000006</v>
      </c>
      <c r="K221" s="1863"/>
      <c r="L221" s="1868"/>
      <c r="M221" s="1897"/>
      <c r="N221" s="1889">
        <f t="shared" si="18"/>
        <v>0</v>
      </c>
    </row>
    <row r="222" spans="1:14">
      <c r="A222" s="1892">
        <v>3</v>
      </c>
      <c r="B222" s="1893" t="s">
        <v>278</v>
      </c>
      <c r="C222" s="1894"/>
      <c r="D222" s="1888">
        <f t="shared" si="16"/>
        <v>0</v>
      </c>
      <c r="E222" s="1863"/>
      <c r="F222" s="1863"/>
      <c r="G222" s="1864"/>
      <c r="H222" s="1872"/>
      <c r="I222" s="1895"/>
      <c r="J222" s="1896">
        <f t="shared" si="17"/>
        <v>0</v>
      </c>
      <c r="K222" s="1863"/>
      <c r="L222" s="1868"/>
      <c r="M222" s="1897"/>
      <c r="N222" s="1889">
        <f t="shared" si="18"/>
        <v>0</v>
      </c>
    </row>
    <row r="223" spans="1:14">
      <c r="A223" s="1892">
        <v>4</v>
      </c>
      <c r="B223" s="1893" t="s">
        <v>324</v>
      </c>
      <c r="C223" s="1894"/>
      <c r="D223" s="1888">
        <f t="shared" si="16"/>
        <v>163439.54903999998</v>
      </c>
      <c r="E223" s="1863"/>
      <c r="F223" s="1863"/>
      <c r="G223" s="1864"/>
      <c r="H223" s="1872">
        <v>120945.26628959998</v>
      </c>
      <c r="I223" s="1895">
        <v>42494.282750400002</v>
      </c>
      <c r="J223" s="1896">
        <f t="shared" si="17"/>
        <v>163439.54903999998</v>
      </c>
      <c r="K223" s="1863"/>
      <c r="L223" s="1868"/>
      <c r="M223" s="1897"/>
      <c r="N223" s="1889">
        <f t="shared" si="18"/>
        <v>0</v>
      </c>
    </row>
    <row r="224" spans="1:14">
      <c r="A224" s="1892">
        <v>5</v>
      </c>
      <c r="B224" s="1893" t="s">
        <v>280</v>
      </c>
      <c r="C224" s="1898">
        <v>5</v>
      </c>
      <c r="D224" s="1888">
        <f t="shared" si="16"/>
        <v>75284.032260000007</v>
      </c>
      <c r="E224" s="1863"/>
      <c r="F224" s="1863"/>
      <c r="G224" s="1864"/>
      <c r="H224" s="1872">
        <v>55710.183872400012</v>
      </c>
      <c r="I224" s="1895">
        <v>19573.848387600003</v>
      </c>
      <c r="J224" s="1896">
        <f t="shared" si="17"/>
        <v>75284.032260000007</v>
      </c>
      <c r="K224" s="1863"/>
      <c r="L224" s="1868"/>
      <c r="M224" s="1897"/>
      <c r="N224" s="1889">
        <f t="shared" si="18"/>
        <v>0</v>
      </c>
    </row>
    <row r="225" spans="1:14">
      <c r="A225" s="1892">
        <v>6</v>
      </c>
      <c r="B225" s="1893" t="s">
        <v>281</v>
      </c>
      <c r="C225" s="1894">
        <v>6</v>
      </c>
      <c r="D225" s="1888">
        <f t="shared" si="16"/>
        <v>0</v>
      </c>
      <c r="E225" s="1863"/>
      <c r="F225" s="1863"/>
      <c r="G225" s="1864"/>
      <c r="H225" s="1872"/>
      <c r="I225" s="1895"/>
      <c r="J225" s="1896">
        <f t="shared" si="17"/>
        <v>0</v>
      </c>
      <c r="K225" s="1863"/>
      <c r="L225" s="1868"/>
      <c r="M225" s="1897"/>
      <c r="N225" s="1889">
        <f t="shared" si="18"/>
        <v>0</v>
      </c>
    </row>
    <row r="226" spans="1:14">
      <c r="A226" s="1892">
        <v>7</v>
      </c>
      <c r="B226" s="1893" t="s">
        <v>282</v>
      </c>
      <c r="C226" s="1898">
        <v>7</v>
      </c>
      <c r="D226" s="1888">
        <f t="shared" si="16"/>
        <v>0</v>
      </c>
      <c r="E226" s="1863"/>
      <c r="F226" s="1863">
        <f>F227+F228</f>
        <v>0</v>
      </c>
      <c r="G226" s="1863">
        <f>G227+G228</f>
        <v>0</v>
      </c>
      <c r="H226" s="1868">
        <f>H227+H228</f>
        <v>0</v>
      </c>
      <c r="I226" s="1895">
        <f>I227+I228</f>
        <v>0</v>
      </c>
      <c r="J226" s="1896">
        <f t="shared" si="17"/>
        <v>0</v>
      </c>
      <c r="K226" s="1863">
        <f>K227+K228</f>
        <v>0</v>
      </c>
      <c r="L226" s="1868">
        <f>L227+L228</f>
        <v>0</v>
      </c>
      <c r="M226" s="1897">
        <f>M227+M228</f>
        <v>0</v>
      </c>
      <c r="N226" s="1889">
        <f t="shared" si="18"/>
        <v>0</v>
      </c>
    </row>
    <row r="227" spans="1:14">
      <c r="A227" s="1894"/>
      <c r="B227" s="1899" t="s">
        <v>283</v>
      </c>
      <c r="C227" s="1898"/>
      <c r="D227" s="1888">
        <f t="shared" si="16"/>
        <v>0</v>
      </c>
      <c r="E227" s="1863"/>
      <c r="F227" s="1863"/>
      <c r="G227" s="1863"/>
      <c r="H227" s="1868"/>
      <c r="I227" s="1895"/>
      <c r="J227" s="1896">
        <f t="shared" si="17"/>
        <v>0</v>
      </c>
      <c r="K227" s="1863"/>
      <c r="L227" s="1868"/>
      <c r="M227" s="1897"/>
      <c r="N227" s="1889">
        <f t="shared" si="18"/>
        <v>0</v>
      </c>
    </row>
    <row r="228" spans="1:14">
      <c r="A228" s="1894"/>
      <c r="B228" s="1899" t="s">
        <v>284</v>
      </c>
      <c r="C228" s="1898"/>
      <c r="D228" s="1888">
        <f t="shared" si="16"/>
        <v>0</v>
      </c>
      <c r="E228" s="1863"/>
      <c r="F228" s="1863"/>
      <c r="G228" s="1863"/>
      <c r="H228" s="1868"/>
      <c r="I228" s="1895"/>
      <c r="J228" s="1896">
        <f t="shared" si="17"/>
        <v>0</v>
      </c>
      <c r="K228" s="1863"/>
      <c r="L228" s="1868"/>
      <c r="M228" s="1897"/>
      <c r="N228" s="1889">
        <f t="shared" si="18"/>
        <v>0</v>
      </c>
    </row>
    <row r="229" spans="1:14">
      <c r="A229" s="1892">
        <v>8</v>
      </c>
      <c r="B229" s="1893" t="s">
        <v>285</v>
      </c>
      <c r="C229" s="1894">
        <v>8</v>
      </c>
      <c r="D229" s="1888">
        <f t="shared" si="16"/>
        <v>0</v>
      </c>
      <c r="E229" s="1863"/>
      <c r="F229" s="1863">
        <f>F230+F231</f>
        <v>0</v>
      </c>
      <c r="G229" s="1863">
        <f>G230+G231</f>
        <v>0</v>
      </c>
      <c r="H229" s="1868">
        <f>H230+H231</f>
        <v>0</v>
      </c>
      <c r="I229" s="1895">
        <f>I230+I231</f>
        <v>0</v>
      </c>
      <c r="J229" s="1896">
        <f t="shared" si="17"/>
        <v>0</v>
      </c>
      <c r="K229" s="1863">
        <f>K230+K231</f>
        <v>0</v>
      </c>
      <c r="L229" s="1868">
        <f>L230+L231</f>
        <v>0</v>
      </c>
      <c r="M229" s="1897">
        <f>M230+M231</f>
        <v>0</v>
      </c>
      <c r="N229" s="1889">
        <f t="shared" si="18"/>
        <v>0</v>
      </c>
    </row>
    <row r="230" spans="1:14">
      <c r="A230" s="1892"/>
      <c r="B230" s="1899" t="s">
        <v>286</v>
      </c>
      <c r="C230" s="1894"/>
      <c r="D230" s="1888">
        <f t="shared" si="16"/>
        <v>0</v>
      </c>
      <c r="E230" s="1863"/>
      <c r="F230" s="1863"/>
      <c r="G230" s="1864"/>
      <c r="H230" s="1872"/>
      <c r="I230" s="1895"/>
      <c r="J230" s="1896">
        <f t="shared" si="17"/>
        <v>0</v>
      </c>
      <c r="K230" s="1863"/>
      <c r="L230" s="1900"/>
      <c r="M230" s="1897"/>
      <c r="N230" s="1889">
        <f t="shared" si="18"/>
        <v>0</v>
      </c>
    </row>
    <row r="231" spans="1:14">
      <c r="A231" s="1892"/>
      <c r="B231" s="1899" t="s">
        <v>287</v>
      </c>
      <c r="C231" s="1894"/>
      <c r="D231" s="1888">
        <f t="shared" si="16"/>
        <v>0</v>
      </c>
      <c r="E231" s="1863"/>
      <c r="F231" s="1863"/>
      <c r="G231" s="1863"/>
      <c r="H231" s="1868"/>
      <c r="I231" s="1895"/>
      <c r="J231" s="1896">
        <f t="shared" si="17"/>
        <v>0</v>
      </c>
      <c r="K231" s="1868"/>
      <c r="L231" s="1051"/>
      <c r="M231" s="1901"/>
      <c r="N231" s="1889">
        <f t="shared" si="18"/>
        <v>0</v>
      </c>
    </row>
    <row r="232" spans="1:14" ht="27">
      <c r="A232" s="1902">
        <v>9</v>
      </c>
      <c r="B232" s="1903" t="s">
        <v>288</v>
      </c>
      <c r="C232" s="1904"/>
      <c r="D232" s="1905">
        <f t="shared" si="16"/>
        <v>3674729.8527322998</v>
      </c>
      <c r="E232" s="1906">
        <f>SUM(E233:E236)</f>
        <v>0</v>
      </c>
      <c r="F232" s="1906">
        <f>SUM(F233:F236)</f>
        <v>1747169.6185522992</v>
      </c>
      <c r="G232" s="1906">
        <f>SUM(G233:G236)</f>
        <v>0</v>
      </c>
      <c r="H232" s="1879">
        <f>SUM(H233:H236)</f>
        <v>1426394.5732932007</v>
      </c>
      <c r="I232" s="1876">
        <f>SUM(I233:I236)</f>
        <v>501165.66088680021</v>
      </c>
      <c r="J232" s="1907">
        <f t="shared" si="17"/>
        <v>1927560.2341800008</v>
      </c>
      <c r="K232" s="1879">
        <f>SUM(K233:K236)</f>
        <v>0</v>
      </c>
      <c r="L232" s="1063">
        <f>SUM(L233:L236)</f>
        <v>0</v>
      </c>
      <c r="M232" s="1064">
        <f>SUM(M233:M236)</f>
        <v>0</v>
      </c>
      <c r="N232" s="1908">
        <f t="shared" si="18"/>
        <v>0</v>
      </c>
    </row>
    <row r="233" spans="1:14">
      <c r="A233" s="1894">
        <v>10</v>
      </c>
      <c r="B233" s="1909" t="s">
        <v>289</v>
      </c>
      <c r="C233" s="1894">
        <v>9</v>
      </c>
      <c r="D233" s="1888">
        <f t="shared" si="16"/>
        <v>1130191.1321156237</v>
      </c>
      <c r="E233" s="1863"/>
      <c r="F233" s="1863">
        <v>471795.3676556237</v>
      </c>
      <c r="G233" s="1864"/>
      <c r="H233" s="1872">
        <v>487212.86570039997</v>
      </c>
      <c r="I233" s="1895">
        <v>171182.89875960001</v>
      </c>
      <c r="J233" s="1896">
        <f t="shared" si="17"/>
        <v>658395.76445999998</v>
      </c>
      <c r="K233" s="1865"/>
      <c r="L233" s="1910"/>
      <c r="M233" s="1911"/>
      <c r="N233" s="1889">
        <f t="shared" si="18"/>
        <v>0</v>
      </c>
    </row>
    <row r="234" spans="1:14">
      <c r="A234" s="1894">
        <v>11</v>
      </c>
      <c r="B234" s="1909" t="s">
        <v>290</v>
      </c>
      <c r="C234" s="1894">
        <v>10</v>
      </c>
      <c r="D234" s="1888">
        <f t="shared" si="16"/>
        <v>2153718.7263548295</v>
      </c>
      <c r="E234" s="1863"/>
      <c r="F234" s="1863">
        <v>967697.26033482957</v>
      </c>
      <c r="G234" s="1864"/>
      <c r="H234" s="1864">
        <v>877655.88485479995</v>
      </c>
      <c r="I234" s="1910">
        <v>308365.58116519998</v>
      </c>
      <c r="J234" s="1896">
        <f t="shared" si="17"/>
        <v>1186021.4660199999</v>
      </c>
      <c r="K234" s="1865"/>
      <c r="L234" s="1910"/>
      <c r="M234" s="1911"/>
      <c r="N234" s="1889">
        <f t="shared" si="18"/>
        <v>0</v>
      </c>
    </row>
    <row r="235" spans="1:14">
      <c r="A235" s="1894">
        <v>12</v>
      </c>
      <c r="B235" s="1909" t="s">
        <v>291</v>
      </c>
      <c r="C235" s="1894">
        <v>11</v>
      </c>
      <c r="D235" s="1888">
        <f t="shared" si="16"/>
        <v>300937.91844582267</v>
      </c>
      <c r="E235" s="1863"/>
      <c r="F235" s="1863">
        <v>217794.91474582179</v>
      </c>
      <c r="G235" s="1864"/>
      <c r="H235" s="1042">
        <v>61525.822738000665</v>
      </c>
      <c r="I235" s="1864">
        <v>21617.180962000239</v>
      </c>
      <c r="J235" s="1896">
        <f t="shared" si="17"/>
        <v>83143.003700000903</v>
      </c>
      <c r="K235" s="1865"/>
      <c r="L235" s="1910"/>
      <c r="M235" s="1053"/>
      <c r="N235" s="1889">
        <f t="shared" si="18"/>
        <v>0</v>
      </c>
    </row>
    <row r="236" spans="1:14" ht="27">
      <c r="A236" s="1894">
        <v>13</v>
      </c>
      <c r="B236" s="1909" t="s">
        <v>292</v>
      </c>
      <c r="C236" s="1894">
        <v>12</v>
      </c>
      <c r="D236" s="1888">
        <f t="shared" si="16"/>
        <v>89882.075816024008</v>
      </c>
      <c r="E236" s="1863"/>
      <c r="F236" s="1863">
        <v>89882.075816024008</v>
      </c>
      <c r="G236" s="1864"/>
      <c r="H236" s="1042"/>
      <c r="I236" s="1910"/>
      <c r="J236" s="1896">
        <f t="shared" si="17"/>
        <v>0</v>
      </c>
      <c r="K236" s="1865"/>
      <c r="L236" s="1912"/>
      <c r="M236" s="1911"/>
      <c r="N236" s="1889">
        <f t="shared" si="18"/>
        <v>0</v>
      </c>
    </row>
    <row r="237" spans="1:14">
      <c r="A237" s="1894">
        <v>14</v>
      </c>
      <c r="B237" s="1893" t="s">
        <v>293</v>
      </c>
      <c r="C237" s="1894">
        <v>13</v>
      </c>
      <c r="D237" s="1888">
        <f t="shared" si="16"/>
        <v>321812.16084999987</v>
      </c>
      <c r="E237" s="1863"/>
      <c r="F237" s="1863"/>
      <c r="G237" s="1864"/>
      <c r="H237" s="1872">
        <v>238140.99902899991</v>
      </c>
      <c r="I237" s="1895">
        <v>83671.161820999987</v>
      </c>
      <c r="J237" s="1896">
        <f t="shared" si="17"/>
        <v>321812.16084999987</v>
      </c>
      <c r="K237" s="1864"/>
      <c r="L237" s="1054"/>
      <c r="M237" s="1911"/>
      <c r="N237" s="1889">
        <f t="shared" si="18"/>
        <v>0</v>
      </c>
    </row>
    <row r="238" spans="1:14">
      <c r="A238" s="1894">
        <v>15</v>
      </c>
      <c r="B238" s="1893" t="s">
        <v>294</v>
      </c>
      <c r="C238" s="1898">
        <v>14</v>
      </c>
      <c r="D238" s="1888">
        <f t="shared" si="16"/>
        <v>1902.6662299999596</v>
      </c>
      <c r="E238" s="1863"/>
      <c r="F238" s="1863"/>
      <c r="G238" s="1864"/>
      <c r="H238" s="1872">
        <v>1407.9730101999701</v>
      </c>
      <c r="I238" s="1872">
        <v>494.69321979998949</v>
      </c>
      <c r="J238" s="1896">
        <f t="shared" si="17"/>
        <v>1902.6662299999596</v>
      </c>
      <c r="K238" s="1864"/>
      <c r="L238" s="1913"/>
      <c r="M238" s="1911"/>
      <c r="N238" s="1889">
        <f t="shared" si="18"/>
        <v>0</v>
      </c>
    </row>
    <row r="239" spans="1:14">
      <c r="A239" s="1894">
        <v>16</v>
      </c>
      <c r="B239" s="1893" t="s">
        <v>295</v>
      </c>
      <c r="C239" s="1894">
        <v>15</v>
      </c>
      <c r="D239" s="1888">
        <f t="shared" si="16"/>
        <v>99334.58438</v>
      </c>
      <c r="E239" s="1863"/>
      <c r="F239" s="1863"/>
      <c r="G239" s="1864"/>
      <c r="H239" s="1035">
        <v>73507.592441200002</v>
      </c>
      <c r="I239" s="1035">
        <v>25826.991938799998</v>
      </c>
      <c r="J239" s="1896">
        <f t="shared" si="17"/>
        <v>99334.58438</v>
      </c>
      <c r="K239" s="1864"/>
      <c r="L239" s="1913"/>
      <c r="M239" s="1055"/>
      <c r="N239" s="1889">
        <f t="shared" si="18"/>
        <v>0</v>
      </c>
    </row>
    <row r="240" spans="1:14">
      <c r="A240" s="1894">
        <v>17</v>
      </c>
      <c r="B240" s="1893" t="s">
        <v>296</v>
      </c>
      <c r="C240" s="1898">
        <v>16</v>
      </c>
      <c r="D240" s="1888">
        <f t="shared" si="16"/>
        <v>200565.45011236536</v>
      </c>
      <c r="E240" s="1863"/>
      <c r="F240" s="1863">
        <v>181260.0403723653</v>
      </c>
      <c r="G240" s="1864"/>
      <c r="H240" s="1042">
        <v>14286.003207600035</v>
      </c>
      <c r="I240" s="1042">
        <v>5019.4065324000121</v>
      </c>
      <c r="J240" s="1896">
        <f t="shared" si="17"/>
        <v>19305.409740000046</v>
      </c>
      <c r="K240" s="1864"/>
      <c r="L240" s="1865"/>
      <c r="M240" s="1056"/>
      <c r="N240" s="1889">
        <f t="shared" si="18"/>
        <v>0</v>
      </c>
    </row>
    <row r="241" spans="1:42">
      <c r="A241" s="1894">
        <v>18</v>
      </c>
      <c r="B241" s="1893" t="s">
        <v>297</v>
      </c>
      <c r="C241" s="1894"/>
      <c r="D241" s="1888">
        <f t="shared" si="16"/>
        <v>0</v>
      </c>
      <c r="E241" s="1863"/>
      <c r="F241" s="1032">
        <v>0</v>
      </c>
      <c r="G241" s="1864"/>
      <c r="H241" s="1035">
        <v>0</v>
      </c>
      <c r="I241" s="1035">
        <v>0</v>
      </c>
      <c r="J241" s="1896">
        <f t="shared" si="17"/>
        <v>0</v>
      </c>
      <c r="K241" s="1864"/>
      <c r="L241" s="1913"/>
      <c r="M241" s="1057"/>
      <c r="N241" s="1889">
        <f t="shared" si="18"/>
        <v>0</v>
      </c>
    </row>
    <row r="242" spans="1:42" ht="15" thickBot="1">
      <c r="A242" s="1914">
        <v>19</v>
      </c>
      <c r="B242" s="1915" t="s">
        <v>298</v>
      </c>
      <c r="C242" s="1914"/>
      <c r="D242" s="3117">
        <f t="shared" si="16"/>
        <v>152225.56093000001</v>
      </c>
      <c r="E242" s="3114"/>
      <c r="F242" s="1036">
        <v>187388.47831681138</v>
      </c>
      <c r="G242" s="3116"/>
      <c r="H242" s="1885">
        <v>-26020.558866240412</v>
      </c>
      <c r="I242" s="1058">
        <v>-9142.3585205709569</v>
      </c>
      <c r="J242" s="1916">
        <f t="shared" si="17"/>
        <v>-35162.917386811372</v>
      </c>
      <c r="K242" s="3116"/>
      <c r="L242" s="1917"/>
      <c r="M242" s="1056"/>
      <c r="N242" s="3118">
        <f t="shared" si="18"/>
        <v>0</v>
      </c>
    </row>
    <row r="243" spans="1:42" s="870" customFormat="1" ht="27" thickBot="1">
      <c r="A243" s="1191">
        <v>20</v>
      </c>
      <c r="B243" s="1139" t="s">
        <v>299</v>
      </c>
      <c r="C243" s="1191"/>
      <c r="D243" s="1163">
        <f t="shared" si="16"/>
        <v>4690412.1833946649</v>
      </c>
      <c r="E243" s="1163">
        <f>SUM(E220:E226)+E229+E232+SUM(E237:E242)</f>
        <v>0</v>
      </c>
      <c r="F243" s="1163">
        <f>SUM(F220:F226)+F229+F232+SUM(F237:F242)</f>
        <v>2115818.1372414757</v>
      </c>
      <c r="G243" s="1163">
        <f>SUM(G220:G226)+G229+G232+SUM(G237:G242)</f>
        <v>0</v>
      </c>
      <c r="H243" s="1164">
        <f>SUM(H220:H226)+H229+H232+SUM(H237:H242)</f>
        <v>1905199.59415336</v>
      </c>
      <c r="I243" s="1192">
        <f>SUM(I220:I226)+I229+I232+SUM(I237:I242)</f>
        <v>669394.45199982927</v>
      </c>
      <c r="J243" s="1193">
        <f t="shared" si="17"/>
        <v>2574594.0461531891</v>
      </c>
      <c r="K243" s="1163">
        <f>SUM(K220:K226)+K229+K232+SUM(K237:K242)</f>
        <v>0</v>
      </c>
      <c r="L243" s="1164">
        <f>SUM(L220:L226)+L229+L232+SUM(L237:L242)</f>
        <v>0</v>
      </c>
      <c r="M243" s="1193">
        <f>SUM(M220:M226)+M229+M232+SUM(M237:M242)</f>
        <v>0</v>
      </c>
      <c r="N243" s="1163">
        <f t="shared" si="18"/>
        <v>0</v>
      </c>
      <c r="O243"/>
      <c r="P243"/>
      <c r="Q243"/>
      <c r="R243"/>
      <c r="S243"/>
      <c r="T243"/>
      <c r="U243"/>
      <c r="V243"/>
      <c r="W243"/>
      <c r="X243"/>
      <c r="Y243"/>
      <c r="Z243"/>
      <c r="AA243"/>
      <c r="AB243"/>
      <c r="AC243"/>
      <c r="AD243"/>
      <c r="AE243"/>
      <c r="AF243"/>
      <c r="AG243"/>
      <c r="AH243"/>
      <c r="AI243"/>
      <c r="AJ243"/>
      <c r="AK243" s="2976"/>
      <c r="AL243" s="2976"/>
      <c r="AM243" s="2976"/>
      <c r="AN243" s="2976"/>
      <c r="AO243" s="2976"/>
      <c r="AP243" s="2976"/>
    </row>
    <row r="244" spans="1:42">
      <c r="A244" s="1183"/>
      <c r="B244" s="1184" t="s">
        <v>300</v>
      </c>
      <c r="C244" s="1183"/>
      <c r="D244" s="1172">
        <f t="shared" si="16"/>
        <v>0</v>
      </c>
      <c r="E244" s="1032"/>
      <c r="F244" s="1032"/>
      <c r="G244" s="1042"/>
      <c r="H244" s="1035"/>
      <c r="I244" s="1059"/>
      <c r="J244" s="1190">
        <f t="shared" si="17"/>
        <v>0</v>
      </c>
      <c r="K244" s="1042"/>
      <c r="L244" s="1054"/>
      <c r="M244" s="1053"/>
      <c r="N244" s="1177">
        <f t="shared" si="18"/>
        <v>0</v>
      </c>
    </row>
    <row r="245" spans="1:42">
      <c r="A245" s="1894"/>
      <c r="B245" s="1918" t="s">
        <v>301</v>
      </c>
      <c r="C245" s="1894"/>
      <c r="D245" s="1888">
        <f t="shared" si="16"/>
        <v>0</v>
      </c>
      <c r="E245" s="1863"/>
      <c r="F245" s="1863"/>
      <c r="G245" s="1864"/>
      <c r="H245" s="1872"/>
      <c r="I245" s="1895"/>
      <c r="J245" s="1896">
        <f t="shared" si="17"/>
        <v>0</v>
      </c>
      <c r="K245" s="1864"/>
      <c r="L245" s="1913"/>
      <c r="M245" s="1911"/>
      <c r="N245" s="1889">
        <f t="shared" si="18"/>
        <v>0</v>
      </c>
    </row>
    <row r="246" spans="1:42">
      <c r="A246" s="1894">
        <v>21</v>
      </c>
      <c r="B246" s="1893" t="s">
        <v>302</v>
      </c>
      <c r="C246" s="1898">
        <v>17</v>
      </c>
      <c r="D246" s="1888">
        <f t="shared" si="16"/>
        <v>2110831.8436922901</v>
      </c>
      <c r="E246" s="1863"/>
      <c r="F246" s="1863"/>
      <c r="G246" s="1864"/>
      <c r="H246" s="1872">
        <v>1562015.5643322947</v>
      </c>
      <c r="I246" s="1872">
        <v>548816.27935999539</v>
      </c>
      <c r="J246" s="1896">
        <f t="shared" si="17"/>
        <v>2110831.8436922901</v>
      </c>
      <c r="K246" s="1864"/>
      <c r="L246" s="1913"/>
      <c r="M246" s="1911"/>
      <c r="N246" s="1889">
        <f t="shared" si="18"/>
        <v>0</v>
      </c>
    </row>
    <row r="247" spans="1:42">
      <c r="A247" s="1894">
        <v>22</v>
      </c>
      <c r="B247" s="1893" t="s">
        <v>303</v>
      </c>
      <c r="C247" s="1894"/>
      <c r="D247" s="1888">
        <f t="shared" si="16"/>
        <v>16000</v>
      </c>
      <c r="E247" s="1863"/>
      <c r="F247" s="1863"/>
      <c r="G247" s="1864"/>
      <c r="H247" s="1035">
        <v>11840</v>
      </c>
      <c r="I247" s="1895">
        <v>4160</v>
      </c>
      <c r="J247" s="1896">
        <f t="shared" si="17"/>
        <v>16000</v>
      </c>
      <c r="K247" s="1864"/>
      <c r="L247" s="1913"/>
      <c r="M247" s="1053"/>
      <c r="N247" s="1889">
        <f t="shared" si="18"/>
        <v>0</v>
      </c>
    </row>
    <row r="248" spans="1:42">
      <c r="A248" s="1894">
        <v>23</v>
      </c>
      <c r="B248" s="1893" t="s">
        <v>304</v>
      </c>
      <c r="C248" s="1894">
        <v>18</v>
      </c>
      <c r="D248" s="1888">
        <f t="shared" si="16"/>
        <v>30025.208069999964</v>
      </c>
      <c r="E248" s="1863"/>
      <c r="F248" s="1863"/>
      <c r="G248" s="1864"/>
      <c r="H248" s="1035">
        <v>22218.653971799973</v>
      </c>
      <c r="I248" s="1872">
        <v>7806.5540981999902</v>
      </c>
      <c r="J248" s="1896">
        <f t="shared" si="17"/>
        <v>30025.208069999964</v>
      </c>
      <c r="K248" s="1864"/>
      <c r="L248" s="1913"/>
      <c r="M248" s="1053"/>
      <c r="N248" s="1889">
        <f t="shared" si="18"/>
        <v>0</v>
      </c>
    </row>
    <row r="249" spans="1:42">
      <c r="A249" s="1894">
        <v>24</v>
      </c>
      <c r="B249" s="1893" t="s">
        <v>305</v>
      </c>
      <c r="C249" s="1894"/>
      <c r="D249" s="1888">
        <f t="shared" si="16"/>
        <v>0</v>
      </c>
      <c r="E249" s="1863"/>
      <c r="F249" s="1863"/>
      <c r="G249" s="1864"/>
      <c r="H249" s="1035">
        <v>0</v>
      </c>
      <c r="I249" s="1035">
        <v>0</v>
      </c>
      <c r="J249" s="1896">
        <f t="shared" si="17"/>
        <v>0</v>
      </c>
      <c r="K249" s="1864"/>
      <c r="L249" s="1913"/>
      <c r="M249" s="1053"/>
      <c r="N249" s="1889">
        <f t="shared" si="18"/>
        <v>0</v>
      </c>
    </row>
    <row r="250" spans="1:42">
      <c r="A250" s="1894">
        <v>25</v>
      </c>
      <c r="B250" s="1919" t="s">
        <v>306</v>
      </c>
      <c r="C250" s="1894"/>
      <c r="D250" s="1888">
        <f t="shared" si="16"/>
        <v>0</v>
      </c>
      <c r="E250" s="1863"/>
      <c r="F250" s="1863"/>
      <c r="G250" s="1864"/>
      <c r="H250" s="1035">
        <v>0</v>
      </c>
      <c r="I250" s="1895">
        <v>0</v>
      </c>
      <c r="J250" s="1896">
        <f t="shared" si="17"/>
        <v>0</v>
      </c>
      <c r="K250" s="1864"/>
      <c r="L250" s="1913"/>
      <c r="M250" s="1053"/>
      <c r="N250" s="1889">
        <f t="shared" si="18"/>
        <v>0</v>
      </c>
    </row>
    <row r="251" spans="1:42" ht="15" thickBot="1">
      <c r="A251" s="1914">
        <v>26</v>
      </c>
      <c r="B251" s="1915" t="s">
        <v>307</v>
      </c>
      <c r="C251" s="1920">
        <v>19</v>
      </c>
      <c r="D251" s="3117">
        <f t="shared" si="16"/>
        <v>440363.40308318799</v>
      </c>
      <c r="E251" s="3114"/>
      <c r="F251" s="3114">
        <v>22626.40799</v>
      </c>
      <c r="G251" s="3116"/>
      <c r="H251" s="1060">
        <v>309125.37636895914</v>
      </c>
      <c r="I251" s="1921">
        <v>108611.61872422887</v>
      </c>
      <c r="J251" s="1916">
        <f t="shared" si="17"/>
        <v>417736.99509318802</v>
      </c>
      <c r="K251" s="3116"/>
      <c r="L251" s="1065"/>
      <c r="M251" s="1056"/>
      <c r="N251" s="3118">
        <f t="shared" si="18"/>
        <v>0</v>
      </c>
    </row>
    <row r="252" spans="1:42" s="870" customFormat="1" ht="15" thickBot="1">
      <c r="A252" s="1185">
        <v>27</v>
      </c>
      <c r="B252" s="1136" t="s">
        <v>308</v>
      </c>
      <c r="C252" s="1185"/>
      <c r="D252" s="1173">
        <f t="shared" si="16"/>
        <v>2597220.4548454783</v>
      </c>
      <c r="E252" s="1041">
        <f>SUM(E246:E251)</f>
        <v>0</v>
      </c>
      <c r="F252" s="1041">
        <f>SUM(F246:F251)</f>
        <v>22626.40799</v>
      </c>
      <c r="G252" s="1041">
        <f>SUM(G246:G251)</f>
        <v>0</v>
      </c>
      <c r="H252" s="1045">
        <f>SUM(H246:H251)</f>
        <v>1905199.5946730538</v>
      </c>
      <c r="I252" s="1067">
        <f>SUM(I246:I251)</f>
        <v>669394.45218242425</v>
      </c>
      <c r="J252" s="1189">
        <f t="shared" si="17"/>
        <v>2574594.0468554781</v>
      </c>
      <c r="K252" s="1039">
        <f>SUM(K246:K251)</f>
        <v>0</v>
      </c>
      <c r="L252" s="1045">
        <f>SUM(L246:L251)</f>
        <v>0</v>
      </c>
      <c r="M252" s="1068">
        <f>SUM(M246:M251)</f>
        <v>0</v>
      </c>
      <c r="N252" s="1176">
        <f t="shared" si="18"/>
        <v>0</v>
      </c>
      <c r="O252"/>
      <c r="P252"/>
      <c r="Q252"/>
      <c r="R252"/>
      <c r="S252"/>
      <c r="T252"/>
      <c r="U252"/>
      <c r="V252"/>
      <c r="W252"/>
      <c r="X252"/>
      <c r="Y252"/>
      <c r="Z252"/>
      <c r="AA252"/>
      <c r="AB252"/>
      <c r="AC252"/>
      <c r="AD252"/>
      <c r="AE252"/>
      <c r="AF252"/>
      <c r="AG252"/>
      <c r="AH252"/>
      <c r="AI252"/>
      <c r="AJ252"/>
      <c r="AK252" s="2976"/>
      <c r="AL252" s="2976"/>
      <c r="AM252" s="2976"/>
      <c r="AN252" s="2976"/>
      <c r="AO252" s="2976"/>
      <c r="AP252" s="2976"/>
    </row>
    <row r="253" spans="1:42">
      <c r="A253" s="1183"/>
      <c r="B253" s="1184" t="s">
        <v>309</v>
      </c>
      <c r="C253" s="1183">
        <v>20</v>
      </c>
      <c r="D253" s="1172">
        <f t="shared" si="16"/>
        <v>0</v>
      </c>
      <c r="E253" s="1032"/>
      <c r="F253" s="1032"/>
      <c r="G253" s="1042"/>
      <c r="H253" s="1035"/>
      <c r="I253" s="1052"/>
      <c r="J253" s="1177">
        <f t="shared" si="17"/>
        <v>0</v>
      </c>
      <c r="K253" s="1042"/>
      <c r="L253" s="1054"/>
      <c r="M253" s="1053"/>
      <c r="N253" s="1177">
        <f t="shared" si="18"/>
        <v>0</v>
      </c>
    </row>
    <row r="254" spans="1:42">
      <c r="A254" s="1894">
        <v>28</v>
      </c>
      <c r="B254" s="1893" t="s">
        <v>310</v>
      </c>
      <c r="C254" s="1898"/>
      <c r="D254" s="1888">
        <f t="shared" si="16"/>
        <v>675564.87</v>
      </c>
      <c r="E254" s="1863"/>
      <c r="F254" s="1863">
        <v>675564.87</v>
      </c>
      <c r="G254" s="1864"/>
      <c r="H254" s="1872"/>
      <c r="I254" s="1897"/>
      <c r="J254" s="1889">
        <f t="shared" si="17"/>
        <v>0</v>
      </c>
      <c r="K254" s="1864"/>
      <c r="L254" s="1913"/>
      <c r="M254" s="1911"/>
      <c r="N254" s="1889">
        <f t="shared" si="18"/>
        <v>0</v>
      </c>
    </row>
    <row r="255" spans="1:42">
      <c r="A255" s="1894">
        <v>29</v>
      </c>
      <c r="B255" s="1893" t="s">
        <v>311</v>
      </c>
      <c r="C255" s="1898"/>
      <c r="D255" s="1888">
        <f t="shared" si="16"/>
        <v>-208403.41503</v>
      </c>
      <c r="E255" s="1863"/>
      <c r="F255" s="1032">
        <v>-208403.41503</v>
      </c>
      <c r="G255" s="1864"/>
      <c r="H255" s="1872"/>
      <c r="I255" s="1897"/>
      <c r="J255" s="1889">
        <f t="shared" si="17"/>
        <v>0</v>
      </c>
      <c r="K255" s="1864"/>
      <c r="L255" s="1913"/>
      <c r="M255" s="1911"/>
      <c r="N255" s="1889">
        <f t="shared" si="18"/>
        <v>0</v>
      </c>
    </row>
    <row r="256" spans="1:42">
      <c r="A256" s="1894">
        <v>30</v>
      </c>
      <c r="B256" s="1915" t="s">
        <v>312</v>
      </c>
      <c r="C256" s="1920"/>
      <c r="D256" s="1888">
        <f t="shared" si="16"/>
        <v>0</v>
      </c>
      <c r="E256" s="1863"/>
      <c r="F256" s="1036">
        <v>0</v>
      </c>
      <c r="G256" s="3116"/>
      <c r="H256" s="1885"/>
      <c r="I256" s="1051"/>
      <c r="J256" s="1889">
        <f t="shared" si="17"/>
        <v>0</v>
      </c>
      <c r="K256" s="1864"/>
      <c r="L256" s="1917"/>
      <c r="M256" s="1922"/>
      <c r="N256" s="1889">
        <f t="shared" si="18"/>
        <v>0</v>
      </c>
    </row>
    <row r="257" spans="1:42">
      <c r="A257" s="1894">
        <v>31</v>
      </c>
      <c r="B257" s="1915" t="s">
        <v>313</v>
      </c>
      <c r="C257" s="1920"/>
      <c r="D257" s="1888">
        <f t="shared" si="16"/>
        <v>0</v>
      </c>
      <c r="E257" s="1863"/>
      <c r="F257" s="3114">
        <v>0</v>
      </c>
      <c r="G257" s="3116"/>
      <c r="H257" s="1885"/>
      <c r="I257" s="1923"/>
      <c r="J257" s="1889">
        <f t="shared" si="17"/>
        <v>0</v>
      </c>
      <c r="K257" s="1864"/>
      <c r="L257" s="1917"/>
      <c r="M257" s="1922"/>
      <c r="N257" s="1889">
        <f t="shared" si="18"/>
        <v>0</v>
      </c>
    </row>
    <row r="258" spans="1:42" ht="15" thickBot="1">
      <c r="A258" s="1914">
        <v>32</v>
      </c>
      <c r="B258" s="1915" t="s">
        <v>314</v>
      </c>
      <c r="C258" s="1920"/>
      <c r="D258" s="1888">
        <f t="shared" si="16"/>
        <v>1626030.0939199999</v>
      </c>
      <c r="E258" s="1863"/>
      <c r="F258" s="3114">
        <v>1626030.0939199999</v>
      </c>
      <c r="G258" s="3116"/>
      <c r="H258" s="1885"/>
      <c r="I258" s="1923"/>
      <c r="J258" s="1889">
        <f t="shared" si="17"/>
        <v>0</v>
      </c>
      <c r="K258" s="1864"/>
      <c r="L258" s="1885"/>
      <c r="M258" s="1923"/>
      <c r="N258" s="1889">
        <f t="shared" si="18"/>
        <v>0</v>
      </c>
    </row>
    <row r="259" spans="1:42" s="870" customFormat="1" ht="15" thickBot="1">
      <c r="A259" s="1185">
        <v>33</v>
      </c>
      <c r="B259" s="1186" t="s">
        <v>315</v>
      </c>
      <c r="C259" s="1187"/>
      <c r="D259" s="1174">
        <f t="shared" si="16"/>
        <v>2093191.5488899997</v>
      </c>
      <c r="E259" s="1046">
        <f>SUM(E254:E258)</f>
        <v>0</v>
      </c>
      <c r="F259" s="1046">
        <f>SUM(F254:F258)</f>
        <v>2093191.5488899997</v>
      </c>
      <c r="G259" s="1046">
        <f>SUM(G254:G258)</f>
        <v>0</v>
      </c>
      <c r="H259" s="1047">
        <f>SUM(H254:H258)</f>
        <v>0</v>
      </c>
      <c r="I259" s="1066">
        <f>SUM(I254:I258)</f>
        <v>0</v>
      </c>
      <c r="J259" s="1178">
        <f t="shared" si="17"/>
        <v>0</v>
      </c>
      <c r="K259" s="1046">
        <f>SUM(K254:K258)</f>
        <v>0</v>
      </c>
      <c r="L259" s="1047">
        <f>SUM(L254:L258)</f>
        <v>0</v>
      </c>
      <c r="M259" s="1066">
        <f>SUM(M254:M258)</f>
        <v>0</v>
      </c>
      <c r="N259" s="1178">
        <f t="shared" si="18"/>
        <v>0</v>
      </c>
      <c r="O259"/>
      <c r="P259"/>
      <c r="Q259"/>
      <c r="R259"/>
      <c r="S259"/>
      <c r="T259"/>
      <c r="U259"/>
      <c r="V259"/>
      <c r="W259"/>
      <c r="X259"/>
      <c r="Y259"/>
      <c r="Z259"/>
      <c r="AA259"/>
      <c r="AB259"/>
      <c r="AC259"/>
      <c r="AD259"/>
      <c r="AE259"/>
      <c r="AF259"/>
      <c r="AG259"/>
      <c r="AH259"/>
      <c r="AI259"/>
      <c r="AJ259"/>
      <c r="AK259" s="2976"/>
      <c r="AL259" s="2976"/>
      <c r="AM259" s="2976"/>
      <c r="AN259" s="2976"/>
      <c r="AO259" s="2976"/>
      <c r="AP259" s="2976"/>
    </row>
    <row r="260" spans="1:42" s="870" customFormat="1" ht="27" thickBot="1">
      <c r="A260" s="1191">
        <v>34</v>
      </c>
      <c r="B260" s="1139" t="s">
        <v>317</v>
      </c>
      <c r="C260" s="1191"/>
      <c r="D260" s="1166">
        <f t="shared" si="16"/>
        <v>4690412.003735478</v>
      </c>
      <c r="E260" s="1166">
        <f>E259+E252</f>
        <v>0</v>
      </c>
      <c r="F260" s="1166">
        <f>F259+F252</f>
        <v>2115817.95688</v>
      </c>
      <c r="G260" s="1166">
        <f>G259+G252</f>
        <v>0</v>
      </c>
      <c r="H260" s="1166">
        <f>H259+H252</f>
        <v>1905199.5946730538</v>
      </c>
      <c r="I260" s="1166">
        <f>I259+I252</f>
        <v>669394.45218242425</v>
      </c>
      <c r="J260" s="1166">
        <f t="shared" si="17"/>
        <v>2574594.0468554781</v>
      </c>
      <c r="K260" s="1166">
        <f>K259+K252</f>
        <v>0</v>
      </c>
      <c r="L260" s="1166">
        <f>L259+L252</f>
        <v>0</v>
      </c>
      <c r="M260" s="1166">
        <f>M259+M252</f>
        <v>0</v>
      </c>
      <c r="N260" s="1166">
        <f t="shared" si="18"/>
        <v>0</v>
      </c>
      <c r="O260"/>
      <c r="P260"/>
      <c r="Q260"/>
      <c r="R260"/>
      <c r="S260"/>
      <c r="T260"/>
      <c r="U260"/>
      <c r="V260"/>
      <c r="W260"/>
      <c r="X260"/>
      <c r="Y260"/>
      <c r="Z260"/>
      <c r="AA260"/>
      <c r="AB260"/>
      <c r="AC260"/>
      <c r="AD260"/>
      <c r="AE260"/>
      <c r="AF260"/>
      <c r="AG260"/>
      <c r="AH260"/>
      <c r="AI260"/>
      <c r="AJ260"/>
      <c r="AK260" s="2976"/>
      <c r="AL260" s="2976"/>
      <c r="AM260" s="2976"/>
      <c r="AN260" s="2976"/>
      <c r="AO260" s="2976"/>
      <c r="AP260" s="2976"/>
    </row>
    <row r="261" spans="1:42">
      <c r="B261"/>
      <c r="C261"/>
      <c r="D261"/>
      <c r="E261"/>
      <c r="F261"/>
      <c r="G261"/>
      <c r="H261"/>
      <c r="I261"/>
      <c r="J261"/>
      <c r="K261"/>
      <c r="L261"/>
      <c r="M261"/>
      <c r="N261"/>
    </row>
    <row r="262" spans="1:42">
      <c r="B262"/>
      <c r="C262"/>
      <c r="D262"/>
      <c r="E262"/>
      <c r="F262"/>
      <c r="G262"/>
      <c r="H262"/>
      <c r="I262"/>
      <c r="J262"/>
      <c r="K262"/>
      <c r="L262"/>
      <c r="M262"/>
      <c r="N262"/>
    </row>
    <row r="263" spans="1:42">
      <c r="B263"/>
      <c r="C263"/>
      <c r="D263"/>
      <c r="E263"/>
      <c r="F263"/>
      <c r="G263"/>
      <c r="H263"/>
      <c r="I263"/>
      <c r="J263"/>
      <c r="K263"/>
      <c r="L263"/>
      <c r="M263"/>
      <c r="N263"/>
    </row>
    <row r="264" spans="1:42">
      <c r="B264"/>
      <c r="C264"/>
      <c r="D264"/>
      <c r="E264"/>
      <c r="F264"/>
      <c r="G264"/>
      <c r="H264"/>
      <c r="I264"/>
      <c r="J264"/>
      <c r="K264"/>
      <c r="L264"/>
      <c r="M264"/>
      <c r="N264"/>
    </row>
    <row r="265" spans="1:42" ht="15" thickBot="1"/>
    <row r="266" spans="1:42" ht="15" thickBot="1">
      <c r="A266" s="1153" t="s">
        <v>177</v>
      </c>
      <c r="B266" s="3301" t="s">
        <v>116</v>
      </c>
      <c r="C266" s="3302"/>
      <c r="D266" s="411"/>
      <c r="E266" s="662"/>
      <c r="F266" s="662"/>
      <c r="G266" s="662"/>
      <c r="H266" s="662"/>
      <c r="I266" s="662"/>
      <c r="J266" s="662"/>
      <c r="K266" s="662"/>
      <c r="L266" s="662"/>
      <c r="M266" s="3292"/>
      <c r="N266" s="3292" t="s">
        <v>257</v>
      </c>
    </row>
    <row r="267" spans="1:42" ht="13.5" customHeight="1" thickBot="1">
      <c r="A267" s="3293" t="s">
        <v>258</v>
      </c>
      <c r="B267" s="3298"/>
      <c r="C267" s="3280" t="s">
        <v>259</v>
      </c>
      <c r="D267" s="3283" t="s">
        <v>260</v>
      </c>
      <c r="E267" s="3283" t="s">
        <v>261</v>
      </c>
      <c r="F267" s="3283" t="s">
        <v>262</v>
      </c>
      <c r="G267" s="3286" t="s">
        <v>263</v>
      </c>
      <c r="H267" s="3287"/>
      <c r="I267" s="3287"/>
      <c r="J267" s="3287"/>
      <c r="K267" s="3287"/>
      <c r="L267" s="3287"/>
      <c r="M267" s="3287"/>
      <c r="N267" s="3288"/>
    </row>
    <row r="268" spans="1:42" ht="13.5" customHeight="1" thickBot="1">
      <c r="A268" s="3294"/>
      <c r="B268" s="3299"/>
      <c r="C268" s="3281"/>
      <c r="D268" s="3284"/>
      <c r="E268" s="3284"/>
      <c r="F268" s="3284"/>
      <c r="G268" s="3289" t="s">
        <v>264</v>
      </c>
      <c r="H268" s="3290"/>
      <c r="I268" s="3290"/>
      <c r="J268" s="3291"/>
      <c r="K268" s="3289" t="s">
        <v>265</v>
      </c>
      <c r="L268" s="3290"/>
      <c r="M268" s="3290"/>
      <c r="N268" s="3291"/>
    </row>
    <row r="269" spans="1:42" ht="40.15" thickBot="1">
      <c r="A269" s="3294"/>
      <c r="B269" s="3299"/>
      <c r="C269" s="3281"/>
      <c r="D269" s="3285"/>
      <c r="E269" s="3285"/>
      <c r="F269" s="3285"/>
      <c r="G269" s="1125" t="s">
        <v>267</v>
      </c>
      <c r="H269" s="1125" t="s">
        <v>268</v>
      </c>
      <c r="I269" s="1125" t="s">
        <v>269</v>
      </c>
      <c r="J269" s="1125" t="s">
        <v>160</v>
      </c>
      <c r="K269" s="1126" t="s">
        <v>270</v>
      </c>
      <c r="L269" s="1126" t="s">
        <v>271</v>
      </c>
      <c r="M269" s="1126" t="s">
        <v>272</v>
      </c>
      <c r="N269" s="2969" t="s">
        <v>160</v>
      </c>
    </row>
    <row r="270" spans="1:42" ht="15" thickBot="1">
      <c r="A270" s="3294"/>
      <c r="B270" s="3299"/>
      <c r="C270" s="3281"/>
      <c r="D270" s="1128">
        <v>1</v>
      </c>
      <c r="E270" s="3283">
        <v>2</v>
      </c>
      <c r="F270" s="3283">
        <v>3</v>
      </c>
      <c r="G270" s="3283">
        <v>4</v>
      </c>
      <c r="H270" s="3283">
        <v>5</v>
      </c>
      <c r="I270" s="3283">
        <v>6</v>
      </c>
      <c r="J270" s="2974">
        <v>7</v>
      </c>
      <c r="K270" s="3283">
        <v>8</v>
      </c>
      <c r="L270" s="3283">
        <v>9</v>
      </c>
      <c r="M270" s="3283">
        <v>10</v>
      </c>
      <c r="N270" s="1128">
        <v>11</v>
      </c>
    </row>
    <row r="271" spans="1:42" ht="15" thickBot="1">
      <c r="A271" s="3295"/>
      <c r="B271" s="3300"/>
      <c r="C271" s="3282"/>
      <c r="D271" s="1130"/>
      <c r="E271" s="3285"/>
      <c r="F271" s="3285"/>
      <c r="G271" s="3285"/>
      <c r="H271" s="3285"/>
      <c r="I271" s="3285"/>
      <c r="J271" s="1156" t="s">
        <v>273</v>
      </c>
      <c r="K271" s="3285"/>
      <c r="L271" s="3285"/>
      <c r="M271" s="3285"/>
      <c r="N271" s="1157" t="s">
        <v>274</v>
      </c>
    </row>
    <row r="272" spans="1:42">
      <c r="A272" s="1183"/>
      <c r="B272" s="1184" t="s">
        <v>275</v>
      </c>
      <c r="C272" s="1183"/>
      <c r="D272" s="1827"/>
      <c r="E272" s="1021"/>
      <c r="F272" s="1021"/>
      <c r="G272" s="1022"/>
      <c r="H272" s="985"/>
      <c r="I272" s="1049"/>
      <c r="J272" s="1188"/>
      <c r="K272" s="984"/>
      <c r="L272" s="985"/>
      <c r="M272" s="1050"/>
      <c r="N272" s="1891"/>
    </row>
    <row r="273" spans="1:14">
      <c r="A273" s="1892">
        <v>1</v>
      </c>
      <c r="B273" s="1893" t="s">
        <v>276</v>
      </c>
      <c r="C273" s="1894"/>
      <c r="D273" s="1888">
        <f t="shared" ref="D273:D313" si="19">+E273+F273+J273+N273</f>
        <v>0</v>
      </c>
      <c r="E273" s="1863"/>
      <c r="F273" s="1863">
        <v>0</v>
      </c>
      <c r="G273" s="1864">
        <v>0</v>
      </c>
      <c r="H273" s="1872">
        <v>0</v>
      </c>
      <c r="I273" s="1895">
        <v>0</v>
      </c>
      <c r="J273" s="1896">
        <f t="shared" ref="J273:J313" si="20">G273+H273+I273</f>
        <v>0</v>
      </c>
      <c r="K273" s="1863"/>
      <c r="L273" s="1868"/>
      <c r="M273" s="1897"/>
      <c r="N273" s="1889">
        <f t="shared" ref="N273:N313" si="21">K273+L273+M273</f>
        <v>0</v>
      </c>
    </row>
    <row r="274" spans="1:14">
      <c r="A274" s="1892">
        <v>2</v>
      </c>
      <c r="B274" s="1893" t="s">
        <v>277</v>
      </c>
      <c r="C274" s="1894"/>
      <c r="D274" s="1888">
        <f t="shared" si="19"/>
        <v>2566</v>
      </c>
      <c r="E274" s="1863"/>
      <c r="F274" s="1863">
        <v>2566</v>
      </c>
      <c r="G274" s="1864">
        <v>0</v>
      </c>
      <c r="H274" s="1872">
        <v>0</v>
      </c>
      <c r="I274" s="1895">
        <v>0</v>
      </c>
      <c r="J274" s="1896">
        <f>G274+H274+I274</f>
        <v>0</v>
      </c>
      <c r="K274" s="1863"/>
      <c r="L274" s="1868"/>
      <c r="M274" s="1897"/>
      <c r="N274" s="1889">
        <f t="shared" si="21"/>
        <v>0</v>
      </c>
    </row>
    <row r="275" spans="1:14">
      <c r="A275" s="1892">
        <v>3</v>
      </c>
      <c r="B275" s="1893" t="s">
        <v>278</v>
      </c>
      <c r="C275" s="1894"/>
      <c r="D275" s="1888">
        <f t="shared" si="19"/>
        <v>0</v>
      </c>
      <c r="E275" s="1863"/>
      <c r="F275" s="1863">
        <v>0</v>
      </c>
      <c r="G275" s="1864">
        <v>0</v>
      </c>
      <c r="H275" s="1872">
        <v>0</v>
      </c>
      <c r="I275" s="1895">
        <v>0</v>
      </c>
      <c r="J275" s="1896">
        <f t="shared" si="20"/>
        <v>0</v>
      </c>
      <c r="K275" s="1863"/>
      <c r="L275" s="1868"/>
      <c r="M275" s="1897"/>
      <c r="N275" s="1889">
        <f t="shared" si="21"/>
        <v>0</v>
      </c>
    </row>
    <row r="276" spans="1:14">
      <c r="A276" s="1892">
        <v>4</v>
      </c>
      <c r="B276" s="1893" t="s">
        <v>279</v>
      </c>
      <c r="C276" s="1894"/>
      <c r="D276" s="1888">
        <f t="shared" si="19"/>
        <v>324940</v>
      </c>
      <c r="E276" s="1863"/>
      <c r="F276" s="1863">
        <v>17438</v>
      </c>
      <c r="G276" s="1864">
        <v>307502</v>
      </c>
      <c r="H276" s="1872">
        <v>0</v>
      </c>
      <c r="I276" s="1895">
        <v>0</v>
      </c>
      <c r="J276" s="1896">
        <f t="shared" si="20"/>
        <v>307502</v>
      </c>
      <c r="K276" s="1863"/>
      <c r="L276" s="1868"/>
      <c r="M276" s="1897"/>
      <c r="N276" s="1889">
        <f t="shared" si="21"/>
        <v>0</v>
      </c>
    </row>
    <row r="277" spans="1:14">
      <c r="A277" s="1892">
        <v>5</v>
      </c>
      <c r="B277" s="1893" t="s">
        <v>280</v>
      </c>
      <c r="C277" s="1898">
        <v>5</v>
      </c>
      <c r="D277" s="1888">
        <f t="shared" si="19"/>
        <v>811332</v>
      </c>
      <c r="E277" s="1863"/>
      <c r="F277" s="1863">
        <v>301682</v>
      </c>
      <c r="G277" s="1864">
        <v>277674</v>
      </c>
      <c r="H277" s="1872">
        <v>231976</v>
      </c>
      <c r="I277" s="1895">
        <v>0</v>
      </c>
      <c r="J277" s="1896">
        <f t="shared" si="20"/>
        <v>509650</v>
      </c>
      <c r="K277" s="1863"/>
      <c r="L277" s="1868"/>
      <c r="M277" s="1897"/>
      <c r="N277" s="1889">
        <f t="shared" si="21"/>
        <v>0</v>
      </c>
    </row>
    <row r="278" spans="1:14">
      <c r="A278" s="1892">
        <v>6</v>
      </c>
      <c r="B278" s="1893" t="s">
        <v>281</v>
      </c>
      <c r="C278" s="1894">
        <v>6</v>
      </c>
      <c r="D278" s="1888">
        <f t="shared" si="19"/>
        <v>0</v>
      </c>
      <c r="E278" s="1863"/>
      <c r="F278" s="1863"/>
      <c r="G278" s="1864"/>
      <c r="H278" s="1872"/>
      <c r="I278" s="1895"/>
      <c r="J278" s="1896">
        <f t="shared" si="20"/>
        <v>0</v>
      </c>
      <c r="K278" s="1863"/>
      <c r="L278" s="1868"/>
      <c r="M278" s="1897"/>
      <c r="N278" s="1889">
        <f t="shared" si="21"/>
        <v>0</v>
      </c>
    </row>
    <row r="279" spans="1:14">
      <c r="A279" s="1892">
        <v>7</v>
      </c>
      <c r="B279" s="1893" t="s">
        <v>282</v>
      </c>
      <c r="C279" s="1898">
        <v>7</v>
      </c>
      <c r="D279" s="1888">
        <f t="shared" si="19"/>
        <v>0</v>
      </c>
      <c r="E279" s="1863"/>
      <c r="F279" s="1863"/>
      <c r="G279" s="1863"/>
      <c r="H279" s="1868"/>
      <c r="I279" s="1895"/>
      <c r="J279" s="1896">
        <f t="shared" si="20"/>
        <v>0</v>
      </c>
      <c r="K279" s="1863">
        <f>K280+K281</f>
        <v>0</v>
      </c>
      <c r="L279" s="1868">
        <f>L280+L281</f>
        <v>0</v>
      </c>
      <c r="M279" s="1897">
        <f>M280+M281</f>
        <v>0</v>
      </c>
      <c r="N279" s="1889">
        <f t="shared" si="21"/>
        <v>0</v>
      </c>
    </row>
    <row r="280" spans="1:14">
      <c r="A280" s="1894"/>
      <c r="B280" s="1899" t="s">
        <v>283</v>
      </c>
      <c r="C280" s="1898"/>
      <c r="D280" s="1888">
        <f t="shared" si="19"/>
        <v>0</v>
      </c>
      <c r="E280" s="1863"/>
      <c r="F280" s="1863"/>
      <c r="G280" s="1863"/>
      <c r="H280" s="1868"/>
      <c r="I280" s="1895"/>
      <c r="J280" s="1896">
        <f t="shared" si="20"/>
        <v>0</v>
      </c>
      <c r="K280" s="1863"/>
      <c r="L280" s="1868"/>
      <c r="M280" s="1897"/>
      <c r="N280" s="1889">
        <f t="shared" si="21"/>
        <v>0</v>
      </c>
    </row>
    <row r="281" spans="1:14">
      <c r="A281" s="1894"/>
      <c r="B281" s="1899" t="s">
        <v>284</v>
      </c>
      <c r="C281" s="1898"/>
      <c r="D281" s="1888">
        <f t="shared" si="19"/>
        <v>0</v>
      </c>
      <c r="E281" s="1863"/>
      <c r="F281" s="1863"/>
      <c r="G281" s="1863"/>
      <c r="H281" s="1868"/>
      <c r="I281" s="1895"/>
      <c r="J281" s="1896">
        <f t="shared" si="20"/>
        <v>0</v>
      </c>
      <c r="K281" s="1863"/>
      <c r="L281" s="1868"/>
      <c r="M281" s="1897"/>
      <c r="N281" s="1889">
        <f t="shared" si="21"/>
        <v>0</v>
      </c>
    </row>
    <row r="282" spans="1:14">
      <c r="A282" s="1892">
        <v>8</v>
      </c>
      <c r="B282" s="1893" t="s">
        <v>285</v>
      </c>
      <c r="C282" s="1894">
        <v>8</v>
      </c>
      <c r="D282" s="1888">
        <f t="shared" si="19"/>
        <v>0</v>
      </c>
      <c r="E282" s="1863"/>
      <c r="F282" s="1863">
        <f>F283+F284</f>
        <v>0</v>
      </c>
      <c r="G282" s="1863">
        <f>G283+G284</f>
        <v>0</v>
      </c>
      <c r="H282" s="1868">
        <f>H283+H284</f>
        <v>0</v>
      </c>
      <c r="I282" s="1895">
        <f>I283+I284</f>
        <v>0</v>
      </c>
      <c r="J282" s="1896">
        <f t="shared" si="20"/>
        <v>0</v>
      </c>
      <c r="K282" s="1863">
        <f>K283+K284</f>
        <v>0</v>
      </c>
      <c r="L282" s="1868">
        <f>L283+L284</f>
        <v>0</v>
      </c>
      <c r="M282" s="1897">
        <f>M283+M284</f>
        <v>0</v>
      </c>
      <c r="N282" s="1889">
        <f t="shared" si="21"/>
        <v>0</v>
      </c>
    </row>
    <row r="283" spans="1:14">
      <c r="A283" s="1892"/>
      <c r="B283" s="1899" t="s">
        <v>286</v>
      </c>
      <c r="C283" s="1894"/>
      <c r="D283" s="1888">
        <f t="shared" si="19"/>
        <v>0</v>
      </c>
      <c r="E283" s="1863"/>
      <c r="F283" s="1863"/>
      <c r="G283" s="1864"/>
      <c r="H283" s="1872"/>
      <c r="I283" s="1895"/>
      <c r="J283" s="1896">
        <f t="shared" si="20"/>
        <v>0</v>
      </c>
      <c r="K283" s="1863"/>
      <c r="L283" s="1900"/>
      <c r="M283" s="1897"/>
      <c r="N283" s="1889">
        <f t="shared" si="21"/>
        <v>0</v>
      </c>
    </row>
    <row r="284" spans="1:14">
      <c r="A284" s="1892"/>
      <c r="B284" s="1899" t="s">
        <v>287</v>
      </c>
      <c r="C284" s="1894"/>
      <c r="D284" s="1888">
        <f t="shared" si="19"/>
        <v>0</v>
      </c>
      <c r="E284" s="1863"/>
      <c r="F284" s="1863"/>
      <c r="G284" s="1863"/>
      <c r="H284" s="1868"/>
      <c r="I284" s="1895"/>
      <c r="J284" s="1896">
        <f t="shared" si="20"/>
        <v>0</v>
      </c>
      <c r="K284" s="1868"/>
      <c r="L284" s="1051"/>
      <c r="M284" s="1901"/>
      <c r="N284" s="1889">
        <f t="shared" si="21"/>
        <v>0</v>
      </c>
    </row>
    <row r="285" spans="1:14" ht="27">
      <c r="A285" s="1902">
        <v>9</v>
      </c>
      <c r="B285" s="1903" t="s">
        <v>288</v>
      </c>
      <c r="C285" s="1904"/>
      <c r="D285" s="1905">
        <f t="shared" si="19"/>
        <v>42599855</v>
      </c>
      <c r="E285" s="1906">
        <f>SUM(E286:E289)</f>
        <v>0</v>
      </c>
      <c r="F285" s="1906">
        <f>SUM(F286:F289)</f>
        <v>12350013</v>
      </c>
      <c r="G285" s="1906">
        <f>SUM(G286:G289)</f>
        <v>8746815</v>
      </c>
      <c r="H285" s="1879">
        <f>SUM(H286:H289)</f>
        <v>19288474</v>
      </c>
      <c r="I285" s="1876">
        <f>SUM(I286:I289)</f>
        <v>2214553</v>
      </c>
      <c r="J285" s="1907">
        <f t="shared" si="20"/>
        <v>30249842</v>
      </c>
      <c r="K285" s="1879">
        <f>SUM(K286:K289)</f>
        <v>0</v>
      </c>
      <c r="L285" s="1063">
        <f>SUM(L286:L289)</f>
        <v>0</v>
      </c>
      <c r="M285" s="1064">
        <f>SUM(M286:M289)</f>
        <v>0</v>
      </c>
      <c r="N285" s="1908">
        <f t="shared" si="21"/>
        <v>0</v>
      </c>
    </row>
    <row r="286" spans="1:14">
      <c r="A286" s="1894">
        <v>10</v>
      </c>
      <c r="B286" s="1909" t="s">
        <v>289</v>
      </c>
      <c r="C286" s="1894">
        <v>9</v>
      </c>
      <c r="D286" s="1888">
        <f t="shared" si="19"/>
        <v>0</v>
      </c>
      <c r="E286" s="1863"/>
      <c r="F286" s="1863"/>
      <c r="G286" s="1864"/>
      <c r="H286" s="1872"/>
      <c r="I286" s="1895"/>
      <c r="J286" s="1896">
        <f t="shared" si="20"/>
        <v>0</v>
      </c>
      <c r="K286" s="1865"/>
      <c r="L286" s="1910"/>
      <c r="M286" s="1911"/>
      <c r="N286" s="1889">
        <f t="shared" si="21"/>
        <v>0</v>
      </c>
    </row>
    <row r="287" spans="1:14">
      <c r="A287" s="1894">
        <v>11</v>
      </c>
      <c r="B287" s="1909" t="s">
        <v>290</v>
      </c>
      <c r="C287" s="1894">
        <v>10</v>
      </c>
      <c r="D287" s="1888">
        <f t="shared" si="19"/>
        <v>37065567</v>
      </c>
      <c r="E287" s="1863"/>
      <c r="F287" s="1863">
        <v>10929881</v>
      </c>
      <c r="G287" s="1864">
        <v>7252872</v>
      </c>
      <c r="H287" s="1864">
        <v>16727990</v>
      </c>
      <c r="I287" s="1910">
        <v>2154824</v>
      </c>
      <c r="J287" s="1896">
        <f t="shared" si="20"/>
        <v>26135686</v>
      </c>
      <c r="K287" s="1865"/>
      <c r="L287" s="1910"/>
      <c r="M287" s="1911"/>
      <c r="N287" s="1889">
        <f t="shared" si="21"/>
        <v>0</v>
      </c>
    </row>
    <row r="288" spans="1:14">
      <c r="A288" s="1894">
        <v>12</v>
      </c>
      <c r="B288" s="1909" t="s">
        <v>291</v>
      </c>
      <c r="C288" s="1894">
        <v>11</v>
      </c>
      <c r="D288" s="1888">
        <f t="shared" si="19"/>
        <v>2082779</v>
      </c>
      <c r="E288" s="1863"/>
      <c r="F288" s="1863">
        <v>814901</v>
      </c>
      <c r="G288" s="1864">
        <v>1090617</v>
      </c>
      <c r="H288" s="1042">
        <v>177261</v>
      </c>
      <c r="I288" s="1864"/>
      <c r="J288" s="1896">
        <f t="shared" si="20"/>
        <v>1267878</v>
      </c>
      <c r="K288" s="1865"/>
      <c r="L288" s="1910"/>
      <c r="M288" s="1053"/>
      <c r="N288" s="1889">
        <f t="shared" si="21"/>
        <v>0</v>
      </c>
    </row>
    <row r="289" spans="1:42" ht="27">
      <c r="A289" s="1894">
        <v>13</v>
      </c>
      <c r="B289" s="1909" t="s">
        <v>292</v>
      </c>
      <c r="C289" s="1894">
        <v>12</v>
      </c>
      <c r="D289" s="1888">
        <f t="shared" si="19"/>
        <v>3451509</v>
      </c>
      <c r="E289" s="1863"/>
      <c r="F289" s="1863">
        <v>605231</v>
      </c>
      <c r="G289" s="1864">
        <v>403326</v>
      </c>
      <c r="H289" s="1042">
        <v>2383223</v>
      </c>
      <c r="I289" s="1910">
        <v>59729</v>
      </c>
      <c r="J289" s="1896">
        <f t="shared" si="20"/>
        <v>2846278</v>
      </c>
      <c r="K289" s="1865"/>
      <c r="L289" s="1912"/>
      <c r="M289" s="1911"/>
      <c r="N289" s="1889">
        <f t="shared" si="21"/>
        <v>0</v>
      </c>
    </row>
    <row r="290" spans="1:42">
      <c r="A290" s="1894">
        <v>14</v>
      </c>
      <c r="B290" s="1893" t="s">
        <v>293</v>
      </c>
      <c r="C290" s="1894">
        <v>13</v>
      </c>
      <c r="D290" s="1888">
        <f t="shared" si="19"/>
        <v>265060</v>
      </c>
      <c r="E290" s="1863"/>
      <c r="F290" s="1863">
        <v>0</v>
      </c>
      <c r="G290" s="1864">
        <v>263859</v>
      </c>
      <c r="H290" s="1872">
        <v>915</v>
      </c>
      <c r="I290" s="1895">
        <v>286</v>
      </c>
      <c r="J290" s="1896">
        <f t="shared" si="20"/>
        <v>265060</v>
      </c>
      <c r="K290" s="1864"/>
      <c r="L290" s="1054"/>
      <c r="M290" s="1911"/>
      <c r="N290" s="1889">
        <f t="shared" si="21"/>
        <v>0</v>
      </c>
    </row>
    <row r="291" spans="1:42">
      <c r="A291" s="1894">
        <v>15</v>
      </c>
      <c r="B291" s="1893" t="s">
        <v>294</v>
      </c>
      <c r="C291" s="1898">
        <v>14</v>
      </c>
      <c r="D291" s="1888">
        <f t="shared" si="19"/>
        <v>568379</v>
      </c>
      <c r="E291" s="1863"/>
      <c r="F291" s="1863">
        <v>0</v>
      </c>
      <c r="G291" s="1864">
        <v>27623</v>
      </c>
      <c r="H291" s="1872">
        <v>535802</v>
      </c>
      <c r="I291" s="1872">
        <v>4954</v>
      </c>
      <c r="J291" s="1896">
        <f t="shared" si="20"/>
        <v>568379</v>
      </c>
      <c r="K291" s="1864"/>
      <c r="L291" s="1913"/>
      <c r="M291" s="1911"/>
      <c r="N291" s="1889">
        <f t="shared" si="21"/>
        <v>0</v>
      </c>
    </row>
    <row r="292" spans="1:42">
      <c r="A292" s="1894">
        <v>16</v>
      </c>
      <c r="B292" s="1893" t="s">
        <v>295</v>
      </c>
      <c r="C292" s="1894">
        <v>15</v>
      </c>
      <c r="D292" s="1888">
        <f t="shared" si="19"/>
        <v>1763388</v>
      </c>
      <c r="E292" s="1863"/>
      <c r="F292" s="1863">
        <v>0</v>
      </c>
      <c r="G292" s="1864">
        <v>100750</v>
      </c>
      <c r="H292" s="1035">
        <v>1662638</v>
      </c>
      <c r="I292" s="1035"/>
      <c r="J292" s="1896">
        <f t="shared" si="20"/>
        <v>1763388</v>
      </c>
      <c r="K292" s="1864"/>
      <c r="L292" s="1913"/>
      <c r="M292" s="1055"/>
      <c r="N292" s="1889">
        <f t="shared" si="21"/>
        <v>0</v>
      </c>
    </row>
    <row r="293" spans="1:42">
      <c r="A293" s="1894">
        <v>17</v>
      </c>
      <c r="B293" s="1893" t="s">
        <v>296</v>
      </c>
      <c r="C293" s="1898">
        <v>16</v>
      </c>
      <c r="D293" s="1888">
        <f t="shared" si="19"/>
        <v>1172879</v>
      </c>
      <c r="E293" s="1863"/>
      <c r="F293" s="1863">
        <v>172267</v>
      </c>
      <c r="G293" s="1864">
        <v>17405</v>
      </c>
      <c r="H293" s="1042">
        <v>983167</v>
      </c>
      <c r="I293" s="1042">
        <v>40</v>
      </c>
      <c r="J293" s="1896">
        <f t="shared" si="20"/>
        <v>1000612</v>
      </c>
      <c r="K293" s="1864"/>
      <c r="L293" s="1865"/>
      <c r="M293" s="1056"/>
      <c r="N293" s="1889">
        <f t="shared" si="21"/>
        <v>0</v>
      </c>
    </row>
    <row r="294" spans="1:42">
      <c r="A294" s="1894">
        <v>18</v>
      </c>
      <c r="B294" s="1893" t="s">
        <v>297</v>
      </c>
      <c r="C294" s="1894"/>
      <c r="D294" s="1888">
        <f t="shared" si="19"/>
        <v>0</v>
      </c>
      <c r="E294" s="1863"/>
      <c r="F294" s="1032">
        <v>0</v>
      </c>
      <c r="G294" s="1864">
        <v>0</v>
      </c>
      <c r="H294" s="1035">
        <v>0</v>
      </c>
      <c r="I294" s="1035"/>
      <c r="J294" s="1896">
        <f t="shared" si="20"/>
        <v>0</v>
      </c>
      <c r="K294" s="1864"/>
      <c r="L294" s="1913"/>
      <c r="M294" s="1057"/>
      <c r="N294" s="1889">
        <f t="shared" si="21"/>
        <v>0</v>
      </c>
    </row>
    <row r="295" spans="1:42" ht="15" thickBot="1">
      <c r="A295" s="1914">
        <v>19</v>
      </c>
      <c r="B295" s="1915" t="s">
        <v>298</v>
      </c>
      <c r="C295" s="1914"/>
      <c r="D295" s="3117">
        <f t="shared" si="19"/>
        <v>739944</v>
      </c>
      <c r="E295" s="3114"/>
      <c r="F295" s="1036">
        <v>5311</v>
      </c>
      <c r="G295" s="3116">
        <v>3253</v>
      </c>
      <c r="H295" s="1885">
        <v>1145804</v>
      </c>
      <c r="I295" s="1058">
        <v>-414424</v>
      </c>
      <c r="J295" s="1916">
        <f t="shared" si="20"/>
        <v>734633</v>
      </c>
      <c r="K295" s="3116"/>
      <c r="L295" s="1917"/>
      <c r="M295" s="1056"/>
      <c r="N295" s="3118">
        <f t="shared" si="21"/>
        <v>0</v>
      </c>
    </row>
    <row r="296" spans="1:42" s="870" customFormat="1" ht="27" thickBot="1">
      <c r="A296" s="1191">
        <v>20</v>
      </c>
      <c r="B296" s="1139" t="s">
        <v>299</v>
      </c>
      <c r="C296" s="1191"/>
      <c r="D296" s="1163">
        <f t="shared" si="19"/>
        <v>48248343</v>
      </c>
      <c r="E296" s="1163">
        <f>SUM(E273:E279)+E282+E285+SUM(E290:E295)</f>
        <v>0</v>
      </c>
      <c r="F296" s="1163">
        <f>SUM(F273:F279)+F282+F285+SUM(F290:F295)</f>
        <v>12849277</v>
      </c>
      <c r="G296" s="1163">
        <f>SUM(G273:G279)+G282+G285+SUM(G290:G295)</f>
        <v>9744881</v>
      </c>
      <c r="H296" s="1164">
        <f>SUM(H273:H279)+H282+H285+SUM(H290:H295)</f>
        <v>23848776</v>
      </c>
      <c r="I296" s="1192">
        <f>SUM(I273:I279)+I282+I285+SUM(I290:I295)</f>
        <v>1805409</v>
      </c>
      <c r="J296" s="1193">
        <f t="shared" si="20"/>
        <v>35399066</v>
      </c>
      <c r="K296" s="1163">
        <f>SUM(K273:K279)+K282+K285+SUM(K290:K295)</f>
        <v>0</v>
      </c>
      <c r="L296" s="1164">
        <f>SUM(L273:L279)+L282+L285+SUM(L290:L295)</f>
        <v>0</v>
      </c>
      <c r="M296" s="1193">
        <f>SUM(M273:M279)+M282+M285+SUM(M290:M295)</f>
        <v>0</v>
      </c>
      <c r="N296" s="1163">
        <f t="shared" si="21"/>
        <v>0</v>
      </c>
      <c r="O296"/>
      <c r="P296"/>
      <c r="Q296"/>
      <c r="R296"/>
      <c r="S296"/>
      <c r="T296"/>
      <c r="U296"/>
      <c r="V296"/>
      <c r="W296"/>
      <c r="X296"/>
      <c r="Y296"/>
      <c r="Z296"/>
      <c r="AA296"/>
      <c r="AB296"/>
      <c r="AC296"/>
      <c r="AD296"/>
      <c r="AE296"/>
      <c r="AF296"/>
      <c r="AG296"/>
      <c r="AH296"/>
      <c r="AI296"/>
      <c r="AJ296"/>
      <c r="AK296" s="2976"/>
      <c r="AL296" s="2976"/>
      <c r="AM296" s="2976"/>
      <c r="AN296" s="2976"/>
      <c r="AO296" s="2976"/>
      <c r="AP296" s="2976"/>
    </row>
    <row r="297" spans="1:42">
      <c r="A297" s="1183"/>
      <c r="B297" s="1184" t="s">
        <v>300</v>
      </c>
      <c r="C297" s="1183"/>
      <c r="D297" s="1172">
        <f t="shared" si="19"/>
        <v>0</v>
      </c>
      <c r="E297" s="1032"/>
      <c r="F297" s="1032"/>
      <c r="G297" s="1042"/>
      <c r="H297" s="1035"/>
      <c r="I297" s="1059"/>
      <c r="J297" s="1190">
        <f t="shared" si="20"/>
        <v>0</v>
      </c>
      <c r="K297" s="1042"/>
      <c r="L297" s="1054"/>
      <c r="M297" s="1053"/>
      <c r="N297" s="1177">
        <f t="shared" si="21"/>
        <v>0</v>
      </c>
    </row>
    <row r="298" spans="1:42">
      <c r="A298" s="1894"/>
      <c r="B298" s="1918" t="s">
        <v>301</v>
      </c>
      <c r="C298" s="1894"/>
      <c r="D298" s="1888">
        <f t="shared" si="19"/>
        <v>0</v>
      </c>
      <c r="E298" s="1863"/>
      <c r="F298" s="1863"/>
      <c r="G298" s="1864"/>
      <c r="H298" s="1872"/>
      <c r="I298" s="1895"/>
      <c r="J298" s="1896">
        <f t="shared" si="20"/>
        <v>0</v>
      </c>
      <c r="K298" s="1864"/>
      <c r="L298" s="1913"/>
      <c r="M298" s="1911"/>
      <c r="N298" s="1889">
        <f t="shared" si="21"/>
        <v>0</v>
      </c>
    </row>
    <row r="299" spans="1:42">
      <c r="A299" s="1894">
        <v>21</v>
      </c>
      <c r="B299" s="1893" t="s">
        <v>302</v>
      </c>
      <c r="C299" s="1898">
        <v>17</v>
      </c>
      <c r="D299" s="1888">
        <f t="shared" si="19"/>
        <v>24468698</v>
      </c>
      <c r="E299" s="1863"/>
      <c r="F299" s="1863">
        <v>0</v>
      </c>
      <c r="G299" s="1864">
        <v>10210732</v>
      </c>
      <c r="H299" s="1872">
        <v>11402057</v>
      </c>
      <c r="I299" s="1872">
        <v>2855909</v>
      </c>
      <c r="J299" s="1896">
        <f t="shared" si="20"/>
        <v>24468698</v>
      </c>
      <c r="K299" s="1864"/>
      <c r="L299" s="1913"/>
      <c r="M299" s="1911"/>
      <c r="N299" s="1889">
        <f t="shared" si="21"/>
        <v>0</v>
      </c>
    </row>
    <row r="300" spans="1:42">
      <c r="A300" s="1894">
        <v>22</v>
      </c>
      <c r="B300" s="1893" t="s">
        <v>303</v>
      </c>
      <c r="C300" s="1894"/>
      <c r="D300" s="1888">
        <f t="shared" si="19"/>
        <v>208959</v>
      </c>
      <c r="E300" s="1863"/>
      <c r="F300" s="1863">
        <v>0</v>
      </c>
      <c r="G300" s="1864">
        <v>0</v>
      </c>
      <c r="H300" s="1035">
        <v>208959</v>
      </c>
      <c r="I300" s="1895">
        <v>0</v>
      </c>
      <c r="J300" s="1896">
        <f t="shared" si="20"/>
        <v>208959</v>
      </c>
      <c r="K300" s="1864"/>
      <c r="L300" s="1913"/>
      <c r="M300" s="1053"/>
      <c r="N300" s="1889">
        <f t="shared" si="21"/>
        <v>0</v>
      </c>
    </row>
    <row r="301" spans="1:42">
      <c r="A301" s="1894">
        <v>23</v>
      </c>
      <c r="B301" s="1893" t="s">
        <v>304</v>
      </c>
      <c r="C301" s="1894">
        <v>18</v>
      </c>
      <c r="D301" s="1888">
        <f t="shared" si="19"/>
        <v>2246237</v>
      </c>
      <c r="E301" s="1863"/>
      <c r="F301" s="1863">
        <v>0</v>
      </c>
      <c r="G301" s="1864">
        <v>48001</v>
      </c>
      <c r="H301" s="1035">
        <v>2198236</v>
      </c>
      <c r="I301" s="1872">
        <v>0</v>
      </c>
      <c r="J301" s="1896">
        <f t="shared" si="20"/>
        <v>2246237</v>
      </c>
      <c r="K301" s="1864"/>
      <c r="L301" s="1913"/>
      <c r="M301" s="1053"/>
      <c r="N301" s="1889">
        <f t="shared" si="21"/>
        <v>0</v>
      </c>
    </row>
    <row r="302" spans="1:42">
      <c r="A302" s="1894">
        <v>24</v>
      </c>
      <c r="B302" s="1893" t="s">
        <v>305</v>
      </c>
      <c r="C302" s="1894"/>
      <c r="D302" s="1888">
        <f t="shared" si="19"/>
        <v>0</v>
      </c>
      <c r="E302" s="1863"/>
      <c r="F302" s="1863"/>
      <c r="G302" s="1864">
        <v>0</v>
      </c>
      <c r="H302" s="1035">
        <v>0</v>
      </c>
      <c r="I302" s="1035"/>
      <c r="J302" s="1896">
        <f t="shared" si="20"/>
        <v>0</v>
      </c>
      <c r="K302" s="1864"/>
      <c r="L302" s="1913"/>
      <c r="M302" s="1053"/>
      <c r="N302" s="1889">
        <f t="shared" si="21"/>
        <v>0</v>
      </c>
    </row>
    <row r="303" spans="1:42">
      <c r="A303" s="1894">
        <v>25</v>
      </c>
      <c r="B303" s="1919" t="s">
        <v>306</v>
      </c>
      <c r="C303" s="1894"/>
      <c r="D303" s="1888">
        <f t="shared" si="19"/>
        <v>5952236</v>
      </c>
      <c r="E303" s="1863"/>
      <c r="F303" s="1863">
        <v>5643918</v>
      </c>
      <c r="G303" s="1864">
        <v>0</v>
      </c>
      <c r="H303" s="1035">
        <v>308318</v>
      </c>
      <c r="I303" s="1895"/>
      <c r="J303" s="1896">
        <f t="shared" si="20"/>
        <v>308318</v>
      </c>
      <c r="K303" s="1864"/>
      <c r="L303" s="1913"/>
      <c r="M303" s="1053"/>
      <c r="N303" s="1889">
        <f t="shared" si="21"/>
        <v>0</v>
      </c>
    </row>
    <row r="304" spans="1:42" ht="15" thickBot="1">
      <c r="A304" s="1914">
        <v>26</v>
      </c>
      <c r="B304" s="1915" t="s">
        <v>307</v>
      </c>
      <c r="C304" s="1920">
        <v>19</v>
      </c>
      <c r="D304" s="3117">
        <f t="shared" si="19"/>
        <v>4499289</v>
      </c>
      <c r="E304" s="3114"/>
      <c r="F304" s="3114">
        <v>-4809555</v>
      </c>
      <c r="G304" s="3116">
        <v>577736</v>
      </c>
      <c r="H304" s="1060">
        <v>9781608</v>
      </c>
      <c r="I304" s="1921">
        <v>-1050500</v>
      </c>
      <c r="J304" s="1916">
        <f t="shared" si="20"/>
        <v>9308844</v>
      </c>
      <c r="K304" s="3116"/>
      <c r="L304" s="1065"/>
      <c r="M304" s="1056"/>
      <c r="N304" s="3118">
        <f t="shared" si="21"/>
        <v>0</v>
      </c>
    </row>
    <row r="305" spans="1:42" s="870" customFormat="1" ht="15" thickBot="1">
      <c r="A305" s="1185">
        <v>27</v>
      </c>
      <c r="B305" s="1136" t="s">
        <v>308</v>
      </c>
      <c r="C305" s="1185"/>
      <c r="D305" s="1173">
        <f t="shared" si="19"/>
        <v>37375419</v>
      </c>
      <c r="E305" s="1041">
        <f>SUM(E299:E304)</f>
        <v>0</v>
      </c>
      <c r="F305" s="1041">
        <f>SUM(F299:F304)</f>
        <v>834363</v>
      </c>
      <c r="G305" s="1041">
        <f>SUM(G299:G304)</f>
        <v>10836469</v>
      </c>
      <c r="H305" s="1045">
        <f>SUM(H299:H304)</f>
        <v>23899178</v>
      </c>
      <c r="I305" s="1067">
        <f>SUM(I299:I304)</f>
        <v>1805409</v>
      </c>
      <c r="J305" s="1189">
        <f t="shared" si="20"/>
        <v>36541056</v>
      </c>
      <c r="K305" s="1039">
        <f>SUM(K299:K304)</f>
        <v>0</v>
      </c>
      <c r="L305" s="1045">
        <f>SUM(L299:L304)</f>
        <v>0</v>
      </c>
      <c r="M305" s="1068">
        <f>SUM(M299:M304)</f>
        <v>0</v>
      </c>
      <c r="N305" s="1176">
        <f t="shared" si="21"/>
        <v>0</v>
      </c>
      <c r="O305"/>
      <c r="P305"/>
      <c r="Q305"/>
      <c r="R305"/>
      <c r="S305"/>
      <c r="T305"/>
      <c r="U305"/>
      <c r="V305"/>
      <c r="W305"/>
      <c r="X305"/>
      <c r="Y305"/>
      <c r="Z305"/>
      <c r="AA305"/>
      <c r="AB305"/>
      <c r="AC305"/>
      <c r="AD305"/>
      <c r="AE305"/>
      <c r="AF305"/>
      <c r="AG305"/>
      <c r="AH305"/>
      <c r="AI305"/>
      <c r="AJ305"/>
      <c r="AK305" s="2976"/>
      <c r="AL305" s="2976"/>
      <c r="AM305" s="2976"/>
      <c r="AN305" s="2976"/>
      <c r="AO305" s="2976"/>
      <c r="AP305" s="2976"/>
    </row>
    <row r="306" spans="1:42">
      <c r="A306" s="1183"/>
      <c r="B306" s="1184" t="s">
        <v>309</v>
      </c>
      <c r="C306" s="1183">
        <v>20</v>
      </c>
      <c r="D306" s="1172">
        <f t="shared" si="19"/>
        <v>0</v>
      </c>
      <c r="E306" s="1032"/>
      <c r="F306" s="1032"/>
      <c r="G306" s="1042"/>
      <c r="H306" s="1035"/>
      <c r="I306" s="1052"/>
      <c r="J306" s="1177">
        <f t="shared" si="20"/>
        <v>0</v>
      </c>
      <c r="K306" s="1042"/>
      <c r="L306" s="1054"/>
      <c r="M306" s="1053"/>
      <c r="N306" s="1177">
        <f t="shared" si="21"/>
        <v>0</v>
      </c>
    </row>
    <row r="307" spans="1:42">
      <c r="A307" s="1894">
        <v>28</v>
      </c>
      <c r="B307" s="1893" t="s">
        <v>310</v>
      </c>
      <c r="C307" s="1898"/>
      <c r="D307" s="1888">
        <f t="shared" si="19"/>
        <v>1062500</v>
      </c>
      <c r="E307" s="1863"/>
      <c r="F307" s="1863">
        <v>1062500</v>
      </c>
      <c r="G307" s="1864">
        <v>0</v>
      </c>
      <c r="H307" s="1872">
        <v>0</v>
      </c>
      <c r="I307" s="1897">
        <v>0</v>
      </c>
      <c r="J307" s="1889">
        <f t="shared" si="20"/>
        <v>0</v>
      </c>
      <c r="K307" s="1864"/>
      <c r="L307" s="1913"/>
      <c r="M307" s="1911"/>
      <c r="N307" s="1889">
        <f t="shared" si="21"/>
        <v>0</v>
      </c>
    </row>
    <row r="308" spans="1:42">
      <c r="A308" s="1894">
        <v>29</v>
      </c>
      <c r="B308" s="1893" t="s">
        <v>311</v>
      </c>
      <c r="C308" s="1898"/>
      <c r="D308" s="1888">
        <f t="shared" si="19"/>
        <v>-3229988</v>
      </c>
      <c r="E308" s="1863"/>
      <c r="F308" s="1032">
        <v>-1969396</v>
      </c>
      <c r="G308" s="1864">
        <v>-1221321</v>
      </c>
      <c r="H308" s="1872">
        <v>-39271</v>
      </c>
      <c r="I308" s="1897">
        <v>0</v>
      </c>
      <c r="J308" s="1889">
        <f t="shared" si="20"/>
        <v>-1260592</v>
      </c>
      <c r="K308" s="1864"/>
      <c r="L308" s="1913"/>
      <c r="M308" s="1911"/>
      <c r="N308" s="1889">
        <f t="shared" si="21"/>
        <v>0</v>
      </c>
    </row>
    <row r="309" spans="1:42">
      <c r="A309" s="1894">
        <v>30</v>
      </c>
      <c r="B309" s="1915" t="s">
        <v>312</v>
      </c>
      <c r="C309" s="1920"/>
      <c r="D309" s="1888">
        <f t="shared" si="19"/>
        <v>129733</v>
      </c>
      <c r="E309" s="1863"/>
      <c r="F309" s="1036">
        <v>0</v>
      </c>
      <c r="G309" s="3116">
        <v>129733</v>
      </c>
      <c r="H309" s="1885">
        <v>0</v>
      </c>
      <c r="I309" s="1051">
        <v>0</v>
      </c>
      <c r="J309" s="1889">
        <f t="shared" si="20"/>
        <v>129733</v>
      </c>
      <c r="K309" s="1864"/>
      <c r="L309" s="1917"/>
      <c r="M309" s="1922"/>
      <c r="N309" s="1889">
        <f t="shared" si="21"/>
        <v>0</v>
      </c>
    </row>
    <row r="310" spans="1:42">
      <c r="A310" s="1894">
        <v>31</v>
      </c>
      <c r="B310" s="1915" t="s">
        <v>313</v>
      </c>
      <c r="C310" s="1920"/>
      <c r="D310" s="1888">
        <f t="shared" si="19"/>
        <v>798004</v>
      </c>
      <c r="E310" s="1863"/>
      <c r="F310" s="3114">
        <v>798004</v>
      </c>
      <c r="G310" s="3116">
        <v>0</v>
      </c>
      <c r="H310" s="1885">
        <v>0</v>
      </c>
      <c r="I310" s="1923">
        <v>0</v>
      </c>
      <c r="J310" s="1889">
        <f t="shared" si="20"/>
        <v>0</v>
      </c>
      <c r="K310" s="1864"/>
      <c r="L310" s="1917"/>
      <c r="M310" s="1922"/>
      <c r="N310" s="1889">
        <f t="shared" si="21"/>
        <v>0</v>
      </c>
    </row>
    <row r="311" spans="1:42" ht="15" thickBot="1">
      <c r="A311" s="1914">
        <v>32</v>
      </c>
      <c r="B311" s="1915" t="s">
        <v>314</v>
      </c>
      <c r="C311" s="1920"/>
      <c r="D311" s="1888">
        <f t="shared" si="19"/>
        <v>12112675</v>
      </c>
      <c r="E311" s="1863"/>
      <c r="F311" s="3114">
        <v>12123806</v>
      </c>
      <c r="G311" s="3116">
        <v>0</v>
      </c>
      <c r="H311" s="1885">
        <v>-11131</v>
      </c>
      <c r="I311" s="1923">
        <v>0</v>
      </c>
      <c r="J311" s="1889">
        <f t="shared" si="20"/>
        <v>-11131</v>
      </c>
      <c r="K311" s="1864"/>
      <c r="L311" s="1885"/>
      <c r="M311" s="1923"/>
      <c r="N311" s="1889">
        <f t="shared" si="21"/>
        <v>0</v>
      </c>
    </row>
    <row r="312" spans="1:42" s="870" customFormat="1" ht="15" thickBot="1">
      <c r="A312" s="1185">
        <v>33</v>
      </c>
      <c r="B312" s="1186" t="s">
        <v>315</v>
      </c>
      <c r="C312" s="1187"/>
      <c r="D312" s="1174">
        <f t="shared" si="19"/>
        <v>10872924</v>
      </c>
      <c r="E312" s="1046">
        <f>SUM(E307:E311)</f>
        <v>0</v>
      </c>
      <c r="F312" s="1046">
        <f>SUM(F307:F311)</f>
        <v>12014914</v>
      </c>
      <c r="G312" s="1046">
        <f>SUM(G307:G311)</f>
        <v>-1091588</v>
      </c>
      <c r="H312" s="1047">
        <f>SUM(H307:H311)</f>
        <v>-50402</v>
      </c>
      <c r="I312" s="1066">
        <f>SUM(I307:I311)</f>
        <v>0</v>
      </c>
      <c r="J312" s="1178">
        <f t="shared" si="20"/>
        <v>-1141990</v>
      </c>
      <c r="K312" s="1046">
        <f>SUM(K307:K311)</f>
        <v>0</v>
      </c>
      <c r="L312" s="1047">
        <f>SUM(L307:L311)</f>
        <v>0</v>
      </c>
      <c r="M312" s="1066">
        <f>SUM(M307:M311)</f>
        <v>0</v>
      </c>
      <c r="N312" s="1178">
        <f t="shared" si="21"/>
        <v>0</v>
      </c>
      <c r="O312"/>
      <c r="P312"/>
      <c r="Q312"/>
      <c r="R312"/>
      <c r="S312"/>
      <c r="T312"/>
      <c r="U312"/>
      <c r="V312"/>
      <c r="W312"/>
      <c r="X312"/>
      <c r="Y312"/>
      <c r="Z312"/>
      <c r="AA312"/>
      <c r="AB312"/>
      <c r="AC312"/>
      <c r="AD312"/>
      <c r="AE312"/>
      <c r="AF312"/>
      <c r="AG312"/>
      <c r="AH312"/>
      <c r="AI312"/>
      <c r="AJ312"/>
      <c r="AK312" s="2976"/>
      <c r="AL312" s="2976"/>
      <c r="AM312" s="2976"/>
      <c r="AN312" s="2976"/>
      <c r="AO312" s="2976"/>
      <c r="AP312" s="2976"/>
    </row>
    <row r="313" spans="1:42" s="870" customFormat="1" ht="27" thickBot="1">
      <c r="A313" s="1191">
        <v>34</v>
      </c>
      <c r="B313" s="1139" t="s">
        <v>317</v>
      </c>
      <c r="C313" s="1191"/>
      <c r="D313" s="1166">
        <f t="shared" si="19"/>
        <v>48248343</v>
      </c>
      <c r="E313" s="1166">
        <f>E312+E305</f>
        <v>0</v>
      </c>
      <c r="F313" s="1166">
        <f>F312+F305</f>
        <v>12849277</v>
      </c>
      <c r="G313" s="1166">
        <f>G312+G305</f>
        <v>9744881</v>
      </c>
      <c r="H313" s="1166">
        <f>H312+H305</f>
        <v>23848776</v>
      </c>
      <c r="I313" s="1166">
        <f>I312+I305</f>
        <v>1805409</v>
      </c>
      <c r="J313" s="1166">
        <f t="shared" si="20"/>
        <v>35399066</v>
      </c>
      <c r="K313" s="1166">
        <f>K312+K305</f>
        <v>0</v>
      </c>
      <c r="L313" s="1166">
        <f>L312+L305</f>
        <v>0</v>
      </c>
      <c r="M313" s="1166">
        <f>M312+M305</f>
        <v>0</v>
      </c>
      <c r="N313" s="1166">
        <f t="shared" si="21"/>
        <v>0</v>
      </c>
      <c r="O313"/>
      <c r="P313"/>
      <c r="Q313"/>
      <c r="R313"/>
      <c r="S313"/>
      <c r="T313"/>
      <c r="U313"/>
      <c r="V313"/>
      <c r="W313"/>
      <c r="X313"/>
      <c r="Y313"/>
      <c r="Z313"/>
      <c r="AA313"/>
      <c r="AB313"/>
      <c r="AC313"/>
      <c r="AD313"/>
      <c r="AE313"/>
      <c r="AF313"/>
      <c r="AG313"/>
      <c r="AH313"/>
      <c r="AI313"/>
      <c r="AJ313"/>
      <c r="AK313" s="2976"/>
      <c r="AL313" s="2976"/>
      <c r="AM313" s="2976"/>
      <c r="AN313" s="2976"/>
      <c r="AO313" s="2976"/>
      <c r="AP313" s="2976"/>
    </row>
    <row r="314" spans="1:42">
      <c r="B314"/>
      <c r="C314"/>
      <c r="D314"/>
      <c r="E314"/>
      <c r="F314"/>
      <c r="G314"/>
      <c r="H314"/>
      <c r="I314"/>
      <c r="J314"/>
      <c r="K314"/>
      <c r="L314"/>
      <c r="M314"/>
      <c r="N314"/>
    </row>
    <row r="315" spans="1:42">
      <c r="B315"/>
      <c r="C315"/>
      <c r="D315"/>
      <c r="E315"/>
      <c r="F315"/>
      <c r="G315"/>
      <c r="H315"/>
      <c r="I315"/>
      <c r="J315"/>
      <c r="K315"/>
      <c r="L315"/>
      <c r="M315"/>
      <c r="N315"/>
    </row>
    <row r="316" spans="1:42">
      <c r="B316"/>
      <c r="C316"/>
      <c r="D316"/>
      <c r="E316"/>
      <c r="F316"/>
      <c r="G316"/>
      <c r="H316"/>
      <c r="I316"/>
      <c r="J316"/>
      <c r="K316"/>
      <c r="L316"/>
      <c r="M316"/>
      <c r="N316"/>
    </row>
    <row r="319" spans="1:42" ht="15" thickBot="1"/>
    <row r="320" spans="1:42" ht="15" thickBot="1">
      <c r="A320" s="1153" t="s">
        <v>185</v>
      </c>
      <c r="B320" s="3303" t="s">
        <v>96</v>
      </c>
      <c r="C320" s="3304"/>
      <c r="D320" s="662"/>
      <c r="E320" s="662"/>
      <c r="F320" s="662"/>
      <c r="G320" s="662"/>
      <c r="H320" s="662"/>
      <c r="I320" s="662"/>
      <c r="J320" s="662"/>
      <c r="K320" s="662"/>
      <c r="L320" s="662"/>
      <c r="M320" s="3292"/>
      <c r="N320" s="3292" t="s">
        <v>257</v>
      </c>
    </row>
    <row r="321" spans="1:14" ht="13.5" customHeight="1" thickBot="1">
      <c r="A321" s="3293" t="s">
        <v>258</v>
      </c>
      <c r="B321" s="3298"/>
      <c r="C321" s="3280" t="s">
        <v>259</v>
      </c>
      <c r="D321" s="3283" t="s">
        <v>260</v>
      </c>
      <c r="E321" s="3283" t="s">
        <v>261</v>
      </c>
      <c r="F321" s="3283" t="s">
        <v>262</v>
      </c>
      <c r="G321" s="3286" t="s">
        <v>263</v>
      </c>
      <c r="H321" s="3287"/>
      <c r="I321" s="3287"/>
      <c r="J321" s="3287"/>
      <c r="K321" s="3287"/>
      <c r="L321" s="3287"/>
      <c r="M321" s="3287"/>
      <c r="N321" s="3288"/>
    </row>
    <row r="322" spans="1:14" ht="13.5" customHeight="1" thickBot="1">
      <c r="A322" s="3294"/>
      <c r="B322" s="3299"/>
      <c r="C322" s="3281"/>
      <c r="D322" s="3284"/>
      <c r="E322" s="3284"/>
      <c r="F322" s="3284"/>
      <c r="G322" s="3289" t="s">
        <v>264</v>
      </c>
      <c r="H322" s="3290"/>
      <c r="I322" s="3290"/>
      <c r="J322" s="3291"/>
      <c r="K322" s="3289" t="s">
        <v>265</v>
      </c>
      <c r="L322" s="3290"/>
      <c r="M322" s="3290"/>
      <c r="N322" s="3291"/>
    </row>
    <row r="323" spans="1:14" ht="40.15" thickBot="1">
      <c r="A323" s="3294"/>
      <c r="B323" s="3299"/>
      <c r="C323" s="3281"/>
      <c r="D323" s="3285"/>
      <c r="E323" s="3285"/>
      <c r="F323" s="3285"/>
      <c r="G323" s="1125" t="s">
        <v>267</v>
      </c>
      <c r="H323" s="1125" t="s">
        <v>268</v>
      </c>
      <c r="I323" s="1125" t="s">
        <v>269</v>
      </c>
      <c r="J323" s="1125" t="s">
        <v>160</v>
      </c>
      <c r="K323" s="1126" t="s">
        <v>270</v>
      </c>
      <c r="L323" s="1126" t="s">
        <v>271</v>
      </c>
      <c r="M323" s="1126" t="s">
        <v>272</v>
      </c>
      <c r="N323" s="2969" t="s">
        <v>160</v>
      </c>
    </row>
    <row r="324" spans="1:14" ht="15" thickBot="1">
      <c r="A324" s="3294"/>
      <c r="B324" s="3299"/>
      <c r="C324" s="3281"/>
      <c r="D324" s="1128">
        <v>1</v>
      </c>
      <c r="E324" s="3283">
        <v>2</v>
      </c>
      <c r="F324" s="3283">
        <v>3</v>
      </c>
      <c r="G324" s="3283">
        <v>4</v>
      </c>
      <c r="H324" s="3283">
        <v>5</v>
      </c>
      <c r="I324" s="3283">
        <v>6</v>
      </c>
      <c r="J324" s="2974">
        <v>7</v>
      </c>
      <c r="K324" s="3283">
        <v>8</v>
      </c>
      <c r="L324" s="3283">
        <v>9</v>
      </c>
      <c r="M324" s="3283">
        <v>10</v>
      </c>
      <c r="N324" s="1128">
        <v>11</v>
      </c>
    </row>
    <row r="325" spans="1:14" ht="15" thickBot="1">
      <c r="A325" s="3295"/>
      <c r="B325" s="3300"/>
      <c r="C325" s="3282"/>
      <c r="D325" s="1130"/>
      <c r="E325" s="3285"/>
      <c r="F325" s="3285"/>
      <c r="G325" s="3285"/>
      <c r="H325" s="3285"/>
      <c r="I325" s="3285"/>
      <c r="J325" s="1131" t="s">
        <v>273</v>
      </c>
      <c r="K325" s="3285"/>
      <c r="L325" s="3285"/>
      <c r="M325" s="3285"/>
      <c r="N325" s="1157" t="s">
        <v>274</v>
      </c>
    </row>
    <row r="326" spans="1:14">
      <c r="A326" s="1133"/>
      <c r="B326" s="1134" t="s">
        <v>275</v>
      </c>
      <c r="C326" s="1133"/>
      <c r="D326" s="1928"/>
      <c r="E326" s="1071"/>
      <c r="F326" s="1071"/>
      <c r="G326" s="1042"/>
      <c r="H326" s="1035"/>
      <c r="I326" s="1062"/>
      <c r="J326" s="1177"/>
      <c r="K326" s="1032"/>
      <c r="L326" s="1035"/>
      <c r="M326" s="1077"/>
      <c r="N326" s="1929"/>
    </row>
    <row r="327" spans="1:14">
      <c r="A327" s="1828">
        <v>1</v>
      </c>
      <c r="B327" s="1829" t="s">
        <v>276</v>
      </c>
      <c r="C327" s="1830"/>
      <c r="D327" s="1888">
        <f t="shared" ref="D327:D366" si="22">+E327+F327+J327+N327</f>
        <v>0</v>
      </c>
      <c r="E327" s="1863"/>
      <c r="F327" s="1863"/>
      <c r="G327" s="1864"/>
      <c r="H327" s="1872"/>
      <c r="I327" s="1897"/>
      <c r="J327" s="1889">
        <f t="shared" ref="J327:J367" si="23">G327+H327+I327</f>
        <v>0</v>
      </c>
      <c r="K327" s="1863"/>
      <c r="L327" s="1868"/>
      <c r="M327" s="1897"/>
      <c r="N327" s="1889">
        <f t="shared" ref="N327:N367" si="24">K327+L327+M327</f>
        <v>0</v>
      </c>
    </row>
    <row r="328" spans="1:14">
      <c r="A328" s="1828">
        <v>2</v>
      </c>
      <c r="B328" s="1829" t="s">
        <v>277</v>
      </c>
      <c r="C328" s="1830"/>
      <c r="D328" s="1888">
        <f t="shared" si="22"/>
        <v>317695.06968000007</v>
      </c>
      <c r="E328" s="1863"/>
      <c r="F328" s="1863">
        <v>317695.06968000007</v>
      </c>
      <c r="G328" s="1864">
        <v>0</v>
      </c>
      <c r="H328" s="1872">
        <v>0</v>
      </c>
      <c r="I328" s="1897">
        <v>0</v>
      </c>
      <c r="J328" s="1889">
        <f t="shared" si="23"/>
        <v>0</v>
      </c>
      <c r="K328" s="1863"/>
      <c r="L328" s="1868"/>
      <c r="M328" s="1897"/>
      <c r="N328" s="1889">
        <f t="shared" si="24"/>
        <v>0</v>
      </c>
    </row>
    <row r="329" spans="1:14">
      <c r="A329" s="1828">
        <v>3</v>
      </c>
      <c r="B329" s="1829" t="s">
        <v>278</v>
      </c>
      <c r="C329" s="1830"/>
      <c r="D329" s="1888">
        <f t="shared" si="22"/>
        <v>0</v>
      </c>
      <c r="E329" s="1863"/>
      <c r="F329" s="1032">
        <v>0</v>
      </c>
      <c r="G329" s="1864">
        <v>0</v>
      </c>
      <c r="H329" s="1872">
        <v>0</v>
      </c>
      <c r="I329" s="1897">
        <v>0</v>
      </c>
      <c r="J329" s="1889">
        <f t="shared" si="23"/>
        <v>0</v>
      </c>
      <c r="K329" s="1863"/>
      <c r="L329" s="1868"/>
      <c r="M329" s="1897"/>
      <c r="N329" s="1889">
        <f t="shared" si="24"/>
        <v>0</v>
      </c>
    </row>
    <row r="330" spans="1:14">
      <c r="A330" s="1828">
        <v>4</v>
      </c>
      <c r="B330" s="1829" t="s">
        <v>324</v>
      </c>
      <c r="C330" s="1830"/>
      <c r="D330" s="1888">
        <f t="shared" si="22"/>
        <v>195813.00899</v>
      </c>
      <c r="E330" s="1863"/>
      <c r="F330" s="1032">
        <v>0</v>
      </c>
      <c r="G330" s="1864">
        <v>195813.00899</v>
      </c>
      <c r="H330" s="1872">
        <v>0</v>
      </c>
      <c r="I330" s="1897">
        <v>0</v>
      </c>
      <c r="J330" s="1889">
        <f t="shared" si="23"/>
        <v>195813.00899</v>
      </c>
      <c r="K330" s="1863"/>
      <c r="L330" s="1868"/>
      <c r="M330" s="1897"/>
      <c r="N330" s="1889">
        <f t="shared" si="24"/>
        <v>0</v>
      </c>
    </row>
    <row r="331" spans="1:14">
      <c r="A331" s="1828">
        <v>5</v>
      </c>
      <c r="B331" s="1829" t="s">
        <v>280</v>
      </c>
      <c r="C331" s="1836">
        <v>5</v>
      </c>
      <c r="D331" s="1888">
        <f t="shared" si="22"/>
        <v>11835208.831239998</v>
      </c>
      <c r="E331" s="1863"/>
      <c r="F331" s="1032">
        <v>2840160.2757000001</v>
      </c>
      <c r="G331" s="1042">
        <v>8995048.5555399992</v>
      </c>
      <c r="H331" s="1872">
        <v>0</v>
      </c>
      <c r="I331" s="1897">
        <v>0</v>
      </c>
      <c r="J331" s="1889">
        <f t="shared" si="23"/>
        <v>8995048.5555399992</v>
      </c>
      <c r="K331" s="1863"/>
      <c r="L331" s="1868"/>
      <c r="M331" s="1897"/>
      <c r="N331" s="1889">
        <f t="shared" si="24"/>
        <v>0</v>
      </c>
    </row>
    <row r="332" spans="1:14">
      <c r="A332" s="1828">
        <v>6</v>
      </c>
      <c r="B332" s="1829" t="s">
        <v>281</v>
      </c>
      <c r="C332" s="1830">
        <v>6</v>
      </c>
      <c r="D332" s="1888">
        <f t="shared" si="22"/>
        <v>4268230.0017200001</v>
      </c>
      <c r="E332" s="1863"/>
      <c r="F332" s="1032">
        <v>2473480.0010599997</v>
      </c>
      <c r="G332" s="1042">
        <v>1794750.0006599999</v>
      </c>
      <c r="H332" s="1872">
        <v>0</v>
      </c>
      <c r="I332" s="1897">
        <v>0</v>
      </c>
      <c r="J332" s="1889">
        <f t="shared" si="23"/>
        <v>1794750.0006599999</v>
      </c>
      <c r="K332" s="1863"/>
      <c r="L332" s="1868"/>
      <c r="M332" s="1897"/>
      <c r="N332" s="1889">
        <f t="shared" si="24"/>
        <v>0</v>
      </c>
    </row>
    <row r="333" spans="1:14">
      <c r="A333" s="1828">
        <v>7</v>
      </c>
      <c r="B333" s="1829" t="s">
        <v>282</v>
      </c>
      <c r="C333" s="1836">
        <v>7</v>
      </c>
      <c r="D333" s="1888">
        <f t="shared" si="22"/>
        <v>1211000</v>
      </c>
      <c r="E333" s="1863">
        <f>+E334+E335</f>
        <v>0</v>
      </c>
      <c r="F333" s="1032">
        <f>+F334+F335</f>
        <v>1196000</v>
      </c>
      <c r="G333" s="1032">
        <f>+G334+G335</f>
        <v>15000</v>
      </c>
      <c r="H333" s="1868">
        <f>+H334+H335</f>
        <v>0</v>
      </c>
      <c r="I333" s="1897">
        <f>+I334+I335</f>
        <v>0</v>
      </c>
      <c r="J333" s="1889">
        <f>G333+H333+I333</f>
        <v>15000</v>
      </c>
      <c r="K333" s="1863">
        <f>K334+K335</f>
        <v>0</v>
      </c>
      <c r="L333" s="1868">
        <f>L334+L335</f>
        <v>0</v>
      </c>
      <c r="M333" s="1897">
        <f>M334+M335</f>
        <v>0</v>
      </c>
      <c r="N333" s="1889">
        <f t="shared" si="24"/>
        <v>0</v>
      </c>
    </row>
    <row r="334" spans="1:14">
      <c r="A334" s="1830"/>
      <c r="B334" s="1837" t="s">
        <v>283</v>
      </c>
      <c r="C334" s="1836"/>
      <c r="D334" s="1888">
        <f t="shared" si="22"/>
        <v>0</v>
      </c>
      <c r="E334" s="1863"/>
      <c r="F334" s="1863">
        <v>0</v>
      </c>
      <c r="G334" s="1863">
        <v>0</v>
      </c>
      <c r="H334" s="1868"/>
      <c r="I334" s="1897"/>
      <c r="J334" s="1889">
        <f t="shared" si="23"/>
        <v>0</v>
      </c>
      <c r="K334" s="1863"/>
      <c r="L334" s="1868"/>
      <c r="M334" s="1897"/>
      <c r="N334" s="1889">
        <f t="shared" si="24"/>
        <v>0</v>
      </c>
    </row>
    <row r="335" spans="1:14">
      <c r="A335" s="1830"/>
      <c r="B335" s="1837" t="s">
        <v>284</v>
      </c>
      <c r="C335" s="1836"/>
      <c r="D335" s="1888">
        <f t="shared" si="22"/>
        <v>1211000</v>
      </c>
      <c r="E335" s="1863"/>
      <c r="F335" s="1863">
        <v>1196000</v>
      </c>
      <c r="G335" s="1864">
        <v>15000</v>
      </c>
      <c r="H335" s="1872"/>
      <c r="I335" s="1897"/>
      <c r="J335" s="1889">
        <f t="shared" si="23"/>
        <v>15000</v>
      </c>
      <c r="K335" s="1863"/>
      <c r="L335" s="1868"/>
      <c r="M335" s="1897"/>
      <c r="N335" s="1889">
        <f t="shared" si="24"/>
        <v>0</v>
      </c>
    </row>
    <row r="336" spans="1:14">
      <c r="A336" s="1828">
        <v>8</v>
      </c>
      <c r="B336" s="1829" t="s">
        <v>285</v>
      </c>
      <c r="C336" s="1830">
        <v>8</v>
      </c>
      <c r="D336" s="1888">
        <f t="shared" si="22"/>
        <v>2641672.0569700003</v>
      </c>
      <c r="E336" s="1863">
        <f>+E337+E338</f>
        <v>0</v>
      </c>
      <c r="F336" s="1032">
        <f>+F337+F338</f>
        <v>2598681.56697</v>
      </c>
      <c r="G336" s="1032">
        <f>+G337+G338</f>
        <v>13858.33</v>
      </c>
      <c r="H336" s="1868">
        <f>+H337+H338</f>
        <v>29132.16</v>
      </c>
      <c r="I336" s="1897">
        <f>+I337+I338</f>
        <v>0</v>
      </c>
      <c r="J336" s="1889">
        <f t="shared" si="23"/>
        <v>42990.49</v>
      </c>
      <c r="K336" s="1863">
        <f>K337+K338</f>
        <v>0</v>
      </c>
      <c r="L336" s="1868">
        <f>L337+L338</f>
        <v>0</v>
      </c>
      <c r="M336" s="1897">
        <f>M337+M338</f>
        <v>0</v>
      </c>
      <c r="N336" s="1889">
        <f t="shared" si="24"/>
        <v>0</v>
      </c>
    </row>
    <row r="337" spans="1:42">
      <c r="A337" s="1828"/>
      <c r="B337" s="1837" t="s">
        <v>286</v>
      </c>
      <c r="C337" s="1830"/>
      <c r="D337" s="1888">
        <f t="shared" si="22"/>
        <v>0</v>
      </c>
      <c r="E337" s="1863"/>
      <c r="F337" s="1863">
        <v>0</v>
      </c>
      <c r="G337" s="1863">
        <v>0</v>
      </c>
      <c r="H337" s="1868">
        <v>0</v>
      </c>
      <c r="I337" s="1897">
        <v>0</v>
      </c>
      <c r="J337" s="1889">
        <f t="shared" si="23"/>
        <v>0</v>
      </c>
      <c r="K337" s="1863"/>
      <c r="L337" s="1868"/>
      <c r="M337" s="1897"/>
      <c r="N337" s="1889">
        <f t="shared" si="24"/>
        <v>0</v>
      </c>
    </row>
    <row r="338" spans="1:42">
      <c r="A338" s="1828"/>
      <c r="B338" s="1837" t="s">
        <v>287</v>
      </c>
      <c r="C338" s="1830"/>
      <c r="D338" s="1888">
        <f t="shared" si="22"/>
        <v>2641672.0569700003</v>
      </c>
      <c r="E338" s="1863"/>
      <c r="F338" s="1863">
        <v>2598681.56697</v>
      </c>
      <c r="G338" s="1864">
        <v>13858.33</v>
      </c>
      <c r="H338" s="1872">
        <v>29132.16</v>
      </c>
      <c r="I338" s="1897">
        <v>0</v>
      </c>
      <c r="J338" s="1889">
        <f t="shared" si="23"/>
        <v>42990.49</v>
      </c>
      <c r="K338" s="1863"/>
      <c r="L338" s="1868"/>
      <c r="M338" s="1897"/>
      <c r="N338" s="1889">
        <f t="shared" si="24"/>
        <v>0</v>
      </c>
    </row>
    <row r="339" spans="1:42" ht="26.45">
      <c r="A339" s="1838">
        <v>9</v>
      </c>
      <c r="B339" s="1839" t="s">
        <v>288</v>
      </c>
      <c r="C339" s="1840"/>
      <c r="D339" s="1905">
        <f t="shared" si="22"/>
        <v>157785413.84889999</v>
      </c>
      <c r="E339" s="1906">
        <f>SUM(E340:E343)</f>
        <v>0</v>
      </c>
      <c r="F339" s="1906">
        <f>SUM(F340:F343)</f>
        <v>35207683.567879997</v>
      </c>
      <c r="G339" s="1906">
        <f>SUM(G340:G343)</f>
        <v>58055755.418449998</v>
      </c>
      <c r="H339" s="1879">
        <f>SUM(H340:H343)</f>
        <v>27833248.841530006</v>
      </c>
      <c r="I339" s="1925">
        <f>SUM(I340:I343)</f>
        <v>36276874.033839993</v>
      </c>
      <c r="J339" s="1908">
        <f t="shared" si="23"/>
        <v>122165878.29381999</v>
      </c>
      <c r="K339" s="1906">
        <f>SUM(K340:K343)</f>
        <v>0</v>
      </c>
      <c r="L339" s="1879">
        <f>SUM(L340:L343)</f>
        <v>0</v>
      </c>
      <c r="M339" s="1925">
        <f>SUM(M340:M343)</f>
        <v>411851.98720000003</v>
      </c>
      <c r="N339" s="1908">
        <f t="shared" si="24"/>
        <v>411851.98720000003</v>
      </c>
    </row>
    <row r="340" spans="1:42">
      <c r="A340" s="1830">
        <v>10</v>
      </c>
      <c r="B340" s="1846" t="s">
        <v>289</v>
      </c>
      <c r="C340" s="1830">
        <v>9</v>
      </c>
      <c r="D340" s="1888">
        <f t="shared" si="22"/>
        <v>91730250.518549994</v>
      </c>
      <c r="E340" s="1863"/>
      <c r="F340" s="1863">
        <v>10446468.157050001</v>
      </c>
      <c r="G340" s="1864">
        <v>38813144.104829997</v>
      </c>
      <c r="H340" s="1872">
        <v>20173740.371480003</v>
      </c>
      <c r="I340" s="1897">
        <v>22296897.885189995</v>
      </c>
      <c r="J340" s="1889">
        <f t="shared" si="23"/>
        <v>81283782.361499995</v>
      </c>
      <c r="K340" s="1864"/>
      <c r="L340" s="1913">
        <v>0</v>
      </c>
      <c r="M340" s="1866">
        <v>0</v>
      </c>
      <c r="N340" s="1889">
        <f t="shared" si="24"/>
        <v>0</v>
      </c>
    </row>
    <row r="341" spans="1:42">
      <c r="A341" s="1830">
        <v>11</v>
      </c>
      <c r="B341" s="1846" t="s">
        <v>290</v>
      </c>
      <c r="C341" s="1830">
        <v>10</v>
      </c>
      <c r="D341" s="1888">
        <f t="shared" si="22"/>
        <v>64965242.801159993</v>
      </c>
      <c r="E341" s="1863"/>
      <c r="F341" s="1032">
        <v>24758690.410829999</v>
      </c>
      <c r="G341" s="1042">
        <v>18863605.431739997</v>
      </c>
      <c r="H341" s="1043">
        <v>7488481.3942500018</v>
      </c>
      <c r="I341" s="1053">
        <v>13679802.353469998</v>
      </c>
      <c r="J341" s="1889">
        <f t="shared" si="23"/>
        <v>40031889.179459997</v>
      </c>
      <c r="K341" s="1864"/>
      <c r="L341" s="1865"/>
      <c r="M341" s="1044">
        <v>174663.21087000001</v>
      </c>
      <c r="N341" s="1889">
        <f t="shared" si="24"/>
        <v>174663.21087000001</v>
      </c>
    </row>
    <row r="342" spans="1:42">
      <c r="A342" s="1830">
        <v>12</v>
      </c>
      <c r="B342" s="1846" t="s">
        <v>291</v>
      </c>
      <c r="C342" s="1830">
        <v>11</v>
      </c>
      <c r="D342" s="1888">
        <f t="shared" si="22"/>
        <v>621942.11323999998</v>
      </c>
      <c r="E342" s="1863"/>
      <c r="F342" s="1032">
        <v>2525</v>
      </c>
      <c r="G342" s="1042">
        <v>145460.13188</v>
      </c>
      <c r="H342" s="1043">
        <v>171027.07579999999</v>
      </c>
      <c r="I342" s="1053">
        <v>66628.045180000001</v>
      </c>
      <c r="J342" s="1889">
        <f t="shared" si="23"/>
        <v>383115.25286000001</v>
      </c>
      <c r="K342" s="1864"/>
      <c r="L342" s="1865"/>
      <c r="M342" s="1044">
        <v>236301.86038</v>
      </c>
      <c r="N342" s="1889">
        <f t="shared" si="24"/>
        <v>236301.86038</v>
      </c>
    </row>
    <row r="343" spans="1:42" ht="26.45">
      <c r="A343" s="1830">
        <v>13</v>
      </c>
      <c r="B343" s="1846" t="s">
        <v>292</v>
      </c>
      <c r="C343" s="1830">
        <v>12</v>
      </c>
      <c r="D343" s="1888">
        <f t="shared" si="22"/>
        <v>467978.41595</v>
      </c>
      <c r="E343" s="1863"/>
      <c r="F343" s="1032">
        <v>0</v>
      </c>
      <c r="G343" s="1042">
        <v>233545.75</v>
      </c>
      <c r="H343" s="1043">
        <v>0</v>
      </c>
      <c r="I343" s="1053">
        <v>233545.75</v>
      </c>
      <c r="J343" s="1889">
        <f t="shared" si="23"/>
        <v>467091.5</v>
      </c>
      <c r="K343" s="1864"/>
      <c r="L343" s="1865"/>
      <c r="M343" s="1044">
        <v>886.91594999999984</v>
      </c>
      <c r="N343" s="1889">
        <f t="shared" si="24"/>
        <v>886.91594999999984</v>
      </c>
    </row>
    <row r="344" spans="1:42">
      <c r="A344" s="1830">
        <v>14</v>
      </c>
      <c r="B344" s="1829" t="s">
        <v>293</v>
      </c>
      <c r="C344" s="1830">
        <v>13</v>
      </c>
      <c r="D344" s="1888">
        <f t="shared" si="22"/>
        <v>2703621.8594800001</v>
      </c>
      <c r="E344" s="1863"/>
      <c r="F344" s="1863">
        <v>0</v>
      </c>
      <c r="G344" s="1864">
        <v>485446.39118999999</v>
      </c>
      <c r="H344" s="1872">
        <v>2218175.4682900002</v>
      </c>
      <c r="I344" s="1897">
        <v>0</v>
      </c>
      <c r="J344" s="1889">
        <f t="shared" si="23"/>
        <v>2703621.8594800001</v>
      </c>
      <c r="K344" s="1864"/>
      <c r="L344" s="1913"/>
      <c r="M344" s="1911"/>
      <c r="N344" s="1889">
        <f t="shared" si="24"/>
        <v>0</v>
      </c>
    </row>
    <row r="345" spans="1:42">
      <c r="A345" s="1830">
        <v>15</v>
      </c>
      <c r="B345" s="1829" t="s">
        <v>294</v>
      </c>
      <c r="C345" s="1836">
        <v>14</v>
      </c>
      <c r="D345" s="1888">
        <f t="shared" si="22"/>
        <v>499816.45397000003</v>
      </c>
      <c r="E345" s="1863"/>
      <c r="F345" s="1032">
        <v>0</v>
      </c>
      <c r="G345" s="1042">
        <v>16154.794922516299</v>
      </c>
      <c r="H345" s="1035">
        <v>483661.65904748376</v>
      </c>
      <c r="I345" s="1897">
        <v>0</v>
      </c>
      <c r="J345" s="1889">
        <f t="shared" si="23"/>
        <v>499816.45397000003</v>
      </c>
      <c r="K345" s="1864"/>
      <c r="L345" s="1913"/>
      <c r="M345" s="1911"/>
      <c r="N345" s="1889">
        <f t="shared" si="24"/>
        <v>0</v>
      </c>
    </row>
    <row r="346" spans="1:42">
      <c r="A346" s="1830">
        <v>16</v>
      </c>
      <c r="B346" s="1829" t="s">
        <v>295</v>
      </c>
      <c r="C346" s="1830">
        <v>15</v>
      </c>
      <c r="D346" s="1888">
        <f t="shared" si="22"/>
        <v>368088.80660000001</v>
      </c>
      <c r="E346" s="1863"/>
      <c r="F346" s="1032">
        <v>0</v>
      </c>
      <c r="G346" s="1042">
        <v>131660.21651</v>
      </c>
      <c r="H346" s="1035">
        <v>236428.59009000001</v>
      </c>
      <c r="I346" s="1897">
        <v>0</v>
      </c>
      <c r="J346" s="1889">
        <f t="shared" si="23"/>
        <v>368088.80660000001</v>
      </c>
      <c r="K346" s="1864"/>
      <c r="L346" s="1913"/>
      <c r="M346" s="1911"/>
      <c r="N346" s="1889">
        <f t="shared" si="24"/>
        <v>0</v>
      </c>
    </row>
    <row r="347" spans="1:42">
      <c r="A347" s="1830">
        <v>17</v>
      </c>
      <c r="B347" s="1829" t="s">
        <v>296</v>
      </c>
      <c r="C347" s="1836">
        <v>16</v>
      </c>
      <c r="D347" s="1888">
        <f t="shared" si="22"/>
        <v>9300045.5132199991</v>
      </c>
      <c r="E347" s="1863"/>
      <c r="F347" s="1032">
        <v>6020173.948929999</v>
      </c>
      <c r="G347" s="1042">
        <v>2330840.3724648063</v>
      </c>
      <c r="H347" s="1043">
        <v>949031.19182519347</v>
      </c>
      <c r="I347" s="1911">
        <v>0</v>
      </c>
      <c r="J347" s="1889">
        <f t="shared" si="23"/>
        <v>3279871.5642899997</v>
      </c>
      <c r="K347" s="1864"/>
      <c r="L347" s="1865"/>
      <c r="M347" s="1866"/>
      <c r="N347" s="1889">
        <f t="shared" si="24"/>
        <v>0</v>
      </c>
    </row>
    <row r="348" spans="1:42">
      <c r="A348" s="1830">
        <v>18</v>
      </c>
      <c r="B348" s="1829" t="s">
        <v>297</v>
      </c>
      <c r="C348" s="1830"/>
      <c r="D348" s="1888">
        <f t="shared" si="22"/>
        <v>0</v>
      </c>
      <c r="E348" s="1863"/>
      <c r="F348" s="1032">
        <v>0</v>
      </c>
      <c r="G348" s="1042">
        <v>0</v>
      </c>
      <c r="H348" s="1035"/>
      <c r="I348" s="1897">
        <v>0</v>
      </c>
      <c r="J348" s="1889">
        <f t="shared" si="23"/>
        <v>0</v>
      </c>
      <c r="K348" s="1864"/>
      <c r="L348" s="1913"/>
      <c r="M348" s="1911"/>
      <c r="N348" s="1889">
        <f t="shared" si="24"/>
        <v>0</v>
      </c>
    </row>
    <row r="349" spans="1:42" ht="15" thickBot="1">
      <c r="A349" s="1847">
        <v>19</v>
      </c>
      <c r="B349" s="1848" t="s">
        <v>298</v>
      </c>
      <c r="C349" s="1847"/>
      <c r="D349" s="3117">
        <f t="shared" si="22"/>
        <v>405331.38050007483</v>
      </c>
      <c r="E349" s="3114"/>
      <c r="F349" s="1036">
        <v>41.105570001514025</v>
      </c>
      <c r="G349" s="1060">
        <v>75287.876221528175</v>
      </c>
      <c r="H349" s="1058">
        <v>330002.39870854514</v>
      </c>
      <c r="I349" s="1923">
        <v>0</v>
      </c>
      <c r="J349" s="3118">
        <f t="shared" si="23"/>
        <v>405290.2749300733</v>
      </c>
      <c r="K349" s="3116"/>
      <c r="L349" s="1917"/>
      <c r="M349" s="1922"/>
      <c r="N349" s="3118">
        <f t="shared" si="24"/>
        <v>0</v>
      </c>
    </row>
    <row r="350" spans="1:42" s="870" customFormat="1" ht="27" thickBot="1">
      <c r="A350" s="1138">
        <v>20</v>
      </c>
      <c r="B350" s="1139" t="s">
        <v>299</v>
      </c>
      <c r="C350" s="1138"/>
      <c r="D350" s="1163">
        <f t="shared" si="22"/>
        <v>191531936.83127007</v>
      </c>
      <c r="E350" s="1163">
        <f>SUM(E327:E333)+E336+E339+SUM(E344:E349)</f>
        <v>0</v>
      </c>
      <c r="F350" s="1163">
        <f>SUM(F327:F333)+F336+F339+SUM(F344:F349)</f>
        <v>50653915.535789996</v>
      </c>
      <c r="G350" s="1163">
        <f>SUM(G327:G333)+G336+G339+SUM(G344:G349)</f>
        <v>72109614.964948848</v>
      </c>
      <c r="H350" s="1164">
        <f>SUM(H327:H333)+H336+H339+SUM(H344:H349)</f>
        <v>32079680.309491228</v>
      </c>
      <c r="I350" s="1193">
        <f>SUM(I327:I333)+I336+I339+SUM(I344:I349)</f>
        <v>36276874.033839993</v>
      </c>
      <c r="J350" s="1163">
        <f t="shared" si="23"/>
        <v>140466169.30828008</v>
      </c>
      <c r="K350" s="1163">
        <f>SUM(K327:K333)+K336+K339+SUM(K344:K349)</f>
        <v>0</v>
      </c>
      <c r="L350" s="1164">
        <f>SUM(L327:L333)+L336+L339+SUM(L344:L349)</f>
        <v>0</v>
      </c>
      <c r="M350" s="1193">
        <f>SUM(M327:M333)+M336+M339+SUM(M344:M349)</f>
        <v>411851.98720000003</v>
      </c>
      <c r="N350" s="1163">
        <f t="shared" si="24"/>
        <v>411851.98720000003</v>
      </c>
      <c r="O350"/>
      <c r="P350"/>
      <c r="Q350"/>
      <c r="R350"/>
      <c r="S350"/>
      <c r="T350"/>
      <c r="U350"/>
      <c r="V350"/>
      <c r="W350"/>
      <c r="X350"/>
      <c r="Y350"/>
      <c r="Z350"/>
      <c r="AA350"/>
      <c r="AB350"/>
      <c r="AC350"/>
      <c r="AD350"/>
      <c r="AE350"/>
      <c r="AF350"/>
      <c r="AG350"/>
      <c r="AH350"/>
      <c r="AI350"/>
      <c r="AJ350"/>
      <c r="AK350" s="2976"/>
      <c r="AL350" s="2976"/>
      <c r="AM350" s="2976"/>
      <c r="AN350" s="2976"/>
      <c r="AO350" s="2976"/>
      <c r="AP350" s="2976"/>
    </row>
    <row r="351" spans="1:42">
      <c r="A351" s="1133"/>
      <c r="B351" s="1134" t="s">
        <v>300</v>
      </c>
      <c r="C351" s="1133"/>
      <c r="D351" s="1172">
        <f t="shared" si="22"/>
        <v>0</v>
      </c>
      <c r="E351" s="1032"/>
      <c r="F351" s="1032"/>
      <c r="G351" s="1042"/>
      <c r="H351" s="1035"/>
      <c r="I351" s="1052"/>
      <c r="J351" s="1177">
        <f t="shared" si="23"/>
        <v>0</v>
      </c>
      <c r="K351" s="1042"/>
      <c r="L351" s="1054"/>
      <c r="M351" s="1053"/>
      <c r="N351" s="1177">
        <f t="shared" si="24"/>
        <v>0</v>
      </c>
    </row>
    <row r="352" spans="1:42">
      <c r="A352" s="1830"/>
      <c r="B352" s="1850" t="s">
        <v>301</v>
      </c>
      <c r="C352" s="1830"/>
      <c r="D352" s="1888">
        <f t="shared" si="22"/>
        <v>0</v>
      </c>
      <c r="E352" s="1863"/>
      <c r="F352" s="1863"/>
      <c r="G352" s="1864"/>
      <c r="H352" s="1872"/>
      <c r="I352" s="1897"/>
      <c r="J352" s="1889">
        <f t="shared" si="23"/>
        <v>0</v>
      </c>
      <c r="K352" s="1864"/>
      <c r="L352" s="1913"/>
      <c r="M352" s="1911"/>
      <c r="N352" s="1889">
        <f t="shared" si="24"/>
        <v>0</v>
      </c>
    </row>
    <row r="353" spans="1:42">
      <c r="A353" s="1830">
        <v>21</v>
      </c>
      <c r="B353" s="1829" t="s">
        <v>302</v>
      </c>
      <c r="C353" s="1836">
        <v>17</v>
      </c>
      <c r="D353" s="1888">
        <f t="shared" si="22"/>
        <v>135549175.9931677</v>
      </c>
      <c r="E353" s="1863"/>
      <c r="F353" s="1863">
        <v>0</v>
      </c>
      <c r="G353" s="1864">
        <v>70327259.349435404</v>
      </c>
      <c r="H353" s="1872">
        <v>28690131.795022309</v>
      </c>
      <c r="I353" s="1897">
        <v>36276874.033839993</v>
      </c>
      <c r="J353" s="1889">
        <f t="shared" si="23"/>
        <v>135294265.1782977</v>
      </c>
      <c r="K353" s="1864"/>
      <c r="L353" s="1913"/>
      <c r="M353" s="1866">
        <v>254910.81487</v>
      </c>
      <c r="N353" s="1889">
        <f t="shared" si="24"/>
        <v>254910.81487</v>
      </c>
    </row>
    <row r="354" spans="1:42">
      <c r="A354" s="1830">
        <v>22</v>
      </c>
      <c r="B354" s="1829" t="s">
        <v>303</v>
      </c>
      <c r="C354" s="1830"/>
      <c r="D354" s="1888">
        <f t="shared" si="22"/>
        <v>20898.321769999995</v>
      </c>
      <c r="E354" s="1863"/>
      <c r="F354" s="1863">
        <v>0</v>
      </c>
      <c r="G354" s="1042">
        <v>7140.9565488089993</v>
      </c>
      <c r="H354" s="1035">
        <v>13757.365221190998</v>
      </c>
      <c r="I354" s="1897">
        <v>0</v>
      </c>
      <c r="J354" s="1889">
        <f t="shared" si="23"/>
        <v>20898.321769999995</v>
      </c>
      <c r="K354" s="1864"/>
      <c r="L354" s="1913"/>
      <c r="M354" s="1911"/>
      <c r="N354" s="1889">
        <f t="shared" si="24"/>
        <v>0</v>
      </c>
    </row>
    <row r="355" spans="1:42">
      <c r="A355" s="1830">
        <v>23</v>
      </c>
      <c r="B355" s="1829" t="s">
        <v>304</v>
      </c>
      <c r="C355" s="1830">
        <v>18</v>
      </c>
      <c r="D355" s="1888">
        <f t="shared" si="22"/>
        <v>686492.38928999996</v>
      </c>
      <c r="E355" s="1863"/>
      <c r="F355" s="1863">
        <v>0</v>
      </c>
      <c r="G355" s="1042">
        <v>22188.432727396368</v>
      </c>
      <c r="H355" s="1035">
        <v>664303.95656260359</v>
      </c>
      <c r="I355" s="1897">
        <v>0</v>
      </c>
      <c r="J355" s="1889">
        <f t="shared" si="23"/>
        <v>686492.38928999996</v>
      </c>
      <c r="K355" s="1864"/>
      <c r="L355" s="1913"/>
      <c r="M355" s="1911"/>
      <c r="N355" s="1889">
        <f t="shared" si="24"/>
        <v>0</v>
      </c>
    </row>
    <row r="356" spans="1:42">
      <c r="A356" s="1830">
        <v>24</v>
      </c>
      <c r="B356" s="1829" t="s">
        <v>305</v>
      </c>
      <c r="C356" s="1830"/>
      <c r="D356" s="1888">
        <f t="shared" si="22"/>
        <v>968677.36711000011</v>
      </c>
      <c r="E356" s="1863"/>
      <c r="F356" s="3114">
        <v>0</v>
      </c>
      <c r="G356" s="1060">
        <v>187025.18256454621</v>
      </c>
      <c r="H356" s="1058">
        <v>781652.18454545387</v>
      </c>
      <c r="I356" s="1897">
        <v>0</v>
      </c>
      <c r="J356" s="1889">
        <f t="shared" si="23"/>
        <v>968677.36711000011</v>
      </c>
      <c r="K356" s="1864"/>
      <c r="L356" s="1913"/>
      <c r="M356" s="1911"/>
      <c r="N356" s="1889">
        <f t="shared" si="24"/>
        <v>0</v>
      </c>
    </row>
    <row r="357" spans="1:42">
      <c r="A357" s="1830">
        <v>25</v>
      </c>
      <c r="B357" s="1851" t="s">
        <v>306</v>
      </c>
      <c r="C357" s="1830"/>
      <c r="D357" s="1888">
        <f t="shared" si="22"/>
        <v>0</v>
      </c>
      <c r="E357" s="1863"/>
      <c r="F357" s="1075">
        <v>0</v>
      </c>
      <c r="G357" s="1078">
        <v>0</v>
      </c>
      <c r="H357" s="1079">
        <v>0</v>
      </c>
      <c r="I357" s="1923">
        <v>0</v>
      </c>
      <c r="J357" s="1889">
        <f t="shared" si="23"/>
        <v>0</v>
      </c>
      <c r="K357" s="1864"/>
      <c r="L357" s="1913"/>
      <c r="M357" s="1911"/>
      <c r="N357" s="1889">
        <f t="shared" si="24"/>
        <v>0</v>
      </c>
    </row>
    <row r="358" spans="1:42" ht="15" thickBot="1">
      <c r="A358" s="1847">
        <v>26</v>
      </c>
      <c r="B358" s="1848" t="s">
        <v>307</v>
      </c>
      <c r="C358" s="1852">
        <v>19</v>
      </c>
      <c r="D358" s="1888">
        <f>+E358+F358+J358+N358</f>
        <v>4907682.1632700069</v>
      </c>
      <c r="E358" s="1863"/>
      <c r="F358" s="1080">
        <v>1254904.78256001</v>
      </c>
      <c r="G358" s="1081">
        <f>1358663.1879127+207337.85576</f>
        <v>1566001.0436726999</v>
      </c>
      <c r="H358" s="1082">
        <v>1929835.164707297</v>
      </c>
      <c r="I358" s="1076">
        <v>0</v>
      </c>
      <c r="J358" s="1889">
        <f t="shared" si="23"/>
        <v>3495836.2083799969</v>
      </c>
      <c r="K358" s="1864"/>
      <c r="L358" s="1065"/>
      <c r="M358" s="1930">
        <v>156941.17233000003</v>
      </c>
      <c r="N358" s="1889">
        <f t="shared" si="24"/>
        <v>156941.17233000003</v>
      </c>
    </row>
    <row r="359" spans="1:42" s="870" customFormat="1" ht="15" thickBot="1">
      <c r="A359" s="1135">
        <v>27</v>
      </c>
      <c r="B359" s="1136" t="s">
        <v>308</v>
      </c>
      <c r="C359" s="1135"/>
      <c r="D359" s="1173">
        <f>+E359+F359+J359+N359</f>
        <v>142132926.2346077</v>
      </c>
      <c r="E359" s="1041">
        <f>SUM(E353:E358)</f>
        <v>0</v>
      </c>
      <c r="F359" s="1041">
        <f>SUM(F353:F358)</f>
        <v>1254904.78256001</v>
      </c>
      <c r="G359" s="1041">
        <f>SUM(G353:G358)</f>
        <v>72109614.964948848</v>
      </c>
      <c r="H359" s="1045">
        <f>SUM(H353:H358)</f>
        <v>32079680.466058854</v>
      </c>
      <c r="I359" s="1073">
        <f>SUM(I353:I358)</f>
        <v>36276874.033839993</v>
      </c>
      <c r="J359" s="1176">
        <f t="shared" si="23"/>
        <v>140466169.46484768</v>
      </c>
      <c r="K359" s="1041">
        <f>SUM(K353:K358)</f>
        <v>0</v>
      </c>
      <c r="L359" s="1041">
        <f>SUM(L353:L358)</f>
        <v>0</v>
      </c>
      <c r="M359" s="1041">
        <f>SUM(M353:M358)</f>
        <v>411851.98720000003</v>
      </c>
      <c r="N359" s="1180">
        <f t="shared" si="24"/>
        <v>411851.98720000003</v>
      </c>
      <c r="O359"/>
      <c r="P359"/>
      <c r="Q359"/>
      <c r="R359"/>
      <c r="S359"/>
      <c r="T359"/>
      <c r="U359"/>
      <c r="V359"/>
      <c r="W359"/>
      <c r="X359"/>
      <c r="Y359"/>
      <c r="Z359"/>
      <c r="AA359"/>
      <c r="AB359"/>
      <c r="AC359"/>
      <c r="AD359"/>
      <c r="AE359"/>
      <c r="AF359"/>
      <c r="AG359"/>
      <c r="AH359"/>
      <c r="AI359"/>
      <c r="AJ359"/>
      <c r="AK359" s="2976"/>
      <c r="AL359" s="2976"/>
      <c r="AM359" s="2976"/>
      <c r="AN359" s="2976"/>
      <c r="AO359" s="2976"/>
      <c r="AP359" s="2976"/>
    </row>
    <row r="360" spans="1:42">
      <c r="A360" s="1133"/>
      <c r="B360" s="1134" t="s">
        <v>309</v>
      </c>
      <c r="C360" s="1133">
        <v>20</v>
      </c>
      <c r="D360" s="1172">
        <f t="shared" si="22"/>
        <v>0</v>
      </c>
      <c r="E360" s="1032"/>
      <c r="F360" s="1032"/>
      <c r="G360" s="1042"/>
      <c r="H360" s="1035"/>
      <c r="I360" s="1052"/>
      <c r="J360" s="1177">
        <f t="shared" si="23"/>
        <v>0</v>
      </c>
      <c r="K360" s="1032"/>
      <c r="L360" s="1033"/>
      <c r="M360" s="1052"/>
      <c r="N360" s="1177">
        <f t="shared" si="24"/>
        <v>0</v>
      </c>
    </row>
    <row r="361" spans="1:42">
      <c r="A361" s="1830">
        <v>28</v>
      </c>
      <c r="B361" s="1829" t="s">
        <v>310</v>
      </c>
      <c r="C361" s="1836"/>
      <c r="D361" s="1888">
        <f t="shared" si="22"/>
        <v>500001</v>
      </c>
      <c r="E361" s="1863"/>
      <c r="F361" s="1863">
        <v>500001</v>
      </c>
      <c r="G361" s="1864"/>
      <c r="H361" s="1872"/>
      <c r="I361" s="1897"/>
      <c r="J361" s="1889">
        <f t="shared" si="23"/>
        <v>0</v>
      </c>
      <c r="K361" s="1863"/>
      <c r="L361" s="1868"/>
      <c r="M361" s="1897"/>
      <c r="N361" s="1889">
        <f t="shared" si="24"/>
        <v>0</v>
      </c>
    </row>
    <row r="362" spans="1:42">
      <c r="A362" s="1830">
        <v>29</v>
      </c>
      <c r="B362" s="1829" t="s">
        <v>311</v>
      </c>
      <c r="C362" s="1836"/>
      <c r="D362" s="1888">
        <f t="shared" si="22"/>
        <v>7330203.3235089993</v>
      </c>
      <c r="E362" s="1863"/>
      <c r="F362" s="1032">
        <v>7330203.3235089993</v>
      </c>
      <c r="G362" s="1864"/>
      <c r="H362" s="1872"/>
      <c r="I362" s="1897"/>
      <c r="J362" s="1889">
        <f t="shared" si="23"/>
        <v>0</v>
      </c>
      <c r="K362" s="1863"/>
      <c r="L362" s="1868"/>
      <c r="M362" s="1897"/>
      <c r="N362" s="1889">
        <f t="shared" si="24"/>
        <v>0</v>
      </c>
    </row>
    <row r="363" spans="1:42">
      <c r="A363" s="1830">
        <v>30</v>
      </c>
      <c r="B363" s="1848" t="s">
        <v>312</v>
      </c>
      <c r="C363" s="1852"/>
      <c r="D363" s="1888">
        <f t="shared" si="22"/>
        <v>581768.98345983354</v>
      </c>
      <c r="E363" s="1863"/>
      <c r="F363" s="1036">
        <v>581768.98345983354</v>
      </c>
      <c r="G363" s="3116"/>
      <c r="H363" s="1885"/>
      <c r="I363" s="1923"/>
      <c r="J363" s="1889">
        <f t="shared" si="23"/>
        <v>0</v>
      </c>
      <c r="K363" s="1863"/>
      <c r="L363" s="1868"/>
      <c r="M363" s="1897"/>
      <c r="N363" s="1889">
        <f t="shared" si="24"/>
        <v>0</v>
      </c>
    </row>
    <row r="364" spans="1:42">
      <c r="A364" s="1830">
        <v>31</v>
      </c>
      <c r="B364" s="1848" t="s">
        <v>313</v>
      </c>
      <c r="C364" s="1852"/>
      <c r="D364" s="1888">
        <f t="shared" si="22"/>
        <v>3456184.2829999998</v>
      </c>
      <c r="E364" s="1863"/>
      <c r="F364" s="3114">
        <v>3456184.2829999998</v>
      </c>
      <c r="G364" s="3116"/>
      <c r="H364" s="1885"/>
      <c r="I364" s="1923"/>
      <c r="J364" s="1889">
        <f t="shared" si="23"/>
        <v>0</v>
      </c>
      <c r="K364" s="1863"/>
      <c r="L364" s="1868"/>
      <c r="M364" s="1897"/>
      <c r="N364" s="1889">
        <f t="shared" si="24"/>
        <v>0</v>
      </c>
    </row>
    <row r="365" spans="1:42" ht="15" thickBot="1">
      <c r="A365" s="1847">
        <v>32</v>
      </c>
      <c r="B365" s="1848" t="s">
        <v>314</v>
      </c>
      <c r="C365" s="1852"/>
      <c r="D365" s="1888">
        <f t="shared" si="22"/>
        <v>37530853.50378979</v>
      </c>
      <c r="E365" s="1863"/>
      <c r="F365" s="3114">
        <v>37530853.50378979</v>
      </c>
      <c r="G365" s="3116"/>
      <c r="H365" s="1885"/>
      <c r="I365" s="1072"/>
      <c r="J365" s="1889">
        <f t="shared" si="23"/>
        <v>0</v>
      </c>
      <c r="K365" s="1863"/>
      <c r="L365" s="1868"/>
      <c r="M365" s="1897"/>
      <c r="N365" s="1889">
        <f t="shared" si="24"/>
        <v>0</v>
      </c>
    </row>
    <row r="366" spans="1:42" s="870" customFormat="1" ht="15" thickBot="1">
      <c r="A366" s="1135">
        <v>33</v>
      </c>
      <c r="B366" s="1169" t="s">
        <v>315</v>
      </c>
      <c r="C366" s="1170"/>
      <c r="D366" s="1174">
        <f t="shared" si="22"/>
        <v>49399011.09375862</v>
      </c>
      <c r="E366" s="1046">
        <f>SUM(E361:E365)</f>
        <v>0</v>
      </c>
      <c r="F366" s="1046">
        <f>SUM(F361:F365)</f>
        <v>49399011.09375862</v>
      </c>
      <c r="G366" s="1046">
        <f>SUM(G361:G365)</f>
        <v>0</v>
      </c>
      <c r="H366" s="1046">
        <f>SUM(H361:H365)</f>
        <v>0</v>
      </c>
      <c r="I366" s="1074">
        <f>SUM(I361:I365)</f>
        <v>0</v>
      </c>
      <c r="J366" s="1178">
        <f t="shared" si="23"/>
        <v>0</v>
      </c>
      <c r="K366" s="1046">
        <f>SUM(K361:K365)</f>
        <v>0</v>
      </c>
      <c r="L366" s="1047">
        <f>SUM(L361:L365)</f>
        <v>0</v>
      </c>
      <c r="M366" s="1066">
        <f>SUM(M361:M365)</f>
        <v>0</v>
      </c>
      <c r="N366" s="1178">
        <f t="shared" si="24"/>
        <v>0</v>
      </c>
      <c r="O366"/>
      <c r="P366"/>
      <c r="Q366"/>
      <c r="R366"/>
      <c r="S366"/>
      <c r="T366"/>
      <c r="U366"/>
      <c r="V366"/>
      <c r="W366"/>
      <c r="X366"/>
      <c r="Y366"/>
      <c r="Z366"/>
      <c r="AA366"/>
      <c r="AB366"/>
      <c r="AC366"/>
      <c r="AD366"/>
      <c r="AE366"/>
      <c r="AF366"/>
      <c r="AG366"/>
      <c r="AH366"/>
      <c r="AI366"/>
      <c r="AJ366"/>
      <c r="AK366" s="2976"/>
      <c r="AL366" s="2976"/>
      <c r="AM366" s="2976"/>
      <c r="AN366" s="2976"/>
      <c r="AO366" s="2976"/>
      <c r="AP366" s="2976"/>
    </row>
    <row r="367" spans="1:42" s="870" customFormat="1" ht="27" thickBot="1">
      <c r="A367" s="1138">
        <v>34</v>
      </c>
      <c r="B367" s="1139" t="s">
        <v>317</v>
      </c>
      <c r="C367" s="1138"/>
      <c r="D367" s="1166">
        <f>+E367+F367+J367+N367</f>
        <v>191531937.32836631</v>
      </c>
      <c r="E367" s="1166">
        <f>E366+E359</f>
        <v>0</v>
      </c>
      <c r="F367" s="1166">
        <f>F366+F359</f>
        <v>50653915.876318634</v>
      </c>
      <c r="G367" s="1166">
        <f>G366+G359</f>
        <v>72109614.964948848</v>
      </c>
      <c r="H367" s="1166">
        <f>H366+H359</f>
        <v>32079680.466058854</v>
      </c>
      <c r="I367" s="1166">
        <f>I366+I359</f>
        <v>36276874.033839993</v>
      </c>
      <c r="J367" s="1166">
        <f t="shared" si="23"/>
        <v>140466169.46484768</v>
      </c>
      <c r="K367" s="1166">
        <f>K366+K359</f>
        <v>0</v>
      </c>
      <c r="L367" s="1167">
        <f>L366+L359</f>
        <v>0</v>
      </c>
      <c r="M367" s="1206">
        <f>M366+M359</f>
        <v>411851.98720000003</v>
      </c>
      <c r="N367" s="1166">
        <f t="shared" si="24"/>
        <v>411851.98720000003</v>
      </c>
      <c r="O367"/>
      <c r="P367"/>
      <c r="Q367"/>
      <c r="R367"/>
      <c r="S367"/>
      <c r="T367"/>
      <c r="U367"/>
      <c r="V367"/>
      <c r="W367"/>
      <c r="X367"/>
      <c r="Y367"/>
      <c r="Z367"/>
      <c r="AA367"/>
      <c r="AB367"/>
      <c r="AC367"/>
      <c r="AD367"/>
      <c r="AE367"/>
      <c r="AF367"/>
      <c r="AG367"/>
      <c r="AH367"/>
      <c r="AI367"/>
      <c r="AJ367"/>
      <c r="AK367" s="2976"/>
      <c r="AL367" s="2976"/>
      <c r="AM367" s="2976"/>
      <c r="AN367" s="2976"/>
      <c r="AO367" s="2976"/>
      <c r="AP367" s="2976"/>
    </row>
    <row r="368" spans="1:42">
      <c r="B368"/>
      <c r="C368"/>
      <c r="D368"/>
      <c r="E368"/>
      <c r="F368"/>
      <c r="G368"/>
      <c r="H368"/>
      <c r="I368"/>
      <c r="J368"/>
      <c r="K368"/>
      <c r="L368"/>
      <c r="M368"/>
      <c r="N368"/>
    </row>
    <row r="369" spans="1:14">
      <c r="B369"/>
      <c r="C369"/>
      <c r="D369"/>
      <c r="E369"/>
      <c r="F369"/>
      <c r="G369"/>
      <c r="H369"/>
      <c r="I369"/>
      <c r="J369"/>
      <c r="K369"/>
      <c r="L369"/>
      <c r="M369"/>
      <c r="N369"/>
    </row>
    <row r="370" spans="1:14" ht="15" thickBot="1">
      <c r="B370"/>
      <c r="C370"/>
      <c r="D370"/>
      <c r="E370"/>
      <c r="F370"/>
      <c r="G370"/>
      <c r="H370"/>
      <c r="I370"/>
      <c r="J370"/>
      <c r="K370"/>
      <c r="L370"/>
      <c r="M370"/>
      <c r="N370"/>
    </row>
    <row r="371" spans="1:14" ht="15" thickBot="1">
      <c r="A371" s="1153" t="s">
        <v>186</v>
      </c>
      <c r="B371" s="3303" t="s">
        <v>239</v>
      </c>
      <c r="C371" s="3304"/>
      <c r="D371" s="662"/>
      <c r="E371" s="662"/>
      <c r="F371" s="662"/>
      <c r="G371" s="662"/>
      <c r="H371" s="662"/>
      <c r="I371" s="662"/>
      <c r="J371" s="662"/>
      <c r="K371" s="662"/>
      <c r="L371" s="662"/>
      <c r="M371" s="3292"/>
      <c r="N371" s="3292" t="s">
        <v>257</v>
      </c>
    </row>
    <row r="372" spans="1:14" ht="13.5" customHeight="1" thickBot="1">
      <c r="A372" s="3293" t="s">
        <v>258</v>
      </c>
      <c r="B372" s="3298"/>
      <c r="C372" s="3280" t="s">
        <v>259</v>
      </c>
      <c r="D372" s="3283" t="s">
        <v>260</v>
      </c>
      <c r="E372" s="3283" t="s">
        <v>261</v>
      </c>
      <c r="F372" s="3283" t="s">
        <v>262</v>
      </c>
      <c r="G372" s="3286" t="s">
        <v>263</v>
      </c>
      <c r="H372" s="3287"/>
      <c r="I372" s="3287"/>
      <c r="J372" s="3287"/>
      <c r="K372" s="3287"/>
      <c r="L372" s="3287"/>
      <c r="M372" s="3287"/>
      <c r="N372" s="3288"/>
    </row>
    <row r="373" spans="1:14" ht="13.5" customHeight="1" thickBot="1">
      <c r="A373" s="3294"/>
      <c r="B373" s="3299"/>
      <c r="C373" s="3281"/>
      <c r="D373" s="3284"/>
      <c r="E373" s="3284"/>
      <c r="F373" s="3284"/>
      <c r="G373" s="3289" t="s">
        <v>264</v>
      </c>
      <c r="H373" s="3290"/>
      <c r="I373" s="3290"/>
      <c r="J373" s="3291"/>
      <c r="K373" s="3289" t="s">
        <v>265</v>
      </c>
      <c r="L373" s="3290"/>
      <c r="M373" s="3290"/>
      <c r="N373" s="3291"/>
    </row>
    <row r="374" spans="1:14" ht="40.15" thickBot="1">
      <c r="A374" s="3294"/>
      <c r="B374" s="3299"/>
      <c r="C374" s="3281"/>
      <c r="D374" s="3285"/>
      <c r="E374" s="3285"/>
      <c r="F374" s="3285"/>
      <c r="G374" s="1125" t="s">
        <v>267</v>
      </c>
      <c r="H374" s="1125" t="s">
        <v>268</v>
      </c>
      <c r="I374" s="1125" t="s">
        <v>269</v>
      </c>
      <c r="J374" s="1125" t="s">
        <v>160</v>
      </c>
      <c r="K374" s="1126" t="s">
        <v>270</v>
      </c>
      <c r="L374" s="1126" t="s">
        <v>271</v>
      </c>
      <c r="M374" s="1126" t="s">
        <v>272</v>
      </c>
      <c r="N374" s="2969" t="s">
        <v>160</v>
      </c>
    </row>
    <row r="375" spans="1:14" ht="15" thickBot="1">
      <c r="A375" s="3294"/>
      <c r="B375" s="3299"/>
      <c r="C375" s="3281"/>
      <c r="D375" s="1128">
        <v>1</v>
      </c>
      <c r="E375" s="3283">
        <v>2</v>
      </c>
      <c r="F375" s="3283">
        <v>3</v>
      </c>
      <c r="G375" s="3283">
        <v>4</v>
      </c>
      <c r="H375" s="3283">
        <v>5</v>
      </c>
      <c r="I375" s="3283">
        <v>6</v>
      </c>
      <c r="J375" s="2974">
        <v>7</v>
      </c>
      <c r="K375" s="3283">
        <v>8</v>
      </c>
      <c r="L375" s="3283">
        <v>9</v>
      </c>
      <c r="M375" s="3283">
        <v>10</v>
      </c>
      <c r="N375" s="1128">
        <v>11</v>
      </c>
    </row>
    <row r="376" spans="1:14" ht="15" thickBot="1">
      <c r="A376" s="3295"/>
      <c r="B376" s="3300"/>
      <c r="C376" s="3282"/>
      <c r="D376" s="1130"/>
      <c r="E376" s="3285"/>
      <c r="F376" s="3285"/>
      <c r="G376" s="3285"/>
      <c r="H376" s="3285"/>
      <c r="I376" s="3285"/>
      <c r="J376" s="1131" t="s">
        <v>273</v>
      </c>
      <c r="K376" s="3285"/>
      <c r="L376" s="3285"/>
      <c r="M376" s="3285"/>
      <c r="N376" s="1157" t="s">
        <v>274</v>
      </c>
    </row>
    <row r="377" spans="1:14">
      <c r="A377" s="1133"/>
      <c r="B377" s="1134" t="s">
        <v>275</v>
      </c>
      <c r="C377" s="1133"/>
      <c r="D377" s="1928"/>
      <c r="E377" s="1071"/>
      <c r="F377" s="1071"/>
      <c r="G377" s="1042"/>
      <c r="H377" s="1035"/>
      <c r="I377" s="1062"/>
      <c r="J377" s="1177"/>
      <c r="K377" s="1032"/>
      <c r="L377" s="1035"/>
      <c r="M377" s="1077"/>
      <c r="N377" s="1929"/>
    </row>
    <row r="378" spans="1:14">
      <c r="A378" s="1828">
        <v>1</v>
      </c>
      <c r="B378" s="1829" t="s">
        <v>276</v>
      </c>
      <c r="C378" s="1830"/>
      <c r="D378" s="1888">
        <f t="shared" ref="D378:D418" si="25">+E378+F378+J378+N378</f>
        <v>0</v>
      </c>
      <c r="E378" s="1863"/>
      <c r="F378" s="1863"/>
      <c r="G378" s="1864"/>
      <c r="H378" s="1872"/>
      <c r="I378" s="1897"/>
      <c r="J378" s="1889">
        <f t="shared" ref="J378:J418" si="26">G378+H378+I378</f>
        <v>0</v>
      </c>
      <c r="K378" s="1863"/>
      <c r="L378" s="1868"/>
      <c r="M378" s="1897"/>
      <c r="N378" s="1889">
        <f t="shared" ref="N378:N418" si="27">K378+L378+M378</f>
        <v>0</v>
      </c>
    </row>
    <row r="379" spans="1:14">
      <c r="A379" s="1828">
        <v>2</v>
      </c>
      <c r="B379" s="1829" t="s">
        <v>277</v>
      </c>
      <c r="C379" s="1830"/>
      <c r="D379" s="1888">
        <f t="shared" si="25"/>
        <v>883.28517123287702</v>
      </c>
      <c r="E379" s="1863"/>
      <c r="F379" s="1863"/>
      <c r="G379" s="1864">
        <v>296.4495853556071</v>
      </c>
      <c r="H379" s="1872">
        <v>586.83558587726998</v>
      </c>
      <c r="I379" s="1897"/>
      <c r="J379" s="1889">
        <f t="shared" si="26"/>
        <v>883.28517123287702</v>
      </c>
      <c r="K379" s="1863"/>
      <c r="L379" s="1868"/>
      <c r="M379" s="1897"/>
      <c r="N379" s="1889">
        <f t="shared" si="27"/>
        <v>0</v>
      </c>
    </row>
    <row r="380" spans="1:14">
      <c r="A380" s="1828">
        <v>3</v>
      </c>
      <c r="B380" s="1829" t="s">
        <v>278</v>
      </c>
      <c r="C380" s="1830"/>
      <c r="D380" s="1888">
        <f t="shared" si="25"/>
        <v>0</v>
      </c>
      <c r="E380" s="1863"/>
      <c r="F380" s="1032"/>
      <c r="G380" s="1864"/>
      <c r="H380" s="1872"/>
      <c r="I380" s="1897"/>
      <c r="J380" s="1889">
        <f t="shared" si="26"/>
        <v>0</v>
      </c>
      <c r="K380" s="1863"/>
      <c r="L380" s="1868"/>
      <c r="M380" s="1897"/>
      <c r="N380" s="1889">
        <f t="shared" si="27"/>
        <v>0</v>
      </c>
    </row>
    <row r="381" spans="1:14">
      <c r="A381" s="1828">
        <v>4</v>
      </c>
      <c r="B381" s="1829" t="s">
        <v>325</v>
      </c>
      <c r="C381" s="1830"/>
      <c r="D381" s="1888">
        <f t="shared" si="25"/>
        <v>0</v>
      </c>
      <c r="E381" s="1863"/>
      <c r="F381" s="1032"/>
      <c r="G381" s="1864"/>
      <c r="H381" s="1872"/>
      <c r="I381" s="1897"/>
      <c r="J381" s="1889">
        <f t="shared" si="26"/>
        <v>0</v>
      </c>
      <c r="K381" s="1863"/>
      <c r="L381" s="1868"/>
      <c r="M381" s="1897"/>
      <c r="N381" s="1889">
        <f t="shared" si="27"/>
        <v>0</v>
      </c>
    </row>
    <row r="382" spans="1:14">
      <c r="A382" s="1828">
        <v>5</v>
      </c>
      <c r="B382" s="1829" t="s">
        <v>280</v>
      </c>
      <c r="C382" s="1836">
        <v>5</v>
      </c>
      <c r="D382" s="1888">
        <f t="shared" si="25"/>
        <v>421394.41083452303</v>
      </c>
      <c r="E382" s="1863"/>
      <c r="F382" s="1032">
        <v>270692.00726679794</v>
      </c>
      <c r="G382" s="1042">
        <v>71307.14468750183</v>
      </c>
      <c r="H382" s="1872">
        <v>79395.258880223249</v>
      </c>
      <c r="I382" s="1897"/>
      <c r="J382" s="1889">
        <f t="shared" si="26"/>
        <v>150702.40356772509</v>
      </c>
      <c r="K382" s="1863"/>
      <c r="L382" s="1868"/>
      <c r="M382" s="1897"/>
      <c r="N382" s="1889">
        <f t="shared" si="27"/>
        <v>0</v>
      </c>
    </row>
    <row r="383" spans="1:14">
      <c r="A383" s="1828">
        <v>6</v>
      </c>
      <c r="B383" s="1829" t="s">
        <v>281</v>
      </c>
      <c r="C383" s="1830">
        <v>6</v>
      </c>
      <c r="D383" s="1888">
        <f t="shared" si="25"/>
        <v>0</v>
      </c>
      <c r="E383" s="1863"/>
      <c r="F383" s="1032"/>
      <c r="G383" s="1042"/>
      <c r="H383" s="1872"/>
      <c r="I383" s="1897"/>
      <c r="J383" s="1889">
        <f t="shared" si="26"/>
        <v>0</v>
      </c>
      <c r="K383" s="1863"/>
      <c r="L383" s="1868"/>
      <c r="M383" s="1897"/>
      <c r="N383" s="1889">
        <f t="shared" si="27"/>
        <v>0</v>
      </c>
    </row>
    <row r="384" spans="1:14">
      <c r="A384" s="1828">
        <v>7</v>
      </c>
      <c r="B384" s="1829" t="s">
        <v>282</v>
      </c>
      <c r="C384" s="1836">
        <v>7</v>
      </c>
      <c r="D384" s="1888">
        <f t="shared" si="25"/>
        <v>0</v>
      </c>
      <c r="E384" s="1863">
        <f>SUM(E385:E386)</f>
        <v>0</v>
      </c>
      <c r="F384" s="1032"/>
      <c r="G384" s="1032"/>
      <c r="H384" s="1868"/>
      <c r="I384" s="1897"/>
      <c r="J384" s="1889">
        <f t="shared" si="26"/>
        <v>0</v>
      </c>
      <c r="K384" s="1863">
        <f>K385+K386</f>
        <v>0</v>
      </c>
      <c r="L384" s="1868">
        <f>L385+L386</f>
        <v>0</v>
      </c>
      <c r="M384" s="1897">
        <f>M385+M386</f>
        <v>0</v>
      </c>
      <c r="N384" s="1889">
        <f t="shared" si="27"/>
        <v>0</v>
      </c>
    </row>
    <row r="385" spans="1:14">
      <c r="A385" s="1830"/>
      <c r="B385" s="1837" t="s">
        <v>283</v>
      </c>
      <c r="C385" s="1836"/>
      <c r="D385" s="1888">
        <f t="shared" si="25"/>
        <v>0</v>
      </c>
      <c r="E385" s="1863"/>
      <c r="F385" s="1863"/>
      <c r="G385" s="1863"/>
      <c r="H385" s="1868"/>
      <c r="I385" s="1897"/>
      <c r="J385" s="1889">
        <f t="shared" si="26"/>
        <v>0</v>
      </c>
      <c r="K385" s="1863"/>
      <c r="L385" s="1868"/>
      <c r="M385" s="1897"/>
      <c r="N385" s="1889">
        <f t="shared" si="27"/>
        <v>0</v>
      </c>
    </row>
    <row r="386" spans="1:14">
      <c r="A386" s="1830"/>
      <c r="B386" s="1837" t="s">
        <v>284</v>
      </c>
      <c r="C386" s="1836"/>
      <c r="D386" s="1888">
        <f t="shared" si="25"/>
        <v>0</v>
      </c>
      <c r="E386" s="1863"/>
      <c r="F386" s="1863"/>
      <c r="G386" s="1864"/>
      <c r="H386" s="1872"/>
      <c r="I386" s="1897"/>
      <c r="J386" s="1889">
        <f t="shared" si="26"/>
        <v>0</v>
      </c>
      <c r="K386" s="1863"/>
      <c r="L386" s="1868"/>
      <c r="M386" s="1897"/>
      <c r="N386" s="1889">
        <f t="shared" si="27"/>
        <v>0</v>
      </c>
    </row>
    <row r="387" spans="1:14">
      <c r="A387" s="1828">
        <v>8</v>
      </c>
      <c r="B387" s="1829" t="s">
        <v>285</v>
      </c>
      <c r="C387" s="1830">
        <v>8</v>
      </c>
      <c r="D387" s="1888">
        <f t="shared" si="25"/>
        <v>0</v>
      </c>
      <c r="E387" s="1863"/>
      <c r="F387" s="1032"/>
      <c r="G387" s="1032"/>
      <c r="H387" s="1868"/>
      <c r="I387" s="1897"/>
      <c r="J387" s="1889">
        <f t="shared" si="26"/>
        <v>0</v>
      </c>
      <c r="K387" s="1863">
        <f>K388+K389</f>
        <v>0</v>
      </c>
      <c r="L387" s="1868">
        <f>L388+L389</f>
        <v>0</v>
      </c>
      <c r="M387" s="1897">
        <f>M388+M389</f>
        <v>0</v>
      </c>
      <c r="N387" s="1889">
        <f t="shared" si="27"/>
        <v>0</v>
      </c>
    </row>
    <row r="388" spans="1:14">
      <c r="A388" s="1828"/>
      <c r="B388" s="1837" t="s">
        <v>286</v>
      </c>
      <c r="C388" s="1830"/>
      <c r="D388" s="1888">
        <f t="shared" si="25"/>
        <v>0</v>
      </c>
      <c r="E388" s="1863"/>
      <c r="F388" s="1863"/>
      <c r="G388" s="1863"/>
      <c r="H388" s="1868"/>
      <c r="I388" s="1897"/>
      <c r="J388" s="1889">
        <f t="shared" si="26"/>
        <v>0</v>
      </c>
      <c r="K388" s="1863"/>
      <c r="L388" s="1868"/>
      <c r="M388" s="1897"/>
      <c r="N388" s="1889">
        <f t="shared" si="27"/>
        <v>0</v>
      </c>
    </row>
    <row r="389" spans="1:14">
      <c r="A389" s="1828"/>
      <c r="B389" s="1837" t="s">
        <v>287</v>
      </c>
      <c r="C389" s="1830"/>
      <c r="D389" s="1888">
        <f t="shared" si="25"/>
        <v>0</v>
      </c>
      <c r="E389" s="1863"/>
      <c r="F389" s="1863"/>
      <c r="G389" s="1864"/>
      <c r="H389" s="1872"/>
      <c r="I389" s="1897"/>
      <c r="J389" s="1889">
        <f t="shared" si="26"/>
        <v>0</v>
      </c>
      <c r="K389" s="1863"/>
      <c r="L389" s="1868"/>
      <c r="M389" s="1897"/>
      <c r="N389" s="1889">
        <f t="shared" si="27"/>
        <v>0</v>
      </c>
    </row>
    <row r="390" spans="1:14" ht="26.45">
      <c r="A390" s="1838">
        <v>9</v>
      </c>
      <c r="B390" s="1839" t="s">
        <v>288</v>
      </c>
      <c r="C390" s="1840"/>
      <c r="D390" s="1905">
        <f>+E390+F390+J390+N390</f>
        <v>3800083.833728746</v>
      </c>
      <c r="E390" s="1906">
        <f>SUM(E391:E394)</f>
        <v>0</v>
      </c>
      <c r="F390" s="1906">
        <f t="shared" ref="F390:N390" si="28">SUM(F391:F394)</f>
        <v>844653.6114456309</v>
      </c>
      <c r="G390" s="1906">
        <f t="shared" si="28"/>
        <v>1981076.5096033269</v>
      </c>
      <c r="H390" s="1879">
        <f t="shared" si="28"/>
        <v>974353.71267978812</v>
      </c>
      <c r="I390" s="1925">
        <f t="shared" si="28"/>
        <v>0</v>
      </c>
      <c r="J390" s="1908">
        <f t="shared" si="28"/>
        <v>2955430.2222831151</v>
      </c>
      <c r="K390" s="1906">
        <f t="shared" si="28"/>
        <v>0</v>
      </c>
      <c r="L390" s="1879">
        <f t="shared" si="28"/>
        <v>0</v>
      </c>
      <c r="M390" s="1925">
        <f t="shared" si="28"/>
        <v>0</v>
      </c>
      <c r="N390" s="1908">
        <f t="shared" si="28"/>
        <v>0</v>
      </c>
    </row>
    <row r="391" spans="1:14">
      <c r="A391" s="1830">
        <v>10</v>
      </c>
      <c r="B391" s="1846" t="s">
        <v>289</v>
      </c>
      <c r="C391" s="1830">
        <v>9</v>
      </c>
      <c r="D391" s="1888">
        <f t="shared" si="25"/>
        <v>2690641.1639902117</v>
      </c>
      <c r="E391" s="1863"/>
      <c r="F391" s="1863">
        <v>578580.85289223096</v>
      </c>
      <c r="G391" s="1864">
        <v>1451605.3871455267</v>
      </c>
      <c r="H391" s="1872">
        <v>660454.923952454</v>
      </c>
      <c r="I391" s="1897"/>
      <c r="J391" s="1889">
        <f t="shared" si="26"/>
        <v>2112060.3110979805</v>
      </c>
      <c r="K391" s="1864"/>
      <c r="L391" s="1913"/>
      <c r="M391" s="1866"/>
      <c r="N391" s="1889">
        <f t="shared" si="27"/>
        <v>0</v>
      </c>
    </row>
    <row r="392" spans="1:14">
      <c r="A392" s="1830">
        <v>11</v>
      </c>
      <c r="B392" s="1846" t="s">
        <v>290</v>
      </c>
      <c r="C392" s="1830">
        <v>10</v>
      </c>
      <c r="D392" s="1888">
        <f t="shared" si="25"/>
        <v>1108396.9069385342</v>
      </c>
      <c r="E392" s="1863"/>
      <c r="F392" s="1032">
        <v>266072.75855339994</v>
      </c>
      <c r="G392" s="1042">
        <v>528425.35965780029</v>
      </c>
      <c r="H392" s="1043">
        <v>313898.78872733412</v>
      </c>
      <c r="I392" s="1053"/>
      <c r="J392" s="1889">
        <f t="shared" si="26"/>
        <v>842324.14838513441</v>
      </c>
      <c r="K392" s="1864"/>
      <c r="L392" s="1865"/>
      <c r="M392" s="1044"/>
      <c r="N392" s="1889">
        <f t="shared" si="27"/>
        <v>0</v>
      </c>
    </row>
    <row r="393" spans="1:14">
      <c r="A393" s="1830">
        <v>12</v>
      </c>
      <c r="B393" s="1846" t="s">
        <v>291</v>
      </c>
      <c r="C393" s="1830">
        <v>11</v>
      </c>
      <c r="D393" s="1888">
        <f t="shared" si="25"/>
        <v>0</v>
      </c>
      <c r="E393" s="1863"/>
      <c r="F393" s="1032">
        <v>0</v>
      </c>
      <c r="G393" s="1042">
        <v>0</v>
      </c>
      <c r="H393" s="1043">
        <v>0</v>
      </c>
      <c r="I393" s="1053"/>
      <c r="J393" s="1889">
        <f t="shared" si="26"/>
        <v>0</v>
      </c>
      <c r="K393" s="1864"/>
      <c r="L393" s="1865"/>
      <c r="M393" s="1044"/>
      <c r="N393" s="1889">
        <f t="shared" si="27"/>
        <v>0</v>
      </c>
    </row>
    <row r="394" spans="1:14" ht="26.45">
      <c r="A394" s="1830">
        <v>13</v>
      </c>
      <c r="B394" s="1846" t="s">
        <v>292</v>
      </c>
      <c r="C394" s="1830">
        <v>12</v>
      </c>
      <c r="D394" s="1888">
        <f t="shared" si="25"/>
        <v>1045.7628</v>
      </c>
      <c r="E394" s="1863"/>
      <c r="F394" s="1032">
        <v>0</v>
      </c>
      <c r="G394" s="1042">
        <v>1045.7628</v>
      </c>
      <c r="H394" s="1043">
        <v>0</v>
      </c>
      <c r="I394" s="1053"/>
      <c r="J394" s="1889">
        <f t="shared" si="26"/>
        <v>1045.7628</v>
      </c>
      <c r="K394" s="1864"/>
      <c r="L394" s="1865"/>
      <c r="M394" s="1044"/>
      <c r="N394" s="1889">
        <f t="shared" si="27"/>
        <v>0</v>
      </c>
    </row>
    <row r="395" spans="1:14">
      <c r="A395" s="1830">
        <v>14</v>
      </c>
      <c r="B395" s="1829" t="s">
        <v>293</v>
      </c>
      <c r="C395" s="1830">
        <v>13</v>
      </c>
      <c r="D395" s="1888">
        <f t="shared" si="25"/>
        <v>34762.789219000006</v>
      </c>
      <c r="E395" s="1863"/>
      <c r="F395" s="1863"/>
      <c r="G395" s="1864">
        <v>34762.789219000006</v>
      </c>
      <c r="H395" s="1872"/>
      <c r="I395" s="1897"/>
      <c r="J395" s="1889">
        <f t="shared" si="26"/>
        <v>34762.789219000006</v>
      </c>
      <c r="K395" s="1864"/>
      <c r="L395" s="1913"/>
      <c r="M395" s="1911"/>
      <c r="N395" s="1889">
        <f t="shared" si="27"/>
        <v>0</v>
      </c>
    </row>
    <row r="396" spans="1:14">
      <c r="A396" s="1830">
        <v>15</v>
      </c>
      <c r="B396" s="1829" t="s">
        <v>294</v>
      </c>
      <c r="C396" s="1836">
        <v>14</v>
      </c>
      <c r="D396" s="1888">
        <f t="shared" si="25"/>
        <v>13451.223400000001</v>
      </c>
      <c r="E396" s="1863"/>
      <c r="F396" s="1032"/>
      <c r="G396" s="1042">
        <v>2310.1743999999999</v>
      </c>
      <c r="H396" s="1035">
        <v>11141.049000000001</v>
      </c>
      <c r="I396" s="1897"/>
      <c r="J396" s="1889">
        <f t="shared" si="26"/>
        <v>13451.223400000001</v>
      </c>
      <c r="K396" s="1864"/>
      <c r="L396" s="1913"/>
      <c r="M396" s="1911"/>
      <c r="N396" s="1889">
        <f t="shared" si="27"/>
        <v>0</v>
      </c>
    </row>
    <row r="397" spans="1:14">
      <c r="A397" s="1830">
        <v>16</v>
      </c>
      <c r="B397" s="1829" t="s">
        <v>295</v>
      </c>
      <c r="C397" s="1830">
        <v>15</v>
      </c>
      <c r="D397" s="1888">
        <f t="shared" si="25"/>
        <v>18300.755219999999</v>
      </c>
      <c r="E397" s="1863"/>
      <c r="F397" s="1032"/>
      <c r="G397" s="1042">
        <v>3061.8000699999984</v>
      </c>
      <c r="H397" s="1035">
        <v>15238.95515</v>
      </c>
      <c r="I397" s="1897"/>
      <c r="J397" s="1889">
        <f t="shared" si="26"/>
        <v>18300.755219999999</v>
      </c>
      <c r="K397" s="1864"/>
      <c r="L397" s="1913"/>
      <c r="M397" s="1911"/>
      <c r="N397" s="1889">
        <f t="shared" si="27"/>
        <v>0</v>
      </c>
    </row>
    <row r="398" spans="1:14">
      <c r="A398" s="1830">
        <v>17</v>
      </c>
      <c r="B398" s="1829" t="s">
        <v>296</v>
      </c>
      <c r="C398" s="1836">
        <v>16</v>
      </c>
      <c r="D398" s="1888">
        <f t="shared" si="25"/>
        <v>115706.49042794801</v>
      </c>
      <c r="E398" s="1863"/>
      <c r="F398" s="1032">
        <v>79010.941169348022</v>
      </c>
      <c r="G398" s="1042">
        <v>9668.2422766</v>
      </c>
      <c r="H398" s="1043">
        <v>27027.306981999998</v>
      </c>
      <c r="I398" s="1911"/>
      <c r="J398" s="1889">
        <f t="shared" si="26"/>
        <v>36695.549258599996</v>
      </c>
      <c r="K398" s="1864"/>
      <c r="L398" s="1865"/>
      <c r="M398" s="1866"/>
      <c r="N398" s="1889">
        <f t="shared" si="27"/>
        <v>0</v>
      </c>
    </row>
    <row r="399" spans="1:14">
      <c r="A399" s="1830">
        <v>18</v>
      </c>
      <c r="B399" s="1829" t="s">
        <v>297</v>
      </c>
      <c r="C399" s="1830"/>
      <c r="D399" s="1888">
        <f t="shared" si="25"/>
        <v>0</v>
      </c>
      <c r="E399" s="1863"/>
      <c r="F399" s="1032"/>
      <c r="G399" s="1042"/>
      <c r="H399" s="1035"/>
      <c r="I399" s="1897"/>
      <c r="J399" s="1889">
        <f t="shared" si="26"/>
        <v>0</v>
      </c>
      <c r="K399" s="1864"/>
      <c r="L399" s="1913"/>
      <c r="M399" s="1911"/>
      <c r="N399" s="1889">
        <f t="shared" si="27"/>
        <v>0</v>
      </c>
    </row>
    <row r="400" spans="1:14" ht="15" thickBot="1">
      <c r="A400" s="1847">
        <v>19</v>
      </c>
      <c r="B400" s="1848" t="s">
        <v>298</v>
      </c>
      <c r="C400" s="1847"/>
      <c r="D400" s="3117">
        <f t="shared" si="25"/>
        <v>31754</v>
      </c>
      <c r="E400" s="3114"/>
      <c r="F400" s="1036">
        <v>1298</v>
      </c>
      <c r="G400" s="1060">
        <v>28671</v>
      </c>
      <c r="H400" s="1058">
        <v>1785</v>
      </c>
      <c r="I400" s="1923"/>
      <c r="J400" s="3118">
        <f t="shared" si="26"/>
        <v>30456</v>
      </c>
      <c r="K400" s="3116"/>
      <c r="L400" s="1917"/>
      <c r="M400" s="1922"/>
      <c r="N400" s="3118">
        <f t="shared" si="27"/>
        <v>0</v>
      </c>
    </row>
    <row r="401" spans="1:14" ht="27" thickBot="1">
      <c r="A401" s="1138">
        <v>20</v>
      </c>
      <c r="B401" s="1139" t="s">
        <v>299</v>
      </c>
      <c r="C401" s="1138"/>
      <c r="D401" s="1163">
        <f t="shared" si="25"/>
        <v>4436336.7880014498</v>
      </c>
      <c r="E401" s="1163">
        <f>SUM(E378:E384)+E387+E390+SUM(E395:E400)</f>
        <v>0</v>
      </c>
      <c r="F401" s="1163">
        <f>SUM(F378:F384)+F387+F390+SUM(F395:F400)</f>
        <v>1195654.559881777</v>
      </c>
      <c r="G401" s="1163">
        <f>SUM(G378:G384)+G387+G390+SUM(G395:G400)</f>
        <v>2131154.1098417845</v>
      </c>
      <c r="H401" s="1164">
        <f>SUM(H378:H384)+H387+H390+SUM(H395:H400)</f>
        <v>1109528.1182778887</v>
      </c>
      <c r="I401" s="1193">
        <f>SUM(I378:I384)+I387+I390+SUM(I395:I400)</f>
        <v>0</v>
      </c>
      <c r="J401" s="1163">
        <f t="shared" si="26"/>
        <v>3240682.2281196732</v>
      </c>
      <c r="K401" s="1163">
        <f>SUM(K378:K384)+K387+K390+SUM(K395:K400)</f>
        <v>0</v>
      </c>
      <c r="L401" s="1164">
        <f>SUM(L378:L384)+L387+L390+SUM(L395:L400)</f>
        <v>0</v>
      </c>
      <c r="M401" s="1193">
        <f>SUM(M378:M384)+M387+M390+SUM(M395:M400)</f>
        <v>0</v>
      </c>
      <c r="N401" s="1163">
        <f t="shared" si="27"/>
        <v>0</v>
      </c>
    </row>
    <row r="402" spans="1:14">
      <c r="A402" s="1133"/>
      <c r="B402" s="1134" t="s">
        <v>300</v>
      </c>
      <c r="C402" s="1133"/>
      <c r="D402" s="1172">
        <f t="shared" si="25"/>
        <v>0</v>
      </c>
      <c r="E402" s="1032"/>
      <c r="F402" s="1032"/>
      <c r="G402" s="1042"/>
      <c r="H402" s="1035"/>
      <c r="I402" s="1052"/>
      <c r="J402" s="1177">
        <f t="shared" si="26"/>
        <v>0</v>
      </c>
      <c r="K402" s="1042"/>
      <c r="L402" s="1054"/>
      <c r="M402" s="1053"/>
      <c r="N402" s="1177">
        <f t="shared" si="27"/>
        <v>0</v>
      </c>
    </row>
    <row r="403" spans="1:14">
      <c r="A403" s="1830"/>
      <c r="B403" s="1850" t="s">
        <v>301</v>
      </c>
      <c r="C403" s="1830"/>
      <c r="D403" s="1888">
        <f t="shared" si="25"/>
        <v>0</v>
      </c>
      <c r="E403" s="1863"/>
      <c r="F403" s="1863"/>
      <c r="G403" s="1864"/>
      <c r="H403" s="1872"/>
      <c r="I403" s="1897"/>
      <c r="J403" s="1889">
        <f t="shared" si="26"/>
        <v>0</v>
      </c>
      <c r="K403" s="1864"/>
      <c r="L403" s="1913"/>
      <c r="M403" s="1911"/>
      <c r="N403" s="1889">
        <f t="shared" si="27"/>
        <v>0</v>
      </c>
    </row>
    <row r="404" spans="1:14">
      <c r="A404" s="1830">
        <v>21</v>
      </c>
      <c r="B404" s="1829" t="s">
        <v>302</v>
      </c>
      <c r="C404" s="1836">
        <v>17</v>
      </c>
      <c r="D404" s="1888">
        <f t="shared" si="25"/>
        <v>2869693.9740543384</v>
      </c>
      <c r="E404" s="1863"/>
      <c r="F404" s="1863"/>
      <c r="G404" s="1864">
        <v>1980377.7296273699</v>
      </c>
      <c r="H404" s="1872">
        <v>889316.24442696827</v>
      </c>
      <c r="I404" s="1897"/>
      <c r="J404" s="1889">
        <f t="shared" si="26"/>
        <v>2869693.9740543384</v>
      </c>
      <c r="K404" s="1864"/>
      <c r="L404" s="1913"/>
      <c r="M404" s="1866"/>
      <c r="N404" s="1889">
        <f t="shared" si="27"/>
        <v>0</v>
      </c>
    </row>
    <row r="405" spans="1:14">
      <c r="A405" s="1830">
        <v>22</v>
      </c>
      <c r="B405" s="1829" t="s">
        <v>303</v>
      </c>
      <c r="C405" s="1830"/>
      <c r="D405" s="1888">
        <f t="shared" si="25"/>
        <v>12451.935630000002</v>
      </c>
      <c r="E405" s="1863"/>
      <c r="F405" s="1863"/>
      <c r="G405" s="1042">
        <v>4211.9705403000007</v>
      </c>
      <c r="H405" s="1035">
        <v>8239.965089700001</v>
      </c>
      <c r="I405" s="1897"/>
      <c r="J405" s="1889">
        <f t="shared" si="26"/>
        <v>12451.935630000002</v>
      </c>
      <c r="K405" s="1864"/>
      <c r="L405" s="1913"/>
      <c r="M405" s="1911"/>
      <c r="N405" s="1889">
        <f t="shared" si="27"/>
        <v>0</v>
      </c>
    </row>
    <row r="406" spans="1:14">
      <c r="A406" s="1830">
        <v>23</v>
      </c>
      <c r="B406" s="1829" t="s">
        <v>304</v>
      </c>
      <c r="C406" s="1830">
        <v>18</v>
      </c>
      <c r="D406" s="1888">
        <f t="shared" si="25"/>
        <v>17553.767249999997</v>
      </c>
      <c r="E406" s="1863"/>
      <c r="F406" s="1863"/>
      <c r="G406" s="1042">
        <v>938.24288000000013</v>
      </c>
      <c r="H406" s="1035">
        <v>16615.524369999996</v>
      </c>
      <c r="I406" s="1897"/>
      <c r="J406" s="1889">
        <f t="shared" si="26"/>
        <v>17553.767249999997</v>
      </c>
      <c r="K406" s="1864"/>
      <c r="L406" s="1913"/>
      <c r="M406" s="1911"/>
      <c r="N406" s="1889">
        <f t="shared" si="27"/>
        <v>0</v>
      </c>
    </row>
    <row r="407" spans="1:14">
      <c r="A407" s="1830">
        <v>24</v>
      </c>
      <c r="B407" s="1829" t="s">
        <v>305</v>
      </c>
      <c r="C407" s="1830"/>
      <c r="D407" s="1888">
        <f t="shared" si="25"/>
        <v>0</v>
      </c>
      <c r="E407" s="1863"/>
      <c r="F407" s="3114"/>
      <c r="G407" s="1060"/>
      <c r="H407" s="1058"/>
      <c r="I407" s="1897"/>
      <c r="J407" s="1889">
        <f t="shared" si="26"/>
        <v>0</v>
      </c>
      <c r="K407" s="1864"/>
      <c r="L407" s="1913"/>
      <c r="M407" s="1911"/>
      <c r="N407" s="1889">
        <f t="shared" si="27"/>
        <v>0</v>
      </c>
    </row>
    <row r="408" spans="1:14">
      <c r="A408" s="1830">
        <v>25</v>
      </c>
      <c r="B408" s="1851" t="s">
        <v>306</v>
      </c>
      <c r="C408" s="1830"/>
      <c r="D408" s="1888">
        <f t="shared" si="25"/>
        <v>0</v>
      </c>
      <c r="E408" s="1863"/>
      <c r="F408" s="1075"/>
      <c r="G408" s="1078"/>
      <c r="H408" s="1079"/>
      <c r="I408" s="1923"/>
      <c r="J408" s="1889">
        <f t="shared" si="26"/>
        <v>0</v>
      </c>
      <c r="K408" s="1864"/>
      <c r="L408" s="1913"/>
      <c r="M408" s="1911"/>
      <c r="N408" s="1889">
        <f t="shared" si="27"/>
        <v>0</v>
      </c>
    </row>
    <row r="409" spans="1:14" ht="15" thickBot="1">
      <c r="A409" s="1847">
        <v>26</v>
      </c>
      <c r="B409" s="1848" t="s">
        <v>307</v>
      </c>
      <c r="C409" s="1852">
        <v>19</v>
      </c>
      <c r="D409" s="1888">
        <f t="shared" si="25"/>
        <v>240117.43139784431</v>
      </c>
      <c r="E409" s="1863"/>
      <c r="F409" s="1080">
        <v>0</v>
      </c>
      <c r="G409" s="1081">
        <v>95908.542221479176</v>
      </c>
      <c r="H409" s="1082">
        <v>144208.88917636513</v>
      </c>
      <c r="I409" s="1076"/>
      <c r="J409" s="1889">
        <f t="shared" si="26"/>
        <v>240117.43139784431</v>
      </c>
      <c r="K409" s="1864"/>
      <c r="L409" s="1065"/>
      <c r="M409" s="1930"/>
      <c r="N409" s="1889">
        <f t="shared" si="27"/>
        <v>0</v>
      </c>
    </row>
    <row r="410" spans="1:14" ht="15" thickBot="1">
      <c r="A410" s="1135">
        <v>27</v>
      </c>
      <c r="B410" s="1136" t="s">
        <v>308</v>
      </c>
      <c r="C410" s="1135"/>
      <c r="D410" s="1173">
        <f t="shared" si="25"/>
        <v>3139817.1083321823</v>
      </c>
      <c r="E410" s="1041">
        <f>SUM(E404:E409)</f>
        <v>0</v>
      </c>
      <c r="F410" s="1041">
        <f>SUM(F404:F409)</f>
        <v>0</v>
      </c>
      <c r="G410" s="1041">
        <f>SUM(G404:G409)</f>
        <v>2081436.4852691491</v>
      </c>
      <c r="H410" s="1045">
        <f>SUM(H404:H409)</f>
        <v>1058380.6230630334</v>
      </c>
      <c r="I410" s="1073">
        <f>SUM(I404:I409)</f>
        <v>0</v>
      </c>
      <c r="J410" s="1176">
        <f t="shared" si="26"/>
        <v>3139817.1083321823</v>
      </c>
      <c r="K410" s="1041">
        <f>SUM(K404:K409)</f>
        <v>0</v>
      </c>
      <c r="L410" s="1041">
        <f>SUM(L404:L409)</f>
        <v>0</v>
      </c>
      <c r="M410" s="1041">
        <f>SUM(M404:M409)</f>
        <v>0</v>
      </c>
      <c r="N410" s="1180">
        <f t="shared" si="27"/>
        <v>0</v>
      </c>
    </row>
    <row r="411" spans="1:14">
      <c r="A411" s="1133"/>
      <c r="B411" s="1134" t="s">
        <v>309</v>
      </c>
      <c r="C411" s="1133">
        <v>20</v>
      </c>
      <c r="D411" s="1172">
        <f t="shared" si="25"/>
        <v>0</v>
      </c>
      <c r="E411" s="1032"/>
      <c r="F411" s="1032"/>
      <c r="G411" s="1042"/>
      <c r="H411" s="1035"/>
      <c r="I411" s="1052"/>
      <c r="J411" s="1177">
        <f t="shared" si="26"/>
        <v>0</v>
      </c>
      <c r="K411" s="1032"/>
      <c r="L411" s="1033"/>
      <c r="M411" s="1052"/>
      <c r="N411" s="1177">
        <f t="shared" si="27"/>
        <v>0</v>
      </c>
    </row>
    <row r="412" spans="1:14">
      <c r="A412" s="1830">
        <v>28</v>
      </c>
      <c r="B412" s="1829" t="s">
        <v>310</v>
      </c>
      <c r="C412" s="1836"/>
      <c r="D412" s="1888">
        <f t="shared" si="25"/>
        <v>544260.04</v>
      </c>
      <c r="E412" s="1863"/>
      <c r="F412" s="1863">
        <v>544260.04</v>
      </c>
      <c r="G412" s="1864"/>
      <c r="H412" s="1872"/>
      <c r="I412" s="1897"/>
      <c r="J412" s="1889">
        <f t="shared" si="26"/>
        <v>0</v>
      </c>
      <c r="K412" s="1863"/>
      <c r="L412" s="1868"/>
      <c r="M412" s="1897"/>
      <c r="N412" s="1889">
        <f t="shared" si="27"/>
        <v>0</v>
      </c>
    </row>
    <row r="413" spans="1:14">
      <c r="A413" s="1830">
        <v>29</v>
      </c>
      <c r="B413" s="1829" t="s">
        <v>311</v>
      </c>
      <c r="C413" s="1836"/>
      <c r="D413" s="1888">
        <f t="shared" si="25"/>
        <v>-23957.716998777636</v>
      </c>
      <c r="E413" s="1863"/>
      <c r="F413" s="1032">
        <v>-17756.587927546305</v>
      </c>
      <c r="G413" s="1864">
        <v>-8451.6967782691099</v>
      </c>
      <c r="H413" s="1872">
        <v>2250.5677070377801</v>
      </c>
      <c r="I413" s="1897"/>
      <c r="J413" s="1889">
        <f t="shared" si="26"/>
        <v>-6201.1290712313294</v>
      </c>
      <c r="K413" s="1863"/>
      <c r="L413" s="1868"/>
      <c r="M413" s="1897"/>
      <c r="N413" s="1889">
        <f t="shared" si="27"/>
        <v>0</v>
      </c>
    </row>
    <row r="414" spans="1:14">
      <c r="A414" s="1830">
        <v>30</v>
      </c>
      <c r="B414" s="1848" t="s">
        <v>312</v>
      </c>
      <c r="C414" s="1852"/>
      <c r="D414" s="1888">
        <f t="shared" si="25"/>
        <v>262095.57845</v>
      </c>
      <c r="E414" s="1863"/>
      <c r="F414" s="1036">
        <v>155029.3296</v>
      </c>
      <c r="G414" s="3116">
        <v>58169.321348000005</v>
      </c>
      <c r="H414" s="1885">
        <v>48896.927501999999</v>
      </c>
      <c r="I414" s="1923"/>
      <c r="J414" s="1889">
        <f t="shared" si="26"/>
        <v>107066.24885</v>
      </c>
      <c r="K414" s="1863"/>
      <c r="L414" s="1868"/>
      <c r="M414" s="1897"/>
      <c r="N414" s="1889">
        <f t="shared" si="27"/>
        <v>0</v>
      </c>
    </row>
    <row r="415" spans="1:14">
      <c r="A415" s="1830">
        <v>31</v>
      </c>
      <c r="B415" s="1848" t="s">
        <v>313</v>
      </c>
      <c r="C415" s="1852"/>
      <c r="D415" s="1888">
        <f t="shared" si="25"/>
        <v>0</v>
      </c>
      <c r="E415" s="1863"/>
      <c r="F415" s="3114">
        <v>0</v>
      </c>
      <c r="G415" s="3116"/>
      <c r="H415" s="1885"/>
      <c r="I415" s="1923"/>
      <c r="J415" s="1889">
        <f t="shared" si="26"/>
        <v>0</v>
      </c>
      <c r="K415" s="1863"/>
      <c r="L415" s="1868"/>
      <c r="M415" s="1897"/>
      <c r="N415" s="1889">
        <f t="shared" si="27"/>
        <v>0</v>
      </c>
    </row>
    <row r="416" spans="1:14" ht="15" thickBot="1">
      <c r="A416" s="1847">
        <v>32</v>
      </c>
      <c r="B416" s="1848" t="s">
        <v>314</v>
      </c>
      <c r="C416" s="1852"/>
      <c r="D416" s="1888">
        <f t="shared" si="25"/>
        <v>514121.778214883</v>
      </c>
      <c r="E416" s="1863"/>
      <c r="F416" s="3114">
        <v>514121.778214883</v>
      </c>
      <c r="G416" s="3116"/>
      <c r="H416" s="1885"/>
      <c r="I416" s="1072"/>
      <c r="J416" s="1889">
        <f t="shared" si="26"/>
        <v>0</v>
      </c>
      <c r="K416" s="1863"/>
      <c r="L416" s="1868"/>
      <c r="M416" s="1897"/>
      <c r="N416" s="1889">
        <f t="shared" si="27"/>
        <v>0</v>
      </c>
    </row>
    <row r="417" spans="1:14" ht="15" thickBot="1">
      <c r="A417" s="1135">
        <v>33</v>
      </c>
      <c r="B417" s="1169" t="s">
        <v>315</v>
      </c>
      <c r="C417" s="1170"/>
      <c r="D417" s="1174">
        <f t="shared" si="25"/>
        <v>1296519.6796661054</v>
      </c>
      <c r="E417" s="1046">
        <f>SUM(E412:E416)</f>
        <v>0</v>
      </c>
      <c r="F417" s="1046">
        <f>SUM(F412:F416)</f>
        <v>1195654.5598873368</v>
      </c>
      <c r="G417" s="1046">
        <f>SUM(G412:G416)</f>
        <v>49717.624569730891</v>
      </c>
      <c r="H417" s="1046">
        <f>SUM(H412:H416)</f>
        <v>51147.495209037777</v>
      </c>
      <c r="I417" s="1074">
        <f>SUM(I412:I416)</f>
        <v>0</v>
      </c>
      <c r="J417" s="1178">
        <f t="shared" si="26"/>
        <v>100865.11977876867</v>
      </c>
      <c r="K417" s="1046">
        <f>SUM(K412:K416)</f>
        <v>0</v>
      </c>
      <c r="L417" s="1047">
        <f>SUM(L412:L416)</f>
        <v>0</v>
      </c>
      <c r="M417" s="1066">
        <f>SUM(M412:M416)</f>
        <v>0</v>
      </c>
      <c r="N417" s="1178">
        <f t="shared" si="27"/>
        <v>0</v>
      </c>
    </row>
    <row r="418" spans="1:14" ht="27" thickBot="1">
      <c r="A418" s="1138">
        <v>34</v>
      </c>
      <c r="B418" s="1139" t="s">
        <v>317</v>
      </c>
      <c r="C418" s="1138"/>
      <c r="D418" s="1166">
        <f t="shared" si="25"/>
        <v>4436336.7879982879</v>
      </c>
      <c r="E418" s="1166">
        <f>E417+E410</f>
        <v>0</v>
      </c>
      <c r="F418" s="1166">
        <f>F417+F410</f>
        <v>1195654.5598873368</v>
      </c>
      <c r="G418" s="1166">
        <f>G417+G410</f>
        <v>2131154.1098388801</v>
      </c>
      <c r="H418" s="1166">
        <f>H417+H410</f>
        <v>1109528.1182720712</v>
      </c>
      <c r="I418" s="1166">
        <f>I417+I410</f>
        <v>0</v>
      </c>
      <c r="J418" s="1166">
        <f t="shared" si="26"/>
        <v>3240682.2281109514</v>
      </c>
      <c r="K418" s="1166">
        <f>K417+K410</f>
        <v>0</v>
      </c>
      <c r="L418" s="1167">
        <f>L417+L410</f>
        <v>0</v>
      </c>
      <c r="M418" s="1206">
        <f>M417+M410</f>
        <v>0</v>
      </c>
      <c r="N418" s="1166">
        <f t="shared" si="27"/>
        <v>0</v>
      </c>
    </row>
    <row r="419" spans="1:14">
      <c r="B419"/>
      <c r="C419"/>
      <c r="D419"/>
      <c r="E419"/>
      <c r="F419"/>
      <c r="G419"/>
      <c r="H419"/>
      <c r="I419"/>
      <c r="J419"/>
      <c r="K419"/>
      <c r="L419"/>
      <c r="M419"/>
      <c r="N419"/>
    </row>
    <row r="420" spans="1:14">
      <c r="B420"/>
      <c r="C420"/>
      <c r="D420"/>
      <c r="E420"/>
      <c r="F420"/>
      <c r="G420"/>
      <c r="H420"/>
      <c r="I420"/>
      <c r="J420"/>
      <c r="K420"/>
      <c r="L420"/>
      <c r="M420"/>
      <c r="N420"/>
    </row>
    <row r="421" spans="1:14">
      <c r="B421"/>
      <c r="C421"/>
      <c r="D421"/>
      <c r="E421"/>
      <c r="F421"/>
      <c r="G421"/>
      <c r="H421"/>
      <c r="I421"/>
      <c r="J421"/>
      <c r="K421"/>
      <c r="L421"/>
      <c r="M421"/>
      <c r="N421"/>
    </row>
    <row r="423" spans="1:14" ht="15" thickBot="1"/>
    <row r="424" spans="1:14" ht="15" thickBot="1">
      <c r="A424" s="1153" t="s">
        <v>132</v>
      </c>
      <c r="B424" s="3303" t="s">
        <v>103</v>
      </c>
      <c r="C424" s="3304"/>
      <c r="D424" s="662"/>
      <c r="E424" s="662"/>
      <c r="F424" s="662"/>
      <c r="G424" s="662"/>
      <c r="H424" s="662"/>
      <c r="I424" s="662"/>
      <c r="J424" s="662"/>
      <c r="K424" s="662"/>
      <c r="L424" s="662"/>
      <c r="M424" s="3292"/>
      <c r="N424" s="3292" t="s">
        <v>257</v>
      </c>
    </row>
    <row r="425" spans="1:14" ht="13.5" customHeight="1" thickBot="1">
      <c r="A425" s="3293" t="s">
        <v>258</v>
      </c>
      <c r="B425" s="3298"/>
      <c r="C425" s="3280" t="s">
        <v>259</v>
      </c>
      <c r="D425" s="3283" t="s">
        <v>260</v>
      </c>
      <c r="E425" s="3283" t="s">
        <v>261</v>
      </c>
      <c r="F425" s="3283" t="s">
        <v>262</v>
      </c>
      <c r="G425" s="3286" t="s">
        <v>263</v>
      </c>
      <c r="H425" s="3287"/>
      <c r="I425" s="3287"/>
      <c r="J425" s="3287"/>
      <c r="K425" s="3287"/>
      <c r="L425" s="3287"/>
      <c r="M425" s="3287"/>
      <c r="N425" s="3288"/>
    </row>
    <row r="426" spans="1:14" ht="13.5" customHeight="1" thickBot="1">
      <c r="A426" s="3294"/>
      <c r="B426" s="3299"/>
      <c r="C426" s="3281"/>
      <c r="D426" s="3284"/>
      <c r="E426" s="3284"/>
      <c r="F426" s="3284"/>
      <c r="G426" s="3289" t="s">
        <v>264</v>
      </c>
      <c r="H426" s="3290"/>
      <c r="I426" s="3290"/>
      <c r="J426" s="3291"/>
      <c r="K426" s="3289" t="s">
        <v>265</v>
      </c>
      <c r="L426" s="3290"/>
      <c r="M426" s="3290"/>
      <c r="N426" s="3291"/>
    </row>
    <row r="427" spans="1:14" ht="40.15" thickBot="1">
      <c r="A427" s="3294"/>
      <c r="B427" s="3299"/>
      <c r="C427" s="3281"/>
      <c r="D427" s="3285"/>
      <c r="E427" s="3285"/>
      <c r="F427" s="3285"/>
      <c r="G427" s="1125" t="s">
        <v>267</v>
      </c>
      <c r="H427" s="1125" t="s">
        <v>268</v>
      </c>
      <c r="I427" s="1125" t="s">
        <v>269</v>
      </c>
      <c r="J427" s="1125" t="s">
        <v>160</v>
      </c>
      <c r="K427" s="1126" t="s">
        <v>270</v>
      </c>
      <c r="L427" s="1126" t="s">
        <v>271</v>
      </c>
      <c r="M427" s="1126" t="s">
        <v>272</v>
      </c>
      <c r="N427" s="2969" t="s">
        <v>160</v>
      </c>
    </row>
    <row r="428" spans="1:14" ht="15" thickBot="1">
      <c r="A428" s="3294"/>
      <c r="B428" s="3299"/>
      <c r="C428" s="3281"/>
      <c r="D428" s="1128">
        <v>1</v>
      </c>
      <c r="E428" s="3283">
        <v>2</v>
      </c>
      <c r="F428" s="3283">
        <v>3</v>
      </c>
      <c r="G428" s="3283">
        <v>4</v>
      </c>
      <c r="H428" s="3283">
        <v>5</v>
      </c>
      <c r="I428" s="3283">
        <v>6</v>
      </c>
      <c r="J428" s="2974">
        <v>7</v>
      </c>
      <c r="K428" s="3283">
        <v>8</v>
      </c>
      <c r="L428" s="3283">
        <v>9</v>
      </c>
      <c r="M428" s="3283">
        <v>10</v>
      </c>
      <c r="N428" s="1128">
        <v>11</v>
      </c>
    </row>
    <row r="429" spans="1:14" ht="15" thickBot="1">
      <c r="A429" s="3295"/>
      <c r="B429" s="3300"/>
      <c r="C429" s="3282"/>
      <c r="D429" s="1130"/>
      <c r="E429" s="3285"/>
      <c r="F429" s="3285"/>
      <c r="G429" s="3285"/>
      <c r="H429" s="3285"/>
      <c r="I429" s="3285"/>
      <c r="J429" s="1131" t="s">
        <v>273</v>
      </c>
      <c r="K429" s="3285"/>
      <c r="L429" s="3285"/>
      <c r="M429" s="3285"/>
      <c r="N429" s="1157" t="s">
        <v>274</v>
      </c>
    </row>
    <row r="430" spans="1:14">
      <c r="A430" s="1133"/>
      <c r="B430" s="1134" t="s">
        <v>275</v>
      </c>
      <c r="C430" s="1133"/>
      <c r="D430" s="1928"/>
      <c r="E430" s="1071"/>
      <c r="F430" s="1071"/>
      <c r="G430" s="1042"/>
      <c r="H430" s="1035"/>
      <c r="I430" s="1062"/>
      <c r="J430" s="1177"/>
      <c r="K430" s="1032"/>
      <c r="L430" s="1035"/>
      <c r="M430" s="1077"/>
      <c r="N430" s="1929"/>
    </row>
    <row r="431" spans="1:14">
      <c r="A431" s="1828">
        <v>1</v>
      </c>
      <c r="B431" s="1829" t="s">
        <v>276</v>
      </c>
      <c r="C431" s="1830"/>
      <c r="D431" s="1888">
        <f t="shared" ref="D431:D471" si="29">+E431+F431+J431+N431</f>
        <v>0</v>
      </c>
      <c r="E431" s="1863"/>
      <c r="F431" s="1863"/>
      <c r="G431" s="1864"/>
      <c r="H431" s="1872"/>
      <c r="I431" s="1897"/>
      <c r="J431" s="1889">
        <f t="shared" ref="J431:J471" si="30">G431+H431+I431</f>
        <v>0</v>
      </c>
      <c r="K431" s="1863"/>
      <c r="L431" s="1868"/>
      <c r="M431" s="1897"/>
      <c r="N431" s="1889">
        <f t="shared" ref="N431:N471" si="31">K431+L431+M431</f>
        <v>0</v>
      </c>
    </row>
    <row r="432" spans="1:14">
      <c r="A432" s="1828">
        <v>2</v>
      </c>
      <c r="B432" s="1829" t="s">
        <v>277</v>
      </c>
      <c r="C432" s="1830"/>
      <c r="D432" s="1888">
        <f t="shared" si="29"/>
        <v>57054</v>
      </c>
      <c r="E432" s="1863">
        <v>0</v>
      </c>
      <c r="F432" s="1863">
        <v>57054</v>
      </c>
      <c r="G432" s="1864"/>
      <c r="H432" s="1872"/>
      <c r="I432" s="1897"/>
      <c r="J432" s="1889">
        <f t="shared" si="30"/>
        <v>0</v>
      </c>
      <c r="K432" s="1863"/>
      <c r="L432" s="1868"/>
      <c r="M432" s="1897"/>
      <c r="N432" s="1889">
        <f t="shared" si="31"/>
        <v>0</v>
      </c>
    </row>
    <row r="433" spans="1:14">
      <c r="A433" s="1828">
        <v>3</v>
      </c>
      <c r="B433" s="1829" t="s">
        <v>278</v>
      </c>
      <c r="C433" s="1830"/>
      <c r="D433" s="1888">
        <f t="shared" si="29"/>
        <v>0</v>
      </c>
      <c r="E433" s="1863"/>
      <c r="F433" s="1032"/>
      <c r="G433" s="1864"/>
      <c r="H433" s="1872"/>
      <c r="I433" s="1897"/>
      <c r="J433" s="1889">
        <f t="shared" si="30"/>
        <v>0</v>
      </c>
      <c r="K433" s="1863"/>
      <c r="L433" s="1868"/>
      <c r="M433" s="1897"/>
      <c r="N433" s="1889">
        <f t="shared" si="31"/>
        <v>0</v>
      </c>
    </row>
    <row r="434" spans="1:14">
      <c r="A434" s="1828">
        <v>4</v>
      </c>
      <c r="B434" s="1829" t="s">
        <v>324</v>
      </c>
      <c r="C434" s="1830"/>
      <c r="D434" s="1888">
        <f t="shared" si="29"/>
        <v>343824</v>
      </c>
      <c r="E434" s="1863"/>
      <c r="F434" s="1032">
        <v>343824</v>
      </c>
      <c r="G434" s="1864"/>
      <c r="H434" s="1872"/>
      <c r="I434" s="1897"/>
      <c r="J434" s="1889">
        <f t="shared" si="30"/>
        <v>0</v>
      </c>
      <c r="K434" s="1863"/>
      <c r="L434" s="1868"/>
      <c r="M434" s="1897"/>
      <c r="N434" s="1889">
        <f t="shared" si="31"/>
        <v>0</v>
      </c>
    </row>
    <row r="435" spans="1:14">
      <c r="A435" s="1828">
        <v>5</v>
      </c>
      <c r="B435" s="1829" t="s">
        <v>280</v>
      </c>
      <c r="C435" s="1836">
        <v>5</v>
      </c>
      <c r="D435" s="1888">
        <f t="shared" si="29"/>
        <v>260442</v>
      </c>
      <c r="E435" s="1863">
        <v>0</v>
      </c>
      <c r="F435" s="1032">
        <v>260442</v>
      </c>
      <c r="G435" s="1042"/>
      <c r="H435" s="1872"/>
      <c r="I435" s="1897"/>
      <c r="J435" s="1889">
        <f t="shared" si="30"/>
        <v>0</v>
      </c>
      <c r="K435" s="1863"/>
      <c r="L435" s="1868"/>
      <c r="M435" s="1897"/>
      <c r="N435" s="1889">
        <f t="shared" si="31"/>
        <v>0</v>
      </c>
    </row>
    <row r="436" spans="1:14">
      <c r="A436" s="1828">
        <v>6</v>
      </c>
      <c r="B436" s="1829" t="s">
        <v>281</v>
      </c>
      <c r="C436" s="1830">
        <v>6</v>
      </c>
      <c r="D436" s="1888">
        <f t="shared" si="29"/>
        <v>0</v>
      </c>
      <c r="E436" s="1863"/>
      <c r="F436" s="1032"/>
      <c r="G436" s="1042"/>
      <c r="H436" s="1872"/>
      <c r="I436" s="1897"/>
      <c r="J436" s="1889">
        <f t="shared" si="30"/>
        <v>0</v>
      </c>
      <c r="K436" s="1863"/>
      <c r="L436" s="1868"/>
      <c r="M436" s="1897"/>
      <c r="N436" s="1889">
        <f t="shared" si="31"/>
        <v>0</v>
      </c>
    </row>
    <row r="437" spans="1:14">
      <c r="A437" s="1828">
        <v>7</v>
      </c>
      <c r="B437" s="1829" t="s">
        <v>282</v>
      </c>
      <c r="C437" s="1836">
        <v>7</v>
      </c>
      <c r="D437" s="1888">
        <f>+E437+F437+J437+N437</f>
        <v>1150000</v>
      </c>
      <c r="E437" s="1863"/>
      <c r="F437" s="1032">
        <f>SUM(F438:F439)</f>
        <v>1150000</v>
      </c>
      <c r="G437" s="1032"/>
      <c r="H437" s="1868"/>
      <c r="I437" s="1897"/>
      <c r="J437" s="1889">
        <f t="shared" si="30"/>
        <v>0</v>
      </c>
      <c r="K437" s="1863">
        <f>K438+K439</f>
        <v>0</v>
      </c>
      <c r="L437" s="1868">
        <f>L438+L439</f>
        <v>0</v>
      </c>
      <c r="M437" s="1897">
        <f>M438+M439</f>
        <v>0</v>
      </c>
      <c r="N437" s="1889">
        <f t="shared" si="31"/>
        <v>0</v>
      </c>
    </row>
    <row r="438" spans="1:14">
      <c r="A438" s="1830"/>
      <c r="B438" s="1837" t="s">
        <v>283</v>
      </c>
      <c r="C438" s="1836"/>
      <c r="D438" s="1888">
        <f t="shared" si="29"/>
        <v>1150000</v>
      </c>
      <c r="E438" s="1863"/>
      <c r="F438" s="1863">
        <v>1150000</v>
      </c>
      <c r="G438" s="1863"/>
      <c r="H438" s="1868"/>
      <c r="I438" s="1897"/>
      <c r="J438" s="1889">
        <f t="shared" si="30"/>
        <v>0</v>
      </c>
      <c r="K438" s="1863"/>
      <c r="L438" s="1868"/>
      <c r="M438" s="1897"/>
      <c r="N438" s="1889">
        <f t="shared" si="31"/>
        <v>0</v>
      </c>
    </row>
    <row r="439" spans="1:14">
      <c r="A439" s="1830"/>
      <c r="B439" s="1837" t="s">
        <v>284</v>
      </c>
      <c r="C439" s="1836"/>
      <c r="D439" s="1888">
        <f t="shared" si="29"/>
        <v>0</v>
      </c>
      <c r="E439" s="1863"/>
      <c r="F439" s="1863"/>
      <c r="G439" s="1864"/>
      <c r="H439" s="1872"/>
      <c r="I439" s="1897"/>
      <c r="J439" s="1889">
        <f t="shared" si="30"/>
        <v>0</v>
      </c>
      <c r="K439" s="1863"/>
      <c r="L439" s="1868"/>
      <c r="M439" s="1897"/>
      <c r="N439" s="1889">
        <f t="shared" si="31"/>
        <v>0</v>
      </c>
    </row>
    <row r="440" spans="1:14">
      <c r="A440" s="1828">
        <v>8</v>
      </c>
      <c r="B440" s="1829" t="s">
        <v>285</v>
      </c>
      <c r="C440" s="1830">
        <v>8</v>
      </c>
      <c r="D440" s="1888">
        <f t="shared" si="29"/>
        <v>0</v>
      </c>
      <c r="E440" s="1863"/>
      <c r="F440" s="1032"/>
      <c r="G440" s="1032"/>
      <c r="H440" s="1868"/>
      <c r="I440" s="1897"/>
      <c r="J440" s="1889">
        <f t="shared" si="30"/>
        <v>0</v>
      </c>
      <c r="K440" s="1863">
        <f>K441+K442</f>
        <v>0</v>
      </c>
      <c r="L440" s="1868">
        <f>L441+L442</f>
        <v>0</v>
      </c>
      <c r="M440" s="1897">
        <f>M441+M442</f>
        <v>0</v>
      </c>
      <c r="N440" s="1889">
        <f t="shared" si="31"/>
        <v>0</v>
      </c>
    </row>
    <row r="441" spans="1:14">
      <c r="A441" s="1828"/>
      <c r="B441" s="1837" t="s">
        <v>286</v>
      </c>
      <c r="C441" s="1830"/>
      <c r="D441" s="1888">
        <f t="shared" si="29"/>
        <v>0</v>
      </c>
      <c r="E441" s="1863"/>
      <c r="F441" s="1863"/>
      <c r="G441" s="1863"/>
      <c r="H441" s="1868"/>
      <c r="I441" s="1897"/>
      <c r="J441" s="1889">
        <f t="shared" si="30"/>
        <v>0</v>
      </c>
      <c r="K441" s="1863"/>
      <c r="L441" s="1868"/>
      <c r="M441" s="1897"/>
      <c r="N441" s="1889">
        <f t="shared" si="31"/>
        <v>0</v>
      </c>
    </row>
    <row r="442" spans="1:14">
      <c r="A442" s="1828"/>
      <c r="B442" s="1837" t="s">
        <v>287</v>
      </c>
      <c r="C442" s="1830"/>
      <c r="D442" s="1888">
        <f t="shared" si="29"/>
        <v>0</v>
      </c>
      <c r="E442" s="1863"/>
      <c r="F442" s="1863"/>
      <c r="G442" s="1864"/>
      <c r="H442" s="1872"/>
      <c r="I442" s="1897"/>
      <c r="J442" s="1889">
        <f t="shared" si="30"/>
        <v>0</v>
      </c>
      <c r="K442" s="1863"/>
      <c r="L442" s="1868"/>
      <c r="M442" s="1897"/>
      <c r="N442" s="1889">
        <f t="shared" si="31"/>
        <v>0</v>
      </c>
    </row>
    <row r="443" spans="1:14" ht="26.45">
      <c r="A443" s="1838">
        <v>9</v>
      </c>
      <c r="B443" s="1839" t="s">
        <v>288</v>
      </c>
      <c r="C443" s="1840"/>
      <c r="D443" s="1905">
        <f t="shared" si="29"/>
        <v>29973000.029148262</v>
      </c>
      <c r="E443" s="1906">
        <f>SUM(E444:E447)</f>
        <v>0</v>
      </c>
      <c r="F443" s="1906">
        <f>SUM(F444:F447)</f>
        <v>5020016.14685072</v>
      </c>
      <c r="G443" s="1906">
        <f>SUM(G444:G447)</f>
        <v>4406074.0522275437</v>
      </c>
      <c r="H443" s="1879">
        <f>SUM(H444:H447)</f>
        <v>4277459.3245000001</v>
      </c>
      <c r="I443" s="1925">
        <f>SUM(I444:I447)</f>
        <v>16269450.505569998</v>
      </c>
      <c r="J443" s="1908">
        <f t="shared" si="30"/>
        <v>24952983.882297542</v>
      </c>
      <c r="K443" s="1906">
        <f>SUM(K444:K447)</f>
        <v>0</v>
      </c>
      <c r="L443" s="1879">
        <f>SUM(L444:L447)</f>
        <v>0</v>
      </c>
      <c r="M443" s="1925">
        <f>SUM(M444:M447)</f>
        <v>0</v>
      </c>
      <c r="N443" s="1908">
        <f t="shared" si="31"/>
        <v>0</v>
      </c>
    </row>
    <row r="444" spans="1:14">
      <c r="A444" s="1830">
        <v>10</v>
      </c>
      <c r="B444" s="1846" t="s">
        <v>289</v>
      </c>
      <c r="C444" s="1830">
        <v>9</v>
      </c>
      <c r="D444" s="1888">
        <f t="shared" si="29"/>
        <v>10055447.566582456</v>
      </c>
      <c r="E444" s="1863"/>
      <c r="F444" s="1863">
        <v>344716.75630999997</v>
      </c>
      <c r="G444" s="1864">
        <v>1312944.4677524576</v>
      </c>
      <c r="H444" s="1872">
        <v>1336216.99009</v>
      </c>
      <c r="I444" s="1897">
        <v>7061569.35243</v>
      </c>
      <c r="J444" s="1889">
        <f t="shared" si="30"/>
        <v>9710730.8102724571</v>
      </c>
      <c r="K444" s="1864"/>
      <c r="L444" s="1913"/>
      <c r="M444" s="1866"/>
      <c r="N444" s="1889">
        <f t="shared" si="31"/>
        <v>0</v>
      </c>
    </row>
    <row r="445" spans="1:14">
      <c r="A445" s="1830">
        <v>11</v>
      </c>
      <c r="B445" s="1846" t="s">
        <v>290</v>
      </c>
      <c r="C445" s="1830">
        <v>10</v>
      </c>
      <c r="D445" s="1888">
        <f t="shared" si="29"/>
        <v>12225201.08553176</v>
      </c>
      <c r="E445" s="1863"/>
      <c r="F445" s="1032">
        <v>3544198.6427207203</v>
      </c>
      <c r="G445" s="1042">
        <v>1473283.3284410401</v>
      </c>
      <c r="H445" s="1043">
        <v>2809980.6364100003</v>
      </c>
      <c r="I445" s="1053">
        <v>4397738.4779599998</v>
      </c>
      <c r="J445" s="1889">
        <f t="shared" si="30"/>
        <v>8681002.4428110402</v>
      </c>
      <c r="K445" s="1864"/>
      <c r="L445" s="1865"/>
      <c r="M445" s="1044"/>
      <c r="N445" s="1889">
        <f t="shared" si="31"/>
        <v>0</v>
      </c>
    </row>
    <row r="446" spans="1:14">
      <c r="A446" s="1830">
        <v>12</v>
      </c>
      <c r="B446" s="1846" t="s">
        <v>291</v>
      </c>
      <c r="C446" s="1830">
        <v>11</v>
      </c>
      <c r="D446" s="1888">
        <f t="shared" si="29"/>
        <v>7610970.4764340464</v>
      </c>
      <c r="E446" s="1863"/>
      <c r="F446" s="1032">
        <v>1131100.7478199999</v>
      </c>
      <c r="G446" s="1042">
        <v>1546322.3554340457</v>
      </c>
      <c r="H446" s="1043">
        <v>131261.698</v>
      </c>
      <c r="I446" s="1053">
        <v>4802285.6751800003</v>
      </c>
      <c r="J446" s="1889">
        <f t="shared" si="30"/>
        <v>6479869.7286140462</v>
      </c>
      <c r="K446" s="1864"/>
      <c r="L446" s="1865"/>
      <c r="M446" s="1044"/>
      <c r="N446" s="1889">
        <f t="shared" si="31"/>
        <v>0</v>
      </c>
    </row>
    <row r="447" spans="1:14" ht="26.45">
      <c r="A447" s="1830">
        <v>13</v>
      </c>
      <c r="B447" s="1846" t="s">
        <v>292</v>
      </c>
      <c r="C447" s="1830">
        <v>12</v>
      </c>
      <c r="D447" s="1888">
        <f t="shared" si="29"/>
        <v>81380.900599999994</v>
      </c>
      <c r="E447" s="1863"/>
      <c r="F447" s="1032">
        <v>0</v>
      </c>
      <c r="G447" s="1042">
        <v>73523.900599999994</v>
      </c>
      <c r="H447" s="1043">
        <v>0</v>
      </c>
      <c r="I447" s="1053">
        <v>7857</v>
      </c>
      <c r="J447" s="1889">
        <f t="shared" si="30"/>
        <v>81380.900599999994</v>
      </c>
      <c r="K447" s="1864"/>
      <c r="L447" s="1865"/>
      <c r="M447" s="1044"/>
      <c r="N447" s="1889">
        <f t="shared" si="31"/>
        <v>0</v>
      </c>
    </row>
    <row r="448" spans="1:14">
      <c r="A448" s="1830">
        <v>14</v>
      </c>
      <c r="B448" s="1829" t="s">
        <v>293</v>
      </c>
      <c r="C448" s="1830">
        <v>13</v>
      </c>
      <c r="D448" s="1888">
        <f t="shared" si="29"/>
        <v>420914</v>
      </c>
      <c r="E448" s="1863"/>
      <c r="F448" s="1863">
        <v>0</v>
      </c>
      <c r="G448" s="1864">
        <v>116252</v>
      </c>
      <c r="H448" s="1872">
        <v>156</v>
      </c>
      <c r="I448" s="1897">
        <v>304506</v>
      </c>
      <c r="J448" s="1889">
        <f t="shared" si="30"/>
        <v>420914</v>
      </c>
      <c r="K448" s="1864"/>
      <c r="L448" s="1913"/>
      <c r="M448" s="1911"/>
      <c r="N448" s="1889">
        <f t="shared" si="31"/>
        <v>0</v>
      </c>
    </row>
    <row r="449" spans="1:42">
      <c r="A449" s="1830">
        <v>15</v>
      </c>
      <c r="B449" s="1829" t="s">
        <v>294</v>
      </c>
      <c r="C449" s="1836">
        <v>14</v>
      </c>
      <c r="D449" s="1888">
        <f t="shared" si="29"/>
        <v>184249</v>
      </c>
      <c r="E449" s="1863"/>
      <c r="F449" s="1032">
        <v>0</v>
      </c>
      <c r="G449" s="1042">
        <v>1377</v>
      </c>
      <c r="H449" s="1035">
        <v>173101</v>
      </c>
      <c r="I449" s="1897">
        <v>9771</v>
      </c>
      <c r="J449" s="1889">
        <f t="shared" si="30"/>
        <v>184249</v>
      </c>
      <c r="K449" s="1864"/>
      <c r="L449" s="1913"/>
      <c r="M449" s="1911"/>
      <c r="N449" s="1889">
        <f t="shared" si="31"/>
        <v>0</v>
      </c>
    </row>
    <row r="450" spans="1:42">
      <c r="A450" s="1830">
        <v>16</v>
      </c>
      <c r="B450" s="1829" t="s">
        <v>295</v>
      </c>
      <c r="C450" s="1830">
        <v>15</v>
      </c>
      <c r="D450" s="1888">
        <f t="shared" si="29"/>
        <v>18547</v>
      </c>
      <c r="E450" s="1863"/>
      <c r="F450" s="1032">
        <v>0</v>
      </c>
      <c r="G450" s="1042">
        <v>1389</v>
      </c>
      <c r="H450" s="1035">
        <v>13066</v>
      </c>
      <c r="I450" s="1897">
        <v>4092</v>
      </c>
      <c r="J450" s="1889">
        <f t="shared" si="30"/>
        <v>18547</v>
      </c>
      <c r="K450" s="1864"/>
      <c r="L450" s="1913"/>
      <c r="M450" s="1911"/>
      <c r="N450" s="1889">
        <f t="shared" si="31"/>
        <v>0</v>
      </c>
    </row>
    <row r="451" spans="1:42">
      <c r="A451" s="1830">
        <v>17</v>
      </c>
      <c r="B451" s="1829" t="s">
        <v>296</v>
      </c>
      <c r="C451" s="1836">
        <v>16</v>
      </c>
      <c r="D451" s="1888">
        <f t="shared" si="29"/>
        <v>763300.78217005997</v>
      </c>
      <c r="E451" s="1863"/>
      <c r="F451" s="1032">
        <v>668749.37214928109</v>
      </c>
      <c r="G451" s="1042">
        <v>-453129.67997922096</v>
      </c>
      <c r="H451" s="1043">
        <v>-525150</v>
      </c>
      <c r="I451" s="1911">
        <v>1072831.0899999999</v>
      </c>
      <c r="J451" s="1889">
        <f t="shared" si="30"/>
        <v>94551.410020778887</v>
      </c>
      <c r="K451" s="1864"/>
      <c r="L451" s="1865"/>
      <c r="M451" s="1866"/>
      <c r="N451" s="1889">
        <f t="shared" si="31"/>
        <v>0</v>
      </c>
    </row>
    <row r="452" spans="1:42">
      <c r="A452" s="1830">
        <v>18</v>
      </c>
      <c r="B452" s="1829" t="s">
        <v>297</v>
      </c>
      <c r="C452" s="1830"/>
      <c r="D452" s="1888">
        <f t="shared" si="29"/>
        <v>0</v>
      </c>
      <c r="E452" s="1863"/>
      <c r="F452" s="1032"/>
      <c r="G452" s="1042"/>
      <c r="H452" s="1035"/>
      <c r="I452" s="1897"/>
      <c r="J452" s="1889">
        <f t="shared" si="30"/>
        <v>0</v>
      </c>
      <c r="K452" s="1864"/>
      <c r="L452" s="1913"/>
      <c r="M452" s="1911"/>
      <c r="N452" s="1889">
        <f t="shared" si="31"/>
        <v>0</v>
      </c>
    </row>
    <row r="453" spans="1:42" ht="15" thickBot="1">
      <c r="A453" s="1847">
        <v>19</v>
      </c>
      <c r="B453" s="1848" t="s">
        <v>298</v>
      </c>
      <c r="C453" s="1847"/>
      <c r="D453" s="3117">
        <f t="shared" si="29"/>
        <v>547287.24100000004</v>
      </c>
      <c r="E453" s="3114"/>
      <c r="F453" s="1036">
        <v>146228.981</v>
      </c>
      <c r="G453" s="1060">
        <v>15248.68</v>
      </c>
      <c r="H453" s="1058">
        <v>13559.55</v>
      </c>
      <c r="I453" s="1923">
        <v>372250.03</v>
      </c>
      <c r="J453" s="3118">
        <f t="shared" si="30"/>
        <v>401058.26</v>
      </c>
      <c r="K453" s="3116"/>
      <c r="L453" s="1917"/>
      <c r="M453" s="1922"/>
      <c r="N453" s="3118">
        <f t="shared" si="31"/>
        <v>0</v>
      </c>
    </row>
    <row r="454" spans="1:42" s="870" customFormat="1" ht="27" thickBot="1">
      <c r="A454" s="1138">
        <v>20</v>
      </c>
      <c r="B454" s="1139" t="s">
        <v>299</v>
      </c>
      <c r="C454" s="1138"/>
      <c r="D454" s="1163">
        <f t="shared" si="29"/>
        <v>33718618.05231832</v>
      </c>
      <c r="E454" s="1163">
        <f>SUM(E431:E437)+E440+E443+SUM(E448:E453)</f>
        <v>0</v>
      </c>
      <c r="F454" s="1163">
        <f>SUM(F431:F437)+F440+F443+SUM(F448:F453)</f>
        <v>7646314.5000000009</v>
      </c>
      <c r="G454" s="1163">
        <f>SUM(G431:G437)+G440+G443+SUM(G448:G453)</f>
        <v>4087211.0522483229</v>
      </c>
      <c r="H454" s="1164">
        <f>SUM(H431:H437)+H440+H443+SUM(H448:H453)</f>
        <v>3952191.8744999999</v>
      </c>
      <c r="I454" s="1193">
        <f>SUM(I431:I437)+I440+I443+SUM(I448:I453)</f>
        <v>18032900.625569999</v>
      </c>
      <c r="J454" s="1163">
        <f t="shared" si="30"/>
        <v>26072303.55231832</v>
      </c>
      <c r="K454" s="1163">
        <f>SUM(K431:K437)+K440+K443+SUM(K448:K453)</f>
        <v>0</v>
      </c>
      <c r="L454" s="1164">
        <f>SUM(L431:L437)+L440+L443+SUM(L448:L453)</f>
        <v>0</v>
      </c>
      <c r="M454" s="1193">
        <f>SUM(M431:M437)+M440+M443+SUM(M448:M453)</f>
        <v>0</v>
      </c>
      <c r="N454" s="1163">
        <f t="shared" si="31"/>
        <v>0</v>
      </c>
      <c r="O454"/>
      <c r="P454"/>
      <c r="Q454"/>
      <c r="R454"/>
      <c r="S454"/>
      <c r="T454"/>
      <c r="U454"/>
      <c r="V454"/>
      <c r="W454"/>
      <c r="X454"/>
      <c r="Y454"/>
      <c r="Z454"/>
      <c r="AA454"/>
      <c r="AB454"/>
      <c r="AC454"/>
      <c r="AD454"/>
      <c r="AE454"/>
      <c r="AF454"/>
      <c r="AG454"/>
      <c r="AH454"/>
      <c r="AI454"/>
      <c r="AJ454"/>
      <c r="AK454" s="2976"/>
      <c r="AL454" s="2976"/>
      <c r="AM454" s="2976"/>
      <c r="AN454" s="2976"/>
      <c r="AO454" s="2976"/>
      <c r="AP454" s="2976"/>
    </row>
    <row r="455" spans="1:42">
      <c r="A455" s="1133"/>
      <c r="B455" s="1134" t="s">
        <v>300</v>
      </c>
      <c r="C455" s="1133"/>
      <c r="D455" s="1172">
        <f t="shared" si="29"/>
        <v>0</v>
      </c>
      <c r="E455" s="1032"/>
      <c r="F455" s="1032"/>
      <c r="G455" s="1042"/>
      <c r="H455" s="1035"/>
      <c r="I455" s="1052"/>
      <c r="J455" s="1177">
        <f t="shared" si="30"/>
        <v>0</v>
      </c>
      <c r="K455" s="1042"/>
      <c r="L455" s="1054"/>
      <c r="M455" s="1053"/>
      <c r="N455" s="1177">
        <f t="shared" si="31"/>
        <v>0</v>
      </c>
    </row>
    <row r="456" spans="1:42">
      <c r="A456" s="1830"/>
      <c r="B456" s="1850" t="s">
        <v>301</v>
      </c>
      <c r="C456" s="1830"/>
      <c r="D456" s="1888">
        <f t="shared" si="29"/>
        <v>0</v>
      </c>
      <c r="E456" s="1863"/>
      <c r="F456" s="1863"/>
      <c r="G456" s="1864"/>
      <c r="H456" s="1872"/>
      <c r="I456" s="1897"/>
      <c r="J456" s="1889">
        <f t="shared" si="30"/>
        <v>0</v>
      </c>
      <c r="K456" s="1864"/>
      <c r="L456" s="1913"/>
      <c r="M456" s="1911"/>
      <c r="N456" s="1889">
        <f t="shared" si="31"/>
        <v>0</v>
      </c>
    </row>
    <row r="457" spans="1:42">
      <c r="A457" s="1830">
        <v>21</v>
      </c>
      <c r="B457" s="1829" t="s">
        <v>302</v>
      </c>
      <c r="C457" s="1836">
        <v>17</v>
      </c>
      <c r="D457" s="1888">
        <f t="shared" si="29"/>
        <v>24363629.444813877</v>
      </c>
      <c r="E457" s="1863"/>
      <c r="F457" s="1863">
        <v>0</v>
      </c>
      <c r="G457" s="1864">
        <v>4174202.0522483219</v>
      </c>
      <c r="H457" s="1872">
        <v>3527659.7703529578</v>
      </c>
      <c r="I457" s="1897">
        <v>16661767.6222126</v>
      </c>
      <c r="J457" s="1889">
        <f t="shared" si="30"/>
        <v>24363629.444813877</v>
      </c>
      <c r="K457" s="1864"/>
      <c r="L457" s="1913"/>
      <c r="M457" s="1866"/>
      <c r="N457" s="1889">
        <f t="shared" si="31"/>
        <v>0</v>
      </c>
    </row>
    <row r="458" spans="1:42">
      <c r="A458" s="1830">
        <v>22</v>
      </c>
      <c r="B458" s="1829" t="s">
        <v>303</v>
      </c>
      <c r="C458" s="1830"/>
      <c r="D458" s="1888">
        <f t="shared" si="29"/>
        <v>142692</v>
      </c>
      <c r="E458" s="1863"/>
      <c r="F458" s="1863">
        <v>142692</v>
      </c>
      <c r="G458" s="1042">
        <v>0</v>
      </c>
      <c r="H458" s="1035">
        <v>0</v>
      </c>
      <c r="I458" s="1897"/>
      <c r="J458" s="1889">
        <f t="shared" si="30"/>
        <v>0</v>
      </c>
      <c r="K458" s="1864"/>
      <c r="L458" s="1913"/>
      <c r="M458" s="1911"/>
      <c r="N458" s="1889">
        <f t="shared" si="31"/>
        <v>0</v>
      </c>
    </row>
    <row r="459" spans="1:42">
      <c r="A459" s="1830">
        <v>23</v>
      </c>
      <c r="B459" s="1829" t="s">
        <v>304</v>
      </c>
      <c r="C459" s="1830">
        <v>18</v>
      </c>
      <c r="D459" s="1888">
        <f t="shared" si="29"/>
        <v>227512</v>
      </c>
      <c r="E459" s="1863"/>
      <c r="F459" s="1863">
        <v>0</v>
      </c>
      <c r="G459" s="1042">
        <v>3322</v>
      </c>
      <c r="H459" s="1035">
        <v>216318</v>
      </c>
      <c r="I459" s="1897">
        <v>7872</v>
      </c>
      <c r="J459" s="1889">
        <f t="shared" si="30"/>
        <v>227512</v>
      </c>
      <c r="K459" s="1864"/>
      <c r="L459" s="1913"/>
      <c r="M459" s="1911"/>
      <c r="N459" s="1889">
        <f t="shared" si="31"/>
        <v>0</v>
      </c>
    </row>
    <row r="460" spans="1:42">
      <c r="A460" s="1830">
        <v>24</v>
      </c>
      <c r="B460" s="1829" t="s">
        <v>305</v>
      </c>
      <c r="C460" s="1830"/>
      <c r="D460" s="1888">
        <f t="shared" si="29"/>
        <v>0</v>
      </c>
      <c r="E460" s="1863"/>
      <c r="F460" s="3114"/>
      <c r="G460" s="1060"/>
      <c r="H460" s="1058"/>
      <c r="I460" s="1897"/>
      <c r="J460" s="1889">
        <f t="shared" si="30"/>
        <v>0</v>
      </c>
      <c r="K460" s="1864"/>
      <c r="L460" s="1913"/>
      <c r="M460" s="1911"/>
      <c r="N460" s="1889">
        <f t="shared" si="31"/>
        <v>0</v>
      </c>
    </row>
    <row r="461" spans="1:42">
      <c r="A461" s="1830">
        <v>25</v>
      </c>
      <c r="B461" s="1851" t="s">
        <v>306</v>
      </c>
      <c r="C461" s="1830"/>
      <c r="D461" s="1888">
        <f t="shared" si="29"/>
        <v>0</v>
      </c>
      <c r="E461" s="1863"/>
      <c r="F461" s="1075"/>
      <c r="G461" s="1078"/>
      <c r="H461" s="1079"/>
      <c r="I461" s="1923"/>
      <c r="J461" s="1889">
        <f t="shared" si="30"/>
        <v>0</v>
      </c>
      <c r="K461" s="1864"/>
      <c r="L461" s="1913"/>
      <c r="M461" s="1911"/>
      <c r="N461" s="1889">
        <f t="shared" si="31"/>
        <v>0</v>
      </c>
    </row>
    <row r="462" spans="1:42" ht="15" thickBot="1">
      <c r="A462" s="1847">
        <v>26</v>
      </c>
      <c r="B462" s="1848" t="s">
        <v>307</v>
      </c>
      <c r="C462" s="1852">
        <v>19</v>
      </c>
      <c r="D462" s="1888">
        <f t="shared" si="29"/>
        <v>2291378.6</v>
      </c>
      <c r="E462" s="1863"/>
      <c r="F462" s="1080">
        <v>-467197.5</v>
      </c>
      <c r="G462" s="1081">
        <v>138007</v>
      </c>
      <c r="H462" s="1082">
        <v>263155.09999999998</v>
      </c>
      <c r="I462" s="1076">
        <v>2357414</v>
      </c>
      <c r="J462" s="1889">
        <f t="shared" si="30"/>
        <v>2758576.1</v>
      </c>
      <c r="K462" s="1864"/>
      <c r="L462" s="1065"/>
      <c r="M462" s="1930"/>
      <c r="N462" s="1889">
        <f t="shared" si="31"/>
        <v>0</v>
      </c>
    </row>
    <row r="463" spans="1:42" s="870" customFormat="1" ht="15" thickBot="1">
      <c r="A463" s="1135">
        <v>27</v>
      </c>
      <c r="B463" s="1136" t="s">
        <v>308</v>
      </c>
      <c r="C463" s="1135"/>
      <c r="D463" s="1173">
        <f t="shared" si="29"/>
        <v>27025212.044813879</v>
      </c>
      <c r="E463" s="1041">
        <f>SUM(E457:E462)</f>
        <v>0</v>
      </c>
      <c r="F463" s="1041">
        <f>SUM(F457:F462)</f>
        <v>-324505.5</v>
      </c>
      <c r="G463" s="1041">
        <f>SUM(G457:G462)</f>
        <v>4315531.0522483215</v>
      </c>
      <c r="H463" s="1045">
        <f>SUM(H457:H462)</f>
        <v>4007132.8703529579</v>
      </c>
      <c r="I463" s="1073">
        <f>SUM(I457:I462)</f>
        <v>19027053.6222126</v>
      </c>
      <c r="J463" s="1176">
        <f t="shared" si="30"/>
        <v>27349717.544813879</v>
      </c>
      <c r="K463" s="1041">
        <f>SUM(K457:K462)</f>
        <v>0</v>
      </c>
      <c r="L463" s="1041">
        <f>SUM(L457:L462)</f>
        <v>0</v>
      </c>
      <c r="M463" s="1041">
        <f>SUM(M457:M462)</f>
        <v>0</v>
      </c>
      <c r="N463" s="1180">
        <f t="shared" si="31"/>
        <v>0</v>
      </c>
      <c r="O463"/>
      <c r="P463"/>
      <c r="Q463"/>
      <c r="R463"/>
      <c r="S463"/>
      <c r="T463"/>
      <c r="U463"/>
      <c r="V463"/>
      <c r="W463"/>
      <c r="X463"/>
      <c r="Y463"/>
      <c r="Z463"/>
      <c r="AA463"/>
      <c r="AB463"/>
      <c r="AC463"/>
      <c r="AD463"/>
      <c r="AE463"/>
      <c r="AF463"/>
      <c r="AG463"/>
      <c r="AH463"/>
      <c r="AI463"/>
      <c r="AJ463"/>
      <c r="AK463" s="2976"/>
      <c r="AL463" s="2976"/>
      <c r="AM463" s="2976"/>
      <c r="AN463" s="2976"/>
      <c r="AO463" s="2976"/>
      <c r="AP463" s="2976"/>
    </row>
    <row r="464" spans="1:42">
      <c r="A464" s="1133"/>
      <c r="B464" s="1134" t="s">
        <v>309</v>
      </c>
      <c r="C464" s="1133">
        <v>20</v>
      </c>
      <c r="D464" s="1172">
        <f t="shared" si="29"/>
        <v>0</v>
      </c>
      <c r="E464" s="1032"/>
      <c r="F464" s="1032"/>
      <c r="G464" s="1042"/>
      <c r="H464" s="1035"/>
      <c r="I464" s="1052"/>
      <c r="J464" s="1177">
        <f t="shared" si="30"/>
        <v>0</v>
      </c>
      <c r="K464" s="1032"/>
      <c r="L464" s="1033"/>
      <c r="M464" s="1052"/>
      <c r="N464" s="1177">
        <f t="shared" si="31"/>
        <v>0</v>
      </c>
    </row>
    <row r="465" spans="1:42">
      <c r="A465" s="1830">
        <v>28</v>
      </c>
      <c r="B465" s="1829" t="s">
        <v>310</v>
      </c>
      <c r="C465" s="1836"/>
      <c r="D465" s="1888">
        <f t="shared" si="29"/>
        <v>1171875</v>
      </c>
      <c r="E465" s="1863"/>
      <c r="F465" s="1863">
        <v>1171875</v>
      </c>
      <c r="G465" s="1864">
        <v>0</v>
      </c>
      <c r="H465" s="1872">
        <v>0</v>
      </c>
      <c r="I465" s="1897"/>
      <c r="J465" s="1889">
        <f t="shared" si="30"/>
        <v>0</v>
      </c>
      <c r="K465" s="1863"/>
      <c r="L465" s="1868"/>
      <c r="M465" s="1897"/>
      <c r="N465" s="1889">
        <f t="shared" si="31"/>
        <v>0</v>
      </c>
    </row>
    <row r="466" spans="1:42">
      <c r="A466" s="1830">
        <v>29</v>
      </c>
      <c r="B466" s="1829" t="s">
        <v>311</v>
      </c>
      <c r="C466" s="1836"/>
      <c r="D466" s="1888">
        <f t="shared" si="29"/>
        <v>-1412058</v>
      </c>
      <c r="E466" s="1863"/>
      <c r="F466" s="1032">
        <v>-134644</v>
      </c>
      <c r="G466" s="1864">
        <v>-228320</v>
      </c>
      <c r="H466" s="1872">
        <v>-54941</v>
      </c>
      <c r="I466" s="1897">
        <v>-994153</v>
      </c>
      <c r="J466" s="1889">
        <f t="shared" si="30"/>
        <v>-1277414</v>
      </c>
      <c r="K466" s="1863"/>
      <c r="L466" s="1868"/>
      <c r="M466" s="1897"/>
      <c r="N466" s="1889">
        <f t="shared" si="31"/>
        <v>0</v>
      </c>
    </row>
    <row r="467" spans="1:42">
      <c r="A467" s="1830">
        <v>30</v>
      </c>
      <c r="B467" s="1848" t="s">
        <v>312</v>
      </c>
      <c r="C467" s="1852"/>
      <c r="D467" s="1888">
        <f t="shared" si="29"/>
        <v>0</v>
      </c>
      <c r="E467" s="1863"/>
      <c r="F467" s="1036"/>
      <c r="G467" s="3116"/>
      <c r="H467" s="1885"/>
      <c r="I467" s="1923"/>
      <c r="J467" s="1889">
        <f t="shared" si="30"/>
        <v>0</v>
      </c>
      <c r="K467" s="1863"/>
      <c r="L467" s="1868"/>
      <c r="M467" s="1897"/>
      <c r="N467" s="1889">
        <f t="shared" si="31"/>
        <v>0</v>
      </c>
    </row>
    <row r="468" spans="1:42">
      <c r="A468" s="1830">
        <v>31</v>
      </c>
      <c r="B468" s="1848" t="s">
        <v>313</v>
      </c>
      <c r="C468" s="1852"/>
      <c r="D468" s="1888">
        <f t="shared" si="29"/>
        <v>381156</v>
      </c>
      <c r="E468" s="1863"/>
      <c r="F468" s="3114">
        <v>381156</v>
      </c>
      <c r="G468" s="3116">
        <v>0</v>
      </c>
      <c r="H468" s="1885">
        <v>0</v>
      </c>
      <c r="I468" s="1923"/>
      <c r="J468" s="1889">
        <f t="shared" si="30"/>
        <v>0</v>
      </c>
      <c r="K468" s="1863"/>
      <c r="L468" s="1868"/>
      <c r="M468" s="1897"/>
      <c r="N468" s="1889">
        <f t="shared" si="31"/>
        <v>0</v>
      </c>
    </row>
    <row r="469" spans="1:42" ht="15" thickBot="1">
      <c r="A469" s="1847">
        <v>32</v>
      </c>
      <c r="B469" s="1848" t="s">
        <v>314</v>
      </c>
      <c r="C469" s="1852"/>
      <c r="D469" s="1888">
        <f t="shared" si="29"/>
        <v>6552433</v>
      </c>
      <c r="E469" s="1863"/>
      <c r="F469" s="3114">
        <v>6552433</v>
      </c>
      <c r="G469" s="3116">
        <v>0</v>
      </c>
      <c r="H469" s="1885">
        <v>0</v>
      </c>
      <c r="I469" s="1072"/>
      <c r="J469" s="1889">
        <f t="shared" si="30"/>
        <v>0</v>
      </c>
      <c r="K469" s="1863"/>
      <c r="L469" s="1868"/>
      <c r="M469" s="1897"/>
      <c r="N469" s="1889">
        <f t="shared" si="31"/>
        <v>0</v>
      </c>
    </row>
    <row r="470" spans="1:42" s="870" customFormat="1" ht="15" thickBot="1">
      <c r="A470" s="1135">
        <v>33</v>
      </c>
      <c r="B470" s="1169" t="s">
        <v>315</v>
      </c>
      <c r="C470" s="1170"/>
      <c r="D470" s="1174">
        <f t="shared" si="29"/>
        <v>6693406</v>
      </c>
      <c r="E470" s="1046">
        <f>SUM(E465:E469)</f>
        <v>0</v>
      </c>
      <c r="F470" s="1046">
        <f>SUM(F465:F469)</f>
        <v>7970820</v>
      </c>
      <c r="G470" s="1046">
        <f>SUM(G465:G469)</f>
        <v>-228320</v>
      </c>
      <c r="H470" s="1046">
        <f>SUM(H465:H469)</f>
        <v>-54941</v>
      </c>
      <c r="I470" s="1074">
        <f>SUM(I465:I469)</f>
        <v>-994153</v>
      </c>
      <c r="J470" s="1178">
        <f t="shared" si="30"/>
        <v>-1277414</v>
      </c>
      <c r="K470" s="1046">
        <f>SUM(K465:K469)</f>
        <v>0</v>
      </c>
      <c r="L470" s="1047">
        <f>SUM(L465:L469)</f>
        <v>0</v>
      </c>
      <c r="M470" s="1066">
        <f>SUM(M465:M469)</f>
        <v>0</v>
      </c>
      <c r="N470" s="1178">
        <f t="shared" si="31"/>
        <v>0</v>
      </c>
      <c r="O470"/>
      <c r="P470"/>
      <c r="Q470"/>
      <c r="R470"/>
      <c r="S470"/>
      <c r="T470"/>
      <c r="U470"/>
      <c r="V470"/>
      <c r="W470"/>
      <c r="X470"/>
      <c r="Y470"/>
      <c r="Z470"/>
      <c r="AA470"/>
      <c r="AB470"/>
      <c r="AC470"/>
      <c r="AD470"/>
      <c r="AE470"/>
      <c r="AF470"/>
      <c r="AG470"/>
      <c r="AH470"/>
      <c r="AI470"/>
      <c r="AJ470"/>
      <c r="AK470" s="2976"/>
      <c r="AL470" s="2976"/>
      <c r="AM470" s="2976"/>
      <c r="AN470" s="2976"/>
      <c r="AO470" s="2976"/>
      <c r="AP470" s="2976"/>
    </row>
    <row r="471" spans="1:42" s="870" customFormat="1" ht="27" thickBot="1">
      <c r="A471" s="1138">
        <v>34</v>
      </c>
      <c r="B471" s="1139" t="s">
        <v>317</v>
      </c>
      <c r="C471" s="1138"/>
      <c r="D471" s="1166">
        <f t="shared" si="29"/>
        <v>33718618.044813879</v>
      </c>
      <c r="E471" s="1166">
        <f>E470+E463</f>
        <v>0</v>
      </c>
      <c r="F471" s="1166">
        <f>F470+F463</f>
        <v>7646314.5</v>
      </c>
      <c r="G471" s="1166">
        <f>G470+G463</f>
        <v>4087211.0522483215</v>
      </c>
      <c r="H471" s="1166">
        <f>H470+H463</f>
        <v>3952191.8703529579</v>
      </c>
      <c r="I471" s="1166">
        <f>I470+I463</f>
        <v>18032900.6222126</v>
      </c>
      <c r="J471" s="1166">
        <f t="shared" si="30"/>
        <v>26072303.544813879</v>
      </c>
      <c r="K471" s="1166">
        <f>K470+K463</f>
        <v>0</v>
      </c>
      <c r="L471" s="1167">
        <f>L470+L463</f>
        <v>0</v>
      </c>
      <c r="M471" s="1206">
        <f>M470+M463</f>
        <v>0</v>
      </c>
      <c r="N471" s="1166">
        <f t="shared" si="31"/>
        <v>0</v>
      </c>
      <c r="O471"/>
      <c r="P471"/>
      <c r="Q471"/>
      <c r="R471"/>
      <c r="S471"/>
      <c r="T471"/>
      <c r="U471"/>
      <c r="V471"/>
      <c r="W471"/>
      <c r="X471"/>
      <c r="Y471"/>
      <c r="Z471"/>
      <c r="AA471"/>
      <c r="AB471"/>
      <c r="AC471"/>
      <c r="AD471"/>
      <c r="AE471"/>
      <c r="AF471"/>
      <c r="AG471"/>
      <c r="AH471"/>
      <c r="AI471"/>
      <c r="AJ471"/>
      <c r="AK471" s="2976"/>
      <c r="AL471" s="2976"/>
      <c r="AM471" s="2976"/>
      <c r="AN471" s="2976"/>
      <c r="AO471" s="2976"/>
      <c r="AP471" s="2976"/>
    </row>
    <row r="472" spans="1:42">
      <c r="B472"/>
      <c r="C472"/>
      <c r="D472"/>
      <c r="E472"/>
      <c r="F472"/>
      <c r="G472"/>
      <c r="H472"/>
      <c r="I472"/>
      <c r="J472"/>
      <c r="K472"/>
      <c r="L472"/>
      <c r="M472"/>
      <c r="N472"/>
    </row>
    <row r="473" spans="1:42">
      <c r="B473"/>
      <c r="C473"/>
      <c r="D473"/>
      <c r="E473"/>
      <c r="F473"/>
      <c r="G473"/>
      <c r="H473"/>
      <c r="I473"/>
      <c r="J473"/>
      <c r="K473"/>
      <c r="L473"/>
      <c r="M473"/>
      <c r="N473"/>
    </row>
    <row r="474" spans="1:42">
      <c r="B474"/>
      <c r="C474"/>
      <c r="D474"/>
      <c r="E474"/>
      <c r="F474"/>
      <c r="G474"/>
      <c r="H474"/>
      <c r="I474"/>
      <c r="J474"/>
      <c r="K474"/>
      <c r="L474"/>
      <c r="M474"/>
      <c r="N474"/>
    </row>
    <row r="475" spans="1:42">
      <c r="B475"/>
      <c r="C475"/>
      <c r="D475"/>
      <c r="E475"/>
      <c r="F475"/>
      <c r="G475"/>
      <c r="H475"/>
      <c r="I475"/>
      <c r="J475"/>
      <c r="K475"/>
      <c r="L475"/>
      <c r="M475"/>
      <c r="N475"/>
    </row>
    <row r="476" spans="1:42" ht="15" thickBot="1"/>
    <row r="477" spans="1:42" ht="15" thickBot="1">
      <c r="A477" s="1153" t="s">
        <v>189</v>
      </c>
      <c r="B477" s="3303" t="s">
        <v>133</v>
      </c>
      <c r="C477" s="3304"/>
      <c r="D477" s="662"/>
      <c r="E477" s="662"/>
      <c r="F477" s="662"/>
      <c r="G477" s="662"/>
      <c r="H477" s="662"/>
      <c r="I477" s="662"/>
      <c r="J477" s="662"/>
      <c r="K477" s="662"/>
      <c r="L477" s="662"/>
      <c r="M477" s="3292"/>
      <c r="N477" s="3292" t="s">
        <v>257</v>
      </c>
    </row>
    <row r="478" spans="1:42" ht="13.5" customHeight="1" thickBot="1">
      <c r="A478" s="3293" t="s">
        <v>258</v>
      </c>
      <c r="B478" s="3298"/>
      <c r="C478" s="3280" t="s">
        <v>259</v>
      </c>
      <c r="D478" s="3283" t="s">
        <v>260</v>
      </c>
      <c r="E478" s="3283" t="s">
        <v>261</v>
      </c>
      <c r="F478" s="3283" t="s">
        <v>262</v>
      </c>
      <c r="G478" s="3286" t="s">
        <v>263</v>
      </c>
      <c r="H478" s="3287"/>
      <c r="I478" s="3287"/>
      <c r="J478" s="3287"/>
      <c r="K478" s="3287"/>
      <c r="L478" s="3287"/>
      <c r="M478" s="3287"/>
      <c r="N478" s="3288"/>
    </row>
    <row r="479" spans="1:42" ht="13.5" customHeight="1" thickBot="1">
      <c r="A479" s="3294"/>
      <c r="B479" s="3299"/>
      <c r="C479" s="3281"/>
      <c r="D479" s="3284"/>
      <c r="E479" s="3284"/>
      <c r="F479" s="3284"/>
      <c r="G479" s="3289" t="s">
        <v>264</v>
      </c>
      <c r="H479" s="3290"/>
      <c r="I479" s="3290"/>
      <c r="J479" s="3291"/>
      <c r="K479" s="3289" t="s">
        <v>265</v>
      </c>
      <c r="L479" s="3290"/>
      <c r="M479" s="3290"/>
      <c r="N479" s="3291"/>
    </row>
    <row r="480" spans="1:42" ht="40.15" thickBot="1">
      <c r="A480" s="3294"/>
      <c r="B480" s="3299"/>
      <c r="C480" s="3281"/>
      <c r="D480" s="3285"/>
      <c r="E480" s="3285"/>
      <c r="F480" s="3285"/>
      <c r="G480" s="1125" t="s">
        <v>267</v>
      </c>
      <c r="H480" s="1125" t="s">
        <v>268</v>
      </c>
      <c r="I480" s="1125" t="s">
        <v>269</v>
      </c>
      <c r="J480" s="1125" t="s">
        <v>160</v>
      </c>
      <c r="K480" s="1126" t="s">
        <v>270</v>
      </c>
      <c r="L480" s="1126" t="s">
        <v>271</v>
      </c>
      <c r="M480" s="1126" t="s">
        <v>272</v>
      </c>
      <c r="N480" s="2969" t="s">
        <v>160</v>
      </c>
    </row>
    <row r="481" spans="1:14" ht="15" thickBot="1">
      <c r="A481" s="3294"/>
      <c r="B481" s="3299"/>
      <c r="C481" s="3281"/>
      <c r="D481" s="1128">
        <v>1</v>
      </c>
      <c r="E481" s="3283">
        <v>2</v>
      </c>
      <c r="F481" s="3283">
        <v>3</v>
      </c>
      <c r="G481" s="3283">
        <v>4</v>
      </c>
      <c r="H481" s="3283">
        <v>5</v>
      </c>
      <c r="I481" s="3283">
        <v>6</v>
      </c>
      <c r="J481" s="2974">
        <v>7</v>
      </c>
      <c r="K481" s="3283">
        <v>8</v>
      </c>
      <c r="L481" s="3283">
        <v>9</v>
      </c>
      <c r="M481" s="3283">
        <v>10</v>
      </c>
      <c r="N481" s="1128">
        <v>11</v>
      </c>
    </row>
    <row r="482" spans="1:14" ht="15" thickBot="1">
      <c r="A482" s="3295"/>
      <c r="B482" s="3300"/>
      <c r="C482" s="3282"/>
      <c r="D482" s="1130"/>
      <c r="E482" s="3285"/>
      <c r="F482" s="3285"/>
      <c r="G482" s="3285"/>
      <c r="H482" s="3285"/>
      <c r="I482" s="3285"/>
      <c r="J482" s="1131" t="s">
        <v>273</v>
      </c>
      <c r="K482" s="3285"/>
      <c r="L482" s="3285"/>
      <c r="M482" s="3285"/>
      <c r="N482" s="1157" t="s">
        <v>274</v>
      </c>
    </row>
    <row r="483" spans="1:14">
      <c r="A483" s="1133"/>
      <c r="B483" s="1134" t="s">
        <v>275</v>
      </c>
      <c r="C483" s="1133"/>
      <c r="D483" s="1928"/>
      <c r="E483" s="1071"/>
      <c r="F483" s="1071"/>
      <c r="G483" s="1042"/>
      <c r="H483" s="1035"/>
      <c r="I483" s="1062"/>
      <c r="J483" s="1177"/>
      <c r="K483" s="1032"/>
      <c r="L483" s="1035"/>
      <c r="M483" s="1077"/>
      <c r="N483" s="1929"/>
    </row>
    <row r="484" spans="1:14">
      <c r="A484" s="1828">
        <v>1</v>
      </c>
      <c r="B484" s="1829" t="s">
        <v>276</v>
      </c>
      <c r="C484" s="1830"/>
      <c r="D484" s="1888">
        <f t="shared" ref="D484:D524" si="32">+E484+F484+J484+N484</f>
        <v>0</v>
      </c>
      <c r="E484" s="1863"/>
      <c r="F484" s="1863"/>
      <c r="G484" s="1864"/>
      <c r="H484" s="1872"/>
      <c r="I484" s="1897"/>
      <c r="J484" s="1889">
        <v>0</v>
      </c>
      <c r="K484" s="1863"/>
      <c r="L484" s="1868"/>
      <c r="M484" s="1897"/>
      <c r="N484" s="1889">
        <f t="shared" ref="N484:N524" si="33">K484+L484+M484</f>
        <v>0</v>
      </c>
    </row>
    <row r="485" spans="1:14">
      <c r="A485" s="1828">
        <v>2</v>
      </c>
      <c r="B485" s="1829" t="s">
        <v>277</v>
      </c>
      <c r="C485" s="1830"/>
      <c r="D485" s="1888">
        <f t="shared" si="32"/>
        <v>46435.479350000001</v>
      </c>
      <c r="E485" s="1863"/>
      <c r="F485" s="1863">
        <v>46435.479350000001</v>
      </c>
      <c r="G485" s="1864"/>
      <c r="H485" s="1872"/>
      <c r="I485" s="1897"/>
      <c r="J485" s="1889">
        <v>0</v>
      </c>
      <c r="K485" s="1863"/>
      <c r="L485" s="1868"/>
      <c r="M485" s="1897"/>
      <c r="N485" s="1889">
        <f t="shared" si="33"/>
        <v>0</v>
      </c>
    </row>
    <row r="486" spans="1:14">
      <c r="A486" s="1828">
        <v>3</v>
      </c>
      <c r="B486" s="1829" t="s">
        <v>278</v>
      </c>
      <c r="C486" s="1830"/>
      <c r="D486" s="1888">
        <f t="shared" si="32"/>
        <v>0</v>
      </c>
      <c r="E486" s="1863"/>
      <c r="F486" s="1032"/>
      <c r="G486" s="1864"/>
      <c r="H486" s="1872"/>
      <c r="I486" s="1897"/>
      <c r="J486" s="1889">
        <v>0</v>
      </c>
      <c r="K486" s="1863"/>
      <c r="L486" s="1868"/>
      <c r="M486" s="1897"/>
      <c r="N486" s="1889">
        <f t="shared" si="33"/>
        <v>0</v>
      </c>
    </row>
    <row r="487" spans="1:14">
      <c r="A487" s="1828">
        <v>4</v>
      </c>
      <c r="B487" s="1829" t="s">
        <v>324</v>
      </c>
      <c r="C487" s="1830"/>
      <c r="D487" s="1888">
        <f t="shared" si="32"/>
        <v>191633.98293</v>
      </c>
      <c r="E487" s="1863"/>
      <c r="F487" s="1032"/>
      <c r="G487" s="1864"/>
      <c r="H487" s="1872">
        <v>108354.7601597273</v>
      </c>
      <c r="I487" s="1897">
        <v>83279.222770272696</v>
      </c>
      <c r="J487" s="1889">
        <v>191633.98293</v>
      </c>
      <c r="K487" s="1863"/>
      <c r="L487" s="1868"/>
      <c r="M487" s="1897"/>
      <c r="N487" s="1889">
        <f t="shared" si="33"/>
        <v>0</v>
      </c>
    </row>
    <row r="488" spans="1:14">
      <c r="A488" s="1828">
        <v>5</v>
      </c>
      <c r="B488" s="1829" t="s">
        <v>280</v>
      </c>
      <c r="C488" s="1836">
        <v>5</v>
      </c>
      <c r="D488" s="1888">
        <f t="shared" si="32"/>
        <v>194306.97045000002</v>
      </c>
      <c r="E488" s="1863"/>
      <c r="F488" s="1032">
        <v>177385.77626000001</v>
      </c>
      <c r="G488" s="1042"/>
      <c r="H488" s="1872">
        <v>9567.6764112519559</v>
      </c>
      <c r="I488" s="1897">
        <v>7353.5177787480416</v>
      </c>
      <c r="J488" s="1889">
        <v>16921.194189999998</v>
      </c>
      <c r="K488" s="1863"/>
      <c r="L488" s="1868"/>
      <c r="M488" s="1897"/>
      <c r="N488" s="1889">
        <f t="shared" si="33"/>
        <v>0</v>
      </c>
    </row>
    <row r="489" spans="1:14">
      <c r="A489" s="1828">
        <v>6</v>
      </c>
      <c r="B489" s="1829" t="s">
        <v>281</v>
      </c>
      <c r="C489" s="1830">
        <v>6</v>
      </c>
      <c r="D489" s="1888">
        <f t="shared" si="32"/>
        <v>2182091.7230261564</v>
      </c>
      <c r="E489" s="1863"/>
      <c r="F489" s="1032">
        <v>2182091.7230261564</v>
      </c>
      <c r="G489" s="1042"/>
      <c r="H489" s="1872"/>
      <c r="I489" s="1897"/>
      <c r="J489" s="1889">
        <v>0</v>
      </c>
      <c r="K489" s="1863"/>
      <c r="L489" s="1868"/>
      <c r="M489" s="1897"/>
      <c r="N489" s="1889">
        <f t="shared" si="33"/>
        <v>0</v>
      </c>
    </row>
    <row r="490" spans="1:14">
      <c r="A490" s="1828">
        <v>7</v>
      </c>
      <c r="B490" s="1829" t="s">
        <v>282</v>
      </c>
      <c r="C490" s="1836">
        <v>7</v>
      </c>
      <c r="D490" s="1888">
        <f t="shared" si="32"/>
        <v>0</v>
      </c>
      <c r="E490" s="1863">
        <f>SUM(E491:E492)</f>
        <v>0</v>
      </c>
      <c r="F490" s="1032"/>
      <c r="G490" s="1032"/>
      <c r="H490" s="1868"/>
      <c r="I490" s="1897"/>
      <c r="J490" s="1889">
        <f t="shared" ref="J490:J496" si="34">G490+H490+I490</f>
        <v>0</v>
      </c>
      <c r="K490" s="1863">
        <f>K491+K492</f>
        <v>0</v>
      </c>
      <c r="L490" s="1868">
        <f>L491+L492</f>
        <v>0</v>
      </c>
      <c r="M490" s="1897">
        <f>M491+M492</f>
        <v>0</v>
      </c>
      <c r="N490" s="1889">
        <f t="shared" si="33"/>
        <v>0</v>
      </c>
    </row>
    <row r="491" spans="1:14">
      <c r="A491" s="1830"/>
      <c r="B491" s="1837" t="s">
        <v>283</v>
      </c>
      <c r="C491" s="1836"/>
      <c r="D491" s="1888">
        <f t="shared" si="32"/>
        <v>0</v>
      </c>
      <c r="E491" s="1863"/>
      <c r="F491" s="1863"/>
      <c r="G491" s="1863"/>
      <c r="H491" s="1868"/>
      <c r="I491" s="1897"/>
      <c r="J491" s="1889">
        <f t="shared" si="34"/>
        <v>0</v>
      </c>
      <c r="K491" s="1863"/>
      <c r="L491" s="1868"/>
      <c r="M491" s="1897"/>
      <c r="N491" s="1889">
        <f t="shared" si="33"/>
        <v>0</v>
      </c>
    </row>
    <row r="492" spans="1:14">
      <c r="A492" s="1830"/>
      <c r="B492" s="1837" t="s">
        <v>284</v>
      </c>
      <c r="C492" s="1836"/>
      <c r="D492" s="1888">
        <f t="shared" si="32"/>
        <v>0</v>
      </c>
      <c r="E492" s="1863"/>
      <c r="F492" s="1863"/>
      <c r="G492" s="1864"/>
      <c r="H492" s="1872"/>
      <c r="I492" s="1897"/>
      <c r="J492" s="1889">
        <f t="shared" si="34"/>
        <v>0</v>
      </c>
      <c r="K492" s="1863"/>
      <c r="L492" s="1868"/>
      <c r="M492" s="1897"/>
      <c r="N492" s="1889">
        <f t="shared" si="33"/>
        <v>0</v>
      </c>
    </row>
    <row r="493" spans="1:14">
      <c r="A493" s="1828">
        <v>8</v>
      </c>
      <c r="B493" s="1829" t="s">
        <v>285</v>
      </c>
      <c r="C493" s="1830">
        <v>8</v>
      </c>
      <c r="D493" s="1888">
        <f t="shared" si="32"/>
        <v>0</v>
      </c>
      <c r="E493" s="1863">
        <f>SUM(E494:E495)</f>
        <v>0</v>
      </c>
      <c r="F493" s="1032">
        <f>+F494+F495</f>
        <v>0</v>
      </c>
      <c r="G493" s="1032">
        <f>+G494+G495</f>
        <v>0</v>
      </c>
      <c r="H493" s="1868">
        <f>+H494+H495</f>
        <v>0</v>
      </c>
      <c r="I493" s="1897">
        <f>+I494+I495</f>
        <v>0</v>
      </c>
      <c r="J493" s="1889">
        <f t="shared" si="34"/>
        <v>0</v>
      </c>
      <c r="K493" s="1863">
        <f>+K494+K495</f>
        <v>0</v>
      </c>
      <c r="L493" s="1868">
        <f>+L494+L495</f>
        <v>0</v>
      </c>
      <c r="M493" s="1897">
        <f>+M494+M495</f>
        <v>0</v>
      </c>
      <c r="N493" s="1889">
        <f t="shared" si="33"/>
        <v>0</v>
      </c>
    </row>
    <row r="494" spans="1:14">
      <c r="A494" s="1828"/>
      <c r="B494" s="1837" t="s">
        <v>286</v>
      </c>
      <c r="C494" s="1830"/>
      <c r="D494" s="1888">
        <f t="shared" si="32"/>
        <v>0</v>
      </c>
      <c r="E494" s="1863"/>
      <c r="F494" s="1863">
        <v>0</v>
      </c>
      <c r="G494" s="1863">
        <v>0</v>
      </c>
      <c r="H494" s="1868">
        <v>0</v>
      </c>
      <c r="I494" s="1897">
        <v>0</v>
      </c>
      <c r="J494" s="1889">
        <f t="shared" si="34"/>
        <v>0</v>
      </c>
      <c r="K494" s="1863"/>
      <c r="L494" s="1868"/>
      <c r="M494" s="1897"/>
      <c r="N494" s="1889">
        <f t="shared" si="33"/>
        <v>0</v>
      </c>
    </row>
    <row r="495" spans="1:14">
      <c r="A495" s="1828"/>
      <c r="B495" s="1837" t="s">
        <v>287</v>
      </c>
      <c r="C495" s="1830"/>
      <c r="D495" s="1888">
        <f t="shared" si="32"/>
        <v>0</v>
      </c>
      <c r="E495" s="1863"/>
      <c r="F495" s="1863">
        <v>0</v>
      </c>
      <c r="G495" s="1864">
        <v>0</v>
      </c>
      <c r="H495" s="1872">
        <v>0</v>
      </c>
      <c r="I495" s="1897">
        <v>0</v>
      </c>
      <c r="J495" s="1889">
        <f t="shared" si="34"/>
        <v>0</v>
      </c>
      <c r="K495" s="1863"/>
      <c r="L495" s="1868"/>
      <c r="M495" s="1897"/>
      <c r="N495" s="1889">
        <f t="shared" si="33"/>
        <v>0</v>
      </c>
    </row>
    <row r="496" spans="1:14" ht="26.45">
      <c r="A496" s="1838">
        <v>9</v>
      </c>
      <c r="B496" s="1839" t="s">
        <v>288</v>
      </c>
      <c r="C496" s="1840"/>
      <c r="D496" s="1905">
        <f t="shared" si="32"/>
        <v>20176319.999629147</v>
      </c>
      <c r="E496" s="1906">
        <f>SUM(E497:E500)</f>
        <v>0</v>
      </c>
      <c r="F496" s="1906">
        <f>SUM(F497:F500)</f>
        <v>7492155.4554848736</v>
      </c>
      <c r="G496" s="1906">
        <f>SUM(G497:G500)</f>
        <v>1155100.4250961223</v>
      </c>
      <c r="H496" s="1879">
        <f>SUM(H497:H500)</f>
        <v>4486805.9660581518</v>
      </c>
      <c r="I496" s="1925">
        <f>SUM(I497:I500)</f>
        <v>7042258.1529900003</v>
      </c>
      <c r="J496" s="1908">
        <f t="shared" si="34"/>
        <v>12684164.544144275</v>
      </c>
      <c r="K496" s="1906">
        <f>SUM(K497:K500)</f>
        <v>0</v>
      </c>
      <c r="L496" s="1879">
        <f>SUM(L497:L500)</f>
        <v>0</v>
      </c>
      <c r="M496" s="1925">
        <f>SUM(M497:M500)</f>
        <v>0</v>
      </c>
      <c r="N496" s="1908">
        <f t="shared" si="33"/>
        <v>0</v>
      </c>
    </row>
    <row r="497" spans="1:42">
      <c r="A497" s="1830">
        <v>10</v>
      </c>
      <c r="B497" s="1846" t="s">
        <v>289</v>
      </c>
      <c r="C497" s="1830">
        <v>9</v>
      </c>
      <c r="D497" s="1888">
        <f t="shared" si="32"/>
        <v>0</v>
      </c>
      <c r="E497" s="1863"/>
      <c r="F497" s="1863"/>
      <c r="G497" s="1864"/>
      <c r="H497" s="1872"/>
      <c r="I497" s="1897"/>
      <c r="J497" s="1889">
        <v>0</v>
      </c>
      <c r="K497" s="1864"/>
      <c r="L497" s="1913"/>
      <c r="M497" s="1866"/>
      <c r="N497" s="1889">
        <f t="shared" si="33"/>
        <v>0</v>
      </c>
    </row>
    <row r="498" spans="1:42">
      <c r="A498" s="1830">
        <v>11</v>
      </c>
      <c r="B498" s="1846" t="s">
        <v>290</v>
      </c>
      <c r="C498" s="1830">
        <v>10</v>
      </c>
      <c r="D498" s="1888">
        <f t="shared" si="32"/>
        <v>10127532.918429742</v>
      </c>
      <c r="E498" s="1863"/>
      <c r="F498" s="1032">
        <v>2406245.9542100392</v>
      </c>
      <c r="G498" s="1042">
        <v>423851.79509612225</v>
      </c>
      <c r="H498" s="1043">
        <v>2749082.8443435794</v>
      </c>
      <c r="I498" s="1053">
        <v>4548352.3247800004</v>
      </c>
      <c r="J498" s="1889">
        <v>7721286.9642197024</v>
      </c>
      <c r="K498" s="1864"/>
      <c r="L498" s="1865"/>
      <c r="M498" s="1044"/>
      <c r="N498" s="1889">
        <f t="shared" si="33"/>
        <v>0</v>
      </c>
    </row>
    <row r="499" spans="1:42">
      <c r="A499" s="1830">
        <v>12</v>
      </c>
      <c r="B499" s="1846" t="s">
        <v>291</v>
      </c>
      <c r="C499" s="1830">
        <v>11</v>
      </c>
      <c r="D499" s="1888">
        <f t="shared" si="32"/>
        <v>4994854.6419700067</v>
      </c>
      <c r="E499" s="1863"/>
      <c r="F499" s="1032">
        <v>4101081.1699104351</v>
      </c>
      <c r="G499" s="1042"/>
      <c r="H499" s="1043">
        <v>513438.99248957203</v>
      </c>
      <c r="I499" s="1053">
        <v>380334.47956999997</v>
      </c>
      <c r="J499" s="1889">
        <v>893773.472059572</v>
      </c>
      <c r="K499" s="1864"/>
      <c r="L499" s="1865"/>
      <c r="M499" s="1044"/>
      <c r="N499" s="1889">
        <f t="shared" si="33"/>
        <v>0</v>
      </c>
    </row>
    <row r="500" spans="1:42" ht="26.45">
      <c r="A500" s="1830">
        <v>13</v>
      </c>
      <c r="B500" s="1846" t="s">
        <v>292</v>
      </c>
      <c r="C500" s="1830">
        <v>12</v>
      </c>
      <c r="D500" s="1888">
        <f t="shared" si="32"/>
        <v>5053932.4392293999</v>
      </c>
      <c r="E500" s="1863"/>
      <c r="F500" s="1032">
        <v>984828.3313644001</v>
      </c>
      <c r="G500" s="1042">
        <v>731248.63</v>
      </c>
      <c r="H500" s="1043">
        <v>1224284.1292249998</v>
      </c>
      <c r="I500" s="1053">
        <v>2113571.34864</v>
      </c>
      <c r="J500" s="1889">
        <v>4069104.1078649997</v>
      </c>
      <c r="K500" s="1864"/>
      <c r="L500" s="1865"/>
      <c r="M500" s="1044"/>
      <c r="N500" s="1889">
        <f t="shared" si="33"/>
        <v>0</v>
      </c>
    </row>
    <row r="501" spans="1:42">
      <c r="A501" s="1830">
        <v>14</v>
      </c>
      <c r="B501" s="1829" t="s">
        <v>293</v>
      </c>
      <c r="C501" s="1830">
        <v>13</v>
      </c>
      <c r="D501" s="1888">
        <f t="shared" si="32"/>
        <v>257302.72580000001</v>
      </c>
      <c r="E501" s="1863"/>
      <c r="F501" s="1863"/>
      <c r="G501" s="1864">
        <v>6096.1032000000005</v>
      </c>
      <c r="H501" s="1872">
        <v>130125.64054000002</v>
      </c>
      <c r="I501" s="1897">
        <v>121080.98205999998</v>
      </c>
      <c r="J501" s="1889">
        <v>257302.72580000001</v>
      </c>
      <c r="K501" s="1864"/>
      <c r="L501" s="1913"/>
      <c r="M501" s="1911"/>
      <c r="N501" s="1889">
        <f t="shared" si="33"/>
        <v>0</v>
      </c>
    </row>
    <row r="502" spans="1:42">
      <c r="A502" s="1830">
        <v>15</v>
      </c>
      <c r="B502" s="1829" t="s">
        <v>294</v>
      </c>
      <c r="C502" s="1836">
        <v>14</v>
      </c>
      <c r="D502" s="1888">
        <f t="shared" si="32"/>
        <v>299781.43401000003</v>
      </c>
      <c r="E502" s="1863"/>
      <c r="F502" s="1032"/>
      <c r="G502" s="1042">
        <v>1.0000000000000001E-5</v>
      </c>
      <c r="H502" s="1035">
        <v>299781.43400000001</v>
      </c>
      <c r="I502" s="1897">
        <v>0</v>
      </c>
      <c r="J502" s="1889">
        <v>299781.43401000003</v>
      </c>
      <c r="K502" s="1864"/>
      <c r="L502" s="1913"/>
      <c r="M502" s="1911"/>
      <c r="N502" s="1889">
        <f t="shared" si="33"/>
        <v>0</v>
      </c>
    </row>
    <row r="503" spans="1:42">
      <c r="A503" s="1830">
        <v>16</v>
      </c>
      <c r="B503" s="1829" t="s">
        <v>295</v>
      </c>
      <c r="C503" s="1830">
        <v>15</v>
      </c>
      <c r="D503" s="1888">
        <f t="shared" si="32"/>
        <v>65996.672340000005</v>
      </c>
      <c r="E503" s="1863"/>
      <c r="F503" s="1032"/>
      <c r="G503" s="1042">
        <v>1098.3440000000001</v>
      </c>
      <c r="H503" s="1035">
        <v>64898.32834</v>
      </c>
      <c r="I503" s="1897">
        <v>0</v>
      </c>
      <c r="J503" s="1889">
        <v>65996.672340000005</v>
      </c>
      <c r="K503" s="1864"/>
      <c r="L503" s="1913"/>
      <c r="M503" s="1911"/>
      <c r="N503" s="1889">
        <f t="shared" si="33"/>
        <v>0</v>
      </c>
    </row>
    <row r="504" spans="1:42">
      <c r="A504" s="1830">
        <v>17</v>
      </c>
      <c r="B504" s="1829" t="s">
        <v>296</v>
      </c>
      <c r="C504" s="1836">
        <v>16</v>
      </c>
      <c r="D504" s="1888">
        <f t="shared" si="32"/>
        <v>3924689.9964251583</v>
      </c>
      <c r="E504" s="1863"/>
      <c r="F504" s="1032">
        <v>614172.46213999996</v>
      </c>
      <c r="G504" s="1042">
        <v>-4.4999999999999999E-4</v>
      </c>
      <c r="H504" s="1043">
        <v>2662089.9618688035</v>
      </c>
      <c r="I504" s="1911">
        <v>648427.57286635495</v>
      </c>
      <c r="J504" s="1889">
        <v>3310517.5342851584</v>
      </c>
      <c r="K504" s="1864"/>
      <c r="L504" s="1865"/>
      <c r="M504" s="1866"/>
      <c r="N504" s="1889">
        <f t="shared" si="33"/>
        <v>0</v>
      </c>
    </row>
    <row r="505" spans="1:42">
      <c r="A505" s="1830">
        <v>18</v>
      </c>
      <c r="B505" s="1829" t="s">
        <v>297</v>
      </c>
      <c r="C505" s="1830"/>
      <c r="D505" s="1888">
        <f t="shared" si="32"/>
        <v>0</v>
      </c>
      <c r="E505" s="1863"/>
      <c r="F505" s="1032"/>
      <c r="G505" s="1042"/>
      <c r="H505" s="1035"/>
      <c r="I505" s="1897"/>
      <c r="J505" s="1889">
        <v>0</v>
      </c>
      <c r="K505" s="1864"/>
      <c r="L505" s="1913"/>
      <c r="M505" s="1911"/>
      <c r="N505" s="1889">
        <f t="shared" si="33"/>
        <v>0</v>
      </c>
    </row>
    <row r="506" spans="1:42" ht="15" thickBot="1">
      <c r="A506" s="1847">
        <v>19</v>
      </c>
      <c r="B506" s="1848" t="s">
        <v>298</v>
      </c>
      <c r="C506" s="1847"/>
      <c r="D506" s="3117">
        <f t="shared" si="32"/>
        <v>266867.66518000001</v>
      </c>
      <c r="E506" s="3114"/>
      <c r="F506" s="1036">
        <v>24564.310579999998</v>
      </c>
      <c r="G506" s="1060">
        <v>26373.520669999998</v>
      </c>
      <c r="H506" s="1058">
        <v>122092.25633723516</v>
      </c>
      <c r="I506" s="1923">
        <v>93837.577592764836</v>
      </c>
      <c r="J506" s="3118">
        <v>242303.35459999999</v>
      </c>
      <c r="K506" s="3116"/>
      <c r="L506" s="1917"/>
      <c r="M506" s="1922"/>
      <c r="N506" s="3118">
        <f t="shared" si="33"/>
        <v>0</v>
      </c>
    </row>
    <row r="507" spans="1:42" s="870" customFormat="1" ht="27" thickBot="1">
      <c r="A507" s="1138">
        <v>20</v>
      </c>
      <c r="B507" s="1139" t="s">
        <v>299</v>
      </c>
      <c r="C507" s="1138"/>
      <c r="D507" s="1163">
        <f t="shared" si="32"/>
        <v>27605426.649140462</v>
      </c>
      <c r="E507" s="1163">
        <f>SUM(E484:E490)+E493+E496+SUM(E501:E506)</f>
        <v>0</v>
      </c>
      <c r="F507" s="1163">
        <f>SUM(F484:F490)+F493+F496+SUM(F501:F506)</f>
        <v>10536805.206841029</v>
      </c>
      <c r="G507" s="1163">
        <f>SUM(G484:G490)+G493+G496+SUM(G501:G506)</f>
        <v>1188668.3925261223</v>
      </c>
      <c r="H507" s="1164">
        <f>SUM(H484:H490)+H493+H496+SUM(H501:H506)</f>
        <v>7883716.0237151701</v>
      </c>
      <c r="I507" s="1193">
        <f>SUM(I484:I490)+I493+I496+SUM(I501:I506)</f>
        <v>7996237.0260581402</v>
      </c>
      <c r="J507" s="1163">
        <f>G507+H507+I507</f>
        <v>17068621.442299433</v>
      </c>
      <c r="K507" s="1163">
        <f>SUM(K484:K490)+K493+K496+SUM(K501:K506)</f>
        <v>0</v>
      </c>
      <c r="L507" s="1164">
        <f>SUM(L484:L490)+L493+L496+SUM(L501:L506)</f>
        <v>0</v>
      </c>
      <c r="M507" s="1193">
        <f>SUM(M484:M490)+M493+M496+SUM(M501:M506)</f>
        <v>0</v>
      </c>
      <c r="N507" s="1163">
        <f t="shared" si="33"/>
        <v>0</v>
      </c>
      <c r="O507"/>
      <c r="P507"/>
      <c r="Q507"/>
      <c r="R507"/>
      <c r="S507"/>
      <c r="T507"/>
      <c r="U507"/>
      <c r="V507"/>
      <c r="W507"/>
      <c r="X507"/>
      <c r="Y507"/>
      <c r="Z507"/>
      <c r="AA507"/>
      <c r="AB507"/>
      <c r="AC507"/>
      <c r="AD507"/>
      <c r="AE507"/>
      <c r="AF507"/>
      <c r="AG507"/>
      <c r="AH507"/>
      <c r="AI507"/>
      <c r="AJ507"/>
      <c r="AK507" s="2976"/>
      <c r="AL507" s="2976"/>
      <c r="AM507" s="2976"/>
      <c r="AN507" s="2976"/>
      <c r="AO507" s="2976"/>
      <c r="AP507" s="2976"/>
    </row>
    <row r="508" spans="1:42">
      <c r="A508" s="1133"/>
      <c r="B508" s="1134" t="s">
        <v>300</v>
      </c>
      <c r="C508" s="1133"/>
      <c r="D508" s="1172">
        <f t="shared" si="32"/>
        <v>0</v>
      </c>
      <c r="E508" s="1032"/>
      <c r="F508" s="1032"/>
      <c r="G508" s="1042"/>
      <c r="H508" s="1035"/>
      <c r="I508" s="1052"/>
      <c r="J508" s="1177"/>
      <c r="K508" s="1042"/>
      <c r="L508" s="1054"/>
      <c r="M508" s="1053"/>
      <c r="N508" s="1177">
        <f t="shared" si="33"/>
        <v>0</v>
      </c>
    </row>
    <row r="509" spans="1:42">
      <c r="A509" s="1830"/>
      <c r="B509" s="1850" t="s">
        <v>301</v>
      </c>
      <c r="C509" s="1830"/>
      <c r="D509" s="1888">
        <f t="shared" si="32"/>
        <v>0</v>
      </c>
      <c r="E509" s="1863"/>
      <c r="F509" s="1863"/>
      <c r="G509" s="1864"/>
      <c r="H509" s="1872"/>
      <c r="I509" s="1897"/>
      <c r="J509" s="1889"/>
      <c r="K509" s="1864"/>
      <c r="L509" s="1913"/>
      <c r="M509" s="1911"/>
      <c r="N509" s="1889">
        <f t="shared" si="33"/>
        <v>0</v>
      </c>
    </row>
    <row r="510" spans="1:42">
      <c r="A510" s="1830">
        <v>21</v>
      </c>
      <c r="B510" s="1829" t="s">
        <v>302</v>
      </c>
      <c r="C510" s="1836">
        <v>17</v>
      </c>
      <c r="D510" s="1888">
        <f t="shared" si="32"/>
        <v>13565938.935140038</v>
      </c>
      <c r="E510" s="1863">
        <v>0</v>
      </c>
      <c r="F510" s="1863">
        <v>0</v>
      </c>
      <c r="G510" s="1864">
        <v>980992.88191083807</v>
      </c>
      <c r="H510" s="1872">
        <v>6895638.0231385045</v>
      </c>
      <c r="I510" s="1897">
        <v>5689308.0300906952</v>
      </c>
      <c r="J510" s="1889">
        <v>13565938.935140038</v>
      </c>
      <c r="K510" s="1864"/>
      <c r="L510" s="1913"/>
      <c r="M510" s="1866"/>
      <c r="N510" s="1889">
        <f t="shared" si="33"/>
        <v>0</v>
      </c>
    </row>
    <row r="511" spans="1:42">
      <c r="A511" s="1830">
        <v>22</v>
      </c>
      <c r="B511" s="1829" t="s">
        <v>303</v>
      </c>
      <c r="C511" s="1830"/>
      <c r="D511" s="1888">
        <f t="shared" si="32"/>
        <v>66196.395319999996</v>
      </c>
      <c r="E511" s="1863"/>
      <c r="F511" s="1863">
        <v>0</v>
      </c>
      <c r="G511" s="1042">
        <v>0</v>
      </c>
      <c r="H511" s="1035">
        <v>37429.136673306712</v>
      </c>
      <c r="I511" s="1897">
        <v>28767.258646693288</v>
      </c>
      <c r="J511" s="1889">
        <v>66196.395319999996</v>
      </c>
      <c r="K511" s="1864"/>
      <c r="L511" s="1913"/>
      <c r="M511" s="1911"/>
      <c r="N511" s="1889">
        <f t="shared" si="33"/>
        <v>0</v>
      </c>
    </row>
    <row r="512" spans="1:42">
      <c r="A512" s="1830">
        <v>23</v>
      </c>
      <c r="B512" s="1829" t="s">
        <v>304</v>
      </c>
      <c r="C512" s="1830">
        <v>18</v>
      </c>
      <c r="D512" s="1888">
        <f t="shared" si="32"/>
        <v>148607.79426000002</v>
      </c>
      <c r="E512" s="1863"/>
      <c r="F512" s="1863">
        <v>0</v>
      </c>
      <c r="G512" s="1042">
        <v>2914.5963700000002</v>
      </c>
      <c r="H512" s="1035">
        <v>-437.15697000001092</v>
      </c>
      <c r="I512" s="1897">
        <v>146130.35486000002</v>
      </c>
      <c r="J512" s="1889">
        <v>148607.79426000002</v>
      </c>
      <c r="K512" s="1864"/>
      <c r="L512" s="1913"/>
      <c r="M512" s="1911"/>
      <c r="N512" s="1889">
        <f t="shared" si="33"/>
        <v>0</v>
      </c>
    </row>
    <row r="513" spans="1:42">
      <c r="A513" s="1830">
        <v>24</v>
      </c>
      <c r="B513" s="1829" t="s">
        <v>305</v>
      </c>
      <c r="C513" s="1830"/>
      <c r="D513" s="1888">
        <f t="shared" si="32"/>
        <v>0</v>
      </c>
      <c r="E513" s="1863"/>
      <c r="F513" s="3114"/>
      <c r="G513" s="1060"/>
      <c r="H513" s="1058"/>
      <c r="I513" s="1897"/>
      <c r="J513" s="1889">
        <v>0</v>
      </c>
      <c r="K513" s="1864"/>
      <c r="L513" s="1913"/>
      <c r="M513" s="1911"/>
      <c r="N513" s="1889">
        <f t="shared" si="33"/>
        <v>0</v>
      </c>
    </row>
    <row r="514" spans="1:42">
      <c r="A514" s="1830">
        <v>25</v>
      </c>
      <c r="B514" s="1851" t="s">
        <v>306</v>
      </c>
      <c r="C514" s="1830"/>
      <c r="D514" s="1888">
        <f t="shared" si="32"/>
        <v>76484.960579999999</v>
      </c>
      <c r="E514" s="1863"/>
      <c r="F514" s="1075">
        <v>1591.2940000000001</v>
      </c>
      <c r="G514" s="1078">
        <v>74893.666580000005</v>
      </c>
      <c r="H514" s="1079">
        <v>0</v>
      </c>
      <c r="I514" s="1923"/>
      <c r="J514" s="1889">
        <v>74893.666580000005</v>
      </c>
      <c r="K514" s="1864"/>
      <c r="L514" s="1913"/>
      <c r="M514" s="1911"/>
      <c r="N514" s="1889">
        <f t="shared" si="33"/>
        <v>0</v>
      </c>
    </row>
    <row r="515" spans="1:42" ht="15" thickBot="1">
      <c r="A515" s="1847">
        <v>26</v>
      </c>
      <c r="B515" s="1848" t="s">
        <v>307</v>
      </c>
      <c r="C515" s="1852">
        <v>19</v>
      </c>
      <c r="D515" s="1888">
        <f t="shared" si="32"/>
        <v>4090849.8010404226</v>
      </c>
      <c r="E515" s="1863"/>
      <c r="F515" s="1080">
        <v>347138.12478103064</v>
      </c>
      <c r="G515" s="1081">
        <v>129867.24766528423</v>
      </c>
      <c r="H515" s="1082">
        <v>1204287.8677133562</v>
      </c>
      <c r="I515" s="1076">
        <v>2409556.5608807513</v>
      </c>
      <c r="J515" s="1889">
        <v>3743711.6762593919</v>
      </c>
      <c r="K515" s="1864"/>
      <c r="L515" s="1065"/>
      <c r="M515" s="1930"/>
      <c r="N515" s="1889">
        <f t="shared" si="33"/>
        <v>0</v>
      </c>
    </row>
    <row r="516" spans="1:42" s="870" customFormat="1" ht="15" thickBot="1">
      <c r="A516" s="1135">
        <v>27</v>
      </c>
      <c r="B516" s="1136" t="s">
        <v>308</v>
      </c>
      <c r="C516" s="1135"/>
      <c r="D516" s="1173">
        <f t="shared" si="32"/>
        <v>17948077.886340462</v>
      </c>
      <c r="E516" s="1041">
        <f>SUM(E510:E515)</f>
        <v>0</v>
      </c>
      <c r="F516" s="1041">
        <f>SUM(F510:F515)</f>
        <v>348729.41878103063</v>
      </c>
      <c r="G516" s="1041">
        <f>SUM(G510:G515)</f>
        <v>1188668.3925261223</v>
      </c>
      <c r="H516" s="1045">
        <f>SUM(H510:H515)</f>
        <v>8136917.870555168</v>
      </c>
      <c r="I516" s="1073">
        <f>SUM(I510:I515)</f>
        <v>8273762.20447814</v>
      </c>
      <c r="J516" s="1176">
        <f>G516+H516+I516</f>
        <v>17599348.467559431</v>
      </c>
      <c r="K516" s="1041">
        <f>SUM(K510:K515)</f>
        <v>0</v>
      </c>
      <c r="L516" s="1041">
        <f>SUM(L510:L515)</f>
        <v>0</v>
      </c>
      <c r="M516" s="1041">
        <f>SUM(M510:M515)</f>
        <v>0</v>
      </c>
      <c r="N516" s="1180">
        <f t="shared" si="33"/>
        <v>0</v>
      </c>
      <c r="O516"/>
      <c r="P516"/>
      <c r="Q516"/>
      <c r="R516"/>
      <c r="S516"/>
      <c r="T516"/>
      <c r="U516"/>
      <c r="V516"/>
      <c r="W516"/>
      <c r="X516"/>
      <c r="Y516"/>
      <c r="Z516"/>
      <c r="AA516"/>
      <c r="AB516"/>
      <c r="AC516"/>
      <c r="AD516"/>
      <c r="AE516"/>
      <c r="AF516"/>
      <c r="AG516"/>
      <c r="AH516"/>
      <c r="AI516"/>
      <c r="AJ516"/>
      <c r="AK516" s="2976"/>
      <c r="AL516" s="2976"/>
      <c r="AM516" s="2976"/>
      <c r="AN516" s="2976"/>
      <c r="AO516" s="2976"/>
      <c r="AP516" s="2976"/>
    </row>
    <row r="517" spans="1:42">
      <c r="A517" s="1133"/>
      <c r="B517" s="1134" t="s">
        <v>309</v>
      </c>
      <c r="C517" s="1133">
        <v>20</v>
      </c>
      <c r="D517" s="1172">
        <f t="shared" si="32"/>
        <v>0</v>
      </c>
      <c r="E517" s="1032"/>
      <c r="F517" s="1032"/>
      <c r="G517" s="1042"/>
      <c r="H517" s="1035"/>
      <c r="I517" s="1052"/>
      <c r="J517" s="1177"/>
      <c r="K517" s="1032"/>
      <c r="L517" s="1033"/>
      <c r="M517" s="1052"/>
      <c r="N517" s="1177">
        <f t="shared" si="33"/>
        <v>0</v>
      </c>
    </row>
    <row r="518" spans="1:42">
      <c r="A518" s="1830">
        <v>28</v>
      </c>
      <c r="B518" s="1829" t="s">
        <v>310</v>
      </c>
      <c r="C518" s="1836"/>
      <c r="D518" s="1888">
        <f t="shared" si="32"/>
        <v>4753751.6210000003</v>
      </c>
      <c r="E518" s="1863"/>
      <c r="F518" s="1863">
        <v>4753751.6210000003</v>
      </c>
      <c r="G518" s="1864"/>
      <c r="H518" s="1872"/>
      <c r="I518" s="1897"/>
      <c r="J518" s="1889">
        <v>0</v>
      </c>
      <c r="K518" s="1863"/>
      <c r="L518" s="1868"/>
      <c r="M518" s="1897"/>
      <c r="N518" s="1889">
        <f t="shared" si="33"/>
        <v>0</v>
      </c>
    </row>
    <row r="519" spans="1:42">
      <c r="A519" s="1830">
        <v>29</v>
      </c>
      <c r="B519" s="1829" t="s">
        <v>311</v>
      </c>
      <c r="C519" s="1836"/>
      <c r="D519" s="1888">
        <f t="shared" si="32"/>
        <v>-987055.52171</v>
      </c>
      <c r="E519" s="1863"/>
      <c r="F519" s="1032">
        <v>-456328.49644999998</v>
      </c>
      <c r="G519" s="1864"/>
      <c r="H519" s="1872">
        <v>-253201.84684000001</v>
      </c>
      <c r="I519" s="1897">
        <v>-277525.17842000001</v>
      </c>
      <c r="J519" s="1889">
        <v>-530727.02526000002</v>
      </c>
      <c r="K519" s="1863"/>
      <c r="L519" s="1868"/>
      <c r="M519" s="1897"/>
      <c r="N519" s="1889">
        <f t="shared" si="33"/>
        <v>0</v>
      </c>
    </row>
    <row r="520" spans="1:42">
      <c r="A520" s="1830">
        <v>30</v>
      </c>
      <c r="B520" s="1848" t="s">
        <v>312</v>
      </c>
      <c r="C520" s="1852"/>
      <c r="D520" s="1888">
        <f t="shared" si="32"/>
        <v>0</v>
      </c>
      <c r="E520" s="1863"/>
      <c r="F520" s="1036"/>
      <c r="G520" s="3116"/>
      <c r="H520" s="1885"/>
      <c r="I520" s="1923"/>
      <c r="J520" s="1889">
        <v>0</v>
      </c>
      <c r="K520" s="1863"/>
      <c r="L520" s="1868"/>
      <c r="M520" s="1897"/>
      <c r="N520" s="1889">
        <f t="shared" si="33"/>
        <v>0</v>
      </c>
    </row>
    <row r="521" spans="1:42">
      <c r="A521" s="1830">
        <v>31</v>
      </c>
      <c r="B521" s="1848" t="s">
        <v>313</v>
      </c>
      <c r="C521" s="1852"/>
      <c r="D521" s="1888">
        <f t="shared" si="32"/>
        <v>1795828.6910000001</v>
      </c>
      <c r="E521" s="1863"/>
      <c r="F521" s="3114">
        <v>1795828.6910000001</v>
      </c>
      <c r="G521" s="3116"/>
      <c r="H521" s="1885"/>
      <c r="I521" s="1923"/>
      <c r="J521" s="1889">
        <v>0</v>
      </c>
      <c r="K521" s="1863"/>
      <c r="L521" s="1868"/>
      <c r="M521" s="1897"/>
      <c r="N521" s="1889">
        <f t="shared" si="33"/>
        <v>0</v>
      </c>
    </row>
    <row r="522" spans="1:42" ht="15" thickBot="1">
      <c r="A522" s="1847">
        <v>32</v>
      </c>
      <c r="B522" s="1848" t="s">
        <v>314</v>
      </c>
      <c r="C522" s="1852"/>
      <c r="D522" s="1888">
        <f t="shared" si="32"/>
        <v>4094823.9725099998</v>
      </c>
      <c r="E522" s="1863"/>
      <c r="F522" s="3114">
        <v>4094823.9725099998</v>
      </c>
      <c r="G522" s="3116"/>
      <c r="H522" s="1885"/>
      <c r="I522" s="1072"/>
      <c r="J522" s="1889">
        <v>0</v>
      </c>
      <c r="K522" s="1863"/>
      <c r="L522" s="1868"/>
      <c r="M522" s="1897"/>
      <c r="N522" s="1889">
        <f t="shared" si="33"/>
        <v>0</v>
      </c>
    </row>
    <row r="523" spans="1:42" s="870" customFormat="1" ht="15" thickBot="1">
      <c r="A523" s="1135">
        <v>33</v>
      </c>
      <c r="B523" s="1169" t="s">
        <v>315</v>
      </c>
      <c r="C523" s="1170"/>
      <c r="D523" s="1174">
        <f t="shared" si="32"/>
        <v>9657348.7627999987</v>
      </c>
      <c r="E523" s="1046">
        <f>SUM(E518:E522)</f>
        <v>0</v>
      </c>
      <c r="F523" s="1046">
        <f>SUM(F518:F522)</f>
        <v>10188075.788059998</v>
      </c>
      <c r="G523" s="1046">
        <f>SUM(G518:G522)</f>
        <v>0</v>
      </c>
      <c r="H523" s="1046">
        <f>SUM(H518:H522)</f>
        <v>-253201.84684000001</v>
      </c>
      <c r="I523" s="1074">
        <f>SUM(I518:I522)</f>
        <v>-277525.17842000001</v>
      </c>
      <c r="J523" s="1178">
        <f>G523+H523+I523</f>
        <v>-530727.02526000002</v>
      </c>
      <c r="K523" s="1046">
        <f>SUM(K518:K522)</f>
        <v>0</v>
      </c>
      <c r="L523" s="1047">
        <f>SUM(L518:L522)</f>
        <v>0</v>
      </c>
      <c r="M523" s="1066">
        <f>SUM(M518:M522)</f>
        <v>0</v>
      </c>
      <c r="N523" s="1178">
        <f t="shared" si="33"/>
        <v>0</v>
      </c>
      <c r="O523"/>
      <c r="P523"/>
      <c r="Q523"/>
      <c r="R523"/>
      <c r="S523"/>
      <c r="T523"/>
      <c r="U523"/>
      <c r="V523"/>
      <c r="W523"/>
      <c r="X523"/>
      <c r="Y523"/>
      <c r="Z523"/>
      <c r="AA523"/>
      <c r="AB523"/>
      <c r="AC523"/>
      <c r="AD523"/>
      <c r="AE523"/>
      <c r="AF523"/>
      <c r="AG523"/>
      <c r="AH523"/>
      <c r="AI523"/>
      <c r="AJ523"/>
      <c r="AK523" s="2976"/>
      <c r="AL523" s="2976"/>
      <c r="AM523" s="2976"/>
      <c r="AN523" s="2976"/>
      <c r="AO523" s="2976"/>
      <c r="AP523" s="2976"/>
    </row>
    <row r="524" spans="1:42" s="870" customFormat="1" ht="27" thickBot="1">
      <c r="A524" s="1138">
        <v>34</v>
      </c>
      <c r="B524" s="1139" t="s">
        <v>317</v>
      </c>
      <c r="C524" s="1138"/>
      <c r="D524" s="1166">
        <f t="shared" si="32"/>
        <v>27605426.649140459</v>
      </c>
      <c r="E524" s="1166">
        <f>E523+E516</f>
        <v>0</v>
      </c>
      <c r="F524" s="1166">
        <f>F523+F516</f>
        <v>10536805.206841029</v>
      </c>
      <c r="G524" s="1166">
        <f>G523+G516</f>
        <v>1188668.3925261223</v>
      </c>
      <c r="H524" s="1166">
        <f>H523+H516</f>
        <v>7883716.0237151682</v>
      </c>
      <c r="I524" s="1166">
        <f>I523+I516</f>
        <v>7996237.0260581402</v>
      </c>
      <c r="J524" s="1166">
        <f>G524+H524+I524</f>
        <v>17068621.442299429</v>
      </c>
      <c r="K524" s="1166">
        <f>K523+K516</f>
        <v>0</v>
      </c>
      <c r="L524" s="1167">
        <f>L523+L516</f>
        <v>0</v>
      </c>
      <c r="M524" s="1206">
        <f>M523+M516</f>
        <v>0</v>
      </c>
      <c r="N524" s="1166">
        <f t="shared" si="33"/>
        <v>0</v>
      </c>
      <c r="O524"/>
      <c r="P524"/>
      <c r="Q524"/>
      <c r="R524"/>
      <c r="S524"/>
      <c r="T524"/>
      <c r="U524"/>
      <c r="V524"/>
      <c r="W524"/>
      <c r="X524"/>
      <c r="Y524"/>
      <c r="Z524"/>
      <c r="AA524"/>
      <c r="AB524"/>
      <c r="AC524"/>
      <c r="AD524"/>
      <c r="AE524"/>
      <c r="AF524"/>
      <c r="AG524"/>
      <c r="AH524"/>
      <c r="AI524"/>
      <c r="AJ524"/>
      <c r="AK524" s="2976"/>
      <c r="AL524" s="2976"/>
      <c r="AM524" s="2976"/>
      <c r="AN524" s="2976"/>
      <c r="AO524" s="2976"/>
      <c r="AP524" s="2976"/>
    </row>
    <row r="525" spans="1:42">
      <c r="B525"/>
      <c r="C525"/>
      <c r="D525"/>
      <c r="E525"/>
      <c r="F525"/>
      <c r="G525"/>
      <c r="H525"/>
      <c r="I525"/>
      <c r="J525"/>
      <c r="K525"/>
      <c r="L525"/>
      <c r="M525"/>
      <c r="N525"/>
    </row>
    <row r="526" spans="1:42">
      <c r="B526"/>
      <c r="C526"/>
      <c r="D526"/>
      <c r="E526"/>
      <c r="F526"/>
      <c r="G526"/>
      <c r="H526"/>
      <c r="I526"/>
      <c r="J526"/>
      <c r="K526"/>
      <c r="L526"/>
      <c r="M526"/>
      <c r="N526"/>
    </row>
    <row r="527" spans="1:42">
      <c r="B527"/>
      <c r="C527"/>
      <c r="D527"/>
      <c r="E527"/>
      <c r="F527"/>
      <c r="G527"/>
      <c r="H527"/>
      <c r="I527"/>
      <c r="J527"/>
      <c r="K527"/>
      <c r="L527"/>
      <c r="M527"/>
      <c r="N527"/>
    </row>
    <row r="529" spans="1:14" ht="15" thickBot="1"/>
    <row r="530" spans="1:14" ht="15" thickBot="1">
      <c r="A530" s="1153" t="s">
        <v>326</v>
      </c>
      <c r="B530" s="3303" t="s">
        <v>327</v>
      </c>
      <c r="C530" s="3304"/>
      <c r="D530" s="662"/>
      <c r="E530" s="662"/>
      <c r="F530" s="662"/>
      <c r="G530" s="662"/>
      <c r="H530" s="662"/>
      <c r="I530" s="662"/>
      <c r="J530" s="662"/>
      <c r="K530" s="662"/>
      <c r="L530" s="662"/>
      <c r="M530" s="3292"/>
      <c r="N530" s="3292" t="s">
        <v>257</v>
      </c>
    </row>
    <row r="531" spans="1:14" ht="13.5" customHeight="1" thickBot="1">
      <c r="A531" s="3293" t="s">
        <v>258</v>
      </c>
      <c r="B531" s="3298"/>
      <c r="C531" s="3280" t="s">
        <v>259</v>
      </c>
      <c r="D531" s="3283" t="s">
        <v>260</v>
      </c>
      <c r="E531" s="3283" t="s">
        <v>261</v>
      </c>
      <c r="F531" s="3283" t="s">
        <v>262</v>
      </c>
      <c r="G531" s="3286" t="s">
        <v>263</v>
      </c>
      <c r="H531" s="3287"/>
      <c r="I531" s="3287"/>
      <c r="J531" s="3287"/>
      <c r="K531" s="3287"/>
      <c r="L531" s="3287"/>
      <c r="M531" s="3287"/>
      <c r="N531" s="3288"/>
    </row>
    <row r="532" spans="1:14" ht="13.5" customHeight="1" thickBot="1">
      <c r="A532" s="3294"/>
      <c r="B532" s="3299"/>
      <c r="C532" s="3281"/>
      <c r="D532" s="3284"/>
      <c r="E532" s="3284"/>
      <c r="F532" s="3284"/>
      <c r="G532" s="3289" t="s">
        <v>264</v>
      </c>
      <c r="H532" s="3290"/>
      <c r="I532" s="3290"/>
      <c r="J532" s="3291"/>
      <c r="K532" s="3289" t="s">
        <v>265</v>
      </c>
      <c r="L532" s="3290"/>
      <c r="M532" s="3290"/>
      <c r="N532" s="3291"/>
    </row>
    <row r="533" spans="1:14" ht="40.15" thickBot="1">
      <c r="A533" s="3294"/>
      <c r="B533" s="3299"/>
      <c r="C533" s="3281"/>
      <c r="D533" s="3285"/>
      <c r="E533" s="3285"/>
      <c r="F533" s="3285"/>
      <c r="G533" s="1125" t="s">
        <v>267</v>
      </c>
      <c r="H533" s="1125" t="s">
        <v>268</v>
      </c>
      <c r="I533" s="1125" t="s">
        <v>269</v>
      </c>
      <c r="J533" s="1125" t="s">
        <v>160</v>
      </c>
      <c r="K533" s="1126" t="s">
        <v>270</v>
      </c>
      <c r="L533" s="1126" t="s">
        <v>271</v>
      </c>
      <c r="M533" s="1126" t="s">
        <v>272</v>
      </c>
      <c r="N533" s="2969" t="s">
        <v>160</v>
      </c>
    </row>
    <row r="534" spans="1:14" ht="15" thickBot="1">
      <c r="A534" s="3294"/>
      <c r="B534" s="3299"/>
      <c r="C534" s="3281"/>
      <c r="D534" s="1128">
        <v>1</v>
      </c>
      <c r="E534" s="3283">
        <v>2</v>
      </c>
      <c r="F534" s="3283">
        <v>3</v>
      </c>
      <c r="G534" s="3283">
        <v>4</v>
      </c>
      <c r="H534" s="3283">
        <v>5</v>
      </c>
      <c r="I534" s="3283">
        <v>6</v>
      </c>
      <c r="J534" s="2974">
        <v>7</v>
      </c>
      <c r="K534" s="3283">
        <v>8</v>
      </c>
      <c r="L534" s="3283">
        <v>9</v>
      </c>
      <c r="M534" s="3283">
        <v>10</v>
      </c>
      <c r="N534" s="1128">
        <v>11</v>
      </c>
    </row>
    <row r="535" spans="1:14" ht="15" thickBot="1">
      <c r="A535" s="3295"/>
      <c r="B535" s="3300"/>
      <c r="C535" s="3282"/>
      <c r="D535" s="1130"/>
      <c r="E535" s="3285"/>
      <c r="F535" s="3285"/>
      <c r="G535" s="3285"/>
      <c r="H535" s="3285"/>
      <c r="I535" s="3285"/>
      <c r="J535" s="1131" t="s">
        <v>273</v>
      </c>
      <c r="K535" s="3285"/>
      <c r="L535" s="3285"/>
      <c r="M535" s="3285"/>
      <c r="N535" s="1157" t="s">
        <v>274</v>
      </c>
    </row>
    <row r="536" spans="1:14">
      <c r="A536" s="1133"/>
      <c r="B536" s="1134" t="s">
        <v>275</v>
      </c>
      <c r="C536" s="1133"/>
      <c r="D536" s="1928"/>
      <c r="E536" s="1071"/>
      <c r="F536" s="1071"/>
      <c r="G536" s="1042"/>
      <c r="H536" s="1035"/>
      <c r="I536" s="1062"/>
      <c r="J536" s="1177"/>
      <c r="K536" s="1032"/>
      <c r="L536" s="1035"/>
      <c r="M536" s="1077"/>
      <c r="N536" s="1929"/>
    </row>
    <row r="537" spans="1:14">
      <c r="A537" s="1828">
        <v>1</v>
      </c>
      <c r="B537" s="1829" t="s">
        <v>276</v>
      </c>
      <c r="C537" s="1830"/>
      <c r="D537" s="1888">
        <f t="shared" ref="D537:D551" si="35">+E537+F537+J537+N537</f>
        <v>0</v>
      </c>
      <c r="E537" s="1863"/>
      <c r="F537" s="1863"/>
      <c r="G537" s="1864"/>
      <c r="H537" s="1872"/>
      <c r="I537" s="1897"/>
      <c r="J537" s="1889">
        <f t="shared" ref="J537:J577" si="36">G537+H537+I537</f>
        <v>0</v>
      </c>
      <c r="K537" s="1863"/>
      <c r="L537" s="1868"/>
      <c r="M537" s="1897"/>
      <c r="N537" s="1889">
        <f t="shared" ref="N537:N577" si="37">K537+L537+M537</f>
        <v>0</v>
      </c>
    </row>
    <row r="538" spans="1:14">
      <c r="A538" s="1828">
        <v>2</v>
      </c>
      <c r="B538" s="1829" t="s">
        <v>277</v>
      </c>
      <c r="C538" s="1830"/>
      <c r="D538" s="1888">
        <f t="shared" si="35"/>
        <v>0</v>
      </c>
      <c r="E538" s="1863"/>
      <c r="F538" s="1863"/>
      <c r="G538" s="1864"/>
      <c r="H538" s="1872"/>
      <c r="I538" s="1897"/>
      <c r="J538" s="1889">
        <f t="shared" si="36"/>
        <v>0</v>
      </c>
      <c r="K538" s="1863"/>
      <c r="L538" s="1868"/>
      <c r="M538" s="1897"/>
      <c r="N538" s="1889">
        <f t="shared" si="37"/>
        <v>0</v>
      </c>
    </row>
    <row r="539" spans="1:14">
      <c r="A539" s="1828">
        <v>3</v>
      </c>
      <c r="B539" s="1829" t="s">
        <v>278</v>
      </c>
      <c r="C539" s="1830"/>
      <c r="D539" s="1888">
        <f t="shared" si="35"/>
        <v>0</v>
      </c>
      <c r="E539" s="1863"/>
      <c r="F539" s="1032"/>
      <c r="G539" s="1864"/>
      <c r="H539" s="1872"/>
      <c r="I539" s="1897"/>
      <c r="J539" s="1889">
        <f t="shared" si="36"/>
        <v>0</v>
      </c>
      <c r="K539" s="1863"/>
      <c r="L539" s="1868"/>
      <c r="M539" s="1897"/>
      <c r="N539" s="1889">
        <f t="shared" si="37"/>
        <v>0</v>
      </c>
    </row>
    <row r="540" spans="1:14">
      <c r="A540" s="1828">
        <v>4</v>
      </c>
      <c r="B540" s="1829" t="s">
        <v>324</v>
      </c>
      <c r="C540" s="1830"/>
      <c r="D540" s="1888">
        <f t="shared" si="35"/>
        <v>0</v>
      </c>
      <c r="E540" s="1863"/>
      <c r="F540" s="1032"/>
      <c r="G540" s="1864"/>
      <c r="H540" s="1872"/>
      <c r="I540" s="1897"/>
      <c r="J540" s="1889">
        <f t="shared" si="36"/>
        <v>0</v>
      </c>
      <c r="K540" s="1863"/>
      <c r="L540" s="1868"/>
      <c r="M540" s="1897"/>
      <c r="N540" s="1889">
        <f t="shared" si="37"/>
        <v>0</v>
      </c>
    </row>
    <row r="541" spans="1:14">
      <c r="A541" s="1828">
        <v>5</v>
      </c>
      <c r="B541" s="1829" t="s">
        <v>280</v>
      </c>
      <c r="C541" s="1836">
        <v>5</v>
      </c>
      <c r="D541" s="1888">
        <f t="shared" si="35"/>
        <v>0</v>
      </c>
      <c r="E541" s="1863"/>
      <c r="F541" s="1032"/>
      <c r="G541" s="1042"/>
      <c r="H541" s="1872"/>
      <c r="I541" s="1897"/>
      <c r="J541" s="1889">
        <f t="shared" si="36"/>
        <v>0</v>
      </c>
      <c r="K541" s="1863"/>
      <c r="L541" s="1868"/>
      <c r="M541" s="1897"/>
      <c r="N541" s="1889">
        <f t="shared" si="37"/>
        <v>0</v>
      </c>
    </row>
    <row r="542" spans="1:14">
      <c r="A542" s="1828">
        <v>6</v>
      </c>
      <c r="B542" s="1829" t="s">
        <v>281</v>
      </c>
      <c r="C542" s="1830">
        <v>6</v>
      </c>
      <c r="D542" s="1888">
        <f t="shared" si="35"/>
        <v>0</v>
      </c>
      <c r="E542" s="1863"/>
      <c r="F542" s="1032"/>
      <c r="G542" s="1042"/>
      <c r="H542" s="1872"/>
      <c r="I542" s="1897"/>
      <c r="J542" s="1889">
        <f t="shared" si="36"/>
        <v>0</v>
      </c>
      <c r="K542" s="1863"/>
      <c r="L542" s="1868"/>
      <c r="M542" s="1897"/>
      <c r="N542" s="1889">
        <f t="shared" si="37"/>
        <v>0</v>
      </c>
    </row>
    <row r="543" spans="1:14">
      <c r="A543" s="1828">
        <v>7</v>
      </c>
      <c r="B543" s="1829" t="s">
        <v>282</v>
      </c>
      <c r="C543" s="1836">
        <v>7</v>
      </c>
      <c r="D543" s="1888">
        <f t="shared" si="35"/>
        <v>0</v>
      </c>
      <c r="E543" s="1863"/>
      <c r="F543" s="1032">
        <f>F544+F545</f>
        <v>0</v>
      </c>
      <c r="G543" s="1032">
        <f>G544+G545</f>
        <v>0</v>
      </c>
      <c r="H543" s="1868">
        <f>H544+H545</f>
        <v>0</v>
      </c>
      <c r="I543" s="1897">
        <f>I544+I545</f>
        <v>0</v>
      </c>
      <c r="J543" s="1889">
        <f t="shared" si="36"/>
        <v>0</v>
      </c>
      <c r="K543" s="1863">
        <f>K544+K545</f>
        <v>0</v>
      </c>
      <c r="L543" s="1868">
        <f>L544+L545</f>
        <v>0</v>
      </c>
      <c r="M543" s="1897">
        <f>M544+M545</f>
        <v>0</v>
      </c>
      <c r="N543" s="1889">
        <f t="shared" si="37"/>
        <v>0</v>
      </c>
    </row>
    <row r="544" spans="1:14">
      <c r="A544" s="1830"/>
      <c r="B544" s="1837" t="s">
        <v>283</v>
      </c>
      <c r="C544" s="1836"/>
      <c r="D544" s="1888">
        <f t="shared" si="35"/>
        <v>0</v>
      </c>
      <c r="E544" s="1863"/>
      <c r="F544" s="1863"/>
      <c r="G544" s="1863"/>
      <c r="H544" s="1868"/>
      <c r="I544" s="1897"/>
      <c r="J544" s="1889">
        <f t="shared" si="36"/>
        <v>0</v>
      </c>
      <c r="K544" s="1863"/>
      <c r="L544" s="1868"/>
      <c r="M544" s="1897"/>
      <c r="N544" s="1889">
        <f t="shared" si="37"/>
        <v>0</v>
      </c>
    </row>
    <row r="545" spans="1:14">
      <c r="A545" s="1830"/>
      <c r="B545" s="1837" t="s">
        <v>284</v>
      </c>
      <c r="C545" s="1836"/>
      <c r="D545" s="1888">
        <f t="shared" si="35"/>
        <v>0</v>
      </c>
      <c r="E545" s="1863"/>
      <c r="F545" s="1863"/>
      <c r="G545" s="1864"/>
      <c r="H545" s="1872"/>
      <c r="I545" s="1897"/>
      <c r="J545" s="1889">
        <f t="shared" si="36"/>
        <v>0</v>
      </c>
      <c r="K545" s="1863"/>
      <c r="L545" s="1868"/>
      <c r="M545" s="1897"/>
      <c r="N545" s="1889">
        <f t="shared" si="37"/>
        <v>0</v>
      </c>
    </row>
    <row r="546" spans="1:14">
      <c r="A546" s="1828">
        <v>8</v>
      </c>
      <c r="B546" s="1829" t="s">
        <v>285</v>
      </c>
      <c r="C546" s="1830">
        <v>8</v>
      </c>
      <c r="D546" s="1888">
        <f t="shared" si="35"/>
        <v>0</v>
      </c>
      <c r="E546" s="1863"/>
      <c r="F546" s="1032">
        <f>F547+F548</f>
        <v>0</v>
      </c>
      <c r="G546" s="1032">
        <f>G547+G548</f>
        <v>0</v>
      </c>
      <c r="H546" s="1868">
        <f>H547+H548</f>
        <v>0</v>
      </c>
      <c r="I546" s="1897">
        <f>I547+I548</f>
        <v>0</v>
      </c>
      <c r="J546" s="1889">
        <f t="shared" si="36"/>
        <v>0</v>
      </c>
      <c r="K546" s="1863">
        <f>K547+K548</f>
        <v>0</v>
      </c>
      <c r="L546" s="1868">
        <f>L547+L548</f>
        <v>0</v>
      </c>
      <c r="M546" s="1897">
        <f>M547+M548</f>
        <v>0</v>
      </c>
      <c r="N546" s="1889">
        <f t="shared" si="37"/>
        <v>0</v>
      </c>
    </row>
    <row r="547" spans="1:14">
      <c r="A547" s="1828"/>
      <c r="B547" s="1837" t="s">
        <v>286</v>
      </c>
      <c r="C547" s="1830"/>
      <c r="D547" s="1888">
        <f t="shared" si="35"/>
        <v>0</v>
      </c>
      <c r="E547" s="1863"/>
      <c r="F547" s="1863"/>
      <c r="G547" s="1863"/>
      <c r="H547" s="1868"/>
      <c r="I547" s="1897"/>
      <c r="J547" s="1889">
        <f t="shared" si="36"/>
        <v>0</v>
      </c>
      <c r="K547" s="1863"/>
      <c r="L547" s="1868"/>
      <c r="M547" s="1897"/>
      <c r="N547" s="1889">
        <f t="shared" si="37"/>
        <v>0</v>
      </c>
    </row>
    <row r="548" spans="1:14">
      <c r="A548" s="1828"/>
      <c r="B548" s="1837" t="s">
        <v>287</v>
      </c>
      <c r="C548" s="1830"/>
      <c r="D548" s="1888">
        <f t="shared" si="35"/>
        <v>0</v>
      </c>
      <c r="E548" s="1863"/>
      <c r="F548" s="1863"/>
      <c r="G548" s="1864"/>
      <c r="H548" s="1872"/>
      <c r="I548" s="1897"/>
      <c r="J548" s="1889">
        <f t="shared" si="36"/>
        <v>0</v>
      </c>
      <c r="K548" s="1863"/>
      <c r="L548" s="1868"/>
      <c r="M548" s="1897"/>
      <c r="N548" s="1889">
        <f t="shared" si="37"/>
        <v>0</v>
      </c>
    </row>
    <row r="549" spans="1:14" ht="26.45">
      <c r="A549" s="1838">
        <v>9</v>
      </c>
      <c r="B549" s="1839" t="s">
        <v>288</v>
      </c>
      <c r="C549" s="1840"/>
      <c r="D549" s="1905">
        <f t="shared" si="35"/>
        <v>191823.41173828876</v>
      </c>
      <c r="E549" s="1906">
        <f>SUM(E550:E553)</f>
        <v>0</v>
      </c>
      <c r="F549" s="1906">
        <f>SUM(F550:F553)</f>
        <v>100000</v>
      </c>
      <c r="G549" s="1906">
        <f>SUM(G550:G553)</f>
        <v>30500.658397107352</v>
      </c>
      <c r="H549" s="1879">
        <f>SUM(H550:H553)</f>
        <v>61322.753341181429</v>
      </c>
      <c r="I549" s="1925">
        <f>SUM(I550:I553)</f>
        <v>0</v>
      </c>
      <c r="J549" s="1908">
        <f t="shared" si="36"/>
        <v>91823.411738288778</v>
      </c>
      <c r="K549" s="1906">
        <f>SUM(K550:K553)</f>
        <v>0</v>
      </c>
      <c r="L549" s="1879">
        <f>SUM(L550:L553)</f>
        <v>0</v>
      </c>
      <c r="M549" s="1925">
        <f>SUM(M550:M553)</f>
        <v>0</v>
      </c>
      <c r="N549" s="1908">
        <f t="shared" si="37"/>
        <v>0</v>
      </c>
    </row>
    <row r="550" spans="1:14">
      <c r="A550" s="1830">
        <v>10</v>
      </c>
      <c r="B550" s="1846" t="s">
        <v>289</v>
      </c>
      <c r="C550" s="1830">
        <v>9</v>
      </c>
      <c r="D550" s="1888">
        <f t="shared" si="35"/>
        <v>0</v>
      </c>
      <c r="E550" s="1863"/>
      <c r="F550" s="1863"/>
      <c r="G550" s="1864"/>
      <c r="H550" s="1872"/>
      <c r="I550" s="1897"/>
      <c r="J550" s="1889">
        <f t="shared" si="36"/>
        <v>0</v>
      </c>
      <c r="K550" s="1864"/>
      <c r="L550" s="1913"/>
      <c r="M550" s="1866"/>
      <c r="N550" s="1889">
        <f t="shared" si="37"/>
        <v>0</v>
      </c>
    </row>
    <row r="551" spans="1:14">
      <c r="A551" s="1830">
        <v>11</v>
      </c>
      <c r="B551" s="1846" t="s">
        <v>290</v>
      </c>
      <c r="C551" s="1830">
        <v>10</v>
      </c>
      <c r="D551" s="1888">
        <f t="shared" si="35"/>
        <v>100000.49988768878</v>
      </c>
      <c r="E551" s="1863"/>
      <c r="F551" s="1032">
        <v>100000</v>
      </c>
      <c r="G551" s="1042">
        <v>221.57159970735279</v>
      </c>
      <c r="H551" s="1043">
        <v>-221.07171201857128</v>
      </c>
      <c r="I551" s="1053"/>
      <c r="J551" s="1889">
        <f t="shared" si="36"/>
        <v>0.49988768878151291</v>
      </c>
      <c r="K551" s="1864"/>
      <c r="L551" s="1865"/>
      <c r="M551" s="1044"/>
      <c r="N551" s="1889">
        <f t="shared" si="37"/>
        <v>0</v>
      </c>
    </row>
    <row r="552" spans="1:14">
      <c r="A552" s="1830">
        <v>12</v>
      </c>
      <c r="B552" s="1846" t="s">
        <v>291</v>
      </c>
      <c r="C552" s="1830">
        <v>11</v>
      </c>
      <c r="D552" s="1888"/>
      <c r="E552" s="1863"/>
      <c r="F552" s="1032"/>
      <c r="G552" s="1042"/>
      <c r="H552" s="1043"/>
      <c r="I552" s="1053"/>
      <c r="J552" s="1889">
        <f t="shared" si="36"/>
        <v>0</v>
      </c>
      <c r="K552" s="1864"/>
      <c r="L552" s="1865"/>
      <c r="M552" s="1044"/>
      <c r="N552" s="1889">
        <f t="shared" si="37"/>
        <v>0</v>
      </c>
    </row>
    <row r="553" spans="1:14" ht="26.45">
      <c r="A553" s="1830">
        <v>13</v>
      </c>
      <c r="B553" s="1846" t="s">
        <v>292</v>
      </c>
      <c r="C553" s="1830">
        <v>12</v>
      </c>
      <c r="D553" s="1888">
        <f t="shared" ref="D553:D577" si="38">+E553+F553+J553+N553</f>
        <v>91822.911850600009</v>
      </c>
      <c r="E553" s="1863"/>
      <c r="F553" s="1032">
        <v>0</v>
      </c>
      <c r="G553" s="1042">
        <v>30279.086797399999</v>
      </c>
      <c r="H553" s="1043">
        <v>61543.825053200002</v>
      </c>
      <c r="I553" s="1053"/>
      <c r="J553" s="1889">
        <f t="shared" si="36"/>
        <v>91822.911850600009</v>
      </c>
      <c r="K553" s="1864"/>
      <c r="L553" s="1865"/>
      <c r="M553" s="1044"/>
      <c r="N553" s="1889">
        <f t="shared" si="37"/>
        <v>0</v>
      </c>
    </row>
    <row r="554" spans="1:14">
      <c r="A554" s="1830">
        <v>14</v>
      </c>
      <c r="B554" s="1829" t="s">
        <v>293</v>
      </c>
      <c r="C554" s="1830">
        <v>13</v>
      </c>
      <c r="D554" s="1888">
        <f t="shared" si="38"/>
        <v>34796.507259999998</v>
      </c>
      <c r="E554" s="1863"/>
      <c r="F554" s="1863"/>
      <c r="G554" s="1864">
        <v>34796.507259999998</v>
      </c>
      <c r="H554" s="1872"/>
      <c r="I554" s="1897"/>
      <c r="J554" s="1889">
        <f t="shared" si="36"/>
        <v>34796.507259999998</v>
      </c>
      <c r="K554" s="1864"/>
      <c r="L554" s="1913"/>
      <c r="M554" s="1911"/>
      <c r="N554" s="1889">
        <f t="shared" si="37"/>
        <v>0</v>
      </c>
    </row>
    <row r="555" spans="1:14">
      <c r="A555" s="1830">
        <v>15</v>
      </c>
      <c r="B555" s="1829" t="s">
        <v>294</v>
      </c>
      <c r="C555" s="1836">
        <v>14</v>
      </c>
      <c r="D555" s="1888">
        <f t="shared" si="38"/>
        <v>0</v>
      </c>
      <c r="E555" s="1863"/>
      <c r="F555" s="1032"/>
      <c r="G555" s="1042"/>
      <c r="H555" s="1035"/>
      <c r="I555" s="1897"/>
      <c r="J555" s="1889">
        <f t="shared" si="36"/>
        <v>0</v>
      </c>
      <c r="K555" s="1864"/>
      <c r="L555" s="1913"/>
      <c r="M555" s="1911"/>
      <c r="N555" s="1889">
        <f t="shared" si="37"/>
        <v>0</v>
      </c>
    </row>
    <row r="556" spans="1:14">
      <c r="A556" s="1830">
        <v>16</v>
      </c>
      <c r="B556" s="1829" t="s">
        <v>295</v>
      </c>
      <c r="C556" s="1830">
        <v>15</v>
      </c>
      <c r="D556" s="1888">
        <f t="shared" si="38"/>
        <v>0</v>
      </c>
      <c r="E556" s="1863"/>
      <c r="F556" s="1032"/>
      <c r="G556" s="1042"/>
      <c r="H556" s="1035"/>
      <c r="I556" s="1897"/>
      <c r="J556" s="1889">
        <f t="shared" si="36"/>
        <v>0</v>
      </c>
      <c r="K556" s="1864"/>
      <c r="L556" s="1913"/>
      <c r="M556" s="1911"/>
      <c r="N556" s="1889">
        <f t="shared" si="37"/>
        <v>0</v>
      </c>
    </row>
    <row r="557" spans="1:14">
      <c r="A557" s="1830">
        <v>17</v>
      </c>
      <c r="B557" s="1829" t="s">
        <v>296</v>
      </c>
      <c r="C557" s="1836">
        <v>16</v>
      </c>
      <c r="D557" s="1888">
        <f t="shared" si="38"/>
        <v>184147.96207597951</v>
      </c>
      <c r="E557" s="1863"/>
      <c r="F557" s="1032"/>
      <c r="G557" s="1042">
        <v>-10.355290000026226</v>
      </c>
      <c r="H557" s="1043">
        <v>184158.31736597954</v>
      </c>
      <c r="I557" s="1911"/>
      <c r="J557" s="1889">
        <f t="shared" si="36"/>
        <v>184147.96207597951</v>
      </c>
      <c r="K557" s="1864"/>
      <c r="L557" s="1865"/>
      <c r="M557" s="1866"/>
      <c r="N557" s="1889">
        <f t="shared" si="37"/>
        <v>0</v>
      </c>
    </row>
    <row r="558" spans="1:14">
      <c r="A558" s="1830">
        <v>18</v>
      </c>
      <c r="B558" s="1829" t="s">
        <v>297</v>
      </c>
      <c r="C558" s="1830"/>
      <c r="D558" s="1888">
        <f t="shared" si="38"/>
        <v>0</v>
      </c>
      <c r="E558" s="1863"/>
      <c r="F558" s="1032"/>
      <c r="G558" s="1042"/>
      <c r="H558" s="1035"/>
      <c r="I558" s="1897"/>
      <c r="J558" s="1889">
        <f t="shared" si="36"/>
        <v>0</v>
      </c>
      <c r="K558" s="1864"/>
      <c r="L558" s="1913"/>
      <c r="M558" s="1911"/>
      <c r="N558" s="1889">
        <f t="shared" si="37"/>
        <v>0</v>
      </c>
    </row>
    <row r="559" spans="1:14" ht="15" thickBot="1">
      <c r="A559" s="1847">
        <v>19</v>
      </c>
      <c r="B559" s="1848" t="s">
        <v>298</v>
      </c>
      <c r="C559" s="1847"/>
      <c r="D559" s="3117">
        <f t="shared" si="38"/>
        <v>79884.583560000014</v>
      </c>
      <c r="E559" s="3114"/>
      <c r="F559" s="1036"/>
      <c r="G559" s="1060">
        <v>1604.61799</v>
      </c>
      <c r="H559" s="1058">
        <v>78279.965570000015</v>
      </c>
      <c r="I559" s="1923"/>
      <c r="J559" s="3118">
        <f t="shared" si="36"/>
        <v>79884.583560000014</v>
      </c>
      <c r="K559" s="3116"/>
      <c r="L559" s="1917"/>
      <c r="M559" s="1922"/>
      <c r="N559" s="3118">
        <f t="shared" si="37"/>
        <v>0</v>
      </c>
    </row>
    <row r="560" spans="1:14" ht="27" thickBot="1">
      <c r="A560" s="1138">
        <v>20</v>
      </c>
      <c r="B560" s="1139" t="s">
        <v>299</v>
      </c>
      <c r="C560" s="1138"/>
      <c r="D560" s="1163">
        <f t="shared" si="38"/>
        <v>490652.46463426831</v>
      </c>
      <c r="E560" s="1163">
        <f>SUM(E537:E543)+E546+E549+SUM(E554:E559)</f>
        <v>0</v>
      </c>
      <c r="F560" s="1163">
        <f>SUM(F537:F543)+F546+F549+SUM(F554:F559)</f>
        <v>100000</v>
      </c>
      <c r="G560" s="1163">
        <f>SUM(G537:G543)+G546+G549+SUM(G554:G559)</f>
        <v>66891.428357107317</v>
      </c>
      <c r="H560" s="1164">
        <f>SUM(H537:H543)+H546+H549+SUM(H554:H559)</f>
        <v>323761.03627716098</v>
      </c>
      <c r="I560" s="1193">
        <f>SUM(I537:I543)+I546+I549+SUM(I554:I559)</f>
        <v>0</v>
      </c>
      <c r="J560" s="1163">
        <f t="shared" si="36"/>
        <v>390652.46463426831</v>
      </c>
      <c r="K560" s="1163">
        <f>SUM(K537:K543)+K546+K549+SUM(K554:K559)</f>
        <v>0</v>
      </c>
      <c r="L560" s="1164">
        <f>SUM(L537:L543)+L546+L549+SUM(L554:L559)</f>
        <v>0</v>
      </c>
      <c r="M560" s="1193">
        <f>SUM(M537:M543)+M546+M549+SUM(M554:M559)</f>
        <v>0</v>
      </c>
      <c r="N560" s="1163">
        <f t="shared" si="37"/>
        <v>0</v>
      </c>
    </row>
    <row r="561" spans="1:14">
      <c r="A561" s="1133"/>
      <c r="B561" s="1134" t="s">
        <v>300</v>
      </c>
      <c r="C561" s="1133"/>
      <c r="D561" s="1172">
        <f t="shared" si="38"/>
        <v>0</v>
      </c>
      <c r="E561" s="1032"/>
      <c r="F561" s="1032"/>
      <c r="G561" s="1042"/>
      <c r="H561" s="1035"/>
      <c r="I561" s="1052"/>
      <c r="J561" s="1177">
        <f t="shared" si="36"/>
        <v>0</v>
      </c>
      <c r="K561" s="1042"/>
      <c r="L561" s="1054"/>
      <c r="M561" s="1053"/>
      <c r="N561" s="1177">
        <f t="shared" si="37"/>
        <v>0</v>
      </c>
    </row>
    <row r="562" spans="1:14">
      <c r="A562" s="1830"/>
      <c r="B562" s="1850" t="s">
        <v>301</v>
      </c>
      <c r="C562" s="1830"/>
      <c r="D562" s="1888">
        <f t="shared" si="38"/>
        <v>0</v>
      </c>
      <c r="E562" s="1863"/>
      <c r="F562" s="1863"/>
      <c r="G562" s="1864"/>
      <c r="H562" s="1872"/>
      <c r="I562" s="1897"/>
      <c r="J562" s="1889">
        <f t="shared" si="36"/>
        <v>0</v>
      </c>
      <c r="K562" s="1864"/>
      <c r="L562" s="1913"/>
      <c r="M562" s="1911"/>
      <c r="N562" s="1889">
        <f t="shared" si="37"/>
        <v>0</v>
      </c>
    </row>
    <row r="563" spans="1:14">
      <c r="A563" s="1830">
        <v>21</v>
      </c>
      <c r="B563" s="1829" t="s">
        <v>302</v>
      </c>
      <c r="C563" s="1836">
        <v>17</v>
      </c>
      <c r="D563" s="1888">
        <f t="shared" si="38"/>
        <v>45249.389499999932</v>
      </c>
      <c r="E563" s="1863"/>
      <c r="F563" s="1863"/>
      <c r="G563" s="1864">
        <v>-273317.30925013573</v>
      </c>
      <c r="H563" s="1872">
        <v>318566.69875013566</v>
      </c>
      <c r="I563" s="1897"/>
      <c r="J563" s="1889">
        <f t="shared" si="36"/>
        <v>45249.389499999932</v>
      </c>
      <c r="K563" s="1864"/>
      <c r="L563" s="1913"/>
      <c r="M563" s="1866"/>
      <c r="N563" s="1889">
        <f t="shared" si="37"/>
        <v>0</v>
      </c>
    </row>
    <row r="564" spans="1:14">
      <c r="A564" s="1830">
        <v>22</v>
      </c>
      <c r="B564" s="1829" t="s">
        <v>303</v>
      </c>
      <c r="C564" s="1830"/>
      <c r="D564" s="1888">
        <f t="shared" si="38"/>
        <v>0</v>
      </c>
      <c r="E564" s="1863"/>
      <c r="F564" s="1863"/>
      <c r="G564" s="1042"/>
      <c r="H564" s="1035"/>
      <c r="I564" s="1897"/>
      <c r="J564" s="1889">
        <f t="shared" si="36"/>
        <v>0</v>
      </c>
      <c r="K564" s="1864"/>
      <c r="L564" s="1913"/>
      <c r="M564" s="1911"/>
      <c r="N564" s="1889">
        <f t="shared" si="37"/>
        <v>0</v>
      </c>
    </row>
    <row r="565" spans="1:14">
      <c r="A565" s="1830">
        <v>23</v>
      </c>
      <c r="B565" s="1829" t="s">
        <v>304</v>
      </c>
      <c r="C565" s="1830">
        <v>18</v>
      </c>
      <c r="D565" s="1888">
        <f t="shared" si="38"/>
        <v>0</v>
      </c>
      <c r="E565" s="1863"/>
      <c r="F565" s="1863"/>
      <c r="G565" s="1042"/>
      <c r="H565" s="1035"/>
      <c r="I565" s="1897"/>
      <c r="J565" s="1889">
        <f t="shared" si="36"/>
        <v>0</v>
      </c>
      <c r="K565" s="1864"/>
      <c r="L565" s="1913"/>
      <c r="M565" s="1911"/>
      <c r="N565" s="1889">
        <f t="shared" si="37"/>
        <v>0</v>
      </c>
    </row>
    <row r="566" spans="1:14">
      <c r="A566" s="1830">
        <v>24</v>
      </c>
      <c r="B566" s="1829" t="s">
        <v>305</v>
      </c>
      <c r="C566" s="1830"/>
      <c r="D566" s="1888">
        <f t="shared" si="38"/>
        <v>0</v>
      </c>
      <c r="E566" s="1863"/>
      <c r="F566" s="3114"/>
      <c r="G566" s="1060"/>
      <c r="H566" s="1058"/>
      <c r="I566" s="1897"/>
      <c r="J566" s="1889">
        <f t="shared" si="36"/>
        <v>0</v>
      </c>
      <c r="K566" s="1864"/>
      <c r="L566" s="1913"/>
      <c r="M566" s="1911"/>
      <c r="N566" s="1889">
        <f t="shared" si="37"/>
        <v>0</v>
      </c>
    </row>
    <row r="567" spans="1:14">
      <c r="A567" s="1830">
        <v>25</v>
      </c>
      <c r="B567" s="1851" t="s">
        <v>306</v>
      </c>
      <c r="C567" s="1830"/>
      <c r="D567" s="1888">
        <f t="shared" si="38"/>
        <v>77805.923590000006</v>
      </c>
      <c r="E567" s="1863"/>
      <c r="F567" s="1075"/>
      <c r="G567" s="1078">
        <v>77178.09908</v>
      </c>
      <c r="H567" s="1079">
        <v>627.82451000000003</v>
      </c>
      <c r="I567" s="1923"/>
      <c r="J567" s="1889">
        <f t="shared" si="36"/>
        <v>77805.923590000006</v>
      </c>
      <c r="K567" s="1864"/>
      <c r="L567" s="1913"/>
      <c r="M567" s="1911"/>
      <c r="N567" s="1889">
        <f t="shared" si="37"/>
        <v>0</v>
      </c>
    </row>
    <row r="568" spans="1:14" ht="15" thickBot="1">
      <c r="A568" s="1847">
        <v>26</v>
      </c>
      <c r="B568" s="1848" t="s">
        <v>307</v>
      </c>
      <c r="C568" s="1852">
        <v>19</v>
      </c>
      <c r="D568" s="1888">
        <f t="shared" si="38"/>
        <v>267597.15154426836</v>
      </c>
      <c r="E568" s="1863"/>
      <c r="F568" s="1080"/>
      <c r="G568" s="1081">
        <v>263030.63852724305</v>
      </c>
      <c r="H568" s="1082">
        <v>4566.5130170252987</v>
      </c>
      <c r="I568" s="1076"/>
      <c r="J568" s="1889">
        <f t="shared" si="36"/>
        <v>267597.15154426836</v>
      </c>
      <c r="K568" s="1864"/>
      <c r="L568" s="1065"/>
      <c r="M568" s="1930"/>
      <c r="N568" s="1889">
        <f t="shared" si="37"/>
        <v>0</v>
      </c>
    </row>
    <row r="569" spans="1:14" ht="15" thickBot="1">
      <c r="A569" s="1135">
        <v>27</v>
      </c>
      <c r="B569" s="1136" t="s">
        <v>308</v>
      </c>
      <c r="C569" s="1135"/>
      <c r="D569" s="1173">
        <f t="shared" si="38"/>
        <v>390652.46463426831</v>
      </c>
      <c r="E569" s="1041">
        <f>SUM(E563:E568)</f>
        <v>0</v>
      </c>
      <c r="F569" s="1041">
        <f>SUM(F563:F568)</f>
        <v>0</v>
      </c>
      <c r="G569" s="1041">
        <f>SUM(G563:G568)</f>
        <v>66891.428357107332</v>
      </c>
      <c r="H569" s="1045">
        <f>SUM(H563:H568)</f>
        <v>323761.03627716098</v>
      </c>
      <c r="I569" s="1073">
        <f>SUM(I563:I568)</f>
        <v>0</v>
      </c>
      <c r="J569" s="1176">
        <f t="shared" si="36"/>
        <v>390652.46463426831</v>
      </c>
      <c r="K569" s="1041">
        <f>SUM(K563:K568)</f>
        <v>0</v>
      </c>
      <c r="L569" s="1041">
        <f>SUM(L563:L568)</f>
        <v>0</v>
      </c>
      <c r="M569" s="1041">
        <f>SUM(M563:M568)</f>
        <v>0</v>
      </c>
      <c r="N569" s="1180">
        <f t="shared" si="37"/>
        <v>0</v>
      </c>
    </row>
    <row r="570" spans="1:14">
      <c r="A570" s="1133"/>
      <c r="B570" s="1134" t="s">
        <v>309</v>
      </c>
      <c r="C570" s="1133">
        <v>20</v>
      </c>
      <c r="D570" s="1172">
        <f t="shared" si="38"/>
        <v>0</v>
      </c>
      <c r="E570" s="1032"/>
      <c r="F570" s="1032"/>
      <c r="G570" s="1042"/>
      <c r="H570" s="1035"/>
      <c r="I570" s="1052"/>
      <c r="J570" s="1177">
        <f t="shared" si="36"/>
        <v>0</v>
      </c>
      <c r="K570" s="1032"/>
      <c r="L570" s="1033"/>
      <c r="M570" s="1052"/>
      <c r="N570" s="1177">
        <f t="shared" si="37"/>
        <v>0</v>
      </c>
    </row>
    <row r="571" spans="1:14">
      <c r="A571" s="1830">
        <v>28</v>
      </c>
      <c r="B571" s="1829" t="s">
        <v>310</v>
      </c>
      <c r="C571" s="1836"/>
      <c r="D571" s="1888">
        <f t="shared" si="38"/>
        <v>100000</v>
      </c>
      <c r="E571" s="1863"/>
      <c r="F571" s="1863">
        <v>100000</v>
      </c>
      <c r="G571" s="1864"/>
      <c r="H571" s="1872"/>
      <c r="I571" s="1897"/>
      <c r="J571" s="1889">
        <f t="shared" si="36"/>
        <v>0</v>
      </c>
      <c r="K571" s="1863"/>
      <c r="L571" s="1868"/>
      <c r="M571" s="1897"/>
      <c r="N571" s="1889">
        <f t="shared" si="37"/>
        <v>0</v>
      </c>
    </row>
    <row r="572" spans="1:14">
      <c r="A572" s="1830">
        <v>29</v>
      </c>
      <c r="B572" s="1829" t="s">
        <v>311</v>
      </c>
      <c r="C572" s="1836"/>
      <c r="D572" s="1888">
        <f t="shared" si="38"/>
        <v>0</v>
      </c>
      <c r="E572" s="1863"/>
      <c r="F572" s="1032"/>
      <c r="G572" s="1864"/>
      <c r="H572" s="1872"/>
      <c r="I572" s="1897"/>
      <c r="J572" s="1889">
        <f t="shared" si="36"/>
        <v>0</v>
      </c>
      <c r="K572" s="1863"/>
      <c r="L572" s="1868"/>
      <c r="M572" s="1897"/>
      <c r="N572" s="1889">
        <f t="shared" si="37"/>
        <v>0</v>
      </c>
    </row>
    <row r="573" spans="1:14">
      <c r="A573" s="1830">
        <v>30</v>
      </c>
      <c r="B573" s="1848" t="s">
        <v>312</v>
      </c>
      <c r="C573" s="1852"/>
      <c r="D573" s="1888">
        <f t="shared" si="38"/>
        <v>0</v>
      </c>
      <c r="E573" s="1863"/>
      <c r="F573" s="1036"/>
      <c r="G573" s="3116"/>
      <c r="H573" s="1885"/>
      <c r="I573" s="1923"/>
      <c r="J573" s="1889">
        <f t="shared" si="36"/>
        <v>0</v>
      </c>
      <c r="K573" s="1863"/>
      <c r="L573" s="1868"/>
      <c r="M573" s="1897"/>
      <c r="N573" s="1889">
        <f t="shared" si="37"/>
        <v>0</v>
      </c>
    </row>
    <row r="574" spans="1:14">
      <c r="A574" s="1830">
        <v>31</v>
      </c>
      <c r="B574" s="1848" t="s">
        <v>313</v>
      </c>
      <c r="C574" s="1852"/>
      <c r="D574" s="1888">
        <f t="shared" si="38"/>
        <v>0</v>
      </c>
      <c r="E574" s="1863"/>
      <c r="F574" s="3114"/>
      <c r="G574" s="3116"/>
      <c r="H574" s="1885"/>
      <c r="I574" s="1923"/>
      <c r="J574" s="1889">
        <f t="shared" si="36"/>
        <v>0</v>
      </c>
      <c r="K574" s="1863"/>
      <c r="L574" s="1868"/>
      <c r="M574" s="1897"/>
      <c r="N574" s="1889">
        <f t="shared" si="37"/>
        <v>0</v>
      </c>
    </row>
    <row r="575" spans="1:14" ht="15" thickBot="1">
      <c r="A575" s="1847">
        <v>32</v>
      </c>
      <c r="B575" s="1848" t="s">
        <v>314</v>
      </c>
      <c r="C575" s="1852"/>
      <c r="D575" s="1888">
        <f t="shared" si="38"/>
        <v>0</v>
      </c>
      <c r="E575" s="1863"/>
      <c r="F575" s="3114"/>
      <c r="G575" s="3116"/>
      <c r="H575" s="1885"/>
      <c r="I575" s="1072"/>
      <c r="J575" s="1889">
        <f t="shared" si="36"/>
        <v>0</v>
      </c>
      <c r="K575" s="1863"/>
      <c r="L575" s="1868"/>
      <c r="M575" s="1897"/>
      <c r="N575" s="1889">
        <f t="shared" si="37"/>
        <v>0</v>
      </c>
    </row>
    <row r="576" spans="1:14" ht="15" thickBot="1">
      <c r="A576" s="1135">
        <v>33</v>
      </c>
      <c r="B576" s="1169" t="s">
        <v>315</v>
      </c>
      <c r="C576" s="1170"/>
      <c r="D576" s="1174">
        <f t="shared" si="38"/>
        <v>100000</v>
      </c>
      <c r="E576" s="1046">
        <f>SUM(E571:E575)</f>
        <v>0</v>
      </c>
      <c r="F576" s="1046">
        <f>SUM(F571:F575)</f>
        <v>100000</v>
      </c>
      <c r="G576" s="1046">
        <f>SUM(G571:G575)</f>
        <v>0</v>
      </c>
      <c r="H576" s="1046">
        <f>SUM(H571:H575)</f>
        <v>0</v>
      </c>
      <c r="I576" s="1074">
        <f>SUM(I571:I575)</f>
        <v>0</v>
      </c>
      <c r="J576" s="1178">
        <f t="shared" si="36"/>
        <v>0</v>
      </c>
      <c r="K576" s="1046">
        <f>SUM(K571:K575)</f>
        <v>0</v>
      </c>
      <c r="L576" s="1047">
        <f>SUM(L571:L575)</f>
        <v>0</v>
      </c>
      <c r="M576" s="1066">
        <f>SUM(M571:M575)</f>
        <v>0</v>
      </c>
      <c r="N576" s="1178">
        <f t="shared" si="37"/>
        <v>0</v>
      </c>
    </row>
    <row r="577" spans="1:14" ht="27" thickBot="1">
      <c r="A577" s="1138">
        <v>34</v>
      </c>
      <c r="B577" s="1139" t="s">
        <v>317</v>
      </c>
      <c r="C577" s="1138"/>
      <c r="D577" s="1166">
        <f t="shared" si="38"/>
        <v>490652.46463426831</v>
      </c>
      <c r="E577" s="1166">
        <f>E576+E569</f>
        <v>0</v>
      </c>
      <c r="F577" s="1166">
        <f>F576+F569</f>
        <v>100000</v>
      </c>
      <c r="G577" s="1166">
        <f>G576+G569</f>
        <v>66891.428357107332</v>
      </c>
      <c r="H577" s="1166">
        <f>H576+H569</f>
        <v>323761.03627716098</v>
      </c>
      <c r="I577" s="1166">
        <f>I576+I569</f>
        <v>0</v>
      </c>
      <c r="J577" s="1166">
        <f t="shared" si="36"/>
        <v>390652.46463426831</v>
      </c>
      <c r="K577" s="1166">
        <f>K576+K569</f>
        <v>0</v>
      </c>
      <c r="L577" s="1167">
        <f>L576+L569</f>
        <v>0</v>
      </c>
      <c r="M577" s="1206">
        <f>M576+M569</f>
        <v>0</v>
      </c>
      <c r="N577" s="1166">
        <f t="shared" si="37"/>
        <v>0</v>
      </c>
    </row>
    <row r="578" spans="1:14">
      <c r="B578"/>
      <c r="C578"/>
      <c r="D578"/>
      <c r="E578"/>
      <c r="F578"/>
      <c r="G578"/>
      <c r="H578"/>
      <c r="I578"/>
      <c r="J578"/>
      <c r="K578"/>
      <c r="L578"/>
      <c r="M578"/>
      <c r="N578"/>
    </row>
    <row r="579" spans="1:14">
      <c r="B579"/>
      <c r="C579"/>
      <c r="D579"/>
      <c r="E579"/>
      <c r="F579"/>
      <c r="G579"/>
      <c r="H579"/>
      <c r="I579"/>
      <c r="J579"/>
      <c r="K579"/>
      <c r="L579"/>
      <c r="M579"/>
      <c r="N579"/>
    </row>
    <row r="580" spans="1:14">
      <c r="B580"/>
      <c r="C580"/>
      <c r="D580"/>
      <c r="E580"/>
      <c r="F580"/>
      <c r="G580"/>
      <c r="H580"/>
      <c r="I580"/>
      <c r="J580"/>
      <c r="K580"/>
      <c r="L580"/>
      <c r="M580"/>
      <c r="N580"/>
    </row>
    <row r="581" spans="1:14" ht="15" thickBot="1"/>
    <row r="582" spans="1:14" ht="15" thickBot="1">
      <c r="A582" s="1153" t="s">
        <v>190</v>
      </c>
      <c r="B582" s="3303" t="s">
        <v>106</v>
      </c>
      <c r="C582" s="3304"/>
      <c r="D582" s="662"/>
      <c r="E582" s="662"/>
      <c r="F582" s="662"/>
      <c r="G582" s="662"/>
      <c r="H582" s="662"/>
      <c r="I582" s="662"/>
      <c r="J582" s="662"/>
      <c r="K582" s="662"/>
      <c r="L582" s="662"/>
      <c r="M582" s="3292"/>
      <c r="N582" s="3292" t="s">
        <v>257</v>
      </c>
    </row>
    <row r="583" spans="1:14" ht="13.5" customHeight="1" thickBot="1">
      <c r="A583" s="3293" t="s">
        <v>258</v>
      </c>
      <c r="B583" s="3298"/>
      <c r="C583" s="3280" t="s">
        <v>259</v>
      </c>
      <c r="D583" s="3283" t="s">
        <v>260</v>
      </c>
      <c r="E583" s="3283" t="s">
        <v>261</v>
      </c>
      <c r="F583" s="3283" t="s">
        <v>262</v>
      </c>
      <c r="G583" s="3286" t="s">
        <v>263</v>
      </c>
      <c r="H583" s="3287"/>
      <c r="I583" s="3287"/>
      <c r="J583" s="3287"/>
      <c r="K583" s="3287"/>
      <c r="L583" s="3287"/>
      <c r="M583" s="3287"/>
      <c r="N583" s="3288"/>
    </row>
    <row r="584" spans="1:14" ht="13.5" customHeight="1" thickBot="1">
      <c r="A584" s="3294"/>
      <c r="B584" s="3299"/>
      <c r="C584" s="3281"/>
      <c r="D584" s="3284"/>
      <c r="E584" s="3284"/>
      <c r="F584" s="3284"/>
      <c r="G584" s="3289" t="s">
        <v>264</v>
      </c>
      <c r="H584" s="3290"/>
      <c r="I584" s="3290"/>
      <c r="J584" s="3291"/>
      <c r="K584" s="3289" t="s">
        <v>265</v>
      </c>
      <c r="L584" s="3290"/>
      <c r="M584" s="3290"/>
      <c r="N584" s="3291"/>
    </row>
    <row r="585" spans="1:14" ht="40.15" thickBot="1">
      <c r="A585" s="3294"/>
      <c r="B585" s="3299"/>
      <c r="C585" s="3281"/>
      <c r="D585" s="3285"/>
      <c r="E585" s="3285"/>
      <c r="F585" s="3285"/>
      <c r="G585" s="1125" t="s">
        <v>267</v>
      </c>
      <c r="H585" s="1125" t="s">
        <v>268</v>
      </c>
      <c r="I585" s="1125" t="s">
        <v>269</v>
      </c>
      <c r="J585" s="1125" t="s">
        <v>160</v>
      </c>
      <c r="K585" s="1126" t="s">
        <v>270</v>
      </c>
      <c r="L585" s="1126" t="s">
        <v>271</v>
      </c>
      <c r="M585" s="1126" t="s">
        <v>272</v>
      </c>
      <c r="N585" s="2969" t="s">
        <v>160</v>
      </c>
    </row>
    <row r="586" spans="1:14" ht="15" thickBot="1">
      <c r="A586" s="3294"/>
      <c r="B586" s="3299"/>
      <c r="C586" s="3281"/>
      <c r="D586" s="1128">
        <v>1</v>
      </c>
      <c r="E586" s="3283">
        <v>2</v>
      </c>
      <c r="F586" s="3283">
        <v>3</v>
      </c>
      <c r="G586" s="3283">
        <v>4</v>
      </c>
      <c r="H586" s="3283">
        <v>5</v>
      </c>
      <c r="I586" s="3283">
        <v>6</v>
      </c>
      <c r="J586" s="2974">
        <v>7</v>
      </c>
      <c r="K586" s="3283">
        <v>8</v>
      </c>
      <c r="L586" s="3283">
        <v>9</v>
      </c>
      <c r="M586" s="3283">
        <v>10</v>
      </c>
      <c r="N586" s="1128">
        <v>11</v>
      </c>
    </row>
    <row r="587" spans="1:14" ht="15" thickBot="1">
      <c r="A587" s="3295"/>
      <c r="B587" s="3300"/>
      <c r="C587" s="3282"/>
      <c r="D587" s="1130"/>
      <c r="E587" s="3285"/>
      <c r="F587" s="3285"/>
      <c r="G587" s="3285"/>
      <c r="H587" s="3285"/>
      <c r="I587" s="3285"/>
      <c r="J587" s="1131" t="s">
        <v>273</v>
      </c>
      <c r="K587" s="3285"/>
      <c r="L587" s="3285"/>
      <c r="M587" s="3285"/>
      <c r="N587" s="1157" t="s">
        <v>274</v>
      </c>
    </row>
    <row r="588" spans="1:14">
      <c r="A588" s="1133"/>
      <c r="B588" s="1134" t="s">
        <v>275</v>
      </c>
      <c r="C588" s="1133"/>
      <c r="D588" s="1928"/>
      <c r="E588" s="1071"/>
      <c r="F588" s="1071"/>
      <c r="G588" s="1042"/>
      <c r="H588" s="1035"/>
      <c r="I588" s="1062"/>
      <c r="J588" s="1177"/>
      <c r="K588" s="1032"/>
      <c r="L588" s="1035"/>
      <c r="M588" s="1077"/>
      <c r="N588" s="1929"/>
    </row>
    <row r="589" spans="1:14">
      <c r="A589" s="1828">
        <v>1</v>
      </c>
      <c r="B589" s="1829" t="s">
        <v>276</v>
      </c>
      <c r="C589" s="1830"/>
      <c r="D589" s="1888">
        <f t="shared" ref="D589:D629" si="39">+E589+F589+J589+N589</f>
        <v>0</v>
      </c>
      <c r="E589" s="1863"/>
      <c r="F589" s="1863"/>
      <c r="G589" s="1864"/>
      <c r="H589" s="1872"/>
      <c r="I589" s="1897"/>
      <c r="J589" s="1889">
        <f t="shared" ref="J589:J629" si="40">G589+H589+I589</f>
        <v>0</v>
      </c>
      <c r="K589" s="1863"/>
      <c r="L589" s="1868"/>
      <c r="M589" s="1897"/>
      <c r="N589" s="1889">
        <f t="shared" ref="N589:N629" si="41">K589+L589+M589</f>
        <v>0</v>
      </c>
    </row>
    <row r="590" spans="1:14">
      <c r="A590" s="1828">
        <v>2</v>
      </c>
      <c r="B590" s="1829" t="s">
        <v>277</v>
      </c>
      <c r="C590" s="1830"/>
      <c r="D590" s="1888">
        <f t="shared" si="39"/>
        <v>0</v>
      </c>
      <c r="E590" s="1863"/>
      <c r="F590" s="1863"/>
      <c r="G590" s="1864"/>
      <c r="H590" s="1872"/>
      <c r="I590" s="1897"/>
      <c r="J590" s="1889">
        <f t="shared" si="40"/>
        <v>0</v>
      </c>
      <c r="K590" s="1863"/>
      <c r="L590" s="1868"/>
      <c r="M590" s="1897"/>
      <c r="N590" s="1889">
        <f t="shared" si="41"/>
        <v>0</v>
      </c>
    </row>
    <row r="591" spans="1:14">
      <c r="A591" s="1828">
        <v>3</v>
      </c>
      <c r="B591" s="1829" t="s">
        <v>278</v>
      </c>
      <c r="C591" s="1830"/>
      <c r="D591" s="1888">
        <f t="shared" si="39"/>
        <v>0</v>
      </c>
      <c r="E591" s="1863"/>
      <c r="F591" s="1032"/>
      <c r="G591" s="1864"/>
      <c r="H591" s="1872"/>
      <c r="I591" s="1897"/>
      <c r="J591" s="1889">
        <f t="shared" si="40"/>
        <v>0</v>
      </c>
      <c r="K591" s="1863"/>
      <c r="L591" s="1868"/>
      <c r="M591" s="1897"/>
      <c r="N591" s="1889">
        <f t="shared" si="41"/>
        <v>0</v>
      </c>
    </row>
    <row r="592" spans="1:14">
      <c r="A592" s="1828">
        <v>4</v>
      </c>
      <c r="B592" s="1829" t="s">
        <v>324</v>
      </c>
      <c r="C592" s="1830"/>
      <c r="D592" s="1888">
        <f t="shared" si="39"/>
        <v>0</v>
      </c>
      <c r="E592" s="1863"/>
      <c r="F592" s="1032"/>
      <c r="G592" s="1864"/>
      <c r="H592" s="1872"/>
      <c r="I592" s="1897"/>
      <c r="J592" s="1889">
        <f t="shared" si="40"/>
        <v>0</v>
      </c>
      <c r="K592" s="1863"/>
      <c r="L592" s="1868"/>
      <c r="M592" s="1897"/>
      <c r="N592" s="1889">
        <f t="shared" si="41"/>
        <v>0</v>
      </c>
    </row>
    <row r="593" spans="1:14">
      <c r="A593" s="1828">
        <v>5</v>
      </c>
      <c r="B593" s="1829" t="s">
        <v>280</v>
      </c>
      <c r="C593" s="1836">
        <v>5</v>
      </c>
      <c r="D593" s="1888">
        <f t="shared" si="39"/>
        <v>13150.120260000002</v>
      </c>
      <c r="E593" s="1863"/>
      <c r="F593" s="1032">
        <v>13150.120260000002</v>
      </c>
      <c r="G593" s="1042"/>
      <c r="H593" s="1872"/>
      <c r="I593" s="1897"/>
      <c r="J593" s="1889">
        <f t="shared" si="40"/>
        <v>0</v>
      </c>
      <c r="K593" s="1863"/>
      <c r="L593" s="1868"/>
      <c r="M593" s="1897"/>
      <c r="N593" s="1889">
        <f t="shared" si="41"/>
        <v>0</v>
      </c>
    </row>
    <row r="594" spans="1:14">
      <c r="A594" s="1828">
        <v>6</v>
      </c>
      <c r="B594" s="1829" t="s">
        <v>281</v>
      </c>
      <c r="C594" s="1830">
        <v>6</v>
      </c>
      <c r="D594" s="1888">
        <f t="shared" si="39"/>
        <v>425000</v>
      </c>
      <c r="E594" s="1863"/>
      <c r="F594" s="1032">
        <v>60200</v>
      </c>
      <c r="G594" s="1042">
        <v>237120</v>
      </c>
      <c r="H594" s="1872">
        <v>127679.99999999999</v>
      </c>
      <c r="I594" s="1897"/>
      <c r="J594" s="1889">
        <f t="shared" si="40"/>
        <v>364800</v>
      </c>
      <c r="K594" s="1863"/>
      <c r="L594" s="1868"/>
      <c r="M594" s="1897"/>
      <c r="N594" s="1889">
        <f t="shared" si="41"/>
        <v>0</v>
      </c>
    </row>
    <row r="595" spans="1:14">
      <c r="A595" s="1828">
        <v>7</v>
      </c>
      <c r="B595" s="1829" t="s">
        <v>282</v>
      </c>
      <c r="C595" s="1836">
        <v>7</v>
      </c>
      <c r="D595" s="1888">
        <f t="shared" si="39"/>
        <v>0</v>
      </c>
      <c r="E595" s="1863"/>
      <c r="F595" s="1032"/>
      <c r="G595" s="1032"/>
      <c r="H595" s="1868"/>
      <c r="I595" s="1897"/>
      <c r="J595" s="1889">
        <f t="shared" si="40"/>
        <v>0</v>
      </c>
      <c r="K595" s="1863">
        <f>K596+K597</f>
        <v>0</v>
      </c>
      <c r="L595" s="1868">
        <f>L596+L597</f>
        <v>0</v>
      </c>
      <c r="M595" s="1897">
        <f>M596+M597</f>
        <v>0</v>
      </c>
      <c r="N595" s="1889">
        <f t="shared" si="41"/>
        <v>0</v>
      </c>
    </row>
    <row r="596" spans="1:14">
      <c r="A596" s="1830"/>
      <c r="B596" s="1837" t="s">
        <v>283</v>
      </c>
      <c r="C596" s="1836"/>
      <c r="D596" s="1888">
        <f t="shared" si="39"/>
        <v>0</v>
      </c>
      <c r="E596" s="1863"/>
      <c r="F596" s="1863"/>
      <c r="G596" s="1863"/>
      <c r="H596" s="1868"/>
      <c r="I596" s="1897"/>
      <c r="J596" s="1889">
        <f t="shared" si="40"/>
        <v>0</v>
      </c>
      <c r="K596" s="1863"/>
      <c r="L596" s="1868"/>
      <c r="M596" s="1897"/>
      <c r="N596" s="1889">
        <f t="shared" si="41"/>
        <v>0</v>
      </c>
    </row>
    <row r="597" spans="1:14">
      <c r="A597" s="1830"/>
      <c r="B597" s="1837" t="s">
        <v>284</v>
      </c>
      <c r="C597" s="1836"/>
      <c r="D597" s="1888">
        <f t="shared" si="39"/>
        <v>0</v>
      </c>
      <c r="E597" s="1863"/>
      <c r="F597" s="1863"/>
      <c r="G597" s="1864"/>
      <c r="H597" s="1872"/>
      <c r="I597" s="1897"/>
      <c r="J597" s="1889">
        <f t="shared" si="40"/>
        <v>0</v>
      </c>
      <c r="K597" s="1863"/>
      <c r="L597" s="1868"/>
      <c r="M597" s="1897"/>
      <c r="N597" s="1889">
        <f t="shared" si="41"/>
        <v>0</v>
      </c>
    </row>
    <row r="598" spans="1:14">
      <c r="A598" s="1828">
        <v>8</v>
      </c>
      <c r="B598" s="1829" t="s">
        <v>285</v>
      </c>
      <c r="C598" s="1830">
        <v>8</v>
      </c>
      <c r="D598" s="1888">
        <f t="shared" si="39"/>
        <v>0</v>
      </c>
      <c r="E598" s="1863"/>
      <c r="F598" s="1032">
        <f>F599+F600</f>
        <v>0</v>
      </c>
      <c r="G598" s="1032">
        <f>G599+G600</f>
        <v>0</v>
      </c>
      <c r="H598" s="1868">
        <f>H599+H600</f>
        <v>0</v>
      </c>
      <c r="I598" s="1897">
        <f>I599+I600</f>
        <v>0</v>
      </c>
      <c r="J598" s="1889">
        <f t="shared" si="40"/>
        <v>0</v>
      </c>
      <c r="K598" s="1863">
        <f>K599+K600</f>
        <v>0</v>
      </c>
      <c r="L598" s="1868">
        <f>L599+L600</f>
        <v>0</v>
      </c>
      <c r="M598" s="1897">
        <f>M599+M600</f>
        <v>0</v>
      </c>
      <c r="N598" s="1889">
        <f t="shared" si="41"/>
        <v>0</v>
      </c>
    </row>
    <row r="599" spans="1:14">
      <c r="A599" s="1828"/>
      <c r="B599" s="1837" t="s">
        <v>286</v>
      </c>
      <c r="C599" s="1830"/>
      <c r="D599" s="1888">
        <f t="shared" si="39"/>
        <v>0</v>
      </c>
      <c r="E599" s="1863"/>
      <c r="F599" s="1863"/>
      <c r="G599" s="1863"/>
      <c r="H599" s="1868"/>
      <c r="I599" s="1897"/>
      <c r="J599" s="1889">
        <f t="shared" si="40"/>
        <v>0</v>
      </c>
      <c r="K599" s="1863"/>
      <c r="L599" s="1868"/>
      <c r="M599" s="1897"/>
      <c r="N599" s="1889">
        <f t="shared" si="41"/>
        <v>0</v>
      </c>
    </row>
    <row r="600" spans="1:14">
      <c r="A600" s="1828"/>
      <c r="B600" s="1837" t="s">
        <v>287</v>
      </c>
      <c r="C600" s="1830"/>
      <c r="D600" s="1888">
        <f t="shared" si="39"/>
        <v>0</v>
      </c>
      <c r="E600" s="1863"/>
      <c r="F600" s="1863"/>
      <c r="G600" s="1864"/>
      <c r="H600" s="1872"/>
      <c r="I600" s="1897"/>
      <c r="J600" s="1889">
        <f t="shared" si="40"/>
        <v>0</v>
      </c>
      <c r="K600" s="1863"/>
      <c r="L600" s="1868"/>
      <c r="M600" s="1897"/>
      <c r="N600" s="1889">
        <f t="shared" si="41"/>
        <v>0</v>
      </c>
    </row>
    <row r="601" spans="1:14" ht="26.45">
      <c r="A601" s="1838">
        <v>9</v>
      </c>
      <c r="B601" s="1839" t="s">
        <v>288</v>
      </c>
      <c r="C601" s="1840"/>
      <c r="D601" s="1905">
        <f t="shared" si="39"/>
        <v>2406032.7402439555</v>
      </c>
      <c r="E601" s="1906">
        <f>SUM(E602:E605)</f>
        <v>0</v>
      </c>
      <c r="F601" s="1906">
        <f>SUM(F602:F605)</f>
        <v>184757.87390999994</v>
      </c>
      <c r="G601" s="1906">
        <f>SUM(G602:G605)</f>
        <v>1292522.6212425686</v>
      </c>
      <c r="H601" s="1879">
        <f>SUM(H602:H605)</f>
        <v>928752.24509138684</v>
      </c>
      <c r="I601" s="1925">
        <f>SUM(I602:I605)</f>
        <v>0</v>
      </c>
      <c r="J601" s="1908">
        <f t="shared" si="40"/>
        <v>2221274.8663339554</v>
      </c>
      <c r="K601" s="1906">
        <f>SUM(K602:K605)</f>
        <v>0</v>
      </c>
      <c r="L601" s="1879">
        <f>SUM(L602:L605)</f>
        <v>0</v>
      </c>
      <c r="M601" s="1925">
        <f>SUM(M602:M605)</f>
        <v>0</v>
      </c>
      <c r="N601" s="1908">
        <f t="shared" si="41"/>
        <v>0</v>
      </c>
    </row>
    <row r="602" spans="1:14">
      <c r="A602" s="1830">
        <v>10</v>
      </c>
      <c r="B602" s="1846" t="s">
        <v>289</v>
      </c>
      <c r="C602" s="1830">
        <v>9</v>
      </c>
      <c r="D602" s="1888">
        <f t="shared" si="39"/>
        <v>1248636.6168368298</v>
      </c>
      <c r="E602" s="1863"/>
      <c r="F602" s="1863">
        <v>107582.02270999993</v>
      </c>
      <c r="G602" s="1864">
        <v>861093.8412288297</v>
      </c>
      <c r="H602" s="1872">
        <v>279960.7528980003</v>
      </c>
      <c r="I602" s="1897"/>
      <c r="J602" s="1889">
        <f t="shared" si="40"/>
        <v>1141054.5941268299</v>
      </c>
      <c r="K602" s="1864"/>
      <c r="L602" s="1913"/>
      <c r="M602" s="1866"/>
      <c r="N602" s="1889">
        <f t="shared" si="41"/>
        <v>0</v>
      </c>
    </row>
    <row r="603" spans="1:14">
      <c r="A603" s="1830">
        <v>11</v>
      </c>
      <c r="B603" s="1846" t="s">
        <v>290</v>
      </c>
      <c r="C603" s="1830">
        <v>10</v>
      </c>
      <c r="D603" s="1888">
        <f t="shared" si="39"/>
        <v>818892.82435526524</v>
      </c>
      <c r="E603" s="1863"/>
      <c r="F603" s="1032">
        <v>0</v>
      </c>
      <c r="G603" s="1042">
        <v>423811.56801373872</v>
      </c>
      <c r="H603" s="1043">
        <v>395081.25634152652</v>
      </c>
      <c r="I603" s="1053"/>
      <c r="J603" s="1889">
        <f t="shared" si="40"/>
        <v>818892.82435526524</v>
      </c>
      <c r="K603" s="1864"/>
      <c r="L603" s="1865"/>
      <c r="M603" s="1044"/>
      <c r="N603" s="1889">
        <f t="shared" si="41"/>
        <v>0</v>
      </c>
    </row>
    <row r="604" spans="1:14">
      <c r="A604" s="1830">
        <v>12</v>
      </c>
      <c r="B604" s="1846" t="s">
        <v>291</v>
      </c>
      <c r="C604" s="1830">
        <v>11</v>
      </c>
      <c r="D604" s="1888">
        <f t="shared" si="39"/>
        <v>113117.12580185999</v>
      </c>
      <c r="E604" s="1863"/>
      <c r="F604" s="1032">
        <v>3041.5946000000004</v>
      </c>
      <c r="G604" s="1042">
        <v>7617.2119999999995</v>
      </c>
      <c r="H604" s="1043">
        <v>102458.31920185999</v>
      </c>
      <c r="I604" s="1053"/>
      <c r="J604" s="1889">
        <f t="shared" si="40"/>
        <v>110075.53120185999</v>
      </c>
      <c r="K604" s="1864"/>
      <c r="L604" s="1865"/>
      <c r="M604" s="1044"/>
      <c r="N604" s="1889">
        <f t="shared" si="41"/>
        <v>0</v>
      </c>
    </row>
    <row r="605" spans="1:14" ht="26.45">
      <c r="A605" s="1830">
        <v>13</v>
      </c>
      <c r="B605" s="1846" t="s">
        <v>292</v>
      </c>
      <c r="C605" s="1830">
        <v>12</v>
      </c>
      <c r="D605" s="1888">
        <f t="shared" si="39"/>
        <v>225386.17324999999</v>
      </c>
      <c r="E605" s="1863"/>
      <c r="F605" s="1032">
        <v>74134.256600000008</v>
      </c>
      <c r="G605" s="1042">
        <v>0</v>
      </c>
      <c r="H605" s="1043">
        <v>151251.91664999997</v>
      </c>
      <c r="I605" s="1053"/>
      <c r="J605" s="1889">
        <f t="shared" si="40"/>
        <v>151251.91664999997</v>
      </c>
      <c r="K605" s="1864"/>
      <c r="L605" s="1865"/>
      <c r="M605" s="1044"/>
      <c r="N605" s="1889">
        <f t="shared" si="41"/>
        <v>0</v>
      </c>
    </row>
    <row r="606" spans="1:14">
      <c r="A606" s="1830">
        <v>14</v>
      </c>
      <c r="B606" s="1829" t="s">
        <v>293</v>
      </c>
      <c r="C606" s="1830">
        <v>13</v>
      </c>
      <c r="D606" s="1888">
        <f t="shared" si="39"/>
        <v>110935</v>
      </c>
      <c r="E606" s="1863"/>
      <c r="F606" s="1863"/>
      <c r="G606" s="1864">
        <v>55162</v>
      </c>
      <c r="H606" s="1872">
        <v>55773</v>
      </c>
      <c r="I606" s="1897"/>
      <c r="J606" s="1889">
        <f t="shared" si="40"/>
        <v>110935</v>
      </c>
      <c r="K606" s="1864"/>
      <c r="L606" s="1913"/>
      <c r="M606" s="1911"/>
      <c r="N606" s="1889">
        <f t="shared" si="41"/>
        <v>0</v>
      </c>
    </row>
    <row r="607" spans="1:14">
      <c r="A607" s="1830">
        <v>15</v>
      </c>
      <c r="B607" s="1829" t="s">
        <v>294</v>
      </c>
      <c r="C607" s="1836">
        <v>14</v>
      </c>
      <c r="D607" s="1888">
        <f t="shared" si="39"/>
        <v>0</v>
      </c>
      <c r="E607" s="1863"/>
      <c r="F607" s="1032"/>
      <c r="G607" s="1042"/>
      <c r="H607" s="1035"/>
      <c r="I607" s="1897"/>
      <c r="J607" s="1889">
        <f t="shared" si="40"/>
        <v>0</v>
      </c>
      <c r="K607" s="1864"/>
      <c r="L607" s="1913"/>
      <c r="M607" s="1911"/>
      <c r="N607" s="1889">
        <f t="shared" si="41"/>
        <v>0</v>
      </c>
    </row>
    <row r="608" spans="1:14">
      <c r="A608" s="1830">
        <v>16</v>
      </c>
      <c r="B608" s="1829" t="s">
        <v>295</v>
      </c>
      <c r="C608" s="1830">
        <v>15</v>
      </c>
      <c r="D608" s="1888">
        <f t="shared" si="39"/>
        <v>14146.745999999999</v>
      </c>
      <c r="E608" s="1863"/>
      <c r="F608" s="1032"/>
      <c r="G608" s="1042">
        <v>14146.745999999999</v>
      </c>
      <c r="H608" s="1035"/>
      <c r="I608" s="1897"/>
      <c r="J608" s="1889">
        <f t="shared" si="40"/>
        <v>14146.745999999999</v>
      </c>
      <c r="K608" s="1864"/>
      <c r="L608" s="1913"/>
      <c r="M608" s="1911"/>
      <c r="N608" s="1889">
        <f t="shared" si="41"/>
        <v>0</v>
      </c>
    </row>
    <row r="609" spans="1:14">
      <c r="A609" s="1830">
        <v>17</v>
      </c>
      <c r="B609" s="1829" t="s">
        <v>296</v>
      </c>
      <c r="C609" s="1836">
        <v>16</v>
      </c>
      <c r="D609" s="1888">
        <f t="shared" si="39"/>
        <v>108110.54428999999</v>
      </c>
      <c r="E609" s="1863"/>
      <c r="F609" s="1032">
        <v>68131.648289999997</v>
      </c>
      <c r="G609" s="1042">
        <v>32626.482400000001</v>
      </c>
      <c r="H609" s="1043">
        <v>7352.4135999999999</v>
      </c>
      <c r="I609" s="1911"/>
      <c r="J609" s="1889">
        <f t="shared" si="40"/>
        <v>39978.896000000001</v>
      </c>
      <c r="K609" s="1864"/>
      <c r="L609" s="1865"/>
      <c r="M609" s="1866"/>
      <c r="N609" s="1889">
        <f t="shared" si="41"/>
        <v>0</v>
      </c>
    </row>
    <row r="610" spans="1:14">
      <c r="A610" s="1830">
        <v>18</v>
      </c>
      <c r="B610" s="1829" t="s">
        <v>297</v>
      </c>
      <c r="C610" s="1830"/>
      <c r="D610" s="1888">
        <f t="shared" si="39"/>
        <v>0</v>
      </c>
      <c r="E610" s="1863"/>
      <c r="F610" s="1032"/>
      <c r="G610" s="1042"/>
      <c r="H610" s="1035"/>
      <c r="I610" s="1897"/>
      <c r="J610" s="1889">
        <f t="shared" si="40"/>
        <v>0</v>
      </c>
      <c r="K610" s="1864"/>
      <c r="L610" s="1913"/>
      <c r="M610" s="1911"/>
      <c r="N610" s="1889">
        <f t="shared" si="41"/>
        <v>0</v>
      </c>
    </row>
    <row r="611" spans="1:14" ht="15" thickBot="1">
      <c r="A611" s="1847">
        <v>19</v>
      </c>
      <c r="B611" s="1848" t="s">
        <v>298</v>
      </c>
      <c r="C611" s="1847"/>
      <c r="D611" s="3117">
        <f t="shared" si="39"/>
        <v>45518.435160000001</v>
      </c>
      <c r="E611" s="3114"/>
      <c r="F611" s="1036">
        <v>0</v>
      </c>
      <c r="G611" s="1060">
        <v>25262.935160000001</v>
      </c>
      <c r="H611" s="1058">
        <v>20255.5</v>
      </c>
      <c r="I611" s="1923"/>
      <c r="J611" s="3118">
        <f t="shared" si="40"/>
        <v>45518.435160000001</v>
      </c>
      <c r="K611" s="3116"/>
      <c r="L611" s="1917"/>
      <c r="M611" s="1922"/>
      <c r="N611" s="3118">
        <f t="shared" si="41"/>
        <v>0</v>
      </c>
    </row>
    <row r="612" spans="1:14" ht="27" thickBot="1">
      <c r="A612" s="1138">
        <v>20</v>
      </c>
      <c r="B612" s="1139" t="s">
        <v>299</v>
      </c>
      <c r="C612" s="1138"/>
      <c r="D612" s="1163">
        <f t="shared" si="39"/>
        <v>3122893.5859539555</v>
      </c>
      <c r="E612" s="1163">
        <f>SUM(E589:E595)+E598+E601+SUM(E606:E611)</f>
        <v>0</v>
      </c>
      <c r="F612" s="1163">
        <f>SUM(F589:F595)+F598+F601+SUM(F606:F611)</f>
        <v>326239.64245999994</v>
      </c>
      <c r="G612" s="1163">
        <f>SUM(G589:G595)+G598+G601+SUM(G606:G611)</f>
        <v>1656840.7848025686</v>
      </c>
      <c r="H612" s="1164">
        <f>SUM(H589:H595)+H598+H601+SUM(H606:H611)</f>
        <v>1139813.1586913869</v>
      </c>
      <c r="I612" s="1193">
        <f>SUM(I589:I595)+I598+I601+SUM(I606:I611)</f>
        <v>0</v>
      </c>
      <c r="J612" s="1163">
        <f t="shared" si="40"/>
        <v>2796653.9434939558</v>
      </c>
      <c r="K612" s="1163">
        <f>SUM(K589:K595)+K598+K601+SUM(K606:K611)</f>
        <v>0</v>
      </c>
      <c r="L612" s="1164">
        <f>SUM(L589:L595)+L598+L601+SUM(L606:L611)</f>
        <v>0</v>
      </c>
      <c r="M612" s="1193">
        <f>SUM(M589:M595)+M598+M601+SUM(M606:M611)</f>
        <v>0</v>
      </c>
      <c r="N612" s="1163">
        <f t="shared" si="41"/>
        <v>0</v>
      </c>
    </row>
    <row r="613" spans="1:14">
      <c r="A613" s="1133"/>
      <c r="B613" s="1134" t="s">
        <v>300</v>
      </c>
      <c r="C613" s="1133"/>
      <c r="D613" s="1172">
        <f t="shared" si="39"/>
        <v>0</v>
      </c>
      <c r="E613" s="1032"/>
      <c r="F613" s="1032"/>
      <c r="G613" s="1042"/>
      <c r="H613" s="1035"/>
      <c r="I613" s="1052"/>
      <c r="J613" s="1177">
        <f t="shared" si="40"/>
        <v>0</v>
      </c>
      <c r="K613" s="1042"/>
      <c r="L613" s="1054"/>
      <c r="M613" s="1053"/>
      <c r="N613" s="1177">
        <f t="shared" si="41"/>
        <v>0</v>
      </c>
    </row>
    <row r="614" spans="1:14">
      <c r="A614" s="1830"/>
      <c r="B614" s="1850" t="s">
        <v>301</v>
      </c>
      <c r="C614" s="1830"/>
      <c r="D614" s="1888">
        <f t="shared" si="39"/>
        <v>0</v>
      </c>
      <c r="E614" s="1863"/>
      <c r="F614" s="1863"/>
      <c r="G614" s="1864"/>
      <c r="H614" s="1872"/>
      <c r="I614" s="1897"/>
      <c r="J614" s="1889">
        <f t="shared" si="40"/>
        <v>0</v>
      </c>
      <c r="K614" s="1864"/>
      <c r="L614" s="1913"/>
      <c r="M614" s="1911"/>
      <c r="N614" s="1889">
        <f t="shared" si="41"/>
        <v>0</v>
      </c>
    </row>
    <row r="615" spans="1:14">
      <c r="A615" s="1830">
        <v>21</v>
      </c>
      <c r="B615" s="1829" t="s">
        <v>302</v>
      </c>
      <c r="C615" s="1836">
        <v>17</v>
      </c>
      <c r="D615" s="1888">
        <f t="shared" si="39"/>
        <v>2607862.9709999999</v>
      </c>
      <c r="E615" s="1863"/>
      <c r="F615" s="1863"/>
      <c r="G615" s="1864">
        <v>1506020.9310000001</v>
      </c>
      <c r="H615" s="1872">
        <v>1101842.04</v>
      </c>
      <c r="I615" s="1897"/>
      <c r="J615" s="1889">
        <f t="shared" si="40"/>
        <v>2607862.9709999999</v>
      </c>
      <c r="K615" s="1864"/>
      <c r="L615" s="1913"/>
      <c r="M615" s="1866"/>
      <c r="N615" s="1889">
        <f t="shared" si="41"/>
        <v>0</v>
      </c>
    </row>
    <row r="616" spans="1:14">
      <c r="A616" s="1830">
        <v>22</v>
      </c>
      <c r="B616" s="1829" t="s">
        <v>303</v>
      </c>
      <c r="C616" s="1830"/>
      <c r="D616" s="1888">
        <f t="shared" si="39"/>
        <v>20533.557000000001</v>
      </c>
      <c r="E616" s="1863"/>
      <c r="F616" s="1863">
        <v>20533.557000000001</v>
      </c>
      <c r="G616" s="1042"/>
      <c r="H616" s="1035"/>
      <c r="I616" s="1897"/>
      <c r="J616" s="1889">
        <f t="shared" si="40"/>
        <v>0</v>
      </c>
      <c r="K616" s="1864"/>
      <c r="L616" s="1913"/>
      <c r="M616" s="1911"/>
      <c r="N616" s="1889">
        <f t="shared" si="41"/>
        <v>0</v>
      </c>
    </row>
    <row r="617" spans="1:14">
      <c r="A617" s="1830">
        <v>23</v>
      </c>
      <c r="B617" s="1829" t="s">
        <v>304</v>
      </c>
      <c r="C617" s="1830">
        <v>18</v>
      </c>
      <c r="D617" s="1888">
        <f t="shared" si="39"/>
        <v>0</v>
      </c>
      <c r="E617" s="1863"/>
      <c r="F617" s="1863"/>
      <c r="G617" s="1042"/>
      <c r="H617" s="1035"/>
      <c r="I617" s="1897"/>
      <c r="J617" s="1889">
        <f t="shared" si="40"/>
        <v>0</v>
      </c>
      <c r="K617" s="1864"/>
      <c r="L617" s="1913"/>
      <c r="M617" s="1911"/>
      <c r="N617" s="1889">
        <f t="shared" si="41"/>
        <v>0</v>
      </c>
    </row>
    <row r="618" spans="1:14">
      <c r="A618" s="1830">
        <v>24</v>
      </c>
      <c r="B618" s="1829" t="s">
        <v>305</v>
      </c>
      <c r="C618" s="1830"/>
      <c r="D618" s="1888">
        <f t="shared" si="39"/>
        <v>0</v>
      </c>
      <c r="E618" s="1863"/>
      <c r="F618" s="3114"/>
      <c r="G618" s="1060"/>
      <c r="H618" s="1058"/>
      <c r="I618" s="1897"/>
      <c r="J618" s="1889">
        <f t="shared" si="40"/>
        <v>0</v>
      </c>
      <c r="K618" s="1864"/>
      <c r="L618" s="1913"/>
      <c r="M618" s="1911"/>
      <c r="N618" s="1889">
        <f t="shared" si="41"/>
        <v>0</v>
      </c>
    </row>
    <row r="619" spans="1:14">
      <c r="A619" s="1830">
        <v>25</v>
      </c>
      <c r="B619" s="1851" t="s">
        <v>306</v>
      </c>
      <c r="C619" s="1830"/>
      <c r="D619" s="1888">
        <f t="shared" si="39"/>
        <v>0</v>
      </c>
      <c r="E619" s="1863"/>
      <c r="F619" s="1075"/>
      <c r="G619" s="1078"/>
      <c r="H619" s="1079"/>
      <c r="I619" s="1923"/>
      <c r="J619" s="1889">
        <f t="shared" si="40"/>
        <v>0</v>
      </c>
      <c r="K619" s="1864"/>
      <c r="L619" s="1913"/>
      <c r="M619" s="1911"/>
      <c r="N619" s="1889">
        <f t="shared" si="41"/>
        <v>0</v>
      </c>
    </row>
    <row r="620" spans="1:14" ht="15" thickBot="1">
      <c r="A620" s="1847">
        <v>26</v>
      </c>
      <c r="B620" s="1848" t="s">
        <v>307</v>
      </c>
      <c r="C620" s="1852">
        <v>19</v>
      </c>
      <c r="D620" s="1888">
        <f t="shared" si="39"/>
        <v>209313.79530000029</v>
      </c>
      <c r="E620" s="1863"/>
      <c r="F620" s="1080">
        <v>20522.718199999999</v>
      </c>
      <c r="G620" s="1081">
        <v>150820.371564367</v>
      </c>
      <c r="H620" s="1082">
        <v>37970.7055356333</v>
      </c>
      <c r="I620" s="1076"/>
      <c r="J620" s="1889">
        <f t="shared" si="40"/>
        <v>188791.07710000029</v>
      </c>
      <c r="K620" s="1864"/>
      <c r="L620" s="1065"/>
      <c r="M620" s="1930"/>
      <c r="N620" s="1889">
        <f t="shared" si="41"/>
        <v>0</v>
      </c>
    </row>
    <row r="621" spans="1:14" ht="15" thickBot="1">
      <c r="A621" s="1135">
        <v>27</v>
      </c>
      <c r="B621" s="1136" t="s">
        <v>308</v>
      </c>
      <c r="C621" s="1135"/>
      <c r="D621" s="1173">
        <f t="shared" si="39"/>
        <v>2837710.3233000003</v>
      </c>
      <c r="E621" s="1041">
        <f>SUM(E615:E620)</f>
        <v>0</v>
      </c>
      <c r="F621" s="1041">
        <f>SUM(F615:F620)</f>
        <v>41056.275200000004</v>
      </c>
      <c r="G621" s="1041">
        <f>SUM(G615:G620)</f>
        <v>1656841.3025643672</v>
      </c>
      <c r="H621" s="1045">
        <f>SUM(H615:H620)</f>
        <v>1139812.7455356333</v>
      </c>
      <c r="I621" s="1073">
        <f>SUM(I615:I620)</f>
        <v>0</v>
      </c>
      <c r="J621" s="1176">
        <f t="shared" si="40"/>
        <v>2796654.0481000002</v>
      </c>
      <c r="K621" s="1041">
        <f>SUM(K615:K620)</f>
        <v>0</v>
      </c>
      <c r="L621" s="1041">
        <f>SUM(L615:L620)</f>
        <v>0</v>
      </c>
      <c r="M621" s="1041">
        <f>SUM(M615:M620)</f>
        <v>0</v>
      </c>
      <c r="N621" s="1180">
        <f t="shared" si="41"/>
        <v>0</v>
      </c>
    </row>
    <row r="622" spans="1:14">
      <c r="A622" s="1133"/>
      <c r="B622" s="1134" t="s">
        <v>309</v>
      </c>
      <c r="C622" s="1133">
        <v>20</v>
      </c>
      <c r="D622" s="1172">
        <f t="shared" si="39"/>
        <v>0</v>
      </c>
      <c r="E622" s="1032"/>
      <c r="F622" s="1032"/>
      <c r="G622" s="1042"/>
      <c r="H622" s="1035"/>
      <c r="I622" s="1052"/>
      <c r="J622" s="1177">
        <f t="shared" si="40"/>
        <v>0</v>
      </c>
      <c r="K622" s="1032"/>
      <c r="L622" s="1033"/>
      <c r="M622" s="1052"/>
      <c r="N622" s="1177">
        <f t="shared" si="41"/>
        <v>0</v>
      </c>
    </row>
    <row r="623" spans="1:14">
      <c r="A623" s="1830">
        <v>28</v>
      </c>
      <c r="B623" s="1829" t="s">
        <v>310</v>
      </c>
      <c r="C623" s="1836"/>
      <c r="D623" s="1888">
        <f t="shared" si="39"/>
        <v>870000</v>
      </c>
      <c r="E623" s="1863"/>
      <c r="F623" s="1863">
        <v>870000</v>
      </c>
      <c r="G623" s="1864"/>
      <c r="H623" s="1872"/>
      <c r="I623" s="1897"/>
      <c r="J623" s="1889">
        <f t="shared" si="40"/>
        <v>0</v>
      </c>
      <c r="K623" s="1863"/>
      <c r="L623" s="1868"/>
      <c r="M623" s="1897"/>
      <c r="N623" s="1889">
        <f t="shared" si="41"/>
        <v>0</v>
      </c>
    </row>
    <row r="624" spans="1:14">
      <c r="A624" s="1830">
        <v>29</v>
      </c>
      <c r="B624" s="1829" t="s">
        <v>311</v>
      </c>
      <c r="C624" s="1836"/>
      <c r="D624" s="1888">
        <f t="shared" si="39"/>
        <v>-85717.475279999999</v>
      </c>
      <c r="E624" s="1863"/>
      <c r="F624" s="1032">
        <v>-85717.475279999999</v>
      </c>
      <c r="G624" s="1864"/>
      <c r="H624" s="1872"/>
      <c r="I624" s="1897"/>
      <c r="J624" s="1889">
        <f t="shared" si="40"/>
        <v>0</v>
      </c>
      <c r="K624" s="1863"/>
      <c r="L624" s="1868"/>
      <c r="M624" s="1897"/>
      <c r="N624" s="1889">
        <f t="shared" si="41"/>
        <v>0</v>
      </c>
    </row>
    <row r="625" spans="1:14">
      <c r="A625" s="1830">
        <v>30</v>
      </c>
      <c r="B625" s="1848" t="s">
        <v>312</v>
      </c>
      <c r="C625" s="1852"/>
      <c r="D625" s="1888">
        <f t="shared" si="39"/>
        <v>61899.216</v>
      </c>
      <c r="E625" s="1863"/>
      <c r="F625" s="1036">
        <v>61899.216</v>
      </c>
      <c r="G625" s="3116"/>
      <c r="H625" s="1885"/>
      <c r="I625" s="1923"/>
      <c r="J625" s="1889">
        <f t="shared" si="40"/>
        <v>0</v>
      </c>
      <c r="K625" s="1863"/>
      <c r="L625" s="1868"/>
      <c r="M625" s="1897"/>
      <c r="N625" s="1889">
        <f t="shared" si="41"/>
        <v>0</v>
      </c>
    </row>
    <row r="626" spans="1:14">
      <c r="A626" s="1830">
        <v>31</v>
      </c>
      <c r="B626" s="1848" t="s">
        <v>313</v>
      </c>
      <c r="C626" s="1852"/>
      <c r="D626" s="1888">
        <f t="shared" si="39"/>
        <v>0</v>
      </c>
      <c r="E626" s="1863"/>
      <c r="F626" s="3114"/>
      <c r="G626" s="3116"/>
      <c r="H626" s="1885"/>
      <c r="I626" s="1923"/>
      <c r="J626" s="1889">
        <f t="shared" si="40"/>
        <v>0</v>
      </c>
      <c r="K626" s="1863"/>
      <c r="L626" s="1868"/>
      <c r="M626" s="1897"/>
      <c r="N626" s="1889">
        <f t="shared" si="41"/>
        <v>0</v>
      </c>
    </row>
    <row r="627" spans="1:14" ht="15" thickBot="1">
      <c r="A627" s="1847">
        <v>32</v>
      </c>
      <c r="B627" s="1848" t="s">
        <v>314</v>
      </c>
      <c r="C627" s="1852"/>
      <c r="D627" s="1888">
        <f t="shared" si="39"/>
        <v>-560997.57976049895</v>
      </c>
      <c r="E627" s="1863"/>
      <c r="F627" s="3114">
        <v>-560997.57976049895</v>
      </c>
      <c r="G627" s="3116"/>
      <c r="H627" s="1885"/>
      <c r="I627" s="1072"/>
      <c r="J627" s="1889">
        <f t="shared" si="40"/>
        <v>0</v>
      </c>
      <c r="K627" s="1863"/>
      <c r="L627" s="1868"/>
      <c r="M627" s="1897"/>
      <c r="N627" s="1889">
        <f t="shared" si="41"/>
        <v>0</v>
      </c>
    </row>
    <row r="628" spans="1:14" ht="15" thickBot="1">
      <c r="A628" s="1135">
        <v>33</v>
      </c>
      <c r="B628" s="1169" t="s">
        <v>315</v>
      </c>
      <c r="C628" s="1170"/>
      <c r="D628" s="1174">
        <f t="shared" si="39"/>
        <v>285184.16095950105</v>
      </c>
      <c r="E628" s="1046">
        <f>SUM(E623:E627)</f>
        <v>0</v>
      </c>
      <c r="F628" s="1046">
        <f>SUM(F623:F627)</f>
        <v>285184.16095950105</v>
      </c>
      <c r="G628" s="1046">
        <f>SUM(G623:G627)</f>
        <v>0</v>
      </c>
      <c r="H628" s="1046">
        <f>SUM(H623:H627)</f>
        <v>0</v>
      </c>
      <c r="I628" s="1074">
        <f>SUM(I623:I627)</f>
        <v>0</v>
      </c>
      <c r="J628" s="1178">
        <f t="shared" si="40"/>
        <v>0</v>
      </c>
      <c r="K628" s="1046">
        <f>SUM(K623:K627)</f>
        <v>0</v>
      </c>
      <c r="L628" s="1047">
        <f>SUM(L623:L627)</f>
        <v>0</v>
      </c>
      <c r="M628" s="1066">
        <f>SUM(M623:M627)</f>
        <v>0</v>
      </c>
      <c r="N628" s="1178">
        <f t="shared" si="41"/>
        <v>0</v>
      </c>
    </row>
    <row r="629" spans="1:14" ht="27" thickBot="1">
      <c r="A629" s="1138">
        <v>34</v>
      </c>
      <c r="B629" s="1139" t="s">
        <v>317</v>
      </c>
      <c r="C629" s="1138"/>
      <c r="D629" s="1166">
        <f t="shared" si="39"/>
        <v>3122894.4842595011</v>
      </c>
      <c r="E629" s="1166">
        <f>E628+E621</f>
        <v>0</v>
      </c>
      <c r="F629" s="1166">
        <f>F628+F621</f>
        <v>326240.43615950109</v>
      </c>
      <c r="G629" s="1166">
        <f>G628+G621</f>
        <v>1656841.3025643672</v>
      </c>
      <c r="H629" s="1166">
        <f>H628+H621</f>
        <v>1139812.7455356333</v>
      </c>
      <c r="I629" s="1166">
        <f>I628+I621</f>
        <v>0</v>
      </c>
      <c r="J629" s="1166">
        <f t="shared" si="40"/>
        <v>2796654.0481000002</v>
      </c>
      <c r="K629" s="1166">
        <f>K628+K621</f>
        <v>0</v>
      </c>
      <c r="L629" s="1167">
        <f>L628+L621</f>
        <v>0</v>
      </c>
      <c r="M629" s="1206">
        <f>M628+M621</f>
        <v>0</v>
      </c>
      <c r="N629" s="1166">
        <f t="shared" si="41"/>
        <v>0</v>
      </c>
    </row>
    <row r="630" spans="1:14">
      <c r="B630"/>
      <c r="C630"/>
      <c r="D630"/>
      <c r="E630"/>
      <c r="F630"/>
      <c r="G630"/>
      <c r="H630"/>
      <c r="I630"/>
      <c r="J630"/>
      <c r="K630"/>
      <c r="L630"/>
      <c r="M630"/>
      <c r="N630"/>
    </row>
    <row r="631" spans="1:14">
      <c r="B631"/>
      <c r="C631"/>
      <c r="D631"/>
      <c r="E631"/>
      <c r="F631"/>
      <c r="G631"/>
      <c r="H631"/>
      <c r="I631"/>
      <c r="J631"/>
      <c r="K631"/>
      <c r="L631"/>
      <c r="M631"/>
      <c r="N631"/>
    </row>
    <row r="632" spans="1:14">
      <c r="B632"/>
      <c r="C632"/>
      <c r="D632"/>
      <c r="E632"/>
      <c r="F632"/>
      <c r="G632"/>
      <c r="H632"/>
      <c r="I632"/>
      <c r="J632"/>
      <c r="K632"/>
      <c r="L632"/>
      <c r="M632"/>
      <c r="N632"/>
    </row>
    <row r="633" spans="1:14">
      <c r="B633"/>
      <c r="C633"/>
      <c r="D633"/>
      <c r="E633"/>
      <c r="F633"/>
      <c r="G633"/>
      <c r="H633"/>
      <c r="I633"/>
      <c r="J633"/>
      <c r="K633"/>
      <c r="L633"/>
      <c r="M633"/>
      <c r="N633"/>
    </row>
    <row r="635" spans="1:14" ht="15" thickBot="1"/>
    <row r="636" spans="1:14" ht="15" thickBot="1">
      <c r="A636" s="1153" t="s">
        <v>134</v>
      </c>
      <c r="B636" s="3303" t="s">
        <v>107</v>
      </c>
      <c r="C636" s="3304"/>
      <c r="D636" s="662"/>
      <c r="E636" s="662"/>
      <c r="F636" s="662"/>
      <c r="G636" s="662"/>
      <c r="H636" s="662"/>
      <c r="I636" s="662"/>
      <c r="J636" s="662"/>
      <c r="K636" s="662"/>
      <c r="L636" s="662"/>
      <c r="M636" s="3292"/>
      <c r="N636" s="3292" t="s">
        <v>257</v>
      </c>
    </row>
    <row r="637" spans="1:14" ht="13.5" customHeight="1" thickBot="1">
      <c r="A637" s="3293" t="s">
        <v>258</v>
      </c>
      <c r="B637" s="3298"/>
      <c r="C637" s="3280" t="s">
        <v>259</v>
      </c>
      <c r="D637" s="3283" t="s">
        <v>260</v>
      </c>
      <c r="E637" s="3283" t="s">
        <v>261</v>
      </c>
      <c r="F637" s="3283" t="s">
        <v>262</v>
      </c>
      <c r="G637" s="3286" t="s">
        <v>263</v>
      </c>
      <c r="H637" s="3287"/>
      <c r="I637" s="3287"/>
      <c r="J637" s="3287"/>
      <c r="K637" s="3287"/>
      <c r="L637" s="3287"/>
      <c r="M637" s="3287"/>
      <c r="N637" s="3288"/>
    </row>
    <row r="638" spans="1:14" ht="13.5" customHeight="1" thickBot="1">
      <c r="A638" s="3294"/>
      <c r="B638" s="3299"/>
      <c r="C638" s="3281"/>
      <c r="D638" s="3284"/>
      <c r="E638" s="3284"/>
      <c r="F638" s="3284"/>
      <c r="G638" s="3289" t="s">
        <v>264</v>
      </c>
      <c r="H638" s="3290"/>
      <c r="I638" s="3290"/>
      <c r="J638" s="3291"/>
      <c r="K638" s="3289" t="s">
        <v>265</v>
      </c>
      <c r="L638" s="3290"/>
      <c r="M638" s="3290"/>
      <c r="N638" s="3291"/>
    </row>
    <row r="639" spans="1:14" ht="40.15" thickBot="1">
      <c r="A639" s="3294"/>
      <c r="B639" s="3299"/>
      <c r="C639" s="3281"/>
      <c r="D639" s="3285"/>
      <c r="E639" s="3285"/>
      <c r="F639" s="3285"/>
      <c r="G639" s="1125" t="s">
        <v>267</v>
      </c>
      <c r="H639" s="1125" t="s">
        <v>268</v>
      </c>
      <c r="I639" s="1125" t="s">
        <v>269</v>
      </c>
      <c r="J639" s="1125" t="s">
        <v>160</v>
      </c>
      <c r="K639" s="1126" t="s">
        <v>270</v>
      </c>
      <c r="L639" s="1126" t="s">
        <v>271</v>
      </c>
      <c r="M639" s="1126" t="s">
        <v>272</v>
      </c>
      <c r="N639" s="2969" t="s">
        <v>160</v>
      </c>
    </row>
    <row r="640" spans="1:14" ht="15" thickBot="1">
      <c r="A640" s="3294"/>
      <c r="B640" s="3299"/>
      <c r="C640" s="3281"/>
      <c r="D640" s="1128">
        <v>1</v>
      </c>
      <c r="E640" s="3283">
        <v>2</v>
      </c>
      <c r="F640" s="3283">
        <v>3</v>
      </c>
      <c r="G640" s="3283">
        <v>4</v>
      </c>
      <c r="H640" s="3283">
        <v>5</v>
      </c>
      <c r="I640" s="3283">
        <v>6</v>
      </c>
      <c r="J640" s="2974">
        <v>7</v>
      </c>
      <c r="K640" s="3283">
        <v>8</v>
      </c>
      <c r="L640" s="3283">
        <v>9</v>
      </c>
      <c r="M640" s="3283">
        <v>10</v>
      </c>
      <c r="N640" s="1128">
        <v>11</v>
      </c>
    </row>
    <row r="641" spans="1:42" ht="15" thickBot="1">
      <c r="A641" s="3295"/>
      <c r="B641" s="3300"/>
      <c r="C641" s="3282"/>
      <c r="D641" s="1130"/>
      <c r="E641" s="3285"/>
      <c r="F641" s="3285"/>
      <c r="G641" s="3285"/>
      <c r="H641" s="3285"/>
      <c r="I641" s="3285"/>
      <c r="J641" s="1131" t="s">
        <v>273</v>
      </c>
      <c r="K641" s="3285"/>
      <c r="L641" s="3285"/>
      <c r="M641" s="3285"/>
      <c r="N641" s="1157" t="s">
        <v>274</v>
      </c>
    </row>
    <row r="642" spans="1:42">
      <c r="A642" s="1133"/>
      <c r="B642" s="1134" t="s">
        <v>275</v>
      </c>
      <c r="C642" s="1133"/>
      <c r="D642" s="1928"/>
      <c r="E642" s="1071"/>
      <c r="F642" s="1071"/>
      <c r="G642" s="1042"/>
      <c r="H642" s="1035"/>
      <c r="I642" s="1062"/>
      <c r="J642" s="1177"/>
      <c r="K642" s="1032"/>
      <c r="L642" s="1035"/>
      <c r="M642" s="1077"/>
      <c r="N642" s="1929"/>
    </row>
    <row r="643" spans="1:42">
      <c r="A643" s="1828">
        <v>1</v>
      </c>
      <c r="B643" s="1829" t="s">
        <v>276</v>
      </c>
      <c r="C643" s="1830"/>
      <c r="D643" s="1888">
        <f t="shared" ref="D643:D665" si="42">+E643+F643+J643+N643</f>
        <v>0</v>
      </c>
      <c r="E643" s="1863"/>
      <c r="F643" s="1863"/>
      <c r="G643" s="1864"/>
      <c r="H643" s="1872"/>
      <c r="I643" s="1897"/>
      <c r="J643" s="1889">
        <f t="shared" ref="J643:J662" si="43">G643+H643+I643</f>
        <v>0</v>
      </c>
      <c r="K643" s="1863"/>
      <c r="L643" s="1868"/>
      <c r="M643" s="1897"/>
      <c r="N643" s="1889">
        <f t="shared" ref="N643:N683" si="44">K643+L643+M643</f>
        <v>0</v>
      </c>
      <c r="AM643" s="2977">
        <f>K643-'[2]Sheet 7 BS - 2019 &amp; 2018 -LI'!J17</f>
        <v>0</v>
      </c>
      <c r="AN643" s="2977">
        <f>L643-'[2]Sheet 7 BS - 2019 &amp; 2018 -LI'!K17</f>
        <v>0</v>
      </c>
      <c r="AO643" s="2977">
        <f>M643-'[2]Sheet 7 BS - 2019 &amp; 2018 -LI'!L17</f>
        <v>0</v>
      </c>
      <c r="AP643" s="2977">
        <f>N643-'[2]Sheet 7 BS - 2019 &amp; 2018 -LI'!M17</f>
        <v>0</v>
      </c>
    </row>
    <row r="644" spans="1:42">
      <c r="A644" s="1828">
        <v>2</v>
      </c>
      <c r="B644" s="1829" t="s">
        <v>277</v>
      </c>
      <c r="C644" s="1830"/>
      <c r="D644" s="1888">
        <f t="shared" si="42"/>
        <v>9492.3873599999988</v>
      </c>
      <c r="E644" s="1863"/>
      <c r="F644" s="1863">
        <v>9492.3873599999988</v>
      </c>
      <c r="G644" s="1864"/>
      <c r="H644" s="1872"/>
      <c r="I644" s="1897"/>
      <c r="J644" s="1889">
        <f t="shared" si="43"/>
        <v>0</v>
      </c>
      <c r="K644" s="1863"/>
      <c r="L644" s="1868"/>
      <c r="M644" s="1897"/>
      <c r="N644" s="1889">
        <f t="shared" si="44"/>
        <v>0</v>
      </c>
      <c r="AM644" s="2977">
        <f>K644-'[2]Sheet 7 BS - 2019 &amp; 2018 -LI'!J18</f>
        <v>0</v>
      </c>
      <c r="AN644" s="2977">
        <f>L644-'[2]Sheet 7 BS - 2019 &amp; 2018 -LI'!K18</f>
        <v>0</v>
      </c>
      <c r="AO644" s="2977">
        <f>M644-'[2]Sheet 7 BS - 2019 &amp; 2018 -LI'!L18</f>
        <v>0</v>
      </c>
      <c r="AP644" s="2977">
        <f>N644-'[2]Sheet 7 BS - 2019 &amp; 2018 -LI'!M18</f>
        <v>0</v>
      </c>
    </row>
    <row r="645" spans="1:42">
      <c r="A645" s="1828">
        <v>3</v>
      </c>
      <c r="B645" s="1829" t="s">
        <v>278</v>
      </c>
      <c r="C645" s="1830"/>
      <c r="D645" s="1888">
        <f t="shared" si="42"/>
        <v>0</v>
      </c>
      <c r="E645" s="1863"/>
      <c r="F645" s="1032"/>
      <c r="G645" s="1864"/>
      <c r="H645" s="1872"/>
      <c r="I645" s="1897"/>
      <c r="J645" s="1889">
        <f t="shared" si="43"/>
        <v>0</v>
      </c>
      <c r="K645" s="1863"/>
      <c r="L645" s="1868"/>
      <c r="M645" s="1897"/>
      <c r="N645" s="1889">
        <f t="shared" si="44"/>
        <v>0</v>
      </c>
      <c r="AM645" s="2977">
        <f>K645-'[2]Sheet 7 BS - 2019 &amp; 2018 -LI'!J19</f>
        <v>0</v>
      </c>
      <c r="AN645" s="2977">
        <f>L645-'[2]Sheet 7 BS - 2019 &amp; 2018 -LI'!K19</f>
        <v>0</v>
      </c>
      <c r="AO645" s="2977">
        <f>M645-'[2]Sheet 7 BS - 2019 &amp; 2018 -LI'!L19</f>
        <v>0</v>
      </c>
      <c r="AP645" s="2977">
        <f>N645-'[2]Sheet 7 BS - 2019 &amp; 2018 -LI'!M19</f>
        <v>0</v>
      </c>
    </row>
    <row r="646" spans="1:42">
      <c r="A646" s="1828">
        <v>4</v>
      </c>
      <c r="B646" s="1829" t="s">
        <v>324</v>
      </c>
      <c r="C646" s="1830"/>
      <c r="D646" s="1888">
        <f t="shared" si="42"/>
        <v>65968.75361094634</v>
      </c>
      <c r="E646" s="1863"/>
      <c r="F646" s="1032"/>
      <c r="G646" s="1864"/>
      <c r="H646" s="1872">
        <v>65968.75361094634</v>
      </c>
      <c r="I646" s="1897"/>
      <c r="J646" s="1889">
        <f t="shared" si="43"/>
        <v>65968.75361094634</v>
      </c>
      <c r="K646" s="1863"/>
      <c r="L646" s="1868"/>
      <c r="M646" s="1897"/>
      <c r="N646" s="1889">
        <f t="shared" si="44"/>
        <v>0</v>
      </c>
      <c r="AM646" s="2977"/>
      <c r="AN646" s="2977"/>
      <c r="AO646" s="2977"/>
      <c r="AP646" s="2977"/>
    </row>
    <row r="647" spans="1:42">
      <c r="A647" s="1828">
        <v>5</v>
      </c>
      <c r="B647" s="1829" t="s">
        <v>280</v>
      </c>
      <c r="C647" s="1836">
        <v>5</v>
      </c>
      <c r="D647" s="1888">
        <f t="shared" si="42"/>
        <v>15215.64608</v>
      </c>
      <c r="E647" s="1863"/>
      <c r="F647" s="1032">
        <v>15215.64608</v>
      </c>
      <c r="G647" s="1042"/>
      <c r="H647" s="1872"/>
      <c r="I647" s="1897"/>
      <c r="J647" s="1889">
        <f t="shared" si="43"/>
        <v>0</v>
      </c>
      <c r="K647" s="1863"/>
      <c r="L647" s="1868"/>
      <c r="M647" s="1897"/>
      <c r="N647" s="1889">
        <f t="shared" si="44"/>
        <v>0</v>
      </c>
      <c r="AM647" s="2977">
        <f>K647-'[2]Sheet 7 BS - 2019 &amp; 2018 -LI'!J20</f>
        <v>0</v>
      </c>
      <c r="AN647" s="2977">
        <f>L647-'[2]Sheet 7 BS - 2019 &amp; 2018 -LI'!K20</f>
        <v>0</v>
      </c>
      <c r="AO647" s="2977">
        <f>M647-'[2]Sheet 7 BS - 2019 &amp; 2018 -LI'!L20</f>
        <v>0</v>
      </c>
      <c r="AP647" s="2977">
        <f>N647-'[2]Sheet 7 BS - 2019 &amp; 2018 -LI'!M20</f>
        <v>0</v>
      </c>
    </row>
    <row r="648" spans="1:42">
      <c r="A648" s="1828">
        <v>6</v>
      </c>
      <c r="B648" s="1829" t="s">
        <v>281</v>
      </c>
      <c r="C648" s="1830">
        <v>6</v>
      </c>
      <c r="D648" s="1888">
        <f t="shared" si="42"/>
        <v>0</v>
      </c>
      <c r="E648" s="1863"/>
      <c r="F648" s="1032"/>
      <c r="G648" s="1042"/>
      <c r="H648" s="1872"/>
      <c r="I648" s="1897"/>
      <c r="J648" s="1889">
        <f t="shared" si="43"/>
        <v>0</v>
      </c>
      <c r="K648" s="1863"/>
      <c r="L648" s="1868"/>
      <c r="M648" s="1897"/>
      <c r="N648" s="1889">
        <f t="shared" si="44"/>
        <v>0</v>
      </c>
      <c r="AM648" s="2977">
        <f>K648-'[2]Sheet 7 BS - 2019 &amp; 2018 -LI'!J21</f>
        <v>0</v>
      </c>
      <c r="AN648" s="2977">
        <f>L648-'[2]Sheet 7 BS - 2019 &amp; 2018 -LI'!K21</f>
        <v>0</v>
      </c>
      <c r="AO648" s="2977">
        <f>M648-'[2]Sheet 7 BS - 2019 &amp; 2018 -LI'!L21</f>
        <v>0</v>
      </c>
      <c r="AP648" s="2977">
        <f>N648-'[2]Sheet 7 BS - 2019 &amp; 2018 -LI'!M21</f>
        <v>0</v>
      </c>
    </row>
    <row r="649" spans="1:42">
      <c r="A649" s="1828">
        <v>7</v>
      </c>
      <c r="B649" s="1829" t="s">
        <v>282</v>
      </c>
      <c r="C649" s="1836">
        <v>7</v>
      </c>
      <c r="D649" s="1888">
        <f t="shared" si="42"/>
        <v>0</v>
      </c>
      <c r="E649" s="1863"/>
      <c r="F649" s="1032"/>
      <c r="G649" s="1032"/>
      <c r="H649" s="1868"/>
      <c r="I649" s="1897"/>
      <c r="J649" s="1889">
        <f t="shared" si="43"/>
        <v>0</v>
      </c>
      <c r="K649" s="1863">
        <f>K650+K651</f>
        <v>0</v>
      </c>
      <c r="L649" s="1868">
        <f>L650+L651</f>
        <v>0</v>
      </c>
      <c r="M649" s="1897">
        <f>M650+M651</f>
        <v>0</v>
      </c>
      <c r="N649" s="1889">
        <f t="shared" si="44"/>
        <v>0</v>
      </c>
      <c r="AM649" s="2977">
        <f>K649-'[2]Sheet 7 BS - 2019 &amp; 2018 -LI'!J22</f>
        <v>0</v>
      </c>
      <c r="AN649" s="2977">
        <f>L649-'[2]Sheet 7 BS - 2019 &amp; 2018 -LI'!K22</f>
        <v>0</v>
      </c>
      <c r="AO649" s="2977">
        <f>M649-'[2]Sheet 7 BS - 2019 &amp; 2018 -LI'!L22</f>
        <v>0</v>
      </c>
      <c r="AP649" s="2977">
        <f>N649-'[2]Sheet 7 BS - 2019 &amp; 2018 -LI'!M22</f>
        <v>0</v>
      </c>
    </row>
    <row r="650" spans="1:42">
      <c r="A650" s="1830"/>
      <c r="B650" s="1837" t="s">
        <v>283</v>
      </c>
      <c r="C650" s="1836"/>
      <c r="D650" s="1888">
        <f t="shared" si="42"/>
        <v>0</v>
      </c>
      <c r="E650" s="1863"/>
      <c r="F650" s="1863"/>
      <c r="G650" s="1863"/>
      <c r="H650" s="1868"/>
      <c r="I650" s="1897"/>
      <c r="J650" s="1889">
        <f t="shared" si="43"/>
        <v>0</v>
      </c>
      <c r="K650" s="1863"/>
      <c r="L650" s="1868"/>
      <c r="M650" s="1897"/>
      <c r="N650" s="1889">
        <f t="shared" si="44"/>
        <v>0</v>
      </c>
      <c r="AM650" s="2977">
        <f>K650-'[2]Sheet 7 BS - 2019 &amp; 2018 -LI'!J23</f>
        <v>0</v>
      </c>
      <c r="AN650" s="2977">
        <f>L650-'[2]Sheet 7 BS - 2019 &amp; 2018 -LI'!K23</f>
        <v>0</v>
      </c>
      <c r="AO650" s="2977">
        <f>M650-'[2]Sheet 7 BS - 2019 &amp; 2018 -LI'!L23</f>
        <v>0</v>
      </c>
      <c r="AP650" s="2977">
        <f>N650-'[2]Sheet 7 BS - 2019 &amp; 2018 -LI'!M23</f>
        <v>0</v>
      </c>
    </row>
    <row r="651" spans="1:42">
      <c r="A651" s="1830"/>
      <c r="B651" s="1837" t="s">
        <v>284</v>
      </c>
      <c r="C651" s="1836"/>
      <c r="D651" s="1888">
        <f t="shared" si="42"/>
        <v>0</v>
      </c>
      <c r="E651" s="1863"/>
      <c r="F651" s="1863"/>
      <c r="G651" s="1864"/>
      <c r="H651" s="1872"/>
      <c r="I651" s="1897"/>
      <c r="J651" s="1889">
        <f t="shared" si="43"/>
        <v>0</v>
      </c>
      <c r="K651" s="1863"/>
      <c r="L651" s="1868"/>
      <c r="M651" s="1897"/>
      <c r="N651" s="1889">
        <f t="shared" si="44"/>
        <v>0</v>
      </c>
      <c r="AM651" s="2977">
        <f>K651-'[2]Sheet 7 BS - 2019 &amp; 2018 -LI'!J24</f>
        <v>0</v>
      </c>
      <c r="AN651" s="2977">
        <f>L651-'[2]Sheet 7 BS - 2019 &amp; 2018 -LI'!K24</f>
        <v>0</v>
      </c>
      <c r="AO651" s="2977">
        <f>M651-'[2]Sheet 7 BS - 2019 &amp; 2018 -LI'!L24</f>
        <v>0</v>
      </c>
      <c r="AP651" s="2977">
        <f>N651-'[2]Sheet 7 BS - 2019 &amp; 2018 -LI'!M24</f>
        <v>0</v>
      </c>
    </row>
    <row r="652" spans="1:42">
      <c r="A652" s="1828">
        <v>8</v>
      </c>
      <c r="B652" s="1829" t="s">
        <v>285</v>
      </c>
      <c r="C652" s="1830">
        <v>8</v>
      </c>
      <c r="D652" s="1888">
        <f t="shared" si="42"/>
        <v>89550</v>
      </c>
      <c r="E652" s="1863">
        <f>SUM(E653:E654)</f>
        <v>0</v>
      </c>
      <c r="F652" s="1032">
        <f>SUM(F653:F654)</f>
        <v>89550</v>
      </c>
      <c r="G652" s="1032">
        <f>SUM(G653:G654)</f>
        <v>0</v>
      </c>
      <c r="H652" s="1868">
        <f>SUM(H653:H654)</f>
        <v>0</v>
      </c>
      <c r="I652" s="1897">
        <f>SUM(I653:I654)</f>
        <v>0</v>
      </c>
      <c r="J652" s="1889">
        <f t="shared" si="43"/>
        <v>0</v>
      </c>
      <c r="K652" s="1863">
        <f>K653+K654</f>
        <v>0</v>
      </c>
      <c r="L652" s="1868">
        <f>L653+L654</f>
        <v>0</v>
      </c>
      <c r="M652" s="1897">
        <f>M653+M654</f>
        <v>0</v>
      </c>
      <c r="N652" s="1889">
        <f t="shared" si="44"/>
        <v>0</v>
      </c>
      <c r="AM652" s="2977">
        <f>K652-'[2]Sheet 7 BS - 2019 &amp; 2018 -LI'!J25</f>
        <v>0</v>
      </c>
      <c r="AN652" s="2977">
        <f>L652-'[2]Sheet 7 BS - 2019 &amp; 2018 -LI'!K25</f>
        <v>0</v>
      </c>
      <c r="AO652" s="2977">
        <f>M652-'[2]Sheet 7 BS - 2019 &amp; 2018 -LI'!L25</f>
        <v>0</v>
      </c>
      <c r="AP652" s="2977">
        <f>N652-'[2]Sheet 7 BS - 2019 &amp; 2018 -LI'!M25</f>
        <v>0</v>
      </c>
    </row>
    <row r="653" spans="1:42">
      <c r="A653" s="1828"/>
      <c r="B653" s="1837" t="s">
        <v>286</v>
      </c>
      <c r="C653" s="1830"/>
      <c r="D653" s="1888">
        <f t="shared" si="42"/>
        <v>0</v>
      </c>
      <c r="E653" s="1863"/>
      <c r="F653" s="1863"/>
      <c r="G653" s="1863"/>
      <c r="H653" s="1868"/>
      <c r="I653" s="1897"/>
      <c r="J653" s="1889">
        <f t="shared" si="43"/>
        <v>0</v>
      </c>
      <c r="K653" s="1863"/>
      <c r="L653" s="1868"/>
      <c r="M653" s="1897"/>
      <c r="N653" s="1889">
        <f t="shared" si="44"/>
        <v>0</v>
      </c>
      <c r="AM653" s="2977">
        <f>K653-'[2]Sheet 7 BS - 2019 &amp; 2018 -LI'!J26</f>
        <v>0</v>
      </c>
      <c r="AN653" s="2977">
        <f>L653-'[2]Sheet 7 BS - 2019 &amp; 2018 -LI'!K26</f>
        <v>0</v>
      </c>
      <c r="AO653" s="2977">
        <f>M653-'[2]Sheet 7 BS - 2019 &amp; 2018 -LI'!L26</f>
        <v>0</v>
      </c>
      <c r="AP653" s="2977">
        <f>N653-'[2]Sheet 7 BS - 2019 &amp; 2018 -LI'!M26</f>
        <v>0</v>
      </c>
    </row>
    <row r="654" spans="1:42">
      <c r="A654" s="1828"/>
      <c r="B654" s="1837" t="s">
        <v>287</v>
      </c>
      <c r="C654" s="1830"/>
      <c r="D654" s="1888">
        <f t="shared" si="42"/>
        <v>89550</v>
      </c>
      <c r="E654" s="1863"/>
      <c r="F654" s="1863">
        <v>89550</v>
      </c>
      <c r="G654" s="1864"/>
      <c r="H654" s="1872"/>
      <c r="I654" s="1897"/>
      <c r="J654" s="1889">
        <f t="shared" si="43"/>
        <v>0</v>
      </c>
      <c r="K654" s="1863"/>
      <c r="L654" s="1868"/>
      <c r="M654" s="1897"/>
      <c r="N654" s="1889">
        <f t="shared" si="44"/>
        <v>0</v>
      </c>
      <c r="AM654" s="2977">
        <f>K654-'[2]Sheet 7 BS - 2019 &amp; 2018 -LI'!J27</f>
        <v>0</v>
      </c>
      <c r="AN654" s="2977">
        <f>L654-'[2]Sheet 7 BS - 2019 &amp; 2018 -LI'!K27</f>
        <v>0</v>
      </c>
      <c r="AO654" s="2977">
        <f>M654-'[2]Sheet 7 BS - 2019 &amp; 2018 -LI'!L27</f>
        <v>0</v>
      </c>
      <c r="AP654" s="2977">
        <f>N654-'[2]Sheet 7 BS - 2019 &amp; 2018 -LI'!M27</f>
        <v>0</v>
      </c>
    </row>
    <row r="655" spans="1:42" ht="26.45">
      <c r="A655" s="1838">
        <v>9</v>
      </c>
      <c r="B655" s="1839" t="s">
        <v>288</v>
      </c>
      <c r="C655" s="1840"/>
      <c r="D655" s="1905">
        <f t="shared" si="42"/>
        <v>9094242.6162800007</v>
      </c>
      <c r="E655" s="1906">
        <f>SUM(E656:E659)</f>
        <v>0</v>
      </c>
      <c r="F655" s="1906">
        <f>SUM(F656:F659)</f>
        <v>2511304.0669100001</v>
      </c>
      <c r="G655" s="1906">
        <f>SUM(G656:G659)</f>
        <v>228464.43187999999</v>
      </c>
      <c r="H655" s="1879">
        <f>SUM(H656:H659)</f>
        <v>3410371.15331</v>
      </c>
      <c r="I655" s="1925">
        <f>SUM(I656:I659)</f>
        <v>2944102.9641800001</v>
      </c>
      <c r="J655" s="1908">
        <f t="shared" si="43"/>
        <v>6582938.5493700001</v>
      </c>
      <c r="K655" s="1906">
        <f>SUM(K656:K659)</f>
        <v>0</v>
      </c>
      <c r="L655" s="1879">
        <f>SUM(L656:L659)</f>
        <v>0</v>
      </c>
      <c r="M655" s="1925">
        <f>SUM(M656:M659)</f>
        <v>0</v>
      </c>
      <c r="N655" s="1908">
        <f t="shared" si="44"/>
        <v>0</v>
      </c>
      <c r="AM655" s="2977">
        <f>K655-'[2]Sheet 7 BS - 2019 &amp; 2018 -LI'!J28</f>
        <v>0</v>
      </c>
      <c r="AN655" s="2977">
        <f>L655-'[2]Sheet 7 BS - 2019 &amp; 2018 -LI'!K28</f>
        <v>0</v>
      </c>
      <c r="AO655" s="2977">
        <f>M655-'[2]Sheet 7 BS - 2019 &amp; 2018 -LI'!L28</f>
        <v>0</v>
      </c>
      <c r="AP655" s="2977">
        <f>N655-'[2]Sheet 7 BS - 2019 &amp; 2018 -LI'!M28</f>
        <v>0</v>
      </c>
    </row>
    <row r="656" spans="1:42">
      <c r="A656" s="1830">
        <v>10</v>
      </c>
      <c r="B656" s="1846" t="s">
        <v>289</v>
      </c>
      <c r="C656" s="1830">
        <v>9</v>
      </c>
      <c r="D656" s="1888">
        <f t="shared" si="42"/>
        <v>0</v>
      </c>
      <c r="E656" s="1863"/>
      <c r="F656" s="1863"/>
      <c r="G656" s="1864"/>
      <c r="H656" s="1872"/>
      <c r="I656" s="1897"/>
      <c r="J656" s="1889">
        <f t="shared" si="43"/>
        <v>0</v>
      </c>
      <c r="K656" s="1864"/>
      <c r="L656" s="1913"/>
      <c r="M656" s="1866"/>
      <c r="N656" s="1889">
        <f t="shared" si="44"/>
        <v>0</v>
      </c>
      <c r="AM656" s="2977">
        <f>K656-'[2]Sheet 7 BS - 2019 &amp; 2018 -LI'!J29</f>
        <v>0</v>
      </c>
      <c r="AN656" s="2977">
        <f>L656-'[2]Sheet 7 BS - 2019 &amp; 2018 -LI'!K29</f>
        <v>0</v>
      </c>
      <c r="AO656" s="2977">
        <f>M656-'[2]Sheet 7 BS - 2019 &amp; 2018 -LI'!L29</f>
        <v>0</v>
      </c>
      <c r="AP656" s="2977">
        <f>N656-'[2]Sheet 7 BS - 2019 &amp; 2018 -LI'!M29</f>
        <v>0</v>
      </c>
    </row>
    <row r="657" spans="1:42">
      <c r="A657" s="1830">
        <v>11</v>
      </c>
      <c r="B657" s="1846" t="s">
        <v>290</v>
      </c>
      <c r="C657" s="1830">
        <v>10</v>
      </c>
      <c r="D657" s="1888">
        <f t="shared" si="42"/>
        <v>4665929.96581</v>
      </c>
      <c r="E657" s="1863"/>
      <c r="F657" s="1032">
        <v>1199855.62564</v>
      </c>
      <c r="G657" s="1042">
        <v>120503.71644</v>
      </c>
      <c r="H657" s="1043">
        <v>1702463.9991300001</v>
      </c>
      <c r="I657" s="1053">
        <v>1643106.6246</v>
      </c>
      <c r="J657" s="1889">
        <f t="shared" si="43"/>
        <v>3466074.3401700002</v>
      </c>
      <c r="K657" s="1864"/>
      <c r="L657" s="1865"/>
      <c r="M657" s="1044"/>
      <c r="N657" s="1889">
        <f t="shared" si="44"/>
        <v>0</v>
      </c>
      <c r="AM657" s="2977">
        <f>K657-'[2]Sheet 7 BS - 2019 &amp; 2018 -LI'!J30</f>
        <v>0</v>
      </c>
      <c r="AN657" s="2977">
        <f>L657-'[2]Sheet 7 BS - 2019 &amp; 2018 -LI'!K30</f>
        <v>0</v>
      </c>
      <c r="AO657" s="2977">
        <f>M657-'[2]Sheet 7 BS - 2019 &amp; 2018 -LI'!L30</f>
        <v>0</v>
      </c>
      <c r="AP657" s="2977">
        <f>N657-'[2]Sheet 7 BS - 2019 &amp; 2018 -LI'!M30</f>
        <v>0</v>
      </c>
    </row>
    <row r="658" spans="1:42">
      <c r="A658" s="1830">
        <v>12</v>
      </c>
      <c r="B658" s="1846" t="s">
        <v>291</v>
      </c>
      <c r="C658" s="1830">
        <v>11</v>
      </c>
      <c r="D658" s="1888">
        <f t="shared" si="42"/>
        <v>4428312.6504699998</v>
      </c>
      <c r="E658" s="1863"/>
      <c r="F658" s="1032">
        <v>1311448.4412700001</v>
      </c>
      <c r="G658" s="1042">
        <v>107960.71544</v>
      </c>
      <c r="H658" s="1043">
        <v>1707907.1541799998</v>
      </c>
      <c r="I658" s="1053">
        <v>1300996.3395799999</v>
      </c>
      <c r="J658" s="1889">
        <f t="shared" si="43"/>
        <v>3116864.2091999995</v>
      </c>
      <c r="K658" s="1864"/>
      <c r="L658" s="1865"/>
      <c r="M658" s="1044"/>
      <c r="N658" s="1889">
        <f t="shared" si="44"/>
        <v>0</v>
      </c>
      <c r="AM658" s="2977">
        <f>K658-'[2]Sheet 7 BS - 2019 &amp; 2018 -LI'!J31</f>
        <v>0</v>
      </c>
      <c r="AN658" s="2977">
        <f>L658-'[2]Sheet 7 BS - 2019 &amp; 2018 -LI'!K31</f>
        <v>0</v>
      </c>
      <c r="AO658" s="2977">
        <f>M658-'[2]Sheet 7 BS - 2019 &amp; 2018 -LI'!L31</f>
        <v>0</v>
      </c>
      <c r="AP658" s="2977">
        <f>N658-'[2]Sheet 7 BS - 2019 &amp; 2018 -LI'!M31</f>
        <v>0</v>
      </c>
    </row>
    <row r="659" spans="1:42" ht="26.45">
      <c r="A659" s="1830">
        <v>13</v>
      </c>
      <c r="B659" s="1846" t="s">
        <v>292</v>
      </c>
      <c r="C659" s="1830">
        <v>12</v>
      </c>
      <c r="D659" s="1888">
        <f t="shared" si="42"/>
        <v>0</v>
      </c>
      <c r="E659" s="1863"/>
      <c r="F659" s="1032"/>
      <c r="G659" s="1042"/>
      <c r="H659" s="1043"/>
      <c r="I659" s="1053"/>
      <c r="J659" s="1889">
        <f t="shared" si="43"/>
        <v>0</v>
      </c>
      <c r="K659" s="1864"/>
      <c r="L659" s="1865"/>
      <c r="M659" s="1044"/>
      <c r="N659" s="1889">
        <f t="shared" si="44"/>
        <v>0</v>
      </c>
      <c r="AM659" s="2977">
        <f>K659-'[2]Sheet 7 BS - 2019 &amp; 2018 -LI'!J32</f>
        <v>0</v>
      </c>
      <c r="AN659" s="2977">
        <f>L659-'[2]Sheet 7 BS - 2019 &amp; 2018 -LI'!K32</f>
        <v>0</v>
      </c>
      <c r="AO659" s="2977">
        <f>M659-'[2]Sheet 7 BS - 2019 &amp; 2018 -LI'!L32</f>
        <v>0</v>
      </c>
      <c r="AP659" s="2977">
        <f>N659-'[2]Sheet 7 BS - 2019 &amp; 2018 -LI'!M32</f>
        <v>0</v>
      </c>
    </row>
    <row r="660" spans="1:42">
      <c r="A660" s="1830">
        <v>14</v>
      </c>
      <c r="B660" s="1829" t="s">
        <v>293</v>
      </c>
      <c r="C660" s="1830">
        <v>13</v>
      </c>
      <c r="D660" s="1888">
        <f t="shared" si="42"/>
        <v>89614.062959999996</v>
      </c>
      <c r="E660" s="1863"/>
      <c r="F660" s="1863"/>
      <c r="G660" s="1864">
        <v>5761.5097599999999</v>
      </c>
      <c r="H660" s="1872">
        <v>552.56304999998213</v>
      </c>
      <c r="I660" s="1897">
        <v>83299.990150000012</v>
      </c>
      <c r="J660" s="1889">
        <f t="shared" si="43"/>
        <v>89614.062959999996</v>
      </c>
      <c r="K660" s="1864"/>
      <c r="L660" s="1913"/>
      <c r="M660" s="1911"/>
      <c r="N660" s="1889">
        <f t="shared" si="44"/>
        <v>0</v>
      </c>
      <c r="AM660" s="2977">
        <f>K660-'[2]Sheet 7 BS - 2019 &amp; 2018 -LI'!J34</f>
        <v>0</v>
      </c>
      <c r="AN660" s="2977">
        <f>L660-'[2]Sheet 7 BS - 2019 &amp; 2018 -LI'!K34</f>
        <v>0</v>
      </c>
      <c r="AO660" s="2977">
        <f>M660-'[2]Sheet 7 BS - 2019 &amp; 2018 -LI'!L34</f>
        <v>0</v>
      </c>
      <c r="AP660" s="2977">
        <f>N660-'[2]Sheet 7 BS - 2019 &amp; 2018 -LI'!M34</f>
        <v>0</v>
      </c>
    </row>
    <row r="661" spans="1:42">
      <c r="A661" s="1830">
        <v>15</v>
      </c>
      <c r="B661" s="1829" t="s">
        <v>294</v>
      </c>
      <c r="C661" s="1836">
        <v>14</v>
      </c>
      <c r="D661" s="1888">
        <f t="shared" si="42"/>
        <v>60236.644</v>
      </c>
      <c r="E661" s="1863"/>
      <c r="F661" s="1032"/>
      <c r="G661" s="1042">
        <v>1576.9</v>
      </c>
      <c r="H661" s="1035">
        <v>53447.078999999998</v>
      </c>
      <c r="I661" s="1897">
        <v>5212.665</v>
      </c>
      <c r="J661" s="1889">
        <f t="shared" si="43"/>
        <v>60236.644</v>
      </c>
      <c r="K661" s="1864"/>
      <c r="L661" s="1913"/>
      <c r="M661" s="1911"/>
      <c r="N661" s="1889">
        <f t="shared" si="44"/>
        <v>0</v>
      </c>
      <c r="AM661" s="2977">
        <f>K661-'[2]Sheet 7 BS - 2019 &amp; 2018 -LI'!J35</f>
        <v>0</v>
      </c>
      <c r="AN661" s="2977">
        <f>L661-'[2]Sheet 7 BS - 2019 &amp; 2018 -LI'!K35</f>
        <v>0</v>
      </c>
      <c r="AO661" s="2977">
        <f>M661-'[2]Sheet 7 BS - 2019 &amp; 2018 -LI'!L35</f>
        <v>0</v>
      </c>
      <c r="AP661" s="2977">
        <f>N661-'[2]Sheet 7 BS - 2019 &amp; 2018 -LI'!M35</f>
        <v>0</v>
      </c>
    </row>
    <row r="662" spans="1:42">
      <c r="A662" s="1830">
        <v>16</v>
      </c>
      <c r="B662" s="1829" t="s">
        <v>295</v>
      </c>
      <c r="C662" s="1830">
        <v>15</v>
      </c>
      <c r="D662" s="1888">
        <f t="shared" si="42"/>
        <v>406794.44330000004</v>
      </c>
      <c r="E662" s="1863"/>
      <c r="F662" s="1032"/>
      <c r="G662" s="1042">
        <v>1964.4870900000001</v>
      </c>
      <c r="H662" s="1035">
        <v>248465.46823000006</v>
      </c>
      <c r="I662" s="1897">
        <v>156364.48797999998</v>
      </c>
      <c r="J662" s="1889">
        <f t="shared" si="43"/>
        <v>406794.44330000004</v>
      </c>
      <c r="K662" s="1864"/>
      <c r="L662" s="1913"/>
      <c r="M662" s="1911"/>
      <c r="N662" s="1889">
        <f t="shared" si="44"/>
        <v>0</v>
      </c>
      <c r="AM662" s="2977">
        <f>K662-'[2]Sheet 7 BS - 2019 &amp; 2018 -LI'!J36</f>
        <v>0</v>
      </c>
      <c r="AN662" s="2977">
        <f>L662-'[2]Sheet 7 BS - 2019 &amp; 2018 -LI'!K36</f>
        <v>0</v>
      </c>
      <c r="AO662" s="2977">
        <f>M662-'[2]Sheet 7 BS - 2019 &amp; 2018 -LI'!L36</f>
        <v>0</v>
      </c>
      <c r="AP662" s="2977">
        <f>N662-'[2]Sheet 7 BS - 2019 &amp; 2018 -LI'!M36</f>
        <v>0</v>
      </c>
    </row>
    <row r="663" spans="1:42">
      <c r="A663" s="1830">
        <v>17</v>
      </c>
      <c r="B663" s="1829" t="s">
        <v>296</v>
      </c>
      <c r="C663" s="1836">
        <v>16</v>
      </c>
      <c r="D663" s="1888">
        <f>+E663+F663+J663+N663</f>
        <v>161836.73750000013</v>
      </c>
      <c r="E663" s="1863">
        <v>-605247.50020999997</v>
      </c>
      <c r="F663" s="1032">
        <v>603555.84541000007</v>
      </c>
      <c r="G663" s="1042"/>
      <c r="H663" s="1043">
        <v>167156.29945259751</v>
      </c>
      <c r="I663" s="1911">
        <v>82150.278970895291</v>
      </c>
      <c r="J663" s="1889">
        <f>G663+H663+I663-3627.90715259743-82150.2789708953</f>
        <v>163528.39230000004</v>
      </c>
      <c r="K663" s="1864"/>
      <c r="L663" s="1865"/>
      <c r="M663" s="1866"/>
      <c r="N663" s="1889">
        <f t="shared" si="44"/>
        <v>0</v>
      </c>
      <c r="AM663" s="2977">
        <f>K663-'[2]Sheet 7 BS - 2019 &amp; 2018 -LI'!J37-'[2]Sheet 7 BS - 2019 &amp; 2018 -LI'!J33</f>
        <v>0</v>
      </c>
      <c r="AN663" s="2977">
        <f>L663-'[2]Sheet 7 BS - 2019 &amp; 2018 -LI'!K37-'[2]Sheet 7 BS - 2019 &amp; 2018 -LI'!K33</f>
        <v>0</v>
      </c>
      <c r="AO663" s="2977">
        <f>M663-'[2]Sheet 7 BS - 2019 &amp; 2018 -LI'!L37-'[2]Sheet 7 BS - 2019 &amp; 2018 -LI'!L33</f>
        <v>0</v>
      </c>
      <c r="AP663" s="2977">
        <f>N663-'[2]Sheet 7 BS - 2019 &amp; 2018 -LI'!M37-'[2]Sheet 7 BS - 2019 &amp; 2018 -LI'!M33</f>
        <v>0</v>
      </c>
    </row>
    <row r="664" spans="1:42">
      <c r="A664" s="1830">
        <v>18</v>
      </c>
      <c r="B664" s="1829" t="s">
        <v>297</v>
      </c>
      <c r="C664" s="1830"/>
      <c r="D664" s="1888">
        <f t="shared" si="42"/>
        <v>0</v>
      </c>
      <c r="E664" s="1863"/>
      <c r="F664" s="1032"/>
      <c r="G664" s="1042"/>
      <c r="H664" s="1035"/>
      <c r="I664" s="1897"/>
      <c r="J664" s="1889">
        <f>G664+H664+I664</f>
        <v>0</v>
      </c>
      <c r="K664" s="1864"/>
      <c r="L664" s="1913"/>
      <c r="M664" s="1911"/>
      <c r="N664" s="1889">
        <f t="shared" si="44"/>
        <v>0</v>
      </c>
      <c r="AM664" s="2977">
        <f>K664-'[2]Sheet 7 BS - 2019 &amp; 2018 -LI'!J38</f>
        <v>0</v>
      </c>
      <c r="AN664" s="2977">
        <f>L664-'[2]Sheet 7 BS - 2019 &amp; 2018 -LI'!K38</f>
        <v>0</v>
      </c>
      <c r="AO664" s="2977">
        <f>M664-'[2]Sheet 7 BS - 2019 &amp; 2018 -LI'!L38</f>
        <v>0</v>
      </c>
      <c r="AP664" s="2977">
        <f>N664-'[2]Sheet 7 BS - 2019 &amp; 2018 -LI'!M38</f>
        <v>0</v>
      </c>
    </row>
    <row r="665" spans="1:42" ht="15" thickBot="1">
      <c r="A665" s="1847">
        <v>19</v>
      </c>
      <c r="B665" s="1848" t="s">
        <v>298</v>
      </c>
      <c r="C665" s="1847"/>
      <c r="D665" s="3117">
        <f t="shared" si="42"/>
        <v>341063.12514999998</v>
      </c>
      <c r="E665" s="3114"/>
      <c r="F665" s="1036">
        <v>13420.05609</v>
      </c>
      <c r="G665" s="1060">
        <v>117.02807000000001</v>
      </c>
      <c r="H665" s="1058">
        <v>327075.46574999997</v>
      </c>
      <c r="I665" s="1923">
        <v>450.57524000000001</v>
      </c>
      <c r="J665" s="3118">
        <f>G665+H665+I665</f>
        <v>327643.06905999995</v>
      </c>
      <c r="K665" s="3116"/>
      <c r="L665" s="1917"/>
      <c r="M665" s="1922"/>
      <c r="N665" s="3118">
        <f t="shared" si="44"/>
        <v>0</v>
      </c>
      <c r="AM665" s="2977">
        <f>K665-'[2]Sheet 7 BS - 2019 &amp; 2018 -LI'!J39</f>
        <v>0</v>
      </c>
      <c r="AN665" s="2977">
        <f>L665-'[2]Sheet 7 BS - 2019 &amp; 2018 -LI'!K39</f>
        <v>0</v>
      </c>
      <c r="AO665" s="2977">
        <f>M665-'[2]Sheet 7 BS - 2019 &amp; 2018 -LI'!L39</f>
        <v>0</v>
      </c>
      <c r="AP665" s="2977">
        <f>N665-'[2]Sheet 7 BS - 2019 &amp; 2018 -LI'!M39</f>
        <v>0</v>
      </c>
    </row>
    <row r="666" spans="1:42" s="870" customFormat="1" ht="27" thickBot="1">
      <c r="A666" s="1138">
        <v>20</v>
      </c>
      <c r="B666" s="1139" t="s">
        <v>299</v>
      </c>
      <c r="C666" s="1138"/>
      <c r="D666" s="1163">
        <f t="shared" ref="D666:I666" si="45">SUM(D643:D649)+D652+D655+SUM(D660:D665)</f>
        <v>10334014.416240945</v>
      </c>
      <c r="E666" s="1163">
        <f t="shared" si="45"/>
        <v>-605247.50020999997</v>
      </c>
      <c r="F666" s="1163">
        <f t="shared" si="45"/>
        <v>3242538.0018500001</v>
      </c>
      <c r="G666" s="1163">
        <f t="shared" si="45"/>
        <v>237884.35679999998</v>
      </c>
      <c r="H666" s="1164">
        <f t="shared" si="45"/>
        <v>4273036.7824035436</v>
      </c>
      <c r="I666" s="1193">
        <f t="shared" si="45"/>
        <v>3271580.9615208954</v>
      </c>
      <c r="J666" s="1163">
        <f>SUM(J660:J665)+J655+SUM(J642:J649)</f>
        <v>7696723.914600946</v>
      </c>
      <c r="K666" s="1163">
        <f>SUM(K643:K649)+K652+K655+SUM(K660:K665)</f>
        <v>0</v>
      </c>
      <c r="L666" s="1164">
        <f>SUM(L643:L649)+L652+L655+SUM(L660:L665)</f>
        <v>0</v>
      </c>
      <c r="M666" s="1193">
        <f>SUM(M643:M649)+M652+M655+SUM(M660:M665)</f>
        <v>0</v>
      </c>
      <c r="N666" s="1163">
        <f t="shared" si="44"/>
        <v>0</v>
      </c>
      <c r="O666"/>
      <c r="P666"/>
      <c r="Q666"/>
      <c r="R666"/>
      <c r="S666"/>
      <c r="T666"/>
      <c r="U666"/>
      <c r="V666"/>
      <c r="W666"/>
      <c r="X666"/>
      <c r="Y666"/>
      <c r="Z666"/>
      <c r="AA666"/>
      <c r="AB666"/>
      <c r="AC666"/>
      <c r="AD666"/>
      <c r="AE666"/>
      <c r="AF666"/>
      <c r="AG666"/>
      <c r="AH666"/>
      <c r="AI666"/>
      <c r="AJ666"/>
      <c r="AK666" s="2976"/>
      <c r="AL666" s="2976"/>
      <c r="AM666" s="2978">
        <f>K666-'[2]Sheet 7 BS - 2019 &amp; 2018 -LI'!J40</f>
        <v>0</v>
      </c>
      <c r="AN666" s="2978">
        <f>L666-'[2]Sheet 7 BS - 2019 &amp; 2018 -LI'!K40</f>
        <v>0</v>
      </c>
      <c r="AO666" s="2978">
        <f>M666-'[2]Sheet 7 BS - 2019 &amp; 2018 -LI'!L40</f>
        <v>0</v>
      </c>
      <c r="AP666" s="2978">
        <f>N666-'[2]Sheet 7 BS - 2019 &amp; 2018 -LI'!M40</f>
        <v>0</v>
      </c>
    </row>
    <row r="667" spans="1:42">
      <c r="A667" s="1133"/>
      <c r="B667" s="1134" t="s">
        <v>300</v>
      </c>
      <c r="C667" s="1133"/>
      <c r="D667" s="1172">
        <f t="shared" ref="D667:D683" si="46">+E667+F667+J667+N667</f>
        <v>0</v>
      </c>
      <c r="E667" s="1032"/>
      <c r="F667" s="1032"/>
      <c r="G667" s="1042"/>
      <c r="H667" s="1035"/>
      <c r="I667" s="1052"/>
      <c r="J667" s="1177">
        <f t="shared" ref="J667:J673" si="47">G667+H667+I667</f>
        <v>0</v>
      </c>
      <c r="K667" s="1042"/>
      <c r="L667" s="1054"/>
      <c r="M667" s="1053"/>
      <c r="N667" s="1177">
        <f t="shared" si="44"/>
        <v>0</v>
      </c>
      <c r="AM667" s="2977">
        <f>K667-'[2]Sheet 7 BS - 2019 &amp; 2018 -LI'!J41</f>
        <v>0</v>
      </c>
      <c r="AN667" s="2977">
        <f>L667-'[2]Sheet 7 BS - 2019 &amp; 2018 -LI'!K41</f>
        <v>0</v>
      </c>
      <c r="AO667" s="2977">
        <f>M667-'[2]Sheet 7 BS - 2019 &amp; 2018 -LI'!L41</f>
        <v>0</v>
      </c>
      <c r="AP667" s="2977">
        <f>N667-'[2]Sheet 7 BS - 2019 &amp; 2018 -LI'!M41</f>
        <v>0</v>
      </c>
    </row>
    <row r="668" spans="1:42">
      <c r="A668" s="1830"/>
      <c r="B668" s="1850" t="s">
        <v>301</v>
      </c>
      <c r="C668" s="1830"/>
      <c r="D668" s="1888">
        <f t="shared" si="46"/>
        <v>0</v>
      </c>
      <c r="E668" s="1863"/>
      <c r="F668" s="1863"/>
      <c r="G668" s="1864"/>
      <c r="H668" s="1872"/>
      <c r="I668" s="1897"/>
      <c r="J668" s="1889">
        <f t="shared" si="47"/>
        <v>0</v>
      </c>
      <c r="K668" s="1864"/>
      <c r="L668" s="1913"/>
      <c r="M668" s="1911"/>
      <c r="N668" s="1889">
        <f t="shared" si="44"/>
        <v>0</v>
      </c>
      <c r="AM668" s="2977">
        <f>K668-'[2]Sheet 7 BS - 2019 &amp; 2018 -LI'!J42</f>
        <v>0</v>
      </c>
      <c r="AN668" s="2977">
        <f>L668-'[2]Sheet 7 BS - 2019 &amp; 2018 -LI'!K42</f>
        <v>0</v>
      </c>
      <c r="AO668" s="2977">
        <f>M668-'[2]Sheet 7 BS - 2019 &amp; 2018 -LI'!L42</f>
        <v>0</v>
      </c>
      <c r="AP668" s="2977">
        <f>N668-'[2]Sheet 7 BS - 2019 &amp; 2018 -LI'!M42</f>
        <v>0</v>
      </c>
    </row>
    <row r="669" spans="1:42">
      <c r="A669" s="1830">
        <v>21</v>
      </c>
      <c r="B669" s="1829" t="s">
        <v>302</v>
      </c>
      <c r="C669" s="1836">
        <v>17</v>
      </c>
      <c r="D669" s="1888">
        <f t="shared" si="46"/>
        <v>5905612.8825699994</v>
      </c>
      <c r="E669" s="1863"/>
      <c r="F669" s="1863"/>
      <c r="G669" s="1864">
        <v>226701.29227740254</v>
      </c>
      <c r="H669" s="1872">
        <v>2887810.21683073</v>
      </c>
      <c r="I669" s="1897">
        <v>2791101.3734618668</v>
      </c>
      <c r="J669" s="1889">
        <f t="shared" si="47"/>
        <v>5905612.8825699994</v>
      </c>
      <c r="K669" s="1864"/>
      <c r="L669" s="1913"/>
      <c r="M669" s="1866"/>
      <c r="N669" s="1889">
        <f t="shared" si="44"/>
        <v>0</v>
      </c>
      <c r="AM669" s="2977">
        <f>K669-'[2]Sheet 7 BS - 2019 &amp; 2018 -LI'!J43</f>
        <v>0</v>
      </c>
      <c r="AN669" s="2977">
        <f>L669-'[2]Sheet 7 BS - 2019 &amp; 2018 -LI'!K43</f>
        <v>0</v>
      </c>
      <c r="AO669" s="2977">
        <f>M669-'[2]Sheet 7 BS - 2019 &amp; 2018 -LI'!L43</f>
        <v>0</v>
      </c>
      <c r="AP669" s="2977">
        <f>N669-'[2]Sheet 7 BS - 2019 &amp; 2018 -LI'!M43</f>
        <v>0</v>
      </c>
    </row>
    <row r="670" spans="1:42">
      <c r="A670" s="1830">
        <v>22</v>
      </c>
      <c r="B670" s="1829" t="s">
        <v>303</v>
      </c>
      <c r="C670" s="1830"/>
      <c r="D670" s="1888">
        <f t="shared" si="46"/>
        <v>22228.004000000001</v>
      </c>
      <c r="E670" s="1863"/>
      <c r="F670" s="1863"/>
      <c r="G670" s="1042"/>
      <c r="H670" s="1035">
        <v>22228.004000000001</v>
      </c>
      <c r="I670" s="1897"/>
      <c r="J670" s="1889">
        <f t="shared" si="47"/>
        <v>22228.004000000001</v>
      </c>
      <c r="K670" s="1864"/>
      <c r="L670" s="1913"/>
      <c r="M670" s="1911"/>
      <c r="N670" s="1889">
        <f t="shared" si="44"/>
        <v>0</v>
      </c>
      <c r="AM670" s="2977">
        <f>K670-'[2]Sheet 7 BS - 2019 &amp; 2018 -LI'!J44</f>
        <v>0</v>
      </c>
      <c r="AN670" s="2977">
        <f>L670-'[2]Sheet 7 BS - 2019 &amp; 2018 -LI'!K44</f>
        <v>0</v>
      </c>
      <c r="AO670" s="2977">
        <f>M670-'[2]Sheet 7 BS - 2019 &amp; 2018 -LI'!L44</f>
        <v>0</v>
      </c>
      <c r="AP670" s="2977">
        <f>N670-'[2]Sheet 7 BS - 2019 &amp; 2018 -LI'!M44</f>
        <v>0</v>
      </c>
    </row>
    <row r="671" spans="1:42">
      <c r="A671" s="1830">
        <v>23</v>
      </c>
      <c r="B671" s="1829" t="s">
        <v>304</v>
      </c>
      <c r="C671" s="1830">
        <v>18</v>
      </c>
      <c r="D671" s="1888">
        <f t="shared" si="46"/>
        <v>138219.47318000003</v>
      </c>
      <c r="E671" s="1863"/>
      <c r="F671" s="1863"/>
      <c r="G671" s="1042"/>
      <c r="H671" s="1035">
        <v>69644.746761923103</v>
      </c>
      <c r="I671" s="1897">
        <v>68574.726418076913</v>
      </c>
      <c r="J671" s="1889">
        <f t="shared" si="47"/>
        <v>138219.47318000003</v>
      </c>
      <c r="K671" s="1864"/>
      <c r="L671" s="1913"/>
      <c r="M671" s="1911"/>
      <c r="N671" s="1889">
        <f t="shared" si="44"/>
        <v>0</v>
      </c>
      <c r="AM671" s="2977">
        <f>K671-'[2]Sheet 7 BS - 2019 &amp; 2018 -LI'!J46</f>
        <v>0</v>
      </c>
      <c r="AN671" s="2977">
        <f>L671-'[2]Sheet 7 BS - 2019 &amp; 2018 -LI'!K46</f>
        <v>0</v>
      </c>
      <c r="AO671" s="2977">
        <f>M671-'[2]Sheet 7 BS - 2019 &amp; 2018 -LI'!L46</f>
        <v>0</v>
      </c>
      <c r="AP671" s="2977">
        <f>N671-'[2]Sheet 7 BS - 2019 &amp; 2018 -LI'!M46</f>
        <v>0</v>
      </c>
    </row>
    <row r="672" spans="1:42">
      <c r="A672" s="1830">
        <v>24</v>
      </c>
      <c r="B672" s="1829" t="s">
        <v>305</v>
      </c>
      <c r="C672" s="1830"/>
      <c r="D672" s="1888">
        <f t="shared" si="46"/>
        <v>0</v>
      </c>
      <c r="E672" s="1863"/>
      <c r="F672" s="3114"/>
      <c r="G672" s="1060"/>
      <c r="H672" s="1058"/>
      <c r="I672" s="1897"/>
      <c r="J672" s="1889">
        <f t="shared" si="47"/>
        <v>0</v>
      </c>
      <c r="K672" s="1864"/>
      <c r="L672" s="1913"/>
      <c r="M672" s="1911"/>
      <c r="N672" s="1889">
        <f t="shared" si="44"/>
        <v>0</v>
      </c>
      <c r="AM672" s="2977">
        <f>K672-'[2]Sheet 7 BS - 2019 &amp; 2018 -LI'!J47</f>
        <v>0</v>
      </c>
      <c r="AN672" s="2977">
        <f>L672-'[2]Sheet 7 BS - 2019 &amp; 2018 -LI'!K47</f>
        <v>0</v>
      </c>
      <c r="AO672" s="2977">
        <f>M672-'[2]Sheet 7 BS - 2019 &amp; 2018 -LI'!L47</f>
        <v>0</v>
      </c>
      <c r="AP672" s="2977">
        <f>N672-'[2]Sheet 7 BS - 2019 &amp; 2018 -LI'!M47</f>
        <v>0</v>
      </c>
    </row>
    <row r="673" spans="1:42">
      <c r="A673" s="1830">
        <v>25</v>
      </c>
      <c r="B673" s="1851" t="s">
        <v>306</v>
      </c>
      <c r="C673" s="1830"/>
      <c r="D673" s="1888">
        <f t="shared" si="46"/>
        <v>150854.0711</v>
      </c>
      <c r="E673" s="1863"/>
      <c r="F673" s="1075">
        <v>150854.0711</v>
      </c>
      <c r="G673" s="1078"/>
      <c r="H673" s="1079"/>
      <c r="I673" s="1923"/>
      <c r="J673" s="1889">
        <f t="shared" si="47"/>
        <v>0</v>
      </c>
      <c r="K673" s="1864"/>
      <c r="L673" s="1913"/>
      <c r="M673" s="1911"/>
      <c r="N673" s="1889">
        <f t="shared" si="44"/>
        <v>0</v>
      </c>
      <c r="AM673" s="2977">
        <f>K673-'[2]Sheet 7 BS - 2019 &amp; 2018 -LI'!J48</f>
        <v>0</v>
      </c>
      <c r="AN673" s="2977">
        <f>L673-'[2]Sheet 7 BS - 2019 &amp; 2018 -LI'!K48</f>
        <v>0</v>
      </c>
      <c r="AO673" s="2977">
        <f>M673-'[2]Sheet 7 BS - 2019 &amp; 2018 -LI'!L48</f>
        <v>0</v>
      </c>
      <c r="AP673" s="2977">
        <f>N673-'[2]Sheet 7 BS - 2019 &amp; 2018 -LI'!M48</f>
        <v>0</v>
      </c>
    </row>
    <row r="674" spans="1:42" ht="15" thickBot="1">
      <c r="A674" s="1847">
        <v>26</v>
      </c>
      <c r="B674" s="1848" t="s">
        <v>307</v>
      </c>
      <c r="C674" s="1852">
        <v>19</v>
      </c>
      <c r="D674" s="1888">
        <f>+E674+F674+J674+N674</f>
        <v>1026390.2671100092</v>
      </c>
      <c r="E674" s="1863">
        <v>-605247.50020999997</v>
      </c>
      <c r="F674" s="1080">
        <v>974.21247999998877</v>
      </c>
      <c r="G674" s="1081">
        <v>11183.064522597428</v>
      </c>
      <c r="H674" s="1082">
        <f>1174635.8052709+118718.00954</f>
        <v>1293353.8148109</v>
      </c>
      <c r="I674" s="1076">
        <v>411904.86163000431</v>
      </c>
      <c r="J674" s="1889">
        <f>G674+H674+I674-3627.90715259743-82150.2789708953</f>
        <v>1630663.5548400092</v>
      </c>
      <c r="K674" s="1864"/>
      <c r="L674" s="1065"/>
      <c r="M674" s="1930"/>
      <c r="N674" s="1889">
        <f t="shared" si="44"/>
        <v>0</v>
      </c>
      <c r="AM674" s="2977">
        <f>K674-'[2]Sheet 7 BS - 2019 &amp; 2018 -LI'!J49-'[2]Sheet 7 BS - 2019 &amp; 2018 -LI'!J45</f>
        <v>0</v>
      </c>
      <c r="AN674" s="2977">
        <f>L674-'[2]Sheet 7 BS - 2019 &amp; 2018 -LI'!K49-'[2]Sheet 7 BS - 2019 &amp; 2018 -LI'!K45</f>
        <v>0</v>
      </c>
      <c r="AO674" s="2977">
        <f>M674-'[2]Sheet 7 BS - 2019 &amp; 2018 -LI'!L49-'[2]Sheet 7 BS - 2019 &amp; 2018 -LI'!L45</f>
        <v>0</v>
      </c>
      <c r="AP674" s="2977">
        <f>N674-'[2]Sheet 7 BS - 2019 &amp; 2018 -LI'!M49-'[2]Sheet 7 BS - 2019 &amp; 2018 -LI'!M45</f>
        <v>0</v>
      </c>
    </row>
    <row r="675" spans="1:42" s="870" customFormat="1" ht="15" thickBot="1">
      <c r="A675" s="1135">
        <v>27</v>
      </c>
      <c r="B675" s="1136" t="s">
        <v>308</v>
      </c>
      <c r="C675" s="1135"/>
      <c r="D675" s="1173">
        <f t="shared" si="46"/>
        <v>7243304.6979600089</v>
      </c>
      <c r="E675" s="1041">
        <f t="shared" ref="E675:M675" si="48">SUM(E669:E674)</f>
        <v>-605247.50020999997</v>
      </c>
      <c r="F675" s="1041">
        <f t="shared" si="48"/>
        <v>151828.28357999999</v>
      </c>
      <c r="G675" s="1041">
        <f t="shared" si="48"/>
        <v>237884.35679999995</v>
      </c>
      <c r="H675" s="1045">
        <f t="shared" si="48"/>
        <v>4273036.7824035529</v>
      </c>
      <c r="I675" s="1073">
        <f t="shared" si="48"/>
        <v>3271580.9615099481</v>
      </c>
      <c r="J675" s="1176">
        <f t="shared" si="48"/>
        <v>7696723.9145900086</v>
      </c>
      <c r="K675" s="1041">
        <f t="shared" si="48"/>
        <v>0</v>
      </c>
      <c r="L675" s="1041">
        <f t="shared" si="48"/>
        <v>0</v>
      </c>
      <c r="M675" s="1041">
        <f t="shared" si="48"/>
        <v>0</v>
      </c>
      <c r="N675" s="1180">
        <f t="shared" si="44"/>
        <v>0</v>
      </c>
      <c r="O675"/>
      <c r="P675"/>
      <c r="Q675"/>
      <c r="R675"/>
      <c r="S675"/>
      <c r="T675"/>
      <c r="U675"/>
      <c r="V675"/>
      <c r="W675"/>
      <c r="X675"/>
      <c r="Y675"/>
      <c r="Z675"/>
      <c r="AA675"/>
      <c r="AB675"/>
      <c r="AC675"/>
      <c r="AD675"/>
      <c r="AE675"/>
      <c r="AF675"/>
      <c r="AG675"/>
      <c r="AH675"/>
      <c r="AI675"/>
      <c r="AJ675"/>
      <c r="AK675" s="2976"/>
      <c r="AL675" s="2976"/>
      <c r="AM675" s="2978">
        <f>K675-'[2]Sheet 7 BS - 2019 &amp; 2018 -LI'!J50</f>
        <v>0</v>
      </c>
      <c r="AN675" s="2978">
        <f>L675-'[2]Sheet 7 BS - 2019 &amp; 2018 -LI'!K50</f>
        <v>0</v>
      </c>
      <c r="AO675" s="2978">
        <f>M675-'[2]Sheet 7 BS - 2019 &amp; 2018 -LI'!L50</f>
        <v>0</v>
      </c>
      <c r="AP675" s="2978">
        <f>N675-'[2]Sheet 7 BS - 2019 &amp; 2018 -LI'!M50</f>
        <v>0</v>
      </c>
    </row>
    <row r="676" spans="1:42">
      <c r="A676" s="1133"/>
      <c r="B676" s="1134" t="s">
        <v>309</v>
      </c>
      <c r="C676" s="1133">
        <v>20</v>
      </c>
      <c r="D676" s="1172">
        <f t="shared" si="46"/>
        <v>0</v>
      </c>
      <c r="E676" s="1032"/>
      <c r="F676" s="1032"/>
      <c r="G676" s="1042"/>
      <c r="H676" s="1035"/>
      <c r="I676" s="1052"/>
      <c r="J676" s="1177">
        <f t="shared" ref="J676:J682" si="49">G676+H676+I676</f>
        <v>0</v>
      </c>
      <c r="K676" s="1032"/>
      <c r="L676" s="1033"/>
      <c r="M676" s="1052"/>
      <c r="N676" s="1177">
        <f t="shared" si="44"/>
        <v>0</v>
      </c>
      <c r="AM676" s="2977">
        <f>K676-'[2]Sheet 7 BS - 2019 &amp; 2018 -LI'!J51</f>
        <v>0</v>
      </c>
      <c r="AN676" s="2977">
        <f>L676-'[2]Sheet 7 BS - 2019 &amp; 2018 -LI'!K51</f>
        <v>0</v>
      </c>
      <c r="AO676" s="2977">
        <f>M676-'[2]Sheet 7 BS - 2019 &amp; 2018 -LI'!L51</f>
        <v>0</v>
      </c>
      <c r="AP676" s="2977">
        <f>N676-'[2]Sheet 7 BS - 2019 &amp; 2018 -LI'!M51</f>
        <v>0</v>
      </c>
    </row>
    <row r="677" spans="1:42">
      <c r="A677" s="1830">
        <v>28</v>
      </c>
      <c r="B677" s="1829" t="s">
        <v>310</v>
      </c>
      <c r="C677" s="1836"/>
      <c r="D677" s="1888">
        <f t="shared" si="46"/>
        <v>1350000</v>
      </c>
      <c r="E677" s="1863"/>
      <c r="F677" s="1863">
        <v>1350000</v>
      </c>
      <c r="G677" s="1864"/>
      <c r="H677" s="1872"/>
      <c r="I677" s="1897"/>
      <c r="J677" s="1889">
        <f t="shared" si="49"/>
        <v>0</v>
      </c>
      <c r="K677" s="1863"/>
      <c r="L677" s="1868"/>
      <c r="M677" s="1897"/>
      <c r="N677" s="1889">
        <f t="shared" si="44"/>
        <v>0</v>
      </c>
      <c r="AM677" s="2977">
        <f>K677-'[2]Sheet 7 BS - 2019 &amp; 2018 -LI'!J52</f>
        <v>0</v>
      </c>
      <c r="AN677" s="2977">
        <f>L677-'[2]Sheet 7 BS - 2019 &amp; 2018 -LI'!K52</f>
        <v>0</v>
      </c>
      <c r="AO677" s="2977">
        <f>M677-'[2]Sheet 7 BS - 2019 &amp; 2018 -LI'!L52</f>
        <v>0</v>
      </c>
      <c r="AP677" s="2977">
        <f>N677-'[2]Sheet 7 BS - 2019 &amp; 2018 -LI'!M52</f>
        <v>0</v>
      </c>
    </row>
    <row r="678" spans="1:42">
      <c r="A678" s="1830">
        <v>29</v>
      </c>
      <c r="B678" s="1829" t="s">
        <v>311</v>
      </c>
      <c r="C678" s="1836"/>
      <c r="D678" s="1888">
        <f t="shared" si="46"/>
        <v>-383984.9654899998</v>
      </c>
      <c r="E678" s="1863"/>
      <c r="F678" s="1032">
        <v>-383984.9654899998</v>
      </c>
      <c r="G678" s="1864"/>
      <c r="H678" s="1872"/>
      <c r="I678" s="1897"/>
      <c r="J678" s="1889">
        <f t="shared" si="49"/>
        <v>0</v>
      </c>
      <c r="K678" s="1863"/>
      <c r="L678" s="1868"/>
      <c r="M678" s="1897"/>
      <c r="N678" s="1889">
        <f t="shared" si="44"/>
        <v>0</v>
      </c>
      <c r="AM678" s="2977">
        <f>K678-'[2]Sheet 7 BS - 2019 &amp; 2018 -LI'!J53</f>
        <v>0</v>
      </c>
      <c r="AN678" s="2977">
        <f>L678-'[2]Sheet 7 BS - 2019 &amp; 2018 -LI'!K53</f>
        <v>0</v>
      </c>
      <c r="AO678" s="2977">
        <f>M678-'[2]Sheet 7 BS - 2019 &amp; 2018 -LI'!L53</f>
        <v>0</v>
      </c>
      <c r="AP678" s="2977">
        <f>N678-'[2]Sheet 7 BS - 2019 &amp; 2018 -LI'!M53</f>
        <v>0</v>
      </c>
    </row>
    <row r="679" spans="1:42">
      <c r="A679" s="1830">
        <v>30</v>
      </c>
      <c r="B679" s="1848" t="s">
        <v>312</v>
      </c>
      <c r="C679" s="1852"/>
      <c r="D679" s="1888">
        <f t="shared" si="46"/>
        <v>0</v>
      </c>
      <c r="E679" s="1863"/>
      <c r="F679" s="1036">
        <v>0</v>
      </c>
      <c r="G679" s="3116"/>
      <c r="H679" s="1885"/>
      <c r="I679" s="1923"/>
      <c r="J679" s="1889">
        <f t="shared" si="49"/>
        <v>0</v>
      </c>
      <c r="K679" s="1863"/>
      <c r="L679" s="1868"/>
      <c r="M679" s="1897"/>
      <c r="N679" s="1889">
        <f t="shared" si="44"/>
        <v>0</v>
      </c>
      <c r="AM679" s="2977">
        <f>K679-'[2]Sheet 7 BS - 2019 &amp; 2018 -LI'!J54</f>
        <v>0</v>
      </c>
      <c r="AN679" s="2977">
        <f>L679-'[2]Sheet 7 BS - 2019 &amp; 2018 -LI'!K54</f>
        <v>0</v>
      </c>
      <c r="AO679" s="2977">
        <f>M679-'[2]Sheet 7 BS - 2019 &amp; 2018 -LI'!L54</f>
        <v>0</v>
      </c>
      <c r="AP679" s="2977">
        <f>N679-'[2]Sheet 7 BS - 2019 &amp; 2018 -LI'!M54</f>
        <v>0</v>
      </c>
    </row>
    <row r="680" spans="1:42">
      <c r="A680" s="1830">
        <v>31</v>
      </c>
      <c r="B680" s="1848" t="s">
        <v>313</v>
      </c>
      <c r="C680" s="1852"/>
      <c r="D680" s="1888">
        <f t="shared" si="46"/>
        <v>256134.38</v>
      </c>
      <c r="E680" s="1863"/>
      <c r="F680" s="3114">
        <v>256134.38</v>
      </c>
      <c r="G680" s="3116"/>
      <c r="H680" s="1885"/>
      <c r="I680" s="1923"/>
      <c r="J680" s="1889">
        <f t="shared" si="49"/>
        <v>0</v>
      </c>
      <c r="K680" s="1863"/>
      <c r="L680" s="1868"/>
      <c r="M680" s="1897"/>
      <c r="N680" s="1889">
        <f t="shared" si="44"/>
        <v>0</v>
      </c>
      <c r="AM680" s="2977">
        <f>K680-'[2]Sheet 7 BS - 2019 &amp; 2018 -LI'!J55</f>
        <v>0</v>
      </c>
      <c r="AN680" s="2977">
        <f>L680-'[2]Sheet 7 BS - 2019 &amp; 2018 -LI'!K55</f>
        <v>0</v>
      </c>
      <c r="AO680" s="2977">
        <f>M680-'[2]Sheet 7 BS - 2019 &amp; 2018 -LI'!L55</f>
        <v>0</v>
      </c>
      <c r="AP680" s="2977">
        <f>N680-'[2]Sheet 7 BS - 2019 &amp; 2018 -LI'!M55</f>
        <v>0</v>
      </c>
    </row>
    <row r="681" spans="1:42" ht="15" thickBot="1">
      <c r="A681" s="1847">
        <v>32</v>
      </c>
      <c r="B681" s="1848" t="s">
        <v>314</v>
      </c>
      <c r="C681" s="1852"/>
      <c r="D681" s="1888">
        <f t="shared" si="46"/>
        <v>1868560.3037599998</v>
      </c>
      <c r="E681" s="1863"/>
      <c r="F681" s="3114">
        <v>1868560.3037599998</v>
      </c>
      <c r="G681" s="3116"/>
      <c r="H681" s="1885"/>
      <c r="I681" s="1072"/>
      <c r="J681" s="1889">
        <f t="shared" si="49"/>
        <v>0</v>
      </c>
      <c r="K681" s="1863"/>
      <c r="L681" s="1868"/>
      <c r="M681" s="1897"/>
      <c r="N681" s="1889">
        <f t="shared" si="44"/>
        <v>0</v>
      </c>
      <c r="AM681" s="2977">
        <f>K681-'[2]Sheet 7 BS - 2019 &amp; 2018 -LI'!J56</f>
        <v>0</v>
      </c>
      <c r="AN681" s="2977">
        <f>L681-'[2]Sheet 7 BS - 2019 &amp; 2018 -LI'!K56</f>
        <v>0</v>
      </c>
      <c r="AO681" s="2977">
        <f>M681-'[2]Sheet 7 BS - 2019 &amp; 2018 -LI'!L56</f>
        <v>0</v>
      </c>
      <c r="AP681" s="2977">
        <f>N681-'[2]Sheet 7 BS - 2019 &amp; 2018 -LI'!M56</f>
        <v>0</v>
      </c>
    </row>
    <row r="682" spans="1:42" s="870" customFormat="1" ht="15" thickBot="1">
      <c r="A682" s="1135">
        <v>33</v>
      </c>
      <c r="B682" s="1169" t="s">
        <v>315</v>
      </c>
      <c r="C682" s="1170"/>
      <c r="D682" s="1174">
        <f t="shared" si="46"/>
        <v>3090709.7182700001</v>
      </c>
      <c r="E682" s="1046">
        <f>SUM(E677:E681)</f>
        <v>0</v>
      </c>
      <c r="F682" s="1046">
        <f>SUM(F677:F681)</f>
        <v>3090709.7182700001</v>
      </c>
      <c r="G682" s="1046">
        <f>SUM(G677:G681)</f>
        <v>0</v>
      </c>
      <c r="H682" s="1046">
        <f>SUM(H677:H681)</f>
        <v>0</v>
      </c>
      <c r="I682" s="1074">
        <f>SUM(I677:I681)</f>
        <v>0</v>
      </c>
      <c r="J682" s="1178">
        <f t="shared" si="49"/>
        <v>0</v>
      </c>
      <c r="K682" s="1046">
        <f>SUM(K677:K681)</f>
        <v>0</v>
      </c>
      <c r="L682" s="1047">
        <f>SUM(L677:L681)</f>
        <v>0</v>
      </c>
      <c r="M682" s="1066">
        <f>SUM(M677:M681)</f>
        <v>0</v>
      </c>
      <c r="N682" s="1178">
        <f t="shared" si="44"/>
        <v>0</v>
      </c>
      <c r="O682"/>
      <c r="P682"/>
      <c r="Q682"/>
      <c r="R682"/>
      <c r="S682"/>
      <c r="T682"/>
      <c r="U682"/>
      <c r="V682"/>
      <c r="W682"/>
      <c r="X682"/>
      <c r="Y682"/>
      <c r="Z682"/>
      <c r="AA682"/>
      <c r="AB682"/>
      <c r="AC682"/>
      <c r="AD682"/>
      <c r="AE682"/>
      <c r="AF682"/>
      <c r="AG682"/>
      <c r="AH682"/>
      <c r="AI682"/>
      <c r="AJ682"/>
      <c r="AK682" s="2976"/>
      <c r="AL682" s="2976"/>
      <c r="AM682" s="2978">
        <f>K682-'[2]Sheet 7 BS - 2019 &amp; 2018 -LI'!J57</f>
        <v>0</v>
      </c>
      <c r="AN682" s="2978">
        <f>L682-'[2]Sheet 7 BS - 2019 &amp; 2018 -LI'!K57</f>
        <v>0</v>
      </c>
      <c r="AO682" s="2978">
        <f>M682-'[2]Sheet 7 BS - 2019 &amp; 2018 -LI'!L57</f>
        <v>0</v>
      </c>
      <c r="AP682" s="2978">
        <f>N682-'[2]Sheet 7 BS - 2019 &amp; 2018 -LI'!M57</f>
        <v>0</v>
      </c>
    </row>
    <row r="683" spans="1:42" s="870" customFormat="1" ht="27" thickBot="1">
      <c r="A683" s="1138">
        <v>34</v>
      </c>
      <c r="B683" s="1139" t="s">
        <v>317</v>
      </c>
      <c r="C683" s="1138"/>
      <c r="D683" s="1166">
        <f t="shared" si="46"/>
        <v>10334014.416230008</v>
      </c>
      <c r="E683" s="1166">
        <f t="shared" ref="E683:M683" si="50">E682+E675</f>
        <v>-605247.50020999997</v>
      </c>
      <c r="F683" s="1166">
        <f t="shared" si="50"/>
        <v>3242538.0018500001</v>
      </c>
      <c r="G683" s="1166">
        <f t="shared" si="50"/>
        <v>237884.35679999995</v>
      </c>
      <c r="H683" s="1166">
        <f t="shared" si="50"/>
        <v>4273036.7824035529</v>
      </c>
      <c r="I683" s="1166">
        <f t="shared" si="50"/>
        <v>3271580.9615099481</v>
      </c>
      <c r="J683" s="1166">
        <f t="shared" si="50"/>
        <v>7696723.9145900086</v>
      </c>
      <c r="K683" s="1166">
        <f t="shared" si="50"/>
        <v>0</v>
      </c>
      <c r="L683" s="1167">
        <f t="shared" si="50"/>
        <v>0</v>
      </c>
      <c r="M683" s="1206">
        <f t="shared" si="50"/>
        <v>0</v>
      </c>
      <c r="N683" s="1166">
        <f t="shared" si="44"/>
        <v>0</v>
      </c>
      <c r="O683"/>
      <c r="P683"/>
      <c r="Q683"/>
      <c r="R683"/>
      <c r="S683"/>
      <c r="T683"/>
      <c r="U683"/>
      <c r="V683"/>
      <c r="W683"/>
      <c r="X683"/>
      <c r="Y683"/>
      <c r="Z683"/>
      <c r="AA683"/>
      <c r="AB683"/>
      <c r="AC683"/>
      <c r="AD683"/>
      <c r="AE683"/>
      <c r="AF683"/>
      <c r="AG683"/>
      <c r="AH683"/>
      <c r="AI683"/>
      <c r="AJ683"/>
      <c r="AK683" s="2976"/>
      <c r="AL683" s="2976"/>
      <c r="AM683" s="2978">
        <f>K683-'[2]Sheet 7 BS - 2019 &amp; 2018 -LI'!J58</f>
        <v>0</v>
      </c>
      <c r="AN683" s="2978">
        <f>L683-'[2]Sheet 7 BS - 2019 &amp; 2018 -LI'!K58</f>
        <v>0</v>
      </c>
      <c r="AO683" s="2978">
        <f>M683-'[2]Sheet 7 BS - 2019 &amp; 2018 -LI'!L58</f>
        <v>0</v>
      </c>
      <c r="AP683" s="2978">
        <f>N683-'[2]Sheet 7 BS - 2019 &amp; 2018 -LI'!M58</f>
        <v>0</v>
      </c>
    </row>
    <row r="684" spans="1:42">
      <c r="B684"/>
      <c r="C684"/>
      <c r="D684"/>
      <c r="E684"/>
      <c r="F684"/>
      <c r="G684"/>
      <c r="H684"/>
      <c r="I684"/>
      <c r="J684"/>
      <c r="K684"/>
      <c r="L684"/>
      <c r="M684"/>
      <c r="N684"/>
    </row>
    <row r="685" spans="1:42">
      <c r="B685"/>
      <c r="C685"/>
      <c r="D685"/>
      <c r="E685"/>
      <c r="F685"/>
      <c r="G685"/>
      <c r="H685"/>
      <c r="I685"/>
      <c r="J685"/>
      <c r="K685"/>
      <c r="L685"/>
      <c r="M685"/>
      <c r="N685"/>
    </row>
    <row r="686" spans="1:42">
      <c r="B686"/>
      <c r="C686"/>
      <c r="D686"/>
      <c r="E686"/>
      <c r="F686"/>
      <c r="G686"/>
      <c r="H686"/>
      <c r="I686"/>
      <c r="J686"/>
      <c r="K686"/>
      <c r="L686"/>
      <c r="M686"/>
      <c r="N686"/>
    </row>
    <row r="687" spans="1:42">
      <c r="B687"/>
      <c r="C687"/>
      <c r="D687"/>
      <c r="E687"/>
      <c r="F687"/>
      <c r="G687"/>
      <c r="H687"/>
      <c r="I687"/>
      <c r="J687"/>
      <c r="K687"/>
      <c r="L687"/>
      <c r="M687"/>
      <c r="N687"/>
    </row>
    <row r="688" spans="1:42">
      <c r="D688"/>
    </row>
    <row r="689" spans="1:14" ht="15" thickBot="1"/>
    <row r="690" spans="1:14" ht="15" thickBot="1">
      <c r="A690" s="1153" t="s">
        <v>109</v>
      </c>
      <c r="B690" s="3303" t="s">
        <v>109</v>
      </c>
      <c r="C690" s="3304"/>
      <c r="D690" s="662"/>
      <c r="E690" s="662"/>
      <c r="F690" s="662"/>
      <c r="G690" s="662"/>
      <c r="H690" s="662"/>
      <c r="I690" s="662"/>
      <c r="J690" s="662"/>
      <c r="K690" s="662"/>
      <c r="L690" s="662"/>
      <c r="M690" s="3292"/>
      <c r="N690" s="3292" t="s">
        <v>257</v>
      </c>
    </row>
    <row r="691" spans="1:14" ht="13.5" customHeight="1" thickBot="1">
      <c r="A691" s="3293" t="s">
        <v>258</v>
      </c>
      <c r="B691" s="3298"/>
      <c r="C691" s="3280" t="s">
        <v>259</v>
      </c>
      <c r="D691" s="3283" t="s">
        <v>260</v>
      </c>
      <c r="E691" s="3283" t="s">
        <v>261</v>
      </c>
      <c r="F691" s="3283" t="s">
        <v>262</v>
      </c>
      <c r="G691" s="3286" t="s">
        <v>263</v>
      </c>
      <c r="H691" s="3287"/>
      <c r="I691" s="3287"/>
      <c r="J691" s="3287"/>
      <c r="K691" s="3287"/>
      <c r="L691" s="3287"/>
      <c r="M691" s="3287"/>
      <c r="N691" s="3288"/>
    </row>
    <row r="692" spans="1:14" ht="13.5" customHeight="1" thickBot="1">
      <c r="A692" s="3294"/>
      <c r="B692" s="3299"/>
      <c r="C692" s="3281"/>
      <c r="D692" s="3284"/>
      <c r="E692" s="3284"/>
      <c r="F692" s="3284"/>
      <c r="G692" s="3289" t="s">
        <v>264</v>
      </c>
      <c r="H692" s="3290"/>
      <c r="I692" s="3290"/>
      <c r="J692" s="3291"/>
      <c r="K692" s="3289" t="s">
        <v>265</v>
      </c>
      <c r="L692" s="3290"/>
      <c r="M692" s="3290"/>
      <c r="N692" s="3291"/>
    </row>
    <row r="693" spans="1:14" ht="40.15" thickBot="1">
      <c r="A693" s="3294"/>
      <c r="B693" s="3299"/>
      <c r="C693" s="3281"/>
      <c r="D693" s="3285"/>
      <c r="E693" s="3285"/>
      <c r="F693" s="3285"/>
      <c r="G693" s="1125" t="s">
        <v>267</v>
      </c>
      <c r="H693" s="1125" t="s">
        <v>268</v>
      </c>
      <c r="I693" s="1125" t="s">
        <v>269</v>
      </c>
      <c r="J693" s="1125" t="s">
        <v>160</v>
      </c>
      <c r="K693" s="1126" t="s">
        <v>270</v>
      </c>
      <c r="L693" s="1126" t="s">
        <v>271</v>
      </c>
      <c r="M693" s="1126" t="s">
        <v>272</v>
      </c>
      <c r="N693" s="2969" t="s">
        <v>160</v>
      </c>
    </row>
    <row r="694" spans="1:14" ht="15" thickBot="1">
      <c r="A694" s="3294"/>
      <c r="B694" s="3299"/>
      <c r="C694" s="3281"/>
      <c r="D694" s="1128">
        <v>1</v>
      </c>
      <c r="E694" s="3283">
        <v>2</v>
      </c>
      <c r="F694" s="3283">
        <v>3</v>
      </c>
      <c r="G694" s="3283">
        <v>4</v>
      </c>
      <c r="H694" s="3283">
        <v>5</v>
      </c>
      <c r="I694" s="3283">
        <v>6</v>
      </c>
      <c r="J694" s="2974">
        <v>7</v>
      </c>
      <c r="K694" s="3283">
        <v>8</v>
      </c>
      <c r="L694" s="3283">
        <v>9</v>
      </c>
      <c r="M694" s="3283">
        <v>10</v>
      </c>
      <c r="N694" s="1128">
        <v>11</v>
      </c>
    </row>
    <row r="695" spans="1:14" ht="15" thickBot="1">
      <c r="A695" s="3295"/>
      <c r="B695" s="3300"/>
      <c r="C695" s="3282"/>
      <c r="D695" s="1130"/>
      <c r="E695" s="3285"/>
      <c r="F695" s="3285"/>
      <c r="G695" s="3285"/>
      <c r="H695" s="3285"/>
      <c r="I695" s="3285"/>
      <c r="J695" s="1131" t="s">
        <v>273</v>
      </c>
      <c r="K695" s="3285"/>
      <c r="L695" s="3285"/>
      <c r="M695" s="3285"/>
      <c r="N695" s="1157" t="s">
        <v>274</v>
      </c>
    </row>
    <row r="696" spans="1:14">
      <c r="A696" s="1133"/>
      <c r="B696" s="1134" t="s">
        <v>275</v>
      </c>
      <c r="C696" s="1133"/>
      <c r="D696" s="1928"/>
      <c r="E696" s="1071"/>
      <c r="F696" s="1071"/>
      <c r="G696" s="1042"/>
      <c r="H696" s="1035"/>
      <c r="I696" s="1062"/>
      <c r="J696" s="1177"/>
      <c r="K696" s="1032"/>
      <c r="L696" s="1035"/>
      <c r="M696" s="1077"/>
      <c r="N696" s="1929"/>
    </row>
    <row r="697" spans="1:14">
      <c r="A697" s="1828">
        <v>1</v>
      </c>
      <c r="B697" s="1829" t="s">
        <v>276</v>
      </c>
      <c r="C697" s="1830"/>
      <c r="D697" s="1888">
        <f t="shared" ref="D697:D737" si="51">+E697+F697+J697+N697</f>
        <v>0</v>
      </c>
      <c r="E697" s="1863"/>
      <c r="F697" s="1863"/>
      <c r="G697" s="1864"/>
      <c r="H697" s="1872"/>
      <c r="I697" s="1897"/>
      <c r="J697" s="1889">
        <f t="shared" ref="J697:J737" si="52">G697+H697+I697</f>
        <v>0</v>
      </c>
      <c r="K697" s="1863"/>
      <c r="L697" s="1868"/>
      <c r="M697" s="1897"/>
      <c r="N697" s="1889">
        <f t="shared" ref="N697:N737" si="53">K697+L697+M697</f>
        <v>0</v>
      </c>
    </row>
    <row r="698" spans="1:14">
      <c r="A698" s="1828">
        <v>2</v>
      </c>
      <c r="B698" s="1829" t="s">
        <v>277</v>
      </c>
      <c r="C698" s="1830"/>
      <c r="D698" s="1888">
        <f t="shared" si="51"/>
        <v>0</v>
      </c>
      <c r="E698" s="1863"/>
      <c r="F698" s="1863"/>
      <c r="G698" s="1864"/>
      <c r="H698" s="1872"/>
      <c r="I698" s="1897"/>
      <c r="J698" s="1889">
        <f t="shared" si="52"/>
        <v>0</v>
      </c>
      <c r="K698" s="1863"/>
      <c r="L698" s="1868"/>
      <c r="M698" s="1897"/>
      <c r="N698" s="1889">
        <f t="shared" si="53"/>
        <v>0</v>
      </c>
    </row>
    <row r="699" spans="1:14">
      <c r="A699" s="1828">
        <v>3</v>
      </c>
      <c r="B699" s="1829" t="s">
        <v>278</v>
      </c>
      <c r="C699" s="1830"/>
      <c r="D699" s="1888">
        <f t="shared" si="51"/>
        <v>0</v>
      </c>
      <c r="E699" s="1863"/>
      <c r="F699" s="1032"/>
      <c r="G699" s="1864"/>
      <c r="H699" s="1872"/>
      <c r="I699" s="1897"/>
      <c r="J699" s="1889">
        <f t="shared" si="52"/>
        <v>0</v>
      </c>
      <c r="K699" s="1863"/>
      <c r="L699" s="1868"/>
      <c r="M699" s="1897"/>
      <c r="N699" s="1889">
        <f t="shared" si="53"/>
        <v>0</v>
      </c>
    </row>
    <row r="700" spans="1:14">
      <c r="A700" s="1828">
        <v>4</v>
      </c>
      <c r="B700" s="1829" t="s">
        <v>324</v>
      </c>
      <c r="C700" s="1830"/>
      <c r="D700" s="1888">
        <f t="shared" si="51"/>
        <v>0</v>
      </c>
      <c r="E700" s="1863"/>
      <c r="F700" s="1032"/>
      <c r="G700" s="1864"/>
      <c r="H700" s="1872"/>
      <c r="I700" s="1897"/>
      <c r="J700" s="1889">
        <f t="shared" si="52"/>
        <v>0</v>
      </c>
      <c r="K700" s="1863"/>
      <c r="L700" s="1868"/>
      <c r="M700" s="1897"/>
      <c r="N700" s="1889">
        <f t="shared" si="53"/>
        <v>0</v>
      </c>
    </row>
    <row r="701" spans="1:14">
      <c r="A701" s="1828">
        <v>5</v>
      </c>
      <c r="B701" s="1829" t="s">
        <v>280</v>
      </c>
      <c r="C701" s="1836">
        <v>5</v>
      </c>
      <c r="D701" s="1888">
        <f t="shared" si="51"/>
        <v>74.069160000000039</v>
      </c>
      <c r="E701" s="1863"/>
      <c r="F701" s="1032">
        <v>74.069160000000039</v>
      </c>
      <c r="G701" s="1042"/>
      <c r="H701" s="1872"/>
      <c r="I701" s="1897"/>
      <c r="J701" s="1889">
        <f t="shared" si="52"/>
        <v>0</v>
      </c>
      <c r="K701" s="1863"/>
      <c r="L701" s="1868"/>
      <c r="M701" s="1897"/>
      <c r="N701" s="1889">
        <f t="shared" si="53"/>
        <v>0</v>
      </c>
    </row>
    <row r="702" spans="1:14">
      <c r="A702" s="1828">
        <v>6</v>
      </c>
      <c r="B702" s="1829" t="s">
        <v>281</v>
      </c>
      <c r="C702" s="1830">
        <v>6</v>
      </c>
      <c r="D702" s="1888">
        <f t="shared" si="51"/>
        <v>0</v>
      </c>
      <c r="E702" s="1863"/>
      <c r="F702" s="1032"/>
      <c r="G702" s="1042"/>
      <c r="H702" s="1872"/>
      <c r="I702" s="1897"/>
      <c r="J702" s="1889">
        <f t="shared" si="52"/>
        <v>0</v>
      </c>
      <c r="K702" s="1863"/>
      <c r="L702" s="1868"/>
      <c r="M702" s="1897"/>
      <c r="N702" s="1889">
        <f t="shared" si="53"/>
        <v>0</v>
      </c>
    </row>
    <row r="703" spans="1:14">
      <c r="A703" s="1828">
        <v>7</v>
      </c>
      <c r="B703" s="1829" t="s">
        <v>282</v>
      </c>
      <c r="C703" s="1836">
        <v>7</v>
      </c>
      <c r="D703" s="1888">
        <f t="shared" si="51"/>
        <v>0</v>
      </c>
      <c r="E703" s="1863"/>
      <c r="F703" s="1032">
        <f>F704+F705</f>
        <v>0</v>
      </c>
      <c r="G703" s="1032">
        <f>G704+G705</f>
        <v>0</v>
      </c>
      <c r="H703" s="1868">
        <f>H704+H705</f>
        <v>0</v>
      </c>
      <c r="I703" s="1897">
        <f>I704+I705</f>
        <v>0</v>
      </c>
      <c r="J703" s="1889">
        <f t="shared" si="52"/>
        <v>0</v>
      </c>
      <c r="K703" s="1863">
        <f>K704+K705</f>
        <v>0</v>
      </c>
      <c r="L703" s="1868">
        <f>L704+L705</f>
        <v>0</v>
      </c>
      <c r="M703" s="1897">
        <f>M704+M705</f>
        <v>0</v>
      </c>
      <c r="N703" s="1889">
        <f t="shared" si="53"/>
        <v>0</v>
      </c>
    </row>
    <row r="704" spans="1:14">
      <c r="A704" s="1830"/>
      <c r="B704" s="1837" t="s">
        <v>283</v>
      </c>
      <c r="C704" s="1836"/>
      <c r="D704" s="1888">
        <f t="shared" si="51"/>
        <v>0</v>
      </c>
      <c r="E704" s="1863"/>
      <c r="F704" s="1863"/>
      <c r="G704" s="1863"/>
      <c r="H704" s="1868"/>
      <c r="I704" s="1897"/>
      <c r="J704" s="1889">
        <f t="shared" si="52"/>
        <v>0</v>
      </c>
      <c r="K704" s="1863"/>
      <c r="L704" s="1868"/>
      <c r="M704" s="1897"/>
      <c r="N704" s="1889">
        <f t="shared" si="53"/>
        <v>0</v>
      </c>
    </row>
    <row r="705" spans="1:14">
      <c r="A705" s="1830"/>
      <c r="B705" s="1837" t="s">
        <v>284</v>
      </c>
      <c r="C705" s="1836"/>
      <c r="D705" s="1888">
        <f t="shared" si="51"/>
        <v>0</v>
      </c>
      <c r="E705" s="1863"/>
      <c r="F705" s="1863"/>
      <c r="G705" s="1864"/>
      <c r="H705" s="1872"/>
      <c r="I705" s="1897"/>
      <c r="J705" s="1889">
        <f t="shared" si="52"/>
        <v>0</v>
      </c>
      <c r="K705" s="1863"/>
      <c r="L705" s="1868"/>
      <c r="M705" s="1897"/>
      <c r="N705" s="1889">
        <f t="shared" si="53"/>
        <v>0</v>
      </c>
    </row>
    <row r="706" spans="1:14">
      <c r="A706" s="1828">
        <v>8</v>
      </c>
      <c r="B706" s="1829" t="s">
        <v>285</v>
      </c>
      <c r="C706" s="1830">
        <v>8</v>
      </c>
      <c r="D706" s="1888">
        <f t="shared" si="51"/>
        <v>0</v>
      </c>
      <c r="E706" s="1863"/>
      <c r="F706" s="1032">
        <f>F707+F708</f>
        <v>0</v>
      </c>
      <c r="G706" s="1032">
        <f>G707+G708</f>
        <v>0</v>
      </c>
      <c r="H706" s="1868">
        <f>H707+H708</f>
        <v>0</v>
      </c>
      <c r="I706" s="1897">
        <f>I707+I708</f>
        <v>0</v>
      </c>
      <c r="J706" s="1889">
        <f t="shared" si="52"/>
        <v>0</v>
      </c>
      <c r="K706" s="1863">
        <f>K707+K708</f>
        <v>0</v>
      </c>
      <c r="L706" s="1868">
        <f>L707+L708</f>
        <v>0</v>
      </c>
      <c r="M706" s="1897">
        <f>M707+M708</f>
        <v>0</v>
      </c>
      <c r="N706" s="1889">
        <f t="shared" si="53"/>
        <v>0</v>
      </c>
    </row>
    <row r="707" spans="1:14">
      <c r="A707" s="1828"/>
      <c r="B707" s="1837" t="s">
        <v>286</v>
      </c>
      <c r="C707" s="1830"/>
      <c r="D707" s="1888">
        <f t="shared" si="51"/>
        <v>0</v>
      </c>
      <c r="E707" s="1863"/>
      <c r="F707" s="1863"/>
      <c r="G707" s="1863"/>
      <c r="H707" s="1868"/>
      <c r="I707" s="1897"/>
      <c r="J707" s="1889">
        <f t="shared" si="52"/>
        <v>0</v>
      </c>
      <c r="K707" s="1863"/>
      <c r="L707" s="1868"/>
      <c r="M707" s="1897"/>
      <c r="N707" s="1889">
        <f t="shared" si="53"/>
        <v>0</v>
      </c>
    </row>
    <row r="708" spans="1:14">
      <c r="A708" s="1828"/>
      <c r="B708" s="1837" t="s">
        <v>287</v>
      </c>
      <c r="C708" s="1830"/>
      <c r="D708" s="1888">
        <f t="shared" si="51"/>
        <v>0</v>
      </c>
      <c r="E708" s="1863"/>
      <c r="F708" s="1863"/>
      <c r="G708" s="1864"/>
      <c r="H708" s="1872"/>
      <c r="I708" s="1897"/>
      <c r="J708" s="1889">
        <f t="shared" si="52"/>
        <v>0</v>
      </c>
      <c r="K708" s="1863"/>
      <c r="L708" s="1868"/>
      <c r="M708" s="1897"/>
      <c r="N708" s="1889">
        <f t="shared" si="53"/>
        <v>0</v>
      </c>
    </row>
    <row r="709" spans="1:14" ht="26.45">
      <c r="A709" s="1838">
        <v>9</v>
      </c>
      <c r="B709" s="1839" t="s">
        <v>288</v>
      </c>
      <c r="C709" s="1840"/>
      <c r="D709" s="1905">
        <f t="shared" si="51"/>
        <v>1000652.7325299999</v>
      </c>
      <c r="E709" s="1906">
        <f>SUM(E710:E713)</f>
        <v>0</v>
      </c>
      <c r="F709" s="1906">
        <f>SUM(F710:F713)</f>
        <v>594418.02604000003</v>
      </c>
      <c r="G709" s="1906">
        <f>SUM(G710:G713)</f>
        <v>37151.678590000003</v>
      </c>
      <c r="H709" s="1879">
        <f>SUM(H710:H713)</f>
        <v>369083.02789999993</v>
      </c>
      <c r="I709" s="1925">
        <f>SUM(I710:I713)</f>
        <v>0</v>
      </c>
      <c r="J709" s="1908">
        <f t="shared" si="52"/>
        <v>406234.70648999995</v>
      </c>
      <c r="K709" s="1906">
        <f>SUM(K710:K713)</f>
        <v>0</v>
      </c>
      <c r="L709" s="1879">
        <f>SUM(L710:L713)</f>
        <v>0</v>
      </c>
      <c r="M709" s="1925">
        <f>SUM(M710:M713)</f>
        <v>0</v>
      </c>
      <c r="N709" s="1908">
        <f t="shared" si="53"/>
        <v>0</v>
      </c>
    </row>
    <row r="710" spans="1:14">
      <c r="A710" s="1830">
        <v>10</v>
      </c>
      <c r="B710" s="1846" t="s">
        <v>289</v>
      </c>
      <c r="C710" s="1830">
        <v>9</v>
      </c>
      <c r="D710" s="1888">
        <f t="shared" si="51"/>
        <v>709432.73359999992</v>
      </c>
      <c r="E710" s="1863"/>
      <c r="F710" s="1863">
        <v>390932.2781</v>
      </c>
      <c r="G710" s="1864">
        <v>37151.678590000003</v>
      </c>
      <c r="H710" s="1872">
        <v>281348.77690999996</v>
      </c>
      <c r="I710" s="1897"/>
      <c r="J710" s="1889">
        <f t="shared" si="52"/>
        <v>318500.45549999998</v>
      </c>
      <c r="K710" s="1864"/>
      <c r="L710" s="1913"/>
      <c r="M710" s="1866"/>
      <c r="N710" s="1889">
        <f t="shared" si="53"/>
        <v>0</v>
      </c>
    </row>
    <row r="711" spans="1:14">
      <c r="A711" s="1830">
        <v>11</v>
      </c>
      <c r="B711" s="1846" t="s">
        <v>290</v>
      </c>
      <c r="C711" s="1830">
        <v>10</v>
      </c>
      <c r="D711" s="1888">
        <f t="shared" si="51"/>
        <v>237669.25170000002</v>
      </c>
      <c r="E711" s="1863"/>
      <c r="F711" s="1032">
        <v>203485.74794</v>
      </c>
      <c r="G711" s="1042">
        <v>0</v>
      </c>
      <c r="H711" s="1043">
        <v>34183.503760000007</v>
      </c>
      <c r="I711" s="1053"/>
      <c r="J711" s="1889">
        <f t="shared" si="52"/>
        <v>34183.503760000007</v>
      </c>
      <c r="K711" s="1864"/>
      <c r="L711" s="1865"/>
      <c r="M711" s="1044"/>
      <c r="N711" s="1889">
        <f t="shared" si="53"/>
        <v>0</v>
      </c>
    </row>
    <row r="712" spans="1:14">
      <c r="A712" s="1830">
        <v>12</v>
      </c>
      <c r="B712" s="1846" t="s">
        <v>291</v>
      </c>
      <c r="C712" s="1830">
        <v>11</v>
      </c>
      <c r="D712" s="1888">
        <f t="shared" si="51"/>
        <v>53550.747229999994</v>
      </c>
      <c r="E712" s="1863"/>
      <c r="F712" s="1032">
        <v>0</v>
      </c>
      <c r="G712" s="1042">
        <v>0</v>
      </c>
      <c r="H712" s="1043">
        <v>53550.747229999994</v>
      </c>
      <c r="I712" s="1053"/>
      <c r="J712" s="1889">
        <f t="shared" si="52"/>
        <v>53550.747229999994</v>
      </c>
      <c r="K712" s="1864"/>
      <c r="L712" s="1865"/>
      <c r="M712" s="1044"/>
      <c r="N712" s="1889">
        <f t="shared" si="53"/>
        <v>0</v>
      </c>
    </row>
    <row r="713" spans="1:14" ht="26.45">
      <c r="A713" s="1830">
        <v>13</v>
      </c>
      <c r="B713" s="1846" t="s">
        <v>292</v>
      </c>
      <c r="C713" s="1830">
        <v>12</v>
      </c>
      <c r="D713" s="1888">
        <f t="shared" si="51"/>
        <v>0</v>
      </c>
      <c r="E713" s="1863"/>
      <c r="F713" s="1032"/>
      <c r="G713" s="1042"/>
      <c r="H713" s="1043"/>
      <c r="I713" s="1053"/>
      <c r="J713" s="1889">
        <f t="shared" si="52"/>
        <v>0</v>
      </c>
      <c r="K713" s="1864"/>
      <c r="L713" s="1865"/>
      <c r="M713" s="1044"/>
      <c r="N713" s="1889">
        <f t="shared" si="53"/>
        <v>0</v>
      </c>
    </row>
    <row r="714" spans="1:14">
      <c r="A714" s="1830">
        <v>14</v>
      </c>
      <c r="B714" s="1829" t="s">
        <v>293</v>
      </c>
      <c r="C714" s="1830">
        <v>13</v>
      </c>
      <c r="D714" s="1888">
        <f t="shared" si="51"/>
        <v>2978.4459100000004</v>
      </c>
      <c r="E714" s="1863">
        <v>0</v>
      </c>
      <c r="F714" s="1863"/>
      <c r="G714" s="1864">
        <v>0</v>
      </c>
      <c r="H714" s="1872">
        <v>2978.4459100000004</v>
      </c>
      <c r="I714" s="1897"/>
      <c r="J714" s="1889">
        <f t="shared" si="52"/>
        <v>2978.4459100000004</v>
      </c>
      <c r="K714" s="1864"/>
      <c r="L714" s="1913"/>
      <c r="M714" s="1911"/>
      <c r="N714" s="1889">
        <f t="shared" si="53"/>
        <v>0</v>
      </c>
    </row>
    <row r="715" spans="1:14">
      <c r="A715" s="1830">
        <v>15</v>
      </c>
      <c r="B715" s="1829" t="s">
        <v>294</v>
      </c>
      <c r="C715" s="1836">
        <v>14</v>
      </c>
      <c r="D715" s="1888">
        <f t="shared" si="51"/>
        <v>4966.6695399999999</v>
      </c>
      <c r="E715" s="1863"/>
      <c r="F715" s="1032"/>
      <c r="G715" s="1042">
        <v>0</v>
      </c>
      <c r="H715" s="1035">
        <v>4966.6695399999999</v>
      </c>
      <c r="I715" s="1897"/>
      <c r="J715" s="1889">
        <f t="shared" si="52"/>
        <v>4966.6695399999999</v>
      </c>
      <c r="K715" s="1864"/>
      <c r="L715" s="1913"/>
      <c r="M715" s="1911"/>
      <c r="N715" s="1889">
        <f t="shared" si="53"/>
        <v>0</v>
      </c>
    </row>
    <row r="716" spans="1:14">
      <c r="A716" s="1830">
        <v>16</v>
      </c>
      <c r="B716" s="1829" t="s">
        <v>295</v>
      </c>
      <c r="C716" s="1830">
        <v>15</v>
      </c>
      <c r="D716" s="1888">
        <f t="shared" si="51"/>
        <v>1709.6690000000003</v>
      </c>
      <c r="E716" s="1863">
        <v>0</v>
      </c>
      <c r="F716" s="1032"/>
      <c r="G716" s="1042">
        <v>84.5560997510226</v>
      </c>
      <c r="H716" s="1035">
        <v>1625.1129002489777</v>
      </c>
      <c r="I716" s="1897"/>
      <c r="J716" s="1889">
        <f t="shared" si="52"/>
        <v>1709.6690000000003</v>
      </c>
      <c r="K716" s="1864"/>
      <c r="L716" s="1913"/>
      <c r="M716" s="1911"/>
      <c r="N716" s="1889">
        <f t="shared" si="53"/>
        <v>0</v>
      </c>
    </row>
    <row r="717" spans="1:14">
      <c r="A717" s="1830">
        <v>17</v>
      </c>
      <c r="B717" s="1829" t="s">
        <v>296</v>
      </c>
      <c r="C717" s="1836">
        <v>16</v>
      </c>
      <c r="D717" s="1888">
        <f t="shared" si="51"/>
        <v>5123.23218000011</v>
      </c>
      <c r="E717" s="1863"/>
      <c r="F717" s="1032"/>
      <c r="G717" s="1042">
        <v>-13568.727309397467</v>
      </c>
      <c r="H717" s="1043">
        <v>18691.959489397577</v>
      </c>
      <c r="I717" s="1911"/>
      <c r="J717" s="1889">
        <f t="shared" si="52"/>
        <v>5123.23218000011</v>
      </c>
      <c r="K717" s="1864"/>
      <c r="L717" s="1865"/>
      <c r="M717" s="1866"/>
      <c r="N717" s="1889">
        <f t="shared" si="53"/>
        <v>0</v>
      </c>
    </row>
    <row r="718" spans="1:14">
      <c r="A718" s="1830">
        <v>18</v>
      </c>
      <c r="B718" s="1829" t="s">
        <v>297</v>
      </c>
      <c r="C718" s="1830"/>
      <c r="D718" s="1888">
        <f t="shared" si="51"/>
        <v>0</v>
      </c>
      <c r="E718" s="1863">
        <v>0</v>
      </c>
      <c r="F718" s="1032"/>
      <c r="G718" s="1042"/>
      <c r="H718" s="1035"/>
      <c r="I718" s="1897"/>
      <c r="J718" s="1889">
        <f t="shared" si="52"/>
        <v>0</v>
      </c>
      <c r="K718" s="1864"/>
      <c r="L718" s="1913"/>
      <c r="M718" s="1911"/>
      <c r="N718" s="1889">
        <f t="shared" si="53"/>
        <v>0</v>
      </c>
    </row>
    <row r="719" spans="1:14" ht="15" thickBot="1">
      <c r="A719" s="1847">
        <v>19</v>
      </c>
      <c r="B719" s="1848" t="s">
        <v>298</v>
      </c>
      <c r="C719" s="1847"/>
      <c r="D719" s="3117">
        <f t="shared" si="51"/>
        <v>6880.9843299999993</v>
      </c>
      <c r="E719" s="3114">
        <v>0</v>
      </c>
      <c r="F719" s="1036"/>
      <c r="G719" s="1060">
        <v>340.31686682784988</v>
      </c>
      <c r="H719" s="1058">
        <v>6540.6674631721498</v>
      </c>
      <c r="I719" s="1923"/>
      <c r="J719" s="3118">
        <f t="shared" si="52"/>
        <v>6880.9843299999993</v>
      </c>
      <c r="K719" s="3116"/>
      <c r="L719" s="1917"/>
      <c r="M719" s="1922"/>
      <c r="N719" s="3118">
        <f t="shared" si="53"/>
        <v>0</v>
      </c>
    </row>
    <row r="720" spans="1:14" ht="27" thickBot="1">
      <c r="A720" s="1138">
        <v>20</v>
      </c>
      <c r="B720" s="1139" t="s">
        <v>299</v>
      </c>
      <c r="C720" s="1138"/>
      <c r="D720" s="1163">
        <f t="shared" si="51"/>
        <v>1022385.80265</v>
      </c>
      <c r="E720" s="1163">
        <f>SUM(E697:E703)+E706+E709+SUM(E714:E719)</f>
        <v>0</v>
      </c>
      <c r="F720" s="1163">
        <f>SUM(F697:F703)+F706+F709+SUM(F714:F719)</f>
        <v>594492.09519999998</v>
      </c>
      <c r="G720" s="1163">
        <f>SUM(G697:G703)+G706+G709+SUM(G714:G719)</f>
        <v>24007.824247181408</v>
      </c>
      <c r="H720" s="1164">
        <f>SUM(H697:H703)+H706+H709+SUM(H714:H719)</f>
        <v>403885.88320281863</v>
      </c>
      <c r="I720" s="1193">
        <f>SUM(I697:I703)+I706+I709+SUM(I714:I719)</f>
        <v>0</v>
      </c>
      <c r="J720" s="1163">
        <f t="shared" si="52"/>
        <v>427893.70745000005</v>
      </c>
      <c r="K720" s="1163">
        <f>SUM(K697:K703)+K706+K709+SUM(K714:K719)</f>
        <v>0</v>
      </c>
      <c r="L720" s="1164">
        <f>SUM(L697:L703)+L706+L709+SUM(L714:L719)</f>
        <v>0</v>
      </c>
      <c r="M720" s="1193">
        <f>SUM(M697:M703)+M706+M709+SUM(M714:M719)</f>
        <v>0</v>
      </c>
      <c r="N720" s="1163">
        <f t="shared" si="53"/>
        <v>0</v>
      </c>
    </row>
    <row r="721" spans="1:14">
      <c r="A721" s="1133"/>
      <c r="B721" s="1134" t="s">
        <v>300</v>
      </c>
      <c r="C721" s="1133"/>
      <c r="D721" s="1172">
        <f t="shared" si="51"/>
        <v>0</v>
      </c>
      <c r="E721" s="1032"/>
      <c r="F721" s="1032"/>
      <c r="G721" s="1042"/>
      <c r="H721" s="1035"/>
      <c r="I721" s="1052"/>
      <c r="J721" s="1177">
        <f t="shared" si="52"/>
        <v>0</v>
      </c>
      <c r="K721" s="1042"/>
      <c r="L721" s="1054"/>
      <c r="M721" s="1053"/>
      <c r="N721" s="1177">
        <f t="shared" si="53"/>
        <v>0</v>
      </c>
    </row>
    <row r="722" spans="1:14">
      <c r="A722" s="1830"/>
      <c r="B722" s="1850" t="s">
        <v>301</v>
      </c>
      <c r="C722" s="1830"/>
      <c r="D722" s="1888">
        <f t="shared" si="51"/>
        <v>0</v>
      </c>
      <c r="E722" s="1863"/>
      <c r="F722" s="1863"/>
      <c r="G722" s="1864"/>
      <c r="H722" s="1872"/>
      <c r="I722" s="1897"/>
      <c r="J722" s="1889">
        <f t="shared" si="52"/>
        <v>0</v>
      </c>
      <c r="K722" s="1864"/>
      <c r="L722" s="1913"/>
      <c r="M722" s="1911"/>
      <c r="N722" s="1889">
        <f t="shared" si="53"/>
        <v>0</v>
      </c>
    </row>
    <row r="723" spans="1:14">
      <c r="A723" s="1830">
        <v>21</v>
      </c>
      <c r="B723" s="1829" t="s">
        <v>302</v>
      </c>
      <c r="C723" s="1836">
        <v>17</v>
      </c>
      <c r="D723" s="1888">
        <f t="shared" si="51"/>
        <v>349971.35892999999</v>
      </c>
      <c r="E723" s="1863"/>
      <c r="F723" s="1863"/>
      <c r="G723" s="1864">
        <v>15949.380326677399</v>
      </c>
      <c r="H723" s="1872">
        <v>334021.97860332258</v>
      </c>
      <c r="I723" s="1897"/>
      <c r="J723" s="1889">
        <f t="shared" si="52"/>
        <v>349971.35892999999</v>
      </c>
      <c r="K723" s="1864"/>
      <c r="L723" s="1913"/>
      <c r="M723" s="1866"/>
      <c r="N723" s="1889">
        <f t="shared" si="53"/>
        <v>0</v>
      </c>
    </row>
    <row r="724" spans="1:14">
      <c r="A724" s="1830">
        <v>22</v>
      </c>
      <c r="B724" s="1829" t="s">
        <v>303</v>
      </c>
      <c r="C724" s="1830"/>
      <c r="D724" s="1888">
        <f t="shared" si="51"/>
        <v>1231.0125599999999</v>
      </c>
      <c r="E724" s="1863"/>
      <c r="F724" s="1863"/>
      <c r="G724" s="1042">
        <v>60.882908222656951</v>
      </c>
      <c r="H724" s="1035">
        <v>1170.129651777343</v>
      </c>
      <c r="I724" s="1897"/>
      <c r="J724" s="1889">
        <f t="shared" si="52"/>
        <v>1231.0125599999999</v>
      </c>
      <c r="K724" s="1864"/>
      <c r="L724" s="1913"/>
      <c r="M724" s="1911"/>
      <c r="N724" s="1889">
        <f t="shared" si="53"/>
        <v>0</v>
      </c>
    </row>
    <row r="725" spans="1:14">
      <c r="A725" s="1830">
        <v>23</v>
      </c>
      <c r="B725" s="1829" t="s">
        <v>304</v>
      </c>
      <c r="C725" s="1830">
        <v>18</v>
      </c>
      <c r="D725" s="1888">
        <f t="shared" si="51"/>
        <v>12119.964470000001</v>
      </c>
      <c r="E725" s="1863"/>
      <c r="F725" s="1863"/>
      <c r="G725" s="1042">
        <v>149.80104</v>
      </c>
      <c r="H725" s="1035">
        <v>11970.163430000001</v>
      </c>
      <c r="I725" s="1897"/>
      <c r="J725" s="1889">
        <f t="shared" si="52"/>
        <v>12119.964470000001</v>
      </c>
      <c r="K725" s="1864"/>
      <c r="L725" s="1913"/>
      <c r="M725" s="1911"/>
      <c r="N725" s="1889">
        <f t="shared" si="53"/>
        <v>0</v>
      </c>
    </row>
    <row r="726" spans="1:14">
      <c r="A726" s="1830">
        <v>24</v>
      </c>
      <c r="B726" s="1829" t="s">
        <v>305</v>
      </c>
      <c r="C726" s="1830"/>
      <c r="D726" s="1888">
        <f t="shared" si="51"/>
        <v>0</v>
      </c>
      <c r="E726" s="1863"/>
      <c r="F726" s="3114"/>
      <c r="G726" s="1060"/>
      <c r="H726" s="1058"/>
      <c r="I726" s="1897"/>
      <c r="J726" s="1889">
        <f t="shared" si="52"/>
        <v>0</v>
      </c>
      <c r="K726" s="1864"/>
      <c r="L726" s="1913"/>
      <c r="M726" s="1911"/>
      <c r="N726" s="1889">
        <f t="shared" si="53"/>
        <v>0</v>
      </c>
    </row>
    <row r="727" spans="1:14">
      <c r="A727" s="1830">
        <v>25</v>
      </c>
      <c r="B727" s="1851" t="s">
        <v>306</v>
      </c>
      <c r="C727" s="1830"/>
      <c r="D727" s="1888">
        <f t="shared" si="51"/>
        <v>0</v>
      </c>
      <c r="E727" s="1863"/>
      <c r="F727" s="1075"/>
      <c r="G727" s="1078"/>
      <c r="H727" s="1079"/>
      <c r="I727" s="1923"/>
      <c r="J727" s="1889">
        <f t="shared" si="52"/>
        <v>0</v>
      </c>
      <c r="K727" s="1864"/>
      <c r="L727" s="1913"/>
      <c r="M727" s="1911"/>
      <c r="N727" s="1889">
        <f t="shared" si="53"/>
        <v>0</v>
      </c>
    </row>
    <row r="728" spans="1:14" ht="15" thickBot="1">
      <c r="A728" s="1847">
        <v>26</v>
      </c>
      <c r="B728" s="1848" t="s">
        <v>307</v>
      </c>
      <c r="C728" s="1852">
        <v>19</v>
      </c>
      <c r="D728" s="1888">
        <f t="shared" si="51"/>
        <v>69303.172370000117</v>
      </c>
      <c r="E728" s="1863"/>
      <c r="F728" s="1080">
        <v>4731.8008800001071</v>
      </c>
      <c r="G728" s="1081">
        <v>7847.7557311789078</v>
      </c>
      <c r="H728" s="1082">
        <v>56723.615758821099</v>
      </c>
      <c r="I728" s="1076"/>
      <c r="J728" s="1889">
        <f t="shared" si="52"/>
        <v>64571.371490000005</v>
      </c>
      <c r="K728" s="1864"/>
      <c r="L728" s="1065"/>
      <c r="M728" s="1930"/>
      <c r="N728" s="1889">
        <f t="shared" si="53"/>
        <v>0</v>
      </c>
    </row>
    <row r="729" spans="1:14" ht="15" thickBot="1">
      <c r="A729" s="1135">
        <v>27</v>
      </c>
      <c r="B729" s="1136" t="s">
        <v>308</v>
      </c>
      <c r="C729" s="1135"/>
      <c r="D729" s="1173">
        <f t="shared" si="51"/>
        <v>432625.5083300001</v>
      </c>
      <c r="E729" s="1041">
        <f>SUM(E723:E728)</f>
        <v>0</v>
      </c>
      <c r="F729" s="1041">
        <f>SUM(F723:F728)</f>
        <v>4731.8008800001071</v>
      </c>
      <c r="G729" s="1041">
        <f>SUM(G723:G728)</f>
        <v>24007.820006078964</v>
      </c>
      <c r="H729" s="1045">
        <f>SUM(H723:H728)</f>
        <v>403885.887443921</v>
      </c>
      <c r="I729" s="1073">
        <f>SUM(I723:I728)</f>
        <v>0</v>
      </c>
      <c r="J729" s="1176">
        <f t="shared" si="52"/>
        <v>427893.70744999999</v>
      </c>
      <c r="K729" s="1041">
        <f>SUM(K723:K728)</f>
        <v>0</v>
      </c>
      <c r="L729" s="1041">
        <f>SUM(L723:L728)</f>
        <v>0</v>
      </c>
      <c r="M729" s="1041">
        <f>SUM(M723:M728)</f>
        <v>0</v>
      </c>
      <c r="N729" s="1180">
        <f t="shared" si="53"/>
        <v>0</v>
      </c>
    </row>
    <row r="730" spans="1:14">
      <c r="A730" s="1133"/>
      <c r="B730" s="1134" t="s">
        <v>309</v>
      </c>
      <c r="C730" s="1133">
        <v>20</v>
      </c>
      <c r="D730" s="1172">
        <f t="shared" si="51"/>
        <v>0</v>
      </c>
      <c r="E730" s="1032"/>
      <c r="F730" s="1032"/>
      <c r="G730" s="1042"/>
      <c r="H730" s="1035"/>
      <c r="I730" s="1052"/>
      <c r="J730" s="1177">
        <f t="shared" si="52"/>
        <v>0</v>
      </c>
      <c r="K730" s="1032"/>
      <c r="L730" s="1033"/>
      <c r="M730" s="1052"/>
      <c r="N730" s="1177">
        <f t="shared" si="53"/>
        <v>0</v>
      </c>
    </row>
    <row r="731" spans="1:14">
      <c r="A731" s="1830">
        <v>28</v>
      </c>
      <c r="B731" s="1829" t="s">
        <v>310</v>
      </c>
      <c r="C731" s="1836"/>
      <c r="D731" s="1888">
        <f t="shared" si="51"/>
        <v>400000</v>
      </c>
      <c r="E731" s="1863"/>
      <c r="F731" s="1863">
        <v>400000</v>
      </c>
      <c r="G731" s="1864"/>
      <c r="H731" s="1872"/>
      <c r="I731" s="1897"/>
      <c r="J731" s="1889">
        <f t="shared" si="52"/>
        <v>0</v>
      </c>
      <c r="K731" s="1863"/>
      <c r="L731" s="1868"/>
      <c r="M731" s="1897"/>
      <c r="N731" s="1889">
        <f t="shared" si="53"/>
        <v>0</v>
      </c>
    </row>
    <row r="732" spans="1:14">
      <c r="A732" s="1830">
        <v>29</v>
      </c>
      <c r="B732" s="1829" t="s">
        <v>311</v>
      </c>
      <c r="C732" s="1836"/>
      <c r="D732" s="1888">
        <f t="shared" si="51"/>
        <v>0</v>
      </c>
      <c r="E732" s="1863"/>
      <c r="F732" s="1032"/>
      <c r="G732" s="1864"/>
      <c r="H732" s="1872"/>
      <c r="I732" s="1897"/>
      <c r="J732" s="1889">
        <f t="shared" si="52"/>
        <v>0</v>
      </c>
      <c r="K732" s="1863"/>
      <c r="L732" s="1868"/>
      <c r="M732" s="1897"/>
      <c r="N732" s="1889">
        <f t="shared" si="53"/>
        <v>0</v>
      </c>
    </row>
    <row r="733" spans="1:14">
      <c r="A733" s="1830">
        <v>30</v>
      </c>
      <c r="B733" s="1848" t="s">
        <v>312</v>
      </c>
      <c r="C733" s="1852"/>
      <c r="D733" s="1888">
        <f t="shared" si="51"/>
        <v>0</v>
      </c>
      <c r="E733" s="1863"/>
      <c r="F733" s="1036"/>
      <c r="G733" s="3116"/>
      <c r="H733" s="1885"/>
      <c r="I733" s="1923"/>
      <c r="J733" s="1889">
        <f t="shared" si="52"/>
        <v>0</v>
      </c>
      <c r="K733" s="1863"/>
      <c r="L733" s="1868"/>
      <c r="M733" s="1897"/>
      <c r="N733" s="1889">
        <f t="shared" si="53"/>
        <v>0</v>
      </c>
    </row>
    <row r="734" spans="1:14">
      <c r="A734" s="1830">
        <v>31</v>
      </c>
      <c r="B734" s="1848" t="s">
        <v>313</v>
      </c>
      <c r="C734" s="1852"/>
      <c r="D734" s="1888">
        <f t="shared" si="51"/>
        <v>0</v>
      </c>
      <c r="E734" s="1863"/>
      <c r="F734" s="3114"/>
      <c r="G734" s="3116"/>
      <c r="H734" s="1885"/>
      <c r="I734" s="1923"/>
      <c r="J734" s="1889">
        <f t="shared" si="52"/>
        <v>0</v>
      </c>
      <c r="K734" s="1863"/>
      <c r="L734" s="1868"/>
      <c r="M734" s="1897"/>
      <c r="N734" s="1889">
        <f t="shared" si="53"/>
        <v>0</v>
      </c>
    </row>
    <row r="735" spans="1:14" ht="15" thickBot="1">
      <c r="A735" s="1847">
        <v>32</v>
      </c>
      <c r="B735" s="1848" t="s">
        <v>314</v>
      </c>
      <c r="C735" s="1852"/>
      <c r="D735" s="1888">
        <f t="shared" si="51"/>
        <v>189760.29431999999</v>
      </c>
      <c r="E735" s="1863"/>
      <c r="F735" s="3114">
        <v>189760.29431999999</v>
      </c>
      <c r="G735" s="3116"/>
      <c r="H735" s="1885"/>
      <c r="I735" s="1072"/>
      <c r="J735" s="1889">
        <f t="shared" si="52"/>
        <v>0</v>
      </c>
      <c r="K735" s="1863"/>
      <c r="L735" s="1868"/>
      <c r="M735" s="1897"/>
      <c r="N735" s="1889">
        <f t="shared" si="53"/>
        <v>0</v>
      </c>
    </row>
    <row r="736" spans="1:14" ht="15" thickBot="1">
      <c r="A736" s="1135">
        <v>33</v>
      </c>
      <c r="B736" s="1169" t="s">
        <v>315</v>
      </c>
      <c r="C736" s="1170"/>
      <c r="D736" s="1174">
        <f t="shared" si="51"/>
        <v>589760.29431999999</v>
      </c>
      <c r="E736" s="1046">
        <f>SUM(E731:E735)</f>
        <v>0</v>
      </c>
      <c r="F736" s="1046">
        <f>SUM(F731:F735)</f>
        <v>589760.29431999999</v>
      </c>
      <c r="G736" s="1046">
        <f>SUM(G731:G735)</f>
        <v>0</v>
      </c>
      <c r="H736" s="1046">
        <f>SUM(H731:H735)</f>
        <v>0</v>
      </c>
      <c r="I736" s="1074">
        <f>SUM(I731:I735)</f>
        <v>0</v>
      </c>
      <c r="J736" s="1178">
        <f t="shared" si="52"/>
        <v>0</v>
      </c>
      <c r="K736" s="1046">
        <f>SUM(K731:K735)</f>
        <v>0</v>
      </c>
      <c r="L736" s="1047">
        <f>SUM(L731:L735)</f>
        <v>0</v>
      </c>
      <c r="M736" s="1066">
        <f>SUM(M731:M735)</f>
        <v>0</v>
      </c>
      <c r="N736" s="1178">
        <f t="shared" si="53"/>
        <v>0</v>
      </c>
    </row>
    <row r="737" spans="1:14" ht="27" thickBot="1">
      <c r="A737" s="1138">
        <v>34</v>
      </c>
      <c r="B737" s="1139" t="s">
        <v>317</v>
      </c>
      <c r="C737" s="1138"/>
      <c r="D737" s="1166">
        <f t="shared" si="51"/>
        <v>1022385.8026500001</v>
      </c>
      <c r="E737" s="1166">
        <f>E736+E729</f>
        <v>0</v>
      </c>
      <c r="F737" s="1166">
        <f>F736+F729</f>
        <v>594492.0952000001</v>
      </c>
      <c r="G737" s="1166">
        <f>G736+G729</f>
        <v>24007.820006078964</v>
      </c>
      <c r="H737" s="1166">
        <f>H736+H729</f>
        <v>403885.887443921</v>
      </c>
      <c r="I737" s="1166">
        <f>I736+I729</f>
        <v>0</v>
      </c>
      <c r="J737" s="1166">
        <f t="shared" si="52"/>
        <v>427893.70744999999</v>
      </c>
      <c r="K737" s="1166">
        <f>K736+K729</f>
        <v>0</v>
      </c>
      <c r="L737" s="1167">
        <f>L736+L729</f>
        <v>0</v>
      </c>
      <c r="M737" s="1206">
        <f>M736+M729</f>
        <v>0</v>
      </c>
      <c r="N737" s="1166">
        <f t="shared" si="53"/>
        <v>0</v>
      </c>
    </row>
    <row r="738" spans="1:14">
      <c r="B738"/>
      <c r="C738"/>
      <c r="D738"/>
      <c r="E738"/>
      <c r="F738"/>
      <c r="G738"/>
      <c r="H738"/>
      <c r="I738"/>
      <c r="J738"/>
      <c r="K738"/>
      <c r="L738"/>
      <c r="M738"/>
      <c r="N738"/>
    </row>
    <row r="739" spans="1:14">
      <c r="B739"/>
      <c r="C739"/>
      <c r="D739"/>
      <c r="E739"/>
      <c r="F739"/>
      <c r="G739"/>
      <c r="H739"/>
      <c r="I739"/>
      <c r="J739"/>
      <c r="K739"/>
      <c r="L739"/>
      <c r="M739"/>
      <c r="N739"/>
    </row>
    <row r="740" spans="1:14">
      <c r="B740"/>
      <c r="C740"/>
      <c r="D740"/>
      <c r="E740"/>
      <c r="F740"/>
      <c r="G740"/>
      <c r="H740"/>
      <c r="I740"/>
      <c r="J740"/>
      <c r="K740"/>
      <c r="L740"/>
      <c r="M740"/>
      <c r="N740"/>
    </row>
    <row r="741" spans="1:14">
      <c r="B741"/>
      <c r="C741"/>
      <c r="D741"/>
      <c r="E741"/>
      <c r="F741"/>
      <c r="G741"/>
      <c r="H741"/>
      <c r="I741"/>
      <c r="J741"/>
      <c r="K741"/>
      <c r="L741"/>
      <c r="M741"/>
      <c r="N741"/>
    </row>
    <row r="743" spans="1:14" ht="15" thickBot="1"/>
    <row r="744" spans="1:14" ht="15" thickBot="1">
      <c r="A744" s="1153" t="s">
        <v>196</v>
      </c>
      <c r="B744" s="3303" t="s">
        <v>135</v>
      </c>
      <c r="C744" s="3304"/>
      <c r="D744" s="662"/>
      <c r="E744" s="662"/>
      <c r="F744" s="662"/>
      <c r="G744" s="662"/>
      <c r="H744" s="662"/>
      <c r="I744" s="662"/>
      <c r="J744" s="662"/>
      <c r="K744" s="662"/>
      <c r="L744" s="662"/>
      <c r="M744" s="3292"/>
      <c r="N744" s="3292" t="s">
        <v>257</v>
      </c>
    </row>
    <row r="745" spans="1:14" ht="13.5" customHeight="1" thickBot="1">
      <c r="A745" s="3293" t="s">
        <v>258</v>
      </c>
      <c r="B745" s="3298"/>
      <c r="C745" s="3280" t="s">
        <v>259</v>
      </c>
      <c r="D745" s="3283" t="s">
        <v>260</v>
      </c>
      <c r="E745" s="3283" t="s">
        <v>261</v>
      </c>
      <c r="F745" s="3283" t="s">
        <v>262</v>
      </c>
      <c r="G745" s="3286" t="s">
        <v>263</v>
      </c>
      <c r="H745" s="3287"/>
      <c r="I745" s="3287"/>
      <c r="J745" s="3287"/>
      <c r="K745" s="3287"/>
      <c r="L745" s="3287"/>
      <c r="M745" s="3287"/>
      <c r="N745" s="3288"/>
    </row>
    <row r="746" spans="1:14" ht="13.5" customHeight="1" thickBot="1">
      <c r="A746" s="3294"/>
      <c r="B746" s="3299"/>
      <c r="C746" s="3281"/>
      <c r="D746" s="3284"/>
      <c r="E746" s="3284"/>
      <c r="F746" s="3284"/>
      <c r="G746" s="3289" t="s">
        <v>264</v>
      </c>
      <c r="H746" s="3290"/>
      <c r="I746" s="3290"/>
      <c r="J746" s="3291"/>
      <c r="K746" s="3289" t="s">
        <v>265</v>
      </c>
      <c r="L746" s="3290"/>
      <c r="M746" s="3290"/>
      <c r="N746" s="3291"/>
    </row>
    <row r="747" spans="1:14" ht="40.15" thickBot="1">
      <c r="A747" s="3294"/>
      <c r="B747" s="3299"/>
      <c r="C747" s="3281"/>
      <c r="D747" s="3285"/>
      <c r="E747" s="3285"/>
      <c r="F747" s="3285"/>
      <c r="G747" s="1125" t="s">
        <v>267</v>
      </c>
      <c r="H747" s="1125" t="s">
        <v>268</v>
      </c>
      <c r="I747" s="1125" t="s">
        <v>269</v>
      </c>
      <c r="J747" s="1125" t="s">
        <v>160</v>
      </c>
      <c r="K747" s="1126" t="s">
        <v>270</v>
      </c>
      <c r="L747" s="1126" t="s">
        <v>271</v>
      </c>
      <c r="M747" s="1126" t="s">
        <v>272</v>
      </c>
      <c r="N747" s="2969" t="s">
        <v>160</v>
      </c>
    </row>
    <row r="748" spans="1:14" ht="15" thickBot="1">
      <c r="A748" s="3294"/>
      <c r="B748" s="3299"/>
      <c r="C748" s="3281"/>
      <c r="D748" s="1128">
        <v>1</v>
      </c>
      <c r="E748" s="3283">
        <v>2</v>
      </c>
      <c r="F748" s="3283">
        <v>3</v>
      </c>
      <c r="G748" s="3283">
        <v>4</v>
      </c>
      <c r="H748" s="3283">
        <v>5</v>
      </c>
      <c r="I748" s="3283">
        <v>6</v>
      </c>
      <c r="J748" s="2974">
        <v>7</v>
      </c>
      <c r="K748" s="3283">
        <v>8</v>
      </c>
      <c r="L748" s="3283">
        <v>9</v>
      </c>
      <c r="M748" s="3283">
        <v>10</v>
      </c>
      <c r="N748" s="1128">
        <v>11</v>
      </c>
    </row>
    <row r="749" spans="1:14" ht="15" thickBot="1">
      <c r="A749" s="3295"/>
      <c r="B749" s="3300"/>
      <c r="C749" s="3282"/>
      <c r="D749" s="1130"/>
      <c r="E749" s="3285"/>
      <c r="F749" s="3285"/>
      <c r="G749" s="3285"/>
      <c r="H749" s="3285"/>
      <c r="I749" s="3285"/>
      <c r="J749" s="1131" t="s">
        <v>273</v>
      </c>
      <c r="K749" s="3285"/>
      <c r="L749" s="3285"/>
      <c r="M749" s="3285"/>
      <c r="N749" s="1157" t="s">
        <v>274</v>
      </c>
    </row>
    <row r="750" spans="1:14">
      <c r="A750" s="1133"/>
      <c r="B750" s="1134" t="s">
        <v>275</v>
      </c>
      <c r="C750" s="1133"/>
      <c r="D750" s="1928"/>
      <c r="E750" s="1071"/>
      <c r="F750" s="1071"/>
      <c r="G750" s="1042"/>
      <c r="H750" s="1035"/>
      <c r="I750" s="1062"/>
      <c r="J750" s="1177"/>
      <c r="K750" s="1032"/>
      <c r="L750" s="1035"/>
      <c r="M750" s="1077"/>
      <c r="N750" s="1929"/>
    </row>
    <row r="751" spans="1:14">
      <c r="A751" s="1828">
        <v>1</v>
      </c>
      <c r="B751" s="1829" t="s">
        <v>276</v>
      </c>
      <c r="C751" s="1830"/>
      <c r="D751" s="1888">
        <f t="shared" ref="D751:D791" si="54">+E751+F751+J751+N751</f>
        <v>0</v>
      </c>
      <c r="E751" s="1863"/>
      <c r="F751" s="1863"/>
      <c r="G751" s="1864"/>
      <c r="H751" s="1872"/>
      <c r="I751" s="1897"/>
      <c r="J751" s="1889">
        <f t="shared" ref="J751:J791" si="55">G751+H751+I751</f>
        <v>0</v>
      </c>
      <c r="K751" s="1863"/>
      <c r="L751" s="1868"/>
      <c r="M751" s="1897"/>
      <c r="N751" s="1889">
        <f t="shared" ref="N751:N791" si="56">K751+L751+M751</f>
        <v>0</v>
      </c>
    </row>
    <row r="752" spans="1:14">
      <c r="A752" s="1828">
        <v>2</v>
      </c>
      <c r="B752" s="1829" t="s">
        <v>277</v>
      </c>
      <c r="C752" s="1830"/>
      <c r="D752" s="1888">
        <f t="shared" si="54"/>
        <v>36365.240299999998</v>
      </c>
      <c r="E752" s="1863"/>
      <c r="F752" s="1863">
        <v>36365.240299999998</v>
      </c>
      <c r="G752" s="1864">
        <v>0</v>
      </c>
      <c r="H752" s="1872">
        <v>0</v>
      </c>
      <c r="I752" s="1897">
        <v>0</v>
      </c>
      <c r="J752" s="1889">
        <f t="shared" si="55"/>
        <v>0</v>
      </c>
      <c r="K752" s="1863"/>
      <c r="L752" s="1868"/>
      <c r="M752" s="1897"/>
      <c r="N752" s="1889">
        <f t="shared" si="56"/>
        <v>0</v>
      </c>
    </row>
    <row r="753" spans="1:14">
      <c r="A753" s="1828">
        <v>3</v>
      </c>
      <c r="B753" s="1829" t="s">
        <v>278</v>
      </c>
      <c r="C753" s="1830"/>
      <c r="D753" s="1888">
        <f t="shared" si="54"/>
        <v>0</v>
      </c>
      <c r="E753" s="1863"/>
      <c r="F753" s="1032"/>
      <c r="G753" s="1864"/>
      <c r="H753" s="1872"/>
      <c r="I753" s="1897"/>
      <c r="J753" s="1889">
        <f t="shared" si="55"/>
        <v>0</v>
      </c>
      <c r="K753" s="1863"/>
      <c r="L753" s="1868"/>
      <c r="M753" s="1897"/>
      <c r="N753" s="1889">
        <f t="shared" si="56"/>
        <v>0</v>
      </c>
    </row>
    <row r="754" spans="1:14">
      <c r="A754" s="1828">
        <v>4</v>
      </c>
      <c r="B754" s="1829" t="s">
        <v>324</v>
      </c>
      <c r="C754" s="1830"/>
      <c r="D754" s="1888">
        <f t="shared" si="54"/>
        <v>96675.04578</v>
      </c>
      <c r="E754" s="1863"/>
      <c r="F754" s="1032">
        <v>96675.04578</v>
      </c>
      <c r="G754" s="1864">
        <v>0</v>
      </c>
      <c r="H754" s="1872">
        <v>0</v>
      </c>
      <c r="I754" s="1897">
        <v>0</v>
      </c>
      <c r="J754" s="1889">
        <f t="shared" si="55"/>
        <v>0</v>
      </c>
      <c r="K754" s="1863"/>
      <c r="L754" s="1868"/>
      <c r="M754" s="1897"/>
      <c r="N754" s="1889">
        <f t="shared" si="56"/>
        <v>0</v>
      </c>
    </row>
    <row r="755" spans="1:14">
      <c r="A755" s="1828">
        <v>5</v>
      </c>
      <c r="B755" s="1829" t="s">
        <v>280</v>
      </c>
      <c r="C755" s="1836">
        <v>5</v>
      </c>
      <c r="D755" s="1888">
        <f t="shared" si="54"/>
        <v>132208.25925999996</v>
      </c>
      <c r="E755" s="1863"/>
      <c r="F755" s="1032">
        <v>132208.25925999996</v>
      </c>
      <c r="G755" s="1042">
        <v>0</v>
      </c>
      <c r="H755" s="1872">
        <v>0</v>
      </c>
      <c r="I755" s="1897">
        <v>0</v>
      </c>
      <c r="J755" s="1889">
        <f t="shared" si="55"/>
        <v>0</v>
      </c>
      <c r="K755" s="1863"/>
      <c r="L755" s="1868"/>
      <c r="M755" s="1897"/>
      <c r="N755" s="1889">
        <f t="shared" si="56"/>
        <v>0</v>
      </c>
    </row>
    <row r="756" spans="1:14">
      <c r="A756" s="1828">
        <v>6</v>
      </c>
      <c r="B756" s="1829" t="s">
        <v>281</v>
      </c>
      <c r="C756" s="1830">
        <v>6</v>
      </c>
      <c r="D756" s="1888">
        <f t="shared" si="54"/>
        <v>85799.999799999991</v>
      </c>
      <c r="E756" s="1863"/>
      <c r="F756" s="1032">
        <v>26399.999799999998</v>
      </c>
      <c r="G756" s="1042">
        <v>0</v>
      </c>
      <c r="H756" s="1872">
        <v>59400</v>
      </c>
      <c r="I756" s="1897">
        <v>0</v>
      </c>
      <c r="J756" s="1889">
        <f t="shared" si="55"/>
        <v>59400</v>
      </c>
      <c r="K756" s="1863"/>
      <c r="L756" s="1868"/>
      <c r="M756" s="1897"/>
      <c r="N756" s="1889">
        <f t="shared" si="56"/>
        <v>0</v>
      </c>
    </row>
    <row r="757" spans="1:14">
      <c r="A757" s="1828">
        <v>7</v>
      </c>
      <c r="B757" s="1829" t="s">
        <v>282</v>
      </c>
      <c r="C757" s="1836">
        <v>7</v>
      </c>
      <c r="D757" s="1888">
        <f t="shared" si="54"/>
        <v>312140.59100000001</v>
      </c>
      <c r="E757" s="1863">
        <f>SUM(E758:E759)</f>
        <v>0</v>
      </c>
      <c r="F757" s="1032">
        <f>SUM(F758:F759)</f>
        <v>312140.59100000001</v>
      </c>
      <c r="G757" s="1032">
        <f>SUM(G758:G759)</f>
        <v>0</v>
      </c>
      <c r="H757" s="1868">
        <f>SUM(H758:H759)</f>
        <v>0</v>
      </c>
      <c r="I757" s="1897">
        <f>SUM(I758:I759)</f>
        <v>0</v>
      </c>
      <c r="J757" s="1889">
        <f>G757+H757+I757</f>
        <v>0</v>
      </c>
      <c r="K757" s="1863">
        <f>K758+K759</f>
        <v>0</v>
      </c>
      <c r="L757" s="1868">
        <f>L758+L759</f>
        <v>0</v>
      </c>
      <c r="M757" s="1897">
        <f>M758+M759</f>
        <v>0</v>
      </c>
      <c r="N757" s="1889">
        <f t="shared" si="56"/>
        <v>0</v>
      </c>
    </row>
    <row r="758" spans="1:14">
      <c r="A758" s="1830"/>
      <c r="B758" s="1837" t="s">
        <v>283</v>
      </c>
      <c r="C758" s="1836"/>
      <c r="D758" s="1888">
        <f t="shared" si="54"/>
        <v>306140.59100000001</v>
      </c>
      <c r="E758" s="1863"/>
      <c r="F758" s="1863">
        <v>306140.59100000001</v>
      </c>
      <c r="G758" s="1863">
        <v>0</v>
      </c>
      <c r="H758" s="1868">
        <v>0</v>
      </c>
      <c r="I758" s="1897">
        <v>0</v>
      </c>
      <c r="J758" s="1889">
        <f t="shared" si="55"/>
        <v>0</v>
      </c>
      <c r="K758" s="1863"/>
      <c r="L758" s="1868"/>
      <c r="M758" s="1897"/>
      <c r="N758" s="1889">
        <f t="shared" si="56"/>
        <v>0</v>
      </c>
    </row>
    <row r="759" spans="1:14">
      <c r="A759" s="1830"/>
      <c r="B759" s="1837" t="s">
        <v>284</v>
      </c>
      <c r="C759" s="1836"/>
      <c r="D759" s="1888">
        <f t="shared" si="54"/>
        <v>6000</v>
      </c>
      <c r="E759" s="1863"/>
      <c r="F759" s="1863">
        <v>6000</v>
      </c>
      <c r="G759" s="1864">
        <v>0</v>
      </c>
      <c r="H759" s="1872">
        <v>0</v>
      </c>
      <c r="I759" s="1897">
        <v>0</v>
      </c>
      <c r="J759" s="1889">
        <f t="shared" si="55"/>
        <v>0</v>
      </c>
      <c r="K759" s="1863"/>
      <c r="L759" s="1868"/>
      <c r="M759" s="1897"/>
      <c r="N759" s="1889">
        <f t="shared" si="56"/>
        <v>0</v>
      </c>
    </row>
    <row r="760" spans="1:14">
      <c r="A760" s="1828">
        <v>8</v>
      </c>
      <c r="B760" s="1829" t="s">
        <v>285</v>
      </c>
      <c r="C760" s="1830">
        <v>8</v>
      </c>
      <c r="D760" s="1888">
        <f t="shared" si="54"/>
        <v>400</v>
      </c>
      <c r="E760" s="1863">
        <f>SUM(E761:E762)</f>
        <v>0</v>
      </c>
      <c r="F760" s="1032">
        <f>SUM(F761:F762)</f>
        <v>400</v>
      </c>
      <c r="G760" s="1032">
        <f>SUM(G761:G762)</f>
        <v>0</v>
      </c>
      <c r="H760" s="1868">
        <f>SUM(H761:H762)</f>
        <v>0</v>
      </c>
      <c r="I760" s="1897">
        <f>SUM(I761:I762)</f>
        <v>0</v>
      </c>
      <c r="J760" s="1889">
        <f t="shared" si="55"/>
        <v>0</v>
      </c>
      <c r="K760" s="1863">
        <f>K761+K762</f>
        <v>0</v>
      </c>
      <c r="L760" s="1868">
        <f>L761+L762</f>
        <v>0</v>
      </c>
      <c r="M760" s="1897">
        <f>M761+M762</f>
        <v>0</v>
      </c>
      <c r="N760" s="1889">
        <f t="shared" si="56"/>
        <v>0</v>
      </c>
    </row>
    <row r="761" spans="1:14">
      <c r="A761" s="1828"/>
      <c r="B761" s="1837" t="s">
        <v>286</v>
      </c>
      <c r="C761" s="1830"/>
      <c r="D761" s="1888">
        <f t="shared" si="54"/>
        <v>0</v>
      </c>
      <c r="E761" s="1863"/>
      <c r="F761" s="1863"/>
      <c r="G761" s="1863"/>
      <c r="H761" s="1868"/>
      <c r="I761" s="1897"/>
      <c r="J761" s="1889">
        <f t="shared" si="55"/>
        <v>0</v>
      </c>
      <c r="K761" s="1863"/>
      <c r="L761" s="1868"/>
      <c r="M761" s="1897"/>
      <c r="N761" s="1889">
        <f t="shared" si="56"/>
        <v>0</v>
      </c>
    </row>
    <row r="762" spans="1:14">
      <c r="A762" s="1828"/>
      <c r="B762" s="1837" t="s">
        <v>287</v>
      </c>
      <c r="C762" s="1830"/>
      <c r="D762" s="1888">
        <f t="shared" si="54"/>
        <v>400</v>
      </c>
      <c r="E762" s="1863"/>
      <c r="F762" s="1863">
        <v>400</v>
      </c>
      <c r="G762" s="1864"/>
      <c r="H762" s="1872"/>
      <c r="I762" s="1897"/>
      <c r="J762" s="1889">
        <f t="shared" si="55"/>
        <v>0</v>
      </c>
      <c r="K762" s="1863"/>
      <c r="L762" s="1868"/>
      <c r="M762" s="1897"/>
      <c r="N762" s="1889">
        <f t="shared" si="56"/>
        <v>0</v>
      </c>
    </row>
    <row r="763" spans="1:14" ht="26.45">
      <c r="A763" s="1838">
        <v>9</v>
      </c>
      <c r="B763" s="1839" t="s">
        <v>288</v>
      </c>
      <c r="C763" s="1840"/>
      <c r="D763" s="1905">
        <f t="shared" si="54"/>
        <v>1883635.0520869344</v>
      </c>
      <c r="E763" s="1906">
        <f>SUM(E764:E767)</f>
        <v>0</v>
      </c>
      <c r="F763" s="1906">
        <f>SUM(F764:F767)</f>
        <v>383038.38579680608</v>
      </c>
      <c r="G763" s="1906">
        <f>SUM(G764:G767)</f>
        <v>76972.988003532359</v>
      </c>
      <c r="H763" s="1879">
        <f>SUM(H764:H767)</f>
        <v>1340475.022578954</v>
      </c>
      <c r="I763" s="1925">
        <f>SUM(I764:I767)</f>
        <v>83148.655707641956</v>
      </c>
      <c r="J763" s="1908">
        <f t="shared" si="55"/>
        <v>1500596.6662901284</v>
      </c>
      <c r="K763" s="1906">
        <f>SUM(K764:K767)</f>
        <v>0</v>
      </c>
      <c r="L763" s="1879">
        <f>SUM(L764:L767)</f>
        <v>0</v>
      </c>
      <c r="M763" s="1925">
        <f>SUM(M764:M767)</f>
        <v>0</v>
      </c>
      <c r="N763" s="1908">
        <f t="shared" si="56"/>
        <v>0</v>
      </c>
    </row>
    <row r="764" spans="1:14">
      <c r="A764" s="1830">
        <v>10</v>
      </c>
      <c r="B764" s="1846" t="s">
        <v>289</v>
      </c>
      <c r="C764" s="1830">
        <v>9</v>
      </c>
      <c r="D764" s="1888">
        <f t="shared" si="54"/>
        <v>0</v>
      </c>
      <c r="E764" s="1863"/>
      <c r="F764" s="1863">
        <v>0</v>
      </c>
      <c r="G764" s="1864">
        <v>0</v>
      </c>
      <c r="H764" s="1872">
        <v>0</v>
      </c>
      <c r="I764" s="1897">
        <v>0</v>
      </c>
      <c r="J764" s="1889">
        <f t="shared" si="55"/>
        <v>0</v>
      </c>
      <c r="K764" s="1864"/>
      <c r="L764" s="1913"/>
      <c r="M764" s="1866"/>
      <c r="N764" s="1889">
        <f t="shared" si="56"/>
        <v>0</v>
      </c>
    </row>
    <row r="765" spans="1:14">
      <c r="A765" s="1830">
        <v>11</v>
      </c>
      <c r="B765" s="1846" t="s">
        <v>290</v>
      </c>
      <c r="C765" s="1830">
        <v>10</v>
      </c>
      <c r="D765" s="1888">
        <f t="shared" si="54"/>
        <v>1617206.5357676805</v>
      </c>
      <c r="E765" s="1863"/>
      <c r="F765" s="1032">
        <v>221062.12409680604</v>
      </c>
      <c r="G765" s="1042">
        <v>76972.988003532359</v>
      </c>
      <c r="H765" s="1043">
        <v>1236022.7679597</v>
      </c>
      <c r="I765" s="1053">
        <v>83148.655707641956</v>
      </c>
      <c r="J765" s="1889">
        <f t="shared" si="55"/>
        <v>1396144.4116708743</v>
      </c>
      <c r="K765" s="1864"/>
      <c r="L765" s="1865"/>
      <c r="M765" s="1044"/>
      <c r="N765" s="1889">
        <f t="shared" si="56"/>
        <v>0</v>
      </c>
    </row>
    <row r="766" spans="1:14">
      <c r="A766" s="1830">
        <v>12</v>
      </c>
      <c r="B766" s="1846" t="s">
        <v>291</v>
      </c>
      <c r="C766" s="1830">
        <v>11</v>
      </c>
      <c r="D766" s="1888">
        <f t="shared" si="54"/>
        <v>6381.1809999999996</v>
      </c>
      <c r="E766" s="1863"/>
      <c r="F766" s="1032">
        <v>6381.1809999999996</v>
      </c>
      <c r="G766" s="1042">
        <v>0</v>
      </c>
      <c r="H766" s="1043">
        <v>0</v>
      </c>
      <c r="I766" s="1053">
        <v>0</v>
      </c>
      <c r="J766" s="1889">
        <f t="shared" si="55"/>
        <v>0</v>
      </c>
      <c r="K766" s="1864"/>
      <c r="L766" s="1865"/>
      <c r="M766" s="1044"/>
      <c r="N766" s="1889">
        <f t="shared" si="56"/>
        <v>0</v>
      </c>
    </row>
    <row r="767" spans="1:14" ht="26.45">
      <c r="A767" s="1830">
        <v>13</v>
      </c>
      <c r="B767" s="1846" t="s">
        <v>292</v>
      </c>
      <c r="C767" s="1830">
        <v>12</v>
      </c>
      <c r="D767" s="1888">
        <f t="shared" si="54"/>
        <v>260047.33531925402</v>
      </c>
      <c r="E767" s="1863"/>
      <c r="F767" s="1032">
        <v>155595.08070000002</v>
      </c>
      <c r="G767" s="1042">
        <v>0</v>
      </c>
      <c r="H767" s="1043">
        <v>104452.25461925399</v>
      </c>
      <c r="I767" s="1053">
        <v>0</v>
      </c>
      <c r="J767" s="1889">
        <f t="shared" si="55"/>
        <v>104452.25461925399</v>
      </c>
      <c r="K767" s="1864"/>
      <c r="L767" s="1865"/>
      <c r="M767" s="1044"/>
      <c r="N767" s="1889">
        <f t="shared" si="56"/>
        <v>0</v>
      </c>
    </row>
    <row r="768" spans="1:14">
      <c r="A768" s="1830">
        <v>14</v>
      </c>
      <c r="B768" s="1829" t="s">
        <v>293</v>
      </c>
      <c r="C768" s="1830">
        <v>13</v>
      </c>
      <c r="D768" s="1888">
        <f t="shared" si="54"/>
        <v>228783.23788999999</v>
      </c>
      <c r="E768" s="1863"/>
      <c r="F768" s="1863">
        <v>7.0000022649765019E-5</v>
      </c>
      <c r="G768" s="1864">
        <v>796.08528999999999</v>
      </c>
      <c r="H768" s="1872">
        <v>196025.46299999999</v>
      </c>
      <c r="I768" s="1897">
        <v>31961.68953</v>
      </c>
      <c r="J768" s="1889">
        <f t="shared" si="55"/>
        <v>228783.23781999998</v>
      </c>
      <c r="K768" s="1864"/>
      <c r="L768" s="1913"/>
      <c r="M768" s="1911"/>
      <c r="N768" s="1889">
        <f t="shared" si="56"/>
        <v>0</v>
      </c>
    </row>
    <row r="769" spans="1:14">
      <c r="A769" s="1830">
        <v>15</v>
      </c>
      <c r="B769" s="1829" t="s">
        <v>294</v>
      </c>
      <c r="C769" s="1836">
        <v>14</v>
      </c>
      <c r="D769" s="1888">
        <f t="shared" si="54"/>
        <v>18772.830550000002</v>
      </c>
      <c r="E769" s="1863"/>
      <c r="F769" s="1032">
        <v>-2.1157894656062125E-4</v>
      </c>
      <c r="G769" s="1042">
        <v>474.57151067361445</v>
      </c>
      <c r="H769" s="1035">
        <v>4613.4402865498578</v>
      </c>
      <c r="I769" s="1897">
        <v>13684.818964355476</v>
      </c>
      <c r="J769" s="1889">
        <f t="shared" si="55"/>
        <v>18772.830761578949</v>
      </c>
      <c r="K769" s="1864"/>
      <c r="L769" s="1913"/>
      <c r="M769" s="1911"/>
      <c r="N769" s="1889">
        <f t="shared" si="56"/>
        <v>0</v>
      </c>
    </row>
    <row r="770" spans="1:14">
      <c r="A770" s="1830">
        <v>16</v>
      </c>
      <c r="B770" s="1829" t="s">
        <v>295</v>
      </c>
      <c r="C770" s="1830">
        <v>15</v>
      </c>
      <c r="D770" s="1888">
        <f t="shared" si="54"/>
        <v>23396.715510000002</v>
      </c>
      <c r="E770" s="1863"/>
      <c r="F770" s="1032">
        <v>-4.8999999836087224E-4</v>
      </c>
      <c r="G770" s="1042">
        <v>11916.237999999999</v>
      </c>
      <c r="H770" s="1035">
        <v>91.337000000000003</v>
      </c>
      <c r="I770" s="1897">
        <v>11389.141</v>
      </c>
      <c r="J770" s="1889">
        <f t="shared" si="55"/>
        <v>23396.716</v>
      </c>
      <c r="K770" s="1864"/>
      <c r="L770" s="1913"/>
      <c r="M770" s="1911"/>
      <c r="N770" s="1889">
        <f t="shared" si="56"/>
        <v>0</v>
      </c>
    </row>
    <row r="771" spans="1:14">
      <c r="A771" s="1830">
        <v>17</v>
      </c>
      <c r="B771" s="1829" t="s">
        <v>296</v>
      </c>
      <c r="C771" s="1836">
        <v>16</v>
      </c>
      <c r="D771" s="1888">
        <f t="shared" si="54"/>
        <v>137718</v>
      </c>
      <c r="E771" s="1863"/>
      <c r="F771" s="1032">
        <v>137718</v>
      </c>
      <c r="G771" s="1042">
        <v>0</v>
      </c>
      <c r="H771" s="1043">
        <v>0</v>
      </c>
      <c r="I771" s="1911">
        <v>0</v>
      </c>
      <c r="J771" s="1889">
        <f t="shared" si="55"/>
        <v>0</v>
      </c>
      <c r="K771" s="1864"/>
      <c r="L771" s="1865"/>
      <c r="M771" s="1866"/>
      <c r="N771" s="1889">
        <f t="shared" si="56"/>
        <v>0</v>
      </c>
    </row>
    <row r="772" spans="1:14">
      <c r="A772" s="1830">
        <v>18</v>
      </c>
      <c r="B772" s="1829" t="s">
        <v>297</v>
      </c>
      <c r="C772" s="1830"/>
      <c r="D772" s="1888">
        <f t="shared" si="54"/>
        <v>0</v>
      </c>
      <c r="E772" s="1863"/>
      <c r="F772" s="1032">
        <v>0</v>
      </c>
      <c r="G772" s="1042">
        <v>0</v>
      </c>
      <c r="H772" s="1035">
        <v>0</v>
      </c>
      <c r="I772" s="1897">
        <v>0</v>
      </c>
      <c r="J772" s="1889">
        <f t="shared" si="55"/>
        <v>0</v>
      </c>
      <c r="K772" s="1864"/>
      <c r="L772" s="1913"/>
      <c r="M772" s="1911"/>
      <c r="N772" s="1889">
        <f t="shared" si="56"/>
        <v>0</v>
      </c>
    </row>
    <row r="773" spans="1:14" ht="15" thickBot="1">
      <c r="A773" s="1847">
        <v>19</v>
      </c>
      <c r="B773" s="1848" t="s">
        <v>298</v>
      </c>
      <c r="C773" s="1847"/>
      <c r="D773" s="3117">
        <f t="shared" si="54"/>
        <v>64538.601419999985</v>
      </c>
      <c r="E773" s="3114"/>
      <c r="F773" s="1036">
        <v>64451.601419999985</v>
      </c>
      <c r="G773" s="1060">
        <v>0</v>
      </c>
      <c r="H773" s="1058">
        <v>87</v>
      </c>
      <c r="I773" s="1923">
        <v>0</v>
      </c>
      <c r="J773" s="3118">
        <f t="shared" si="55"/>
        <v>87</v>
      </c>
      <c r="K773" s="3116"/>
      <c r="L773" s="1917"/>
      <c r="M773" s="1922"/>
      <c r="N773" s="3118">
        <f t="shared" si="56"/>
        <v>0</v>
      </c>
    </row>
    <row r="774" spans="1:14" ht="27" thickBot="1">
      <c r="A774" s="1138">
        <v>20</v>
      </c>
      <c r="B774" s="1139" t="s">
        <v>299</v>
      </c>
      <c r="C774" s="1138"/>
      <c r="D774" s="1163">
        <f t="shared" si="54"/>
        <v>3020433.5735969343</v>
      </c>
      <c r="E774" s="1163">
        <f>SUM(E751:E757)+E760+E763+SUM(E768:E773)</f>
        <v>0</v>
      </c>
      <c r="F774" s="1163">
        <f>SUM(F751:F757)+F760+F763+SUM(F768:F773)</f>
        <v>1189397.1227252271</v>
      </c>
      <c r="G774" s="1163">
        <f>SUM(G751:G757)+G760+G763+SUM(G768:G773)</f>
        <v>90159.882804205976</v>
      </c>
      <c r="H774" s="1164">
        <f>SUM(H751:H757)+H760+H763+SUM(H768:H773)</f>
        <v>1600692.2628655038</v>
      </c>
      <c r="I774" s="1193">
        <f>SUM(I751:I757)+I760+I763+SUM(I768:I773)</f>
        <v>140184.30520199743</v>
      </c>
      <c r="J774" s="1163">
        <f t="shared" si="55"/>
        <v>1831036.4508717072</v>
      </c>
      <c r="K774" s="1163">
        <f>SUM(K751:K757)+K760+K763+SUM(K768:K773)</f>
        <v>0</v>
      </c>
      <c r="L774" s="1164">
        <f>SUM(L751:L757)+L760+L763+SUM(L768:L773)</f>
        <v>0</v>
      </c>
      <c r="M774" s="1193">
        <f>SUM(M751:M757)+M760+M763+SUM(M768:M773)</f>
        <v>0</v>
      </c>
      <c r="N774" s="1163">
        <f t="shared" si="56"/>
        <v>0</v>
      </c>
    </row>
    <row r="775" spans="1:14">
      <c r="A775" s="1133"/>
      <c r="B775" s="1134" t="s">
        <v>300</v>
      </c>
      <c r="C775" s="1133"/>
      <c r="D775" s="1172">
        <f t="shared" si="54"/>
        <v>0</v>
      </c>
      <c r="E775" s="1032"/>
      <c r="F775" s="1032"/>
      <c r="G775" s="1042"/>
      <c r="H775" s="1035"/>
      <c r="I775" s="1052"/>
      <c r="J775" s="1177">
        <f t="shared" si="55"/>
        <v>0</v>
      </c>
      <c r="K775" s="1042"/>
      <c r="L775" s="1054"/>
      <c r="M775" s="1053"/>
      <c r="N775" s="1177">
        <f t="shared" si="56"/>
        <v>0</v>
      </c>
    </row>
    <row r="776" spans="1:14">
      <c r="A776" s="1830"/>
      <c r="B776" s="1850" t="s">
        <v>301</v>
      </c>
      <c r="C776" s="1830"/>
      <c r="D776" s="1888">
        <f t="shared" si="54"/>
        <v>0</v>
      </c>
      <c r="E776" s="1863"/>
      <c r="F776" s="1863"/>
      <c r="G776" s="1864"/>
      <c r="H776" s="1872"/>
      <c r="I776" s="1897"/>
      <c r="J776" s="1889">
        <f t="shared" si="55"/>
        <v>0</v>
      </c>
      <c r="K776" s="1864"/>
      <c r="L776" s="1913"/>
      <c r="M776" s="1911"/>
      <c r="N776" s="1889">
        <f t="shared" si="56"/>
        <v>0</v>
      </c>
    </row>
    <row r="777" spans="1:14">
      <c r="A777" s="1830">
        <v>21</v>
      </c>
      <c r="B777" s="1829" t="s">
        <v>302</v>
      </c>
      <c r="C777" s="1836">
        <v>17</v>
      </c>
      <c r="D777" s="1888">
        <f t="shared" si="54"/>
        <v>1203852.3072539268</v>
      </c>
      <c r="E777" s="1863"/>
      <c r="F777" s="1863">
        <v>0</v>
      </c>
      <c r="G777" s="1864">
        <v>35893.323234762902</v>
      </c>
      <c r="H777" s="1872">
        <v>529969.13705000281</v>
      </c>
      <c r="I777" s="1897">
        <v>637989.84696916107</v>
      </c>
      <c r="J777" s="1889">
        <f t="shared" si="55"/>
        <v>1203852.3072539268</v>
      </c>
      <c r="K777" s="1864"/>
      <c r="L777" s="1913"/>
      <c r="M777" s="1866"/>
      <c r="N777" s="1889">
        <f t="shared" si="56"/>
        <v>0</v>
      </c>
    </row>
    <row r="778" spans="1:14">
      <c r="A778" s="1830">
        <v>22</v>
      </c>
      <c r="B778" s="1829" t="s">
        <v>303</v>
      </c>
      <c r="C778" s="1830"/>
      <c r="D778" s="1888">
        <f t="shared" si="54"/>
        <v>6719.7659399999984</v>
      </c>
      <c r="E778" s="1863"/>
      <c r="F778" s="1863">
        <v>0</v>
      </c>
      <c r="G778" s="1042">
        <v>542.03006821336703</v>
      </c>
      <c r="H778" s="1035">
        <v>5969.2522713747539</v>
      </c>
      <c r="I778" s="1897">
        <v>208.4836004118778</v>
      </c>
      <c r="J778" s="1889">
        <f t="shared" si="55"/>
        <v>6719.7659399999984</v>
      </c>
      <c r="K778" s="1864"/>
      <c r="L778" s="1913"/>
      <c r="M778" s="1911"/>
      <c r="N778" s="1889">
        <f t="shared" si="56"/>
        <v>0</v>
      </c>
    </row>
    <row r="779" spans="1:14">
      <c r="A779" s="1830">
        <v>23</v>
      </c>
      <c r="B779" s="1829" t="s">
        <v>304</v>
      </c>
      <c r="C779" s="1830">
        <v>18</v>
      </c>
      <c r="D779" s="1888">
        <f t="shared" si="54"/>
        <v>20734.34897074585</v>
      </c>
      <c r="E779" s="1863"/>
      <c r="F779" s="1863">
        <v>0</v>
      </c>
      <c r="G779" s="1042">
        <v>1322.5636109999998</v>
      </c>
      <c r="H779" s="1035">
        <v>9505.3834564929493</v>
      </c>
      <c r="I779" s="1897">
        <v>9906.4019032529013</v>
      </c>
      <c r="J779" s="1889">
        <f t="shared" si="55"/>
        <v>20734.34897074585</v>
      </c>
      <c r="K779" s="1864"/>
      <c r="L779" s="1913"/>
      <c r="M779" s="1911"/>
      <c r="N779" s="1889">
        <f t="shared" si="56"/>
        <v>0</v>
      </c>
    </row>
    <row r="780" spans="1:14">
      <c r="A780" s="1830">
        <v>24</v>
      </c>
      <c r="B780" s="1829" t="s">
        <v>305</v>
      </c>
      <c r="C780" s="1830"/>
      <c r="D780" s="1888">
        <f t="shared" si="54"/>
        <v>0</v>
      </c>
      <c r="E780" s="1863"/>
      <c r="F780" s="3114">
        <v>0</v>
      </c>
      <c r="G780" s="1060">
        <v>0</v>
      </c>
      <c r="H780" s="1058">
        <v>0</v>
      </c>
      <c r="I780" s="1897">
        <v>0</v>
      </c>
      <c r="J780" s="1889">
        <f t="shared" si="55"/>
        <v>0</v>
      </c>
      <c r="K780" s="1864"/>
      <c r="L780" s="1913"/>
      <c r="M780" s="1911"/>
      <c r="N780" s="1889">
        <f t="shared" si="56"/>
        <v>0</v>
      </c>
    </row>
    <row r="781" spans="1:14">
      <c r="A781" s="1830">
        <v>25</v>
      </c>
      <c r="B781" s="1851" t="s">
        <v>306</v>
      </c>
      <c r="C781" s="1830"/>
      <c r="D781" s="1888">
        <f t="shared" si="54"/>
        <v>202844.53434000001</v>
      </c>
      <c r="E781" s="1863"/>
      <c r="F781" s="1075">
        <v>202844.53434000001</v>
      </c>
      <c r="G781" s="1078">
        <v>0</v>
      </c>
      <c r="H781" s="1079">
        <v>0</v>
      </c>
      <c r="I781" s="1923">
        <v>0</v>
      </c>
      <c r="J781" s="1889">
        <f t="shared" si="55"/>
        <v>0</v>
      </c>
      <c r="K781" s="1864"/>
      <c r="L781" s="1913"/>
      <c r="M781" s="1911"/>
      <c r="N781" s="1889">
        <f t="shared" si="56"/>
        <v>0</v>
      </c>
    </row>
    <row r="782" spans="1:14" ht="15" thickBot="1">
      <c r="A782" s="1847">
        <v>26</v>
      </c>
      <c r="B782" s="1848" t="s">
        <v>307</v>
      </c>
      <c r="C782" s="1852">
        <v>19</v>
      </c>
      <c r="D782" s="1888">
        <f t="shared" si="54"/>
        <v>301602.54656000005</v>
      </c>
      <c r="E782" s="1863"/>
      <c r="F782" s="1080">
        <v>164999.59470000002</v>
      </c>
      <c r="G782" s="1081">
        <v>4722.3156997858841</v>
      </c>
      <c r="H782" s="1082">
        <v>59324.698289281667</v>
      </c>
      <c r="I782" s="1076">
        <v>72555.937870932466</v>
      </c>
      <c r="J782" s="1889">
        <f t="shared" si="55"/>
        <v>136602.95186000003</v>
      </c>
      <c r="K782" s="1864"/>
      <c r="L782" s="1065"/>
      <c r="M782" s="1930"/>
      <c r="N782" s="1889">
        <f t="shared" si="56"/>
        <v>0</v>
      </c>
    </row>
    <row r="783" spans="1:14" ht="15" thickBot="1">
      <c r="A783" s="1135">
        <v>27</v>
      </c>
      <c r="B783" s="1136" t="s">
        <v>308</v>
      </c>
      <c r="C783" s="1135"/>
      <c r="D783" s="1173">
        <f t="shared" si="54"/>
        <v>1735753.5030646729</v>
      </c>
      <c r="E783" s="1041">
        <f>SUM(E777:E782)</f>
        <v>0</v>
      </c>
      <c r="F783" s="1041">
        <f>SUM(F777:F782)</f>
        <v>367844.12904000003</v>
      </c>
      <c r="G783" s="1041">
        <f>SUM(G777:G782)</f>
        <v>42480.232613762149</v>
      </c>
      <c r="H783" s="1045">
        <f>SUM(H777:H782)</f>
        <v>604768.47106715222</v>
      </c>
      <c r="I783" s="1073">
        <f>SUM(I777:I782)</f>
        <v>720660.67034375842</v>
      </c>
      <c r="J783" s="1176">
        <f t="shared" si="55"/>
        <v>1367909.3740246729</v>
      </c>
      <c r="K783" s="1041">
        <f>SUM(K777:K782)</f>
        <v>0</v>
      </c>
      <c r="L783" s="1041">
        <f>SUM(L777:L782)</f>
        <v>0</v>
      </c>
      <c r="M783" s="1041">
        <f>SUM(M777:M782)</f>
        <v>0</v>
      </c>
      <c r="N783" s="1180">
        <f t="shared" si="56"/>
        <v>0</v>
      </c>
    </row>
    <row r="784" spans="1:14">
      <c r="A784" s="1133"/>
      <c r="B784" s="1134" t="s">
        <v>309</v>
      </c>
      <c r="C784" s="1133">
        <v>20</v>
      </c>
      <c r="D784" s="1172">
        <f t="shared" si="54"/>
        <v>0</v>
      </c>
      <c r="E784" s="1032"/>
      <c r="F784" s="1032"/>
      <c r="G784" s="1042"/>
      <c r="H784" s="1035"/>
      <c r="I784" s="1052"/>
      <c r="J784" s="1177">
        <f t="shared" si="55"/>
        <v>0</v>
      </c>
      <c r="K784" s="1032"/>
      <c r="L784" s="1033"/>
      <c r="M784" s="1052"/>
      <c r="N784" s="1177">
        <f t="shared" si="56"/>
        <v>0</v>
      </c>
    </row>
    <row r="785" spans="1:14">
      <c r="A785" s="1830">
        <v>28</v>
      </c>
      <c r="B785" s="1829" t="s">
        <v>310</v>
      </c>
      <c r="C785" s="1836"/>
      <c r="D785" s="1888">
        <f t="shared" si="54"/>
        <v>1045345.56</v>
      </c>
      <c r="E785" s="1863"/>
      <c r="F785" s="1863">
        <v>1045345.56</v>
      </c>
      <c r="G785" s="1864">
        <v>0</v>
      </c>
      <c r="H785" s="1872">
        <v>0</v>
      </c>
      <c r="I785" s="1897">
        <v>0</v>
      </c>
      <c r="J785" s="1889">
        <f t="shared" si="55"/>
        <v>0</v>
      </c>
      <c r="K785" s="1863"/>
      <c r="L785" s="1868"/>
      <c r="M785" s="1897"/>
      <c r="N785" s="1889">
        <f t="shared" si="56"/>
        <v>0</v>
      </c>
    </row>
    <row r="786" spans="1:14">
      <c r="A786" s="1830">
        <v>29</v>
      </c>
      <c r="B786" s="1829" t="s">
        <v>311</v>
      </c>
      <c r="C786" s="1836"/>
      <c r="D786" s="1888">
        <f t="shared" si="54"/>
        <v>0</v>
      </c>
      <c r="E786" s="1863"/>
      <c r="F786" s="1032"/>
      <c r="G786" s="1864"/>
      <c r="H786" s="1872"/>
      <c r="I786" s="1897"/>
      <c r="J786" s="1889">
        <f t="shared" si="55"/>
        <v>0</v>
      </c>
      <c r="K786" s="1863"/>
      <c r="L786" s="1868"/>
      <c r="M786" s="1897"/>
      <c r="N786" s="1889">
        <f t="shared" si="56"/>
        <v>0</v>
      </c>
    </row>
    <row r="787" spans="1:14">
      <c r="A787" s="1830">
        <v>30</v>
      </c>
      <c r="B787" s="1848" t="s">
        <v>312</v>
      </c>
      <c r="C787" s="1852"/>
      <c r="D787" s="1888">
        <f t="shared" si="54"/>
        <v>0</v>
      </c>
      <c r="E787" s="1863"/>
      <c r="F787" s="1036"/>
      <c r="G787" s="3116"/>
      <c r="H787" s="1885"/>
      <c r="I787" s="1923"/>
      <c r="J787" s="1889">
        <f t="shared" si="55"/>
        <v>0</v>
      </c>
      <c r="K787" s="1863"/>
      <c r="L787" s="1868"/>
      <c r="M787" s="1897"/>
      <c r="N787" s="1889">
        <f t="shared" si="56"/>
        <v>0</v>
      </c>
    </row>
    <row r="788" spans="1:14">
      <c r="A788" s="1830">
        <v>31</v>
      </c>
      <c r="B788" s="1848" t="s">
        <v>313</v>
      </c>
      <c r="C788" s="1852"/>
      <c r="D788" s="1888">
        <f t="shared" si="54"/>
        <v>0</v>
      </c>
      <c r="E788" s="1863"/>
      <c r="F788" s="3114"/>
      <c r="G788" s="3116"/>
      <c r="H788" s="1885"/>
      <c r="I788" s="1923"/>
      <c r="J788" s="1889">
        <f t="shared" si="55"/>
        <v>0</v>
      </c>
      <c r="K788" s="1863"/>
      <c r="L788" s="1868"/>
      <c r="M788" s="1897"/>
      <c r="N788" s="1889">
        <f t="shared" si="56"/>
        <v>0</v>
      </c>
    </row>
    <row r="789" spans="1:14" ht="15" thickBot="1">
      <c r="A789" s="1847">
        <v>32</v>
      </c>
      <c r="B789" s="1848" t="s">
        <v>314</v>
      </c>
      <c r="C789" s="1852"/>
      <c r="D789" s="1888">
        <f t="shared" si="54"/>
        <v>239334.43569371037</v>
      </c>
      <c r="E789" s="1863"/>
      <c r="F789" s="3114">
        <v>-223792.9539333244</v>
      </c>
      <c r="G789" s="3116">
        <v>47679.650190443834</v>
      </c>
      <c r="H789" s="1885">
        <v>995924.10457835183</v>
      </c>
      <c r="I789" s="1072">
        <v>-580476.36514176091</v>
      </c>
      <c r="J789" s="1889">
        <f t="shared" si="55"/>
        <v>463127.38962703478</v>
      </c>
      <c r="K789" s="1863"/>
      <c r="L789" s="1868"/>
      <c r="M789" s="1897"/>
      <c r="N789" s="1889">
        <f t="shared" si="56"/>
        <v>0</v>
      </c>
    </row>
    <row r="790" spans="1:14" ht="15" thickBot="1">
      <c r="A790" s="1135">
        <v>33</v>
      </c>
      <c r="B790" s="1169" t="s">
        <v>315</v>
      </c>
      <c r="C790" s="1170"/>
      <c r="D790" s="1174">
        <f t="shared" si="54"/>
        <v>1284679.9956937104</v>
      </c>
      <c r="E790" s="1046">
        <f>SUM(E785:E789)</f>
        <v>0</v>
      </c>
      <c r="F790" s="1046">
        <f>SUM(F785:F789)</f>
        <v>821552.60606667562</v>
      </c>
      <c r="G790" s="1046">
        <f>SUM(G785:G789)</f>
        <v>47679.650190443834</v>
      </c>
      <c r="H790" s="1046">
        <f>SUM(H785:H789)</f>
        <v>995924.10457835183</v>
      </c>
      <c r="I790" s="1074">
        <f>SUM(I785:I789)</f>
        <v>-580476.36514176091</v>
      </c>
      <c r="J790" s="1178">
        <f t="shared" si="55"/>
        <v>463127.38962703478</v>
      </c>
      <c r="K790" s="1046">
        <f>SUM(K785:K789)</f>
        <v>0</v>
      </c>
      <c r="L790" s="1047">
        <f>SUM(L785:L789)</f>
        <v>0</v>
      </c>
      <c r="M790" s="1066">
        <f>SUM(M785:M789)</f>
        <v>0</v>
      </c>
      <c r="N790" s="1178">
        <f t="shared" si="56"/>
        <v>0</v>
      </c>
    </row>
    <row r="791" spans="1:14" ht="27" thickBot="1">
      <c r="A791" s="1138">
        <v>34</v>
      </c>
      <c r="B791" s="1139" t="s">
        <v>317</v>
      </c>
      <c r="C791" s="1138"/>
      <c r="D791" s="1166">
        <f t="shared" si="54"/>
        <v>3020433.4987583831</v>
      </c>
      <c r="E791" s="1166">
        <f>E790+E783</f>
        <v>0</v>
      </c>
      <c r="F791" s="1166">
        <f>F790+F783</f>
        <v>1189396.7351066757</v>
      </c>
      <c r="G791" s="1166">
        <f>G790+G783</f>
        <v>90159.88280420599</v>
      </c>
      <c r="H791" s="1166">
        <f>H790+H783</f>
        <v>1600692.5756455041</v>
      </c>
      <c r="I791" s="1166">
        <f>I790+I783</f>
        <v>140184.30520199751</v>
      </c>
      <c r="J791" s="1166">
        <f t="shared" si="55"/>
        <v>1831036.7636517077</v>
      </c>
      <c r="K791" s="1166">
        <f>K790+K783</f>
        <v>0</v>
      </c>
      <c r="L791" s="1167">
        <f>L790+L783</f>
        <v>0</v>
      </c>
      <c r="M791" s="1206">
        <f>M790+M783</f>
        <v>0</v>
      </c>
      <c r="N791" s="1166">
        <f t="shared" si="56"/>
        <v>0</v>
      </c>
    </row>
    <row r="792" spans="1:14">
      <c r="B792"/>
      <c r="C792"/>
      <c r="D792"/>
      <c r="E792"/>
      <c r="F792"/>
      <c r="G792"/>
      <c r="H792"/>
      <c r="I792"/>
      <c r="J792"/>
      <c r="K792"/>
      <c r="L792"/>
      <c r="M792"/>
      <c r="N792"/>
    </row>
    <row r="793" spans="1:14">
      <c r="B793"/>
      <c r="C793"/>
      <c r="D793"/>
      <c r="E793"/>
      <c r="F793"/>
      <c r="G793"/>
      <c r="H793"/>
      <c r="I793"/>
      <c r="J793"/>
      <c r="K793"/>
      <c r="L793"/>
      <c r="M793"/>
      <c r="N793"/>
    </row>
    <row r="794" spans="1:14">
      <c r="B794"/>
      <c r="C794"/>
      <c r="D794"/>
      <c r="E794"/>
      <c r="F794"/>
      <c r="G794"/>
      <c r="H794"/>
      <c r="I794"/>
      <c r="J794"/>
      <c r="K794"/>
      <c r="L794"/>
      <c r="M794"/>
      <c r="N794"/>
    </row>
    <row r="796" spans="1:14" ht="15" thickBot="1"/>
    <row r="797" spans="1:14" ht="15" thickBot="1">
      <c r="A797" s="1153" t="s">
        <v>115</v>
      </c>
      <c r="B797" s="3303" t="s">
        <v>328</v>
      </c>
      <c r="C797" s="3304"/>
      <c r="D797" s="662"/>
      <c r="E797" s="662" t="s">
        <v>329</v>
      </c>
      <c r="F797" s="662"/>
      <c r="G797" s="662"/>
      <c r="H797" s="662"/>
      <c r="I797" s="662"/>
      <c r="J797" s="662"/>
      <c r="K797" s="662"/>
      <c r="L797" s="662"/>
      <c r="M797" s="3292"/>
      <c r="N797" s="3292" t="s">
        <v>257</v>
      </c>
    </row>
    <row r="798" spans="1:14" ht="13.5" customHeight="1" thickBot="1">
      <c r="A798" s="3293" t="s">
        <v>258</v>
      </c>
      <c r="B798" s="3298"/>
      <c r="C798" s="3280" t="s">
        <v>259</v>
      </c>
      <c r="D798" s="3283" t="s">
        <v>260</v>
      </c>
      <c r="E798" s="3283" t="s">
        <v>261</v>
      </c>
      <c r="F798" s="3283" t="s">
        <v>262</v>
      </c>
      <c r="G798" s="3286" t="s">
        <v>263</v>
      </c>
      <c r="H798" s="3287"/>
      <c r="I798" s="3287"/>
      <c r="J798" s="3287"/>
      <c r="K798" s="3287"/>
      <c r="L798" s="3287"/>
      <c r="M798" s="3287"/>
      <c r="N798" s="3288"/>
    </row>
    <row r="799" spans="1:14" ht="13.5" customHeight="1" thickBot="1">
      <c r="A799" s="3294"/>
      <c r="B799" s="3299"/>
      <c r="C799" s="3281"/>
      <c r="D799" s="3284"/>
      <c r="E799" s="3284"/>
      <c r="F799" s="3284"/>
      <c r="G799" s="3289" t="s">
        <v>264</v>
      </c>
      <c r="H799" s="3290"/>
      <c r="I799" s="3290"/>
      <c r="J799" s="3291"/>
      <c r="K799" s="3289" t="s">
        <v>265</v>
      </c>
      <c r="L799" s="3290"/>
      <c r="M799" s="3290"/>
      <c r="N799" s="3291"/>
    </row>
    <row r="800" spans="1:14" ht="40.15" thickBot="1">
      <c r="A800" s="3294"/>
      <c r="B800" s="3299"/>
      <c r="C800" s="3281"/>
      <c r="D800" s="3285"/>
      <c r="E800" s="3285"/>
      <c r="F800" s="3285"/>
      <c r="G800" s="1125" t="s">
        <v>267</v>
      </c>
      <c r="H800" s="1125" t="s">
        <v>268</v>
      </c>
      <c r="I800" s="1125" t="s">
        <v>269</v>
      </c>
      <c r="J800" s="1125" t="s">
        <v>160</v>
      </c>
      <c r="K800" s="1126" t="s">
        <v>270</v>
      </c>
      <c r="L800" s="1126" t="s">
        <v>271</v>
      </c>
      <c r="M800" s="1126" t="s">
        <v>272</v>
      </c>
      <c r="N800" s="2969" t="s">
        <v>160</v>
      </c>
    </row>
    <row r="801" spans="1:14" ht="15" thickBot="1">
      <c r="A801" s="3294"/>
      <c r="B801" s="3299"/>
      <c r="C801" s="3281"/>
      <c r="D801" s="1128">
        <v>1</v>
      </c>
      <c r="E801" s="3283">
        <v>2</v>
      </c>
      <c r="F801" s="3283">
        <v>3</v>
      </c>
      <c r="G801" s="3283">
        <v>4</v>
      </c>
      <c r="H801" s="3283">
        <v>5</v>
      </c>
      <c r="I801" s="3283">
        <v>6</v>
      </c>
      <c r="J801" s="2974">
        <v>7</v>
      </c>
      <c r="K801" s="3283">
        <v>8</v>
      </c>
      <c r="L801" s="3283">
        <v>9</v>
      </c>
      <c r="M801" s="3283">
        <v>10</v>
      </c>
      <c r="N801" s="1128">
        <v>11</v>
      </c>
    </row>
    <row r="802" spans="1:14" ht="15" thickBot="1">
      <c r="A802" s="3295"/>
      <c r="B802" s="3300"/>
      <c r="C802" s="3282"/>
      <c r="D802" s="1130"/>
      <c r="E802" s="3285"/>
      <c r="F802" s="3285"/>
      <c r="G802" s="3285"/>
      <c r="H802" s="3285"/>
      <c r="I802" s="3285"/>
      <c r="J802" s="1131" t="s">
        <v>273</v>
      </c>
      <c r="K802" s="3285"/>
      <c r="L802" s="3285"/>
      <c r="M802" s="3285"/>
      <c r="N802" s="1157" t="s">
        <v>274</v>
      </c>
    </row>
    <row r="803" spans="1:14">
      <c r="A803" s="1133"/>
      <c r="B803" s="1134" t="s">
        <v>275</v>
      </c>
      <c r="C803" s="1133"/>
      <c r="D803" s="1928"/>
      <c r="E803" s="1071"/>
      <c r="F803" s="1071"/>
      <c r="G803" s="1042"/>
      <c r="H803" s="1035"/>
      <c r="I803" s="1062"/>
      <c r="J803" s="1177"/>
      <c r="K803" s="1032"/>
      <c r="L803" s="1035"/>
      <c r="M803" s="1077"/>
      <c r="N803" s="1929"/>
    </row>
    <row r="804" spans="1:14">
      <c r="A804" s="1828">
        <v>1</v>
      </c>
      <c r="B804" s="1829" t="s">
        <v>276</v>
      </c>
      <c r="C804" s="1830"/>
      <c r="D804" s="1888">
        <f t="shared" ref="D804:D844" si="57">+E804+F804+J804+N804</f>
        <v>0</v>
      </c>
      <c r="E804" s="1863"/>
      <c r="F804" s="1863"/>
      <c r="G804" s="1864"/>
      <c r="H804" s="1872"/>
      <c r="I804" s="1897"/>
      <c r="J804" s="1889">
        <f t="shared" ref="J804:J844" si="58">G804+H804+I804</f>
        <v>0</v>
      </c>
      <c r="K804" s="1863"/>
      <c r="L804" s="1868"/>
      <c r="M804" s="1897"/>
      <c r="N804" s="1889">
        <f t="shared" ref="N804:N844" si="59">K804+L804+M804</f>
        <v>0</v>
      </c>
    </row>
    <row r="805" spans="1:14">
      <c r="A805" s="1828">
        <v>2</v>
      </c>
      <c r="B805" s="1829" t="s">
        <v>277</v>
      </c>
      <c r="C805" s="1830"/>
      <c r="D805" s="1888">
        <f t="shared" si="57"/>
        <v>0</v>
      </c>
      <c r="E805" s="1863"/>
      <c r="F805" s="1863"/>
      <c r="G805" s="1864"/>
      <c r="H805" s="1872"/>
      <c r="I805" s="1897"/>
      <c r="J805" s="1889">
        <f t="shared" si="58"/>
        <v>0</v>
      </c>
      <c r="K805" s="1863"/>
      <c r="L805" s="1868"/>
      <c r="M805" s="1897"/>
      <c r="N805" s="1889">
        <f t="shared" si="59"/>
        <v>0</v>
      </c>
    </row>
    <row r="806" spans="1:14">
      <c r="A806" s="1828">
        <v>3</v>
      </c>
      <c r="B806" s="1829" t="s">
        <v>278</v>
      </c>
      <c r="C806" s="1830"/>
      <c r="D806" s="1888">
        <f t="shared" si="57"/>
        <v>0</v>
      </c>
      <c r="E806" s="1863"/>
      <c r="F806" s="1032"/>
      <c r="G806" s="1864"/>
      <c r="H806" s="1872"/>
      <c r="I806" s="1897"/>
      <c r="J806" s="1889">
        <f t="shared" si="58"/>
        <v>0</v>
      </c>
      <c r="K806" s="1863"/>
      <c r="L806" s="1868"/>
      <c r="M806" s="1897"/>
      <c r="N806" s="1889">
        <f t="shared" si="59"/>
        <v>0</v>
      </c>
    </row>
    <row r="807" spans="1:14">
      <c r="A807" s="1828">
        <v>4</v>
      </c>
      <c r="B807" s="1829" t="s">
        <v>324</v>
      </c>
      <c r="C807" s="1830"/>
      <c r="D807" s="1888">
        <f t="shared" si="57"/>
        <v>408358.11744</v>
      </c>
      <c r="E807" s="1863"/>
      <c r="F807" s="1032"/>
      <c r="G807" s="1864">
        <v>365019.09225785139</v>
      </c>
      <c r="H807" s="1872">
        <v>43339.025182148602</v>
      </c>
      <c r="I807" s="1897"/>
      <c r="J807" s="1889">
        <f t="shared" si="58"/>
        <v>408358.11744</v>
      </c>
      <c r="K807" s="1863"/>
      <c r="L807" s="1868"/>
      <c r="M807" s="1897"/>
      <c r="N807" s="1889">
        <f t="shared" si="59"/>
        <v>0</v>
      </c>
    </row>
    <row r="808" spans="1:14">
      <c r="A808" s="1828">
        <v>5</v>
      </c>
      <c r="B808" s="1829" t="s">
        <v>280</v>
      </c>
      <c r="C808" s="1836">
        <v>5</v>
      </c>
      <c r="D808" s="1888">
        <f t="shared" si="57"/>
        <v>95450.9</v>
      </c>
      <c r="E808" s="1863"/>
      <c r="F808" s="1032">
        <v>95450.9</v>
      </c>
      <c r="G808" s="1042"/>
      <c r="H808" s="1872"/>
      <c r="I808" s="1897"/>
      <c r="J808" s="1889">
        <f t="shared" si="58"/>
        <v>0</v>
      </c>
      <c r="K808" s="1863"/>
      <c r="L808" s="1868"/>
      <c r="M808" s="1897"/>
      <c r="N808" s="1889">
        <f t="shared" si="59"/>
        <v>0</v>
      </c>
    </row>
    <row r="809" spans="1:14">
      <c r="A809" s="1828">
        <v>6</v>
      </c>
      <c r="B809" s="1829" t="s">
        <v>281</v>
      </c>
      <c r="C809" s="1830">
        <v>6</v>
      </c>
      <c r="D809" s="1888">
        <f t="shared" si="57"/>
        <v>0</v>
      </c>
      <c r="E809" s="1863"/>
      <c r="F809" s="1032"/>
      <c r="G809" s="1042"/>
      <c r="H809" s="1872"/>
      <c r="I809" s="1897"/>
      <c r="J809" s="1889">
        <f t="shared" si="58"/>
        <v>0</v>
      </c>
      <c r="K809" s="1863"/>
      <c r="L809" s="1868"/>
      <c r="M809" s="1897"/>
      <c r="N809" s="1889">
        <f t="shared" si="59"/>
        <v>0</v>
      </c>
    </row>
    <row r="810" spans="1:14">
      <c r="A810" s="1828">
        <v>7</v>
      </c>
      <c r="B810" s="1829" t="s">
        <v>282</v>
      </c>
      <c r="C810" s="1836">
        <v>7</v>
      </c>
      <c r="D810" s="1888">
        <f t="shared" si="57"/>
        <v>3296543.3689999999</v>
      </c>
      <c r="E810" s="1863">
        <f>SUM(E811:E812)</f>
        <v>0</v>
      </c>
      <c r="F810" s="1032">
        <f>SUM(F811:F812)</f>
        <v>3296543.3689999999</v>
      </c>
      <c r="G810" s="1032">
        <f>SUM(G811:G812)</f>
        <v>0</v>
      </c>
      <c r="H810" s="1868">
        <f>SUM(H811:H812)</f>
        <v>0</v>
      </c>
      <c r="I810" s="1897">
        <f>SUM(I811:I812)</f>
        <v>0</v>
      </c>
      <c r="J810" s="1889">
        <f t="shared" si="58"/>
        <v>0</v>
      </c>
      <c r="K810" s="1863">
        <f>K811+K812</f>
        <v>0</v>
      </c>
      <c r="L810" s="1868">
        <f>L811+L812</f>
        <v>0</v>
      </c>
      <c r="M810" s="1897">
        <f>M811+M812</f>
        <v>0</v>
      </c>
      <c r="N810" s="1889">
        <f t="shared" si="59"/>
        <v>0</v>
      </c>
    </row>
    <row r="811" spans="1:14">
      <c r="A811" s="1830"/>
      <c r="B811" s="1837" t="s">
        <v>283</v>
      </c>
      <c r="C811" s="1836"/>
      <c r="D811" s="1888">
        <f t="shared" si="57"/>
        <v>0</v>
      </c>
      <c r="E811" s="1863"/>
      <c r="F811" s="1863"/>
      <c r="G811" s="1863"/>
      <c r="H811" s="1868"/>
      <c r="I811" s="1897"/>
      <c r="J811" s="1889">
        <f t="shared" si="58"/>
        <v>0</v>
      </c>
      <c r="K811" s="1863"/>
      <c r="L811" s="1868"/>
      <c r="M811" s="1897"/>
      <c r="N811" s="1889">
        <f t="shared" si="59"/>
        <v>0</v>
      </c>
    </row>
    <row r="812" spans="1:14">
      <c r="A812" s="1830"/>
      <c r="B812" s="1837" t="s">
        <v>284</v>
      </c>
      <c r="C812" s="1836"/>
      <c r="D812" s="1888">
        <f t="shared" si="57"/>
        <v>3296543.3689999999</v>
      </c>
      <c r="E812" s="1863"/>
      <c r="F812" s="1863">
        <v>3296543.3689999999</v>
      </c>
      <c r="G812" s="1864"/>
      <c r="H812" s="1872"/>
      <c r="I812" s="1897"/>
      <c r="J812" s="1889">
        <f t="shared" si="58"/>
        <v>0</v>
      </c>
      <c r="K812" s="1863"/>
      <c r="L812" s="1868"/>
      <c r="M812" s="1897"/>
      <c r="N812" s="1889">
        <f t="shared" si="59"/>
        <v>0</v>
      </c>
    </row>
    <row r="813" spans="1:14">
      <c r="A813" s="1828">
        <v>8</v>
      </c>
      <c r="B813" s="1829" t="s">
        <v>285</v>
      </c>
      <c r="C813" s="1830">
        <v>8</v>
      </c>
      <c r="D813" s="1888">
        <f t="shared" si="57"/>
        <v>0</v>
      </c>
      <c r="E813" s="1863"/>
      <c r="F813" s="1032">
        <f>F814+F815</f>
        <v>0</v>
      </c>
      <c r="G813" s="1032">
        <f>G814+G815</f>
        <v>0</v>
      </c>
      <c r="H813" s="1868">
        <f>H814+H815</f>
        <v>0</v>
      </c>
      <c r="I813" s="1897">
        <f>I814+I815</f>
        <v>0</v>
      </c>
      <c r="J813" s="1889">
        <f t="shared" si="58"/>
        <v>0</v>
      </c>
      <c r="K813" s="1863">
        <f>K814+K815</f>
        <v>0</v>
      </c>
      <c r="L813" s="1868">
        <f>L814+L815</f>
        <v>0</v>
      </c>
      <c r="M813" s="1897">
        <f>M814+M815</f>
        <v>0</v>
      </c>
      <c r="N813" s="1889">
        <f t="shared" si="59"/>
        <v>0</v>
      </c>
    </row>
    <row r="814" spans="1:14">
      <c r="A814" s="1828"/>
      <c r="B814" s="1837" t="s">
        <v>286</v>
      </c>
      <c r="C814" s="1830"/>
      <c r="D814" s="1888">
        <f t="shared" si="57"/>
        <v>0</v>
      </c>
      <c r="E814" s="1863"/>
      <c r="F814" s="1863"/>
      <c r="G814" s="1863"/>
      <c r="H814" s="1868"/>
      <c r="I814" s="1897"/>
      <c r="J814" s="1889">
        <f t="shared" si="58"/>
        <v>0</v>
      </c>
      <c r="K814" s="1863"/>
      <c r="L814" s="1868"/>
      <c r="M814" s="1897"/>
      <c r="N814" s="1889">
        <f t="shared" si="59"/>
        <v>0</v>
      </c>
    </row>
    <row r="815" spans="1:14">
      <c r="A815" s="1828"/>
      <c r="B815" s="1837" t="s">
        <v>287</v>
      </c>
      <c r="C815" s="1830"/>
      <c r="D815" s="1888">
        <f t="shared" si="57"/>
        <v>0</v>
      </c>
      <c r="E815" s="1863"/>
      <c r="F815" s="1863"/>
      <c r="G815" s="1864"/>
      <c r="H815" s="1872"/>
      <c r="I815" s="1897"/>
      <c r="J815" s="1889">
        <f t="shared" si="58"/>
        <v>0</v>
      </c>
      <c r="K815" s="1863"/>
      <c r="L815" s="1868"/>
      <c r="M815" s="1897"/>
      <c r="N815" s="1889">
        <f t="shared" si="59"/>
        <v>0</v>
      </c>
    </row>
    <row r="816" spans="1:14" ht="26.45">
      <c r="A816" s="1838">
        <v>9</v>
      </c>
      <c r="B816" s="1839" t="s">
        <v>288</v>
      </c>
      <c r="C816" s="1840"/>
      <c r="D816" s="1905">
        <f t="shared" si="57"/>
        <v>175136013.80110002</v>
      </c>
      <c r="E816" s="1906">
        <f>SUM(E817:E820)</f>
        <v>0</v>
      </c>
      <c r="F816" s="1906">
        <f>SUM(F817:F820)</f>
        <v>17348346.663606498</v>
      </c>
      <c r="G816" s="1906">
        <f>SUM(G817:G820)</f>
        <v>140453126.68949512</v>
      </c>
      <c r="H816" s="1879">
        <f>SUM(H817:H820)</f>
        <v>17334540.447998405</v>
      </c>
      <c r="I816" s="1925">
        <f>SUM(I817:I820)</f>
        <v>0</v>
      </c>
      <c r="J816" s="1908">
        <f t="shared" si="58"/>
        <v>157787667.13749352</v>
      </c>
      <c r="K816" s="1906">
        <f>SUM(K817:K820)</f>
        <v>0</v>
      </c>
      <c r="L816" s="1879">
        <f>SUM(L817:L820)</f>
        <v>0</v>
      </c>
      <c r="M816" s="1925">
        <f>SUM(M817:M820)</f>
        <v>0</v>
      </c>
      <c r="N816" s="1908">
        <f t="shared" si="59"/>
        <v>0</v>
      </c>
    </row>
    <row r="817" spans="1:42">
      <c r="A817" s="1830">
        <v>10</v>
      </c>
      <c r="B817" s="1846" t="s">
        <v>289</v>
      </c>
      <c r="C817" s="1830">
        <v>9</v>
      </c>
      <c r="D817" s="1888">
        <f t="shared" si="57"/>
        <v>69332870.855140015</v>
      </c>
      <c r="E817" s="1863"/>
      <c r="F817" s="1863">
        <v>588880.45692999999</v>
      </c>
      <c r="G817" s="1864">
        <v>61432481.075696096</v>
      </c>
      <c r="H817" s="1872">
        <v>7311509.322513924</v>
      </c>
      <c r="I817" s="1897"/>
      <c r="J817" s="1889">
        <f t="shared" si="58"/>
        <v>68743990.398210019</v>
      </c>
      <c r="K817" s="1864"/>
      <c r="L817" s="1913"/>
      <c r="M817" s="1866"/>
      <c r="N817" s="1889">
        <f t="shared" si="59"/>
        <v>0</v>
      </c>
    </row>
    <row r="818" spans="1:42">
      <c r="A818" s="1830">
        <v>11</v>
      </c>
      <c r="B818" s="1846" t="s">
        <v>290</v>
      </c>
      <c r="C818" s="1830">
        <v>10</v>
      </c>
      <c r="D818" s="1888">
        <f t="shared" si="57"/>
        <v>43800183.452089995</v>
      </c>
      <c r="E818" s="1863"/>
      <c r="F818" s="1032">
        <v>7978466.2042099983</v>
      </c>
      <c r="G818" s="1042">
        <v>28857791.152803846</v>
      </c>
      <c r="H818" s="1043">
        <v>6963926.0950761521</v>
      </c>
      <c r="I818" s="1053"/>
      <c r="J818" s="1889">
        <f t="shared" si="58"/>
        <v>35821717.247879997</v>
      </c>
      <c r="K818" s="1864"/>
      <c r="L818" s="1865"/>
      <c r="M818" s="1044"/>
      <c r="N818" s="1889">
        <f t="shared" si="59"/>
        <v>0</v>
      </c>
    </row>
    <row r="819" spans="1:42">
      <c r="A819" s="1830">
        <v>12</v>
      </c>
      <c r="B819" s="1846" t="s">
        <v>291</v>
      </c>
      <c r="C819" s="1830">
        <v>11</v>
      </c>
      <c r="D819" s="1888">
        <f t="shared" si="57"/>
        <v>40611027.247820005</v>
      </c>
      <c r="E819" s="1863"/>
      <c r="F819" s="1032">
        <v>3904105.2816399997</v>
      </c>
      <c r="G819" s="1042">
        <v>34227456.274794325</v>
      </c>
      <c r="H819" s="1043">
        <v>2479465.6913856766</v>
      </c>
      <c r="I819" s="1053"/>
      <c r="J819" s="1889">
        <f t="shared" si="58"/>
        <v>36706921.966180004</v>
      </c>
      <c r="K819" s="1864"/>
      <c r="L819" s="1865"/>
      <c r="M819" s="1044"/>
      <c r="N819" s="1889">
        <f t="shared" si="59"/>
        <v>0</v>
      </c>
    </row>
    <row r="820" spans="1:42" ht="26.45">
      <c r="A820" s="1830">
        <v>13</v>
      </c>
      <c r="B820" s="1846" t="s">
        <v>292</v>
      </c>
      <c r="C820" s="1830">
        <v>12</v>
      </c>
      <c r="D820" s="1888">
        <f t="shared" si="57"/>
        <v>21391932.246050004</v>
      </c>
      <c r="E820" s="1863"/>
      <c r="F820" s="1032">
        <v>4876894.7208264982</v>
      </c>
      <c r="G820" s="1042">
        <v>15935398.186200852</v>
      </c>
      <c r="H820" s="1043">
        <v>579639.33902265248</v>
      </c>
      <c r="I820" s="1053"/>
      <c r="J820" s="1889">
        <f t="shared" si="58"/>
        <v>16515037.525223505</v>
      </c>
      <c r="K820" s="1864"/>
      <c r="L820" s="1865"/>
      <c r="M820" s="1044"/>
      <c r="N820" s="1889">
        <f t="shared" si="59"/>
        <v>0</v>
      </c>
    </row>
    <row r="821" spans="1:42">
      <c r="A821" s="1830">
        <v>14</v>
      </c>
      <c r="B821" s="1829" t="s">
        <v>293</v>
      </c>
      <c r="C821" s="1830">
        <v>13</v>
      </c>
      <c r="D821" s="1888">
        <f t="shared" si="57"/>
        <v>1966669.8647900003</v>
      </c>
      <c r="E821" s="1863"/>
      <c r="F821" s="1863">
        <v>0</v>
      </c>
      <c r="G821" s="1864">
        <v>1964697.5074535494</v>
      </c>
      <c r="H821" s="1872">
        <v>1972.357336450827</v>
      </c>
      <c r="I821" s="1897"/>
      <c r="J821" s="1889">
        <f t="shared" si="58"/>
        <v>1966669.8647900003</v>
      </c>
      <c r="K821" s="1864"/>
      <c r="L821" s="1913"/>
      <c r="M821" s="1911"/>
      <c r="N821" s="1889">
        <f t="shared" si="59"/>
        <v>0</v>
      </c>
    </row>
    <row r="822" spans="1:42">
      <c r="A822" s="1830">
        <v>15</v>
      </c>
      <c r="B822" s="1829" t="s">
        <v>294</v>
      </c>
      <c r="C822" s="1836">
        <v>14</v>
      </c>
      <c r="D822" s="1888">
        <f t="shared" si="57"/>
        <v>992020.18513999996</v>
      </c>
      <c r="E822" s="1863"/>
      <c r="F822" s="1032">
        <v>0</v>
      </c>
      <c r="G822" s="1042">
        <v>886737.13590246602</v>
      </c>
      <c r="H822" s="1035">
        <v>105283.04923753391</v>
      </c>
      <c r="I822" s="1897"/>
      <c r="J822" s="1889">
        <f t="shared" si="58"/>
        <v>992020.18513999996</v>
      </c>
      <c r="K822" s="1864"/>
      <c r="L822" s="1913"/>
      <c r="M822" s="1911"/>
      <c r="N822" s="1889">
        <f t="shared" si="59"/>
        <v>0</v>
      </c>
    </row>
    <row r="823" spans="1:42">
      <c r="A823" s="1830">
        <v>16</v>
      </c>
      <c r="B823" s="1829" t="s">
        <v>295</v>
      </c>
      <c r="C823" s="1830">
        <v>15</v>
      </c>
      <c r="D823" s="1888">
        <f t="shared" si="57"/>
        <v>675081.96894000005</v>
      </c>
      <c r="E823" s="1863"/>
      <c r="F823" s="1032">
        <v>0</v>
      </c>
      <c r="G823" s="1042">
        <v>603435.55565129174</v>
      </c>
      <c r="H823" s="1035">
        <v>71646.413288708296</v>
      </c>
      <c r="I823" s="1897"/>
      <c r="J823" s="1889">
        <f t="shared" si="58"/>
        <v>675081.96894000005</v>
      </c>
      <c r="K823" s="1864"/>
      <c r="L823" s="1913"/>
      <c r="M823" s="1911"/>
      <c r="N823" s="1889">
        <f t="shared" si="59"/>
        <v>0</v>
      </c>
    </row>
    <row r="824" spans="1:42">
      <c r="A824" s="1830">
        <v>17</v>
      </c>
      <c r="B824" s="1829" t="s">
        <v>296</v>
      </c>
      <c r="C824" s="1836">
        <v>16</v>
      </c>
      <c r="D824" s="1888">
        <f t="shared" si="57"/>
        <v>3932980.0016659996</v>
      </c>
      <c r="E824" s="1863"/>
      <c r="F824" s="1032">
        <v>128547.56086600006</v>
      </c>
      <c r="G824" s="1042">
        <v>3400668.229158388</v>
      </c>
      <c r="H824" s="1043">
        <v>403764.21164161165</v>
      </c>
      <c r="I824" s="1911"/>
      <c r="J824" s="1889">
        <f t="shared" si="58"/>
        <v>3804432.4407999995</v>
      </c>
      <c r="K824" s="1864"/>
      <c r="L824" s="1865"/>
      <c r="M824" s="1866"/>
      <c r="N824" s="1889">
        <f t="shared" si="59"/>
        <v>0</v>
      </c>
    </row>
    <row r="825" spans="1:42">
      <c r="A825" s="1830">
        <v>18</v>
      </c>
      <c r="B825" s="1829" t="s">
        <v>297</v>
      </c>
      <c r="C825" s="1830"/>
      <c r="D825" s="1888">
        <f t="shared" si="57"/>
        <v>0</v>
      </c>
      <c r="E825" s="1863"/>
      <c r="F825" s="1032"/>
      <c r="G825" s="1042"/>
      <c r="H825" s="1035"/>
      <c r="I825" s="1897"/>
      <c r="J825" s="1889">
        <f t="shared" si="58"/>
        <v>0</v>
      </c>
      <c r="K825" s="1864"/>
      <c r="L825" s="1913"/>
      <c r="M825" s="1911"/>
      <c r="N825" s="1889">
        <f t="shared" si="59"/>
        <v>0</v>
      </c>
    </row>
    <row r="826" spans="1:42" ht="15" thickBot="1">
      <c r="A826" s="1847">
        <v>19</v>
      </c>
      <c r="B826" s="1848" t="s">
        <v>298</v>
      </c>
      <c r="C826" s="1847"/>
      <c r="D826" s="3117">
        <f t="shared" si="57"/>
        <v>2901506.5039999993</v>
      </c>
      <c r="E826" s="3114"/>
      <c r="F826" s="1036">
        <v>172590.27890246699</v>
      </c>
      <c r="G826" s="1060">
        <v>2680901.2480610847</v>
      </c>
      <c r="H826" s="1058">
        <v>48014.977036447657</v>
      </c>
      <c r="I826" s="1923"/>
      <c r="J826" s="3118">
        <f t="shared" si="58"/>
        <v>2728916.2250975324</v>
      </c>
      <c r="K826" s="3116"/>
      <c r="L826" s="1917"/>
      <c r="M826" s="1922"/>
      <c r="N826" s="3118">
        <f t="shared" si="59"/>
        <v>0</v>
      </c>
    </row>
    <row r="827" spans="1:42" s="870" customFormat="1" ht="27" thickBot="1">
      <c r="A827" s="1138">
        <v>20</v>
      </c>
      <c r="B827" s="1139" t="s">
        <v>299</v>
      </c>
      <c r="C827" s="1138"/>
      <c r="D827" s="1163">
        <f t="shared" si="57"/>
        <v>189404624.71207601</v>
      </c>
      <c r="E827" s="1163">
        <f>SUM(E804:E810)+E813+E816+SUM(E821:E826)</f>
        <v>0</v>
      </c>
      <c r="F827" s="1163">
        <f>SUM(F804:F810)+F813+F816+SUM(F821:F826)</f>
        <v>21041478.772374965</v>
      </c>
      <c r="G827" s="1163">
        <f>SUM(G804:G810)+G813+G816+SUM(G821:G826)</f>
        <v>150354585.45797974</v>
      </c>
      <c r="H827" s="1164">
        <f>SUM(H804:H810)+H813+H816+SUM(H821:H826)</f>
        <v>18008560.481721308</v>
      </c>
      <c r="I827" s="1193">
        <f>SUM(I804:I810)+I813+I816+SUM(I821:I826)</f>
        <v>0</v>
      </c>
      <c r="J827" s="1163">
        <f t="shared" si="58"/>
        <v>168363145.93970105</v>
      </c>
      <c r="K827" s="1163">
        <f>SUM(K804:K810)+K813+K816+SUM(K821:K826)</f>
        <v>0</v>
      </c>
      <c r="L827" s="1164">
        <f>SUM(L804:L810)+L813+L816+SUM(L821:L826)</f>
        <v>0</v>
      </c>
      <c r="M827" s="1193">
        <f>SUM(M804:M810)+M813+M816+SUM(M821:M826)</f>
        <v>0</v>
      </c>
      <c r="N827" s="1163">
        <f t="shared" si="59"/>
        <v>0</v>
      </c>
      <c r="O827"/>
      <c r="P827"/>
      <c r="Q827"/>
      <c r="R827"/>
      <c r="S827"/>
      <c r="T827"/>
      <c r="U827"/>
      <c r="V827"/>
      <c r="W827"/>
      <c r="X827"/>
      <c r="Y827"/>
      <c r="Z827"/>
      <c r="AA827"/>
      <c r="AB827"/>
      <c r="AC827"/>
      <c r="AD827"/>
      <c r="AE827"/>
      <c r="AF827"/>
      <c r="AG827"/>
      <c r="AH827"/>
      <c r="AI827"/>
      <c r="AJ827"/>
      <c r="AK827" s="2976"/>
      <c r="AL827" s="2976"/>
      <c r="AM827" s="2976"/>
      <c r="AN827" s="2976"/>
      <c r="AO827" s="2976"/>
      <c r="AP827" s="2976"/>
    </row>
    <row r="828" spans="1:42">
      <c r="A828" s="1133"/>
      <c r="B828" s="1134" t="s">
        <v>300</v>
      </c>
      <c r="C828" s="1133"/>
      <c r="D828" s="1172">
        <f t="shared" si="57"/>
        <v>0</v>
      </c>
      <c r="E828" s="1032"/>
      <c r="F828" s="1032"/>
      <c r="G828" s="1042"/>
      <c r="H828" s="1035"/>
      <c r="I828" s="1052"/>
      <c r="J828" s="1177">
        <f t="shared" si="58"/>
        <v>0</v>
      </c>
      <c r="K828" s="1042"/>
      <c r="L828" s="1054"/>
      <c r="M828" s="1053"/>
      <c r="N828" s="1177">
        <f t="shared" si="59"/>
        <v>0</v>
      </c>
    </row>
    <row r="829" spans="1:42">
      <c r="A829" s="1830"/>
      <c r="B829" s="1850" t="s">
        <v>301</v>
      </c>
      <c r="C829" s="1830"/>
      <c r="D829" s="1888">
        <f t="shared" si="57"/>
        <v>0</v>
      </c>
      <c r="E829" s="1863"/>
      <c r="F829" s="1863"/>
      <c r="G829" s="1864"/>
      <c r="H829" s="1872"/>
      <c r="I829" s="1897"/>
      <c r="J829" s="1889">
        <f t="shared" si="58"/>
        <v>0</v>
      </c>
      <c r="K829" s="1864"/>
      <c r="L829" s="1913"/>
      <c r="M829" s="1911"/>
      <c r="N829" s="1889">
        <f t="shared" si="59"/>
        <v>0</v>
      </c>
    </row>
    <row r="830" spans="1:42">
      <c r="A830" s="1830">
        <v>21</v>
      </c>
      <c r="B830" s="1829" t="s">
        <v>302</v>
      </c>
      <c r="C830" s="1836">
        <v>17</v>
      </c>
      <c r="D830" s="1888">
        <f t="shared" si="57"/>
        <v>162887453.21205172</v>
      </c>
      <c r="E830" s="1863"/>
      <c r="F830" s="1863">
        <v>0</v>
      </c>
      <c r="G830" s="1864">
        <v>145460027.70110369</v>
      </c>
      <c r="H830" s="1872">
        <v>17427425.510948021</v>
      </c>
      <c r="I830" s="1897"/>
      <c r="J830" s="1889">
        <f t="shared" si="58"/>
        <v>162887453.21205172</v>
      </c>
      <c r="K830" s="1864"/>
      <c r="L830" s="1913"/>
      <c r="M830" s="1866"/>
      <c r="N830" s="1889">
        <f t="shared" si="59"/>
        <v>0</v>
      </c>
    </row>
    <row r="831" spans="1:42">
      <c r="A831" s="1830">
        <v>22</v>
      </c>
      <c r="B831" s="1829" t="s">
        <v>303</v>
      </c>
      <c r="C831" s="1830"/>
      <c r="D831" s="1888">
        <f t="shared" si="57"/>
        <v>752273.17061050504</v>
      </c>
      <c r="E831" s="1863"/>
      <c r="F831" s="1863">
        <v>0</v>
      </c>
      <c r="G831" s="1042">
        <v>672434.4592134339</v>
      </c>
      <c r="H831" s="1035">
        <v>79838.711397071151</v>
      </c>
      <c r="I831" s="1897"/>
      <c r="J831" s="1889">
        <f t="shared" si="58"/>
        <v>752273.17061050504</v>
      </c>
      <c r="K831" s="1864"/>
      <c r="L831" s="1913"/>
      <c r="M831" s="1911"/>
      <c r="N831" s="1889">
        <f t="shared" si="59"/>
        <v>0</v>
      </c>
    </row>
    <row r="832" spans="1:42">
      <c r="A832" s="1830">
        <v>23</v>
      </c>
      <c r="B832" s="1829" t="s">
        <v>304</v>
      </c>
      <c r="C832" s="1830">
        <v>18</v>
      </c>
      <c r="D832" s="1888">
        <f t="shared" si="57"/>
        <v>884988.72279298725</v>
      </c>
      <c r="E832" s="1863"/>
      <c r="F832" s="1863">
        <v>0</v>
      </c>
      <c r="G832" s="1042">
        <v>791064.91693481617</v>
      </c>
      <c r="H832" s="1035">
        <v>93923.805858171123</v>
      </c>
      <c r="I832" s="1897"/>
      <c r="J832" s="1889">
        <f t="shared" si="58"/>
        <v>884988.72279298725</v>
      </c>
      <c r="K832" s="1864"/>
      <c r="L832" s="1913"/>
      <c r="M832" s="1911"/>
      <c r="N832" s="1889">
        <f t="shared" si="59"/>
        <v>0</v>
      </c>
    </row>
    <row r="833" spans="1:42">
      <c r="A833" s="1830">
        <v>24</v>
      </c>
      <c r="B833" s="1829" t="s">
        <v>305</v>
      </c>
      <c r="C833" s="1830"/>
      <c r="D833" s="1888">
        <f t="shared" si="57"/>
        <v>0</v>
      </c>
      <c r="E833" s="1863"/>
      <c r="F833" s="3114">
        <v>0</v>
      </c>
      <c r="G833" s="1060">
        <v>0</v>
      </c>
      <c r="H833" s="1058">
        <v>0</v>
      </c>
      <c r="I833" s="1897"/>
      <c r="J833" s="1889">
        <f t="shared" si="58"/>
        <v>0</v>
      </c>
      <c r="K833" s="1864"/>
      <c r="L833" s="1913"/>
      <c r="M833" s="1911"/>
      <c r="N833" s="1889">
        <f t="shared" si="59"/>
        <v>0</v>
      </c>
    </row>
    <row r="834" spans="1:42">
      <c r="A834" s="1830">
        <v>25</v>
      </c>
      <c r="B834" s="1851" t="s">
        <v>306</v>
      </c>
      <c r="C834" s="1830"/>
      <c r="D834" s="1888">
        <f t="shared" si="57"/>
        <v>0</v>
      </c>
      <c r="E834" s="1863"/>
      <c r="F834" s="1075">
        <v>0</v>
      </c>
      <c r="G834" s="1078">
        <v>0</v>
      </c>
      <c r="H834" s="1079">
        <v>0</v>
      </c>
      <c r="I834" s="1923"/>
      <c r="J834" s="1889">
        <f t="shared" si="58"/>
        <v>0</v>
      </c>
      <c r="K834" s="1864"/>
      <c r="L834" s="1913"/>
      <c r="M834" s="1911"/>
      <c r="N834" s="1889">
        <f t="shared" si="59"/>
        <v>0</v>
      </c>
    </row>
    <row r="835" spans="1:42" ht="15" thickBot="1">
      <c r="A835" s="1847">
        <v>26</v>
      </c>
      <c r="B835" s="1848" t="s">
        <v>307</v>
      </c>
      <c r="C835" s="1852">
        <v>19</v>
      </c>
      <c r="D835" s="1888">
        <f t="shared" si="57"/>
        <v>4827467.6276879888</v>
      </c>
      <c r="E835" s="1863"/>
      <c r="F835" s="1080">
        <v>1173327.8804007908</v>
      </c>
      <c r="G835" s="1081">
        <v>3266326.0911767897</v>
      </c>
      <c r="H835" s="1082">
        <v>387813.6561104086</v>
      </c>
      <c r="I835" s="1076"/>
      <c r="J835" s="1889">
        <f t="shared" si="58"/>
        <v>3654139.7472871984</v>
      </c>
      <c r="K835" s="1864"/>
      <c r="L835" s="1065"/>
      <c r="M835" s="1930"/>
      <c r="N835" s="1889">
        <f t="shared" si="59"/>
        <v>0</v>
      </c>
    </row>
    <row r="836" spans="1:42" s="870" customFormat="1" ht="15" thickBot="1">
      <c r="A836" s="1135">
        <v>27</v>
      </c>
      <c r="B836" s="1136" t="s">
        <v>308</v>
      </c>
      <c r="C836" s="1135"/>
      <c r="D836" s="1173">
        <f t="shared" si="57"/>
        <v>169352182.73314318</v>
      </c>
      <c r="E836" s="1041">
        <f>SUM(E830:E835)</f>
        <v>0</v>
      </c>
      <c r="F836" s="1041">
        <f>SUM(F830:F835)</f>
        <v>1173327.8804007908</v>
      </c>
      <c r="G836" s="1041">
        <f>SUM(G830:G835)</f>
        <v>150189853.16842872</v>
      </c>
      <c r="H836" s="1045">
        <f>SUM(H830:H835)</f>
        <v>17989001.684313674</v>
      </c>
      <c r="I836" s="1073">
        <f>SUM(I830:I835)</f>
        <v>0</v>
      </c>
      <c r="J836" s="1176">
        <f t="shared" si="58"/>
        <v>168178854.8527424</v>
      </c>
      <c r="K836" s="1041">
        <f>SUM(K830:K835)</f>
        <v>0</v>
      </c>
      <c r="L836" s="1041">
        <f>SUM(L830:L835)</f>
        <v>0</v>
      </c>
      <c r="M836" s="1041">
        <f>SUM(M830:M835)</f>
        <v>0</v>
      </c>
      <c r="N836" s="1180">
        <f t="shared" si="59"/>
        <v>0</v>
      </c>
      <c r="O836"/>
      <c r="P836"/>
      <c r="Q836"/>
      <c r="R836"/>
      <c r="S836"/>
      <c r="T836"/>
      <c r="U836"/>
      <c r="V836"/>
      <c r="W836"/>
      <c r="X836"/>
      <c r="Y836"/>
      <c r="Z836"/>
      <c r="AA836"/>
      <c r="AB836"/>
      <c r="AC836"/>
      <c r="AD836"/>
      <c r="AE836"/>
      <c r="AF836"/>
      <c r="AG836"/>
      <c r="AH836"/>
      <c r="AI836"/>
      <c r="AJ836"/>
      <c r="AK836" s="2976"/>
      <c r="AL836" s="2976"/>
      <c r="AM836" s="2976"/>
      <c r="AN836" s="2976"/>
      <c r="AO836" s="2976"/>
      <c r="AP836" s="2976"/>
    </row>
    <row r="837" spans="1:42">
      <c r="A837" s="1133"/>
      <c r="B837" s="1134" t="s">
        <v>309</v>
      </c>
      <c r="C837" s="1133">
        <v>20</v>
      </c>
      <c r="D837" s="1172">
        <f t="shared" si="57"/>
        <v>0</v>
      </c>
      <c r="E837" s="1032"/>
      <c r="F837" s="1032"/>
      <c r="G837" s="1042"/>
      <c r="H837" s="1035"/>
      <c r="I837" s="1052"/>
      <c r="J837" s="1177"/>
      <c r="K837" s="1032"/>
      <c r="L837" s="1033"/>
      <c r="M837" s="1052"/>
      <c r="N837" s="1177">
        <f t="shared" si="59"/>
        <v>0</v>
      </c>
    </row>
    <row r="838" spans="1:42">
      <c r="A838" s="1830">
        <v>28</v>
      </c>
      <c r="B838" s="1829" t="s">
        <v>310</v>
      </c>
      <c r="C838" s="1836"/>
      <c r="D838" s="1888">
        <f t="shared" si="57"/>
        <v>0</v>
      </c>
      <c r="E838" s="1863"/>
      <c r="F838" s="1863"/>
      <c r="G838" s="1864"/>
      <c r="H838" s="1872"/>
      <c r="I838" s="1897"/>
      <c r="J838" s="1889"/>
      <c r="K838" s="1863"/>
      <c r="L838" s="1868"/>
      <c r="M838" s="1897"/>
      <c r="N838" s="1889">
        <f t="shared" si="59"/>
        <v>0</v>
      </c>
    </row>
    <row r="839" spans="1:42">
      <c r="A839" s="1830">
        <v>29</v>
      </c>
      <c r="B839" s="1829" t="s">
        <v>311</v>
      </c>
      <c r="C839" s="1836"/>
      <c r="D839" s="1888">
        <f>+E839+F839+J839+N839</f>
        <v>674854.96435999998</v>
      </c>
      <c r="E839" s="1863"/>
      <c r="F839" s="1032">
        <v>713128.67018000002</v>
      </c>
      <c r="G839" s="1864">
        <v>-34211.719466585957</v>
      </c>
      <c r="H839" s="1872">
        <v>-4061.9863534140381</v>
      </c>
      <c r="I839" s="1897"/>
      <c r="J839" s="1889">
        <f>SUM(G839:I839)</f>
        <v>-38273.705819999996</v>
      </c>
      <c r="K839" s="1863"/>
      <c r="L839" s="1868"/>
      <c r="M839" s="1897"/>
      <c r="N839" s="1889">
        <f t="shared" si="59"/>
        <v>0</v>
      </c>
    </row>
    <row r="840" spans="1:42">
      <c r="A840" s="1830">
        <v>30</v>
      </c>
      <c r="B840" s="1848" t="s">
        <v>312</v>
      </c>
      <c r="C840" s="1852"/>
      <c r="D840" s="1888">
        <f t="shared" si="57"/>
        <v>71672.755080000003</v>
      </c>
      <c r="E840" s="1863"/>
      <c r="F840" s="1036">
        <v>71672.755080000003</v>
      </c>
      <c r="G840" s="3116">
        <v>0</v>
      </c>
      <c r="H840" s="1885">
        <v>0</v>
      </c>
      <c r="I840" s="1923"/>
      <c r="J840" s="1889">
        <f>SUM(G840:I840)</f>
        <v>0</v>
      </c>
      <c r="K840" s="1863"/>
      <c r="L840" s="1868"/>
      <c r="M840" s="1897"/>
      <c r="N840" s="1889">
        <f t="shared" si="59"/>
        <v>0</v>
      </c>
    </row>
    <row r="841" spans="1:42">
      <c r="A841" s="1830">
        <v>31</v>
      </c>
      <c r="B841" s="1848" t="s">
        <v>313</v>
      </c>
      <c r="C841" s="1852"/>
      <c r="D841" s="1888">
        <f t="shared" si="57"/>
        <v>98236.63</v>
      </c>
      <c r="E841" s="1863"/>
      <c r="F841" s="3114">
        <v>98236.63</v>
      </c>
      <c r="G841" s="3116">
        <v>0</v>
      </c>
      <c r="H841" s="1885">
        <v>0</v>
      </c>
      <c r="I841" s="1923"/>
      <c r="J841" s="1889">
        <f>SUM(G841:I841)</f>
        <v>0</v>
      </c>
      <c r="K841" s="1863"/>
      <c r="L841" s="1868"/>
      <c r="M841" s="1897"/>
      <c r="N841" s="1889">
        <f t="shared" si="59"/>
        <v>0</v>
      </c>
    </row>
    <row r="842" spans="1:42" ht="15" thickBot="1">
      <c r="A842" s="1847">
        <v>32</v>
      </c>
      <c r="B842" s="1848" t="s">
        <v>314</v>
      </c>
      <c r="C842" s="1852"/>
      <c r="D842" s="1888">
        <f t="shared" si="57"/>
        <v>19207677.639340989</v>
      </c>
      <c r="E842" s="1863"/>
      <c r="F842" s="3114">
        <v>18985112.836127885</v>
      </c>
      <c r="G842" s="3116">
        <v>198944.01254147073</v>
      </c>
      <c r="H842" s="1885">
        <v>23620.790671633782</v>
      </c>
      <c r="I842" s="1072"/>
      <c r="J842" s="1889">
        <f>SUM(G842:I842)</f>
        <v>222564.80321310452</v>
      </c>
      <c r="K842" s="1863"/>
      <c r="L842" s="1868"/>
      <c r="M842" s="1897"/>
      <c r="N842" s="1889">
        <f t="shared" si="59"/>
        <v>0</v>
      </c>
    </row>
    <row r="843" spans="1:42" ht="15" thickBot="1">
      <c r="A843" s="1135">
        <v>33</v>
      </c>
      <c r="B843" s="1169" t="s">
        <v>315</v>
      </c>
      <c r="C843" s="1170"/>
      <c r="D843" s="1174">
        <f>+E843+F843+J843+N843</f>
        <v>20052441.988780987</v>
      </c>
      <c r="E843" s="1046">
        <f>SUM(E838:E842)</f>
        <v>0</v>
      </c>
      <c r="F843" s="1046">
        <f>SUM(F838:F842)</f>
        <v>19868150.891387884</v>
      </c>
      <c r="G843" s="1046">
        <f>SUM(G838:G842)</f>
        <v>164732.29307488477</v>
      </c>
      <c r="H843" s="1046">
        <f>SUM(H838:H842)</f>
        <v>19558.804318219743</v>
      </c>
      <c r="I843" s="1074">
        <f>SUM(I838:I842)</f>
        <v>0</v>
      </c>
      <c r="J843" s="1178">
        <f t="shared" si="58"/>
        <v>184291.09739310452</v>
      </c>
      <c r="K843" s="1046">
        <f>SUM(K838:K842)</f>
        <v>0</v>
      </c>
      <c r="L843" s="1047">
        <f>SUM(L838:L842)</f>
        <v>0</v>
      </c>
      <c r="M843" s="1066">
        <f>SUM(M838:M842)</f>
        <v>0</v>
      </c>
      <c r="N843" s="1178">
        <f t="shared" si="59"/>
        <v>0</v>
      </c>
    </row>
    <row r="844" spans="1:42" s="870" customFormat="1" ht="27" thickBot="1">
      <c r="A844" s="1138">
        <v>34</v>
      </c>
      <c r="B844" s="1139" t="s">
        <v>317</v>
      </c>
      <c r="C844" s="1138"/>
      <c r="D844" s="1166">
        <f t="shared" si="57"/>
        <v>189404624.72192419</v>
      </c>
      <c r="E844" s="1166">
        <f>E843+E836</f>
        <v>0</v>
      </c>
      <c r="F844" s="1166">
        <f>F843+F836</f>
        <v>21041478.771788675</v>
      </c>
      <c r="G844" s="1166">
        <f>G843+G836</f>
        <v>150354585.4615036</v>
      </c>
      <c r="H844" s="1166">
        <f>H843+H836</f>
        <v>18008560.488631893</v>
      </c>
      <c r="I844" s="1166">
        <f>I843+I836</f>
        <v>0</v>
      </c>
      <c r="J844" s="1166">
        <f t="shared" si="58"/>
        <v>168363145.9501355</v>
      </c>
      <c r="K844" s="1166">
        <f>K843+K836</f>
        <v>0</v>
      </c>
      <c r="L844" s="1167">
        <f>L843+L836</f>
        <v>0</v>
      </c>
      <c r="M844" s="1206">
        <f>M843+M836</f>
        <v>0</v>
      </c>
      <c r="N844" s="1166">
        <f t="shared" si="59"/>
        <v>0</v>
      </c>
      <c r="O844"/>
      <c r="P844"/>
      <c r="Q844"/>
      <c r="R844"/>
      <c r="S844"/>
      <c r="T844"/>
      <c r="U844"/>
      <c r="V844"/>
      <c r="W844"/>
      <c r="X844"/>
      <c r="Y844"/>
      <c r="Z844"/>
      <c r="AA844"/>
      <c r="AB844"/>
      <c r="AC844"/>
      <c r="AD844"/>
      <c r="AE844"/>
      <c r="AF844"/>
      <c r="AG844"/>
      <c r="AH844"/>
      <c r="AI844"/>
      <c r="AJ844"/>
      <c r="AK844" s="2976"/>
      <c r="AL844" s="2976"/>
      <c r="AM844" s="2976"/>
      <c r="AN844" s="2976"/>
      <c r="AO844" s="2976"/>
      <c r="AP844" s="2976"/>
    </row>
    <row r="845" spans="1:42">
      <c r="B845"/>
      <c r="C845"/>
      <c r="D845"/>
      <c r="E845"/>
      <c r="F845"/>
      <c r="G845"/>
      <c r="H845"/>
      <c r="I845"/>
      <c r="J845"/>
      <c r="K845"/>
      <c r="L845"/>
      <c r="M845"/>
      <c r="N845"/>
    </row>
    <row r="846" spans="1:42">
      <c r="B846"/>
      <c r="C846"/>
      <c r="D846"/>
      <c r="E846"/>
      <c r="F846"/>
      <c r="G846"/>
      <c r="H846"/>
      <c r="I846"/>
      <c r="J846"/>
      <c r="K846"/>
      <c r="L846"/>
      <c r="M846"/>
      <c r="N846"/>
    </row>
    <row r="847" spans="1:42">
      <c r="B847"/>
      <c r="C847"/>
      <c r="D847"/>
      <c r="E847"/>
      <c r="F847"/>
      <c r="G847"/>
      <c r="H847"/>
      <c r="I847"/>
      <c r="J847"/>
      <c r="K847"/>
      <c r="L847"/>
      <c r="M847"/>
      <c r="N847"/>
    </row>
    <row r="848" spans="1:42">
      <c r="E848" s="855"/>
    </row>
    <row r="849" spans="1:14" ht="15" thickBot="1"/>
    <row r="850" spans="1:14" ht="15" thickBot="1">
      <c r="A850" s="1153" t="s">
        <v>197</v>
      </c>
      <c r="B850" s="3301" t="s">
        <v>117</v>
      </c>
      <c r="C850" s="3302"/>
      <c r="D850" s="662"/>
      <c r="E850" s="662"/>
      <c r="F850" s="662"/>
      <c r="G850" s="662"/>
      <c r="H850" s="662"/>
      <c r="I850" s="662"/>
      <c r="J850" s="662"/>
      <c r="K850" s="662"/>
      <c r="L850" s="662"/>
      <c r="M850" s="3292"/>
      <c r="N850" s="3292"/>
    </row>
    <row r="851" spans="1:14" ht="13.5" customHeight="1" thickBot="1">
      <c r="A851" s="3293" t="s">
        <v>258</v>
      </c>
      <c r="B851" s="3298"/>
      <c r="C851" s="3280" t="s">
        <v>259</v>
      </c>
      <c r="D851" s="3283" t="s">
        <v>260</v>
      </c>
      <c r="E851" s="3283" t="s">
        <v>261</v>
      </c>
      <c r="F851" s="3283" t="s">
        <v>262</v>
      </c>
      <c r="G851" s="3286" t="s">
        <v>263</v>
      </c>
      <c r="H851" s="3287"/>
      <c r="I851" s="3287"/>
      <c r="J851" s="3287"/>
      <c r="K851" s="3287"/>
      <c r="L851" s="3287"/>
      <c r="M851" s="3287"/>
      <c r="N851" s="3288"/>
    </row>
    <row r="852" spans="1:14" ht="13.5" customHeight="1" thickBot="1">
      <c r="A852" s="3294"/>
      <c r="B852" s="3299"/>
      <c r="C852" s="3281"/>
      <c r="D852" s="3284"/>
      <c r="E852" s="3284"/>
      <c r="F852" s="3284"/>
      <c r="G852" s="3289" t="s">
        <v>264</v>
      </c>
      <c r="H852" s="3290"/>
      <c r="I852" s="3290"/>
      <c r="J852" s="3291"/>
      <c r="K852" s="3289" t="s">
        <v>265</v>
      </c>
      <c r="L852" s="3290"/>
      <c r="M852" s="3290"/>
      <c r="N852" s="3291"/>
    </row>
    <row r="853" spans="1:14" ht="40.15" thickBot="1">
      <c r="A853" s="3294"/>
      <c r="B853" s="3299"/>
      <c r="C853" s="3281"/>
      <c r="D853" s="3285"/>
      <c r="E853" s="3285"/>
      <c r="F853" s="3285"/>
      <c r="G853" s="1125" t="s">
        <v>267</v>
      </c>
      <c r="H853" s="1125" t="s">
        <v>268</v>
      </c>
      <c r="I853" s="1125" t="s">
        <v>269</v>
      </c>
      <c r="J853" s="1125" t="s">
        <v>160</v>
      </c>
      <c r="K853" s="1126" t="s">
        <v>270</v>
      </c>
      <c r="L853" s="1126" t="s">
        <v>271</v>
      </c>
      <c r="M853" s="1126" t="s">
        <v>272</v>
      </c>
      <c r="N853" s="2969" t="s">
        <v>160</v>
      </c>
    </row>
    <row r="854" spans="1:14" ht="15" thickBot="1">
      <c r="A854" s="3294"/>
      <c r="B854" s="3299"/>
      <c r="C854" s="3281"/>
      <c r="D854" s="1128">
        <v>1</v>
      </c>
      <c r="E854" s="3283">
        <v>2</v>
      </c>
      <c r="F854" s="3283">
        <v>3</v>
      </c>
      <c r="G854" s="3283">
        <v>4</v>
      </c>
      <c r="H854" s="3283">
        <v>5</v>
      </c>
      <c r="I854" s="3283">
        <v>6</v>
      </c>
      <c r="J854" s="2974">
        <v>7</v>
      </c>
      <c r="K854" s="3283">
        <v>8</v>
      </c>
      <c r="L854" s="3283">
        <v>9</v>
      </c>
      <c r="M854" s="3283">
        <v>10</v>
      </c>
      <c r="N854" s="1128">
        <v>11</v>
      </c>
    </row>
    <row r="855" spans="1:14" ht="15" thickBot="1">
      <c r="A855" s="3295"/>
      <c r="B855" s="3300"/>
      <c r="C855" s="3282"/>
      <c r="D855" s="1130"/>
      <c r="E855" s="3285"/>
      <c r="F855" s="3285"/>
      <c r="G855" s="3285"/>
      <c r="H855" s="3285"/>
      <c r="I855" s="3305"/>
      <c r="J855" s="1131" t="s">
        <v>273</v>
      </c>
      <c r="K855" s="3285"/>
      <c r="L855" s="3285"/>
      <c r="M855" s="3305"/>
      <c r="N855" s="1157" t="s">
        <v>274</v>
      </c>
    </row>
    <row r="856" spans="1:14">
      <c r="A856" s="1133"/>
      <c r="B856" s="1134" t="s">
        <v>275</v>
      </c>
      <c r="C856" s="1133"/>
      <c r="D856" s="1928"/>
      <c r="E856" s="1071"/>
      <c r="F856" s="1071"/>
      <c r="G856" s="1042"/>
      <c r="H856" s="1035"/>
      <c r="I856" s="1062"/>
      <c r="J856" s="1177"/>
      <c r="K856" s="1032"/>
      <c r="L856" s="1035"/>
      <c r="M856" s="1077"/>
      <c r="N856" s="1929"/>
    </row>
    <row r="857" spans="1:14">
      <c r="A857" s="1828">
        <v>1</v>
      </c>
      <c r="B857" s="1829" t="s">
        <v>276</v>
      </c>
      <c r="C857" s="1830"/>
      <c r="D857" s="1888">
        <f t="shared" ref="D857:D897" si="60">+E857+F857+J857+N857</f>
        <v>0</v>
      </c>
      <c r="E857" s="1863"/>
      <c r="F857" s="1863">
        <v>0</v>
      </c>
      <c r="G857" s="1864">
        <v>0</v>
      </c>
      <c r="H857" s="1872">
        <v>0</v>
      </c>
      <c r="I857" s="1897">
        <v>0</v>
      </c>
      <c r="J857" s="1889">
        <f t="shared" ref="J857:J888" si="61">G857+H857+I857</f>
        <v>0</v>
      </c>
      <c r="K857" s="1863"/>
      <c r="L857" s="1868"/>
      <c r="M857" s="1897"/>
      <c r="N857" s="1889">
        <f t="shared" ref="N857:N897" si="62">K857+L857+M857</f>
        <v>0</v>
      </c>
    </row>
    <row r="858" spans="1:14">
      <c r="A858" s="1828">
        <v>2</v>
      </c>
      <c r="B858" s="1829" t="s">
        <v>277</v>
      </c>
      <c r="C858" s="1830"/>
      <c r="D858" s="1888">
        <f t="shared" si="60"/>
        <v>1311217</v>
      </c>
      <c r="E858" s="1863"/>
      <c r="F858" s="1863">
        <v>710642</v>
      </c>
      <c r="G858" s="1864">
        <v>0</v>
      </c>
      <c r="H858" s="1872">
        <v>0</v>
      </c>
      <c r="I858" s="1897">
        <v>600575</v>
      </c>
      <c r="J858" s="1889">
        <f>G858+H858+I858</f>
        <v>600575</v>
      </c>
      <c r="K858" s="1863"/>
      <c r="L858" s="1868"/>
      <c r="M858" s="1897"/>
      <c r="N858" s="1889">
        <f t="shared" si="62"/>
        <v>0</v>
      </c>
    </row>
    <row r="859" spans="1:14">
      <c r="A859" s="1828">
        <v>3</v>
      </c>
      <c r="B859" s="1829" t="s">
        <v>278</v>
      </c>
      <c r="C859" s="1830"/>
      <c r="D859" s="1888">
        <f t="shared" si="60"/>
        <v>0</v>
      </c>
      <c r="E859" s="1863"/>
      <c r="F859" s="1032">
        <v>0</v>
      </c>
      <c r="G859" s="1864">
        <v>0</v>
      </c>
      <c r="H859" s="1872">
        <v>0</v>
      </c>
      <c r="I859" s="1897">
        <v>0</v>
      </c>
      <c r="J859" s="1889">
        <f t="shared" si="61"/>
        <v>0</v>
      </c>
      <c r="K859" s="1863"/>
      <c r="L859" s="1868"/>
      <c r="M859" s="1897"/>
      <c r="N859" s="1889">
        <f t="shared" si="62"/>
        <v>0</v>
      </c>
    </row>
    <row r="860" spans="1:14">
      <c r="A860" s="1828">
        <v>4</v>
      </c>
      <c r="B860" s="1829" t="s">
        <v>324</v>
      </c>
      <c r="C860" s="1830"/>
      <c r="D860" s="1888">
        <f t="shared" si="60"/>
        <v>455615</v>
      </c>
      <c r="E860" s="1863"/>
      <c r="F860" s="1032">
        <v>0</v>
      </c>
      <c r="G860" s="1864">
        <v>0</v>
      </c>
      <c r="H860" s="1872">
        <v>0</v>
      </c>
      <c r="I860" s="1897">
        <v>455615</v>
      </c>
      <c r="J860" s="1889">
        <f t="shared" si="61"/>
        <v>455615</v>
      </c>
      <c r="K860" s="1863"/>
      <c r="L860" s="1868"/>
      <c r="M860" s="1897"/>
      <c r="N860" s="1889">
        <f t="shared" si="62"/>
        <v>0</v>
      </c>
    </row>
    <row r="861" spans="1:14">
      <c r="A861" s="1828">
        <v>5</v>
      </c>
      <c r="B861" s="1829" t="s">
        <v>280</v>
      </c>
      <c r="C861" s="1836">
        <v>5</v>
      </c>
      <c r="D861" s="1888">
        <f t="shared" si="60"/>
        <v>2759687</v>
      </c>
      <c r="E861" s="1863"/>
      <c r="F861" s="1032">
        <v>0</v>
      </c>
      <c r="G861" s="1042">
        <v>0</v>
      </c>
      <c r="H861" s="1872">
        <v>2439900</v>
      </c>
      <c r="I861" s="1897">
        <v>319787</v>
      </c>
      <c r="J861" s="1889">
        <f t="shared" si="61"/>
        <v>2759687</v>
      </c>
      <c r="K861" s="1863"/>
      <c r="L861" s="1868"/>
      <c r="M861" s="1897"/>
      <c r="N861" s="1889">
        <f t="shared" si="62"/>
        <v>0</v>
      </c>
    </row>
    <row r="862" spans="1:14">
      <c r="A862" s="1828">
        <v>6</v>
      </c>
      <c r="B862" s="1829" t="s">
        <v>281</v>
      </c>
      <c r="C862" s="1830">
        <v>6</v>
      </c>
      <c r="D862" s="1888">
        <f t="shared" si="60"/>
        <v>0</v>
      </c>
      <c r="E862" s="1863"/>
      <c r="F862" s="1032">
        <v>0</v>
      </c>
      <c r="G862" s="1042">
        <v>0</v>
      </c>
      <c r="H862" s="1872">
        <v>0</v>
      </c>
      <c r="I862" s="1897">
        <v>0</v>
      </c>
      <c r="J862" s="1889">
        <f t="shared" si="61"/>
        <v>0</v>
      </c>
      <c r="K862" s="1863"/>
      <c r="L862" s="1868"/>
      <c r="M862" s="1897"/>
      <c r="N862" s="1889">
        <f t="shared" si="62"/>
        <v>0</v>
      </c>
    </row>
    <row r="863" spans="1:14">
      <c r="A863" s="1828">
        <v>7</v>
      </c>
      <c r="B863" s="1829" t="s">
        <v>282</v>
      </c>
      <c r="C863" s="1836">
        <v>7</v>
      </c>
      <c r="D863" s="1888">
        <f t="shared" si="60"/>
        <v>0</v>
      </c>
      <c r="E863" s="1863"/>
      <c r="F863" s="1032"/>
      <c r="G863" s="1032"/>
      <c r="H863" s="1868"/>
      <c r="I863" s="1897"/>
      <c r="J863" s="1889">
        <f t="shared" si="61"/>
        <v>0</v>
      </c>
      <c r="K863" s="1863">
        <f>K864+K865</f>
        <v>0</v>
      </c>
      <c r="L863" s="1868">
        <f>L864+L865</f>
        <v>0</v>
      </c>
      <c r="M863" s="1897">
        <f>M864+M865</f>
        <v>0</v>
      </c>
      <c r="N863" s="1889">
        <f t="shared" si="62"/>
        <v>0</v>
      </c>
    </row>
    <row r="864" spans="1:14">
      <c r="A864" s="1830"/>
      <c r="B864" s="1837" t="s">
        <v>283</v>
      </c>
      <c r="C864" s="1836"/>
      <c r="D864" s="1888">
        <f t="shared" si="60"/>
        <v>0</v>
      </c>
      <c r="E864" s="1863"/>
      <c r="F864" s="1863"/>
      <c r="G864" s="1863"/>
      <c r="H864" s="1868"/>
      <c r="I864" s="1897"/>
      <c r="J864" s="1889">
        <f t="shared" si="61"/>
        <v>0</v>
      </c>
      <c r="K864" s="1863"/>
      <c r="L864" s="1868"/>
      <c r="M864" s="1897"/>
      <c r="N864" s="1889">
        <f t="shared" si="62"/>
        <v>0</v>
      </c>
    </row>
    <row r="865" spans="1:14">
      <c r="A865" s="1830"/>
      <c r="B865" s="1837" t="s">
        <v>284</v>
      </c>
      <c r="C865" s="1836"/>
      <c r="D865" s="1888">
        <f t="shared" si="60"/>
        <v>0</v>
      </c>
      <c r="E865" s="1863"/>
      <c r="F865" s="1863"/>
      <c r="G865" s="1864"/>
      <c r="H865" s="1872"/>
      <c r="I865" s="1897"/>
      <c r="J865" s="1889">
        <f t="shared" si="61"/>
        <v>0</v>
      </c>
      <c r="K865" s="1863"/>
      <c r="L865" s="1868"/>
      <c r="M865" s="1897"/>
      <c r="N865" s="1889">
        <f t="shared" si="62"/>
        <v>0</v>
      </c>
    </row>
    <row r="866" spans="1:14">
      <c r="A866" s="1828">
        <v>8</v>
      </c>
      <c r="B866" s="1829" t="s">
        <v>285</v>
      </c>
      <c r="C866" s="1830">
        <v>8</v>
      </c>
      <c r="D866" s="1888">
        <f t="shared" si="60"/>
        <v>1703160</v>
      </c>
      <c r="E866" s="1863"/>
      <c r="F866" s="1032">
        <v>1703160</v>
      </c>
      <c r="G866" s="1032"/>
      <c r="H866" s="1868"/>
      <c r="I866" s="1897"/>
      <c r="J866" s="1889">
        <f t="shared" si="61"/>
        <v>0</v>
      </c>
      <c r="K866" s="1863">
        <f>K867+K868</f>
        <v>0</v>
      </c>
      <c r="L866" s="1868">
        <f>L867+L868</f>
        <v>0</v>
      </c>
      <c r="M866" s="1897">
        <f>M867+M868</f>
        <v>0</v>
      </c>
      <c r="N866" s="1889">
        <f t="shared" si="62"/>
        <v>0</v>
      </c>
    </row>
    <row r="867" spans="1:14">
      <c r="A867" s="1828"/>
      <c r="B867" s="1837" t="s">
        <v>286</v>
      </c>
      <c r="C867" s="1830"/>
      <c r="D867" s="1888">
        <f t="shared" si="60"/>
        <v>0</v>
      </c>
      <c r="E867" s="1863"/>
      <c r="F867" s="1863"/>
      <c r="G867" s="1863"/>
      <c r="H867" s="1868"/>
      <c r="I867" s="1897"/>
      <c r="J867" s="1889">
        <f t="shared" si="61"/>
        <v>0</v>
      </c>
      <c r="K867" s="1863"/>
      <c r="L867" s="1868"/>
      <c r="M867" s="1897"/>
      <c r="N867" s="1889">
        <f t="shared" si="62"/>
        <v>0</v>
      </c>
    </row>
    <row r="868" spans="1:14">
      <c r="A868" s="1828"/>
      <c r="B868" s="1837" t="s">
        <v>287</v>
      </c>
      <c r="C868" s="1830"/>
      <c r="D868" s="1888">
        <f t="shared" si="60"/>
        <v>0</v>
      </c>
      <c r="E868" s="1863"/>
      <c r="F868" s="1863"/>
      <c r="G868" s="1864"/>
      <c r="H868" s="1872"/>
      <c r="I868" s="1897"/>
      <c r="J868" s="1889">
        <f t="shared" si="61"/>
        <v>0</v>
      </c>
      <c r="K868" s="1863"/>
      <c r="L868" s="1868"/>
      <c r="M868" s="1897"/>
      <c r="N868" s="1889">
        <f t="shared" si="62"/>
        <v>0</v>
      </c>
    </row>
    <row r="869" spans="1:14" ht="26.45">
      <c r="A869" s="1838">
        <v>9</v>
      </c>
      <c r="B869" s="1839" t="s">
        <v>288</v>
      </c>
      <c r="C869" s="1840"/>
      <c r="D869" s="1905">
        <f t="shared" si="60"/>
        <v>64455930</v>
      </c>
      <c r="E869" s="1906">
        <f>SUM(E870:E873)</f>
        <v>0</v>
      </c>
      <c r="F869" s="1906">
        <f>SUM(F870:F873)</f>
        <v>9396787</v>
      </c>
      <c r="G869" s="1906">
        <f>SUM(G870:G873)</f>
        <v>7907036</v>
      </c>
      <c r="H869" s="1879">
        <f>SUM(H870:H873)</f>
        <v>7938716</v>
      </c>
      <c r="I869" s="1925">
        <f>SUM(I870:I873)</f>
        <v>38223079</v>
      </c>
      <c r="J869" s="1908">
        <f t="shared" si="61"/>
        <v>54068831</v>
      </c>
      <c r="K869" s="1906">
        <f>SUM(K870:K873)</f>
        <v>252208</v>
      </c>
      <c r="L869" s="1879">
        <f>SUM(L870:L873)</f>
        <v>0</v>
      </c>
      <c r="M869" s="1925">
        <f>SUM(M870:M873)</f>
        <v>738104</v>
      </c>
      <c r="N869" s="1908">
        <f t="shared" si="62"/>
        <v>990312</v>
      </c>
    </row>
    <row r="870" spans="1:14">
      <c r="A870" s="1830">
        <v>10</v>
      </c>
      <c r="B870" s="1846" t="s">
        <v>289</v>
      </c>
      <c r="C870" s="1830">
        <v>9</v>
      </c>
      <c r="D870" s="1888">
        <f t="shared" si="60"/>
        <v>36044803</v>
      </c>
      <c r="E870" s="1863"/>
      <c r="F870" s="1863">
        <v>4668301</v>
      </c>
      <c r="G870" s="1864">
        <v>4574085</v>
      </c>
      <c r="H870" s="1872">
        <v>4324928</v>
      </c>
      <c r="I870" s="1897">
        <v>22477489</v>
      </c>
      <c r="J870" s="1889">
        <f t="shared" si="61"/>
        <v>31376502</v>
      </c>
      <c r="K870" s="1864"/>
      <c r="L870" s="1913"/>
      <c r="M870" s="1866"/>
      <c r="N870" s="1889">
        <f t="shared" si="62"/>
        <v>0</v>
      </c>
    </row>
    <row r="871" spans="1:14">
      <c r="A871" s="1830">
        <v>11</v>
      </c>
      <c r="B871" s="1846" t="s">
        <v>290</v>
      </c>
      <c r="C871" s="1830">
        <v>10</v>
      </c>
      <c r="D871" s="1888">
        <f t="shared" si="60"/>
        <v>13008194</v>
      </c>
      <c r="E871" s="1863"/>
      <c r="F871" s="1032">
        <v>649409</v>
      </c>
      <c r="G871" s="1042">
        <v>1928076</v>
      </c>
      <c r="H871" s="1043">
        <v>2677143</v>
      </c>
      <c r="I871" s="1053">
        <v>7735252</v>
      </c>
      <c r="J871" s="1889">
        <f t="shared" si="61"/>
        <v>12340471</v>
      </c>
      <c r="K871" s="1864">
        <v>18314</v>
      </c>
      <c r="L871" s="1865"/>
      <c r="M871" s="1044"/>
      <c r="N871" s="1889">
        <f t="shared" si="62"/>
        <v>18314</v>
      </c>
    </row>
    <row r="872" spans="1:14">
      <c r="A872" s="1830">
        <v>12</v>
      </c>
      <c r="B872" s="1846" t="s">
        <v>291</v>
      </c>
      <c r="C872" s="1830">
        <v>11</v>
      </c>
      <c r="D872" s="1888">
        <f t="shared" si="60"/>
        <v>11704394</v>
      </c>
      <c r="E872" s="1863"/>
      <c r="F872" s="1032">
        <v>4079077</v>
      </c>
      <c r="G872" s="1042">
        <v>626540</v>
      </c>
      <c r="H872" s="1043">
        <v>557250</v>
      </c>
      <c r="I872" s="1053">
        <v>6207633</v>
      </c>
      <c r="J872" s="1889">
        <f t="shared" si="61"/>
        <v>7391423</v>
      </c>
      <c r="K872" s="1864">
        <v>233894</v>
      </c>
      <c r="L872" s="1865"/>
      <c r="M872" s="1044"/>
      <c r="N872" s="1889">
        <f t="shared" si="62"/>
        <v>233894</v>
      </c>
    </row>
    <row r="873" spans="1:14" ht="26.45">
      <c r="A873" s="1830">
        <v>13</v>
      </c>
      <c r="B873" s="1846" t="s">
        <v>292</v>
      </c>
      <c r="C873" s="1830">
        <v>12</v>
      </c>
      <c r="D873" s="1888">
        <f t="shared" si="60"/>
        <v>3698539</v>
      </c>
      <c r="E873" s="1863"/>
      <c r="F873" s="1032">
        <v>0</v>
      </c>
      <c r="G873" s="1042">
        <v>778335</v>
      </c>
      <c r="H873" s="1043">
        <v>379395</v>
      </c>
      <c r="I873" s="1053">
        <v>1802705</v>
      </c>
      <c r="J873" s="1889">
        <f t="shared" si="61"/>
        <v>2960435</v>
      </c>
      <c r="K873" s="1864"/>
      <c r="L873" s="1865"/>
      <c r="M873" s="1044">
        <v>738104</v>
      </c>
      <c r="N873" s="1889">
        <f t="shared" si="62"/>
        <v>738104</v>
      </c>
    </row>
    <row r="874" spans="1:14">
      <c r="A874" s="1830">
        <v>14</v>
      </c>
      <c r="B874" s="1829" t="s">
        <v>293</v>
      </c>
      <c r="C874" s="1830">
        <v>13</v>
      </c>
      <c r="D874" s="1888">
        <f t="shared" si="60"/>
        <v>2118116</v>
      </c>
      <c r="E874" s="1863"/>
      <c r="F874" s="1863">
        <v>0</v>
      </c>
      <c r="G874" s="1864">
        <v>87835</v>
      </c>
      <c r="H874" s="1872">
        <v>39529</v>
      </c>
      <c r="I874" s="1897">
        <v>1990752</v>
      </c>
      <c r="J874" s="1889">
        <f t="shared" si="61"/>
        <v>2118116</v>
      </c>
      <c r="K874" s="1864">
        <v>0</v>
      </c>
      <c r="L874" s="1913">
        <v>0</v>
      </c>
      <c r="M874" s="1911">
        <v>0</v>
      </c>
      <c r="N874" s="1889">
        <f t="shared" si="62"/>
        <v>0</v>
      </c>
    </row>
    <row r="875" spans="1:14">
      <c r="A875" s="1830">
        <v>15</v>
      </c>
      <c r="B875" s="1829" t="s">
        <v>294</v>
      </c>
      <c r="C875" s="1836">
        <v>14</v>
      </c>
      <c r="D875" s="1888">
        <f t="shared" si="60"/>
        <v>556985</v>
      </c>
      <c r="E875" s="1863"/>
      <c r="F875" s="1032">
        <v>0</v>
      </c>
      <c r="G875" s="1042">
        <v>10114</v>
      </c>
      <c r="H875" s="1035">
        <v>554311</v>
      </c>
      <c r="I875" s="1897">
        <v>-7440</v>
      </c>
      <c r="J875" s="1889">
        <f t="shared" si="61"/>
        <v>556985</v>
      </c>
      <c r="K875" s="1864">
        <v>0</v>
      </c>
      <c r="L875" s="1913">
        <v>0</v>
      </c>
      <c r="M875" s="1911">
        <v>0</v>
      </c>
      <c r="N875" s="1889">
        <f t="shared" si="62"/>
        <v>0</v>
      </c>
    </row>
    <row r="876" spans="1:14">
      <c r="A876" s="1830">
        <v>16</v>
      </c>
      <c r="B876" s="1829" t="s">
        <v>295</v>
      </c>
      <c r="C876" s="1830">
        <v>15</v>
      </c>
      <c r="D876" s="1888">
        <f t="shared" si="60"/>
        <v>878441</v>
      </c>
      <c r="E876" s="1863"/>
      <c r="F876" s="1032">
        <v>0</v>
      </c>
      <c r="G876" s="1042">
        <v>5294</v>
      </c>
      <c r="H876" s="1035">
        <v>284013</v>
      </c>
      <c r="I876" s="1897">
        <v>589134</v>
      </c>
      <c r="J876" s="1889">
        <f t="shared" si="61"/>
        <v>878441</v>
      </c>
      <c r="K876" s="1864">
        <v>0</v>
      </c>
      <c r="L876" s="1913">
        <v>0</v>
      </c>
      <c r="M876" s="1911">
        <v>0</v>
      </c>
      <c r="N876" s="1889">
        <f t="shared" si="62"/>
        <v>0</v>
      </c>
    </row>
    <row r="877" spans="1:14">
      <c r="A877" s="1830">
        <v>17</v>
      </c>
      <c r="B877" s="1829" t="s">
        <v>296</v>
      </c>
      <c r="C877" s="1836">
        <v>16</v>
      </c>
      <c r="D877" s="1888">
        <f t="shared" si="60"/>
        <v>777524</v>
      </c>
      <c r="E877" s="1863">
        <v>-2563686</v>
      </c>
      <c r="F877" s="1032">
        <v>2737663</v>
      </c>
      <c r="G877" s="1042">
        <v>8589</v>
      </c>
      <c r="H877" s="1043">
        <v>408928</v>
      </c>
      <c r="I877" s="1911">
        <v>169948</v>
      </c>
      <c r="J877" s="1889">
        <f t="shared" si="61"/>
        <v>587465</v>
      </c>
      <c r="K877" s="1864">
        <v>2764</v>
      </c>
      <c r="L877" s="1865">
        <v>0</v>
      </c>
      <c r="M877" s="1866">
        <v>13318</v>
      </c>
      <c r="N877" s="1889">
        <f t="shared" si="62"/>
        <v>16082</v>
      </c>
    </row>
    <row r="878" spans="1:14">
      <c r="A878" s="1830">
        <v>18</v>
      </c>
      <c r="B878" s="1829" t="s">
        <v>297</v>
      </c>
      <c r="C878" s="1830"/>
      <c r="D878" s="1888">
        <f t="shared" si="60"/>
        <v>0</v>
      </c>
      <c r="E878" s="1863"/>
      <c r="F878" s="1032">
        <v>0</v>
      </c>
      <c r="G878" s="1042">
        <v>0</v>
      </c>
      <c r="H878" s="1035">
        <v>0</v>
      </c>
      <c r="I878" s="1897">
        <v>0</v>
      </c>
      <c r="J878" s="1889">
        <f t="shared" si="61"/>
        <v>0</v>
      </c>
      <c r="K878" s="1864">
        <v>0</v>
      </c>
      <c r="L878" s="1913">
        <v>0</v>
      </c>
      <c r="M878" s="1911">
        <v>0</v>
      </c>
      <c r="N878" s="1889">
        <f t="shared" si="62"/>
        <v>0</v>
      </c>
    </row>
    <row r="879" spans="1:14" ht="15" thickBot="1">
      <c r="A879" s="1847">
        <v>19</v>
      </c>
      <c r="B879" s="1848" t="s">
        <v>298</v>
      </c>
      <c r="C879" s="1847"/>
      <c r="D879" s="3117">
        <f t="shared" si="60"/>
        <v>952332</v>
      </c>
      <c r="E879" s="3114"/>
      <c r="F879" s="1036">
        <v>9198</v>
      </c>
      <c r="G879" s="1060">
        <v>13225</v>
      </c>
      <c r="H879" s="1058">
        <v>875771</v>
      </c>
      <c r="I879" s="1923">
        <v>52830</v>
      </c>
      <c r="J879" s="3118">
        <f t="shared" si="61"/>
        <v>941826</v>
      </c>
      <c r="K879" s="3116">
        <v>1259</v>
      </c>
      <c r="L879" s="1917">
        <v>0</v>
      </c>
      <c r="M879" s="1922">
        <v>49</v>
      </c>
      <c r="N879" s="3118">
        <f t="shared" si="62"/>
        <v>1308</v>
      </c>
    </row>
    <row r="880" spans="1:14" ht="27" thickBot="1">
      <c r="A880" s="1138">
        <v>20</v>
      </c>
      <c r="B880" s="1139" t="s">
        <v>299</v>
      </c>
      <c r="C880" s="1138"/>
      <c r="D880" s="1163">
        <f t="shared" si="60"/>
        <v>75969007</v>
      </c>
      <c r="E880" s="1163">
        <f>SUM(E857:E863)+E866+E869+SUM(E874:E879)</f>
        <v>-2563686</v>
      </c>
      <c r="F880" s="1163">
        <f>SUM(F857:F863)+F866+F869+SUM(F874:F879)</f>
        <v>14557450</v>
      </c>
      <c r="G880" s="1163">
        <f>SUM(G857:G863)+G866+G869+SUM(G874:G879)</f>
        <v>8032093</v>
      </c>
      <c r="H880" s="1164">
        <f>SUM(H857:H863)+H866+H869+SUM(H874:H879)</f>
        <v>12541168</v>
      </c>
      <c r="I880" s="1193">
        <f>SUM(I857:I863)+I866+I869+SUM(I874:I879)</f>
        <v>42394280</v>
      </c>
      <c r="J880" s="1163">
        <f t="shared" si="61"/>
        <v>62967541</v>
      </c>
      <c r="K880" s="1163">
        <f>SUM(K857:K863)+K866+K869+SUM(K874:K879)</f>
        <v>256231</v>
      </c>
      <c r="L880" s="1164">
        <f>SUM(L857:L863)+L866+L869+SUM(L874:L879)</f>
        <v>0</v>
      </c>
      <c r="M880" s="1193">
        <f>SUM(M857:M863)+M866+M869+SUM(M874:M879)</f>
        <v>751471</v>
      </c>
      <c r="N880" s="1163">
        <f t="shared" si="62"/>
        <v>1007702</v>
      </c>
    </row>
    <row r="881" spans="1:14">
      <c r="A881" s="1133"/>
      <c r="B881" s="1134" t="s">
        <v>300</v>
      </c>
      <c r="C881" s="1133"/>
      <c r="D881" s="1172">
        <f t="shared" si="60"/>
        <v>0</v>
      </c>
      <c r="E881" s="1032"/>
      <c r="F881" s="1032"/>
      <c r="G881" s="1042"/>
      <c r="H881" s="1035"/>
      <c r="I881" s="1052"/>
      <c r="J881" s="1177">
        <f t="shared" si="61"/>
        <v>0</v>
      </c>
      <c r="K881" s="1042"/>
      <c r="L881" s="1054"/>
      <c r="M881" s="1053"/>
      <c r="N881" s="1177">
        <f t="shared" si="62"/>
        <v>0</v>
      </c>
    </row>
    <row r="882" spans="1:14">
      <c r="A882" s="1830"/>
      <c r="B882" s="1850" t="s">
        <v>301</v>
      </c>
      <c r="C882" s="1830"/>
      <c r="D882" s="1888">
        <f t="shared" si="60"/>
        <v>0</v>
      </c>
      <c r="E882" s="1863"/>
      <c r="F882" s="1863"/>
      <c r="G882" s="1864"/>
      <c r="H882" s="1872"/>
      <c r="I882" s="1897"/>
      <c r="J882" s="1889">
        <f t="shared" si="61"/>
        <v>0</v>
      </c>
      <c r="K882" s="1864"/>
      <c r="L882" s="1913"/>
      <c r="M882" s="1911"/>
      <c r="N882" s="1889">
        <f t="shared" si="62"/>
        <v>0</v>
      </c>
    </row>
    <row r="883" spans="1:14">
      <c r="A883" s="1830">
        <v>21</v>
      </c>
      <c r="B883" s="1829" t="s">
        <v>302</v>
      </c>
      <c r="C883" s="1836">
        <v>17</v>
      </c>
      <c r="D883" s="1888">
        <f t="shared" si="60"/>
        <v>55624998</v>
      </c>
      <c r="E883" s="1863"/>
      <c r="F883" s="1863">
        <v>0</v>
      </c>
      <c r="G883" s="1864">
        <v>7783352</v>
      </c>
      <c r="H883" s="1872">
        <v>4179128</v>
      </c>
      <c r="I883" s="1897">
        <v>42776588</v>
      </c>
      <c r="J883" s="1889">
        <f t="shared" si="61"/>
        <v>54739068</v>
      </c>
      <c r="K883" s="1864">
        <v>139446</v>
      </c>
      <c r="L883" s="1913">
        <v>0</v>
      </c>
      <c r="M883" s="1866">
        <v>746484</v>
      </c>
      <c r="N883" s="1889">
        <f t="shared" si="62"/>
        <v>885930</v>
      </c>
    </row>
    <row r="884" spans="1:14">
      <c r="A884" s="1830">
        <v>22</v>
      </c>
      <c r="B884" s="1829" t="s">
        <v>303</v>
      </c>
      <c r="C884" s="1830"/>
      <c r="D884" s="1888">
        <f t="shared" si="60"/>
        <v>286691</v>
      </c>
      <c r="E884" s="1863"/>
      <c r="F884" s="1863">
        <v>0</v>
      </c>
      <c r="G884" s="1042">
        <v>0</v>
      </c>
      <c r="H884" s="1035">
        <v>286691</v>
      </c>
      <c r="I884" s="1897">
        <v>0</v>
      </c>
      <c r="J884" s="1889">
        <f t="shared" si="61"/>
        <v>286691</v>
      </c>
      <c r="K884" s="1864">
        <v>0</v>
      </c>
      <c r="L884" s="1913">
        <v>0</v>
      </c>
      <c r="M884" s="1911">
        <v>0</v>
      </c>
      <c r="N884" s="1889">
        <f t="shared" si="62"/>
        <v>0</v>
      </c>
    </row>
    <row r="885" spans="1:14">
      <c r="A885" s="1830">
        <v>23</v>
      </c>
      <c r="B885" s="1829" t="s">
        <v>304</v>
      </c>
      <c r="C885" s="1830">
        <v>18</v>
      </c>
      <c r="D885" s="1888">
        <f t="shared" si="60"/>
        <v>636154</v>
      </c>
      <c r="E885" s="1863"/>
      <c r="F885" s="1863">
        <v>0</v>
      </c>
      <c r="G885" s="1042">
        <v>16907</v>
      </c>
      <c r="H885" s="1035">
        <v>897577</v>
      </c>
      <c r="I885" s="1897">
        <v>-279964</v>
      </c>
      <c r="J885" s="1889">
        <f t="shared" si="61"/>
        <v>634520</v>
      </c>
      <c r="K885" s="1864">
        <v>1634</v>
      </c>
      <c r="L885" s="1913">
        <v>0</v>
      </c>
      <c r="M885" s="1911">
        <v>0</v>
      </c>
      <c r="N885" s="1889">
        <f t="shared" si="62"/>
        <v>1634</v>
      </c>
    </row>
    <row r="886" spans="1:14">
      <c r="A886" s="1830">
        <v>24</v>
      </c>
      <c r="B886" s="1829" t="s">
        <v>305</v>
      </c>
      <c r="C886" s="1830"/>
      <c r="D886" s="1888">
        <f>+E886+F886+J886+N886</f>
        <v>0</v>
      </c>
      <c r="E886" s="1863"/>
      <c r="F886" s="3114">
        <v>0</v>
      </c>
      <c r="G886" s="1060">
        <v>0</v>
      </c>
      <c r="H886" s="1058">
        <v>0</v>
      </c>
      <c r="I886" s="1897">
        <v>0</v>
      </c>
      <c r="J886" s="1889">
        <f t="shared" si="61"/>
        <v>0</v>
      </c>
      <c r="K886" s="1864">
        <v>0</v>
      </c>
      <c r="L886" s="1913">
        <v>0</v>
      </c>
      <c r="M886" s="1911">
        <v>0</v>
      </c>
      <c r="N886" s="1889">
        <f t="shared" si="62"/>
        <v>0</v>
      </c>
    </row>
    <row r="887" spans="1:14">
      <c r="A887" s="1830">
        <v>25</v>
      </c>
      <c r="B887" s="1851" t="s">
        <v>306</v>
      </c>
      <c r="C887" s="1830"/>
      <c r="D887" s="1888">
        <f t="shared" si="60"/>
        <v>0</v>
      </c>
      <c r="E887" s="1863"/>
      <c r="F887" s="1075">
        <v>0</v>
      </c>
      <c r="G887" s="1078">
        <v>0</v>
      </c>
      <c r="H887" s="1079">
        <v>0</v>
      </c>
      <c r="I887" s="1923">
        <v>0</v>
      </c>
      <c r="J887" s="1889">
        <f t="shared" si="61"/>
        <v>0</v>
      </c>
      <c r="K887" s="1864">
        <v>0</v>
      </c>
      <c r="L887" s="1913">
        <v>0</v>
      </c>
      <c r="M887" s="1911">
        <v>0</v>
      </c>
      <c r="N887" s="1889">
        <f t="shared" si="62"/>
        <v>0</v>
      </c>
    </row>
    <row r="888" spans="1:14" ht="15" thickBot="1">
      <c r="A888" s="1847">
        <v>26</v>
      </c>
      <c r="B888" s="1848" t="s">
        <v>307</v>
      </c>
      <c r="C888" s="1852">
        <v>19</v>
      </c>
      <c r="D888" s="1888">
        <f>+E888+F888+J888+N888</f>
        <v>5207377</v>
      </c>
      <c r="E888" s="1863">
        <v>-2563686</v>
      </c>
      <c r="F888" s="1080">
        <v>838848</v>
      </c>
      <c r="G888" s="1081">
        <v>382002</v>
      </c>
      <c r="H888" s="1082">
        <v>5473611</v>
      </c>
      <c r="I888" s="1076">
        <v>926106</v>
      </c>
      <c r="J888" s="1889">
        <f t="shared" si="61"/>
        <v>6781719</v>
      </c>
      <c r="K888" s="1864">
        <v>145509</v>
      </c>
      <c r="L888" s="1065">
        <v>0</v>
      </c>
      <c r="M888" s="1930">
        <v>4987</v>
      </c>
      <c r="N888" s="1889">
        <f t="shared" si="62"/>
        <v>150496</v>
      </c>
    </row>
    <row r="889" spans="1:14" ht="15" thickBot="1">
      <c r="A889" s="1135">
        <v>27</v>
      </c>
      <c r="B889" s="1136" t="s">
        <v>308</v>
      </c>
      <c r="C889" s="1135"/>
      <c r="D889" s="1173">
        <f>+E889+F889+J889+N889</f>
        <v>61755220</v>
      </c>
      <c r="E889" s="1041">
        <f>SUM(E883:E888)</f>
        <v>-2563686</v>
      </c>
      <c r="F889" s="1041">
        <f>SUM(F883:F888)</f>
        <v>838848</v>
      </c>
      <c r="G889" s="1041">
        <f>SUM(G883:G888)</f>
        <v>8182261</v>
      </c>
      <c r="H889" s="1045">
        <f>SUM(H883:H888)</f>
        <v>10837007</v>
      </c>
      <c r="I889" s="1073">
        <f>SUM(I883:I888)</f>
        <v>43422730</v>
      </c>
      <c r="J889" s="1176">
        <f>G889+H889+I889</f>
        <v>62441998</v>
      </c>
      <c r="K889" s="1041">
        <f>SUM(K883:K888)</f>
        <v>286589</v>
      </c>
      <c r="L889" s="1041">
        <f>SUM(L883:L888)</f>
        <v>0</v>
      </c>
      <c r="M889" s="1041">
        <f>SUM(M883:M888)</f>
        <v>751471</v>
      </c>
      <c r="N889" s="1180">
        <f t="shared" si="62"/>
        <v>1038060</v>
      </c>
    </row>
    <row r="890" spans="1:14">
      <c r="A890" s="1133"/>
      <c r="B890" s="1134" t="s">
        <v>309</v>
      </c>
      <c r="C890" s="1133">
        <v>20</v>
      </c>
      <c r="D890" s="1172">
        <f t="shared" si="60"/>
        <v>0</v>
      </c>
      <c r="E890" s="1032"/>
      <c r="F890" s="1032"/>
      <c r="G890" s="1042"/>
      <c r="H890" s="1035"/>
      <c r="I890" s="1052"/>
      <c r="J890" s="1177">
        <f>G890+H890+I890</f>
        <v>0</v>
      </c>
      <c r="K890" s="1032"/>
      <c r="L890" s="1033"/>
      <c r="M890" s="1052"/>
      <c r="N890" s="1177">
        <f t="shared" si="62"/>
        <v>0</v>
      </c>
    </row>
    <row r="891" spans="1:14">
      <c r="A891" s="1830">
        <v>28</v>
      </c>
      <c r="B891" s="1829" t="s">
        <v>310</v>
      </c>
      <c r="C891" s="1836"/>
      <c r="D891" s="1888">
        <f t="shared" si="60"/>
        <v>1000000</v>
      </c>
      <c r="E891" s="1863"/>
      <c r="F891" s="1863">
        <v>1000000</v>
      </c>
      <c r="G891" s="1864">
        <v>0</v>
      </c>
      <c r="H891" s="1872">
        <v>0</v>
      </c>
      <c r="I891" s="1897">
        <v>0</v>
      </c>
      <c r="J891" s="1889">
        <f>SUM(G891:I891)</f>
        <v>0</v>
      </c>
      <c r="K891" s="1863"/>
      <c r="L891" s="1868"/>
      <c r="M891" s="1897"/>
      <c r="N891" s="1889">
        <f t="shared" si="62"/>
        <v>0</v>
      </c>
    </row>
    <row r="892" spans="1:14">
      <c r="A892" s="1830">
        <v>29</v>
      </c>
      <c r="B892" s="1829" t="s">
        <v>311</v>
      </c>
      <c r="C892" s="1836"/>
      <c r="D892" s="1888">
        <f t="shared" si="60"/>
        <v>-2478957</v>
      </c>
      <c r="E892" s="1863"/>
      <c r="F892" s="1032">
        <v>-1182022</v>
      </c>
      <c r="G892" s="1864">
        <v>-150168</v>
      </c>
      <c r="H892" s="1872">
        <v>-87959</v>
      </c>
      <c r="I892" s="1897">
        <v>-1028450</v>
      </c>
      <c r="J892" s="1889">
        <f>SUM(G892:I892)</f>
        <v>-1266577</v>
      </c>
      <c r="K892" s="1863">
        <v>-30358</v>
      </c>
      <c r="L892" s="1868"/>
      <c r="M892" s="1897"/>
      <c r="N892" s="1889">
        <f t="shared" si="62"/>
        <v>-30358</v>
      </c>
    </row>
    <row r="893" spans="1:14">
      <c r="A893" s="1830">
        <v>30</v>
      </c>
      <c r="B893" s="1848" t="s">
        <v>312</v>
      </c>
      <c r="C893" s="1852"/>
      <c r="D893" s="1888">
        <f t="shared" si="60"/>
        <v>2267979</v>
      </c>
      <c r="E893" s="1863"/>
      <c r="F893" s="1036">
        <v>475859</v>
      </c>
      <c r="G893" s="3116">
        <v>0</v>
      </c>
      <c r="H893" s="1885">
        <v>1792120</v>
      </c>
      <c r="I893" s="1923">
        <v>0</v>
      </c>
      <c r="J893" s="1889">
        <f>SUM(G893:I893)</f>
        <v>1792120</v>
      </c>
      <c r="K893" s="1863"/>
      <c r="L893" s="1868"/>
      <c r="M893" s="1897"/>
      <c r="N893" s="1889">
        <f t="shared" si="62"/>
        <v>0</v>
      </c>
    </row>
    <row r="894" spans="1:14">
      <c r="A894" s="1830">
        <v>31</v>
      </c>
      <c r="B894" s="1848" t="s">
        <v>313</v>
      </c>
      <c r="C894" s="1852"/>
      <c r="D894" s="1888">
        <f t="shared" si="60"/>
        <v>3381934</v>
      </c>
      <c r="E894" s="1863"/>
      <c r="F894" s="3114">
        <v>3381934</v>
      </c>
      <c r="G894" s="3116">
        <v>0</v>
      </c>
      <c r="H894" s="1885">
        <v>0</v>
      </c>
      <c r="I894" s="1923">
        <v>0</v>
      </c>
      <c r="J894" s="1889">
        <f>SUM(G894:I894)</f>
        <v>0</v>
      </c>
      <c r="K894" s="1863"/>
      <c r="L894" s="1868"/>
      <c r="M894" s="1897"/>
      <c r="N894" s="1889">
        <f t="shared" si="62"/>
        <v>0</v>
      </c>
    </row>
    <row r="895" spans="1:14" ht="15" thickBot="1">
      <c r="A895" s="1847">
        <v>32</v>
      </c>
      <c r="B895" s="1848" t="s">
        <v>314</v>
      </c>
      <c r="C895" s="1852"/>
      <c r="D895" s="1888">
        <f t="shared" si="60"/>
        <v>10042831</v>
      </c>
      <c r="E895" s="1863"/>
      <c r="F895" s="3114">
        <v>10042831</v>
      </c>
      <c r="G895" s="3116">
        <v>0</v>
      </c>
      <c r="H895" s="1885">
        <v>0</v>
      </c>
      <c r="I895" s="1072">
        <v>0</v>
      </c>
      <c r="J895" s="1889">
        <f>SUM(G895:I895)</f>
        <v>0</v>
      </c>
      <c r="K895" s="1863"/>
      <c r="L895" s="1868"/>
      <c r="M895" s="1897"/>
      <c r="N895" s="1889">
        <f t="shared" si="62"/>
        <v>0</v>
      </c>
    </row>
    <row r="896" spans="1:14" ht="15" thickBot="1">
      <c r="A896" s="1135">
        <v>33</v>
      </c>
      <c r="B896" s="1169" t="s">
        <v>315</v>
      </c>
      <c r="C896" s="1170"/>
      <c r="D896" s="1174">
        <f>+E896+F896+J896+N896</f>
        <v>14213787</v>
      </c>
      <c r="E896" s="1046">
        <f>SUM(E891:E895)</f>
        <v>0</v>
      </c>
      <c r="F896" s="1046">
        <f>SUM(F891:F895)</f>
        <v>13718602</v>
      </c>
      <c r="G896" s="1046">
        <f>SUM(G891:G895)</f>
        <v>-150168</v>
      </c>
      <c r="H896" s="1046">
        <f>SUM(H891:H895)</f>
        <v>1704161</v>
      </c>
      <c r="I896" s="1074">
        <f>SUM(I891:I895)</f>
        <v>-1028450</v>
      </c>
      <c r="J896" s="1178">
        <f>G896+H896+I896</f>
        <v>525543</v>
      </c>
      <c r="K896" s="1046">
        <f>SUM(K891:K895)</f>
        <v>-30358</v>
      </c>
      <c r="L896" s="1047">
        <f>SUM(L891:L895)</f>
        <v>0</v>
      </c>
      <c r="M896" s="1066">
        <f>SUM(M891:M895)</f>
        <v>0</v>
      </c>
      <c r="N896" s="1178">
        <f t="shared" si="62"/>
        <v>-30358</v>
      </c>
    </row>
    <row r="897" spans="1:14" ht="27" thickBot="1">
      <c r="A897" s="1138">
        <v>34</v>
      </c>
      <c r="B897" s="1139" t="s">
        <v>317</v>
      </c>
      <c r="C897" s="1138"/>
      <c r="D897" s="1166">
        <f t="shared" si="60"/>
        <v>75969007</v>
      </c>
      <c r="E897" s="1166">
        <f>E896+E889</f>
        <v>-2563686</v>
      </c>
      <c r="F897" s="1166">
        <f>F896+F889</f>
        <v>14557450</v>
      </c>
      <c r="G897" s="1166">
        <f>G896+G889</f>
        <v>8032093</v>
      </c>
      <c r="H897" s="1166">
        <f>H896+H889</f>
        <v>12541168</v>
      </c>
      <c r="I897" s="1166">
        <f>I896+I889</f>
        <v>42394280</v>
      </c>
      <c r="J897" s="1166">
        <f>G897+H897+I897</f>
        <v>62967541</v>
      </c>
      <c r="K897" s="1166">
        <f>K896+K889</f>
        <v>256231</v>
      </c>
      <c r="L897" s="1167">
        <f>L896+L889</f>
        <v>0</v>
      </c>
      <c r="M897" s="1206">
        <f>M896+M889</f>
        <v>751471</v>
      </c>
      <c r="N897" s="1166">
        <f t="shared" si="62"/>
        <v>1007702</v>
      </c>
    </row>
    <row r="898" spans="1:14">
      <c r="B898"/>
      <c r="C898"/>
      <c r="D898"/>
      <c r="E898"/>
      <c r="F898"/>
      <c r="G898"/>
      <c r="H898"/>
      <c r="I898"/>
      <c r="J898"/>
      <c r="K898"/>
      <c r="L898"/>
      <c r="M898"/>
      <c r="N898"/>
    </row>
    <row r="899" spans="1:14">
      <c r="B899"/>
      <c r="C899"/>
      <c r="D899"/>
      <c r="E899"/>
      <c r="F899"/>
      <c r="G899"/>
      <c r="H899"/>
      <c r="I899"/>
      <c r="J899"/>
      <c r="K899"/>
      <c r="L899"/>
      <c r="M899"/>
      <c r="N899"/>
    </row>
    <row r="900" spans="1:14">
      <c r="B900"/>
      <c r="C900"/>
      <c r="D900"/>
      <c r="E900"/>
      <c r="F900"/>
      <c r="G900"/>
      <c r="H900"/>
      <c r="I900"/>
      <c r="J900"/>
      <c r="K900"/>
      <c r="L900"/>
      <c r="M900"/>
      <c r="N900"/>
    </row>
    <row r="903" spans="1:14" ht="15" thickBot="1">
      <c r="F903" s="855"/>
    </row>
    <row r="904" spans="1:14" ht="15" thickBot="1">
      <c r="A904" s="1210"/>
      <c r="B904" s="3309" t="s">
        <v>99</v>
      </c>
      <c r="C904" s="3310"/>
      <c r="D904" s="662"/>
      <c r="E904" s="662"/>
      <c r="F904" s="662"/>
      <c r="G904" s="662"/>
      <c r="H904" s="662"/>
      <c r="I904" s="662"/>
      <c r="J904" s="662"/>
      <c r="K904" s="662"/>
      <c r="L904" s="662"/>
      <c r="M904" s="3292"/>
      <c r="N904" s="3292" t="s">
        <v>257</v>
      </c>
    </row>
    <row r="905" spans="1:14" ht="13.5" customHeight="1" thickBot="1">
      <c r="A905" s="3293" t="s">
        <v>258</v>
      </c>
      <c r="B905" s="3298"/>
      <c r="C905" s="3280" t="s">
        <v>259</v>
      </c>
      <c r="D905" s="3283" t="s">
        <v>260</v>
      </c>
      <c r="E905" s="3283" t="s">
        <v>261</v>
      </c>
      <c r="F905" s="3283" t="s">
        <v>262</v>
      </c>
      <c r="G905" s="3286" t="s">
        <v>263</v>
      </c>
      <c r="H905" s="3287"/>
      <c r="I905" s="3287"/>
      <c r="J905" s="3287"/>
      <c r="K905" s="3287"/>
      <c r="L905" s="3287"/>
      <c r="M905" s="3287"/>
      <c r="N905" s="3288"/>
    </row>
    <row r="906" spans="1:14" ht="13.5" customHeight="1" thickBot="1">
      <c r="A906" s="3294"/>
      <c r="B906" s="3299"/>
      <c r="C906" s="3281"/>
      <c r="D906" s="3284"/>
      <c r="E906" s="3284"/>
      <c r="F906" s="3284"/>
      <c r="G906" s="3289" t="s">
        <v>264</v>
      </c>
      <c r="H906" s="3290"/>
      <c r="I906" s="3290"/>
      <c r="J906" s="3291"/>
      <c r="K906" s="3289" t="s">
        <v>265</v>
      </c>
      <c r="L906" s="3290"/>
      <c r="M906" s="3290"/>
      <c r="N906" s="3291"/>
    </row>
    <row r="907" spans="1:14" ht="40.15" thickBot="1">
      <c r="A907" s="3294"/>
      <c r="B907" s="3299"/>
      <c r="C907" s="3281"/>
      <c r="D907" s="3285"/>
      <c r="E907" s="3285"/>
      <c r="F907" s="3285"/>
      <c r="G907" s="1125" t="s">
        <v>267</v>
      </c>
      <c r="H907" s="1125" t="s">
        <v>268</v>
      </c>
      <c r="I907" s="1125" t="s">
        <v>269</v>
      </c>
      <c r="J907" s="1125" t="s">
        <v>160</v>
      </c>
      <c r="K907" s="1126" t="s">
        <v>270</v>
      </c>
      <c r="L907" s="1126" t="s">
        <v>271</v>
      </c>
      <c r="M907" s="1126" t="s">
        <v>272</v>
      </c>
      <c r="N907" s="2969" t="s">
        <v>160</v>
      </c>
    </row>
    <row r="908" spans="1:14" ht="15" thickBot="1">
      <c r="A908" s="3294"/>
      <c r="B908" s="3299"/>
      <c r="C908" s="3281"/>
      <c r="D908" s="1128">
        <v>1</v>
      </c>
      <c r="E908" s="3283">
        <v>2</v>
      </c>
      <c r="F908" s="3283">
        <v>3</v>
      </c>
      <c r="G908" s="3283">
        <v>4</v>
      </c>
      <c r="H908" s="3283">
        <v>5</v>
      </c>
      <c r="I908" s="3283">
        <v>6</v>
      </c>
      <c r="J908" s="2974">
        <v>7</v>
      </c>
      <c r="K908" s="3283">
        <v>8</v>
      </c>
      <c r="L908" s="3283">
        <v>9</v>
      </c>
      <c r="M908" s="3283">
        <v>10</v>
      </c>
      <c r="N908" s="1128">
        <v>11</v>
      </c>
    </row>
    <row r="909" spans="1:14" ht="15" thickBot="1">
      <c r="A909" s="3295"/>
      <c r="B909" s="3300"/>
      <c r="C909" s="3282"/>
      <c r="D909" s="1130"/>
      <c r="E909" s="3285"/>
      <c r="F909" s="3285"/>
      <c r="G909" s="3285"/>
      <c r="H909" s="3285"/>
      <c r="I909" s="3285"/>
      <c r="J909" s="1131" t="s">
        <v>273</v>
      </c>
      <c r="K909" s="3285"/>
      <c r="L909" s="3285"/>
      <c r="M909" s="3285"/>
      <c r="N909" s="1157" t="s">
        <v>274</v>
      </c>
    </row>
    <row r="910" spans="1:14">
      <c r="A910" s="1133"/>
      <c r="B910" s="1134" t="s">
        <v>275</v>
      </c>
      <c r="C910" s="1133"/>
      <c r="D910" s="1205"/>
      <c r="E910" s="1071"/>
      <c r="F910" s="1071"/>
      <c r="G910" s="1042"/>
      <c r="H910" s="1035"/>
      <c r="I910" s="1062"/>
      <c r="J910" s="1177"/>
      <c r="K910" s="1033"/>
      <c r="L910" s="1084"/>
      <c r="M910" s="1077"/>
      <c r="N910" s="1929"/>
    </row>
    <row r="911" spans="1:14">
      <c r="A911" s="1828">
        <v>1</v>
      </c>
      <c r="B911" s="1829" t="s">
        <v>276</v>
      </c>
      <c r="C911" s="1830"/>
      <c r="D911" s="1888">
        <f t="shared" ref="D911:D951" si="63">+E911+F911+J911+N911</f>
        <v>0</v>
      </c>
      <c r="E911" s="1931"/>
      <c r="F911" s="1931"/>
      <c r="G911" s="1931"/>
      <c r="H911" s="1932"/>
      <c r="I911" s="1933"/>
      <c r="J911" s="1889">
        <f t="shared" ref="J911:J951" si="64">G911+H911+I911</f>
        <v>0</v>
      </c>
      <c r="K911" s="1868"/>
      <c r="L911" s="1895"/>
      <c r="M911" s="1897"/>
      <c r="N911" s="1889">
        <f t="shared" ref="N911:N951" si="65">K911+L911+M911</f>
        <v>0</v>
      </c>
    </row>
    <row r="912" spans="1:14">
      <c r="A912" s="1828">
        <v>2</v>
      </c>
      <c r="B912" s="1829" t="s">
        <v>277</v>
      </c>
      <c r="C912" s="1830"/>
      <c r="D912" s="1888">
        <f t="shared" si="63"/>
        <v>0</v>
      </c>
      <c r="E912" s="1931"/>
      <c r="F912" s="1863"/>
      <c r="G912" s="1931"/>
      <c r="H912" s="1932"/>
      <c r="I912" s="1897"/>
      <c r="J912" s="1889">
        <f t="shared" si="64"/>
        <v>0</v>
      </c>
      <c r="K912" s="1868"/>
      <c r="L912" s="1895"/>
      <c r="M912" s="1897"/>
      <c r="N912" s="1889">
        <f t="shared" si="65"/>
        <v>0</v>
      </c>
    </row>
    <row r="913" spans="1:14">
      <c r="A913" s="1828">
        <v>3</v>
      </c>
      <c r="B913" s="1829" t="s">
        <v>278</v>
      </c>
      <c r="C913" s="1830"/>
      <c r="D913" s="1888">
        <f t="shared" si="63"/>
        <v>0</v>
      </c>
      <c r="E913" s="1931"/>
      <c r="F913" s="1931"/>
      <c r="G913" s="1931"/>
      <c r="H913" s="1932"/>
      <c r="I913" s="1933"/>
      <c r="J913" s="1889">
        <f t="shared" si="64"/>
        <v>0</v>
      </c>
      <c r="K913" s="1868"/>
      <c r="L913" s="1895"/>
      <c r="M913" s="1897"/>
      <c r="N913" s="1889">
        <f t="shared" si="65"/>
        <v>0</v>
      </c>
    </row>
    <row r="914" spans="1:14">
      <c r="A914" s="1828">
        <v>4</v>
      </c>
      <c r="B914" s="1829" t="s">
        <v>324</v>
      </c>
      <c r="C914" s="1830"/>
      <c r="D914" s="1888">
        <f t="shared" si="63"/>
        <v>0</v>
      </c>
      <c r="E914" s="1931"/>
      <c r="F914" s="1931"/>
      <c r="G914" s="1931"/>
      <c r="H914" s="1872"/>
      <c r="I914" s="1897"/>
      <c r="J914" s="1889">
        <f t="shared" si="64"/>
        <v>0</v>
      </c>
      <c r="K914" s="1868"/>
      <c r="L914" s="1895"/>
      <c r="M914" s="1897"/>
      <c r="N914" s="1889">
        <f t="shared" si="65"/>
        <v>0</v>
      </c>
    </row>
    <row r="915" spans="1:14">
      <c r="A915" s="1828">
        <v>5</v>
      </c>
      <c r="B915" s="1829" t="s">
        <v>280</v>
      </c>
      <c r="C915" s="1836">
        <v>5</v>
      </c>
      <c r="D915" s="1888">
        <f t="shared" si="63"/>
        <v>0</v>
      </c>
      <c r="E915" s="1931"/>
      <c r="F915" s="1931"/>
      <c r="G915" s="1931"/>
      <c r="H915" s="1035"/>
      <c r="I915" s="1052"/>
      <c r="J915" s="1889">
        <f t="shared" si="64"/>
        <v>0</v>
      </c>
      <c r="K915" s="1868"/>
      <c r="L915" s="1895"/>
      <c r="M915" s="1897"/>
      <c r="N915" s="1889">
        <f t="shared" si="65"/>
        <v>0</v>
      </c>
    </row>
    <row r="916" spans="1:14">
      <c r="A916" s="1828">
        <v>6</v>
      </c>
      <c r="B916" s="1829" t="s">
        <v>281</v>
      </c>
      <c r="C916" s="1830">
        <v>6</v>
      </c>
      <c r="D916" s="1888">
        <f t="shared" si="63"/>
        <v>0</v>
      </c>
      <c r="E916" s="1931"/>
      <c r="F916" s="1931"/>
      <c r="G916" s="1931"/>
      <c r="H916" s="1932"/>
      <c r="I916" s="1933"/>
      <c r="J916" s="1889">
        <f t="shared" si="64"/>
        <v>0</v>
      </c>
      <c r="K916" s="1868"/>
      <c r="L916" s="1895"/>
      <c r="M916" s="1897"/>
      <c r="N916" s="1889">
        <f t="shared" si="65"/>
        <v>0</v>
      </c>
    </row>
    <row r="917" spans="1:14">
      <c r="A917" s="1828">
        <v>7</v>
      </c>
      <c r="B917" s="1829" t="s">
        <v>282</v>
      </c>
      <c r="C917" s="1836">
        <v>7</v>
      </c>
      <c r="D917" s="1888">
        <f t="shared" si="63"/>
        <v>0</v>
      </c>
      <c r="E917" s="1931"/>
      <c r="F917" s="1931">
        <f>F918+F919</f>
        <v>0</v>
      </c>
      <c r="G917" s="1931">
        <f>G918+G919</f>
        <v>0</v>
      </c>
      <c r="H917" s="1932">
        <f>H918+H919</f>
        <v>0</v>
      </c>
      <c r="I917" s="1933">
        <f>I918+I919</f>
        <v>0</v>
      </c>
      <c r="J917" s="1889">
        <f t="shared" si="64"/>
        <v>0</v>
      </c>
      <c r="K917" s="1932">
        <f>K918+K919</f>
        <v>0</v>
      </c>
      <c r="L917" s="1934">
        <f>L918+L919</f>
        <v>0</v>
      </c>
      <c r="M917" s="1933">
        <f>M918+M919</f>
        <v>0</v>
      </c>
      <c r="N917" s="1889">
        <f t="shared" si="65"/>
        <v>0</v>
      </c>
    </row>
    <row r="918" spans="1:14">
      <c r="A918" s="1830"/>
      <c r="B918" s="1837" t="s">
        <v>283</v>
      </c>
      <c r="C918" s="1836"/>
      <c r="D918" s="1888">
        <f t="shared" si="63"/>
        <v>0</v>
      </c>
      <c r="E918" s="1931"/>
      <c r="F918" s="1863"/>
      <c r="G918" s="1931"/>
      <c r="H918" s="1932"/>
      <c r="I918" s="1933"/>
      <c r="J918" s="1889">
        <f t="shared" si="64"/>
        <v>0</v>
      </c>
      <c r="K918" s="1868"/>
      <c r="L918" s="1895"/>
      <c r="M918" s="1897"/>
      <c r="N918" s="1889">
        <f t="shared" si="65"/>
        <v>0</v>
      </c>
    </row>
    <row r="919" spans="1:14">
      <c r="A919" s="1830"/>
      <c r="B919" s="1837" t="s">
        <v>284</v>
      </c>
      <c r="C919" s="1836"/>
      <c r="D919" s="1888">
        <f t="shared" si="63"/>
        <v>0</v>
      </c>
      <c r="E919" s="1931"/>
      <c r="F919" s="1931"/>
      <c r="G919" s="1931"/>
      <c r="H919" s="1932"/>
      <c r="I919" s="1933"/>
      <c r="J919" s="1889">
        <f t="shared" si="64"/>
        <v>0</v>
      </c>
      <c r="K919" s="1868"/>
      <c r="L919" s="1895"/>
      <c r="M919" s="1897"/>
      <c r="N919" s="1889">
        <f t="shared" si="65"/>
        <v>0</v>
      </c>
    </row>
    <row r="920" spans="1:14">
      <c r="A920" s="1828">
        <v>8</v>
      </c>
      <c r="B920" s="1829" t="s">
        <v>285</v>
      </c>
      <c r="C920" s="1830">
        <v>8</v>
      </c>
      <c r="D920" s="1888">
        <f t="shared" si="63"/>
        <v>0</v>
      </c>
      <c r="E920" s="1931"/>
      <c r="F920" s="1931">
        <f>F921+F922</f>
        <v>0</v>
      </c>
      <c r="G920" s="1931">
        <f>G921+G922</f>
        <v>0</v>
      </c>
      <c r="H920" s="1932">
        <f>H921+H922</f>
        <v>0</v>
      </c>
      <c r="I920" s="1933">
        <f>I921+I922</f>
        <v>0</v>
      </c>
      <c r="J920" s="1889">
        <f t="shared" si="64"/>
        <v>0</v>
      </c>
      <c r="K920" s="1932">
        <f>K921+K922</f>
        <v>0</v>
      </c>
      <c r="L920" s="1934">
        <f>L921+L922</f>
        <v>0</v>
      </c>
      <c r="M920" s="1933">
        <f>M921+M922</f>
        <v>0</v>
      </c>
      <c r="N920" s="1889">
        <f t="shared" si="65"/>
        <v>0</v>
      </c>
    </row>
    <row r="921" spans="1:14">
      <c r="A921" s="1828"/>
      <c r="B921" s="1837" t="s">
        <v>286</v>
      </c>
      <c r="C921" s="1830"/>
      <c r="D921" s="1888">
        <f t="shared" si="63"/>
        <v>0</v>
      </c>
      <c r="E921" s="1931"/>
      <c r="F921" s="1931"/>
      <c r="G921" s="1931"/>
      <c r="H921" s="1932"/>
      <c r="I921" s="1933"/>
      <c r="J921" s="1889">
        <f t="shared" si="64"/>
        <v>0</v>
      </c>
      <c r="K921" s="1868"/>
      <c r="L921" s="1895"/>
      <c r="M921" s="1897"/>
      <c r="N921" s="1889">
        <f t="shared" si="65"/>
        <v>0</v>
      </c>
    </row>
    <row r="922" spans="1:14">
      <c r="A922" s="1828"/>
      <c r="B922" s="1837" t="s">
        <v>287</v>
      </c>
      <c r="C922" s="1830"/>
      <c r="D922" s="1888">
        <f t="shared" si="63"/>
        <v>0</v>
      </c>
      <c r="E922" s="1931"/>
      <c r="F922" s="1931"/>
      <c r="G922" s="1931"/>
      <c r="H922" s="1932"/>
      <c r="I922" s="1933"/>
      <c r="J922" s="1889">
        <f t="shared" si="64"/>
        <v>0</v>
      </c>
      <c r="K922" s="1868"/>
      <c r="L922" s="1895"/>
      <c r="M922" s="1897"/>
      <c r="N922" s="1889">
        <f t="shared" si="65"/>
        <v>0</v>
      </c>
    </row>
    <row r="923" spans="1:14" ht="26.45">
      <c r="A923" s="1838">
        <v>9</v>
      </c>
      <c r="B923" s="1839" t="s">
        <v>288</v>
      </c>
      <c r="C923" s="1840"/>
      <c r="D923" s="1905">
        <f t="shared" si="63"/>
        <v>591355.50756196654</v>
      </c>
      <c r="E923" s="1906">
        <f>SUM(E924:E927)</f>
        <v>0</v>
      </c>
      <c r="F923" s="1906">
        <f>SUM(F924:F927)</f>
        <v>545414.77747954894</v>
      </c>
      <c r="G923" s="1906">
        <f>SUM(G924:G927)</f>
        <v>0</v>
      </c>
      <c r="H923" s="1879">
        <f>SUM(H924:H927)</f>
        <v>45940.730082417598</v>
      </c>
      <c r="I923" s="1925">
        <f>SUM(I924:I927)</f>
        <v>0</v>
      </c>
      <c r="J923" s="1908">
        <f t="shared" si="64"/>
        <v>45940.730082417598</v>
      </c>
      <c r="K923" s="1879">
        <f>SUM(K924:K927)</f>
        <v>0</v>
      </c>
      <c r="L923" s="1876">
        <f>SUM(L924:L927)</f>
        <v>0</v>
      </c>
      <c r="M923" s="1925">
        <f>SUM(M924:M927)</f>
        <v>0</v>
      </c>
      <c r="N923" s="1908">
        <f t="shared" si="65"/>
        <v>0</v>
      </c>
    </row>
    <row r="924" spans="1:14">
      <c r="A924" s="1830">
        <v>10</v>
      </c>
      <c r="B924" s="1846" t="s">
        <v>289</v>
      </c>
      <c r="C924" s="1830">
        <v>9</v>
      </c>
      <c r="D924" s="1888">
        <f t="shared" si="63"/>
        <v>0</v>
      </c>
      <c r="E924" s="1931">
        <v>0</v>
      </c>
      <c r="F924" s="1863">
        <v>0</v>
      </c>
      <c r="G924" s="1864">
        <v>0</v>
      </c>
      <c r="H924" s="1872">
        <v>0</v>
      </c>
      <c r="I924" s="1897">
        <v>0</v>
      </c>
      <c r="J924" s="1889">
        <f t="shared" si="64"/>
        <v>0</v>
      </c>
      <c r="K924" s="1865"/>
      <c r="L924" s="1934"/>
      <c r="M924" s="1933"/>
      <c r="N924" s="1889">
        <f t="shared" si="65"/>
        <v>0</v>
      </c>
    </row>
    <row r="925" spans="1:14">
      <c r="A925" s="1830">
        <v>11</v>
      </c>
      <c r="B925" s="1846" t="s">
        <v>290</v>
      </c>
      <c r="C925" s="1830">
        <v>10</v>
      </c>
      <c r="D925" s="1888">
        <f t="shared" si="63"/>
        <v>456707.51567142841</v>
      </c>
      <c r="E925" s="1931">
        <v>0</v>
      </c>
      <c r="F925" s="1032">
        <v>410766.7855890108</v>
      </c>
      <c r="G925" s="1042">
        <v>0</v>
      </c>
      <c r="H925" s="1043">
        <v>45940.730082417598</v>
      </c>
      <c r="I925" s="1053">
        <v>0</v>
      </c>
      <c r="J925" s="1889">
        <f t="shared" si="64"/>
        <v>45940.730082417598</v>
      </c>
      <c r="K925" s="1043"/>
      <c r="L925" s="1934"/>
      <c r="M925" s="1933"/>
      <c r="N925" s="1889">
        <f t="shared" si="65"/>
        <v>0</v>
      </c>
    </row>
    <row r="926" spans="1:14">
      <c r="A926" s="1830">
        <v>12</v>
      </c>
      <c r="B926" s="1846" t="s">
        <v>291</v>
      </c>
      <c r="C926" s="1830">
        <v>11</v>
      </c>
      <c r="D926" s="1888">
        <f t="shared" si="63"/>
        <v>7045.5002222582643</v>
      </c>
      <c r="E926" s="1931">
        <v>0</v>
      </c>
      <c r="F926" s="1032">
        <v>7045.5002222582643</v>
      </c>
      <c r="G926" s="1042">
        <v>0</v>
      </c>
      <c r="H926" s="1043">
        <v>0</v>
      </c>
      <c r="I926" s="1053">
        <v>0</v>
      </c>
      <c r="J926" s="1889">
        <f t="shared" si="64"/>
        <v>0</v>
      </c>
      <c r="K926" s="1043"/>
      <c r="L926" s="1934"/>
      <c r="M926" s="1933"/>
      <c r="N926" s="1889">
        <f t="shared" si="65"/>
        <v>0</v>
      </c>
    </row>
    <row r="927" spans="1:14" ht="26.45">
      <c r="A927" s="1830">
        <v>13</v>
      </c>
      <c r="B927" s="1846" t="s">
        <v>292</v>
      </c>
      <c r="C927" s="1830">
        <v>12</v>
      </c>
      <c r="D927" s="1888">
        <f t="shared" si="63"/>
        <v>127602.49166827982</v>
      </c>
      <c r="E927" s="1931">
        <v>0</v>
      </c>
      <c r="F927" s="1032">
        <v>127602.49166827982</v>
      </c>
      <c r="G927" s="1042">
        <v>0</v>
      </c>
      <c r="H927" s="1043">
        <v>0</v>
      </c>
      <c r="I927" s="1053">
        <v>0</v>
      </c>
      <c r="J927" s="1889">
        <f t="shared" si="64"/>
        <v>0</v>
      </c>
      <c r="K927" s="1043"/>
      <c r="L927" s="1934"/>
      <c r="M927" s="1911"/>
      <c r="N927" s="1889">
        <f t="shared" si="65"/>
        <v>0</v>
      </c>
    </row>
    <row r="928" spans="1:14">
      <c r="A928" s="1830">
        <v>14</v>
      </c>
      <c r="B928" s="1829" t="s">
        <v>293</v>
      </c>
      <c r="C928" s="1830">
        <v>13</v>
      </c>
      <c r="D928" s="1888">
        <f t="shared" si="63"/>
        <v>0</v>
      </c>
      <c r="E928" s="1931">
        <v>0</v>
      </c>
      <c r="F928" s="1863">
        <v>0</v>
      </c>
      <c r="G928" s="1864">
        <v>0</v>
      </c>
      <c r="H928" s="1868">
        <v>0</v>
      </c>
      <c r="I928" s="1897">
        <v>0</v>
      </c>
      <c r="J928" s="1889">
        <f t="shared" si="64"/>
        <v>0</v>
      </c>
      <c r="K928" s="1865"/>
      <c r="L928" s="1934"/>
      <c r="M928" s="1933"/>
      <c r="N928" s="1889">
        <f t="shared" si="65"/>
        <v>0</v>
      </c>
    </row>
    <row r="929" spans="1:14">
      <c r="A929" s="1830">
        <v>15</v>
      </c>
      <c r="B929" s="1829" t="s">
        <v>294</v>
      </c>
      <c r="C929" s="1836">
        <v>14</v>
      </c>
      <c r="D929" s="1888">
        <f t="shared" si="63"/>
        <v>0</v>
      </c>
      <c r="E929" s="1931">
        <v>0</v>
      </c>
      <c r="F929" s="1032">
        <v>0</v>
      </c>
      <c r="G929" s="1042">
        <v>0</v>
      </c>
      <c r="H929" s="1033">
        <v>0</v>
      </c>
      <c r="I929" s="1052">
        <v>0</v>
      </c>
      <c r="J929" s="1889">
        <f t="shared" si="64"/>
        <v>0</v>
      </c>
      <c r="K929" s="1043"/>
      <c r="L929" s="1934"/>
      <c r="M929" s="1911"/>
      <c r="N929" s="1889">
        <f t="shared" si="65"/>
        <v>0</v>
      </c>
    </row>
    <row r="930" spans="1:14">
      <c r="A930" s="1830">
        <v>16</v>
      </c>
      <c r="B930" s="1829" t="s">
        <v>295</v>
      </c>
      <c r="C930" s="1830">
        <v>15</v>
      </c>
      <c r="D930" s="1888">
        <f t="shared" si="63"/>
        <v>10331.803</v>
      </c>
      <c r="E930" s="1931">
        <v>0</v>
      </c>
      <c r="F930" s="1032">
        <v>0</v>
      </c>
      <c r="G930" s="1042">
        <v>0</v>
      </c>
      <c r="H930" s="1033">
        <v>10331.803</v>
      </c>
      <c r="I930" s="1052">
        <v>0</v>
      </c>
      <c r="J930" s="1889">
        <f t="shared" si="64"/>
        <v>10331.803</v>
      </c>
      <c r="K930" s="1043"/>
      <c r="L930" s="1934"/>
      <c r="M930" s="1053"/>
      <c r="N930" s="1889">
        <f t="shared" si="65"/>
        <v>0</v>
      </c>
    </row>
    <row r="931" spans="1:14">
      <c r="A931" s="1830">
        <v>17</v>
      </c>
      <c r="B931" s="1829" t="s">
        <v>296</v>
      </c>
      <c r="C931" s="1836">
        <v>16</v>
      </c>
      <c r="D931" s="1888">
        <f t="shared" si="63"/>
        <v>12635.121419999999</v>
      </c>
      <c r="E931" s="1863">
        <v>0</v>
      </c>
      <c r="F931" s="1032">
        <v>12635.121419999999</v>
      </c>
      <c r="G931" s="1042">
        <v>0</v>
      </c>
      <c r="H931" s="1043">
        <v>0</v>
      </c>
      <c r="I931" s="1053">
        <v>0</v>
      </c>
      <c r="J931" s="1889">
        <f t="shared" si="64"/>
        <v>0</v>
      </c>
      <c r="K931" s="1043"/>
      <c r="L931" s="1934"/>
      <c r="M931" s="1053"/>
      <c r="N931" s="1889">
        <f t="shared" si="65"/>
        <v>0</v>
      </c>
    </row>
    <row r="932" spans="1:14">
      <c r="A932" s="1830">
        <v>18</v>
      </c>
      <c r="B932" s="1829" t="s">
        <v>297</v>
      </c>
      <c r="C932" s="1830"/>
      <c r="D932" s="1888">
        <f t="shared" si="63"/>
        <v>0</v>
      </c>
      <c r="E932" s="1931">
        <v>0</v>
      </c>
      <c r="F932" s="1032">
        <v>0</v>
      </c>
      <c r="G932" s="1042">
        <v>0</v>
      </c>
      <c r="H932" s="1033">
        <v>0</v>
      </c>
      <c r="I932" s="1052">
        <v>0</v>
      </c>
      <c r="J932" s="1889">
        <f t="shared" si="64"/>
        <v>0</v>
      </c>
      <c r="K932" s="1043"/>
      <c r="L932" s="1934"/>
      <c r="M932" s="1053"/>
      <c r="N932" s="1889">
        <f t="shared" si="65"/>
        <v>0</v>
      </c>
    </row>
    <row r="933" spans="1:14" ht="15" thickBot="1">
      <c r="A933" s="1847">
        <v>19</v>
      </c>
      <c r="B933" s="1848" t="s">
        <v>298</v>
      </c>
      <c r="C933" s="1847"/>
      <c r="D933" s="3117">
        <f t="shared" si="63"/>
        <v>522.59992171999806</v>
      </c>
      <c r="E933" s="3114">
        <v>0</v>
      </c>
      <c r="F933" s="1036">
        <v>522.59992171999806</v>
      </c>
      <c r="G933" s="1060">
        <v>0</v>
      </c>
      <c r="H933" s="1083">
        <v>0</v>
      </c>
      <c r="I933" s="1051">
        <v>0</v>
      </c>
      <c r="J933" s="3118">
        <f t="shared" si="64"/>
        <v>0</v>
      </c>
      <c r="K933" s="264"/>
      <c r="L933" s="1921"/>
      <c r="M933" s="1056"/>
      <c r="N933" s="3118">
        <f t="shared" si="65"/>
        <v>0</v>
      </c>
    </row>
    <row r="934" spans="1:14" ht="27" thickBot="1">
      <c r="A934" s="1138">
        <v>20</v>
      </c>
      <c r="B934" s="1139" t="s">
        <v>299</v>
      </c>
      <c r="C934" s="1138"/>
      <c r="D934" s="1163">
        <f t="shared" si="63"/>
        <v>614845.03190368647</v>
      </c>
      <c r="E934" s="1163">
        <f>SUM(E911:E917)+E920+E923+SUM(E928:E933)</f>
        <v>0</v>
      </c>
      <c r="F934" s="1163">
        <f>SUM(F911:F917)+F920+F923+SUM(F928:F933)</f>
        <v>558572.49882126891</v>
      </c>
      <c r="G934" s="1163">
        <f>SUM(G911:G917)+G920+G923+SUM(G928:G933)</f>
        <v>0</v>
      </c>
      <c r="H934" s="1164">
        <f>SUM(H911:H917)+H920+H923+SUM(H928:H933)</f>
        <v>56272.533082417598</v>
      </c>
      <c r="I934" s="1193">
        <f>SUM(I911:I917)+I920+I923+SUM(I928:I933)</f>
        <v>0</v>
      </c>
      <c r="J934" s="1163">
        <f t="shared" si="64"/>
        <v>56272.533082417598</v>
      </c>
      <c r="K934" s="1164">
        <f>SUM(K911:K917)+K920+K923+SUM(K928:K933)</f>
        <v>0</v>
      </c>
      <c r="L934" s="1192">
        <f>SUM(L911:L917)+L920+L923+SUM(L928:L933)</f>
        <v>0</v>
      </c>
      <c r="M934" s="1193">
        <f>SUM(M911:M917)+M920+M923+SUM(M928:M933)</f>
        <v>0</v>
      </c>
      <c r="N934" s="1163">
        <f t="shared" si="65"/>
        <v>0</v>
      </c>
    </row>
    <row r="935" spans="1:14">
      <c r="A935" s="1133"/>
      <c r="B935" s="1134" t="s">
        <v>300</v>
      </c>
      <c r="C935" s="1133"/>
      <c r="D935" s="1172">
        <f t="shared" si="63"/>
        <v>0</v>
      </c>
      <c r="E935" s="1032">
        <v>0</v>
      </c>
      <c r="F935" s="1032"/>
      <c r="G935" s="1042"/>
      <c r="H935" s="1035"/>
      <c r="I935" s="1052">
        <v>0</v>
      </c>
      <c r="J935" s="1177">
        <f t="shared" si="64"/>
        <v>0</v>
      </c>
      <c r="K935" s="1043"/>
      <c r="L935" s="1069"/>
      <c r="M935" s="1053"/>
      <c r="N935" s="1177">
        <f t="shared" si="65"/>
        <v>0</v>
      </c>
    </row>
    <row r="936" spans="1:14">
      <c r="A936" s="1830"/>
      <c r="B936" s="1850" t="s">
        <v>301</v>
      </c>
      <c r="C936" s="1830"/>
      <c r="D936" s="1888">
        <f t="shared" si="63"/>
        <v>0</v>
      </c>
      <c r="E936" s="1863">
        <v>0</v>
      </c>
      <c r="F936" s="1863"/>
      <c r="G936" s="1864"/>
      <c r="H936" s="1872"/>
      <c r="I936" s="1897">
        <v>0</v>
      </c>
      <c r="J936" s="1889">
        <f t="shared" si="64"/>
        <v>0</v>
      </c>
      <c r="K936" s="1865"/>
      <c r="L936" s="1910"/>
      <c r="M936" s="1911"/>
      <c r="N936" s="1889">
        <f t="shared" si="65"/>
        <v>0</v>
      </c>
    </row>
    <row r="937" spans="1:14">
      <c r="A937" s="1830">
        <v>21</v>
      </c>
      <c r="B937" s="1829" t="s">
        <v>302</v>
      </c>
      <c r="C937" s="1836">
        <v>17</v>
      </c>
      <c r="D937" s="1888">
        <f t="shared" si="63"/>
        <v>9210.8619999999992</v>
      </c>
      <c r="E937" s="1935">
        <v>0</v>
      </c>
      <c r="F937" s="1935">
        <v>0</v>
      </c>
      <c r="G937" s="1864">
        <v>0</v>
      </c>
      <c r="H937" s="1868">
        <v>9210.8619999999992</v>
      </c>
      <c r="I937" s="1897">
        <v>0</v>
      </c>
      <c r="J937" s="1889">
        <f t="shared" si="64"/>
        <v>9210.8619999999992</v>
      </c>
      <c r="K937" s="1865"/>
      <c r="L937" s="1936"/>
      <c r="M937" s="1911"/>
      <c r="N937" s="1889">
        <f t="shared" si="65"/>
        <v>0</v>
      </c>
    </row>
    <row r="938" spans="1:14">
      <c r="A938" s="1830">
        <v>22</v>
      </c>
      <c r="B938" s="1829" t="s">
        <v>303</v>
      </c>
      <c r="C938" s="1830"/>
      <c r="D938" s="1888">
        <f t="shared" si="63"/>
        <v>0</v>
      </c>
      <c r="E938" s="1935">
        <v>0</v>
      </c>
      <c r="F938" s="1935">
        <v>0</v>
      </c>
      <c r="G938" s="1042">
        <v>0</v>
      </c>
      <c r="H938" s="1033">
        <v>0</v>
      </c>
      <c r="I938" s="1052">
        <v>0</v>
      </c>
      <c r="J938" s="1889">
        <f t="shared" si="64"/>
        <v>0</v>
      </c>
      <c r="K938" s="1043"/>
      <c r="L938" s="1936"/>
      <c r="M938" s="1053"/>
      <c r="N938" s="1889">
        <f t="shared" si="65"/>
        <v>0</v>
      </c>
    </row>
    <row r="939" spans="1:14">
      <c r="A939" s="1830">
        <v>23</v>
      </c>
      <c r="B939" s="1829" t="s">
        <v>304</v>
      </c>
      <c r="C939" s="1830">
        <v>18</v>
      </c>
      <c r="D939" s="1888">
        <f t="shared" si="63"/>
        <v>6523.7551250000652</v>
      </c>
      <c r="E939" s="1935">
        <v>0</v>
      </c>
      <c r="F939" s="1935">
        <v>0</v>
      </c>
      <c r="G939" s="1042">
        <v>0</v>
      </c>
      <c r="H939" s="1033">
        <v>6523.7551250000652</v>
      </c>
      <c r="I939" s="1052">
        <v>0</v>
      </c>
      <c r="J939" s="1889">
        <f t="shared" si="64"/>
        <v>6523.7551250000652</v>
      </c>
      <c r="K939" s="1043"/>
      <c r="L939" s="1936"/>
      <c r="M939" s="1053"/>
      <c r="N939" s="1889">
        <f t="shared" si="65"/>
        <v>0</v>
      </c>
    </row>
    <row r="940" spans="1:14">
      <c r="A940" s="1830">
        <v>24</v>
      </c>
      <c r="B940" s="1829" t="s">
        <v>305</v>
      </c>
      <c r="C940" s="1830"/>
      <c r="D940" s="1888">
        <f t="shared" si="63"/>
        <v>0</v>
      </c>
      <c r="E940" s="1935">
        <v>0</v>
      </c>
      <c r="F940" s="1935">
        <v>0</v>
      </c>
      <c r="G940" s="1042">
        <v>0</v>
      </c>
      <c r="H940" s="1033">
        <v>0</v>
      </c>
      <c r="I940" s="1052">
        <v>0</v>
      </c>
      <c r="J940" s="1889">
        <f t="shared" si="64"/>
        <v>0</v>
      </c>
      <c r="K940" s="1043"/>
      <c r="L940" s="1936"/>
      <c r="M940" s="1053"/>
      <c r="N940" s="1889">
        <f t="shared" si="65"/>
        <v>0</v>
      </c>
    </row>
    <row r="941" spans="1:14">
      <c r="A941" s="1830">
        <v>25</v>
      </c>
      <c r="B941" s="1851" t="s">
        <v>306</v>
      </c>
      <c r="C941" s="1830"/>
      <c r="D941" s="1888">
        <f t="shared" si="63"/>
        <v>0</v>
      </c>
      <c r="E941" s="1935">
        <v>0</v>
      </c>
      <c r="F941" s="1935">
        <v>0</v>
      </c>
      <c r="G941" s="1042">
        <v>0</v>
      </c>
      <c r="H941" s="1033">
        <v>0</v>
      </c>
      <c r="I941" s="1052">
        <v>0</v>
      </c>
      <c r="J941" s="1889">
        <f t="shared" si="64"/>
        <v>0</v>
      </c>
      <c r="K941" s="1043"/>
      <c r="L941" s="1936"/>
      <c r="M941" s="1053"/>
      <c r="N941" s="1889">
        <f t="shared" si="65"/>
        <v>0</v>
      </c>
    </row>
    <row r="942" spans="1:14" ht="15" thickBot="1">
      <c r="A942" s="1847">
        <v>26</v>
      </c>
      <c r="B942" s="1848" t="s">
        <v>307</v>
      </c>
      <c r="C942" s="1852">
        <v>19</v>
      </c>
      <c r="D942" s="1888">
        <f t="shared" si="63"/>
        <v>50839.550917995497</v>
      </c>
      <c r="E942" s="1863">
        <v>0</v>
      </c>
      <c r="F942" s="3114">
        <v>33579.181051995496</v>
      </c>
      <c r="G942" s="1060">
        <v>0</v>
      </c>
      <c r="H942" s="394">
        <v>17260.369866000001</v>
      </c>
      <c r="I942" s="1061">
        <v>0</v>
      </c>
      <c r="J942" s="1177">
        <f t="shared" si="64"/>
        <v>17260.369866000001</v>
      </c>
      <c r="K942" s="1043"/>
      <c r="L942" s="1085"/>
      <c r="M942" s="1061"/>
      <c r="N942" s="1889">
        <f t="shared" si="65"/>
        <v>0</v>
      </c>
    </row>
    <row r="943" spans="1:14" ht="15" thickBot="1">
      <c r="A943" s="1135">
        <v>27</v>
      </c>
      <c r="B943" s="1136" t="s">
        <v>308</v>
      </c>
      <c r="C943" s="1135"/>
      <c r="D943" s="1173">
        <f t="shared" si="63"/>
        <v>66574.16804299556</v>
      </c>
      <c r="E943" s="1041">
        <f>SUM(E937:E942)</f>
        <v>0</v>
      </c>
      <c r="F943" s="1041">
        <f>SUM(F937:F942)</f>
        <v>33579.181051995496</v>
      </c>
      <c r="G943" s="1041">
        <f>SUM(G937:G942)</f>
        <v>0</v>
      </c>
      <c r="H943" s="1045">
        <f>SUM(H937:H942)</f>
        <v>32994.986991000063</v>
      </c>
      <c r="I943" s="1073">
        <f>SUM(I937:I942)</f>
        <v>0</v>
      </c>
      <c r="J943" s="1176">
        <f t="shared" si="64"/>
        <v>32994.986991000063</v>
      </c>
      <c r="K943" s="1041">
        <f>SUM(K937:K942)</f>
        <v>0</v>
      </c>
      <c r="L943" s="1092">
        <f>SUM(L937:L942)</f>
        <v>0</v>
      </c>
      <c r="M943" s="1073">
        <f>SUM(M937:M942)</f>
        <v>0</v>
      </c>
      <c r="N943" s="1176">
        <f t="shared" si="65"/>
        <v>0</v>
      </c>
    </row>
    <row r="944" spans="1:14">
      <c r="A944" s="1133"/>
      <c r="B944" s="1134" t="s">
        <v>309</v>
      </c>
      <c r="C944" s="1133">
        <v>20</v>
      </c>
      <c r="D944" s="1172">
        <f t="shared" si="63"/>
        <v>0</v>
      </c>
      <c r="E944" s="1086"/>
      <c r="F944" s="1086"/>
      <c r="G944" s="1087"/>
      <c r="H944" s="1088"/>
      <c r="I944" s="1089"/>
      <c r="J944" s="1177">
        <f t="shared" si="64"/>
        <v>0</v>
      </c>
      <c r="K944" s="1087"/>
      <c r="L944" s="1090"/>
      <c r="M944" s="1091"/>
      <c r="N944" s="1177">
        <f t="shared" si="65"/>
        <v>0</v>
      </c>
    </row>
    <row r="945" spans="1:14">
      <c r="A945" s="1830">
        <v>28</v>
      </c>
      <c r="B945" s="1829" t="s">
        <v>310</v>
      </c>
      <c r="C945" s="1836"/>
      <c r="D945" s="1888">
        <f t="shared" si="63"/>
        <v>500000</v>
      </c>
      <c r="E945" s="1935"/>
      <c r="F945" s="1863">
        <v>500000</v>
      </c>
      <c r="G945" s="1864"/>
      <c r="H945" s="1868"/>
      <c r="I945" s="1872"/>
      <c r="J945" s="1870">
        <f t="shared" si="64"/>
        <v>0</v>
      </c>
      <c r="K945" s="1872"/>
      <c r="L945" s="1937"/>
      <c r="M945" s="1938"/>
      <c r="N945" s="1889">
        <f t="shared" si="65"/>
        <v>0</v>
      </c>
    </row>
    <row r="946" spans="1:14">
      <c r="A946" s="1830">
        <v>29</v>
      </c>
      <c r="B946" s="1829" t="s">
        <v>311</v>
      </c>
      <c r="C946" s="1836"/>
      <c r="D946" s="1888">
        <f t="shared" si="63"/>
        <v>0</v>
      </c>
      <c r="E946" s="1935"/>
      <c r="F946" s="1032"/>
      <c r="G946" s="1042"/>
      <c r="H946" s="1033"/>
      <c r="I946" s="1035"/>
      <c r="J946" s="1181">
        <f t="shared" si="64"/>
        <v>0</v>
      </c>
      <c r="K946" s="1864"/>
      <c r="L946" s="1937"/>
      <c r="M946" s="1938"/>
      <c r="N946" s="1889">
        <f t="shared" si="65"/>
        <v>0</v>
      </c>
    </row>
    <row r="947" spans="1:14">
      <c r="A947" s="1830">
        <v>30</v>
      </c>
      <c r="B947" s="1848" t="s">
        <v>312</v>
      </c>
      <c r="C947" s="1852"/>
      <c r="D947" s="1888">
        <f t="shared" si="63"/>
        <v>0</v>
      </c>
      <c r="E947" s="1935"/>
      <c r="F947" s="1036"/>
      <c r="G947" s="1060"/>
      <c r="H947" s="1083"/>
      <c r="I947" s="1058"/>
      <c r="J947" s="1181">
        <f t="shared" si="64"/>
        <v>0</v>
      </c>
      <c r="K947" s="1939"/>
      <c r="L947" s="1940"/>
      <c r="M947" s="1941"/>
      <c r="N947" s="1889">
        <f t="shared" si="65"/>
        <v>0</v>
      </c>
    </row>
    <row r="948" spans="1:14">
      <c r="A948" s="1830">
        <v>31</v>
      </c>
      <c r="B948" s="1848" t="s">
        <v>313</v>
      </c>
      <c r="C948" s="1852"/>
      <c r="D948" s="1888">
        <f t="shared" si="63"/>
        <v>0</v>
      </c>
      <c r="E948" s="1935"/>
      <c r="F948" s="3114"/>
      <c r="G948" s="3116"/>
      <c r="H948" s="1037"/>
      <c r="I948" s="1885"/>
      <c r="J948" s="1181">
        <f t="shared" si="64"/>
        <v>0</v>
      </c>
      <c r="K948" s="1939"/>
      <c r="L948" s="1940"/>
      <c r="M948" s="1941"/>
      <c r="N948" s="1889">
        <f t="shared" si="65"/>
        <v>0</v>
      </c>
    </row>
    <row r="949" spans="1:14" ht="15" thickBot="1">
      <c r="A949" s="1847">
        <v>32</v>
      </c>
      <c r="B949" s="1848" t="s">
        <v>314</v>
      </c>
      <c r="C949" s="1852"/>
      <c r="D949" s="1888">
        <f t="shared" si="63"/>
        <v>48270.866593652237</v>
      </c>
      <c r="E949" s="1935">
        <v>0</v>
      </c>
      <c r="F949" s="3114">
        <v>45493.9045186523</v>
      </c>
      <c r="G949" s="3116">
        <v>0</v>
      </c>
      <c r="H949" s="1037">
        <v>2776.9620749999349</v>
      </c>
      <c r="I949" s="1885">
        <v>0</v>
      </c>
      <c r="J949" s="1181">
        <f t="shared" si="64"/>
        <v>2776.9620749999349</v>
      </c>
      <c r="K949" s="3119"/>
      <c r="L949" s="1942"/>
      <c r="M949" s="1943"/>
      <c r="N949" s="1889">
        <f t="shared" si="65"/>
        <v>0</v>
      </c>
    </row>
    <row r="950" spans="1:14" ht="15" thickBot="1">
      <c r="A950" s="1135">
        <v>33</v>
      </c>
      <c r="B950" s="1169" t="s">
        <v>315</v>
      </c>
      <c r="C950" s="1170"/>
      <c r="D950" s="1174">
        <f t="shared" si="63"/>
        <v>548270.86659365217</v>
      </c>
      <c r="E950" s="1046">
        <f>SUM(E945:E949)</f>
        <v>0</v>
      </c>
      <c r="F950" s="1046">
        <f>SUM(F945:F949)</f>
        <v>545493.90451865224</v>
      </c>
      <c r="G950" s="1046">
        <f>SUM(G945:G949)</f>
        <v>0</v>
      </c>
      <c r="H950" s="1047">
        <f>SUM(H945:H949)</f>
        <v>2776.9620749999349</v>
      </c>
      <c r="I950" s="1066">
        <f>SUM(I945:I949)</f>
        <v>0</v>
      </c>
      <c r="J950" s="1211">
        <f t="shared" si="64"/>
        <v>2776.9620749999349</v>
      </c>
      <c r="K950" s="1093">
        <f>SUM(K945:K949)</f>
        <v>0</v>
      </c>
      <c r="L950" s="1047">
        <f>SUM(L945:L949)</f>
        <v>0</v>
      </c>
      <c r="M950" s="1066">
        <f>SUM(M945:M949)</f>
        <v>0</v>
      </c>
      <c r="N950" s="1178">
        <f t="shared" si="65"/>
        <v>0</v>
      </c>
    </row>
    <row r="951" spans="1:14" ht="27" thickBot="1">
      <c r="A951" s="1138">
        <v>34</v>
      </c>
      <c r="B951" s="1139" t="s">
        <v>317</v>
      </c>
      <c r="C951" s="1138"/>
      <c r="D951" s="1166">
        <f t="shared" si="63"/>
        <v>614845.03463664767</v>
      </c>
      <c r="E951" s="1166">
        <f>E950+E943</f>
        <v>0</v>
      </c>
      <c r="F951" s="1166">
        <f>F950+F943</f>
        <v>579073.08557064773</v>
      </c>
      <c r="G951" s="1166">
        <f>G950+G943</f>
        <v>0</v>
      </c>
      <c r="H951" s="1166">
        <f>H950+H943</f>
        <v>35771.949066000001</v>
      </c>
      <c r="I951" s="1166">
        <f>I950+I943</f>
        <v>0</v>
      </c>
      <c r="J951" s="1166">
        <f t="shared" si="64"/>
        <v>35771.949066000001</v>
      </c>
      <c r="K951" s="1166">
        <f>K950+K943</f>
        <v>0</v>
      </c>
      <c r="L951" s="1166">
        <f>L950+L943</f>
        <v>0</v>
      </c>
      <c r="M951" s="1166">
        <f>M950+M943</f>
        <v>0</v>
      </c>
      <c r="N951" s="1166">
        <f t="shared" si="65"/>
        <v>0</v>
      </c>
    </row>
    <row r="952" spans="1:14">
      <c r="B952"/>
      <c r="C952"/>
      <c r="D952"/>
      <c r="E952"/>
      <c r="F952"/>
      <c r="G952"/>
      <c r="H952"/>
      <c r="I952"/>
      <c r="J952"/>
      <c r="K952"/>
      <c r="L952"/>
      <c r="M952"/>
      <c r="N952"/>
    </row>
    <row r="953" spans="1:14">
      <c r="B953"/>
      <c r="C953"/>
      <c r="D953"/>
      <c r="E953"/>
      <c r="F953" s="14"/>
      <c r="G953"/>
      <c r="H953" s="14"/>
      <c r="I953"/>
      <c r="J953"/>
      <c r="K953"/>
      <c r="L953"/>
      <c r="M953"/>
      <c r="N953"/>
    </row>
    <row r="954" spans="1:14">
      <c r="B954"/>
      <c r="C954"/>
      <c r="D954"/>
      <c r="E954"/>
      <c r="F954"/>
      <c r="G954"/>
      <c r="H954"/>
      <c r="I954"/>
      <c r="J954"/>
      <c r="K954"/>
      <c r="L954"/>
      <c r="M954"/>
      <c r="N954"/>
    </row>
    <row r="955" spans="1:14">
      <c r="B955"/>
      <c r="C955"/>
      <c r="D955"/>
      <c r="E955"/>
      <c r="F955"/>
      <c r="G955"/>
      <c r="H955"/>
      <c r="I955"/>
      <c r="J955"/>
      <c r="K955"/>
      <c r="L955"/>
      <c r="M955"/>
      <c r="N955"/>
    </row>
    <row r="956" spans="1:14">
      <c r="B956"/>
      <c r="C956"/>
      <c r="D956"/>
      <c r="E956"/>
      <c r="F956"/>
      <c r="G956"/>
      <c r="H956"/>
      <c r="I956"/>
      <c r="J956"/>
      <c r="K956"/>
      <c r="L956"/>
      <c r="M956"/>
      <c r="N956"/>
    </row>
  </sheetData>
  <mergeCells count="343">
    <mergeCell ref="B904:C904"/>
    <mergeCell ref="M904:N904"/>
    <mergeCell ref="A905:A909"/>
    <mergeCell ref="B905:B909"/>
    <mergeCell ref="C905:C909"/>
    <mergeCell ref="D905:D907"/>
    <mergeCell ref="E905:E907"/>
    <mergeCell ref="F905:F907"/>
    <mergeCell ref="G905:N905"/>
    <mergeCell ref="G906:J906"/>
    <mergeCell ref="K906:N906"/>
    <mergeCell ref="E908:E909"/>
    <mergeCell ref="F908:F909"/>
    <mergeCell ref="G908:G909"/>
    <mergeCell ref="H908:H909"/>
    <mergeCell ref="I908:I909"/>
    <mergeCell ref="K908:K909"/>
    <mergeCell ref="L908:L909"/>
    <mergeCell ref="M908:M909"/>
    <mergeCell ref="B850:C850"/>
    <mergeCell ref="M850:N850"/>
    <mergeCell ref="A851:A855"/>
    <mergeCell ref="B851:B855"/>
    <mergeCell ref="C851:C855"/>
    <mergeCell ref="D851:D853"/>
    <mergeCell ref="E851:E853"/>
    <mergeCell ref="F851:F853"/>
    <mergeCell ref="G851:N851"/>
    <mergeCell ref="G852:J852"/>
    <mergeCell ref="K852:N852"/>
    <mergeCell ref="E854:E855"/>
    <mergeCell ref="F854:F855"/>
    <mergeCell ref="G854:G855"/>
    <mergeCell ref="H854:H855"/>
    <mergeCell ref="I854:I855"/>
    <mergeCell ref="K854:K855"/>
    <mergeCell ref="L854:L855"/>
    <mergeCell ref="M854:M855"/>
    <mergeCell ref="B797:C797"/>
    <mergeCell ref="M797:N797"/>
    <mergeCell ref="A798:A802"/>
    <mergeCell ref="B798:B802"/>
    <mergeCell ref="C798:C802"/>
    <mergeCell ref="D798:D800"/>
    <mergeCell ref="E798:E800"/>
    <mergeCell ref="F798:F800"/>
    <mergeCell ref="G798:N798"/>
    <mergeCell ref="G799:J799"/>
    <mergeCell ref="K799:N799"/>
    <mergeCell ref="E801:E802"/>
    <mergeCell ref="F801:F802"/>
    <mergeCell ref="G801:G802"/>
    <mergeCell ref="H801:H802"/>
    <mergeCell ref="I801:I802"/>
    <mergeCell ref="K801:K802"/>
    <mergeCell ref="L801:L802"/>
    <mergeCell ref="M801:M802"/>
    <mergeCell ref="B744:C744"/>
    <mergeCell ref="M744:N744"/>
    <mergeCell ref="A745:A749"/>
    <mergeCell ref="B745:B749"/>
    <mergeCell ref="C745:C749"/>
    <mergeCell ref="D745:D747"/>
    <mergeCell ref="E745:E747"/>
    <mergeCell ref="F745:F747"/>
    <mergeCell ref="G745:N745"/>
    <mergeCell ref="G746:J746"/>
    <mergeCell ref="K746:N746"/>
    <mergeCell ref="E748:E749"/>
    <mergeCell ref="F748:F749"/>
    <mergeCell ref="G748:G749"/>
    <mergeCell ref="H748:H749"/>
    <mergeCell ref="I748:I749"/>
    <mergeCell ref="K748:K749"/>
    <mergeCell ref="L748:L749"/>
    <mergeCell ref="M748:M749"/>
    <mergeCell ref="B690:C690"/>
    <mergeCell ref="M690:N690"/>
    <mergeCell ref="A691:A695"/>
    <mergeCell ref="B691:B695"/>
    <mergeCell ref="C691:C695"/>
    <mergeCell ref="D691:D693"/>
    <mergeCell ref="E691:E693"/>
    <mergeCell ref="F691:F693"/>
    <mergeCell ref="G691:N691"/>
    <mergeCell ref="G692:J692"/>
    <mergeCell ref="K692:N692"/>
    <mergeCell ref="E694:E695"/>
    <mergeCell ref="F694:F695"/>
    <mergeCell ref="G694:G695"/>
    <mergeCell ref="H694:H695"/>
    <mergeCell ref="I694:I695"/>
    <mergeCell ref="K694:K695"/>
    <mergeCell ref="L694:L695"/>
    <mergeCell ref="M694:M695"/>
    <mergeCell ref="B636:C636"/>
    <mergeCell ref="M636:N636"/>
    <mergeCell ref="A637:A641"/>
    <mergeCell ref="B637:B641"/>
    <mergeCell ref="C637:C641"/>
    <mergeCell ref="D637:D639"/>
    <mergeCell ref="E637:E639"/>
    <mergeCell ref="F637:F639"/>
    <mergeCell ref="G637:N637"/>
    <mergeCell ref="G638:J638"/>
    <mergeCell ref="K638:N638"/>
    <mergeCell ref="E640:E641"/>
    <mergeCell ref="F640:F641"/>
    <mergeCell ref="G640:G641"/>
    <mergeCell ref="H640:H641"/>
    <mergeCell ref="I640:I641"/>
    <mergeCell ref="K640:K641"/>
    <mergeCell ref="L640:L641"/>
    <mergeCell ref="M640:M641"/>
    <mergeCell ref="B582:C582"/>
    <mergeCell ref="M582:N582"/>
    <mergeCell ref="A583:A587"/>
    <mergeCell ref="B583:B587"/>
    <mergeCell ref="C583:C587"/>
    <mergeCell ref="D583:D585"/>
    <mergeCell ref="E583:E585"/>
    <mergeCell ref="F583:F585"/>
    <mergeCell ref="G583:N583"/>
    <mergeCell ref="G584:J584"/>
    <mergeCell ref="K584:N584"/>
    <mergeCell ref="E586:E587"/>
    <mergeCell ref="F586:F587"/>
    <mergeCell ref="G586:G587"/>
    <mergeCell ref="H586:H587"/>
    <mergeCell ref="I586:I587"/>
    <mergeCell ref="K586:K587"/>
    <mergeCell ref="L586:L587"/>
    <mergeCell ref="M586:M587"/>
    <mergeCell ref="I324:I325"/>
    <mergeCell ref="K324:K325"/>
    <mergeCell ref="L324:L325"/>
    <mergeCell ref="M324:M325"/>
    <mergeCell ref="B424:C424"/>
    <mergeCell ref="M424:N424"/>
    <mergeCell ref="A425:A429"/>
    <mergeCell ref="B425:B429"/>
    <mergeCell ref="C425:C429"/>
    <mergeCell ref="D425:D427"/>
    <mergeCell ref="E425:E427"/>
    <mergeCell ref="F425:F427"/>
    <mergeCell ref="G425:N425"/>
    <mergeCell ref="G426:J426"/>
    <mergeCell ref="K426:N426"/>
    <mergeCell ref="E428:E429"/>
    <mergeCell ref="F428:F429"/>
    <mergeCell ref="G428:G429"/>
    <mergeCell ref="H428:H429"/>
    <mergeCell ref="I428:I429"/>
    <mergeCell ref="K428:K429"/>
    <mergeCell ref="L428:L429"/>
    <mergeCell ref="M428:M429"/>
    <mergeCell ref="I375:I376"/>
    <mergeCell ref="M266:N266"/>
    <mergeCell ref="A267:A271"/>
    <mergeCell ref="B267:B271"/>
    <mergeCell ref="C267:C271"/>
    <mergeCell ref="D267:D269"/>
    <mergeCell ref="E267:E269"/>
    <mergeCell ref="F267:F269"/>
    <mergeCell ref="G267:N267"/>
    <mergeCell ref="G268:J268"/>
    <mergeCell ref="K268:N268"/>
    <mergeCell ref="E270:E271"/>
    <mergeCell ref="F270:F271"/>
    <mergeCell ref="G270:G271"/>
    <mergeCell ref="H270:H271"/>
    <mergeCell ref="I270:I271"/>
    <mergeCell ref="K270:K271"/>
    <mergeCell ref="L270:L271"/>
    <mergeCell ref="M270:M271"/>
    <mergeCell ref="G214:N214"/>
    <mergeCell ref="G215:J215"/>
    <mergeCell ref="K215:N215"/>
    <mergeCell ref="E217:E218"/>
    <mergeCell ref="F217:F218"/>
    <mergeCell ref="G217:G218"/>
    <mergeCell ref="H217:H218"/>
    <mergeCell ref="I217:I218"/>
    <mergeCell ref="K217:K218"/>
    <mergeCell ref="L217:L218"/>
    <mergeCell ref="M217:M218"/>
    <mergeCell ref="M161:N161"/>
    <mergeCell ref="A162:A166"/>
    <mergeCell ref="B162:B166"/>
    <mergeCell ref="C162:C166"/>
    <mergeCell ref="D162:D164"/>
    <mergeCell ref="E162:E164"/>
    <mergeCell ref="F162:F164"/>
    <mergeCell ref="G162:N162"/>
    <mergeCell ref="G163:J163"/>
    <mergeCell ref="K163:N163"/>
    <mergeCell ref="E165:E166"/>
    <mergeCell ref="F165:F166"/>
    <mergeCell ref="G165:G166"/>
    <mergeCell ref="H165:H166"/>
    <mergeCell ref="I165:I166"/>
    <mergeCell ref="K165:K166"/>
    <mergeCell ref="L165:L166"/>
    <mergeCell ref="M165:M166"/>
    <mergeCell ref="B110:C110"/>
    <mergeCell ref="M110:N110"/>
    <mergeCell ref="A111:A115"/>
    <mergeCell ref="B111:B115"/>
    <mergeCell ref="C111:C115"/>
    <mergeCell ref="D111:D113"/>
    <mergeCell ref="E111:E113"/>
    <mergeCell ref="F111:F113"/>
    <mergeCell ref="G111:N111"/>
    <mergeCell ref="G112:J112"/>
    <mergeCell ref="K112:N112"/>
    <mergeCell ref="E114:E115"/>
    <mergeCell ref="F114:F115"/>
    <mergeCell ref="G114:G115"/>
    <mergeCell ref="H114:H115"/>
    <mergeCell ref="I114:I115"/>
    <mergeCell ref="K114:K115"/>
    <mergeCell ref="L114:L115"/>
    <mergeCell ref="M114:M115"/>
    <mergeCell ref="B58:C58"/>
    <mergeCell ref="M58:N58"/>
    <mergeCell ref="A59:A63"/>
    <mergeCell ref="B59:B63"/>
    <mergeCell ref="C59:C63"/>
    <mergeCell ref="D59:D63"/>
    <mergeCell ref="E59:E61"/>
    <mergeCell ref="F59:F61"/>
    <mergeCell ref="G59:N59"/>
    <mergeCell ref="G60:J60"/>
    <mergeCell ref="K60:N60"/>
    <mergeCell ref="E62:E63"/>
    <mergeCell ref="F62:F63"/>
    <mergeCell ref="G62:G63"/>
    <mergeCell ref="H62:H63"/>
    <mergeCell ref="I62:I63"/>
    <mergeCell ref="K62:K63"/>
    <mergeCell ref="L62:L63"/>
    <mergeCell ref="M62:M63"/>
    <mergeCell ref="B530:C530"/>
    <mergeCell ref="A531:A535"/>
    <mergeCell ref="B531:B535"/>
    <mergeCell ref="C531:C535"/>
    <mergeCell ref="D531:D533"/>
    <mergeCell ref="E531:E533"/>
    <mergeCell ref="F531:F533"/>
    <mergeCell ref="G531:N531"/>
    <mergeCell ref="G532:J532"/>
    <mergeCell ref="M530:N530"/>
    <mergeCell ref="K532:N532"/>
    <mergeCell ref="E534:E535"/>
    <mergeCell ref="F534:F535"/>
    <mergeCell ref="G534:G535"/>
    <mergeCell ref="H534:H535"/>
    <mergeCell ref="I534:I535"/>
    <mergeCell ref="K534:K535"/>
    <mergeCell ref="L534:L535"/>
    <mergeCell ref="M534:M535"/>
    <mergeCell ref="B477:C477"/>
    <mergeCell ref="A478:A482"/>
    <mergeCell ref="B478:B482"/>
    <mergeCell ref="C478:C482"/>
    <mergeCell ref="D478:D480"/>
    <mergeCell ref="E478:E480"/>
    <mergeCell ref="F478:F480"/>
    <mergeCell ref="G478:N478"/>
    <mergeCell ref="G479:J479"/>
    <mergeCell ref="K479:N479"/>
    <mergeCell ref="E481:E482"/>
    <mergeCell ref="F481:F482"/>
    <mergeCell ref="G481:G482"/>
    <mergeCell ref="H481:H482"/>
    <mergeCell ref="I481:I482"/>
    <mergeCell ref="M477:N477"/>
    <mergeCell ref="K481:K482"/>
    <mergeCell ref="L481:L482"/>
    <mergeCell ref="M481:M482"/>
    <mergeCell ref="K375:K376"/>
    <mergeCell ref="L375:L376"/>
    <mergeCell ref="C372:C376"/>
    <mergeCell ref="D372:D374"/>
    <mergeCell ref="E372:E374"/>
    <mergeCell ref="F372:F374"/>
    <mergeCell ref="G373:J373"/>
    <mergeCell ref="K373:N373"/>
    <mergeCell ref="M375:M376"/>
    <mergeCell ref="E324:E325"/>
    <mergeCell ref="F324:F325"/>
    <mergeCell ref="G324:G325"/>
    <mergeCell ref="A372:A376"/>
    <mergeCell ref="B372:B376"/>
    <mergeCell ref="E375:E376"/>
    <mergeCell ref="F375:F376"/>
    <mergeCell ref="G375:G376"/>
    <mergeCell ref="H375:H376"/>
    <mergeCell ref="H324:H325"/>
    <mergeCell ref="A214:A218"/>
    <mergeCell ref="B214:B218"/>
    <mergeCell ref="C214:C218"/>
    <mergeCell ref="D214:D216"/>
    <mergeCell ref="E214:E216"/>
    <mergeCell ref="F214:F216"/>
    <mergeCell ref="B266:C266"/>
    <mergeCell ref="B161:C161"/>
    <mergeCell ref="G372:N372"/>
    <mergeCell ref="B213:C213"/>
    <mergeCell ref="M213:N213"/>
    <mergeCell ref="B371:C371"/>
    <mergeCell ref="M371:N371"/>
    <mergeCell ref="B320:C320"/>
    <mergeCell ref="M320:N320"/>
    <mergeCell ref="A321:A325"/>
    <mergeCell ref="B321:B325"/>
    <mergeCell ref="C321:C325"/>
    <mergeCell ref="D321:D323"/>
    <mergeCell ref="E321:E323"/>
    <mergeCell ref="F321:F323"/>
    <mergeCell ref="G321:N321"/>
    <mergeCell ref="G322:J322"/>
    <mergeCell ref="K322:N322"/>
    <mergeCell ref="A7:C7"/>
    <mergeCell ref="C8:C12"/>
    <mergeCell ref="D8:D10"/>
    <mergeCell ref="E8:E10"/>
    <mergeCell ref="F8:F10"/>
    <mergeCell ref="G8:N8"/>
    <mergeCell ref="G9:J9"/>
    <mergeCell ref="K9:N9"/>
    <mergeCell ref="M7:N7"/>
    <mergeCell ref="A8:A12"/>
    <mergeCell ref="B8:B12"/>
    <mergeCell ref="E11:E12"/>
    <mergeCell ref="F11:F12"/>
    <mergeCell ref="G11:G12"/>
    <mergeCell ref="H11:H12"/>
    <mergeCell ref="I11:I12"/>
    <mergeCell ref="K11:K12"/>
    <mergeCell ref="L11:L12"/>
    <mergeCell ref="M11:M12"/>
    <mergeCell ref="D11:D12"/>
  </mergeCells>
  <pageMargins left="0.36" right="0.34" top="0.6" bottom="0.75" header="0.3" footer="0.3"/>
  <pageSetup paperSize="9" scale="50" orientation="landscape" r:id="rId1"/>
  <rowBreaks count="17" manualBreakCount="17">
    <brk id="58" max="13" man="1"/>
    <brk id="107" max="13" man="1"/>
    <brk id="159" max="13" man="1"/>
    <brk id="210" max="13" man="1"/>
    <brk id="263" max="13" man="1"/>
    <brk id="316" max="13" man="1"/>
    <brk id="369" max="13" man="1"/>
    <brk id="420" max="13" man="1"/>
    <brk id="473" max="13" man="1"/>
    <brk id="526" max="13" man="1"/>
    <brk id="579" max="13" man="1"/>
    <brk id="631" max="13" man="1"/>
    <brk id="686" max="13" man="1"/>
    <brk id="740" max="13" man="1"/>
    <brk id="793" max="13" man="1"/>
    <brk id="846" max="13" man="1"/>
    <brk id="900" max="1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92D050"/>
  </sheetPr>
  <dimension ref="A2:AQ904"/>
  <sheetViews>
    <sheetView showGridLines="0" view="pageBreakPreview" zoomScale="70" zoomScaleNormal="80" zoomScaleSheetLayoutView="70" workbookViewId="0">
      <selection activeCell="E63" sqref="E63"/>
    </sheetView>
  </sheetViews>
  <sheetFormatPr defaultColWidth="9.140625" defaultRowHeight="14.45"/>
  <cols>
    <col min="1" max="1" width="4.140625" style="856" customWidth="1"/>
    <col min="2" max="2" width="32.28515625" style="856" customWidth="1"/>
    <col min="3" max="3" width="8.5703125" style="856" customWidth="1"/>
    <col min="4" max="4" width="18.5703125" style="856" customWidth="1"/>
    <col min="5" max="14" width="15.42578125" style="856" customWidth="1"/>
    <col min="15" max="15" width="16.140625" bestFit="1" customWidth="1"/>
    <col min="16" max="16" width="6.85546875" bestFit="1" customWidth="1"/>
    <col min="17" max="17" width="16.42578125" bestFit="1" customWidth="1"/>
    <col min="18" max="18" width="13.7109375" bestFit="1" customWidth="1"/>
    <col min="19" max="19" width="10.85546875" bestFit="1" customWidth="1"/>
    <col min="20" max="20" width="6.5703125" bestFit="1" customWidth="1"/>
    <col min="21" max="21" width="15.5703125" bestFit="1" customWidth="1"/>
    <col min="22" max="22" width="13.7109375" bestFit="1" customWidth="1"/>
    <col min="23" max="24" width="15.5703125" bestFit="1" customWidth="1"/>
    <col min="25" max="25" width="14.28515625" bestFit="1" customWidth="1"/>
    <col min="26" max="27" width="15.5703125" bestFit="1" customWidth="1"/>
    <col min="28" max="28" width="11" bestFit="1" customWidth="1"/>
    <col min="29" max="29" width="9.85546875" bestFit="1" customWidth="1"/>
    <col min="30" max="31" width="12.85546875" bestFit="1" customWidth="1"/>
    <col min="32" max="32" width="6.42578125" bestFit="1" customWidth="1"/>
    <col min="33" max="34" width="9.140625" style="2982"/>
    <col min="35" max="36" width="9.140625" style="2975"/>
    <col min="37" max="38" width="12.28515625" style="2975" bestFit="1" customWidth="1"/>
    <col min="39" max="40" width="9.42578125" style="2975" bestFit="1" customWidth="1"/>
    <col min="41" max="42" width="11.28515625" style="2975" bestFit="1" customWidth="1"/>
    <col min="43" max="16384" width="9.140625" style="856"/>
  </cols>
  <sheetData>
    <row r="2" spans="1:14">
      <c r="B2" s="2979"/>
      <c r="C2" s="2980"/>
      <c r="D2" s="2980"/>
      <c r="E2" s="2980"/>
      <c r="F2" s="2980"/>
      <c r="G2" s="2980"/>
      <c r="H2" s="2981"/>
      <c r="I2" s="2981"/>
      <c r="J2" s="2981"/>
      <c r="K2" s="2981"/>
      <c r="L2" s="2981"/>
      <c r="M2" s="2981"/>
      <c r="N2" s="2981"/>
    </row>
    <row r="3" spans="1:14">
      <c r="A3" s="662"/>
      <c r="B3" s="857" t="s">
        <v>330</v>
      </c>
      <c r="C3" s="662"/>
      <c r="D3" s="662"/>
      <c r="E3" s="662"/>
      <c r="F3" s="662"/>
      <c r="G3" s="662"/>
      <c r="H3" s="662"/>
      <c r="I3" s="662"/>
      <c r="J3" s="662"/>
      <c r="K3" s="662"/>
      <c r="L3" s="662"/>
      <c r="M3" s="662"/>
      <c r="N3" s="662"/>
    </row>
    <row r="4" spans="1:14">
      <c r="A4" s="662"/>
      <c r="B4" s="857"/>
      <c r="C4" s="662"/>
      <c r="D4" s="662"/>
      <c r="E4" s="662"/>
      <c r="F4" s="662"/>
      <c r="G4" s="662"/>
      <c r="H4" s="662"/>
      <c r="I4" s="662"/>
      <c r="J4" s="662"/>
      <c r="K4" s="662"/>
      <c r="L4" s="662"/>
      <c r="M4" s="662"/>
      <c r="N4" s="662"/>
    </row>
    <row r="5" spans="1:14">
      <c r="A5" s="662"/>
      <c r="B5" s="857" t="s">
        <v>331</v>
      </c>
      <c r="C5" s="662"/>
      <c r="D5" s="662"/>
      <c r="E5" s="662"/>
      <c r="F5" s="662"/>
      <c r="G5" s="662"/>
      <c r="H5" s="662"/>
      <c r="I5" s="662"/>
      <c r="J5" s="662"/>
      <c r="K5" s="662"/>
      <c r="L5" s="662"/>
      <c r="M5" s="662"/>
      <c r="N5" s="662"/>
    </row>
    <row r="6" spans="1:14" ht="15" thickBot="1">
      <c r="A6" s="662"/>
      <c r="B6" s="662"/>
      <c r="C6" s="662"/>
      <c r="D6" s="662"/>
      <c r="E6" s="662"/>
      <c r="F6" s="662"/>
      <c r="G6" s="662"/>
      <c r="H6" s="662"/>
      <c r="I6" s="662"/>
      <c r="J6" s="662"/>
      <c r="K6" s="662"/>
      <c r="L6" s="662"/>
      <c r="M6" s="662"/>
      <c r="N6" s="662"/>
    </row>
    <row r="7" spans="1:14" ht="15" thickBot="1">
      <c r="A7" s="3277" t="s">
        <v>256</v>
      </c>
      <c r="B7" s="3278"/>
      <c r="C7" s="3278"/>
      <c r="D7" s="3279"/>
      <c r="E7" s="662"/>
      <c r="F7" s="662"/>
      <c r="G7" s="662"/>
      <c r="H7" s="662"/>
      <c r="I7" s="662"/>
      <c r="J7" s="662"/>
      <c r="K7" s="662"/>
      <c r="L7" s="662"/>
      <c r="M7" s="3292"/>
      <c r="N7" s="3292" t="s">
        <v>257</v>
      </c>
    </row>
    <row r="8" spans="1:14" ht="13.5" customHeight="1" thickBot="1">
      <c r="A8" s="3311" t="s">
        <v>258</v>
      </c>
      <c r="B8" s="1212"/>
      <c r="C8" s="3280" t="s">
        <v>259</v>
      </c>
      <c r="D8" s="3314" t="s">
        <v>260</v>
      </c>
      <c r="E8" s="3314" t="s">
        <v>261</v>
      </c>
      <c r="F8" s="3314" t="s">
        <v>262</v>
      </c>
      <c r="G8" s="3324" t="s">
        <v>263</v>
      </c>
      <c r="H8" s="3325"/>
      <c r="I8" s="3325"/>
      <c r="J8" s="3325"/>
      <c r="K8" s="3325"/>
      <c r="L8" s="3325"/>
      <c r="M8" s="3325"/>
      <c r="N8" s="3326"/>
    </row>
    <row r="9" spans="1:14" ht="13.5" customHeight="1" thickBot="1">
      <c r="A9" s="3312"/>
      <c r="B9" s="1213"/>
      <c r="C9" s="3281"/>
      <c r="D9" s="3315"/>
      <c r="E9" s="3315"/>
      <c r="F9" s="3315"/>
      <c r="G9" s="3289" t="s">
        <v>264</v>
      </c>
      <c r="H9" s="3290"/>
      <c r="I9" s="3290"/>
      <c r="J9" s="3291"/>
      <c r="K9" s="3318" t="s">
        <v>265</v>
      </c>
      <c r="L9" s="3319"/>
      <c r="M9" s="3319"/>
      <c r="N9" s="3320"/>
    </row>
    <row r="10" spans="1:14" ht="40.15" thickBot="1">
      <c r="A10" s="3312"/>
      <c r="B10" s="1223" t="s">
        <v>266</v>
      </c>
      <c r="C10" s="3281"/>
      <c r="D10" s="3316"/>
      <c r="E10" s="3316"/>
      <c r="F10" s="3316"/>
      <c r="G10" s="1125" t="s">
        <v>267</v>
      </c>
      <c r="H10" s="1125" t="s">
        <v>268</v>
      </c>
      <c r="I10" s="1125" t="s">
        <v>269</v>
      </c>
      <c r="J10" s="1125" t="s">
        <v>160</v>
      </c>
      <c r="K10" s="1126" t="s">
        <v>270</v>
      </c>
      <c r="L10" s="1126" t="s">
        <v>271</v>
      </c>
      <c r="M10" s="1125" t="s">
        <v>272</v>
      </c>
      <c r="N10" s="2969" t="s">
        <v>160</v>
      </c>
    </row>
    <row r="11" spans="1:14" ht="15" thickBot="1">
      <c r="A11" s="3312"/>
      <c r="B11" s="1213"/>
      <c r="C11" s="3281"/>
      <c r="D11" s="1215">
        <v>1</v>
      </c>
      <c r="E11" s="1216">
        <v>2</v>
      </c>
      <c r="F11" s="1216">
        <v>3</v>
      </c>
      <c r="G11" s="1217">
        <v>4</v>
      </c>
      <c r="H11" s="1216">
        <v>5</v>
      </c>
      <c r="I11" s="1218">
        <v>6</v>
      </c>
      <c r="J11" s="2971">
        <v>7</v>
      </c>
      <c r="K11" s="1217">
        <v>8</v>
      </c>
      <c r="L11" s="1216">
        <v>9</v>
      </c>
      <c r="M11" s="1216">
        <v>10</v>
      </c>
      <c r="N11" s="2971">
        <v>11</v>
      </c>
    </row>
    <row r="12" spans="1:14" ht="15" thickBot="1">
      <c r="A12" s="3313"/>
      <c r="B12" s="1219"/>
      <c r="C12" s="3282"/>
      <c r="D12" s="1220"/>
      <c r="E12" s="1220"/>
      <c r="F12" s="1220"/>
      <c r="G12" s="1221"/>
      <c r="H12" s="1220"/>
      <c r="I12" s="1222"/>
      <c r="J12" s="1222" t="s">
        <v>273</v>
      </c>
      <c r="K12" s="1221"/>
      <c r="L12" s="1220"/>
      <c r="M12" s="1220"/>
      <c r="N12" s="1222" t="s">
        <v>274</v>
      </c>
    </row>
    <row r="13" spans="1:14">
      <c r="A13" s="1224"/>
      <c r="B13" s="1225" t="s">
        <v>275</v>
      </c>
      <c r="C13" s="1133"/>
      <c r="D13" s="1228"/>
      <c r="E13" s="910"/>
      <c r="F13" s="910"/>
      <c r="G13" s="911"/>
      <c r="H13" s="912"/>
      <c r="I13" s="912"/>
      <c r="J13" s="1231"/>
      <c r="K13" s="914"/>
      <c r="L13" s="912"/>
      <c r="M13" s="1094"/>
      <c r="N13" s="1234"/>
    </row>
    <row r="14" spans="1:14">
      <c r="A14" s="1944">
        <v>1</v>
      </c>
      <c r="B14" s="1945" t="s">
        <v>276</v>
      </c>
      <c r="C14" s="1830"/>
      <c r="D14" s="1946">
        <f t="shared" ref="D14:N14" si="0">+D65+D117+D169+D221+D274+D328+D379+D432+D485+D538+D590+D644+D698+D752+D805+D858</f>
        <v>19115.276600000001</v>
      </c>
      <c r="E14" s="1947">
        <f t="shared" si="0"/>
        <v>0</v>
      </c>
      <c r="F14" s="1947">
        <f t="shared" si="0"/>
        <v>17420.164000000001</v>
      </c>
      <c r="G14" s="1947">
        <f t="shared" si="0"/>
        <v>559.38715799999977</v>
      </c>
      <c r="H14" s="1947">
        <f t="shared" si="0"/>
        <v>1135.7254419999999</v>
      </c>
      <c r="I14" s="1947">
        <f t="shared" si="0"/>
        <v>0</v>
      </c>
      <c r="J14" s="1948">
        <f t="shared" si="0"/>
        <v>1695.1125999999997</v>
      </c>
      <c r="K14" s="1947">
        <f t="shared" si="0"/>
        <v>0</v>
      </c>
      <c r="L14" s="1947">
        <f t="shared" si="0"/>
        <v>0</v>
      </c>
      <c r="M14" s="1949">
        <f t="shared" si="0"/>
        <v>0</v>
      </c>
      <c r="N14" s="1948">
        <f t="shared" si="0"/>
        <v>0</v>
      </c>
    </row>
    <row r="15" spans="1:14">
      <c r="A15" s="1944">
        <v>2</v>
      </c>
      <c r="B15" s="1945" t="s">
        <v>277</v>
      </c>
      <c r="C15" s="1830"/>
      <c r="D15" s="1946">
        <f t="shared" ref="D15:N15" si="1">+D66+D118+D170+D222+D275+D329+D380+D433+D486+D539+D591+D645+D699+D753+D806+D859</f>
        <v>3381377.34705</v>
      </c>
      <c r="E15" s="1947">
        <f t="shared" si="1"/>
        <v>0</v>
      </c>
      <c r="F15" s="1947">
        <f t="shared" si="1"/>
        <v>2749475.5035399999</v>
      </c>
      <c r="G15" s="1947">
        <f t="shared" si="1"/>
        <v>0</v>
      </c>
      <c r="H15" s="1947">
        <f t="shared" si="1"/>
        <v>410.49703524500018</v>
      </c>
      <c r="I15" s="1947">
        <f t="shared" si="1"/>
        <v>631491.34647475497</v>
      </c>
      <c r="J15" s="1948">
        <f t="shared" si="1"/>
        <v>631901.84351000004</v>
      </c>
      <c r="K15" s="1947">
        <f t="shared" si="1"/>
        <v>0</v>
      </c>
      <c r="L15" s="1947">
        <f t="shared" si="1"/>
        <v>0</v>
      </c>
      <c r="M15" s="1949">
        <f t="shared" si="1"/>
        <v>0</v>
      </c>
      <c r="N15" s="1948">
        <f t="shared" si="1"/>
        <v>0</v>
      </c>
    </row>
    <row r="16" spans="1:14">
      <c r="A16" s="1944">
        <v>3</v>
      </c>
      <c r="B16" s="1945" t="s">
        <v>278</v>
      </c>
      <c r="C16" s="1830"/>
      <c r="D16" s="1946">
        <f t="shared" ref="D16:N16" si="2">+D67+D119+D171+D223+D276+D330+D381+D434+D487+D540+D592+D646+D700+D754+D807+D860</f>
        <v>0</v>
      </c>
      <c r="E16" s="1947">
        <f t="shared" si="2"/>
        <v>0</v>
      </c>
      <c r="F16" s="1947">
        <f t="shared" si="2"/>
        <v>0</v>
      </c>
      <c r="G16" s="1947">
        <f t="shared" si="2"/>
        <v>0</v>
      </c>
      <c r="H16" s="1947">
        <f t="shared" si="2"/>
        <v>0</v>
      </c>
      <c r="I16" s="1947">
        <f t="shared" si="2"/>
        <v>0</v>
      </c>
      <c r="J16" s="1948">
        <f t="shared" si="2"/>
        <v>0</v>
      </c>
      <c r="K16" s="1947">
        <f t="shared" si="2"/>
        <v>0</v>
      </c>
      <c r="L16" s="1947">
        <f t="shared" si="2"/>
        <v>0</v>
      </c>
      <c r="M16" s="1949">
        <f t="shared" si="2"/>
        <v>0</v>
      </c>
      <c r="N16" s="1948">
        <f t="shared" si="2"/>
        <v>0</v>
      </c>
    </row>
    <row r="17" spans="1:14">
      <c r="A17" s="1944">
        <v>4</v>
      </c>
      <c r="B17" s="1945" t="s">
        <v>279</v>
      </c>
      <c r="C17" s="1830"/>
      <c r="D17" s="1946">
        <f t="shared" ref="D17:N17" si="3">+D68+D120+D172+D224+D277+D331+D382+D435+D488+D541+D593+D647+D701+D755+D808+D861</f>
        <v>3178911.940213128</v>
      </c>
      <c r="E17" s="1947">
        <f t="shared" si="3"/>
        <v>0</v>
      </c>
      <c r="F17" s="1947">
        <f t="shared" si="3"/>
        <v>1442469.7987900001</v>
      </c>
      <c r="G17" s="1947">
        <f t="shared" si="3"/>
        <v>938420.68167441699</v>
      </c>
      <c r="H17" s="1947">
        <f t="shared" si="3"/>
        <v>285899.73184271093</v>
      </c>
      <c r="I17" s="1947">
        <f t="shared" si="3"/>
        <v>512121.72790599999</v>
      </c>
      <c r="J17" s="1948">
        <f t="shared" si="3"/>
        <v>1736442.1414231281</v>
      </c>
      <c r="K17" s="1947">
        <f t="shared" si="3"/>
        <v>0</v>
      </c>
      <c r="L17" s="1947">
        <f t="shared" si="3"/>
        <v>0</v>
      </c>
      <c r="M17" s="1949">
        <f t="shared" si="3"/>
        <v>0</v>
      </c>
      <c r="N17" s="1948">
        <f t="shared" si="3"/>
        <v>0</v>
      </c>
    </row>
    <row r="18" spans="1:14">
      <c r="A18" s="1944">
        <v>5</v>
      </c>
      <c r="B18" s="1945" t="s">
        <v>280</v>
      </c>
      <c r="C18" s="1836"/>
      <c r="D18" s="1946">
        <f t="shared" ref="D18:N18" si="4">+D69+D121+D173+D225+D278+D332+D383+D436+D489+D542+D594+D648+D702+D756+D809+D862</f>
        <v>15506162.817962877</v>
      </c>
      <c r="E18" s="1947">
        <f t="shared" si="4"/>
        <v>0</v>
      </c>
      <c r="F18" s="1947">
        <f t="shared" si="4"/>
        <v>4587282.8219600003</v>
      </c>
      <c r="G18" s="1947">
        <f t="shared" si="4"/>
        <v>7796634.2519708499</v>
      </c>
      <c r="H18" s="1947">
        <f t="shared" si="4"/>
        <v>2798344.1490704375</v>
      </c>
      <c r="I18" s="1947">
        <f t="shared" si="4"/>
        <v>323901.59496159002</v>
      </c>
      <c r="J18" s="1948">
        <f t="shared" si="4"/>
        <v>10918879.996002879</v>
      </c>
      <c r="K18" s="1947">
        <f t="shared" si="4"/>
        <v>0</v>
      </c>
      <c r="L18" s="1947">
        <f t="shared" si="4"/>
        <v>0</v>
      </c>
      <c r="M18" s="1949">
        <f t="shared" si="4"/>
        <v>0</v>
      </c>
      <c r="N18" s="1948">
        <f t="shared" si="4"/>
        <v>0</v>
      </c>
    </row>
    <row r="19" spans="1:14">
      <c r="A19" s="1944">
        <v>6</v>
      </c>
      <c r="B19" s="1945" t="s">
        <v>281</v>
      </c>
      <c r="C19" s="1830"/>
      <c r="D19" s="1946">
        <f t="shared" ref="D19:N19" si="5">+D70+D122+D174+D226+D279+D333+D384+D437+D490+D543+D595+D649+D703+D757+D810+D863</f>
        <v>6356483.2732094219</v>
      </c>
      <c r="E19" s="1947">
        <f t="shared" si="5"/>
        <v>0</v>
      </c>
      <c r="F19" s="1947">
        <f t="shared" si="5"/>
        <v>4405994.1134994216</v>
      </c>
      <c r="G19" s="1947">
        <f t="shared" si="5"/>
        <v>1806861.2498115001</v>
      </c>
      <c r="H19" s="1947">
        <f t="shared" si="5"/>
        <v>143627.90989850002</v>
      </c>
      <c r="I19" s="1947">
        <f t="shared" si="5"/>
        <v>0</v>
      </c>
      <c r="J19" s="1948">
        <f t="shared" si="5"/>
        <v>1950489.15971</v>
      </c>
      <c r="K19" s="1947">
        <f t="shared" si="5"/>
        <v>0</v>
      </c>
      <c r="L19" s="1947">
        <f t="shared" si="5"/>
        <v>0</v>
      </c>
      <c r="M19" s="1949">
        <f t="shared" si="5"/>
        <v>0</v>
      </c>
      <c r="N19" s="1948">
        <f t="shared" si="5"/>
        <v>0</v>
      </c>
    </row>
    <row r="20" spans="1:14">
      <c r="A20" s="1944">
        <v>7</v>
      </c>
      <c r="B20" s="1945" t="s">
        <v>282</v>
      </c>
      <c r="C20" s="1836"/>
      <c r="D20" s="1946">
        <f t="shared" ref="D20:N20" si="6">+D71+D123+D175+D227+D280+D334+D385+D438+D491+D544+D596+D650+D704+D758+D811+D864</f>
        <v>5889683.9589999998</v>
      </c>
      <c r="E20" s="1947">
        <f t="shared" si="6"/>
        <v>0</v>
      </c>
      <c r="F20" s="1947">
        <f t="shared" si="6"/>
        <v>5874683.9589999998</v>
      </c>
      <c r="G20" s="1947">
        <f t="shared" si="6"/>
        <v>15000</v>
      </c>
      <c r="H20" s="1947">
        <f t="shared" si="6"/>
        <v>0</v>
      </c>
      <c r="I20" s="1947">
        <f t="shared" si="6"/>
        <v>0</v>
      </c>
      <c r="J20" s="1948">
        <f t="shared" si="6"/>
        <v>15000</v>
      </c>
      <c r="K20" s="1947">
        <f t="shared" si="6"/>
        <v>0</v>
      </c>
      <c r="L20" s="1947">
        <f t="shared" si="6"/>
        <v>0</v>
      </c>
      <c r="M20" s="1949">
        <f t="shared" si="6"/>
        <v>0</v>
      </c>
      <c r="N20" s="1948">
        <f t="shared" si="6"/>
        <v>0</v>
      </c>
    </row>
    <row r="21" spans="1:14">
      <c r="A21" s="1950"/>
      <c r="B21" s="1837" t="s">
        <v>283</v>
      </c>
      <c r="C21" s="1836"/>
      <c r="D21" s="1946">
        <f t="shared" ref="D21:N21" si="7">+D72+D124+D176+D228+D281+D335+D386+D439+D492+D545+D597+D651+D705+D759+D812+D865</f>
        <v>1456140.59</v>
      </c>
      <c r="E21" s="1947">
        <f t="shared" si="7"/>
        <v>0</v>
      </c>
      <c r="F21" s="1947">
        <f t="shared" si="7"/>
        <v>1456140.59</v>
      </c>
      <c r="G21" s="1947">
        <f t="shared" si="7"/>
        <v>0</v>
      </c>
      <c r="H21" s="1947">
        <f t="shared" si="7"/>
        <v>0</v>
      </c>
      <c r="I21" s="1947">
        <f t="shared" si="7"/>
        <v>0</v>
      </c>
      <c r="J21" s="1948">
        <f t="shared" si="7"/>
        <v>0</v>
      </c>
      <c r="K21" s="1947">
        <f t="shared" si="7"/>
        <v>0</v>
      </c>
      <c r="L21" s="1947">
        <f t="shared" si="7"/>
        <v>0</v>
      </c>
      <c r="M21" s="1949">
        <f t="shared" si="7"/>
        <v>0</v>
      </c>
      <c r="N21" s="1948">
        <f t="shared" si="7"/>
        <v>0</v>
      </c>
    </row>
    <row r="22" spans="1:14">
      <c r="A22" s="1950"/>
      <c r="B22" s="1837" t="s">
        <v>284</v>
      </c>
      <c r="C22" s="1836"/>
      <c r="D22" s="1946">
        <f t="shared" ref="D22:N22" si="8">+D73+D125+D177+D229+D282+D336+D387+D440+D493+D546+D598+D652+D706+D760+D813+D866</f>
        <v>4433543.3689999999</v>
      </c>
      <c r="E22" s="1947">
        <f t="shared" si="8"/>
        <v>0</v>
      </c>
      <c r="F22" s="1947">
        <f t="shared" si="8"/>
        <v>4418543.3689999999</v>
      </c>
      <c r="G22" s="1947">
        <f t="shared" si="8"/>
        <v>15000</v>
      </c>
      <c r="H22" s="1947">
        <f t="shared" si="8"/>
        <v>0</v>
      </c>
      <c r="I22" s="1947">
        <f t="shared" si="8"/>
        <v>0</v>
      </c>
      <c r="J22" s="1948">
        <f t="shared" si="8"/>
        <v>15000</v>
      </c>
      <c r="K22" s="1947">
        <f t="shared" si="8"/>
        <v>0</v>
      </c>
      <c r="L22" s="1947">
        <f t="shared" si="8"/>
        <v>0</v>
      </c>
      <c r="M22" s="1949">
        <f t="shared" si="8"/>
        <v>0</v>
      </c>
      <c r="N22" s="1948">
        <f t="shared" si="8"/>
        <v>0</v>
      </c>
    </row>
    <row r="23" spans="1:14">
      <c r="A23" s="1944">
        <v>8</v>
      </c>
      <c r="B23" s="1945" t="s">
        <v>285</v>
      </c>
      <c r="C23" s="1830"/>
      <c r="D23" s="1946">
        <f t="shared" ref="D23:N23" si="9">+D74+D126+D178+D230+D283+D337+D388+D441+D494+D547+D599+D653+D707+D761+D814+D867</f>
        <v>2410653.0569700003</v>
      </c>
      <c r="E23" s="1947">
        <f t="shared" si="9"/>
        <v>0</v>
      </c>
      <c r="F23" s="1947">
        <f t="shared" si="9"/>
        <v>2367662.56697</v>
      </c>
      <c r="G23" s="1947">
        <f t="shared" si="9"/>
        <v>13858.33</v>
      </c>
      <c r="H23" s="1947">
        <f t="shared" si="9"/>
        <v>29132.16</v>
      </c>
      <c r="I23" s="1947">
        <f t="shared" si="9"/>
        <v>0</v>
      </c>
      <c r="J23" s="1948">
        <f t="shared" si="9"/>
        <v>42990.49</v>
      </c>
      <c r="K23" s="1947">
        <f t="shared" si="9"/>
        <v>0</v>
      </c>
      <c r="L23" s="1947">
        <f t="shared" si="9"/>
        <v>0</v>
      </c>
      <c r="M23" s="1949">
        <f t="shared" si="9"/>
        <v>0</v>
      </c>
      <c r="N23" s="1948">
        <f t="shared" si="9"/>
        <v>0</v>
      </c>
    </row>
    <row r="24" spans="1:14">
      <c r="A24" s="1944"/>
      <c r="B24" s="1837" t="s">
        <v>286</v>
      </c>
      <c r="C24" s="1830"/>
      <c r="D24" s="1946">
        <f t="shared" ref="D24:N24" si="10">+D75+D127+D179+D231+D284+D338+D389+D442+D495+D548+D600+D654+D708+D762+D815+D868</f>
        <v>0</v>
      </c>
      <c r="E24" s="1947">
        <f t="shared" si="10"/>
        <v>0</v>
      </c>
      <c r="F24" s="1947">
        <f t="shared" si="10"/>
        <v>0</v>
      </c>
      <c r="G24" s="1947">
        <f t="shared" si="10"/>
        <v>0</v>
      </c>
      <c r="H24" s="1947">
        <f t="shared" si="10"/>
        <v>0</v>
      </c>
      <c r="I24" s="1947">
        <f t="shared" si="10"/>
        <v>0</v>
      </c>
      <c r="J24" s="1948">
        <f t="shared" si="10"/>
        <v>0</v>
      </c>
      <c r="K24" s="1947">
        <f t="shared" si="10"/>
        <v>0</v>
      </c>
      <c r="L24" s="1947">
        <f t="shared" si="10"/>
        <v>0</v>
      </c>
      <c r="M24" s="1949">
        <f t="shared" si="10"/>
        <v>0</v>
      </c>
      <c r="N24" s="1948">
        <f t="shared" si="10"/>
        <v>0</v>
      </c>
    </row>
    <row r="25" spans="1:14">
      <c r="A25" s="1944"/>
      <c r="B25" s="1837" t="s">
        <v>287</v>
      </c>
      <c r="C25" s="1830"/>
      <c r="D25" s="1946">
        <f t="shared" ref="D25:N25" si="11">+D76+D128+D180+D232+D285+D339+D390+D443+D496+D549+D601+D655+D709+D763+D816+D869</f>
        <v>897622.05697000003</v>
      </c>
      <c r="E25" s="1947">
        <f t="shared" si="11"/>
        <v>0</v>
      </c>
      <c r="F25" s="1947">
        <f t="shared" si="11"/>
        <v>854631.56697000004</v>
      </c>
      <c r="G25" s="1947">
        <f t="shared" si="11"/>
        <v>13858.33</v>
      </c>
      <c r="H25" s="1947">
        <f t="shared" si="11"/>
        <v>29132.16</v>
      </c>
      <c r="I25" s="1947">
        <f t="shared" si="11"/>
        <v>0</v>
      </c>
      <c r="J25" s="1948">
        <f t="shared" si="11"/>
        <v>42990.49</v>
      </c>
      <c r="K25" s="1947">
        <f t="shared" si="11"/>
        <v>0</v>
      </c>
      <c r="L25" s="1947">
        <f t="shared" si="11"/>
        <v>0</v>
      </c>
      <c r="M25" s="1949">
        <f t="shared" si="11"/>
        <v>0</v>
      </c>
      <c r="N25" s="1948">
        <f t="shared" si="11"/>
        <v>0</v>
      </c>
    </row>
    <row r="26" spans="1:14" ht="26.45">
      <c r="A26" s="1951">
        <v>9</v>
      </c>
      <c r="B26" s="1952" t="s">
        <v>288</v>
      </c>
      <c r="C26" s="1840"/>
      <c r="D26" s="1953">
        <f t="shared" ref="D26:N26" si="12">+D77+D129+D181+D233+D286+D340+D391+D444+D497+D550+D602+D656+D710+D764+D817+D870</f>
        <v>545261168.60126865</v>
      </c>
      <c r="E26" s="1954">
        <f t="shared" si="12"/>
        <v>0</v>
      </c>
      <c r="F26" s="1954">
        <f t="shared" si="12"/>
        <v>101577866.46876739</v>
      </c>
      <c r="G26" s="1954">
        <f t="shared" si="12"/>
        <v>217725832.84634924</v>
      </c>
      <c r="H26" s="1954">
        <f t="shared" si="12"/>
        <v>84429268.517495066</v>
      </c>
      <c r="I26" s="1954">
        <f t="shared" si="12"/>
        <v>131773757.63956693</v>
      </c>
      <c r="J26" s="1955">
        <f t="shared" si="12"/>
        <v>433928859.00341123</v>
      </c>
      <c r="K26" s="1954">
        <f t="shared" si="12"/>
        <v>457909.30853000004</v>
      </c>
      <c r="L26" s="1954">
        <f t="shared" si="12"/>
        <v>82416.797260000007</v>
      </c>
      <c r="M26" s="1956">
        <f t="shared" si="12"/>
        <v>9214117.0232999995</v>
      </c>
      <c r="N26" s="1955">
        <f t="shared" si="12"/>
        <v>9754443.1290899981</v>
      </c>
    </row>
    <row r="27" spans="1:14">
      <c r="A27" s="1950">
        <v>10</v>
      </c>
      <c r="B27" s="1846" t="s">
        <v>289</v>
      </c>
      <c r="C27" s="1830"/>
      <c r="D27" s="1946">
        <f t="shared" ref="D27:N27" si="13">+D78+D130+D182+D234+D287+D341+D392+D445+D498+D551+D603+D657+D711+D765+D818+D871</f>
        <v>155481022.19091505</v>
      </c>
      <c r="E27" s="1947">
        <f t="shared" si="13"/>
        <v>0</v>
      </c>
      <c r="F27" s="1947">
        <f t="shared" si="13"/>
        <v>13517798.019453488</v>
      </c>
      <c r="G27" s="1947">
        <f t="shared" si="13"/>
        <v>97738040.03824383</v>
      </c>
      <c r="H27" s="1947">
        <f t="shared" si="13"/>
        <v>15980386.054975182</v>
      </c>
      <c r="I27" s="1947">
        <f t="shared" si="13"/>
        <v>28244798.078242533</v>
      </c>
      <c r="J27" s="1948">
        <f t="shared" si="13"/>
        <v>141963224.17146155</v>
      </c>
      <c r="K27" s="1947">
        <f t="shared" si="13"/>
        <v>0</v>
      </c>
      <c r="L27" s="1947">
        <f t="shared" si="13"/>
        <v>0</v>
      </c>
      <c r="M27" s="1949">
        <f t="shared" si="13"/>
        <v>0</v>
      </c>
      <c r="N27" s="1948">
        <f t="shared" si="13"/>
        <v>0</v>
      </c>
    </row>
    <row r="28" spans="1:14">
      <c r="A28" s="1950">
        <v>11</v>
      </c>
      <c r="B28" s="1846" t="s">
        <v>290</v>
      </c>
      <c r="C28" s="1830"/>
      <c r="D28" s="1946">
        <f t="shared" ref="D28:N28" si="14">+D79+D131+D183+D235+D288+D342+D393+D446+D499+D552+D604+D658+D712+D766+D819+D872</f>
        <v>217101016.8146874</v>
      </c>
      <c r="E28" s="1947">
        <f t="shared" si="14"/>
        <v>0</v>
      </c>
      <c r="F28" s="1947">
        <f t="shared" si="14"/>
        <v>50037309.957368463</v>
      </c>
      <c r="G28" s="1947">
        <f t="shared" si="14"/>
        <v>56660763.809761114</v>
      </c>
      <c r="H28" s="1947">
        <f t="shared" si="14"/>
        <v>50133783.86819189</v>
      </c>
      <c r="I28" s="1947">
        <f t="shared" si="14"/>
        <v>53929100.586415887</v>
      </c>
      <c r="J28" s="1948">
        <f t="shared" si="14"/>
        <v>160723648.26436889</v>
      </c>
      <c r="K28" s="1947">
        <f t="shared" si="14"/>
        <v>329544.30853000004</v>
      </c>
      <c r="L28" s="1947">
        <f t="shared" si="14"/>
        <v>82416.797260000007</v>
      </c>
      <c r="M28" s="1949">
        <f t="shared" si="14"/>
        <v>5928097.4871599991</v>
      </c>
      <c r="N28" s="1948">
        <f t="shared" si="14"/>
        <v>6340058.5929499995</v>
      </c>
    </row>
    <row r="29" spans="1:14">
      <c r="A29" s="1950">
        <v>12</v>
      </c>
      <c r="B29" s="1846" t="s">
        <v>291</v>
      </c>
      <c r="C29" s="1830"/>
      <c r="D29" s="1946">
        <f t="shared" ref="D29:N29" si="15">+D80+D132+D184+D236+D289+D343+D394+D447+D500+D553+D605+D659+D713+D767+D820+D873</f>
        <v>130950338.07145879</v>
      </c>
      <c r="E29" s="1947">
        <f t="shared" si="15"/>
        <v>0</v>
      </c>
      <c r="F29" s="1947">
        <f t="shared" si="15"/>
        <v>31559142.327855609</v>
      </c>
      <c r="G29" s="1947">
        <f t="shared" si="15"/>
        <v>47577547.733535483</v>
      </c>
      <c r="H29" s="1947">
        <f t="shared" si="15"/>
        <v>7671103.1884818301</v>
      </c>
      <c r="I29" s="1947">
        <f t="shared" si="15"/>
        <v>43422411.250245832</v>
      </c>
      <c r="J29" s="1948">
        <f t="shared" si="15"/>
        <v>98671062.172263145</v>
      </c>
      <c r="K29" s="1947">
        <f t="shared" si="15"/>
        <v>128365</v>
      </c>
      <c r="L29" s="1947">
        <f t="shared" si="15"/>
        <v>0</v>
      </c>
      <c r="M29" s="1949">
        <f t="shared" si="15"/>
        <v>591768.57133999991</v>
      </c>
      <c r="N29" s="1948">
        <f t="shared" si="15"/>
        <v>720133.57133999991</v>
      </c>
    </row>
    <row r="30" spans="1:14" ht="26.45">
      <c r="A30" s="1950">
        <v>13</v>
      </c>
      <c r="B30" s="1846" t="s">
        <v>292</v>
      </c>
      <c r="C30" s="1830"/>
      <c r="D30" s="1946">
        <f t="shared" ref="D30:N30" si="16">+D81+D133+D185+D237+D290+D344+D395+D448+D501+D554+D606+D660+D714+D768+D821+D874</f>
        <v>41728791.52420751</v>
      </c>
      <c r="E30" s="1947">
        <f t="shared" si="16"/>
        <v>0</v>
      </c>
      <c r="F30" s="1947">
        <f t="shared" si="16"/>
        <v>6463616.1640898492</v>
      </c>
      <c r="G30" s="1947">
        <f t="shared" si="16"/>
        <v>15749481.264808821</v>
      </c>
      <c r="H30" s="1947">
        <f t="shared" si="16"/>
        <v>10643995.405846169</v>
      </c>
      <c r="I30" s="1947">
        <f t="shared" si="16"/>
        <v>6177447.7246626699</v>
      </c>
      <c r="J30" s="1948">
        <f t="shared" si="16"/>
        <v>32570924.395317659</v>
      </c>
      <c r="K30" s="1947">
        <f t="shared" si="16"/>
        <v>0</v>
      </c>
      <c r="L30" s="1947">
        <f t="shared" si="16"/>
        <v>0</v>
      </c>
      <c r="M30" s="1949">
        <f t="shared" si="16"/>
        <v>2694250.9648000002</v>
      </c>
      <c r="N30" s="1948">
        <f t="shared" si="16"/>
        <v>2694250.9648000002</v>
      </c>
    </row>
    <row r="31" spans="1:14">
      <c r="A31" s="1950">
        <v>14</v>
      </c>
      <c r="B31" s="1829" t="s">
        <v>293</v>
      </c>
      <c r="C31" s="1830"/>
      <c r="D31" s="1946">
        <f t="shared" ref="D31:N31" si="17">+D82+D134+D186+D238+D291+D345+D396+D449+D502+D555+D607+D661+D715+D769+D822+D875</f>
        <v>7144544.0754000023</v>
      </c>
      <c r="E31" s="1947">
        <f t="shared" si="17"/>
        <v>0</v>
      </c>
      <c r="F31" s="1947">
        <f t="shared" si="17"/>
        <v>0</v>
      </c>
      <c r="G31" s="1947">
        <f t="shared" si="17"/>
        <v>2706934.2321667699</v>
      </c>
      <c r="H31" s="1947">
        <f t="shared" si="17"/>
        <v>1736182.9694175778</v>
      </c>
      <c r="I31" s="1947">
        <f t="shared" si="17"/>
        <v>2701426.8738156548</v>
      </c>
      <c r="J31" s="1948">
        <f t="shared" si="17"/>
        <v>7144544.0754000023</v>
      </c>
      <c r="K31" s="1947">
        <f t="shared" si="17"/>
        <v>0</v>
      </c>
      <c r="L31" s="1947">
        <f t="shared" si="17"/>
        <v>0</v>
      </c>
      <c r="M31" s="1949">
        <f t="shared" si="17"/>
        <v>0</v>
      </c>
      <c r="N31" s="1948">
        <f t="shared" si="17"/>
        <v>0</v>
      </c>
    </row>
    <row r="32" spans="1:14">
      <c r="A32" s="1950">
        <v>15</v>
      </c>
      <c r="B32" s="1829" t="s">
        <v>294</v>
      </c>
      <c r="C32" s="1836"/>
      <c r="D32" s="1946">
        <f t="shared" ref="D32:N32" si="18">+D83+D135+D187+D239+D292+D346+D397+D450+D503+D556+D608+D662+D716+D770+D823+D876</f>
        <v>3152479.3135462175</v>
      </c>
      <c r="E32" s="1947">
        <f t="shared" si="18"/>
        <v>0</v>
      </c>
      <c r="F32" s="1947">
        <f t="shared" si="18"/>
        <v>0</v>
      </c>
      <c r="G32" s="1947">
        <f t="shared" si="18"/>
        <v>777299.24531747645</v>
      </c>
      <c r="H32" s="1947">
        <f t="shared" si="18"/>
        <v>1947087.5225345988</v>
      </c>
      <c r="I32" s="1947">
        <f t="shared" si="18"/>
        <v>390117.63059414213</v>
      </c>
      <c r="J32" s="1948">
        <f t="shared" si="18"/>
        <v>3114504.3984462176</v>
      </c>
      <c r="K32" s="1947">
        <f t="shared" si="18"/>
        <v>13940</v>
      </c>
      <c r="L32" s="1947">
        <f t="shared" si="18"/>
        <v>0</v>
      </c>
      <c r="M32" s="1949">
        <f t="shared" si="18"/>
        <v>24034.915100000002</v>
      </c>
      <c r="N32" s="1948">
        <f t="shared" si="18"/>
        <v>37974.915099999998</v>
      </c>
    </row>
    <row r="33" spans="1:14">
      <c r="A33" s="1950">
        <v>16</v>
      </c>
      <c r="B33" s="1829" t="s">
        <v>295</v>
      </c>
      <c r="C33" s="1830"/>
      <c r="D33" s="1946">
        <f t="shared" ref="D33:N33" si="19">+D84+D136+D188+D240+D293+D347+D398+D451+D504+D557+D609+D663+D717+D771+D824+D877</f>
        <v>3300604.5591099993</v>
      </c>
      <c r="E33" s="1947">
        <f t="shared" si="19"/>
        <v>0</v>
      </c>
      <c r="F33" s="1947">
        <f t="shared" si="19"/>
        <v>0</v>
      </c>
      <c r="G33" s="1947">
        <f t="shared" si="19"/>
        <v>688305.42159931548</v>
      </c>
      <c r="H33" s="1947">
        <f t="shared" si="19"/>
        <v>1636297.2514073246</v>
      </c>
      <c r="I33" s="1947">
        <f t="shared" si="19"/>
        <v>956382.38410335989</v>
      </c>
      <c r="J33" s="1948">
        <f t="shared" si="19"/>
        <v>3280985.0571099995</v>
      </c>
      <c r="K33" s="1947">
        <f t="shared" si="19"/>
        <v>3901.2950000000001</v>
      </c>
      <c r="L33" s="1947">
        <f t="shared" si="19"/>
        <v>0</v>
      </c>
      <c r="M33" s="1949">
        <f t="shared" si="19"/>
        <v>15718.207</v>
      </c>
      <c r="N33" s="1948">
        <f t="shared" si="19"/>
        <v>19619.502</v>
      </c>
    </row>
    <row r="34" spans="1:14">
      <c r="A34" s="1950">
        <v>17</v>
      </c>
      <c r="B34" s="1829" t="s">
        <v>296</v>
      </c>
      <c r="C34" s="1836"/>
      <c r="D34" s="1946">
        <f t="shared" ref="D34:N34" si="20">+D85+D137+D189+D241+D294+D348+D399+D452+D505+D558+D610+D664+D718+D772+D825+D878</f>
        <v>17359606.115793884</v>
      </c>
      <c r="E34" s="1947">
        <f t="shared" si="20"/>
        <v>-2343475.9062799998</v>
      </c>
      <c r="F34" s="1947">
        <f t="shared" si="20"/>
        <v>12038357.570081541</v>
      </c>
      <c r="G34" s="1947">
        <f t="shared" si="20"/>
        <v>3522766.9292813991</v>
      </c>
      <c r="H34" s="1947">
        <f t="shared" si="20"/>
        <v>2754659.0290975356</v>
      </c>
      <c r="I34" s="1947">
        <f t="shared" si="20"/>
        <v>1352689.7258308481</v>
      </c>
      <c r="J34" s="1948">
        <f t="shared" si="20"/>
        <v>7569175.0485923365</v>
      </c>
      <c r="K34" s="1947">
        <f t="shared" si="20"/>
        <v>76504</v>
      </c>
      <c r="L34" s="1947">
        <f t="shared" si="20"/>
        <v>0</v>
      </c>
      <c r="M34" s="1949">
        <f t="shared" si="20"/>
        <v>19045.403399999999</v>
      </c>
      <c r="N34" s="1948">
        <f t="shared" si="20"/>
        <v>95549.403399999996</v>
      </c>
    </row>
    <row r="35" spans="1:14">
      <c r="A35" s="1950">
        <v>18</v>
      </c>
      <c r="B35" s="1829" t="s">
        <v>297</v>
      </c>
      <c r="C35" s="1830"/>
      <c r="D35" s="1946">
        <f t="shared" ref="D35:N35" si="21">+D86+D138+D190+D242+D295+D349+D400+D453+D506+D559+D611+D665+D719+D773+D826+D879</f>
        <v>1625736.51</v>
      </c>
      <c r="E35" s="1947">
        <f t="shared" si="21"/>
        <v>0</v>
      </c>
      <c r="F35" s="1947">
        <f t="shared" si="21"/>
        <v>0</v>
      </c>
      <c r="G35" s="1947">
        <f t="shared" si="21"/>
        <v>0</v>
      </c>
      <c r="H35" s="1947">
        <f t="shared" si="21"/>
        <v>0</v>
      </c>
      <c r="I35" s="1947">
        <f t="shared" si="21"/>
        <v>1625736.51</v>
      </c>
      <c r="J35" s="1948">
        <f t="shared" si="21"/>
        <v>1625736.51</v>
      </c>
      <c r="K35" s="1947">
        <f t="shared" si="21"/>
        <v>0</v>
      </c>
      <c r="L35" s="1947">
        <f t="shared" si="21"/>
        <v>0</v>
      </c>
      <c r="M35" s="1949">
        <f t="shared" si="21"/>
        <v>0</v>
      </c>
      <c r="N35" s="1948">
        <f t="shared" si="21"/>
        <v>0</v>
      </c>
    </row>
    <row r="36" spans="1:14" ht="15" thickBot="1">
      <c r="A36" s="1957">
        <v>19</v>
      </c>
      <c r="B36" s="1848" t="s">
        <v>298</v>
      </c>
      <c r="C36" s="1847"/>
      <c r="D36" s="3120">
        <f t="shared" ref="D36:N36" si="22">+D87+D139+D191+D243+D296+D350+D401+D454+D507+D560+D612+D666+D720+D774+D827+D880</f>
        <v>18100549.694981489</v>
      </c>
      <c r="E36" s="3121">
        <f t="shared" si="22"/>
        <v>0</v>
      </c>
      <c r="F36" s="3121">
        <f t="shared" si="22"/>
        <v>7278338.8188210987</v>
      </c>
      <c r="G36" s="3121">
        <f t="shared" si="22"/>
        <v>4605268.7943337709</v>
      </c>
      <c r="H36" s="3121">
        <f t="shared" si="22"/>
        <v>3233188.2440758776</v>
      </c>
      <c r="I36" s="3121">
        <f t="shared" si="22"/>
        <v>2934224.9637507414</v>
      </c>
      <c r="J36" s="3122">
        <f t="shared" si="22"/>
        <v>10772682.002160391</v>
      </c>
      <c r="K36" s="3121">
        <f t="shared" si="22"/>
        <v>31391</v>
      </c>
      <c r="L36" s="3121">
        <f t="shared" si="22"/>
        <v>38</v>
      </c>
      <c r="M36" s="1958">
        <f t="shared" si="22"/>
        <v>18099.874</v>
      </c>
      <c r="N36" s="3122">
        <f t="shared" si="22"/>
        <v>49528.873999999996</v>
      </c>
    </row>
    <row r="37" spans="1:14" ht="27" thickBot="1">
      <c r="A37" s="1235">
        <v>20</v>
      </c>
      <c r="B37" s="1139" t="s">
        <v>299</v>
      </c>
      <c r="C37" s="1138"/>
      <c r="D37" s="1236">
        <f t="shared" ref="D37:N37" si="23">+D88+D140+D192+D244+D297+D351+D402+D455+D508+D561+D613+D667+D721+D775+D828+D881</f>
        <v>632687076.54110563</v>
      </c>
      <c r="E37" s="1236">
        <f t="shared" si="23"/>
        <v>-2343475.9062799998</v>
      </c>
      <c r="F37" s="1236">
        <f t="shared" si="23"/>
        <v>142339551.78542948</v>
      </c>
      <c r="G37" s="1236">
        <f t="shared" si="23"/>
        <v>240597741.36966276</v>
      </c>
      <c r="H37" s="1236">
        <f t="shared" si="23"/>
        <v>98995233.707316875</v>
      </c>
      <c r="I37" s="1236">
        <f t="shared" si="23"/>
        <v>143201850.39700401</v>
      </c>
      <c r="J37" s="1236">
        <f t="shared" si="23"/>
        <v>482733884.83836621</v>
      </c>
      <c r="K37" s="1236">
        <f t="shared" si="23"/>
        <v>583645.60352999996</v>
      </c>
      <c r="L37" s="1236">
        <f t="shared" si="23"/>
        <v>82454.797260000007</v>
      </c>
      <c r="M37" s="1237">
        <f t="shared" si="23"/>
        <v>9291015.4227999989</v>
      </c>
      <c r="N37" s="1236">
        <f t="shared" si="23"/>
        <v>9957115.8235899992</v>
      </c>
    </row>
    <row r="38" spans="1:14">
      <c r="A38" s="1227"/>
      <c r="B38" s="1225" t="s">
        <v>300</v>
      </c>
      <c r="C38" s="1133"/>
      <c r="D38" s="1230">
        <f t="shared" ref="D38:N38" si="24">+D89+D141+D193+D245+D298+D352+D403+D456+D509+D562+D614+D668+D722+D776+D829+D882</f>
        <v>0</v>
      </c>
      <c r="E38" s="914">
        <f t="shared" si="24"/>
        <v>0</v>
      </c>
      <c r="F38" s="914">
        <f t="shared" si="24"/>
        <v>0</v>
      </c>
      <c r="G38" s="914">
        <f t="shared" si="24"/>
        <v>0</v>
      </c>
      <c r="H38" s="914">
        <f t="shared" si="24"/>
        <v>0</v>
      </c>
      <c r="I38" s="914">
        <f t="shared" si="24"/>
        <v>0</v>
      </c>
      <c r="J38" s="1233">
        <f t="shared" si="24"/>
        <v>0</v>
      </c>
      <c r="K38" s="914">
        <f t="shared" si="24"/>
        <v>0</v>
      </c>
      <c r="L38" s="914">
        <f t="shared" si="24"/>
        <v>0</v>
      </c>
      <c r="M38" s="913">
        <f t="shared" si="24"/>
        <v>0</v>
      </c>
      <c r="N38" s="1233">
        <f t="shared" si="24"/>
        <v>0</v>
      </c>
    </row>
    <row r="39" spans="1:14">
      <c r="A39" s="1950"/>
      <c r="B39" s="1959" t="s">
        <v>301</v>
      </c>
      <c r="C39" s="1830"/>
      <c r="D39" s="1946">
        <f t="shared" ref="D39:N39" si="25">+D90+D142+D194+D246+D299+D353+D404+D457+D510+D563+D615+D669+D723+D777+D830+D883</f>
        <v>0</v>
      </c>
      <c r="E39" s="1947">
        <f t="shared" si="25"/>
        <v>0</v>
      </c>
      <c r="F39" s="1947">
        <f t="shared" si="25"/>
        <v>0</v>
      </c>
      <c r="G39" s="1947">
        <f t="shared" si="25"/>
        <v>0</v>
      </c>
      <c r="H39" s="1947">
        <f t="shared" si="25"/>
        <v>0</v>
      </c>
      <c r="I39" s="1947">
        <f t="shared" si="25"/>
        <v>0</v>
      </c>
      <c r="J39" s="1948">
        <f t="shared" si="25"/>
        <v>0</v>
      </c>
      <c r="K39" s="1947">
        <f t="shared" si="25"/>
        <v>0</v>
      </c>
      <c r="L39" s="1947">
        <f t="shared" si="25"/>
        <v>0</v>
      </c>
      <c r="M39" s="1949">
        <f t="shared" si="25"/>
        <v>0</v>
      </c>
      <c r="N39" s="1948">
        <f t="shared" si="25"/>
        <v>0</v>
      </c>
    </row>
    <row r="40" spans="1:14">
      <c r="A40" s="1950">
        <v>21</v>
      </c>
      <c r="B40" s="1829" t="s">
        <v>302</v>
      </c>
      <c r="C40" s="1836"/>
      <c r="D40" s="1946">
        <f t="shared" ref="D40:N40" si="26">+D91+D143+D195+D247+D300+D354+D405+D458+D511+D564+D616+D670+D724+D778+D831+D884</f>
        <v>449505469.84650445</v>
      </c>
      <c r="E40" s="1947">
        <f t="shared" si="26"/>
        <v>0</v>
      </c>
      <c r="F40" s="1947">
        <f t="shared" si="26"/>
        <v>0</v>
      </c>
      <c r="G40" s="1947">
        <f t="shared" si="26"/>
        <v>231731497.05703822</v>
      </c>
      <c r="H40" s="1947">
        <f t="shared" si="26"/>
        <v>73858477.504965097</v>
      </c>
      <c r="I40" s="1947">
        <f t="shared" si="26"/>
        <v>134472326.55840117</v>
      </c>
      <c r="J40" s="1948">
        <f t="shared" si="26"/>
        <v>440062301.12040448</v>
      </c>
      <c r="K40" s="1947">
        <f t="shared" si="26"/>
        <v>200849.34299999999</v>
      </c>
      <c r="L40" s="1947">
        <f t="shared" si="26"/>
        <v>82367</v>
      </c>
      <c r="M40" s="1949">
        <f t="shared" si="26"/>
        <v>9159952.3830999993</v>
      </c>
      <c r="N40" s="1948">
        <f t="shared" si="26"/>
        <v>9443168.7260999996</v>
      </c>
    </row>
    <row r="41" spans="1:14">
      <c r="A41" s="1950">
        <v>22</v>
      </c>
      <c r="B41" s="1829" t="s">
        <v>303</v>
      </c>
      <c r="C41" s="1830"/>
      <c r="D41" s="1946">
        <f t="shared" ref="D41:N41" si="27">+D92+D144+D196+D248+D301+D355+D406+D459+D512+D565+D617+D671+D725+D779+D832+D885</f>
        <v>2122611.9796799999</v>
      </c>
      <c r="E41" s="1947">
        <f t="shared" si="27"/>
        <v>0</v>
      </c>
      <c r="F41" s="1947">
        <f t="shared" si="27"/>
        <v>518485.80900000001</v>
      </c>
      <c r="G41" s="1947">
        <f t="shared" si="27"/>
        <v>859530.60028405802</v>
      </c>
      <c r="H41" s="1947">
        <f t="shared" si="27"/>
        <v>734539.15463573718</v>
      </c>
      <c r="I41" s="1947">
        <f t="shared" si="27"/>
        <v>10056.415760204824</v>
      </c>
      <c r="J41" s="1948">
        <f t="shared" si="27"/>
        <v>1604126.17068</v>
      </c>
      <c r="K41" s="1947">
        <f t="shared" si="27"/>
        <v>0</v>
      </c>
      <c r="L41" s="1947">
        <f t="shared" si="27"/>
        <v>0</v>
      </c>
      <c r="M41" s="1949">
        <f t="shared" si="27"/>
        <v>0</v>
      </c>
      <c r="N41" s="1948">
        <f t="shared" si="27"/>
        <v>0</v>
      </c>
    </row>
    <row r="42" spans="1:14">
      <c r="A42" s="1950">
        <v>23</v>
      </c>
      <c r="B42" s="1829" t="s">
        <v>304</v>
      </c>
      <c r="C42" s="1830"/>
      <c r="D42" s="1946">
        <f t="shared" ref="D42:N42" si="28">+D93+D145+D197+D249+D302+D356+D407+D460+D513+D566+D618+D672+D726+D780+D833+D886</f>
        <v>5124585.3941319045</v>
      </c>
      <c r="E42" s="1947">
        <f t="shared" si="28"/>
        <v>0</v>
      </c>
      <c r="F42" s="1947">
        <f t="shared" si="28"/>
        <v>0</v>
      </c>
      <c r="G42" s="1947">
        <f t="shared" si="28"/>
        <v>1047199.1608787132</v>
      </c>
      <c r="H42" s="1947">
        <f t="shared" si="28"/>
        <v>3620235.6185094533</v>
      </c>
      <c r="I42" s="1947">
        <f t="shared" si="28"/>
        <v>389359.95374373847</v>
      </c>
      <c r="J42" s="1948">
        <f t="shared" si="28"/>
        <v>5056794.7331319042</v>
      </c>
      <c r="K42" s="1947">
        <f t="shared" si="28"/>
        <v>56745.752999999997</v>
      </c>
      <c r="L42" s="1947">
        <f t="shared" si="28"/>
        <v>0</v>
      </c>
      <c r="M42" s="1949">
        <f t="shared" si="28"/>
        <v>11044.907999999999</v>
      </c>
      <c r="N42" s="1948">
        <f t="shared" si="28"/>
        <v>67790.660999999993</v>
      </c>
    </row>
    <row r="43" spans="1:14">
      <c r="A43" s="1950">
        <v>24</v>
      </c>
      <c r="B43" s="1829" t="s">
        <v>305</v>
      </c>
      <c r="C43" s="1830"/>
      <c r="D43" s="1946">
        <f t="shared" ref="D43:N43" si="29">+D94+D146+D198+D250+D303+D357+D408+D461+D514+D567+D619+D673+D727+D781+D834+D887</f>
        <v>1056782.5350599997</v>
      </c>
      <c r="E43" s="1947">
        <f t="shared" si="29"/>
        <v>0</v>
      </c>
      <c r="F43" s="1947">
        <f t="shared" si="29"/>
        <v>0</v>
      </c>
      <c r="G43" s="1947">
        <f t="shared" si="29"/>
        <v>212178.67894844388</v>
      </c>
      <c r="H43" s="1947">
        <f t="shared" si="29"/>
        <v>719024.20611155592</v>
      </c>
      <c r="I43" s="1947">
        <f t="shared" si="29"/>
        <v>118443.65000000001</v>
      </c>
      <c r="J43" s="1948">
        <f t="shared" si="29"/>
        <v>1049646.5350599997</v>
      </c>
      <c r="K43" s="1947">
        <f t="shared" si="29"/>
        <v>7136</v>
      </c>
      <c r="L43" s="1947">
        <f t="shared" si="29"/>
        <v>0</v>
      </c>
      <c r="M43" s="1949">
        <f t="shared" si="29"/>
        <v>0</v>
      </c>
      <c r="N43" s="1948">
        <f t="shared" si="29"/>
        <v>7136</v>
      </c>
    </row>
    <row r="44" spans="1:14">
      <c r="A44" s="1950">
        <v>25</v>
      </c>
      <c r="B44" s="1851" t="s">
        <v>306</v>
      </c>
      <c r="C44" s="1830"/>
      <c r="D44" s="1946">
        <f t="shared" ref="D44:N44" si="30">+D95+D147+D199+D251+D304+D358+D409+D462+D515+D568+D620+D674+D728+D782+D835+D888</f>
        <v>7022599.8121599993</v>
      </c>
      <c r="E44" s="1947">
        <f t="shared" si="30"/>
        <v>0</v>
      </c>
      <c r="F44" s="1947">
        <f t="shared" si="30"/>
        <v>3435601.64169</v>
      </c>
      <c r="G44" s="1947">
        <f t="shared" si="30"/>
        <v>94394.526629999891</v>
      </c>
      <c r="H44" s="1947">
        <f t="shared" si="30"/>
        <v>3492603.64384</v>
      </c>
      <c r="I44" s="1947">
        <f t="shared" si="30"/>
        <v>0</v>
      </c>
      <c r="J44" s="1948">
        <f t="shared" si="30"/>
        <v>3586998.1704699998</v>
      </c>
      <c r="K44" s="1947">
        <f t="shared" si="30"/>
        <v>0</v>
      </c>
      <c r="L44" s="1947">
        <f t="shared" si="30"/>
        <v>0</v>
      </c>
      <c r="M44" s="1949">
        <f t="shared" si="30"/>
        <v>0</v>
      </c>
      <c r="N44" s="1948">
        <f t="shared" si="30"/>
        <v>0</v>
      </c>
    </row>
    <row r="45" spans="1:14" ht="15" thickBot="1">
      <c r="A45" s="1957">
        <v>26</v>
      </c>
      <c r="B45" s="1848" t="s">
        <v>307</v>
      </c>
      <c r="C45" s="1852"/>
      <c r="D45" s="3120">
        <f t="shared" ref="D45:N45" si="31">+D96+D148+D200+D252+D305+D359+D410+D463+D516+D569+D621+D675+D729+D783+D836+D889</f>
        <v>29012666.31410718</v>
      </c>
      <c r="E45" s="3121">
        <f t="shared" si="31"/>
        <v>-2343475.9062800002</v>
      </c>
      <c r="F45" s="3121">
        <f t="shared" si="31"/>
        <v>2799512.7214142065</v>
      </c>
      <c r="G45" s="3121">
        <f t="shared" si="31"/>
        <v>6907927.3784993533</v>
      </c>
      <c r="H45" s="3121">
        <f t="shared" si="31"/>
        <v>14605191.381370479</v>
      </c>
      <c r="I45" s="3121">
        <f t="shared" si="31"/>
        <v>6672207.1023405893</v>
      </c>
      <c r="J45" s="3122">
        <f t="shared" si="31"/>
        <v>28124385.226592973</v>
      </c>
      <c r="K45" s="3121">
        <f t="shared" si="31"/>
        <v>317269.46499999997</v>
      </c>
      <c r="L45" s="3121">
        <f t="shared" si="31"/>
        <v>88</v>
      </c>
      <c r="M45" s="1958">
        <f t="shared" si="31"/>
        <v>114886.80738000022</v>
      </c>
      <c r="N45" s="3122">
        <f t="shared" si="31"/>
        <v>432244.27238000021</v>
      </c>
    </row>
    <row r="46" spans="1:14" ht="27" thickBot="1">
      <c r="A46" s="1226">
        <v>27</v>
      </c>
      <c r="B46" s="1136" t="s">
        <v>308</v>
      </c>
      <c r="C46" s="1135"/>
      <c r="D46" s="1229">
        <f t="shared" ref="D46:N46" si="32">+D97+D149+D201+D253+D306+D360+D411+D464+D517+D570+D622+D676+D730+D784+D837+D890</f>
        <v>493844715.88164353</v>
      </c>
      <c r="E46" s="916">
        <f t="shared" si="32"/>
        <v>-2343475.9062800002</v>
      </c>
      <c r="F46" s="916">
        <f t="shared" si="32"/>
        <v>6753600.1721042069</v>
      </c>
      <c r="G46" s="916">
        <f t="shared" si="32"/>
        <v>240852727.40227878</v>
      </c>
      <c r="H46" s="916">
        <f t="shared" si="32"/>
        <v>97030071.509432316</v>
      </c>
      <c r="I46" s="916">
        <f t="shared" si="32"/>
        <v>141662393.68024573</v>
      </c>
      <c r="J46" s="1232">
        <f t="shared" si="32"/>
        <v>479484251.95633936</v>
      </c>
      <c r="K46" s="916">
        <f t="shared" si="32"/>
        <v>582000.56099999999</v>
      </c>
      <c r="L46" s="916">
        <f t="shared" si="32"/>
        <v>82455</v>
      </c>
      <c r="M46" s="934">
        <f t="shared" si="32"/>
        <v>9285884.0984800011</v>
      </c>
      <c r="N46" s="1232">
        <f t="shared" si="32"/>
        <v>9950339.6594799999</v>
      </c>
    </row>
    <row r="47" spans="1:14">
      <c r="A47" s="1227"/>
      <c r="B47" s="1225" t="s">
        <v>309</v>
      </c>
      <c r="C47" s="1133"/>
      <c r="D47" s="1230">
        <f t="shared" ref="D47:N47" si="33">+D98+D150+D202+D254+D307+D361+D412+D465+D518+D571+D623+D677+D731+D785+D838+D891</f>
        <v>0</v>
      </c>
      <c r="E47" s="914">
        <f t="shared" si="33"/>
        <v>0</v>
      </c>
      <c r="F47" s="914">
        <f t="shared" si="33"/>
        <v>0</v>
      </c>
      <c r="G47" s="914">
        <f t="shared" si="33"/>
        <v>0</v>
      </c>
      <c r="H47" s="914">
        <f t="shared" si="33"/>
        <v>0</v>
      </c>
      <c r="I47" s="914">
        <f t="shared" si="33"/>
        <v>0</v>
      </c>
      <c r="J47" s="1233">
        <f t="shared" si="33"/>
        <v>0</v>
      </c>
      <c r="K47" s="914">
        <f t="shared" si="33"/>
        <v>0</v>
      </c>
      <c r="L47" s="914">
        <f t="shared" si="33"/>
        <v>0</v>
      </c>
      <c r="M47" s="913">
        <f t="shared" si="33"/>
        <v>0</v>
      </c>
      <c r="N47" s="1233">
        <f t="shared" si="33"/>
        <v>0</v>
      </c>
    </row>
    <row r="48" spans="1:14">
      <c r="A48" s="1950">
        <v>28</v>
      </c>
      <c r="B48" s="1945" t="s">
        <v>310</v>
      </c>
      <c r="C48" s="1836"/>
      <c r="D48" s="1946">
        <f t="shared" ref="D48:N48" si="34">+D99+D151+D203+D255+D308+D362+D413+D466+D519+D572+D624+D678+D732+D786+D839+D892</f>
        <v>15193859.429369999</v>
      </c>
      <c r="E48" s="1947">
        <f t="shared" si="34"/>
        <v>0</v>
      </c>
      <c r="F48" s="1947">
        <f t="shared" si="34"/>
        <v>15193859.429369999</v>
      </c>
      <c r="G48" s="1947">
        <f t="shared" si="34"/>
        <v>0</v>
      </c>
      <c r="H48" s="1947">
        <f t="shared" si="34"/>
        <v>0</v>
      </c>
      <c r="I48" s="1947">
        <f t="shared" si="34"/>
        <v>0</v>
      </c>
      <c r="J48" s="1948">
        <f t="shared" si="34"/>
        <v>0</v>
      </c>
      <c r="K48" s="1947">
        <f t="shared" si="34"/>
        <v>0</v>
      </c>
      <c r="L48" s="1947">
        <f t="shared" si="34"/>
        <v>0</v>
      </c>
      <c r="M48" s="1949">
        <f t="shared" si="34"/>
        <v>0</v>
      </c>
      <c r="N48" s="1948">
        <f t="shared" si="34"/>
        <v>0</v>
      </c>
    </row>
    <row r="49" spans="1:42">
      <c r="A49" s="1950">
        <v>29</v>
      </c>
      <c r="B49" s="1945" t="s">
        <v>311</v>
      </c>
      <c r="C49" s="1836"/>
      <c r="D49" s="1946">
        <f t="shared" ref="D49:N49" si="35">+D100+D152+D204+D256+D309+D363+D414+D467+D520+D573+D625+D679+D733+D787+D840+D893</f>
        <v>8602617.4683890007</v>
      </c>
      <c r="E49" s="1947">
        <f t="shared" si="35"/>
        <v>0</v>
      </c>
      <c r="F49" s="1947">
        <f t="shared" si="35"/>
        <v>9134957.5157348141</v>
      </c>
      <c r="G49" s="1947">
        <f t="shared" si="35"/>
        <v>-404325.27159668365</v>
      </c>
      <c r="H49" s="1947">
        <f t="shared" si="35"/>
        <v>-33440.991680628926</v>
      </c>
      <c r="I49" s="1947">
        <f t="shared" si="35"/>
        <v>-101349.78406849998</v>
      </c>
      <c r="J49" s="1948">
        <f t="shared" si="35"/>
        <v>-539116.04734581255</v>
      </c>
      <c r="K49" s="1947">
        <f t="shared" si="35"/>
        <v>1645</v>
      </c>
      <c r="L49" s="1947">
        <f t="shared" si="35"/>
        <v>0</v>
      </c>
      <c r="M49" s="1949">
        <f t="shared" si="35"/>
        <v>5131</v>
      </c>
      <c r="N49" s="1948">
        <f t="shared" si="35"/>
        <v>6776</v>
      </c>
    </row>
    <row r="50" spans="1:42">
      <c r="A50" s="1950">
        <v>30</v>
      </c>
      <c r="B50" s="1960" t="s">
        <v>312</v>
      </c>
      <c r="C50" s="1852"/>
      <c r="D50" s="1946">
        <f t="shared" ref="D50:N50" si="36">+D101+D153+D205+D257+D310+D364+D415+D468+D521+D574+D626+D680+D734+D788+D841+D894</f>
        <v>3458400.1712898333</v>
      </c>
      <c r="E50" s="1947">
        <f t="shared" si="36"/>
        <v>0</v>
      </c>
      <c r="F50" s="1947">
        <f t="shared" si="36"/>
        <v>1432749.4520498335</v>
      </c>
      <c r="G50" s="1947">
        <f t="shared" si="36"/>
        <v>180388.79203800001</v>
      </c>
      <c r="H50" s="1947">
        <f t="shared" si="36"/>
        <v>1845261.927202</v>
      </c>
      <c r="I50" s="1947">
        <f t="shared" si="36"/>
        <v>0</v>
      </c>
      <c r="J50" s="1948">
        <f t="shared" si="36"/>
        <v>2025650.71924</v>
      </c>
      <c r="K50" s="1947">
        <f t="shared" si="36"/>
        <v>0</v>
      </c>
      <c r="L50" s="1947">
        <f t="shared" si="36"/>
        <v>0</v>
      </c>
      <c r="M50" s="1949">
        <f t="shared" si="36"/>
        <v>0</v>
      </c>
      <c r="N50" s="1948">
        <f t="shared" si="36"/>
        <v>0</v>
      </c>
    </row>
    <row r="51" spans="1:42">
      <c r="A51" s="1950">
        <v>31</v>
      </c>
      <c r="B51" s="1961" t="s">
        <v>313</v>
      </c>
      <c r="C51" s="1852"/>
      <c r="D51" s="1946">
        <f t="shared" ref="D51:N51" si="37">+D102+D154+D206+D258+D311+D365+D416+D469+D522+D575+D627+D681+D735+D789+D842+D895</f>
        <v>16248325.984056292</v>
      </c>
      <c r="E51" s="1947">
        <f t="shared" si="37"/>
        <v>0</v>
      </c>
      <c r="F51" s="1947">
        <f t="shared" si="37"/>
        <v>16248325.984056292</v>
      </c>
      <c r="G51" s="1947">
        <f t="shared" si="37"/>
        <v>0</v>
      </c>
      <c r="H51" s="1947">
        <f t="shared" si="37"/>
        <v>0</v>
      </c>
      <c r="I51" s="1947">
        <f t="shared" si="37"/>
        <v>0</v>
      </c>
      <c r="J51" s="1948">
        <f t="shared" si="37"/>
        <v>0</v>
      </c>
      <c r="K51" s="1947">
        <f t="shared" si="37"/>
        <v>0</v>
      </c>
      <c r="L51" s="1947">
        <f t="shared" si="37"/>
        <v>0</v>
      </c>
      <c r="M51" s="1949">
        <f t="shared" si="37"/>
        <v>0</v>
      </c>
      <c r="N51" s="1948">
        <f t="shared" si="37"/>
        <v>0</v>
      </c>
    </row>
    <row r="52" spans="1:42" ht="15" thickBot="1">
      <c r="A52" s="1950">
        <v>32</v>
      </c>
      <c r="B52" s="1960" t="s">
        <v>314</v>
      </c>
      <c r="C52" s="1852"/>
      <c r="D52" s="3120">
        <f t="shared" ref="D52:N52" si="38">+D103+D155+D207+D259+D312+D366+D417+D470+D523+D576+D628+D682+D736+D790+D843+D896</f>
        <v>95339158.984083608</v>
      </c>
      <c r="E52" s="3121">
        <f t="shared" si="38"/>
        <v>0</v>
      </c>
      <c r="F52" s="3121">
        <f t="shared" si="38"/>
        <v>93576057.596558586</v>
      </c>
      <c r="G52" s="3121">
        <f t="shared" si="38"/>
        <v>-31049.551765664655</v>
      </c>
      <c r="H52" s="3121">
        <f t="shared" si="38"/>
        <v>153344.54313688353</v>
      </c>
      <c r="I52" s="3121">
        <f t="shared" si="38"/>
        <v>1640806.3961538032</v>
      </c>
      <c r="J52" s="3122">
        <f t="shared" si="38"/>
        <v>1763101.3875250223</v>
      </c>
      <c r="K52" s="3121">
        <f t="shared" si="38"/>
        <v>0</v>
      </c>
      <c r="L52" s="3121">
        <f t="shared" si="38"/>
        <v>0</v>
      </c>
      <c r="M52" s="1958">
        <f t="shared" si="38"/>
        <v>0</v>
      </c>
      <c r="N52" s="3122">
        <f t="shared" si="38"/>
        <v>0</v>
      </c>
    </row>
    <row r="53" spans="1:42" ht="15" thickBot="1">
      <c r="A53" s="1957">
        <v>33</v>
      </c>
      <c r="B53" s="1137" t="s">
        <v>315</v>
      </c>
      <c r="C53" s="1135"/>
      <c r="D53" s="1229">
        <f t="shared" ref="D53:N53" si="39">+D104+D156+D208+D260+D313+D367+D418+D471+D524+D577+D629+D683+D737+D791+D844+D897</f>
        <v>138842362.03718877</v>
      </c>
      <c r="E53" s="916">
        <f t="shared" si="39"/>
        <v>0</v>
      </c>
      <c r="F53" s="916">
        <f t="shared" si="39"/>
        <v>135585949.97776955</v>
      </c>
      <c r="G53" s="916">
        <f t="shared" si="39"/>
        <v>-254986.03132434835</v>
      </c>
      <c r="H53" s="916">
        <f t="shared" si="39"/>
        <v>1965165.4786582547</v>
      </c>
      <c r="I53" s="916">
        <f t="shared" si="39"/>
        <v>1539456.6120853033</v>
      </c>
      <c r="J53" s="1232">
        <f t="shared" si="39"/>
        <v>3249636.0594192101</v>
      </c>
      <c r="K53" s="916">
        <f t="shared" si="39"/>
        <v>1645</v>
      </c>
      <c r="L53" s="916">
        <f t="shared" si="39"/>
        <v>0</v>
      </c>
      <c r="M53" s="934">
        <f t="shared" si="39"/>
        <v>5131</v>
      </c>
      <c r="N53" s="1232">
        <f t="shared" si="39"/>
        <v>6776</v>
      </c>
    </row>
    <row r="54" spans="1:42" ht="27" thickBot="1">
      <c r="A54" s="1235">
        <v>34</v>
      </c>
      <c r="B54" s="1139" t="s">
        <v>317</v>
      </c>
      <c r="C54" s="1138"/>
      <c r="D54" s="1236">
        <f t="shared" ref="D54:N54" si="40">+D105+D157+D209+D261+D314+D368+D419+D472+D525+D578+D630+D684+D738+D792+D845+D898</f>
        <v>632687077.9188323</v>
      </c>
      <c r="E54" s="1236">
        <f t="shared" si="40"/>
        <v>-2343475.9062800002</v>
      </c>
      <c r="F54" s="1236">
        <f t="shared" si="40"/>
        <v>142339550.14987373</v>
      </c>
      <c r="G54" s="1236">
        <f t="shared" si="40"/>
        <v>240597741.37095442</v>
      </c>
      <c r="H54" s="1236">
        <f t="shared" si="40"/>
        <v>98995236.988090575</v>
      </c>
      <c r="I54" s="1236">
        <f t="shared" si="40"/>
        <v>143201850.29233104</v>
      </c>
      <c r="J54" s="1236">
        <f t="shared" si="40"/>
        <v>482733888.01575851</v>
      </c>
      <c r="K54" s="1236">
        <f t="shared" si="40"/>
        <v>583645.56099999999</v>
      </c>
      <c r="L54" s="1236">
        <f t="shared" si="40"/>
        <v>82455</v>
      </c>
      <c r="M54" s="1237">
        <f t="shared" si="40"/>
        <v>9291015.0984800011</v>
      </c>
      <c r="N54" s="1236">
        <f t="shared" si="40"/>
        <v>9957115.6594799999</v>
      </c>
    </row>
    <row r="55" spans="1:42">
      <c r="A55" s="662"/>
      <c r="B55" s="662"/>
      <c r="C55" s="662"/>
      <c r="D55" s="666"/>
      <c r="E55" s="666"/>
      <c r="F55" s="666"/>
      <c r="G55" s="666"/>
      <c r="H55" s="666"/>
      <c r="I55" s="666"/>
      <c r="J55" s="666"/>
      <c r="K55" s="666"/>
      <c r="L55" s="666"/>
      <c r="M55" s="666"/>
      <c r="N55" s="666"/>
    </row>
    <row r="56" spans="1:42">
      <c r="A56" s="662"/>
      <c r="B56" s="667"/>
      <c r="C56" s="662"/>
      <c r="D56" s="666"/>
      <c r="E56" s="666"/>
      <c r="F56" s="666"/>
      <c r="G56" s="666"/>
      <c r="H56" s="666"/>
      <c r="I56" s="666"/>
      <c r="J56" s="666"/>
      <c r="K56" s="666"/>
      <c r="L56" s="666"/>
      <c r="M56" s="666"/>
      <c r="N56" s="855"/>
    </row>
    <row r="57" spans="1:42" s="870" customFormat="1" ht="15" thickBot="1">
      <c r="B57"/>
      <c r="C57"/>
      <c r="D57"/>
      <c r="E57"/>
      <c r="F57"/>
      <c r="G57"/>
      <c r="H57"/>
      <c r="I57"/>
      <c r="J57"/>
      <c r="K57"/>
      <c r="L57"/>
      <c r="M57"/>
      <c r="N57"/>
      <c r="O57"/>
      <c r="P57"/>
      <c r="Q57"/>
      <c r="R57"/>
      <c r="S57"/>
      <c r="T57"/>
      <c r="U57"/>
      <c r="V57"/>
      <c r="W57"/>
      <c r="X57"/>
      <c r="Y57"/>
      <c r="Z57"/>
      <c r="AA57"/>
      <c r="AB57"/>
      <c r="AC57"/>
      <c r="AD57"/>
      <c r="AE57"/>
      <c r="AF57"/>
      <c r="AG57" s="2982"/>
      <c r="AH57" s="2982"/>
      <c r="AI57" s="2976"/>
      <c r="AJ57" s="2976"/>
      <c r="AK57" s="2976"/>
      <c r="AL57" s="2976"/>
      <c r="AM57" s="2976"/>
      <c r="AN57" s="2976"/>
      <c r="AO57" s="2976"/>
      <c r="AP57" s="2976"/>
    </row>
    <row r="58" spans="1:42" ht="15" thickBot="1">
      <c r="A58" s="1153" t="s">
        <v>318</v>
      </c>
      <c r="B58" s="3301" t="s">
        <v>319</v>
      </c>
      <c r="C58" s="3302"/>
      <c r="D58" s="662"/>
      <c r="E58" s="662"/>
      <c r="F58" s="662"/>
      <c r="G58" s="662"/>
      <c r="H58" s="662"/>
      <c r="I58" s="662"/>
      <c r="J58" s="662"/>
      <c r="K58" s="662"/>
      <c r="L58" s="662"/>
      <c r="M58" s="3292"/>
      <c r="N58" s="3292" t="s">
        <v>257</v>
      </c>
    </row>
    <row r="59" spans="1:42" ht="13.5" customHeight="1" thickBot="1">
      <c r="A59" s="3311" t="s">
        <v>258</v>
      </c>
      <c r="B59" s="1212"/>
      <c r="C59" s="3280" t="s">
        <v>259</v>
      </c>
      <c r="D59" s="3314" t="s">
        <v>260</v>
      </c>
      <c r="E59" s="3314" t="s">
        <v>261</v>
      </c>
      <c r="F59" s="3314" t="s">
        <v>262</v>
      </c>
      <c r="G59" s="3324" t="s">
        <v>263</v>
      </c>
      <c r="H59" s="3325"/>
      <c r="I59" s="3325"/>
      <c r="J59" s="3325"/>
      <c r="K59" s="3325"/>
      <c r="L59" s="3325"/>
      <c r="M59" s="3325"/>
      <c r="N59" s="3326"/>
    </row>
    <row r="60" spans="1:42" ht="13.5" customHeight="1" thickBot="1">
      <c r="A60" s="3312"/>
      <c r="B60" s="1213"/>
      <c r="C60" s="3281"/>
      <c r="D60" s="3315"/>
      <c r="E60" s="3315"/>
      <c r="F60" s="3315"/>
      <c r="G60" s="3289" t="s">
        <v>264</v>
      </c>
      <c r="H60" s="3290"/>
      <c r="I60" s="3290"/>
      <c r="J60" s="3291"/>
      <c r="K60" s="3318" t="s">
        <v>265</v>
      </c>
      <c r="L60" s="3319"/>
      <c r="M60" s="3319"/>
      <c r="N60" s="3320"/>
    </row>
    <row r="61" spans="1:42" ht="15" customHeight="1" thickBot="1">
      <c r="A61" s="3312"/>
      <c r="B61" s="1214"/>
      <c r="C61" s="3281"/>
      <c r="D61" s="3315"/>
      <c r="E61" s="3316"/>
      <c r="F61" s="3316"/>
      <c r="G61" s="1125" t="s">
        <v>267</v>
      </c>
      <c r="H61" s="1125" t="s">
        <v>268</v>
      </c>
      <c r="I61" s="1125" t="s">
        <v>269</v>
      </c>
      <c r="J61" s="1125" t="s">
        <v>160</v>
      </c>
      <c r="K61" s="1126" t="s">
        <v>270</v>
      </c>
      <c r="L61" s="1126" t="s">
        <v>271</v>
      </c>
      <c r="M61" s="1126" t="s">
        <v>272</v>
      </c>
      <c r="N61" s="2969" t="s">
        <v>160</v>
      </c>
    </row>
    <row r="62" spans="1:42" ht="15" thickBot="1">
      <c r="A62" s="3312"/>
      <c r="B62" s="1213"/>
      <c r="C62" s="3327"/>
      <c r="D62" s="1216">
        <v>1</v>
      </c>
      <c r="E62" s="1218">
        <v>2</v>
      </c>
      <c r="F62" s="1216">
        <v>3</v>
      </c>
      <c r="G62" s="1217">
        <v>4</v>
      </c>
      <c r="H62" s="1216">
        <v>5</v>
      </c>
      <c r="I62" s="1218">
        <v>6</v>
      </c>
      <c r="J62" s="2971">
        <v>7</v>
      </c>
      <c r="K62" s="1217">
        <v>8</v>
      </c>
      <c r="L62" s="1216">
        <v>9</v>
      </c>
      <c r="M62" s="1238">
        <v>10</v>
      </c>
      <c r="N62" s="1215">
        <v>11</v>
      </c>
    </row>
    <row r="63" spans="1:42" ht="15" thickBot="1">
      <c r="A63" s="3313"/>
      <c r="B63" s="1219"/>
      <c r="C63" s="3328"/>
      <c r="D63" s="1220"/>
      <c r="E63" s="1222"/>
      <c r="F63" s="1220"/>
      <c r="G63" s="1221"/>
      <c r="H63" s="1220"/>
      <c r="I63" s="1222"/>
      <c r="J63" s="1222" t="s">
        <v>273</v>
      </c>
      <c r="K63" s="1221"/>
      <c r="L63" s="1220"/>
      <c r="M63" s="1667"/>
      <c r="N63" s="1220" t="s">
        <v>274</v>
      </c>
    </row>
    <row r="64" spans="1:42">
      <c r="A64" s="1239"/>
      <c r="B64" s="1225" t="s">
        <v>275</v>
      </c>
      <c r="C64" s="1160"/>
      <c r="D64" s="1171"/>
      <c r="E64" s="932"/>
      <c r="F64" s="692"/>
      <c r="G64" s="680"/>
      <c r="H64" s="693"/>
      <c r="I64" s="675"/>
      <c r="J64" s="1254"/>
      <c r="K64" s="914"/>
      <c r="L64" s="912"/>
      <c r="M64" s="915"/>
      <c r="N64" s="1260"/>
    </row>
    <row r="65" spans="1:43">
      <c r="A65" s="1944">
        <v>1</v>
      </c>
      <c r="B65" s="1945" t="s">
        <v>276</v>
      </c>
      <c r="C65" s="1854"/>
      <c r="D65" s="1962">
        <f t="shared" ref="D65:D105" si="41">+E65+F65+J65+N65</f>
        <v>0</v>
      </c>
      <c r="E65" s="1963">
        <v>0</v>
      </c>
      <c r="F65" s="1964">
        <v>0</v>
      </c>
      <c r="G65" s="1965"/>
      <c r="H65" s="1964"/>
      <c r="I65" s="1966"/>
      <c r="J65" s="1967">
        <f t="shared" ref="J65:J105" si="42">G65+H65+I65</f>
        <v>0</v>
      </c>
      <c r="K65" s="1947"/>
      <c r="L65" s="1947"/>
      <c r="M65" s="1968"/>
      <c r="N65" s="1967">
        <f t="shared" ref="N65:N81" si="43">K65+L65+M65</f>
        <v>0</v>
      </c>
      <c r="AG65" s="2983"/>
      <c r="AH65" s="2983"/>
      <c r="AI65" s="2977"/>
      <c r="AJ65" s="2977"/>
      <c r="AK65" s="2977">
        <f>I65-'[1]Sheet 7 BS - 2019 &amp; 2018 -LI'!H17</f>
        <v>0</v>
      </c>
      <c r="AL65" s="2977">
        <f>J65-'[1]Sheet 7 BS - 2019 &amp; 2018 -LI'!I17</f>
        <v>0</v>
      </c>
      <c r="AM65" s="2977">
        <f>K65-'[1]Sheet 7 BS - 2019 &amp; 2018 -LI'!J17</f>
        <v>0</v>
      </c>
      <c r="AN65" s="2977">
        <f>L65-'[1]Sheet 7 BS - 2019 &amp; 2018 -LI'!K17</f>
        <v>0</v>
      </c>
      <c r="AO65" s="2977">
        <f>M65-'[1]Sheet 7 BS - 2019 &amp; 2018 -LI'!L17</f>
        <v>0</v>
      </c>
      <c r="AP65" s="2977">
        <f>N65-'[1]Sheet 7 BS - 2019 &amp; 2018 -LI'!M17</f>
        <v>0</v>
      </c>
      <c r="AQ65" s="855"/>
    </row>
    <row r="66" spans="1:43">
      <c r="A66" s="1944">
        <v>2</v>
      </c>
      <c r="B66" s="1945" t="s">
        <v>277</v>
      </c>
      <c r="C66" s="1854"/>
      <c r="D66" s="1962">
        <f t="shared" si="41"/>
        <v>1347912</v>
      </c>
      <c r="E66" s="1963">
        <v>0</v>
      </c>
      <c r="F66" s="1969">
        <v>1347912</v>
      </c>
      <c r="G66" s="1965"/>
      <c r="H66" s="1970"/>
      <c r="I66" s="1971"/>
      <c r="J66" s="1967">
        <f t="shared" si="42"/>
        <v>0</v>
      </c>
      <c r="K66" s="1947"/>
      <c r="L66" s="1947"/>
      <c r="M66" s="1968"/>
      <c r="N66" s="1967">
        <f t="shared" si="43"/>
        <v>0</v>
      </c>
      <c r="AG66" s="2983"/>
      <c r="AH66" s="2983"/>
      <c r="AI66" s="2977"/>
      <c r="AJ66" s="2977"/>
      <c r="AK66" s="2977">
        <f>I66-'[1]Sheet 7 BS - 2019 &amp; 2018 -LI'!H18</f>
        <v>0</v>
      </c>
      <c r="AL66" s="2977">
        <f>J66-'[1]Sheet 7 BS - 2019 &amp; 2018 -LI'!I18</f>
        <v>0</v>
      </c>
      <c r="AM66" s="2977">
        <f>K66-'[1]Sheet 7 BS - 2019 &amp; 2018 -LI'!J18</f>
        <v>0</v>
      </c>
      <c r="AN66" s="2977">
        <f>L66-'[1]Sheet 7 BS - 2019 &amp; 2018 -LI'!K18</f>
        <v>0</v>
      </c>
      <c r="AO66" s="2977">
        <f>M66-'[1]Sheet 7 BS - 2019 &amp; 2018 -LI'!L18</f>
        <v>0</v>
      </c>
      <c r="AP66" s="2977">
        <f>N66-'[1]Sheet 7 BS - 2019 &amp; 2018 -LI'!M18</f>
        <v>0</v>
      </c>
    </row>
    <row r="67" spans="1:43">
      <c r="A67" s="1944">
        <v>3</v>
      </c>
      <c r="B67" s="1945" t="s">
        <v>278</v>
      </c>
      <c r="C67" s="1854"/>
      <c r="D67" s="1962">
        <f t="shared" si="41"/>
        <v>0</v>
      </c>
      <c r="E67" s="1963">
        <v>0</v>
      </c>
      <c r="F67" s="1964">
        <v>0</v>
      </c>
      <c r="G67" s="1965"/>
      <c r="H67" s="1970"/>
      <c r="I67" s="1971"/>
      <c r="J67" s="1967">
        <f t="shared" si="42"/>
        <v>0</v>
      </c>
      <c r="K67" s="1947"/>
      <c r="L67" s="1947"/>
      <c r="M67" s="1968"/>
      <c r="N67" s="1967">
        <f t="shared" si="43"/>
        <v>0</v>
      </c>
      <c r="AG67" s="2983"/>
      <c r="AH67" s="2983"/>
      <c r="AI67" s="2977"/>
      <c r="AJ67" s="2977"/>
      <c r="AK67" s="2977">
        <f>I67-'[1]Sheet 7 BS - 2019 &amp; 2018 -LI'!H19</f>
        <v>0</v>
      </c>
      <c r="AL67" s="2977">
        <f>J67-'[1]Sheet 7 BS - 2019 &amp; 2018 -LI'!I19</f>
        <v>0</v>
      </c>
      <c r="AM67" s="2977">
        <f>K67-'[1]Sheet 7 BS - 2019 &amp; 2018 -LI'!J19</f>
        <v>0</v>
      </c>
      <c r="AN67" s="2977">
        <f>L67-'[1]Sheet 7 BS - 2019 &amp; 2018 -LI'!K19</f>
        <v>0</v>
      </c>
      <c r="AO67" s="2977">
        <f>M67-'[1]Sheet 7 BS - 2019 &amp; 2018 -LI'!L19</f>
        <v>0</v>
      </c>
      <c r="AP67" s="2977">
        <f>N67-'[1]Sheet 7 BS - 2019 &amp; 2018 -LI'!M19</f>
        <v>0</v>
      </c>
    </row>
    <row r="68" spans="1:43">
      <c r="A68" s="1944">
        <v>4</v>
      </c>
      <c r="B68" s="1240" t="s">
        <v>279</v>
      </c>
      <c r="C68" s="1854"/>
      <c r="D68" s="1962">
        <f t="shared" si="41"/>
        <v>897449</v>
      </c>
      <c r="E68" s="1963">
        <v>0</v>
      </c>
      <c r="F68" s="1969">
        <v>897449</v>
      </c>
      <c r="G68" s="1965"/>
      <c r="H68" s="1970"/>
      <c r="I68" s="1971"/>
      <c r="J68" s="1967">
        <f t="shared" si="42"/>
        <v>0</v>
      </c>
      <c r="K68" s="1947"/>
      <c r="L68" s="1947"/>
      <c r="M68" s="1968"/>
      <c r="N68" s="1967">
        <f t="shared" si="43"/>
        <v>0</v>
      </c>
      <c r="AG68" s="2983"/>
      <c r="AH68" s="2983"/>
      <c r="AI68" s="2977"/>
      <c r="AJ68" s="2977"/>
      <c r="AK68" s="2977"/>
      <c r="AL68" s="2977"/>
      <c r="AM68" s="2977"/>
      <c r="AN68" s="2977"/>
      <c r="AO68" s="2977"/>
      <c r="AP68" s="2977"/>
    </row>
    <row r="69" spans="1:43">
      <c r="A69" s="1944">
        <v>5</v>
      </c>
      <c r="B69" s="1945" t="s">
        <v>280</v>
      </c>
      <c r="C69" s="1871">
        <v>5</v>
      </c>
      <c r="D69" s="1962">
        <f t="shared" si="41"/>
        <v>604169</v>
      </c>
      <c r="E69" s="1963">
        <v>0</v>
      </c>
      <c r="F69" s="1969">
        <v>604169</v>
      </c>
      <c r="G69" s="1965"/>
      <c r="H69" s="1970"/>
      <c r="I69" s="1971"/>
      <c r="J69" s="1967">
        <f t="shared" si="42"/>
        <v>0</v>
      </c>
      <c r="K69" s="1947"/>
      <c r="L69" s="1947"/>
      <c r="M69" s="1968"/>
      <c r="N69" s="1967">
        <f t="shared" si="43"/>
        <v>0</v>
      </c>
      <c r="AG69" s="2983"/>
      <c r="AH69" s="2983"/>
      <c r="AI69" s="2977"/>
      <c r="AJ69" s="2977"/>
      <c r="AK69" s="2977">
        <f>I69-'[1]Sheet 7 BS - 2019 &amp; 2018 -LI'!H20</f>
        <v>0</v>
      </c>
      <c r="AL69" s="2977">
        <f>J69-'[1]Sheet 7 BS - 2019 &amp; 2018 -LI'!I20</f>
        <v>0</v>
      </c>
      <c r="AM69" s="2977">
        <f>K69-'[1]Sheet 7 BS - 2019 &amp; 2018 -LI'!J20</f>
        <v>0</v>
      </c>
      <c r="AN69" s="2977">
        <f>L69-'[1]Sheet 7 BS - 2019 &amp; 2018 -LI'!K20</f>
        <v>0</v>
      </c>
      <c r="AO69" s="2977">
        <f>M69-'[1]Sheet 7 BS - 2019 &amp; 2018 -LI'!L20</f>
        <v>0</v>
      </c>
      <c r="AP69" s="2977">
        <f>N69-'[1]Sheet 7 BS - 2019 &amp; 2018 -LI'!M20</f>
        <v>0</v>
      </c>
    </row>
    <row r="70" spans="1:43">
      <c r="A70" s="1944">
        <v>6</v>
      </c>
      <c r="B70" s="1945" t="s">
        <v>281</v>
      </c>
      <c r="C70" s="1854">
        <v>6</v>
      </c>
      <c r="D70" s="1962">
        <f t="shared" si="41"/>
        <v>0</v>
      </c>
      <c r="E70" s="1963"/>
      <c r="F70" s="1964"/>
      <c r="G70" s="1965"/>
      <c r="H70" s="1970"/>
      <c r="I70" s="1971"/>
      <c r="J70" s="1967">
        <f t="shared" si="42"/>
        <v>0</v>
      </c>
      <c r="K70" s="1947"/>
      <c r="L70" s="1947"/>
      <c r="M70" s="1968"/>
      <c r="N70" s="1967">
        <f t="shared" si="43"/>
        <v>0</v>
      </c>
      <c r="AG70" s="2983"/>
      <c r="AH70" s="2983"/>
      <c r="AI70" s="2977"/>
      <c r="AJ70" s="2977"/>
      <c r="AK70" s="2977">
        <f>I70-'[1]Sheet 7 BS - 2019 &amp; 2018 -LI'!H21</f>
        <v>0</v>
      </c>
      <c r="AL70" s="2977">
        <f>J70-'[1]Sheet 7 BS - 2019 &amp; 2018 -LI'!I21</f>
        <v>0</v>
      </c>
      <c r="AM70" s="2977">
        <f>K70-'[1]Sheet 7 BS - 2019 &amp; 2018 -LI'!J21</f>
        <v>0</v>
      </c>
      <c r="AN70" s="2977">
        <f>L70-'[1]Sheet 7 BS - 2019 &amp; 2018 -LI'!K21</f>
        <v>0</v>
      </c>
      <c r="AO70" s="2977">
        <f>M70-'[1]Sheet 7 BS - 2019 &amp; 2018 -LI'!L21</f>
        <v>0</v>
      </c>
      <c r="AP70" s="2977">
        <f>N70-'[1]Sheet 7 BS - 2019 &amp; 2018 -LI'!M21</f>
        <v>0</v>
      </c>
    </row>
    <row r="71" spans="1:43">
      <c r="A71" s="1944">
        <v>7</v>
      </c>
      <c r="B71" s="1945" t="s">
        <v>282</v>
      </c>
      <c r="C71" s="1871">
        <v>7</v>
      </c>
      <c r="D71" s="1962">
        <f t="shared" si="41"/>
        <v>1000</v>
      </c>
      <c r="E71" s="1963"/>
      <c r="F71" s="1964">
        <f>SUM(F72:F73)</f>
        <v>1000</v>
      </c>
      <c r="G71" s="1972">
        <f>SUM(G72:G73)</f>
        <v>0</v>
      </c>
      <c r="H71" s="1973">
        <f>SUM(H72:H73)</f>
        <v>0</v>
      </c>
      <c r="I71" s="1964">
        <f>SUM(I72:I73)</f>
        <v>0</v>
      </c>
      <c r="J71" s="1967">
        <f t="shared" si="42"/>
        <v>0</v>
      </c>
      <c r="K71" s="1973">
        <f>K72+K73</f>
        <v>0</v>
      </c>
      <c r="L71" s="1973">
        <f>L72+L73</f>
        <v>0</v>
      </c>
      <c r="M71" s="1964">
        <f>M72+M73</f>
        <v>0</v>
      </c>
      <c r="N71" s="1967">
        <f t="shared" si="43"/>
        <v>0</v>
      </c>
      <c r="AG71" s="2983"/>
      <c r="AH71" s="2983"/>
      <c r="AI71" s="2977"/>
      <c r="AJ71" s="2977"/>
      <c r="AK71" s="2977">
        <f>I71-'[1]Sheet 7 BS - 2019 &amp; 2018 -LI'!H22</f>
        <v>0</v>
      </c>
      <c r="AL71" s="2977">
        <f>J71-'[1]Sheet 7 BS - 2019 &amp; 2018 -LI'!I22</f>
        <v>0</v>
      </c>
      <c r="AM71" s="2977">
        <f>K71-'[1]Sheet 7 BS - 2019 &amp; 2018 -LI'!J22</f>
        <v>0</v>
      </c>
      <c r="AN71" s="2977">
        <f>L71-'[1]Sheet 7 BS - 2019 &amp; 2018 -LI'!K22</f>
        <v>0</v>
      </c>
      <c r="AO71" s="2977">
        <f>M71-'[1]Sheet 7 BS - 2019 &amp; 2018 -LI'!L22</f>
        <v>0</v>
      </c>
      <c r="AP71" s="2977">
        <f>N71-'[1]Sheet 7 BS - 2019 &amp; 2018 -LI'!M22</f>
        <v>0</v>
      </c>
    </row>
    <row r="72" spans="1:43">
      <c r="A72" s="1950"/>
      <c r="B72" s="1837" t="s">
        <v>283</v>
      </c>
      <c r="C72" s="1871"/>
      <c r="D72" s="1962">
        <f t="shared" si="41"/>
        <v>0</v>
      </c>
      <c r="E72" s="1963"/>
      <c r="F72" s="1964"/>
      <c r="G72" s="1965"/>
      <c r="H72" s="1964"/>
      <c r="I72" s="1966"/>
      <c r="J72" s="1967">
        <f t="shared" si="42"/>
        <v>0</v>
      </c>
      <c r="K72" s="1947"/>
      <c r="L72" s="1947"/>
      <c r="M72" s="1968"/>
      <c r="N72" s="1967">
        <f t="shared" si="43"/>
        <v>0</v>
      </c>
      <c r="AG72" s="2983"/>
      <c r="AH72" s="2983"/>
      <c r="AI72" s="2977"/>
      <c r="AJ72" s="2977"/>
      <c r="AK72" s="2977">
        <f>I72-'[1]Sheet 7 BS - 2019 &amp; 2018 -LI'!H23</f>
        <v>0</v>
      </c>
      <c r="AL72" s="2977">
        <f>J72-'[1]Sheet 7 BS - 2019 &amp; 2018 -LI'!I23</f>
        <v>0</v>
      </c>
      <c r="AM72" s="2977">
        <f>K72-'[1]Sheet 7 BS - 2019 &amp; 2018 -LI'!J23</f>
        <v>0</v>
      </c>
      <c r="AN72" s="2977">
        <f>L72-'[1]Sheet 7 BS - 2019 &amp; 2018 -LI'!K23</f>
        <v>0</v>
      </c>
      <c r="AO72" s="2977">
        <f>M72-'[1]Sheet 7 BS - 2019 &amp; 2018 -LI'!L23</f>
        <v>0</v>
      </c>
      <c r="AP72" s="2977">
        <f>N72-'[1]Sheet 7 BS - 2019 &amp; 2018 -LI'!M23</f>
        <v>0</v>
      </c>
    </row>
    <row r="73" spans="1:43">
      <c r="A73" s="1950"/>
      <c r="B73" s="1837" t="s">
        <v>284</v>
      </c>
      <c r="C73" s="1871"/>
      <c r="D73" s="1962">
        <f t="shared" si="41"/>
        <v>1000</v>
      </c>
      <c r="E73" s="1963"/>
      <c r="F73" s="1969">
        <v>1000</v>
      </c>
      <c r="G73" s="1965"/>
      <c r="H73" s="1964"/>
      <c r="I73" s="1966"/>
      <c r="J73" s="1967">
        <f t="shared" si="42"/>
        <v>0</v>
      </c>
      <c r="K73" s="1947"/>
      <c r="L73" s="1947"/>
      <c r="M73" s="1968"/>
      <c r="N73" s="1967">
        <f t="shared" si="43"/>
        <v>0</v>
      </c>
      <c r="AG73" s="2983"/>
      <c r="AH73" s="2983"/>
      <c r="AI73" s="2977"/>
      <c r="AJ73" s="2977"/>
      <c r="AK73" s="2977">
        <f>I73-'[1]Sheet 7 BS - 2019 &amp; 2018 -LI'!H24</f>
        <v>0</v>
      </c>
      <c r="AL73" s="2977">
        <f>J73-'[1]Sheet 7 BS - 2019 &amp; 2018 -LI'!I24</f>
        <v>0</v>
      </c>
      <c r="AM73" s="2977">
        <f>K73-'[1]Sheet 7 BS - 2019 &amp; 2018 -LI'!J24</f>
        <v>0</v>
      </c>
      <c r="AN73" s="2977">
        <f>L73-'[1]Sheet 7 BS - 2019 &amp; 2018 -LI'!K24</f>
        <v>0</v>
      </c>
      <c r="AO73" s="2977">
        <f>M73-'[1]Sheet 7 BS - 2019 &amp; 2018 -LI'!L24</f>
        <v>0</v>
      </c>
      <c r="AP73" s="2977">
        <f>N73-'[1]Sheet 7 BS - 2019 &amp; 2018 -LI'!M24</f>
        <v>0</v>
      </c>
    </row>
    <row r="74" spans="1:43">
      <c r="A74" s="1944">
        <v>8</v>
      </c>
      <c r="B74" s="1945" t="s">
        <v>285</v>
      </c>
      <c r="C74" s="1854">
        <v>8</v>
      </c>
      <c r="D74" s="1962">
        <f t="shared" si="41"/>
        <v>0</v>
      </c>
      <c r="E74" s="1963"/>
      <c r="F74" s="1964"/>
      <c r="G74" s="1972"/>
      <c r="H74" s="1973"/>
      <c r="I74" s="1964"/>
      <c r="J74" s="1967">
        <f t="shared" si="42"/>
        <v>0</v>
      </c>
      <c r="K74" s="1973">
        <f>K75+K76</f>
        <v>0</v>
      </c>
      <c r="L74" s="1973">
        <f>L75+L76</f>
        <v>0</v>
      </c>
      <c r="M74" s="1964">
        <f>M75+M76</f>
        <v>0</v>
      </c>
      <c r="N74" s="1967">
        <f t="shared" si="43"/>
        <v>0</v>
      </c>
      <c r="AG74" s="2983"/>
      <c r="AH74" s="2983"/>
      <c r="AI74" s="2977"/>
      <c r="AJ74" s="2977"/>
      <c r="AK74" s="2977">
        <f>I74-'[1]Sheet 7 BS - 2019 &amp; 2018 -LI'!H25</f>
        <v>0</v>
      </c>
      <c r="AL74" s="2977">
        <f>J74-'[1]Sheet 7 BS - 2019 &amp; 2018 -LI'!I25</f>
        <v>0</v>
      </c>
      <c r="AM74" s="2977">
        <f>K74-'[1]Sheet 7 BS - 2019 &amp; 2018 -LI'!J25</f>
        <v>0</v>
      </c>
      <c r="AN74" s="2977">
        <f>L74-'[1]Sheet 7 BS - 2019 &amp; 2018 -LI'!K25</f>
        <v>0</v>
      </c>
      <c r="AO74" s="2977">
        <f>M74-'[1]Sheet 7 BS - 2019 &amp; 2018 -LI'!L25</f>
        <v>0</v>
      </c>
      <c r="AP74" s="2977">
        <f>N74-'[1]Sheet 7 BS - 2019 &amp; 2018 -LI'!M25</f>
        <v>0</v>
      </c>
    </row>
    <row r="75" spans="1:43">
      <c r="A75" s="1944"/>
      <c r="B75" s="1837" t="s">
        <v>286</v>
      </c>
      <c r="C75" s="1854"/>
      <c r="D75" s="1962">
        <f t="shared" si="41"/>
        <v>0</v>
      </c>
      <c r="E75" s="1963"/>
      <c r="F75" s="1964"/>
      <c r="G75" s="1965"/>
      <c r="H75" s="1964"/>
      <c r="I75" s="1966"/>
      <c r="J75" s="1967">
        <f t="shared" si="42"/>
        <v>0</v>
      </c>
      <c r="K75" s="1947"/>
      <c r="L75" s="1947"/>
      <c r="M75" s="1968"/>
      <c r="N75" s="1967">
        <f t="shared" si="43"/>
        <v>0</v>
      </c>
      <c r="AG75" s="2983"/>
      <c r="AH75" s="2983"/>
      <c r="AI75" s="2977"/>
      <c r="AJ75" s="2977"/>
      <c r="AK75" s="2977">
        <f>I75-'[1]Sheet 7 BS - 2019 &amp; 2018 -LI'!H26</f>
        <v>0</v>
      </c>
      <c r="AL75" s="2977">
        <f>J75-'[1]Sheet 7 BS - 2019 &amp; 2018 -LI'!I26</f>
        <v>0</v>
      </c>
      <c r="AM75" s="2977">
        <f>K75-'[1]Sheet 7 BS - 2019 &amp; 2018 -LI'!J26</f>
        <v>0</v>
      </c>
      <c r="AN75" s="2977">
        <f>L75-'[1]Sheet 7 BS - 2019 &amp; 2018 -LI'!K26</f>
        <v>0</v>
      </c>
      <c r="AO75" s="2977">
        <f>M75-'[1]Sheet 7 BS - 2019 &amp; 2018 -LI'!L26</f>
        <v>0</v>
      </c>
      <c r="AP75" s="2977">
        <f>N75-'[1]Sheet 7 BS - 2019 &amp; 2018 -LI'!M26</f>
        <v>0</v>
      </c>
    </row>
    <row r="76" spans="1:43">
      <c r="A76" s="1944"/>
      <c r="B76" s="1837" t="s">
        <v>287</v>
      </c>
      <c r="C76" s="1854"/>
      <c r="D76" s="1962">
        <f t="shared" si="41"/>
        <v>0</v>
      </c>
      <c r="E76" s="1963"/>
      <c r="F76" s="1964"/>
      <c r="G76" s="1965"/>
      <c r="H76" s="1964"/>
      <c r="I76" s="1966"/>
      <c r="J76" s="1967">
        <f t="shared" si="42"/>
        <v>0</v>
      </c>
      <c r="K76" s="1947"/>
      <c r="L76" s="1947"/>
      <c r="M76" s="1968"/>
      <c r="N76" s="1967">
        <f t="shared" si="43"/>
        <v>0</v>
      </c>
      <c r="AG76" s="2983"/>
      <c r="AH76" s="2983"/>
      <c r="AI76" s="2977"/>
      <c r="AJ76" s="2977"/>
      <c r="AK76" s="2977">
        <f>I76-'[1]Sheet 7 BS - 2019 &amp; 2018 -LI'!H27</f>
        <v>0</v>
      </c>
      <c r="AL76" s="2977">
        <f>J76-'[1]Sheet 7 BS - 2019 &amp; 2018 -LI'!I27</f>
        <v>0</v>
      </c>
      <c r="AM76" s="2977">
        <f>K76-'[1]Sheet 7 BS - 2019 &amp; 2018 -LI'!J27</f>
        <v>0</v>
      </c>
      <c r="AN76" s="2977">
        <f>L76-'[1]Sheet 7 BS - 2019 &amp; 2018 -LI'!K27</f>
        <v>0</v>
      </c>
      <c r="AO76" s="2977">
        <f>M76-'[1]Sheet 7 BS - 2019 &amp; 2018 -LI'!L27</f>
        <v>0</v>
      </c>
      <c r="AP76" s="2977">
        <f>N76-'[1]Sheet 7 BS - 2019 &amp; 2018 -LI'!M27</f>
        <v>0</v>
      </c>
    </row>
    <row r="77" spans="1:43" ht="26.45">
      <c r="A77" s="1951">
        <v>9</v>
      </c>
      <c r="B77" s="1952" t="s">
        <v>288</v>
      </c>
      <c r="C77" s="1873"/>
      <c r="D77" s="1974">
        <f t="shared" si="41"/>
        <v>65568780.656910002</v>
      </c>
      <c r="E77" s="1975">
        <f>SUM(E78:E81)</f>
        <v>0</v>
      </c>
      <c r="F77" s="1976">
        <f>SUM(F78:F81)</f>
        <v>17394057.170900002</v>
      </c>
      <c r="G77" s="1977">
        <f>SUM(G78:G81)</f>
        <v>0</v>
      </c>
      <c r="H77" s="1954">
        <f>SUM(H78:H81)</f>
        <v>439944</v>
      </c>
      <c r="I77" s="1976">
        <f>SUM(I78:I81)</f>
        <v>42174913.813809998</v>
      </c>
      <c r="J77" s="1978">
        <f t="shared" si="42"/>
        <v>42614857.813809998</v>
      </c>
      <c r="K77" s="1954">
        <f>SUM(K78:K81)</f>
        <v>192178.04253000004</v>
      </c>
      <c r="L77" s="1954">
        <f>SUM(L78:L81)</f>
        <v>82416.797260000007</v>
      </c>
      <c r="M77" s="1976">
        <f>SUM(M78:M81)</f>
        <v>5285270.8324099993</v>
      </c>
      <c r="N77" s="1979">
        <f t="shared" si="43"/>
        <v>5559865.672199999</v>
      </c>
      <c r="AG77" s="2983"/>
      <c r="AH77" s="2983"/>
      <c r="AI77" s="2977"/>
      <c r="AJ77" s="2977"/>
      <c r="AK77" s="2977">
        <f>I77-'[1]Sheet 7 BS - 2019 &amp; 2018 -LI'!H28</f>
        <v>10669388.247169998</v>
      </c>
      <c r="AL77" s="2977">
        <f>J77-'[1]Sheet 7 BS - 2019 &amp; 2018 -LI'!I28</f>
        <v>10818910.558179997</v>
      </c>
      <c r="AM77" s="2977">
        <f>K77-'[1]Sheet 7 BS - 2019 &amp; 2018 -LI'!J28</f>
        <v>1634.0425300000352</v>
      </c>
      <c r="AN77" s="2977">
        <f>L77-'[1]Sheet 7 BS - 2019 &amp; 2018 -LI'!K28</f>
        <v>-11922.202739999993</v>
      </c>
      <c r="AO77" s="2977">
        <f>M77-'[1]Sheet 7 BS - 2019 &amp; 2018 -LI'!L28</f>
        <v>355280.83240999933</v>
      </c>
      <c r="AP77" s="2977">
        <f>N77-'[1]Sheet 7 BS - 2019 &amp; 2018 -LI'!M28</f>
        <v>344992.67219999898</v>
      </c>
    </row>
    <row r="78" spans="1:43">
      <c r="A78" s="1950">
        <v>10</v>
      </c>
      <c r="B78" s="1846" t="s">
        <v>289</v>
      </c>
      <c r="C78" s="1854">
        <v>9</v>
      </c>
      <c r="D78" s="1962">
        <f t="shared" si="41"/>
        <v>0</v>
      </c>
      <c r="E78" s="1963">
        <v>0</v>
      </c>
      <c r="F78" s="1964">
        <v>0</v>
      </c>
      <c r="G78" s="1965">
        <v>0</v>
      </c>
      <c r="H78" s="1970">
        <v>0</v>
      </c>
      <c r="I78" s="1966">
        <v>0</v>
      </c>
      <c r="J78" s="1980">
        <f t="shared" si="42"/>
        <v>0</v>
      </c>
      <c r="K78" s="1947">
        <v>0</v>
      </c>
      <c r="L78" s="1947">
        <v>0</v>
      </c>
      <c r="M78" s="1968">
        <v>0</v>
      </c>
      <c r="N78" s="1967">
        <f t="shared" si="43"/>
        <v>0</v>
      </c>
      <c r="AG78" s="2983"/>
      <c r="AH78" s="2983"/>
      <c r="AI78" s="2977"/>
      <c r="AJ78" s="2977"/>
      <c r="AK78" s="2977">
        <f>I78-'[1]Sheet 7 BS - 2019 &amp; 2018 -LI'!H29</f>
        <v>0</v>
      </c>
      <c r="AL78" s="2977">
        <f>J78-'[1]Sheet 7 BS - 2019 &amp; 2018 -LI'!I29</f>
        <v>0</v>
      </c>
      <c r="AM78" s="2977">
        <f>K78-'[1]Sheet 7 BS - 2019 &amp; 2018 -LI'!J29</f>
        <v>0</v>
      </c>
      <c r="AN78" s="2977">
        <f>L78-'[1]Sheet 7 BS - 2019 &amp; 2018 -LI'!K29</f>
        <v>0</v>
      </c>
      <c r="AO78" s="2977">
        <f>M78-'[1]Sheet 7 BS - 2019 &amp; 2018 -LI'!L29</f>
        <v>0</v>
      </c>
      <c r="AP78" s="2977">
        <f>N78-'[1]Sheet 7 BS - 2019 &amp; 2018 -LI'!M29</f>
        <v>0</v>
      </c>
    </row>
    <row r="79" spans="1:43">
      <c r="A79" s="1950">
        <v>11</v>
      </c>
      <c r="B79" s="1846" t="s">
        <v>290</v>
      </c>
      <c r="C79" s="1854">
        <v>10</v>
      </c>
      <c r="D79" s="1962">
        <f t="shared" si="41"/>
        <v>19476994.16632</v>
      </c>
      <c r="E79" s="1963">
        <v>0</v>
      </c>
      <c r="F79" s="1969">
        <v>2898884.3040100001</v>
      </c>
      <c r="G79" s="1981">
        <v>0</v>
      </c>
      <c r="H79" s="1969">
        <v>35847</v>
      </c>
      <c r="I79" s="1982">
        <v>12631952.81381</v>
      </c>
      <c r="J79" s="1980">
        <f t="shared" si="42"/>
        <v>12667799.81381</v>
      </c>
      <c r="K79" s="1983">
        <v>192178.04253000004</v>
      </c>
      <c r="L79" s="1969">
        <v>82416.797260000007</v>
      </c>
      <c r="M79" s="1982">
        <v>3635715.2087099995</v>
      </c>
      <c r="N79" s="1984">
        <f t="shared" si="43"/>
        <v>3910310.0484999996</v>
      </c>
      <c r="AG79" s="2983"/>
      <c r="AH79" s="2983"/>
      <c r="AI79" s="2977"/>
      <c r="AJ79" s="2977"/>
      <c r="AK79" s="2977">
        <f>I79-'[1]Sheet 7 BS - 2019 &amp; 2018 -LI'!H30</f>
        <v>-1452609.4754700009</v>
      </c>
      <c r="AL79" s="2977">
        <f>J79-'[1]Sheet 7 BS - 2019 &amp; 2018 -LI'!I30</f>
        <v>-1456710.6360300016</v>
      </c>
      <c r="AM79" s="2977">
        <f>K79-'[1]Sheet 7 BS - 2019 &amp; 2018 -LI'!J30</f>
        <v>1634.0425300000352</v>
      </c>
      <c r="AN79" s="2977">
        <f>L79-'[1]Sheet 7 BS - 2019 &amp; 2018 -LI'!K30</f>
        <v>-11922.202739999993</v>
      </c>
      <c r="AO79" s="2977">
        <f>M79-'[1]Sheet 7 BS - 2019 &amp; 2018 -LI'!L30</f>
        <v>690277.20870999945</v>
      </c>
      <c r="AP79" s="2977">
        <f>N79-'[1]Sheet 7 BS - 2019 &amp; 2018 -LI'!M30</f>
        <v>679989.04849999957</v>
      </c>
    </row>
    <row r="80" spans="1:43">
      <c r="A80" s="1950">
        <v>12</v>
      </c>
      <c r="B80" s="1846" t="s">
        <v>291</v>
      </c>
      <c r="C80" s="1854">
        <v>11</v>
      </c>
      <c r="D80" s="1962">
        <f t="shared" si="41"/>
        <v>44442230.866889998</v>
      </c>
      <c r="E80" s="1963">
        <v>0</v>
      </c>
      <c r="F80" s="917">
        <v>14495172.86689</v>
      </c>
      <c r="G80" s="770">
        <v>0</v>
      </c>
      <c r="H80" s="917">
        <v>404097</v>
      </c>
      <c r="I80" s="972">
        <v>29542961</v>
      </c>
      <c r="J80" s="1980">
        <f t="shared" si="42"/>
        <v>29947058</v>
      </c>
      <c r="K80" s="1970">
        <v>0</v>
      </c>
      <c r="L80" s="1970">
        <v>0</v>
      </c>
      <c r="M80" s="1985">
        <v>0</v>
      </c>
      <c r="N80" s="1984">
        <f t="shared" si="43"/>
        <v>0</v>
      </c>
      <c r="AG80" s="2983"/>
      <c r="AH80" s="2983"/>
      <c r="AI80" s="2977"/>
      <c r="AJ80" s="2977"/>
      <c r="AK80" s="2977">
        <f>I80-'[1]Sheet 7 BS - 2019 &amp; 2018 -LI'!H31</f>
        <v>12121996.72264</v>
      </c>
      <c r="AL80" s="2977">
        <f>J80-'[1]Sheet 7 BS - 2019 &amp; 2018 -LI'!I31</f>
        <v>12275621.19421</v>
      </c>
      <c r="AM80" s="2977">
        <f>K80-'[1]Sheet 7 BS - 2019 &amp; 2018 -LI'!J31</f>
        <v>0</v>
      </c>
      <c r="AN80" s="2977">
        <f>L80-'[1]Sheet 7 BS - 2019 &amp; 2018 -LI'!K31</f>
        <v>0</v>
      </c>
      <c r="AO80" s="2977">
        <f>M80-'[1]Sheet 7 BS - 2019 &amp; 2018 -LI'!L31</f>
        <v>0</v>
      </c>
      <c r="AP80" s="2977">
        <f>N80-'[1]Sheet 7 BS - 2019 &amp; 2018 -LI'!M31</f>
        <v>0</v>
      </c>
    </row>
    <row r="81" spans="1:42" ht="26.45">
      <c r="A81" s="1950">
        <v>13</v>
      </c>
      <c r="B81" s="1846" t="s">
        <v>292</v>
      </c>
      <c r="C81" s="1854">
        <v>12</v>
      </c>
      <c r="D81" s="1962">
        <f t="shared" si="41"/>
        <v>1649555.6237000001</v>
      </c>
      <c r="E81" s="1963">
        <v>0</v>
      </c>
      <c r="F81" s="1964">
        <v>0</v>
      </c>
      <c r="G81" s="1965">
        <v>0</v>
      </c>
      <c r="H81" s="1970">
        <v>0</v>
      </c>
      <c r="I81" s="1971">
        <v>0</v>
      </c>
      <c r="J81" s="1980">
        <f t="shared" si="42"/>
        <v>0</v>
      </c>
      <c r="K81" s="1970">
        <v>0</v>
      </c>
      <c r="L81" s="1970">
        <v>0</v>
      </c>
      <c r="M81" s="1982">
        <v>1649555.6237000001</v>
      </c>
      <c r="N81" s="1984">
        <f t="shared" si="43"/>
        <v>1649555.6237000001</v>
      </c>
      <c r="AG81" s="2983"/>
      <c r="AH81" s="2983"/>
      <c r="AI81" s="2977"/>
      <c r="AJ81" s="2977"/>
      <c r="AK81" s="2977">
        <f>I81-'[1]Sheet 7 BS - 2019 &amp; 2018 -LI'!H32</f>
        <v>0</v>
      </c>
      <c r="AL81" s="2977">
        <f>J81-'[1]Sheet 7 BS - 2019 &amp; 2018 -LI'!I32</f>
        <v>0</v>
      </c>
      <c r="AM81" s="2977">
        <f>K81-'[1]Sheet 7 BS - 2019 &amp; 2018 -LI'!J32</f>
        <v>0</v>
      </c>
      <c r="AN81" s="2977">
        <f>L81-'[1]Sheet 7 BS - 2019 &amp; 2018 -LI'!K32</f>
        <v>0</v>
      </c>
      <c r="AO81" s="2977">
        <f>M81-'[1]Sheet 7 BS - 2019 &amp; 2018 -LI'!L32</f>
        <v>-334996.37629999989</v>
      </c>
      <c r="AP81" s="2977">
        <f>N81-'[1]Sheet 7 BS - 2019 &amp; 2018 -LI'!M32</f>
        <v>-334996.37629999989</v>
      </c>
    </row>
    <row r="82" spans="1:42">
      <c r="A82" s="1950">
        <v>14</v>
      </c>
      <c r="B82" s="1829" t="s">
        <v>293</v>
      </c>
      <c r="C82" s="1854">
        <v>13</v>
      </c>
      <c r="D82" s="1962">
        <f t="shared" si="41"/>
        <v>460487</v>
      </c>
      <c r="E82" s="1963">
        <v>0</v>
      </c>
      <c r="F82" s="1964">
        <v>0</v>
      </c>
      <c r="G82" s="1965">
        <v>0</v>
      </c>
      <c r="H82" s="1970">
        <v>0</v>
      </c>
      <c r="I82" s="1982">
        <v>460487</v>
      </c>
      <c r="J82" s="1980">
        <f t="shared" si="42"/>
        <v>460487</v>
      </c>
      <c r="K82" s="1970">
        <v>0</v>
      </c>
      <c r="L82" s="1985">
        <v>0</v>
      </c>
      <c r="M82" s="1985">
        <v>0</v>
      </c>
      <c r="N82" s="1984">
        <f>K82+L82+M82</f>
        <v>0</v>
      </c>
      <c r="AG82" s="2983"/>
      <c r="AH82" s="2983"/>
      <c r="AI82" s="2977"/>
      <c r="AJ82" s="2977"/>
      <c r="AK82" s="2977">
        <f>I82-'[1]Sheet 7 BS - 2019 &amp; 2018 -LI'!H33</f>
        <v>-301793</v>
      </c>
      <c r="AL82" s="2977">
        <f>J82-'[1]Sheet 7 BS - 2019 &amp; 2018 -LI'!I33</f>
        <v>-301793</v>
      </c>
      <c r="AM82" s="2977">
        <f>K82-'[1]Sheet 7 BS - 2019 &amp; 2018 -LI'!J33</f>
        <v>0</v>
      </c>
      <c r="AN82" s="2977">
        <f>L82-'[1]Sheet 7 BS - 2019 &amp; 2018 -LI'!K33</f>
        <v>0</v>
      </c>
      <c r="AO82" s="2977">
        <f>M82-'[1]Sheet 7 BS - 2019 &amp; 2018 -LI'!L33</f>
        <v>0</v>
      </c>
      <c r="AP82" s="2977">
        <f>N82-'[1]Sheet 7 BS - 2019 &amp; 2018 -LI'!M33</f>
        <v>0</v>
      </c>
    </row>
    <row r="83" spans="1:42">
      <c r="A83" s="1950">
        <v>15</v>
      </c>
      <c r="B83" s="1829" t="s">
        <v>294</v>
      </c>
      <c r="C83" s="1871">
        <v>14</v>
      </c>
      <c r="D83" s="1962">
        <f>+E83+F83+J83+N83</f>
        <v>160130</v>
      </c>
      <c r="E83" s="1963">
        <v>0</v>
      </c>
      <c r="F83" s="1964">
        <v>0</v>
      </c>
      <c r="G83" s="1981">
        <v>0</v>
      </c>
      <c r="H83" s="1969">
        <v>1390</v>
      </c>
      <c r="I83" s="972">
        <v>145391</v>
      </c>
      <c r="J83" s="1980">
        <f t="shared" si="42"/>
        <v>146781</v>
      </c>
      <c r="K83" s="1983">
        <v>13349</v>
      </c>
      <c r="L83" s="1985">
        <v>0</v>
      </c>
      <c r="M83" s="1985">
        <v>0</v>
      </c>
      <c r="N83" s="1984">
        <f>K83+L83+M83</f>
        <v>13349</v>
      </c>
      <c r="AG83" s="2983"/>
      <c r="AH83" s="2983"/>
      <c r="AI83" s="2977"/>
      <c r="AJ83" s="2977"/>
      <c r="AK83" s="2977">
        <f>I83-'[1]Sheet 7 BS - 2019 &amp; 2018 -LI'!H34</f>
        <v>24259.294800000003</v>
      </c>
      <c r="AL83" s="2977">
        <f>J83-'[1]Sheet 7 BS - 2019 &amp; 2018 -LI'!I34</f>
        <v>22447.986120000001</v>
      </c>
      <c r="AM83" s="2977">
        <f>K83-'[1]Sheet 7 BS - 2019 &amp; 2018 -LI'!J34</f>
        <v>-1139</v>
      </c>
      <c r="AN83" s="2977">
        <f>L83-'[1]Sheet 7 BS - 2019 &amp; 2018 -LI'!K34</f>
        <v>0</v>
      </c>
      <c r="AO83" s="2977">
        <f>M83-'[1]Sheet 7 BS - 2019 &amp; 2018 -LI'!L34</f>
        <v>0</v>
      </c>
      <c r="AP83" s="2977">
        <f>N83-'[1]Sheet 7 BS - 2019 &amp; 2018 -LI'!M34</f>
        <v>-1139</v>
      </c>
    </row>
    <row r="84" spans="1:42">
      <c r="A84" s="1950">
        <v>16</v>
      </c>
      <c r="B84" s="1829" t="s">
        <v>295</v>
      </c>
      <c r="C84" s="1854">
        <v>15</v>
      </c>
      <c r="D84" s="1962">
        <f t="shared" si="41"/>
        <v>408965</v>
      </c>
      <c r="E84" s="1963">
        <v>0</v>
      </c>
      <c r="F84" s="1964">
        <v>0</v>
      </c>
      <c r="G84" s="769">
        <v>0</v>
      </c>
      <c r="H84" s="918">
        <v>39</v>
      </c>
      <c r="I84" s="972">
        <v>408926</v>
      </c>
      <c r="J84" s="1980">
        <f t="shared" si="42"/>
        <v>408965</v>
      </c>
      <c r="K84" s="1970">
        <v>0</v>
      </c>
      <c r="L84" s="1985">
        <v>0</v>
      </c>
      <c r="M84" s="1985">
        <v>0</v>
      </c>
      <c r="N84" s="1984">
        <f>K84+L84+M84</f>
        <v>0</v>
      </c>
      <c r="AG84" s="2983"/>
      <c r="AH84" s="2983"/>
      <c r="AI84" s="2977"/>
      <c r="AJ84" s="2977"/>
      <c r="AK84" s="2977">
        <f>I84-'[1]Sheet 7 BS - 2019 &amp; 2018 -LI'!H35</f>
        <v>-28797.609070000006</v>
      </c>
      <c r="AL84" s="2977">
        <f>J84-'[1]Sheet 7 BS - 2019 &amp; 2018 -LI'!I35</f>
        <v>-31752.113190000004</v>
      </c>
      <c r="AM84" s="2977">
        <f>K84-'[1]Sheet 7 BS - 2019 &amp; 2018 -LI'!J35</f>
        <v>0</v>
      </c>
      <c r="AN84" s="2977">
        <f>L84-'[1]Sheet 7 BS - 2019 &amp; 2018 -LI'!K35</f>
        <v>0</v>
      </c>
      <c r="AO84" s="2977">
        <f>M84-'[1]Sheet 7 BS - 2019 &amp; 2018 -LI'!L35</f>
        <v>0</v>
      </c>
      <c r="AP84" s="2977">
        <f>N84-'[1]Sheet 7 BS - 2019 &amp; 2018 -LI'!M35</f>
        <v>0</v>
      </c>
    </row>
    <row r="85" spans="1:42">
      <c r="A85" s="1950">
        <v>17</v>
      </c>
      <c r="B85" s="1829" t="s">
        <v>296</v>
      </c>
      <c r="C85" s="1871">
        <v>16</v>
      </c>
      <c r="D85" s="1962">
        <f t="shared" si="41"/>
        <v>2155353.4034000002</v>
      </c>
      <c r="E85" s="1963">
        <v>0</v>
      </c>
      <c r="F85" s="1969">
        <f>1244183+297061</f>
        <v>1541244</v>
      </c>
      <c r="G85" s="1965">
        <v>0</v>
      </c>
      <c r="H85" s="1970">
        <v>0</v>
      </c>
      <c r="I85" s="972">
        <v>535701</v>
      </c>
      <c r="J85" s="1980">
        <f t="shared" si="42"/>
        <v>535701</v>
      </c>
      <c r="K85" s="1983">
        <v>72865</v>
      </c>
      <c r="L85" s="1970">
        <v>0</v>
      </c>
      <c r="M85" s="1985">
        <v>5543.4034000000001</v>
      </c>
      <c r="N85" s="1984">
        <f>K85+L85+M85</f>
        <v>78408.403399999996</v>
      </c>
      <c r="AG85" s="2983"/>
      <c r="AH85" s="2983"/>
      <c r="AI85" s="2977"/>
      <c r="AJ85" s="2977"/>
      <c r="AK85" s="2977">
        <f>I85-'[1]Sheet 7 BS - 2019 &amp; 2018 -LI'!H36-'[1]Sheet 7 BS - 2019 &amp; 2018 -LI'!H39</f>
        <v>-72328.242599999881</v>
      </c>
      <c r="AL85" s="2977">
        <f>J85-'[1]Sheet 7 BS - 2019 &amp; 2018 -LI'!I36-'[1]Sheet 7 BS - 2019 &amp; 2018 -LI'!I39</f>
        <v>-74011.742599999881</v>
      </c>
      <c r="AM85" s="2977">
        <f>K85-'[1]Sheet 7 BS - 2019 &amp; 2018 -LI'!J36-'[1]Sheet 7 BS - 2019 &amp; 2018 -LI'!J39</f>
        <v>-523.39999999999418</v>
      </c>
      <c r="AN85" s="2977">
        <f>L85-'[1]Sheet 7 BS - 2019 &amp; 2018 -LI'!K36-'[1]Sheet 7 BS - 2019 &amp; 2018 -LI'!K39</f>
        <v>0</v>
      </c>
      <c r="AO85" s="2977">
        <f>M85-'[1]Sheet 7 BS - 2019 &amp; 2018 -LI'!L36-'[1]Sheet 7 BS - 2019 &amp; 2018 -LI'!L39</f>
        <v>1744.4034000000001</v>
      </c>
      <c r="AP85" s="2977">
        <f>N85-'[1]Sheet 7 BS - 2019 &amp; 2018 -LI'!M36-'[1]Sheet 7 BS - 2019 &amp; 2018 -LI'!M39</f>
        <v>1221.0034000000014</v>
      </c>
    </row>
    <row r="86" spans="1:42">
      <c r="A86" s="1950">
        <v>18</v>
      </c>
      <c r="B86" s="1829" t="s">
        <v>297</v>
      </c>
      <c r="C86" s="1854"/>
      <c r="D86" s="1962">
        <f t="shared" si="41"/>
        <v>0</v>
      </c>
      <c r="E86" s="1963">
        <v>0</v>
      </c>
      <c r="F86" s="1964">
        <v>0</v>
      </c>
      <c r="G86" s="1965">
        <v>0</v>
      </c>
      <c r="H86" s="1964">
        <v>0</v>
      </c>
      <c r="I86" s="1966">
        <v>0</v>
      </c>
      <c r="J86" s="1980">
        <f t="shared" si="42"/>
        <v>0</v>
      </c>
      <c r="K86" s="1970">
        <v>0</v>
      </c>
      <c r="L86" s="1985">
        <v>0</v>
      </c>
      <c r="M86" s="1985">
        <v>0</v>
      </c>
      <c r="N86" s="1984">
        <f>K86+L86+M86</f>
        <v>0</v>
      </c>
      <c r="AG86" s="2983"/>
      <c r="AH86" s="2983"/>
      <c r="AI86" s="2977"/>
      <c r="AJ86" s="2977"/>
      <c r="AK86" s="2977">
        <f>I86-'[1]Sheet 7 BS - 2019 &amp; 2018 -LI'!H37</f>
        <v>0</v>
      </c>
      <c r="AL86" s="2977">
        <f>J86-'[1]Sheet 7 BS - 2019 &amp; 2018 -LI'!I37</f>
        <v>0</v>
      </c>
      <c r="AM86" s="2977">
        <f>K86-'[1]Sheet 7 BS - 2019 &amp; 2018 -LI'!J37</f>
        <v>0</v>
      </c>
      <c r="AN86" s="2977">
        <f>L86-'[1]Sheet 7 BS - 2019 &amp; 2018 -LI'!K37</f>
        <v>0</v>
      </c>
      <c r="AO86" s="2977">
        <f>M86-'[1]Sheet 7 BS - 2019 &amp; 2018 -LI'!L37</f>
        <v>0</v>
      </c>
      <c r="AP86" s="2977">
        <f>N86-'[1]Sheet 7 BS - 2019 &amp; 2018 -LI'!M37</f>
        <v>0</v>
      </c>
    </row>
    <row r="87" spans="1:42" ht="15" thickBot="1">
      <c r="A87" s="1957">
        <v>19</v>
      </c>
      <c r="B87" s="1848" t="s">
        <v>298</v>
      </c>
      <c r="C87" s="1882"/>
      <c r="D87" s="1986">
        <f t="shared" si="41"/>
        <v>659595</v>
      </c>
      <c r="E87" s="1987">
        <v>0</v>
      </c>
      <c r="F87" s="919">
        <v>1234</v>
      </c>
      <c r="G87" s="1988">
        <v>0</v>
      </c>
      <c r="H87" s="920">
        <v>17</v>
      </c>
      <c r="I87" s="1989">
        <v>626531</v>
      </c>
      <c r="J87" s="1990">
        <f t="shared" si="42"/>
        <v>626548</v>
      </c>
      <c r="K87" s="3123">
        <v>30287</v>
      </c>
      <c r="L87" s="920">
        <v>38</v>
      </c>
      <c r="M87" s="1989">
        <v>1488</v>
      </c>
      <c r="N87" s="1991">
        <f t="shared" ref="N87:N105" si="44">K87+L87+M87</f>
        <v>31813</v>
      </c>
      <c r="AG87" s="2983"/>
      <c r="AH87" s="2983"/>
      <c r="AI87" s="2977"/>
      <c r="AJ87" s="2977"/>
      <c r="AK87" s="2977">
        <f>I87-'[1]Sheet 7 BS - 2019 &amp; 2018 -LI'!H38</f>
        <v>155666.20404000004</v>
      </c>
      <c r="AL87" s="2977">
        <f>J87-'[1]Sheet 7 BS - 2019 &amp; 2018 -LI'!I38</f>
        <v>155223.52273000003</v>
      </c>
      <c r="AM87" s="2977">
        <f>K87-'[1]Sheet 7 BS - 2019 &amp; 2018 -LI'!J38</f>
        <v>21697.5</v>
      </c>
      <c r="AN87" s="2977">
        <f>L87-'[1]Sheet 7 BS - 2019 &amp; 2018 -LI'!K38</f>
        <v>-29</v>
      </c>
      <c r="AO87" s="2977">
        <f>M87-'[1]Sheet 7 BS - 2019 &amp; 2018 -LI'!L38</f>
        <v>499</v>
      </c>
      <c r="AP87" s="2977">
        <f>N87-'[1]Sheet 7 BS - 2019 &amp; 2018 -LI'!M38</f>
        <v>22167.5</v>
      </c>
    </row>
    <row r="88" spans="1:42" ht="27" thickBot="1">
      <c r="A88" s="1235">
        <v>20</v>
      </c>
      <c r="B88" s="1139" t="s">
        <v>299</v>
      </c>
      <c r="C88" s="1138"/>
      <c r="D88" s="1236">
        <f t="shared" si="41"/>
        <v>72263841.060310006</v>
      </c>
      <c r="E88" s="1264">
        <f>SUM(E65:E71)+E74+E77+SUM(E82:E87)</f>
        <v>0</v>
      </c>
      <c r="F88" s="1265">
        <f>SUM(F65:F71)+F74+F77+SUM(F82:F87)</f>
        <v>21787065.170900002</v>
      </c>
      <c r="G88" s="1264">
        <f>SUM(G65:G71)+G74+G77+SUM(G82:G87)</f>
        <v>0</v>
      </c>
      <c r="H88" s="1266">
        <f>SUM(H65:H71)+H74+H77+SUM(H82:H87)</f>
        <v>441390</v>
      </c>
      <c r="I88" s="1264">
        <f>SUM(I65:I71)+I74+I77+SUM(I82:I87)</f>
        <v>44351949.813809998</v>
      </c>
      <c r="J88" s="1267">
        <f t="shared" si="42"/>
        <v>44793339.813809998</v>
      </c>
      <c r="K88" s="1236">
        <f>SUM(K65:K71)+K74+K77+SUM(K82:K87)</f>
        <v>308679.04253000004</v>
      </c>
      <c r="L88" s="1236">
        <f>SUM(L65:L71)+L74+L77+SUM(L82:L87)</f>
        <v>82454.797260000007</v>
      </c>
      <c r="M88" s="1264">
        <f>SUM(M65:M71)+M74+M77+SUM(M82:M87)</f>
        <v>5292302.2358099995</v>
      </c>
      <c r="N88" s="1237">
        <f t="shared" si="44"/>
        <v>5683436.0755999992</v>
      </c>
      <c r="AG88" s="2983"/>
      <c r="AH88" s="2983"/>
      <c r="AI88" s="2977"/>
      <c r="AJ88" s="2977"/>
      <c r="AK88" s="2977">
        <f>I88-'[1]Sheet 7 BS - 2019 &amp; 2018 -LI'!H40</f>
        <v>10446394.894340001</v>
      </c>
      <c r="AL88" s="2977">
        <f>J88-'[1]Sheet 7 BS - 2019 &amp; 2018 -LI'!I40</f>
        <v>10589026.211239994</v>
      </c>
      <c r="AM88" s="2977">
        <f>K88-'[1]Sheet 7 BS - 2019 &amp; 2018 -LI'!J40</f>
        <v>21669.142530000012</v>
      </c>
      <c r="AN88" s="2977">
        <f>L88-'[1]Sheet 7 BS - 2019 &amp; 2018 -LI'!K40</f>
        <v>-11951.202739999993</v>
      </c>
      <c r="AO88" s="2977">
        <f>M88-'[1]Sheet 7 BS - 2019 &amp; 2018 -LI'!L40</f>
        <v>357524.23580999952</v>
      </c>
      <c r="AP88" s="2977">
        <f>N88-'[1]Sheet 7 BS - 2019 &amp; 2018 -LI'!M40</f>
        <v>367242.17559999879</v>
      </c>
    </row>
    <row r="89" spans="1:42">
      <c r="A89" s="1227"/>
      <c r="B89" s="1225" t="s">
        <v>300</v>
      </c>
      <c r="C89" s="1133"/>
      <c r="D89" s="1230">
        <f t="shared" si="41"/>
        <v>0</v>
      </c>
      <c r="E89" s="693"/>
      <c r="F89" s="678"/>
      <c r="G89" s="921"/>
      <c r="H89" s="922"/>
      <c r="I89" s="922"/>
      <c r="J89" s="1256">
        <f t="shared" si="42"/>
        <v>0</v>
      </c>
      <c r="K89" s="674"/>
      <c r="L89" s="679"/>
      <c r="M89" s="679"/>
      <c r="N89" s="1231">
        <f t="shared" si="44"/>
        <v>0</v>
      </c>
      <c r="AG89" s="2983"/>
      <c r="AH89" s="2983"/>
      <c r="AI89" s="2977"/>
      <c r="AJ89" s="2977"/>
      <c r="AK89" s="2977">
        <f>I89-'[1]Sheet 7 BS - 2019 &amp; 2018 -LI'!H41</f>
        <v>0</v>
      </c>
      <c r="AL89" s="2977">
        <f>J89-'[1]Sheet 7 BS - 2019 &amp; 2018 -LI'!I41</f>
        <v>0</v>
      </c>
      <c r="AM89" s="2977">
        <f>K89-'[1]Sheet 7 BS - 2019 &amp; 2018 -LI'!J41</f>
        <v>0</v>
      </c>
      <c r="AN89" s="2977">
        <f>L89-'[1]Sheet 7 BS - 2019 &amp; 2018 -LI'!K41</f>
        <v>0</v>
      </c>
      <c r="AO89" s="2977">
        <f>M89-'[1]Sheet 7 BS - 2019 &amp; 2018 -LI'!L41</f>
        <v>0</v>
      </c>
      <c r="AP89" s="2977">
        <f>N89-'[1]Sheet 7 BS - 2019 &amp; 2018 -LI'!M41</f>
        <v>0</v>
      </c>
    </row>
    <row r="90" spans="1:42">
      <c r="A90" s="1950"/>
      <c r="B90" s="1959" t="s">
        <v>301</v>
      </c>
      <c r="C90" s="1830"/>
      <c r="D90" s="1946">
        <f t="shared" si="41"/>
        <v>0</v>
      </c>
      <c r="E90" s="1964"/>
      <c r="F90" s="1972"/>
      <c r="G90" s="1971"/>
      <c r="H90" s="1992"/>
      <c r="I90" s="1992"/>
      <c r="J90" s="1980">
        <f t="shared" si="42"/>
        <v>0</v>
      </c>
      <c r="K90" s="1970"/>
      <c r="L90" s="1985"/>
      <c r="M90" s="1985"/>
      <c r="N90" s="1967">
        <f t="shared" si="44"/>
        <v>0</v>
      </c>
      <c r="AG90" s="2983"/>
      <c r="AH90" s="2983"/>
      <c r="AI90" s="2977"/>
      <c r="AJ90" s="2977"/>
      <c r="AK90" s="2977">
        <f>I90-'[1]Sheet 7 BS - 2019 &amp; 2018 -LI'!H42</f>
        <v>0</v>
      </c>
      <c r="AL90" s="2977">
        <f>J90-'[1]Sheet 7 BS - 2019 &amp; 2018 -LI'!I42</f>
        <v>0</v>
      </c>
      <c r="AM90" s="2977">
        <f>K90-'[1]Sheet 7 BS - 2019 &amp; 2018 -LI'!J42</f>
        <v>0</v>
      </c>
      <c r="AN90" s="2977">
        <f>L90-'[1]Sheet 7 BS - 2019 &amp; 2018 -LI'!K42</f>
        <v>0</v>
      </c>
      <c r="AO90" s="2977">
        <f>M90-'[1]Sheet 7 BS - 2019 &amp; 2018 -LI'!L42</f>
        <v>0</v>
      </c>
      <c r="AP90" s="2977">
        <f>N90-'[1]Sheet 7 BS - 2019 &amp; 2018 -LI'!M42</f>
        <v>0</v>
      </c>
    </row>
    <row r="91" spans="1:42">
      <c r="A91" s="1950">
        <v>21</v>
      </c>
      <c r="B91" s="1829" t="s">
        <v>302</v>
      </c>
      <c r="C91" s="1836">
        <v>17</v>
      </c>
      <c r="D91" s="1946">
        <f t="shared" si="41"/>
        <v>46019744</v>
      </c>
      <c r="E91" s="1964">
        <v>0</v>
      </c>
      <c r="F91" s="1993">
        <v>0</v>
      </c>
      <c r="G91" s="1971">
        <v>0</v>
      </c>
      <c r="H91" s="1994">
        <v>371343</v>
      </c>
      <c r="I91" s="1969">
        <v>40205664</v>
      </c>
      <c r="J91" s="1980">
        <f t="shared" si="42"/>
        <v>40577007</v>
      </c>
      <c r="K91" s="1983">
        <v>72865</v>
      </c>
      <c r="L91" s="1983">
        <v>82367</v>
      </c>
      <c r="M91" s="1969">
        <v>5287505</v>
      </c>
      <c r="N91" s="1967">
        <f t="shared" si="44"/>
        <v>5442737</v>
      </c>
      <c r="AG91" s="2983"/>
      <c r="AH91" s="2983"/>
      <c r="AI91" s="2977"/>
      <c r="AJ91" s="2977"/>
      <c r="AK91" s="2977">
        <f>I91-'[1]Sheet 7 BS - 2019 &amp; 2018 -LI'!H43</f>
        <v>9155334.6129800007</v>
      </c>
      <c r="AL91" s="2977">
        <f>J91-'[1]Sheet 7 BS - 2019 &amp; 2018 -LI'!I43</f>
        <v>9294534.8099000007</v>
      </c>
      <c r="AM91" s="2977">
        <f>K91-'[1]Sheet 7 BS - 2019 &amp; 2018 -LI'!J43</f>
        <v>-524</v>
      </c>
      <c r="AN91" s="2977">
        <f>L91-'[1]Sheet 7 BS - 2019 &amp; 2018 -LI'!K43</f>
        <v>-11936</v>
      </c>
      <c r="AO91" s="2977">
        <f>M91-'[1]Sheet 7 BS - 2019 &amp; 2018 -LI'!L43</f>
        <v>357458</v>
      </c>
      <c r="AP91" s="2977">
        <f>N91-'[1]Sheet 7 BS - 2019 &amp; 2018 -LI'!M43</f>
        <v>344998</v>
      </c>
    </row>
    <row r="92" spans="1:42">
      <c r="A92" s="1950">
        <v>22</v>
      </c>
      <c r="B92" s="1829" t="s">
        <v>303</v>
      </c>
      <c r="C92" s="1830"/>
      <c r="D92" s="1946">
        <f t="shared" si="41"/>
        <v>333207</v>
      </c>
      <c r="E92" s="1964">
        <v>0</v>
      </c>
      <c r="F92" s="770">
        <v>333207</v>
      </c>
      <c r="G92" s="1971">
        <v>0</v>
      </c>
      <c r="H92" s="923">
        <v>0</v>
      </c>
      <c r="I92" s="918">
        <v>0</v>
      </c>
      <c r="J92" s="1980">
        <f t="shared" si="42"/>
        <v>0</v>
      </c>
      <c r="K92" s="924">
        <v>0</v>
      </c>
      <c r="L92" s="924">
        <v>0</v>
      </c>
      <c r="M92" s="918">
        <v>0</v>
      </c>
      <c r="N92" s="1967">
        <f t="shared" si="44"/>
        <v>0</v>
      </c>
      <c r="AG92" s="2983"/>
      <c r="AH92" s="2983"/>
      <c r="AI92" s="2977"/>
      <c r="AJ92" s="2977"/>
      <c r="AK92" s="2977">
        <f>I92-'[1]Sheet 7 BS - 2019 &amp; 2018 -LI'!H44</f>
        <v>0</v>
      </c>
      <c r="AL92" s="2977">
        <f>J92-'[1]Sheet 7 BS - 2019 &amp; 2018 -LI'!I44</f>
        <v>0</v>
      </c>
      <c r="AM92" s="2977">
        <f>K92-'[1]Sheet 7 BS - 2019 &amp; 2018 -LI'!J44</f>
        <v>0</v>
      </c>
      <c r="AN92" s="2977">
        <f>L92-'[1]Sheet 7 BS - 2019 &amp; 2018 -LI'!K44</f>
        <v>0</v>
      </c>
      <c r="AO92" s="2977">
        <f>M92-'[1]Sheet 7 BS - 2019 &amp; 2018 -LI'!L44</f>
        <v>0</v>
      </c>
      <c r="AP92" s="2977">
        <f>N92-'[1]Sheet 7 BS - 2019 &amp; 2018 -LI'!M44</f>
        <v>0</v>
      </c>
    </row>
    <row r="93" spans="1:42">
      <c r="A93" s="1950">
        <v>23</v>
      </c>
      <c r="B93" s="1829" t="s">
        <v>304</v>
      </c>
      <c r="C93" s="1830">
        <v>18</v>
      </c>
      <c r="D93" s="1946">
        <f t="shared" si="41"/>
        <v>385839</v>
      </c>
      <c r="E93" s="1964">
        <v>0</v>
      </c>
      <c r="F93" s="769">
        <v>0</v>
      </c>
      <c r="G93" s="945">
        <v>0</v>
      </c>
      <c r="H93" s="925">
        <v>43410</v>
      </c>
      <c r="I93" s="917">
        <v>315696</v>
      </c>
      <c r="J93" s="1980">
        <f t="shared" si="42"/>
        <v>359106</v>
      </c>
      <c r="K93" s="926">
        <v>26733</v>
      </c>
      <c r="L93" s="924">
        <v>0</v>
      </c>
      <c r="M93" s="918">
        <v>0</v>
      </c>
      <c r="N93" s="1967">
        <f t="shared" si="44"/>
        <v>26733</v>
      </c>
      <c r="AG93" s="2983"/>
      <c r="AH93" s="2983"/>
      <c r="AI93" s="2977"/>
      <c r="AJ93" s="2977"/>
      <c r="AK93" s="2977">
        <f>I93-'[1]Sheet 7 BS - 2019 &amp; 2018 -LI'!H45</f>
        <v>251094.53107</v>
      </c>
      <c r="AL93" s="2977">
        <f>J93-'[1]Sheet 7 BS - 2019 &amp; 2018 -LI'!I45</f>
        <v>291055.45623999997</v>
      </c>
      <c r="AM93" s="2977">
        <f>K93-'[1]Sheet 7 BS - 2019 &amp; 2018 -LI'!J45</f>
        <v>26733</v>
      </c>
      <c r="AN93" s="2977">
        <f>L93-'[1]Sheet 7 BS - 2019 &amp; 2018 -LI'!K45</f>
        <v>0</v>
      </c>
      <c r="AO93" s="2977">
        <f>M93-'[1]Sheet 7 BS - 2019 &amp; 2018 -LI'!L45</f>
        <v>0</v>
      </c>
      <c r="AP93" s="2977">
        <f>N93-'[1]Sheet 7 BS - 2019 &amp; 2018 -LI'!M45</f>
        <v>26733</v>
      </c>
    </row>
    <row r="94" spans="1:42">
      <c r="A94" s="1950">
        <v>24</v>
      </c>
      <c r="B94" s="1829" t="s">
        <v>305</v>
      </c>
      <c r="C94" s="1830"/>
      <c r="D94" s="1946">
        <f t="shared" si="41"/>
        <v>55257</v>
      </c>
      <c r="E94" s="1964">
        <v>0</v>
      </c>
      <c r="F94" s="769">
        <v>0</v>
      </c>
      <c r="G94" s="945">
        <v>0</v>
      </c>
      <c r="H94" s="923">
        <v>0</v>
      </c>
      <c r="I94" s="917">
        <v>48121</v>
      </c>
      <c r="J94" s="1980">
        <f t="shared" si="42"/>
        <v>48121</v>
      </c>
      <c r="K94" s="926">
        <v>7136</v>
      </c>
      <c r="L94" s="924">
        <v>0</v>
      </c>
      <c r="M94" s="918">
        <v>0</v>
      </c>
      <c r="N94" s="1967">
        <f t="shared" si="44"/>
        <v>7136</v>
      </c>
      <c r="AG94" s="2983"/>
      <c r="AH94" s="2983"/>
      <c r="AI94" s="2977"/>
      <c r="AJ94" s="2977"/>
      <c r="AK94" s="2977">
        <f>I94-'[1]Sheet 7 BS - 2019 &amp; 2018 -LI'!H46</f>
        <v>5420</v>
      </c>
      <c r="AL94" s="2977">
        <f>J94-'[1]Sheet 7 BS - 2019 &amp; 2018 -LI'!I46</f>
        <v>5420</v>
      </c>
      <c r="AM94" s="2977">
        <f>K94-'[1]Sheet 7 BS - 2019 &amp; 2018 -LI'!J46</f>
        <v>-1389</v>
      </c>
      <c r="AN94" s="2977">
        <f>L94-'[1]Sheet 7 BS - 2019 &amp; 2018 -LI'!K46</f>
        <v>0</v>
      </c>
      <c r="AO94" s="2977">
        <f>M94-'[1]Sheet 7 BS - 2019 &amp; 2018 -LI'!L46</f>
        <v>0</v>
      </c>
      <c r="AP94" s="2977">
        <f>N94-'[1]Sheet 7 BS - 2019 &amp; 2018 -LI'!M46</f>
        <v>-1389</v>
      </c>
    </row>
    <row r="95" spans="1:42">
      <c r="A95" s="1950">
        <v>25</v>
      </c>
      <c r="B95" s="1851" t="s">
        <v>306</v>
      </c>
      <c r="C95" s="1830"/>
      <c r="D95" s="1946">
        <f t="shared" si="41"/>
        <v>0</v>
      </c>
      <c r="E95" s="1964">
        <v>0</v>
      </c>
      <c r="F95" s="769">
        <v>0</v>
      </c>
      <c r="G95" s="945">
        <v>0</v>
      </c>
      <c r="H95" s="923">
        <v>0</v>
      </c>
      <c r="I95" s="918">
        <v>0</v>
      </c>
      <c r="J95" s="1980">
        <f t="shared" si="42"/>
        <v>0</v>
      </c>
      <c r="K95" s="924">
        <v>0</v>
      </c>
      <c r="L95" s="924">
        <v>0</v>
      </c>
      <c r="M95" s="918">
        <v>0</v>
      </c>
      <c r="N95" s="1967">
        <f t="shared" si="44"/>
        <v>0</v>
      </c>
      <c r="AG95" s="2983"/>
      <c r="AH95" s="2983"/>
      <c r="AI95" s="2977"/>
      <c r="AJ95" s="2977"/>
      <c r="AK95" s="2977">
        <f>I95-'[1]Sheet 7 BS - 2019 &amp; 2018 -LI'!H47</f>
        <v>0</v>
      </c>
      <c r="AL95" s="2977">
        <f>J95-'[1]Sheet 7 BS - 2019 &amp; 2018 -LI'!I47</f>
        <v>0</v>
      </c>
      <c r="AM95" s="2977">
        <f>K95-'[1]Sheet 7 BS - 2019 &amp; 2018 -LI'!J47</f>
        <v>0</v>
      </c>
      <c r="AN95" s="2977">
        <f>L95-'[1]Sheet 7 BS - 2019 &amp; 2018 -LI'!K47</f>
        <v>0</v>
      </c>
      <c r="AO95" s="2977">
        <f>M95-'[1]Sheet 7 BS - 2019 &amp; 2018 -LI'!L47</f>
        <v>0</v>
      </c>
      <c r="AP95" s="2977">
        <f>N95-'[1]Sheet 7 BS - 2019 &amp; 2018 -LI'!M47</f>
        <v>0</v>
      </c>
    </row>
    <row r="96" spans="1:42" ht="15" thickBot="1">
      <c r="A96" s="1957">
        <v>26</v>
      </c>
      <c r="B96" s="1848" t="s">
        <v>307</v>
      </c>
      <c r="C96" s="1852">
        <v>19</v>
      </c>
      <c r="D96" s="1946">
        <f t="shared" si="41"/>
        <v>5720698</v>
      </c>
      <c r="E96" s="1964">
        <v>0</v>
      </c>
      <c r="F96" s="927">
        <v>1704762</v>
      </c>
      <c r="G96" s="1971">
        <v>0</v>
      </c>
      <c r="H96" s="928">
        <v>26637</v>
      </c>
      <c r="I96" s="1250">
        <v>3782469</v>
      </c>
      <c r="J96" s="1257">
        <f t="shared" si="42"/>
        <v>3809106</v>
      </c>
      <c r="K96" s="929">
        <v>201945</v>
      </c>
      <c r="L96" s="930">
        <v>88</v>
      </c>
      <c r="M96" s="1252">
        <v>4797</v>
      </c>
      <c r="N96" s="1262">
        <f t="shared" si="44"/>
        <v>206830</v>
      </c>
      <c r="AG96" s="2983"/>
      <c r="AH96" s="2983"/>
      <c r="AI96" s="2977"/>
      <c r="AJ96" s="2977"/>
      <c r="AK96" s="2977">
        <f>I96-'[1]Sheet 7 BS - 2019 &amp; 2018 -LI'!H48</f>
        <v>1034546.2051900001</v>
      </c>
      <c r="AL96" s="2977">
        <f>J96-'[1]Sheet 7 BS - 2019 &amp; 2018 -LI'!I48</f>
        <v>998016.5</v>
      </c>
      <c r="AM96" s="2977">
        <f>K96-'[1]Sheet 7 BS - 2019 &amp; 2018 -LI'!J48</f>
        <v>-3151</v>
      </c>
      <c r="AN96" s="2977">
        <f>L96-'[1]Sheet 7 BS - 2019 &amp; 2018 -LI'!K48</f>
        <v>-15</v>
      </c>
      <c r="AO96" s="2977">
        <f>M96-'[1]Sheet 7 BS - 2019 &amp; 2018 -LI'!L48</f>
        <v>66</v>
      </c>
      <c r="AP96" s="2977">
        <f>N96-'[1]Sheet 7 BS - 2019 &amp; 2018 -LI'!M48</f>
        <v>-3100</v>
      </c>
    </row>
    <row r="97" spans="1:42" ht="27" thickBot="1">
      <c r="A97" s="1226">
        <v>27</v>
      </c>
      <c r="B97" s="1136" t="s">
        <v>308</v>
      </c>
      <c r="C97" s="1135"/>
      <c r="D97" s="1241">
        <f t="shared" si="41"/>
        <v>52514745</v>
      </c>
      <c r="E97" s="934">
        <f>SUM(E91:E96)</f>
        <v>0</v>
      </c>
      <c r="F97" s="935">
        <f>SUM(F91:F96)</f>
        <v>2037969</v>
      </c>
      <c r="G97" s="934">
        <f>SUM(G91:G96)</f>
        <v>0</v>
      </c>
      <c r="H97" s="936">
        <f>SUM(H91:H96)</f>
        <v>441390</v>
      </c>
      <c r="I97" s="1251">
        <f>SUM(I91:I96)</f>
        <v>44351950</v>
      </c>
      <c r="J97" s="1258">
        <f t="shared" si="42"/>
        <v>44793340</v>
      </c>
      <c r="K97" s="1253">
        <f>SUM(K91:K96)</f>
        <v>308679</v>
      </c>
      <c r="L97" s="935">
        <f>SUM(L91:L96)</f>
        <v>82455</v>
      </c>
      <c r="M97" s="936">
        <f>SUM(M91:M96)</f>
        <v>5292302</v>
      </c>
      <c r="N97" s="1248">
        <f t="shared" si="44"/>
        <v>5683436</v>
      </c>
      <c r="AG97" s="2983"/>
      <c r="AH97" s="2983"/>
      <c r="AI97" s="2977"/>
      <c r="AJ97" s="2977"/>
      <c r="AK97" s="2977">
        <f>I97-'[1]Sheet 7 BS - 2019 &amp; 2018 -LI'!H49</f>
        <v>10446395.349240005</v>
      </c>
      <c r="AL97" s="2977">
        <f>J97-'[1]Sheet 7 BS - 2019 &amp; 2018 -LI'!I49</f>
        <v>10589025.766139999</v>
      </c>
      <c r="AM97" s="2977">
        <f>K97-'[1]Sheet 7 BS - 2019 &amp; 2018 -LI'!J49</f>
        <v>21669</v>
      </c>
      <c r="AN97" s="2977">
        <f>L97-'[1]Sheet 7 BS - 2019 &amp; 2018 -LI'!K49</f>
        <v>-11951</v>
      </c>
      <c r="AO97" s="2977">
        <f>M97-'[1]Sheet 7 BS - 2019 &amp; 2018 -LI'!L49</f>
        <v>357524</v>
      </c>
      <c r="AP97" s="2977">
        <f>N97-'[1]Sheet 7 BS - 2019 &amp; 2018 -LI'!M49</f>
        <v>367242</v>
      </c>
    </row>
    <row r="98" spans="1:42">
      <c r="A98" s="1227"/>
      <c r="B98" s="1225" t="s">
        <v>309</v>
      </c>
      <c r="C98" s="1133">
        <v>20</v>
      </c>
      <c r="D98" s="1230">
        <f t="shared" si="41"/>
        <v>0</v>
      </c>
      <c r="E98" s="914"/>
      <c r="F98" s="914"/>
      <c r="G98" s="914"/>
      <c r="H98" s="914"/>
      <c r="I98" s="967"/>
      <c r="J98" s="1256">
        <f t="shared" si="42"/>
        <v>0</v>
      </c>
      <c r="K98" s="914"/>
      <c r="L98" s="914"/>
      <c r="M98" s="967"/>
      <c r="N98" s="1231">
        <f t="shared" si="44"/>
        <v>0</v>
      </c>
      <c r="AG98" s="2983"/>
      <c r="AH98" s="2983"/>
      <c r="AI98" s="2977"/>
      <c r="AJ98" s="2977"/>
      <c r="AK98" s="2977">
        <f>I98-'[1]Sheet 7 BS - 2019 &amp; 2018 -LI'!H50</f>
        <v>0</v>
      </c>
      <c r="AL98" s="2977">
        <f>J98-'[1]Sheet 7 BS - 2019 &amp; 2018 -LI'!I50</f>
        <v>0</v>
      </c>
      <c r="AM98" s="2977">
        <f>K98-'[1]Sheet 7 BS - 2019 &amp; 2018 -LI'!J50</f>
        <v>0</v>
      </c>
      <c r="AN98" s="2977">
        <f>L98-'[1]Sheet 7 BS - 2019 &amp; 2018 -LI'!K50</f>
        <v>0</v>
      </c>
      <c r="AO98" s="2977">
        <f>M98-'[1]Sheet 7 BS - 2019 &amp; 2018 -LI'!L50</f>
        <v>0</v>
      </c>
      <c r="AP98" s="2977">
        <f>N98-'[1]Sheet 7 BS - 2019 &amp; 2018 -LI'!M50</f>
        <v>0</v>
      </c>
    </row>
    <row r="99" spans="1:42">
      <c r="A99" s="1950">
        <v>28</v>
      </c>
      <c r="B99" s="1945" t="s">
        <v>310</v>
      </c>
      <c r="C99" s="1836"/>
      <c r="D99" s="1946">
        <f t="shared" si="41"/>
        <v>511922</v>
      </c>
      <c r="E99" s="1947"/>
      <c r="F99" s="1983">
        <v>511922</v>
      </c>
      <c r="G99" s="1947"/>
      <c r="H99" s="1947"/>
      <c r="I99" s="1968"/>
      <c r="J99" s="1980">
        <f t="shared" si="42"/>
        <v>0</v>
      </c>
      <c r="K99" s="1947"/>
      <c r="L99" s="1947"/>
      <c r="M99" s="1968"/>
      <c r="N99" s="1967">
        <f t="shared" si="44"/>
        <v>0</v>
      </c>
      <c r="AG99" s="2983"/>
      <c r="AH99" s="2983"/>
      <c r="AI99" s="2977"/>
      <c r="AJ99" s="2977"/>
      <c r="AK99" s="2977">
        <f>I99-'[1]Sheet 7 BS - 2019 &amp; 2018 -LI'!H51</f>
        <v>0</v>
      </c>
      <c r="AL99" s="2977">
        <f>J99-'[1]Sheet 7 BS - 2019 &amp; 2018 -LI'!I51</f>
        <v>0</v>
      </c>
      <c r="AM99" s="2977">
        <f>K99-'[1]Sheet 7 BS - 2019 &amp; 2018 -LI'!J51</f>
        <v>0</v>
      </c>
      <c r="AN99" s="2977">
        <f>L99-'[1]Sheet 7 BS - 2019 &amp; 2018 -LI'!K51</f>
        <v>0</v>
      </c>
      <c r="AO99" s="2977">
        <f>M99-'[1]Sheet 7 BS - 2019 &amp; 2018 -LI'!L51</f>
        <v>0</v>
      </c>
      <c r="AP99" s="2977">
        <f>N99-'[1]Sheet 7 BS - 2019 &amp; 2018 -LI'!M51</f>
        <v>0</v>
      </c>
    </row>
    <row r="100" spans="1:42">
      <c r="A100" s="1950">
        <v>29</v>
      </c>
      <c r="B100" s="1945" t="s">
        <v>311</v>
      </c>
      <c r="C100" s="1836"/>
      <c r="D100" s="1946">
        <f t="shared" si="41"/>
        <v>38258</v>
      </c>
      <c r="E100" s="1947"/>
      <c r="F100" s="926">
        <v>38258</v>
      </c>
      <c r="G100" s="1947"/>
      <c r="H100" s="1947"/>
      <c r="I100" s="1968"/>
      <c r="J100" s="1980">
        <f t="shared" si="42"/>
        <v>0</v>
      </c>
      <c r="K100" s="1947"/>
      <c r="L100" s="1947"/>
      <c r="M100" s="1968"/>
      <c r="N100" s="1967">
        <f t="shared" si="44"/>
        <v>0</v>
      </c>
      <c r="AG100" s="2983"/>
      <c r="AH100" s="2983"/>
      <c r="AI100" s="2977"/>
      <c r="AJ100" s="2977"/>
      <c r="AK100" s="2977">
        <f>I100-'[1]Sheet 7 BS - 2019 &amp; 2018 -LI'!H52</f>
        <v>0</v>
      </c>
      <c r="AL100" s="2977">
        <f>J100-'[1]Sheet 7 BS - 2019 &amp; 2018 -LI'!I52</f>
        <v>0</v>
      </c>
      <c r="AM100" s="2977">
        <f>K100-'[1]Sheet 7 BS - 2019 &amp; 2018 -LI'!J52</f>
        <v>0</v>
      </c>
      <c r="AN100" s="2977">
        <f>L100-'[1]Sheet 7 BS - 2019 &amp; 2018 -LI'!K52</f>
        <v>0</v>
      </c>
      <c r="AO100" s="2977">
        <f>M100-'[1]Sheet 7 BS - 2019 &amp; 2018 -LI'!L52</f>
        <v>0</v>
      </c>
      <c r="AP100" s="2977">
        <f>N100-'[1]Sheet 7 BS - 2019 &amp; 2018 -LI'!M52</f>
        <v>0</v>
      </c>
    </row>
    <row r="101" spans="1:42">
      <c r="A101" s="1950">
        <v>30</v>
      </c>
      <c r="B101" s="1960" t="s">
        <v>312</v>
      </c>
      <c r="C101" s="1852"/>
      <c r="D101" s="1946">
        <f t="shared" si="41"/>
        <v>228416</v>
      </c>
      <c r="E101" s="1947"/>
      <c r="F101" s="931">
        <v>228416</v>
      </c>
      <c r="G101" s="1947"/>
      <c r="H101" s="1947"/>
      <c r="I101" s="1968"/>
      <c r="J101" s="1980">
        <f t="shared" si="42"/>
        <v>0</v>
      </c>
      <c r="K101" s="1947"/>
      <c r="L101" s="1947"/>
      <c r="M101" s="1968"/>
      <c r="N101" s="1967">
        <f t="shared" si="44"/>
        <v>0</v>
      </c>
      <c r="AG101" s="2983"/>
      <c r="AH101" s="2983"/>
      <c r="AI101" s="2977"/>
      <c r="AJ101" s="2977"/>
      <c r="AK101" s="2977">
        <f>I101-'[1]Sheet 7 BS - 2019 &amp; 2018 -LI'!H53</f>
        <v>0</v>
      </c>
      <c r="AL101" s="2977">
        <f>J101-'[1]Sheet 7 BS - 2019 &amp; 2018 -LI'!I53</f>
        <v>0</v>
      </c>
      <c r="AM101" s="2977">
        <f>K101-'[1]Sheet 7 BS - 2019 &amp; 2018 -LI'!J53</f>
        <v>0</v>
      </c>
      <c r="AN101" s="2977">
        <f>L101-'[1]Sheet 7 BS - 2019 &amp; 2018 -LI'!K53</f>
        <v>0</v>
      </c>
      <c r="AO101" s="2977">
        <f>M101-'[1]Sheet 7 BS - 2019 &amp; 2018 -LI'!L53</f>
        <v>0</v>
      </c>
      <c r="AP101" s="2977">
        <f>N101-'[1]Sheet 7 BS - 2019 &amp; 2018 -LI'!M53</f>
        <v>0</v>
      </c>
    </row>
    <row r="102" spans="1:42">
      <c r="A102" s="1950">
        <v>31</v>
      </c>
      <c r="B102" s="1960" t="s">
        <v>313</v>
      </c>
      <c r="C102" s="1852"/>
      <c r="D102" s="1946">
        <f t="shared" si="41"/>
        <v>6080848</v>
      </c>
      <c r="E102" s="1947"/>
      <c r="F102" s="3123">
        <v>6080848</v>
      </c>
      <c r="G102" s="1947"/>
      <c r="H102" s="1947"/>
      <c r="I102" s="1968"/>
      <c r="J102" s="1980">
        <f t="shared" si="42"/>
        <v>0</v>
      </c>
      <c r="K102" s="1947"/>
      <c r="L102" s="1947"/>
      <c r="M102" s="1968"/>
      <c r="N102" s="1967">
        <f t="shared" si="44"/>
        <v>0</v>
      </c>
      <c r="AG102" s="2983"/>
      <c r="AH102" s="2983"/>
      <c r="AI102" s="2977"/>
      <c r="AJ102" s="2977"/>
      <c r="AK102" s="2977">
        <f>I102-'[1]Sheet 7 BS - 2019 &amp; 2018 -LI'!H54</f>
        <v>0</v>
      </c>
      <c r="AL102" s="2977">
        <f>J102-'[1]Sheet 7 BS - 2019 &amp; 2018 -LI'!I54</f>
        <v>0</v>
      </c>
      <c r="AM102" s="2977">
        <f>K102-'[1]Sheet 7 BS - 2019 &amp; 2018 -LI'!J54</f>
        <v>0</v>
      </c>
      <c r="AN102" s="2977">
        <f>L102-'[1]Sheet 7 BS - 2019 &amp; 2018 -LI'!K54</f>
        <v>0</v>
      </c>
      <c r="AO102" s="2977">
        <f>M102-'[1]Sheet 7 BS - 2019 &amp; 2018 -LI'!L54</f>
        <v>0</v>
      </c>
      <c r="AP102" s="2977">
        <f>N102-'[1]Sheet 7 BS - 2019 &amp; 2018 -LI'!M54</f>
        <v>0</v>
      </c>
    </row>
    <row r="103" spans="1:42" ht="15" thickBot="1">
      <c r="A103" s="1957">
        <v>32</v>
      </c>
      <c r="B103" s="1945" t="s">
        <v>314</v>
      </c>
      <c r="C103" s="1852"/>
      <c r="D103" s="1946">
        <f t="shared" si="41"/>
        <v>12889652</v>
      </c>
      <c r="E103" s="1947"/>
      <c r="F103" s="3123">
        <v>12889652</v>
      </c>
      <c r="G103" s="1947"/>
      <c r="H103" s="1947"/>
      <c r="I103" s="1968"/>
      <c r="J103" s="1980">
        <f t="shared" si="42"/>
        <v>0</v>
      </c>
      <c r="K103" s="1947"/>
      <c r="L103" s="1947"/>
      <c r="M103" s="1968"/>
      <c r="N103" s="1967">
        <f t="shared" si="44"/>
        <v>0</v>
      </c>
      <c r="AG103" s="2983"/>
      <c r="AH103" s="2983"/>
      <c r="AI103" s="2977"/>
      <c r="AJ103" s="2977"/>
      <c r="AK103" s="2977">
        <f>I103-'[1]Sheet 7 BS - 2019 &amp; 2018 -LI'!H55</f>
        <v>0</v>
      </c>
      <c r="AL103" s="2977">
        <f>J103-'[1]Sheet 7 BS - 2019 &amp; 2018 -LI'!I55</f>
        <v>0</v>
      </c>
      <c r="AM103" s="2977">
        <f>K103-'[1]Sheet 7 BS - 2019 &amp; 2018 -LI'!J55</f>
        <v>0</v>
      </c>
      <c r="AN103" s="2977">
        <f>L103-'[1]Sheet 7 BS - 2019 &amp; 2018 -LI'!K55</f>
        <v>0</v>
      </c>
      <c r="AO103" s="2977">
        <f>M103-'[1]Sheet 7 BS - 2019 &amp; 2018 -LI'!L55</f>
        <v>0</v>
      </c>
      <c r="AP103" s="2977">
        <f>N103-'[1]Sheet 7 BS - 2019 &amp; 2018 -LI'!M55</f>
        <v>0</v>
      </c>
    </row>
    <row r="104" spans="1:42" ht="15" thickBot="1">
      <c r="A104" s="1226">
        <v>33</v>
      </c>
      <c r="B104" s="1137" t="s">
        <v>315</v>
      </c>
      <c r="C104" s="1135"/>
      <c r="D104" s="1242">
        <f t="shared" si="41"/>
        <v>19749096</v>
      </c>
      <c r="E104" s="939">
        <f>SUM(E99:E103)</f>
        <v>0</v>
      </c>
      <c r="F104" s="939">
        <f>SUM(F99:F103)</f>
        <v>19749096</v>
      </c>
      <c r="G104" s="939">
        <f>SUM(G99:G103)</f>
        <v>0</v>
      </c>
      <c r="H104" s="939">
        <f>SUM(H99:H103)</f>
        <v>0</v>
      </c>
      <c r="I104" s="947">
        <f>SUM(I99:I103)</f>
        <v>0</v>
      </c>
      <c r="J104" s="1259">
        <f t="shared" si="42"/>
        <v>0</v>
      </c>
      <c r="K104" s="939">
        <f>SUM(K99:K103)</f>
        <v>0</v>
      </c>
      <c r="L104" s="939">
        <f>SUM(L99:L103)</f>
        <v>0</v>
      </c>
      <c r="M104" s="947">
        <f>SUM(M99:M103)</f>
        <v>0</v>
      </c>
      <c r="N104" s="1263">
        <f t="shared" si="44"/>
        <v>0</v>
      </c>
      <c r="AG104" s="2983"/>
      <c r="AH104" s="2983"/>
      <c r="AI104" s="2977"/>
      <c r="AJ104" s="2977"/>
      <c r="AK104" s="2977">
        <f>I104-'[1]Sheet 7 BS - 2019 &amp; 2018 -LI'!H56</f>
        <v>0</v>
      </c>
      <c r="AL104" s="2977">
        <f>J104-'[1]Sheet 7 BS - 2019 &amp; 2018 -LI'!I56</f>
        <v>0</v>
      </c>
      <c r="AM104" s="2977">
        <f>K104-'[1]Sheet 7 BS - 2019 &amp; 2018 -LI'!J56</f>
        <v>0</v>
      </c>
      <c r="AN104" s="2977">
        <f>L104-'[1]Sheet 7 BS - 2019 &amp; 2018 -LI'!K56</f>
        <v>0</v>
      </c>
      <c r="AO104" s="2977">
        <f>M104-'[1]Sheet 7 BS - 2019 &amp; 2018 -LI'!L56</f>
        <v>0</v>
      </c>
      <c r="AP104" s="2977">
        <f>N104-'[1]Sheet 7 BS - 2019 &amp; 2018 -LI'!M56</f>
        <v>0</v>
      </c>
    </row>
    <row r="105" spans="1:42" ht="27" thickBot="1">
      <c r="A105" s="1235">
        <v>34</v>
      </c>
      <c r="B105" s="1139" t="s">
        <v>317</v>
      </c>
      <c r="C105" s="1138"/>
      <c r="D105" s="1268">
        <f t="shared" si="41"/>
        <v>72263841</v>
      </c>
      <c r="E105" s="1268">
        <f>E104+E97</f>
        <v>0</v>
      </c>
      <c r="F105" s="1268">
        <f>F104+F97</f>
        <v>21787065</v>
      </c>
      <c r="G105" s="1268">
        <f>G104+G97</f>
        <v>0</v>
      </c>
      <c r="H105" s="1268">
        <f>H104+H97</f>
        <v>441390</v>
      </c>
      <c r="I105" s="1269">
        <f>I104+I97</f>
        <v>44351950</v>
      </c>
      <c r="J105" s="1270">
        <f t="shared" si="42"/>
        <v>44793340</v>
      </c>
      <c r="K105" s="1268">
        <f>K104+K97</f>
        <v>308679</v>
      </c>
      <c r="L105" s="1268">
        <f>L104+L97</f>
        <v>82455</v>
      </c>
      <c r="M105" s="1269">
        <f>M104+M97</f>
        <v>5292302</v>
      </c>
      <c r="N105" s="1271">
        <f t="shared" si="44"/>
        <v>5683436</v>
      </c>
      <c r="AG105" s="2983"/>
      <c r="AH105" s="2983"/>
      <c r="AI105" s="2977"/>
      <c r="AJ105" s="2977"/>
      <c r="AK105" s="2977">
        <f>I105-'[1]Sheet 7 BS - 2019 &amp; 2018 -LI'!H57</f>
        <v>10446395.349240005</v>
      </c>
      <c r="AL105" s="2977">
        <f>J105-'[1]Sheet 7 BS - 2019 &amp; 2018 -LI'!I57</f>
        <v>10589025.766139999</v>
      </c>
      <c r="AM105" s="2977">
        <f>K105-'[1]Sheet 7 BS - 2019 &amp; 2018 -LI'!J57</f>
        <v>21669</v>
      </c>
      <c r="AN105" s="2977">
        <f>L105-'[1]Sheet 7 BS - 2019 &amp; 2018 -LI'!K57</f>
        <v>-11951</v>
      </c>
      <c r="AO105" s="2977">
        <f>M105-'[1]Sheet 7 BS - 2019 &amp; 2018 -LI'!L57</f>
        <v>357524</v>
      </c>
      <c r="AP105" s="2977">
        <f>N105-'[1]Sheet 7 BS - 2019 &amp; 2018 -LI'!M57</f>
        <v>367242</v>
      </c>
    </row>
    <row r="106" spans="1:42">
      <c r="A106"/>
      <c r="B106"/>
      <c r="C106"/>
      <c r="D106"/>
      <c r="E106"/>
      <c r="F106"/>
      <c r="G106"/>
      <c r="H106"/>
      <c r="I106"/>
      <c r="J106"/>
      <c r="K106"/>
      <c r="L106"/>
      <c r="M106"/>
      <c r="N106"/>
    </row>
    <row r="107" spans="1:42">
      <c r="A107"/>
      <c r="B107"/>
      <c r="C107"/>
      <c r="D107"/>
      <c r="E107"/>
      <c r="F107"/>
      <c r="G107"/>
      <c r="H107"/>
      <c r="I107"/>
      <c r="J107"/>
      <c r="K107"/>
      <c r="L107"/>
      <c r="M107"/>
      <c r="N107"/>
    </row>
    <row r="108" spans="1:42">
      <c r="A108"/>
      <c r="B108"/>
      <c r="C108"/>
      <c r="D108"/>
      <c r="E108"/>
      <c r="F108"/>
      <c r="G108"/>
      <c r="H108"/>
      <c r="I108"/>
      <c r="J108"/>
      <c r="K108"/>
      <c r="L108"/>
      <c r="M108"/>
      <c r="N108"/>
    </row>
    <row r="109" spans="1:42" ht="15" thickBot="1">
      <c r="A109"/>
      <c r="B109"/>
      <c r="C109"/>
      <c r="D109"/>
      <c r="E109"/>
      <c r="F109"/>
      <c r="G109"/>
      <c r="H109"/>
      <c r="I109"/>
      <c r="J109"/>
      <c r="K109"/>
      <c r="L109"/>
      <c r="M109"/>
      <c r="N109"/>
    </row>
    <row r="110" spans="1:42" ht="15" customHeight="1" thickBot="1">
      <c r="A110" s="1279" t="s">
        <v>180</v>
      </c>
      <c r="B110" s="3321" t="s">
        <v>92</v>
      </c>
      <c r="C110" s="3322"/>
      <c r="D110" s="3323"/>
      <c r="E110" s="666"/>
      <c r="F110" s="666"/>
      <c r="G110" s="666"/>
      <c r="H110" s="666"/>
      <c r="I110" s="666"/>
      <c r="J110" s="666"/>
      <c r="K110" s="666"/>
      <c r="L110" s="666"/>
      <c r="M110" s="3292"/>
      <c r="N110" s="3292" t="s">
        <v>257</v>
      </c>
    </row>
    <row r="111" spans="1:42" ht="13.5" customHeight="1" thickBot="1">
      <c r="A111" s="3311" t="s">
        <v>258</v>
      </c>
      <c r="B111" s="1212"/>
      <c r="C111" s="3280" t="s">
        <v>259</v>
      </c>
      <c r="D111" s="3314" t="s">
        <v>260</v>
      </c>
      <c r="E111" s="3314" t="s">
        <v>261</v>
      </c>
      <c r="F111" s="3314" t="s">
        <v>262</v>
      </c>
      <c r="G111" s="3324" t="s">
        <v>263</v>
      </c>
      <c r="H111" s="3325"/>
      <c r="I111" s="3325"/>
      <c r="J111" s="3325"/>
      <c r="K111" s="3325"/>
      <c r="L111" s="3325"/>
      <c r="M111" s="3325"/>
      <c r="N111" s="3326"/>
    </row>
    <row r="112" spans="1:42" ht="13.5" customHeight="1" thickBot="1">
      <c r="A112" s="3312"/>
      <c r="B112" s="1213"/>
      <c r="C112" s="3281"/>
      <c r="D112" s="3315"/>
      <c r="E112" s="3315"/>
      <c r="F112" s="3315"/>
      <c r="G112" s="3289" t="s">
        <v>264</v>
      </c>
      <c r="H112" s="3290"/>
      <c r="I112" s="3290"/>
      <c r="J112" s="3291"/>
      <c r="K112" s="3318" t="s">
        <v>265</v>
      </c>
      <c r="L112" s="3319"/>
      <c r="M112" s="3319"/>
      <c r="N112" s="3320"/>
    </row>
    <row r="113" spans="1:14" ht="40.15" thickBot="1">
      <c r="A113" s="3312"/>
      <c r="B113" s="1214"/>
      <c r="C113" s="3281"/>
      <c r="D113" s="3316"/>
      <c r="E113" s="3316"/>
      <c r="F113" s="3316"/>
      <c r="G113" s="1125" t="s">
        <v>267</v>
      </c>
      <c r="H113" s="1125" t="s">
        <v>268</v>
      </c>
      <c r="I113" s="1125" t="s">
        <v>269</v>
      </c>
      <c r="J113" s="1125" t="s">
        <v>160</v>
      </c>
      <c r="K113" s="1126" t="s">
        <v>270</v>
      </c>
      <c r="L113" s="1126" t="s">
        <v>271</v>
      </c>
      <c r="M113" s="1126" t="s">
        <v>272</v>
      </c>
      <c r="N113" s="2969" t="s">
        <v>160</v>
      </c>
    </row>
    <row r="114" spans="1:14" ht="15" thickBot="1">
      <c r="A114" s="3312"/>
      <c r="B114" s="1213"/>
      <c r="C114" s="3281"/>
      <c r="D114" s="1215">
        <v>1</v>
      </c>
      <c r="E114" s="1216">
        <v>2</v>
      </c>
      <c r="F114" s="1216">
        <v>3</v>
      </c>
      <c r="G114" s="1217">
        <v>4</v>
      </c>
      <c r="H114" s="1216">
        <v>5</v>
      </c>
      <c r="I114" s="1218">
        <v>6</v>
      </c>
      <c r="J114" s="2971">
        <v>7</v>
      </c>
      <c r="K114" s="1217">
        <v>8</v>
      </c>
      <c r="L114" s="1216">
        <v>9</v>
      </c>
      <c r="M114" s="1238">
        <v>10</v>
      </c>
      <c r="N114" s="1215">
        <v>11</v>
      </c>
    </row>
    <row r="115" spans="1:14" ht="15" thickBot="1">
      <c r="A115" s="3313"/>
      <c r="B115" s="1219"/>
      <c r="C115" s="3282"/>
      <c r="D115" s="1220"/>
      <c r="E115" s="1220"/>
      <c r="F115" s="1220"/>
      <c r="G115" s="1221"/>
      <c r="H115" s="1220"/>
      <c r="I115" s="1222"/>
      <c r="J115" s="1222" t="s">
        <v>273</v>
      </c>
      <c r="K115" s="1221"/>
      <c r="L115" s="1220"/>
      <c r="M115" s="1667"/>
      <c r="N115" s="1220" t="s">
        <v>274</v>
      </c>
    </row>
    <row r="116" spans="1:14">
      <c r="A116" s="1227"/>
      <c r="B116" s="1225" t="s">
        <v>275</v>
      </c>
      <c r="C116" s="1133"/>
      <c r="D116" s="1228"/>
      <c r="E116" s="673"/>
      <c r="F116" s="673"/>
      <c r="G116" s="674"/>
      <c r="H116" s="675"/>
      <c r="I116" s="922"/>
      <c r="J116" s="1243"/>
      <c r="K116" s="914"/>
      <c r="L116" s="912"/>
      <c r="M116" s="941"/>
      <c r="N116" s="1234"/>
    </row>
    <row r="117" spans="1:14">
      <c r="A117" s="1944">
        <v>1</v>
      </c>
      <c r="B117" s="1945" t="s">
        <v>276</v>
      </c>
      <c r="C117" s="1830"/>
      <c r="D117" s="1946">
        <f t="shared" ref="D117:D157" si="45">+E117+F117+J117+N117</f>
        <v>0</v>
      </c>
      <c r="E117" s="1973"/>
      <c r="F117" s="1973"/>
      <c r="G117" s="1970"/>
      <c r="H117" s="1966"/>
      <c r="I117" s="1992"/>
      <c r="J117" s="1995">
        <f t="shared" ref="J117:J157" si="46">G117+H117+I117</f>
        <v>0</v>
      </c>
      <c r="K117" s="1947"/>
      <c r="L117" s="1968"/>
      <c r="M117" s="1996"/>
      <c r="N117" s="1948">
        <f t="shared" ref="N117:N157" si="47">K117+L117+M117</f>
        <v>0</v>
      </c>
    </row>
    <row r="118" spans="1:14">
      <c r="A118" s="1944">
        <v>2</v>
      </c>
      <c r="B118" s="1945" t="s">
        <v>277</v>
      </c>
      <c r="C118" s="1830"/>
      <c r="D118" s="1946">
        <f t="shared" si="45"/>
        <v>18021.75</v>
      </c>
      <c r="E118" s="1973"/>
      <c r="F118" s="1973">
        <v>18021.75</v>
      </c>
      <c r="G118" s="1970"/>
      <c r="H118" s="1966"/>
      <c r="I118" s="1992"/>
      <c r="J118" s="1995">
        <f t="shared" si="46"/>
        <v>0</v>
      </c>
      <c r="K118" s="1947"/>
      <c r="L118" s="1968"/>
      <c r="M118" s="1996"/>
      <c r="N118" s="1948">
        <f t="shared" si="47"/>
        <v>0</v>
      </c>
    </row>
    <row r="119" spans="1:14">
      <c r="A119" s="1944">
        <v>3</v>
      </c>
      <c r="B119" s="1945" t="s">
        <v>278</v>
      </c>
      <c r="C119" s="1830"/>
      <c r="D119" s="1946">
        <f t="shared" si="45"/>
        <v>0</v>
      </c>
      <c r="E119" s="1973"/>
      <c r="F119" s="1973"/>
      <c r="G119" s="1970"/>
      <c r="H119" s="1966"/>
      <c r="I119" s="1992"/>
      <c r="J119" s="1995">
        <f t="shared" si="46"/>
        <v>0</v>
      </c>
      <c r="K119" s="1947"/>
      <c r="L119" s="1968"/>
      <c r="M119" s="1996"/>
      <c r="N119" s="1948">
        <f t="shared" si="47"/>
        <v>0</v>
      </c>
    </row>
    <row r="120" spans="1:14">
      <c r="A120" s="1944">
        <v>4</v>
      </c>
      <c r="B120" s="1945" t="s">
        <v>279</v>
      </c>
      <c r="C120" s="1830"/>
      <c r="D120" s="1946">
        <f t="shared" si="45"/>
        <v>34374.238440000001</v>
      </c>
      <c r="E120" s="1973"/>
      <c r="F120" s="1973">
        <v>34374.238440000001</v>
      </c>
      <c r="G120" s="1970"/>
      <c r="H120" s="1966"/>
      <c r="I120" s="1992"/>
      <c r="J120" s="1995">
        <f t="shared" si="46"/>
        <v>0</v>
      </c>
      <c r="K120" s="1947"/>
      <c r="L120" s="1968"/>
      <c r="M120" s="1996"/>
      <c r="N120" s="1948">
        <f t="shared" si="47"/>
        <v>0</v>
      </c>
    </row>
    <row r="121" spans="1:14">
      <c r="A121" s="1944">
        <v>5</v>
      </c>
      <c r="B121" s="1945" t="s">
        <v>280</v>
      </c>
      <c r="C121" s="1836">
        <v>5</v>
      </c>
      <c r="D121" s="1946">
        <f t="shared" si="45"/>
        <v>56548.54</v>
      </c>
      <c r="E121" s="1973"/>
      <c r="F121" s="1973">
        <v>56548.54</v>
      </c>
      <c r="G121" s="1970"/>
      <c r="H121" s="1966"/>
      <c r="I121" s="1992"/>
      <c r="J121" s="1995">
        <f t="shared" si="46"/>
        <v>0</v>
      </c>
      <c r="K121" s="1947"/>
      <c r="L121" s="1968"/>
      <c r="M121" s="1996"/>
      <c r="N121" s="1948">
        <f t="shared" si="47"/>
        <v>0</v>
      </c>
    </row>
    <row r="122" spans="1:14">
      <c r="A122" s="1944">
        <v>6</v>
      </c>
      <c r="B122" s="1945" t="s">
        <v>281</v>
      </c>
      <c r="C122" s="1830">
        <v>6</v>
      </c>
      <c r="D122" s="1946">
        <f t="shared" si="45"/>
        <v>0</v>
      </c>
      <c r="E122" s="1973"/>
      <c r="F122" s="1973"/>
      <c r="G122" s="1970"/>
      <c r="H122" s="1966"/>
      <c r="I122" s="1992"/>
      <c r="J122" s="1995">
        <f t="shared" si="46"/>
        <v>0</v>
      </c>
      <c r="K122" s="1947"/>
      <c r="L122" s="1968"/>
      <c r="M122" s="1996"/>
      <c r="N122" s="1948">
        <f t="shared" si="47"/>
        <v>0</v>
      </c>
    </row>
    <row r="123" spans="1:14">
      <c r="A123" s="1944">
        <v>7</v>
      </c>
      <c r="B123" s="1945" t="s">
        <v>282</v>
      </c>
      <c r="C123" s="1836">
        <v>7</v>
      </c>
      <c r="D123" s="1946">
        <f t="shared" si="45"/>
        <v>0</v>
      </c>
      <c r="E123" s="1973">
        <v>0</v>
      </c>
      <c r="F123" s="1947">
        <f>F124+F125</f>
        <v>0</v>
      </c>
      <c r="G123" s="1947">
        <f>G124+G125</f>
        <v>0</v>
      </c>
      <c r="H123" s="1968">
        <f>H124+H125</f>
        <v>0</v>
      </c>
      <c r="I123" s="1997">
        <f>I124+I125</f>
        <v>0</v>
      </c>
      <c r="J123" s="1995">
        <f t="shared" si="46"/>
        <v>0</v>
      </c>
      <c r="K123" s="1947">
        <f>K124+K125</f>
        <v>0</v>
      </c>
      <c r="L123" s="1968">
        <f>L124+L125</f>
        <v>0</v>
      </c>
      <c r="M123" s="1996">
        <f>M124+M125</f>
        <v>0</v>
      </c>
      <c r="N123" s="1948">
        <f t="shared" si="47"/>
        <v>0</v>
      </c>
    </row>
    <row r="124" spans="1:14">
      <c r="A124" s="1950"/>
      <c r="B124" s="1837" t="s">
        <v>283</v>
      </c>
      <c r="C124" s="1836"/>
      <c r="D124" s="1946">
        <f t="shared" si="45"/>
        <v>0</v>
      </c>
      <c r="E124" s="1973"/>
      <c r="F124" s="1947"/>
      <c r="G124" s="1947"/>
      <c r="H124" s="1968"/>
      <c r="I124" s="1997"/>
      <c r="J124" s="1995">
        <f t="shared" si="46"/>
        <v>0</v>
      </c>
      <c r="K124" s="1947"/>
      <c r="L124" s="1968"/>
      <c r="M124" s="1996"/>
      <c r="N124" s="1948">
        <f t="shared" si="47"/>
        <v>0</v>
      </c>
    </row>
    <row r="125" spans="1:14">
      <c r="A125" s="1950"/>
      <c r="B125" s="1837" t="s">
        <v>284</v>
      </c>
      <c r="C125" s="1836"/>
      <c r="D125" s="1946">
        <f t="shared" si="45"/>
        <v>0</v>
      </c>
      <c r="E125" s="1973"/>
      <c r="F125" s="1947"/>
      <c r="G125" s="1947"/>
      <c r="H125" s="1968"/>
      <c r="I125" s="1997"/>
      <c r="J125" s="1995">
        <f t="shared" si="46"/>
        <v>0</v>
      </c>
      <c r="K125" s="1947"/>
      <c r="L125" s="1968"/>
      <c r="M125" s="1996"/>
      <c r="N125" s="1948">
        <f t="shared" si="47"/>
        <v>0</v>
      </c>
    </row>
    <row r="126" spans="1:14">
      <c r="A126" s="1944">
        <v>8</v>
      </c>
      <c r="B126" s="1945" t="s">
        <v>285</v>
      </c>
      <c r="C126" s="1830">
        <v>8</v>
      </c>
      <c r="D126" s="1946">
        <f t="shared" si="45"/>
        <v>0</v>
      </c>
      <c r="E126" s="1973">
        <v>0</v>
      </c>
      <c r="F126" s="1947">
        <f>F127+F128</f>
        <v>0</v>
      </c>
      <c r="G126" s="1947">
        <f>G127+G128</f>
        <v>0</v>
      </c>
      <c r="H126" s="1968">
        <f>H127+H128</f>
        <v>0</v>
      </c>
      <c r="I126" s="1997">
        <f>I127+I128</f>
        <v>0</v>
      </c>
      <c r="J126" s="1995">
        <f t="shared" si="46"/>
        <v>0</v>
      </c>
      <c r="K126" s="1947">
        <f>K127+K128</f>
        <v>0</v>
      </c>
      <c r="L126" s="1968">
        <f>L127+L128</f>
        <v>0</v>
      </c>
      <c r="M126" s="1996">
        <f>M127+M128</f>
        <v>0</v>
      </c>
      <c r="N126" s="1948">
        <f t="shared" si="47"/>
        <v>0</v>
      </c>
    </row>
    <row r="127" spans="1:14">
      <c r="A127" s="1944"/>
      <c r="B127" s="1837" t="s">
        <v>286</v>
      </c>
      <c r="C127" s="1830"/>
      <c r="D127" s="1946">
        <f t="shared" si="45"/>
        <v>0</v>
      </c>
      <c r="E127" s="1973"/>
      <c r="F127" s="1973"/>
      <c r="G127" s="1970"/>
      <c r="H127" s="1966"/>
      <c r="I127" s="1992"/>
      <c r="J127" s="1995">
        <f t="shared" si="46"/>
        <v>0</v>
      </c>
      <c r="K127" s="1947"/>
      <c r="L127" s="1968"/>
      <c r="M127" s="1996"/>
      <c r="N127" s="1948">
        <f t="shared" si="47"/>
        <v>0</v>
      </c>
    </row>
    <row r="128" spans="1:14">
      <c r="A128" s="1944"/>
      <c r="B128" s="1837" t="s">
        <v>287</v>
      </c>
      <c r="C128" s="1830"/>
      <c r="D128" s="1946">
        <f t="shared" si="45"/>
        <v>0</v>
      </c>
      <c r="E128" s="1947"/>
      <c r="F128" s="1947"/>
      <c r="G128" s="1947"/>
      <c r="H128" s="1968"/>
      <c r="I128" s="1997"/>
      <c r="J128" s="1995">
        <f t="shared" si="46"/>
        <v>0</v>
      </c>
      <c r="K128" s="1947"/>
      <c r="L128" s="1968"/>
      <c r="M128" s="1996"/>
      <c r="N128" s="1948">
        <f t="shared" si="47"/>
        <v>0</v>
      </c>
    </row>
    <row r="129" spans="1:14" ht="26.45">
      <c r="A129" s="1951">
        <v>9</v>
      </c>
      <c r="B129" s="1952" t="s">
        <v>288</v>
      </c>
      <c r="C129" s="1840"/>
      <c r="D129" s="1953">
        <f t="shared" si="45"/>
        <v>5625661.051121315</v>
      </c>
      <c r="E129" s="1954">
        <f>SUM(E130:E133)</f>
        <v>0</v>
      </c>
      <c r="F129" s="1954">
        <f>SUM(F130:F133)</f>
        <v>0</v>
      </c>
      <c r="G129" s="1954">
        <f>SUM(G130:G133)</f>
        <v>0</v>
      </c>
      <c r="H129" s="1976">
        <f>SUM(H130:H133)</f>
        <v>192973.37647424554</v>
      </c>
      <c r="I129" s="1998">
        <f>SUM(I130:I133)</f>
        <v>4907617.4972370695</v>
      </c>
      <c r="J129" s="1999">
        <f t="shared" si="46"/>
        <v>5100590.873711315</v>
      </c>
      <c r="K129" s="1954">
        <f>SUM(K130:K133)</f>
        <v>0</v>
      </c>
      <c r="L129" s="1976">
        <f>SUM(L130:L133)</f>
        <v>0</v>
      </c>
      <c r="M129" s="1977">
        <f>SUM(M130:M133)</f>
        <v>525070.17740999989</v>
      </c>
      <c r="N129" s="1955">
        <f t="shared" si="47"/>
        <v>525070.17740999989</v>
      </c>
    </row>
    <row r="130" spans="1:14">
      <c r="A130" s="1950">
        <v>10</v>
      </c>
      <c r="B130" s="1846" t="s">
        <v>289</v>
      </c>
      <c r="C130" s="1830">
        <v>9</v>
      </c>
      <c r="D130" s="1946">
        <f t="shared" si="45"/>
        <v>0</v>
      </c>
      <c r="E130" s="1973"/>
      <c r="F130" s="1973"/>
      <c r="G130" s="1970"/>
      <c r="H130" s="1966"/>
      <c r="I130" s="1992"/>
      <c r="J130" s="2000">
        <f t="shared" si="46"/>
        <v>0</v>
      </c>
      <c r="K130" s="1970"/>
      <c r="L130" s="1985"/>
      <c r="M130" s="1965"/>
      <c r="N130" s="1948">
        <f t="shared" si="47"/>
        <v>0</v>
      </c>
    </row>
    <row r="131" spans="1:14">
      <c r="A131" s="1950">
        <v>11</v>
      </c>
      <c r="B131" s="1846" t="s">
        <v>290</v>
      </c>
      <c r="C131" s="1830">
        <v>10</v>
      </c>
      <c r="D131" s="1946">
        <f t="shared" si="45"/>
        <v>347296.59234574554</v>
      </c>
      <c r="E131" s="1973"/>
      <c r="F131" s="1973"/>
      <c r="G131" s="1970"/>
      <c r="H131" s="1971">
        <v>170366.78589574553</v>
      </c>
      <c r="I131" s="2001">
        <v>0</v>
      </c>
      <c r="J131" s="2000">
        <f t="shared" si="46"/>
        <v>170366.78589574553</v>
      </c>
      <c r="K131" s="1970"/>
      <c r="L131" s="1971"/>
      <c r="M131" s="1965">
        <v>176929.80644999997</v>
      </c>
      <c r="N131" s="1948">
        <f t="shared" si="47"/>
        <v>176929.80644999997</v>
      </c>
    </row>
    <row r="132" spans="1:14">
      <c r="A132" s="1950">
        <v>12</v>
      </c>
      <c r="B132" s="1846" t="s">
        <v>291</v>
      </c>
      <c r="C132" s="1830">
        <v>11</v>
      </c>
      <c r="D132" s="1946">
        <f t="shared" si="45"/>
        <v>5278364.4587755697</v>
      </c>
      <c r="E132" s="1973"/>
      <c r="F132" s="1973"/>
      <c r="G132" s="1970"/>
      <c r="H132" s="1971">
        <v>22606.5905785</v>
      </c>
      <c r="I132" s="2001">
        <v>4907617.4972370695</v>
      </c>
      <c r="J132" s="2000">
        <f t="shared" si="46"/>
        <v>4930224.0878155697</v>
      </c>
      <c r="K132" s="1970"/>
      <c r="L132" s="1971"/>
      <c r="M132" s="1965">
        <v>348140.37095999991</v>
      </c>
      <c r="N132" s="1948">
        <f t="shared" si="47"/>
        <v>348140.37095999991</v>
      </c>
    </row>
    <row r="133" spans="1:14" ht="26.45">
      <c r="A133" s="1950">
        <v>13</v>
      </c>
      <c r="B133" s="1846" t="s">
        <v>292</v>
      </c>
      <c r="C133" s="1830">
        <v>12</v>
      </c>
      <c r="D133" s="1946">
        <f t="shared" si="45"/>
        <v>0</v>
      </c>
      <c r="E133" s="1973"/>
      <c r="F133" s="1973"/>
      <c r="G133" s="1970"/>
      <c r="H133" s="1971"/>
      <c r="I133" s="2001"/>
      <c r="J133" s="2000">
        <f t="shared" si="46"/>
        <v>0</v>
      </c>
      <c r="K133" s="1970"/>
      <c r="L133" s="1971"/>
      <c r="M133" s="1965"/>
      <c r="N133" s="1948">
        <f t="shared" si="47"/>
        <v>0</v>
      </c>
    </row>
    <row r="134" spans="1:14">
      <c r="A134" s="1950">
        <v>14</v>
      </c>
      <c r="B134" s="1829" t="s">
        <v>293</v>
      </c>
      <c r="C134" s="1830">
        <v>13</v>
      </c>
      <c r="D134" s="1946">
        <f t="shared" si="45"/>
        <v>0</v>
      </c>
      <c r="E134" s="1973"/>
      <c r="F134" s="1973"/>
      <c r="G134" s="1970"/>
      <c r="H134" s="1966"/>
      <c r="I134" s="1992"/>
      <c r="J134" s="2000">
        <f t="shared" si="46"/>
        <v>0</v>
      </c>
      <c r="K134" s="1970"/>
      <c r="L134" s="1985"/>
      <c r="M134" s="1965"/>
      <c r="N134" s="1948">
        <f t="shared" si="47"/>
        <v>0</v>
      </c>
    </row>
    <row r="135" spans="1:14">
      <c r="A135" s="1950">
        <v>15</v>
      </c>
      <c r="B135" s="1829" t="s">
        <v>294</v>
      </c>
      <c r="C135" s="1836">
        <v>14</v>
      </c>
      <c r="D135" s="1946">
        <f t="shared" si="45"/>
        <v>111550.62</v>
      </c>
      <c r="E135" s="1973"/>
      <c r="F135" s="1973"/>
      <c r="G135" s="1970"/>
      <c r="H135" s="1966">
        <v>46553.399000000005</v>
      </c>
      <c r="I135" s="1992">
        <v>40962.305899999992</v>
      </c>
      <c r="J135" s="2000">
        <f t="shared" si="46"/>
        <v>87515.704899999997</v>
      </c>
      <c r="K135" s="1970"/>
      <c r="L135" s="1985"/>
      <c r="M135" s="1965">
        <v>24034.915100000002</v>
      </c>
      <c r="N135" s="1948">
        <f t="shared" si="47"/>
        <v>24034.915100000002</v>
      </c>
    </row>
    <row r="136" spans="1:14">
      <c r="A136" s="1950">
        <v>16</v>
      </c>
      <c r="B136" s="1829" t="s">
        <v>295</v>
      </c>
      <c r="C136" s="1830">
        <v>15</v>
      </c>
      <c r="D136" s="1946">
        <f t="shared" si="45"/>
        <v>52517.21</v>
      </c>
      <c r="E136" s="1973"/>
      <c r="F136" s="1973"/>
      <c r="G136" s="1970"/>
      <c r="H136" s="1966">
        <v>1214.32447</v>
      </c>
      <c r="I136" s="1992">
        <v>51084.670530000003</v>
      </c>
      <c r="J136" s="2000">
        <f t="shared" si="46"/>
        <v>52298.995000000003</v>
      </c>
      <c r="K136" s="1970"/>
      <c r="L136" s="1985"/>
      <c r="M136" s="1965">
        <v>218.215</v>
      </c>
      <c r="N136" s="1948">
        <f t="shared" si="47"/>
        <v>218.215</v>
      </c>
    </row>
    <row r="137" spans="1:14">
      <c r="A137" s="1950">
        <v>17</v>
      </c>
      <c r="B137" s="1829" t="s">
        <v>296</v>
      </c>
      <c r="C137" s="1836">
        <v>16</v>
      </c>
      <c r="D137" s="1946">
        <f t="shared" si="45"/>
        <v>519951.64</v>
      </c>
      <c r="E137" s="1973"/>
      <c r="F137" s="1973">
        <v>519951.64</v>
      </c>
      <c r="G137" s="1970"/>
      <c r="H137" s="1971">
        <v>0</v>
      </c>
      <c r="I137" s="2001"/>
      <c r="J137" s="2000">
        <f t="shared" si="46"/>
        <v>0</v>
      </c>
      <c r="K137" s="1970"/>
      <c r="L137" s="1971"/>
      <c r="M137" s="1965"/>
      <c r="N137" s="1948">
        <f t="shared" si="47"/>
        <v>0</v>
      </c>
    </row>
    <row r="138" spans="1:14">
      <c r="A138" s="1950">
        <v>18</v>
      </c>
      <c r="B138" s="1829" t="s">
        <v>297</v>
      </c>
      <c r="C138" s="1830"/>
      <c r="D138" s="1946">
        <f t="shared" si="45"/>
        <v>1625736.51</v>
      </c>
      <c r="E138" s="1973"/>
      <c r="F138" s="1973"/>
      <c r="G138" s="1970"/>
      <c r="H138" s="1966">
        <v>0</v>
      </c>
      <c r="I138" s="1992">
        <v>1625736.51</v>
      </c>
      <c r="J138" s="2000">
        <f t="shared" si="46"/>
        <v>1625736.51</v>
      </c>
      <c r="K138" s="1970"/>
      <c r="L138" s="1985"/>
      <c r="M138" s="1965"/>
      <c r="N138" s="1948">
        <f t="shared" si="47"/>
        <v>0</v>
      </c>
    </row>
    <row r="139" spans="1:14" ht="15" thickBot="1">
      <c r="A139" s="1957">
        <v>19</v>
      </c>
      <c r="B139" s="1848" t="s">
        <v>298</v>
      </c>
      <c r="C139" s="1847"/>
      <c r="D139" s="3120">
        <f t="shared" si="45"/>
        <v>146242.41032849974</v>
      </c>
      <c r="E139" s="3124"/>
      <c r="F139" s="3124">
        <v>-517759.29</v>
      </c>
      <c r="G139" s="3125"/>
      <c r="H139" s="2002">
        <v>-5336.1882100673101</v>
      </c>
      <c r="I139" s="2003">
        <v>668165.68853856705</v>
      </c>
      <c r="J139" s="2004">
        <f t="shared" si="46"/>
        <v>662829.50032849971</v>
      </c>
      <c r="K139" s="3125"/>
      <c r="L139" s="2005"/>
      <c r="M139" s="1988">
        <v>1172.2</v>
      </c>
      <c r="N139" s="3122">
        <f t="shared" si="47"/>
        <v>1172.2</v>
      </c>
    </row>
    <row r="140" spans="1:14" ht="27" thickBot="1">
      <c r="A140" s="1235">
        <v>20</v>
      </c>
      <c r="B140" s="1139" t="s">
        <v>299</v>
      </c>
      <c r="C140" s="1138"/>
      <c r="D140" s="1236">
        <f t="shared" si="45"/>
        <v>8190603.969889815</v>
      </c>
      <c r="E140" s="1236">
        <f>SUM(E117:E123)+E126+E129+SUM(E134:E139)</f>
        <v>0</v>
      </c>
      <c r="F140" s="1236">
        <f>SUM(F117:F123)+F126+F129+SUM(F134:F139)</f>
        <v>111136.87844000003</v>
      </c>
      <c r="G140" s="1236">
        <f>SUM(G117:G123)+G126+G129+SUM(G134:G139)</f>
        <v>0</v>
      </c>
      <c r="H140" s="1264">
        <f>SUM(H117:H123)+H126+H129+SUM(H134:H139)</f>
        <v>235404.91173417823</v>
      </c>
      <c r="I140" s="1275">
        <f>SUM(I117:I123)+I126+I129+SUM(I134:I139)</f>
        <v>7293566.6722056363</v>
      </c>
      <c r="J140" s="1276">
        <f t="shared" si="46"/>
        <v>7528971.5839398149</v>
      </c>
      <c r="K140" s="1236">
        <f>SUM(K117:K123)+K126+K129+SUM(K134:K139)</f>
        <v>0</v>
      </c>
      <c r="L140" s="1264">
        <f>SUM(L117:L123)+L126+L129+SUM(L134:L139)</f>
        <v>0</v>
      </c>
      <c r="M140" s="1265">
        <f>SUM(M117:M123)+M126+M129+SUM(M134:M139)</f>
        <v>550495.50750999991</v>
      </c>
      <c r="N140" s="1236">
        <f t="shared" si="47"/>
        <v>550495.50750999991</v>
      </c>
    </row>
    <row r="141" spans="1:14">
      <c r="A141" s="1227"/>
      <c r="B141" s="1225" t="s">
        <v>300</v>
      </c>
      <c r="C141" s="1133"/>
      <c r="D141" s="1230">
        <f t="shared" si="45"/>
        <v>0</v>
      </c>
      <c r="E141" s="677"/>
      <c r="F141" s="677"/>
      <c r="G141" s="674"/>
      <c r="H141" s="675"/>
      <c r="I141" s="922"/>
      <c r="J141" s="1273">
        <f t="shared" si="46"/>
        <v>0</v>
      </c>
      <c r="K141" s="674"/>
      <c r="L141" s="679"/>
      <c r="M141" s="680"/>
      <c r="N141" s="1233">
        <f t="shared" si="47"/>
        <v>0</v>
      </c>
    </row>
    <row r="142" spans="1:14">
      <c r="A142" s="1950"/>
      <c r="B142" s="1959" t="s">
        <v>301</v>
      </c>
      <c r="C142" s="1830"/>
      <c r="D142" s="1946">
        <f t="shared" si="45"/>
        <v>0</v>
      </c>
      <c r="E142" s="1973"/>
      <c r="F142" s="1973"/>
      <c r="G142" s="1970"/>
      <c r="H142" s="1966"/>
      <c r="I142" s="1992"/>
      <c r="J142" s="2000">
        <f t="shared" si="46"/>
        <v>0</v>
      </c>
      <c r="K142" s="1970"/>
      <c r="L142" s="1985"/>
      <c r="M142" s="1965"/>
      <c r="N142" s="1948">
        <f t="shared" si="47"/>
        <v>0</v>
      </c>
    </row>
    <row r="143" spans="1:14">
      <c r="A143" s="1950">
        <v>21</v>
      </c>
      <c r="B143" s="1829" t="s">
        <v>302</v>
      </c>
      <c r="C143" s="1836">
        <v>17</v>
      </c>
      <c r="D143" s="1946">
        <f t="shared" si="45"/>
        <v>6310253.7599999988</v>
      </c>
      <c r="E143" s="1973"/>
      <c r="F143" s="1973"/>
      <c r="G143" s="1970"/>
      <c r="H143" s="1966">
        <v>177092.78115567833</v>
      </c>
      <c r="I143" s="1992">
        <v>5608090.7288443204</v>
      </c>
      <c r="J143" s="2000">
        <f t="shared" si="46"/>
        <v>5785183.5099999988</v>
      </c>
      <c r="K143" s="1970"/>
      <c r="L143" s="1985"/>
      <c r="M143" s="1965">
        <v>525070.25</v>
      </c>
      <c r="N143" s="1948">
        <f t="shared" si="47"/>
        <v>525070.25</v>
      </c>
    </row>
    <row r="144" spans="1:14">
      <c r="A144" s="1950">
        <v>22</v>
      </c>
      <c r="B144" s="1829" t="s">
        <v>303</v>
      </c>
      <c r="C144" s="1830"/>
      <c r="D144" s="1946">
        <f t="shared" si="45"/>
        <v>13803.18</v>
      </c>
      <c r="E144" s="1973"/>
      <c r="F144" s="1973">
        <v>13803.18</v>
      </c>
      <c r="G144" s="1970"/>
      <c r="H144" s="1966"/>
      <c r="I144" s="1992"/>
      <c r="J144" s="2000">
        <f t="shared" si="46"/>
        <v>0</v>
      </c>
      <c r="K144" s="1970"/>
      <c r="L144" s="1985"/>
      <c r="M144" s="1965"/>
      <c r="N144" s="1948">
        <f t="shared" si="47"/>
        <v>0</v>
      </c>
    </row>
    <row r="145" spans="1:14">
      <c r="A145" s="1950">
        <v>23</v>
      </c>
      <c r="B145" s="1829" t="s">
        <v>304</v>
      </c>
      <c r="C145" s="1830">
        <v>18</v>
      </c>
      <c r="D145" s="1946">
        <f t="shared" si="45"/>
        <v>164708.16999999998</v>
      </c>
      <c r="E145" s="1973"/>
      <c r="F145" s="1973"/>
      <c r="G145" s="1970"/>
      <c r="H145" s="1966">
        <v>47284.846509999901</v>
      </c>
      <c r="I145" s="1992">
        <v>106378.41549000009</v>
      </c>
      <c r="J145" s="2000">
        <f t="shared" si="46"/>
        <v>153663.26199999999</v>
      </c>
      <c r="K145" s="1970"/>
      <c r="L145" s="1985"/>
      <c r="M145" s="1965">
        <v>11044.907999999999</v>
      </c>
      <c r="N145" s="1948">
        <f t="shared" si="47"/>
        <v>11044.907999999999</v>
      </c>
    </row>
    <row r="146" spans="1:14">
      <c r="A146" s="1950">
        <v>24</v>
      </c>
      <c r="B146" s="1829" t="s">
        <v>305</v>
      </c>
      <c r="C146" s="1830"/>
      <c r="D146" s="1946">
        <f t="shared" si="45"/>
        <v>82795.070000000007</v>
      </c>
      <c r="E146" s="1973"/>
      <c r="F146" s="1973"/>
      <c r="G146" s="1970"/>
      <c r="H146" s="1966">
        <v>12472.42</v>
      </c>
      <c r="I146" s="1992">
        <v>70322.650000000009</v>
      </c>
      <c r="J146" s="2000">
        <f t="shared" si="46"/>
        <v>82795.070000000007</v>
      </c>
      <c r="K146" s="1970"/>
      <c r="L146" s="1985"/>
      <c r="M146" s="1965"/>
      <c r="N146" s="1948">
        <f t="shared" si="47"/>
        <v>0</v>
      </c>
    </row>
    <row r="147" spans="1:14">
      <c r="A147" s="1950">
        <v>25</v>
      </c>
      <c r="B147" s="1851" t="s">
        <v>306</v>
      </c>
      <c r="C147" s="1830"/>
      <c r="D147" s="1946">
        <f t="shared" si="45"/>
        <v>0</v>
      </c>
      <c r="E147" s="1973"/>
      <c r="F147" s="1973"/>
      <c r="G147" s="1970"/>
      <c r="H147" s="1966"/>
      <c r="I147" s="1992"/>
      <c r="J147" s="2000">
        <f t="shared" si="46"/>
        <v>0</v>
      </c>
      <c r="K147" s="1970"/>
      <c r="L147" s="1985"/>
      <c r="M147" s="1965"/>
      <c r="N147" s="1948">
        <f t="shared" si="47"/>
        <v>0</v>
      </c>
    </row>
    <row r="148" spans="1:14" ht="15" thickBot="1">
      <c r="A148" s="1957">
        <v>26</v>
      </c>
      <c r="B148" s="1848" t="s">
        <v>307</v>
      </c>
      <c r="C148" s="1852">
        <v>19</v>
      </c>
      <c r="D148" s="3120">
        <f t="shared" si="45"/>
        <v>291944.31676000002</v>
      </c>
      <c r="E148" s="3124"/>
      <c r="F148" s="3124">
        <v>277563.96476</v>
      </c>
      <c r="G148" s="3125"/>
      <c r="H148" s="945">
        <v>0</v>
      </c>
      <c r="I148" s="2006"/>
      <c r="J148" s="2004">
        <f t="shared" si="46"/>
        <v>0</v>
      </c>
      <c r="K148" s="3125"/>
      <c r="L148" s="945"/>
      <c r="M148" s="1988">
        <v>14380.351999999999</v>
      </c>
      <c r="N148" s="3122">
        <f t="shared" si="47"/>
        <v>14380.351999999999</v>
      </c>
    </row>
    <row r="149" spans="1:14" ht="27" thickBot="1">
      <c r="A149" s="1226">
        <v>27</v>
      </c>
      <c r="B149" s="1136" t="s">
        <v>308</v>
      </c>
      <c r="C149" s="1135"/>
      <c r="D149" s="1241">
        <f t="shared" si="45"/>
        <v>6863504.4967599986</v>
      </c>
      <c r="E149" s="934">
        <f>SUM(E143:E148)</f>
        <v>0</v>
      </c>
      <c r="F149" s="934">
        <f>SUM(F143:F148)</f>
        <v>291367.14476</v>
      </c>
      <c r="G149" s="934">
        <f>SUM(G143:G148)</f>
        <v>0</v>
      </c>
      <c r="H149" s="946">
        <f>SUM(H143:H148)</f>
        <v>236850.04766567823</v>
      </c>
      <c r="I149" s="942">
        <f>SUM(I143:I148)</f>
        <v>5784791.7943343213</v>
      </c>
      <c r="J149" s="1272">
        <f t="shared" si="46"/>
        <v>6021641.8419999992</v>
      </c>
      <c r="K149" s="916">
        <f>SUM(K143:K148)</f>
        <v>0</v>
      </c>
      <c r="L149" s="946">
        <f>SUM(L143:L148)</f>
        <v>0</v>
      </c>
      <c r="M149" s="938">
        <f>SUM(M143:M148)</f>
        <v>550495.51</v>
      </c>
      <c r="N149" s="1232">
        <f t="shared" si="47"/>
        <v>550495.51</v>
      </c>
    </row>
    <row r="150" spans="1:14">
      <c r="A150" s="1227"/>
      <c r="B150" s="1225" t="s">
        <v>309</v>
      </c>
      <c r="C150" s="1133">
        <v>20</v>
      </c>
      <c r="D150" s="1230">
        <f t="shared" si="45"/>
        <v>0</v>
      </c>
      <c r="E150" s="677"/>
      <c r="F150" s="677"/>
      <c r="G150" s="674"/>
      <c r="H150" s="675"/>
      <c r="I150" s="678"/>
      <c r="J150" s="1233">
        <f t="shared" si="46"/>
        <v>0</v>
      </c>
      <c r="K150" s="674"/>
      <c r="L150" s="679"/>
      <c r="M150" s="680"/>
      <c r="N150" s="1233">
        <f t="shared" si="47"/>
        <v>0</v>
      </c>
    </row>
    <row r="151" spans="1:14">
      <c r="A151" s="1950">
        <v>28</v>
      </c>
      <c r="B151" s="1945" t="s">
        <v>310</v>
      </c>
      <c r="C151" s="1836"/>
      <c r="D151" s="1946">
        <f t="shared" si="45"/>
        <v>739623.5</v>
      </c>
      <c r="E151" s="1973"/>
      <c r="F151" s="1973">
        <v>739623.5</v>
      </c>
      <c r="G151" s="1970"/>
      <c r="H151" s="1966"/>
      <c r="I151" s="1972"/>
      <c r="J151" s="1948">
        <f t="shared" si="46"/>
        <v>0</v>
      </c>
      <c r="K151" s="1970"/>
      <c r="L151" s="1985"/>
      <c r="M151" s="1965"/>
      <c r="N151" s="1948">
        <f t="shared" si="47"/>
        <v>0</v>
      </c>
    </row>
    <row r="152" spans="1:14">
      <c r="A152" s="1950">
        <v>29</v>
      </c>
      <c r="B152" s="1945" t="s">
        <v>311</v>
      </c>
      <c r="C152" s="1836"/>
      <c r="D152" s="1946">
        <f t="shared" si="45"/>
        <v>-87845.540119999991</v>
      </c>
      <c r="E152" s="1973"/>
      <c r="F152" s="1973">
        <v>27740.37988</v>
      </c>
      <c r="G152" s="1970"/>
      <c r="H152" s="1966">
        <v>-1445.1359315</v>
      </c>
      <c r="I152" s="1972">
        <v>-114140.7840685</v>
      </c>
      <c r="J152" s="1948">
        <f t="shared" si="46"/>
        <v>-115585.92</v>
      </c>
      <c r="K152" s="1970"/>
      <c r="L152" s="1985"/>
      <c r="M152" s="1965"/>
      <c r="N152" s="1948">
        <f t="shared" si="47"/>
        <v>0</v>
      </c>
    </row>
    <row r="153" spans="1:14">
      <c r="A153" s="1950">
        <v>30</v>
      </c>
      <c r="B153" s="1960" t="s">
        <v>312</v>
      </c>
      <c r="C153" s="1852"/>
      <c r="D153" s="1946">
        <f t="shared" si="45"/>
        <v>0</v>
      </c>
      <c r="E153" s="1973"/>
      <c r="F153" s="3124"/>
      <c r="G153" s="3125"/>
      <c r="H153" s="2002"/>
      <c r="I153" s="2007"/>
      <c r="J153" s="1948">
        <f t="shared" si="46"/>
        <v>0</v>
      </c>
      <c r="K153" s="1970"/>
      <c r="L153" s="2005"/>
      <c r="M153" s="1988"/>
      <c r="N153" s="1948">
        <f t="shared" si="47"/>
        <v>0</v>
      </c>
    </row>
    <row r="154" spans="1:14">
      <c r="A154" s="1950">
        <v>31</v>
      </c>
      <c r="B154" s="1960" t="s">
        <v>313</v>
      </c>
      <c r="C154" s="1852"/>
      <c r="D154" s="1946">
        <f t="shared" si="45"/>
        <v>0</v>
      </c>
      <c r="E154" s="1973"/>
      <c r="F154" s="3124"/>
      <c r="G154" s="3125"/>
      <c r="H154" s="2002"/>
      <c r="I154" s="2007"/>
      <c r="J154" s="1948">
        <f t="shared" si="46"/>
        <v>0</v>
      </c>
      <c r="K154" s="1970"/>
      <c r="L154" s="2005"/>
      <c r="M154" s="1988"/>
      <c r="N154" s="1948">
        <f t="shared" si="47"/>
        <v>0</v>
      </c>
    </row>
    <row r="155" spans="1:14" ht="15" thickBot="1">
      <c r="A155" s="1957">
        <v>32</v>
      </c>
      <c r="B155" s="1960" t="s">
        <v>314</v>
      </c>
      <c r="C155" s="1852"/>
      <c r="D155" s="1946">
        <f t="shared" si="45"/>
        <v>675321.16812253103</v>
      </c>
      <c r="E155" s="1973"/>
      <c r="F155" s="3124">
        <v>-947594.34187746898</v>
      </c>
      <c r="G155" s="3125"/>
      <c r="H155" s="2002">
        <v>0</v>
      </c>
      <c r="I155" s="2007">
        <v>1622915.51</v>
      </c>
      <c r="J155" s="1948">
        <f t="shared" si="46"/>
        <v>1622915.51</v>
      </c>
      <c r="K155" s="1970"/>
      <c r="L155" s="2002"/>
      <c r="M155" s="2007"/>
      <c r="N155" s="1948">
        <f t="shared" si="47"/>
        <v>0</v>
      </c>
    </row>
    <row r="156" spans="1:14" ht="15" thickBot="1">
      <c r="A156" s="1226">
        <v>33</v>
      </c>
      <c r="B156" s="1137" t="s">
        <v>315</v>
      </c>
      <c r="C156" s="1135"/>
      <c r="D156" s="1242">
        <f t="shared" si="45"/>
        <v>1327099.1280025311</v>
      </c>
      <c r="E156" s="939">
        <f>SUM(E151:E155)</f>
        <v>0</v>
      </c>
      <c r="F156" s="939">
        <f>SUM(F151:F155)</f>
        <v>-180230.46199746896</v>
      </c>
      <c r="G156" s="939">
        <f>SUM(G151:G155)</f>
        <v>0</v>
      </c>
      <c r="H156" s="947">
        <f>SUM(H151:H155)</f>
        <v>-1445.1359315</v>
      </c>
      <c r="I156" s="948">
        <f>SUM(I151:I155)</f>
        <v>1508774.7259315001</v>
      </c>
      <c r="J156" s="1249">
        <f t="shared" si="46"/>
        <v>1507329.59</v>
      </c>
      <c r="K156" s="939">
        <f>SUM(K151:K155)</f>
        <v>0</v>
      </c>
      <c r="L156" s="947">
        <f>SUM(L151:L155)</f>
        <v>0</v>
      </c>
      <c r="M156" s="948">
        <f>SUM(M151:M155)</f>
        <v>0</v>
      </c>
      <c r="N156" s="1249">
        <f t="shared" si="47"/>
        <v>0</v>
      </c>
    </row>
    <row r="157" spans="1:14" ht="27" thickBot="1">
      <c r="A157" s="1235">
        <v>34</v>
      </c>
      <c r="B157" s="1139" t="s">
        <v>317</v>
      </c>
      <c r="C157" s="1138"/>
      <c r="D157" s="1277">
        <f t="shared" si="45"/>
        <v>8190603.6247625304</v>
      </c>
      <c r="E157" s="1277">
        <f>E156+E149</f>
        <v>0</v>
      </c>
      <c r="F157" s="1277">
        <f>F156+F149</f>
        <v>111136.68276253104</v>
      </c>
      <c r="G157" s="1277">
        <f>G156+G149</f>
        <v>0</v>
      </c>
      <c r="H157" s="1277">
        <f>H156+H149</f>
        <v>235404.91173417823</v>
      </c>
      <c r="I157" s="1278">
        <f>I156+I149</f>
        <v>7293566.5202658214</v>
      </c>
      <c r="J157" s="1277">
        <f t="shared" si="46"/>
        <v>7528971.432</v>
      </c>
      <c r="K157" s="1277">
        <f>K156+K149</f>
        <v>0</v>
      </c>
      <c r="L157" s="1277">
        <f>L156+L149</f>
        <v>0</v>
      </c>
      <c r="M157" s="1278">
        <f>M156+M149</f>
        <v>550495.51</v>
      </c>
      <c r="N157" s="1277">
        <f t="shared" si="47"/>
        <v>550495.51</v>
      </c>
    </row>
    <row r="158" spans="1:14">
      <c r="B158"/>
      <c r="C158"/>
      <c r="D158"/>
      <c r="E158"/>
      <c r="F158"/>
      <c r="G158"/>
      <c r="H158"/>
      <c r="I158"/>
      <c r="J158"/>
      <c r="K158"/>
      <c r="L158"/>
      <c r="M158"/>
      <c r="N158"/>
    </row>
    <row r="159" spans="1:14">
      <c r="B159"/>
      <c r="C159"/>
      <c r="D159"/>
      <c r="E159"/>
      <c r="F159"/>
      <c r="G159"/>
      <c r="H159"/>
      <c r="I159"/>
      <c r="J159"/>
      <c r="K159"/>
      <c r="L159"/>
      <c r="M159"/>
      <c r="N159"/>
    </row>
    <row r="160" spans="1:14">
      <c r="B160"/>
      <c r="C160"/>
      <c r="D160"/>
      <c r="E160"/>
      <c r="F160"/>
      <c r="G160"/>
      <c r="H160"/>
      <c r="I160"/>
      <c r="J160"/>
      <c r="K160"/>
      <c r="L160"/>
      <c r="M160"/>
      <c r="N160"/>
    </row>
    <row r="161" spans="1:14" ht="15" thickBot="1">
      <c r="B161"/>
      <c r="C161"/>
      <c r="D161"/>
      <c r="E161"/>
      <c r="F161"/>
      <c r="G161"/>
      <c r="H161"/>
      <c r="I161"/>
      <c r="J161"/>
      <c r="K161"/>
      <c r="L161"/>
      <c r="M161"/>
      <c r="N161"/>
    </row>
    <row r="162" spans="1:14" ht="27" customHeight="1" thickBot="1">
      <c r="A162" s="1210" t="s">
        <v>182</v>
      </c>
      <c r="B162" s="3309" t="s">
        <v>320</v>
      </c>
      <c r="C162" s="3310"/>
      <c r="D162" s="666"/>
      <c r="E162" s="666"/>
      <c r="F162" s="666"/>
      <c r="G162" s="666"/>
      <c r="H162" s="666"/>
      <c r="I162" s="666"/>
      <c r="J162" s="666"/>
      <c r="K162" s="666"/>
      <c r="L162" s="666"/>
      <c r="M162" s="3292"/>
      <c r="N162" s="3292" t="s">
        <v>257</v>
      </c>
    </row>
    <row r="163" spans="1:14" ht="13.5" customHeight="1" thickBot="1">
      <c r="A163" s="3311" t="s">
        <v>258</v>
      </c>
      <c r="B163" s="1212"/>
      <c r="C163" s="3280" t="s">
        <v>259</v>
      </c>
      <c r="D163" s="3314" t="s">
        <v>260</v>
      </c>
      <c r="E163" s="3314" t="s">
        <v>261</v>
      </c>
      <c r="F163" s="3314" t="s">
        <v>262</v>
      </c>
      <c r="G163" s="3324" t="s">
        <v>263</v>
      </c>
      <c r="H163" s="3325"/>
      <c r="I163" s="3325"/>
      <c r="J163" s="3325"/>
      <c r="K163" s="3325"/>
      <c r="L163" s="3325"/>
      <c r="M163" s="3325"/>
      <c r="N163" s="3326"/>
    </row>
    <row r="164" spans="1:14" ht="13.5" customHeight="1" thickBot="1">
      <c r="A164" s="3312"/>
      <c r="B164" s="1213"/>
      <c r="C164" s="3281"/>
      <c r="D164" s="3315"/>
      <c r="E164" s="3315"/>
      <c r="F164" s="3315"/>
      <c r="G164" s="3289" t="s">
        <v>264</v>
      </c>
      <c r="H164" s="3290"/>
      <c r="I164" s="3290"/>
      <c r="J164" s="3291"/>
      <c r="K164" s="3318" t="s">
        <v>265</v>
      </c>
      <c r="L164" s="3319"/>
      <c r="M164" s="3319"/>
      <c r="N164" s="3320"/>
    </row>
    <row r="165" spans="1:14" ht="40.15" thickBot="1">
      <c r="A165" s="3312"/>
      <c r="B165" s="1214"/>
      <c r="C165" s="3281"/>
      <c r="D165" s="3316"/>
      <c r="E165" s="3316"/>
      <c r="F165" s="3316"/>
      <c r="G165" s="1125" t="s">
        <v>267</v>
      </c>
      <c r="H165" s="1125" t="s">
        <v>268</v>
      </c>
      <c r="I165" s="1125" t="s">
        <v>269</v>
      </c>
      <c r="J165" s="1125" t="s">
        <v>160</v>
      </c>
      <c r="K165" s="1126" t="s">
        <v>270</v>
      </c>
      <c r="L165" s="1126" t="s">
        <v>271</v>
      </c>
      <c r="M165" s="1127" t="s">
        <v>272</v>
      </c>
      <c r="N165" s="2963" t="s">
        <v>160</v>
      </c>
    </row>
    <row r="166" spans="1:14" ht="15" thickBot="1">
      <c r="A166" s="3312"/>
      <c r="B166" s="1213"/>
      <c r="C166" s="3281"/>
      <c r="D166" s="1215">
        <v>1</v>
      </c>
      <c r="E166" s="1216">
        <v>2</v>
      </c>
      <c r="F166" s="1216">
        <v>3</v>
      </c>
      <c r="G166" s="1217">
        <v>4</v>
      </c>
      <c r="H166" s="1216">
        <v>5</v>
      </c>
      <c r="I166" s="1218">
        <v>6</v>
      </c>
      <c r="J166" s="2971">
        <v>7</v>
      </c>
      <c r="K166" s="1217">
        <v>8</v>
      </c>
      <c r="L166" s="1216">
        <v>9</v>
      </c>
      <c r="M166" s="1238">
        <v>10</v>
      </c>
      <c r="N166" s="1215">
        <v>11</v>
      </c>
    </row>
    <row r="167" spans="1:14" ht="15" thickBot="1">
      <c r="A167" s="3313"/>
      <c r="B167" s="1219"/>
      <c r="C167" s="3282"/>
      <c r="D167" s="1220"/>
      <c r="E167" s="1220"/>
      <c r="F167" s="1220"/>
      <c r="G167" s="1221"/>
      <c r="H167" s="1220"/>
      <c r="I167" s="1222"/>
      <c r="J167" s="1222" t="s">
        <v>273</v>
      </c>
      <c r="K167" s="1221"/>
      <c r="L167" s="1220"/>
      <c r="M167" s="1667"/>
      <c r="N167" s="1220" t="s">
        <v>274</v>
      </c>
    </row>
    <row r="168" spans="1:14">
      <c r="A168" s="1227"/>
      <c r="B168" s="1225" t="s">
        <v>275</v>
      </c>
      <c r="C168" s="1133"/>
      <c r="D168" s="1228"/>
      <c r="E168" s="673"/>
      <c r="F168" s="673"/>
      <c r="G168" s="674"/>
      <c r="H168" s="675"/>
      <c r="I168" s="678"/>
      <c r="J168" s="1233"/>
      <c r="K168" s="914"/>
      <c r="L168" s="912"/>
      <c r="M168" s="915"/>
      <c r="N168" s="1280"/>
    </row>
    <row r="169" spans="1:14">
      <c r="A169" s="1944">
        <v>1</v>
      </c>
      <c r="B169" s="1945" t="s">
        <v>276</v>
      </c>
      <c r="C169" s="1830"/>
      <c r="D169" s="1946">
        <f t="shared" ref="D169:D209" si="48">+E169+F169+J169+N169</f>
        <v>17420.164000000001</v>
      </c>
      <c r="E169" s="1973">
        <v>0</v>
      </c>
      <c r="F169" s="1973">
        <v>17420.164000000001</v>
      </c>
      <c r="G169" s="1970"/>
      <c r="H169" s="1966"/>
      <c r="I169" s="1972"/>
      <c r="J169" s="1948">
        <f>G169+H169+I169</f>
        <v>0</v>
      </c>
      <c r="K169" s="1947"/>
      <c r="L169" s="1947"/>
      <c r="M169" s="1968"/>
      <c r="N169" s="1967">
        <f>K169+L169+M169</f>
        <v>0</v>
      </c>
    </row>
    <row r="170" spans="1:14">
      <c r="A170" s="1944">
        <v>2</v>
      </c>
      <c r="B170" s="1945" t="s">
        <v>277</v>
      </c>
      <c r="C170" s="1830"/>
      <c r="D170" s="1946">
        <f t="shared" si="48"/>
        <v>0</v>
      </c>
      <c r="E170" s="1973">
        <v>0</v>
      </c>
      <c r="F170" s="1973">
        <v>0</v>
      </c>
      <c r="G170" s="1973"/>
      <c r="H170" s="1964">
        <v>0</v>
      </c>
      <c r="I170" s="1972"/>
      <c r="J170" s="1948">
        <f>G170+H170+I170</f>
        <v>0</v>
      </c>
      <c r="K170" s="1947"/>
      <c r="L170" s="1947"/>
      <c r="M170" s="1968"/>
      <c r="N170" s="1967">
        <f>K170+L170+M170</f>
        <v>0</v>
      </c>
    </row>
    <row r="171" spans="1:14">
      <c r="A171" s="1944">
        <v>3</v>
      </c>
      <c r="B171" s="1945" t="s">
        <v>278</v>
      </c>
      <c r="C171" s="1830"/>
      <c r="D171" s="1946">
        <f t="shared" si="48"/>
        <v>0</v>
      </c>
      <c r="E171" s="1973">
        <v>0</v>
      </c>
      <c r="F171" s="1973">
        <v>0</v>
      </c>
      <c r="G171" s="1970"/>
      <c r="H171" s="1966">
        <v>0</v>
      </c>
      <c r="I171" s="1972"/>
      <c r="J171" s="1948">
        <f>G171+H171+I171</f>
        <v>0</v>
      </c>
      <c r="K171" s="1947"/>
      <c r="L171" s="1947"/>
      <c r="M171" s="1968"/>
      <c r="N171" s="1967">
        <f>K171+L171+M171</f>
        <v>0</v>
      </c>
    </row>
    <row r="172" spans="1:14">
      <c r="A172" s="1944">
        <v>4</v>
      </c>
      <c r="B172" s="1945" t="s">
        <v>321</v>
      </c>
      <c r="C172" s="1830"/>
      <c r="D172" s="1946">
        <f t="shared" si="48"/>
        <v>13251.24</v>
      </c>
      <c r="E172" s="1973">
        <v>0</v>
      </c>
      <c r="F172" s="1973">
        <v>13251.24</v>
      </c>
      <c r="G172" s="1970"/>
      <c r="H172" s="1966">
        <v>0</v>
      </c>
      <c r="I172" s="1972"/>
      <c r="J172" s="1948"/>
      <c r="K172" s="1947"/>
      <c r="L172" s="1947"/>
      <c r="M172" s="1968"/>
      <c r="N172" s="1967"/>
    </row>
    <row r="173" spans="1:14">
      <c r="A173" s="1944">
        <v>5</v>
      </c>
      <c r="B173" s="1945" t="s">
        <v>280</v>
      </c>
      <c r="C173" s="1836">
        <v>5</v>
      </c>
      <c r="D173" s="1946">
        <f t="shared" si="48"/>
        <v>25769.256000000001</v>
      </c>
      <c r="E173" s="1973">
        <v>0</v>
      </c>
      <c r="F173" s="1973">
        <v>25769.256000000001</v>
      </c>
      <c r="G173" s="1970">
        <v>0</v>
      </c>
      <c r="H173" s="1966">
        <v>0</v>
      </c>
      <c r="I173" s="1972"/>
      <c r="J173" s="1948">
        <f t="shared" ref="J173:J209" si="49">G173+H173+I173</f>
        <v>0</v>
      </c>
      <c r="K173" s="1947"/>
      <c r="L173" s="1947"/>
      <c r="M173" s="1968"/>
      <c r="N173" s="1967">
        <f t="shared" ref="N173:N209" si="50">K173+L173+M173</f>
        <v>0</v>
      </c>
    </row>
    <row r="174" spans="1:14">
      <c r="A174" s="1944">
        <v>6</v>
      </c>
      <c r="B174" s="1945" t="s">
        <v>281</v>
      </c>
      <c r="C174" s="1830">
        <v>6</v>
      </c>
      <c r="D174" s="1946">
        <f t="shared" si="48"/>
        <v>147500</v>
      </c>
      <c r="E174" s="1973">
        <v>0</v>
      </c>
      <c r="F174" s="1973">
        <v>147500</v>
      </c>
      <c r="G174" s="1970">
        <v>0</v>
      </c>
      <c r="H174" s="1966">
        <v>0</v>
      </c>
      <c r="I174" s="1972"/>
      <c r="J174" s="1948">
        <f t="shared" si="49"/>
        <v>0</v>
      </c>
      <c r="K174" s="1947"/>
      <c r="L174" s="1947"/>
      <c r="M174" s="1968"/>
      <c r="N174" s="1967">
        <f t="shared" si="50"/>
        <v>0</v>
      </c>
    </row>
    <row r="175" spans="1:14">
      <c r="A175" s="1944">
        <v>7</v>
      </c>
      <c r="B175" s="1945" t="s">
        <v>282</v>
      </c>
      <c r="C175" s="1836">
        <v>7</v>
      </c>
      <c r="D175" s="1946">
        <f t="shared" si="48"/>
        <v>0</v>
      </c>
      <c r="E175" s="1973"/>
      <c r="F175" s="1947"/>
      <c r="G175" s="1947">
        <f>G176+G177</f>
        <v>0</v>
      </c>
      <c r="H175" s="1968">
        <f>H176+H177</f>
        <v>0</v>
      </c>
      <c r="I175" s="1996">
        <f>I176+I177</f>
        <v>0</v>
      </c>
      <c r="J175" s="1948">
        <f t="shared" si="49"/>
        <v>0</v>
      </c>
      <c r="K175" s="1947">
        <f>K176+K177</f>
        <v>0</v>
      </c>
      <c r="L175" s="1947">
        <f>L176+L177</f>
        <v>0</v>
      </c>
      <c r="M175" s="1968">
        <f>M176+M177</f>
        <v>0</v>
      </c>
      <c r="N175" s="1967">
        <f t="shared" si="50"/>
        <v>0</v>
      </c>
    </row>
    <row r="176" spans="1:14">
      <c r="A176" s="1950"/>
      <c r="B176" s="1837" t="s">
        <v>283</v>
      </c>
      <c r="C176" s="1836"/>
      <c r="D176" s="1946">
        <f t="shared" si="48"/>
        <v>0</v>
      </c>
      <c r="E176" s="1973"/>
      <c r="F176" s="1947"/>
      <c r="G176" s="1947"/>
      <c r="H176" s="1968"/>
      <c r="I176" s="1996"/>
      <c r="J176" s="1948">
        <f t="shared" si="49"/>
        <v>0</v>
      </c>
      <c r="K176" s="1947"/>
      <c r="L176" s="1947"/>
      <c r="M176" s="1968"/>
      <c r="N176" s="1967">
        <f t="shared" si="50"/>
        <v>0</v>
      </c>
    </row>
    <row r="177" spans="1:42">
      <c r="A177" s="1950"/>
      <c r="B177" s="1837" t="s">
        <v>284</v>
      </c>
      <c r="C177" s="1836"/>
      <c r="D177" s="1946">
        <f t="shared" si="48"/>
        <v>0</v>
      </c>
      <c r="E177" s="1973"/>
      <c r="F177" s="1947"/>
      <c r="G177" s="1947"/>
      <c r="H177" s="1968"/>
      <c r="I177" s="1996"/>
      <c r="J177" s="1948">
        <f t="shared" si="49"/>
        <v>0</v>
      </c>
      <c r="K177" s="1947"/>
      <c r="L177" s="1947"/>
      <c r="M177" s="1968"/>
      <c r="N177" s="1967">
        <f t="shared" si="50"/>
        <v>0</v>
      </c>
    </row>
    <row r="178" spans="1:42">
      <c r="A178" s="1944">
        <v>8</v>
      </c>
      <c r="B178" s="1945" t="s">
        <v>285</v>
      </c>
      <c r="C178" s="1830">
        <v>8</v>
      </c>
      <c r="D178" s="1946">
        <f t="shared" si="48"/>
        <v>0</v>
      </c>
      <c r="E178" s="1973">
        <v>0</v>
      </c>
      <c r="F178" s="1947">
        <f>F179+F180</f>
        <v>0</v>
      </c>
      <c r="G178" s="1947">
        <f>G179+G180</f>
        <v>0</v>
      </c>
      <c r="H178" s="1968">
        <f>H179+H180</f>
        <v>0</v>
      </c>
      <c r="I178" s="1996">
        <f>I179+I180</f>
        <v>0</v>
      </c>
      <c r="J178" s="1948">
        <f t="shared" si="49"/>
        <v>0</v>
      </c>
      <c r="K178" s="1947">
        <f>K179+K180</f>
        <v>0</v>
      </c>
      <c r="L178" s="1947">
        <f>L179+L180</f>
        <v>0</v>
      </c>
      <c r="M178" s="1968">
        <f>M179+M180</f>
        <v>0</v>
      </c>
      <c r="N178" s="1967">
        <f t="shared" si="50"/>
        <v>0</v>
      </c>
    </row>
    <row r="179" spans="1:42">
      <c r="A179" s="1944"/>
      <c r="B179" s="1837" t="s">
        <v>286</v>
      </c>
      <c r="C179" s="1830"/>
      <c r="D179" s="1946">
        <f t="shared" si="48"/>
        <v>0</v>
      </c>
      <c r="E179" s="1973"/>
      <c r="F179" s="1973"/>
      <c r="G179" s="1970"/>
      <c r="H179" s="1966"/>
      <c r="I179" s="1972"/>
      <c r="J179" s="1948">
        <f t="shared" si="49"/>
        <v>0</v>
      </c>
      <c r="K179" s="1947"/>
      <c r="L179" s="1947"/>
      <c r="M179" s="1968"/>
      <c r="N179" s="1967">
        <f t="shared" si="50"/>
        <v>0</v>
      </c>
    </row>
    <row r="180" spans="1:42">
      <c r="A180" s="1944"/>
      <c r="B180" s="1837" t="s">
        <v>287</v>
      </c>
      <c r="C180" s="1830"/>
      <c r="D180" s="1946">
        <f t="shared" si="48"/>
        <v>0</v>
      </c>
      <c r="E180" s="1973"/>
      <c r="F180" s="1973"/>
      <c r="G180" s="1970"/>
      <c r="H180" s="1966"/>
      <c r="I180" s="1972"/>
      <c r="J180" s="1948">
        <f t="shared" si="49"/>
        <v>0</v>
      </c>
      <c r="K180" s="1947"/>
      <c r="L180" s="1947"/>
      <c r="M180" s="1968"/>
      <c r="N180" s="1967">
        <f t="shared" si="50"/>
        <v>0</v>
      </c>
    </row>
    <row r="181" spans="1:42" ht="26.45">
      <c r="A181" s="1951">
        <v>9</v>
      </c>
      <c r="B181" s="1952" t="s">
        <v>288</v>
      </c>
      <c r="C181" s="1840"/>
      <c r="D181" s="1953">
        <f t="shared" si="48"/>
        <v>2995998.4499999997</v>
      </c>
      <c r="E181" s="1954">
        <f>SUM(E182:E185)</f>
        <v>0</v>
      </c>
      <c r="F181" s="1954">
        <f>SUM(F182:F185)</f>
        <v>330864.72899999999</v>
      </c>
      <c r="G181" s="1954">
        <f>SUM(G182:G185)</f>
        <v>0</v>
      </c>
      <c r="H181" s="2008">
        <f>SUM(H182:H185)</f>
        <v>549289.09300000011</v>
      </c>
      <c r="I181" s="2009">
        <f>SUM(I182:I185)</f>
        <v>0</v>
      </c>
      <c r="J181" s="2010">
        <f t="shared" si="49"/>
        <v>549289.09300000011</v>
      </c>
      <c r="K181" s="2011">
        <f>SUM(K182:K185)</f>
        <v>32343.266000000003</v>
      </c>
      <c r="L181" s="1954">
        <f>SUM(L182:L185)</f>
        <v>0</v>
      </c>
      <c r="M181" s="1976">
        <f>SUM(M182:M185)</f>
        <v>2083501.3619999997</v>
      </c>
      <c r="N181" s="1979">
        <f t="shared" si="50"/>
        <v>2115844.6279999996</v>
      </c>
    </row>
    <row r="182" spans="1:42">
      <c r="A182" s="1950">
        <v>10</v>
      </c>
      <c r="B182" s="1846" t="s">
        <v>289</v>
      </c>
      <c r="C182" s="1830">
        <v>9</v>
      </c>
      <c r="D182" s="1946">
        <f t="shared" si="48"/>
        <v>0</v>
      </c>
      <c r="E182" s="1973"/>
      <c r="F182" s="1973"/>
      <c r="G182" s="1973"/>
      <c r="H182" s="2012"/>
      <c r="I182" s="2013"/>
      <c r="J182" s="2014">
        <f t="shared" si="49"/>
        <v>0</v>
      </c>
      <c r="K182" s="2015">
        <v>0</v>
      </c>
      <c r="L182" s="1970"/>
      <c r="M182" s="2016"/>
      <c r="N182" s="1967">
        <f t="shared" si="50"/>
        <v>0</v>
      </c>
    </row>
    <row r="183" spans="1:42">
      <c r="A183" s="1950">
        <v>11</v>
      </c>
      <c r="B183" s="1846" t="s">
        <v>290</v>
      </c>
      <c r="C183" s="1830">
        <v>10</v>
      </c>
      <c r="D183" s="1946">
        <f t="shared" si="48"/>
        <v>2644676.8480000002</v>
      </c>
      <c r="E183" s="1973"/>
      <c r="F183" s="1973">
        <v>271633.47899999999</v>
      </c>
      <c r="G183" s="1973">
        <v>0</v>
      </c>
      <c r="H183" s="2012">
        <v>412378.80000000005</v>
      </c>
      <c r="I183" s="2017">
        <v>0</v>
      </c>
      <c r="J183" s="2014">
        <f t="shared" si="49"/>
        <v>412378.80000000005</v>
      </c>
      <c r="K183" s="2015">
        <v>32343.266000000003</v>
      </c>
      <c r="L183" s="1970">
        <v>0</v>
      </c>
      <c r="M183" s="2016">
        <v>1928321.3029999998</v>
      </c>
      <c r="N183" s="1967">
        <f t="shared" si="50"/>
        <v>1960664.5689999999</v>
      </c>
    </row>
    <row r="184" spans="1:42">
      <c r="A184" s="1950">
        <v>12</v>
      </c>
      <c r="B184" s="1846" t="s">
        <v>291</v>
      </c>
      <c r="C184" s="1830">
        <v>11</v>
      </c>
      <c r="D184" s="1946">
        <f t="shared" si="48"/>
        <v>92082.941999999995</v>
      </c>
      <c r="E184" s="1973"/>
      <c r="F184" s="1973">
        <v>0</v>
      </c>
      <c r="G184" s="1973">
        <v>0</v>
      </c>
      <c r="H184" s="2012">
        <v>60972.792999999998</v>
      </c>
      <c r="I184" s="2017">
        <v>0</v>
      </c>
      <c r="J184" s="2014">
        <f t="shared" si="49"/>
        <v>60972.792999999998</v>
      </c>
      <c r="K184" s="2015">
        <v>0</v>
      </c>
      <c r="L184" s="1970">
        <v>0</v>
      </c>
      <c r="M184" s="2016">
        <v>31110.149000000001</v>
      </c>
      <c r="N184" s="1967">
        <f t="shared" si="50"/>
        <v>31110.149000000001</v>
      </c>
    </row>
    <row r="185" spans="1:42" ht="26.45">
      <c r="A185" s="1950">
        <v>13</v>
      </c>
      <c r="B185" s="1846" t="s">
        <v>292</v>
      </c>
      <c r="C185" s="1830">
        <v>12</v>
      </c>
      <c r="D185" s="1946">
        <f t="shared" si="48"/>
        <v>259238.66</v>
      </c>
      <c r="E185" s="1973"/>
      <c r="F185" s="1973">
        <v>59231.25</v>
      </c>
      <c r="G185" s="1973">
        <v>0</v>
      </c>
      <c r="H185" s="2012">
        <v>75937.5</v>
      </c>
      <c r="I185" s="2017">
        <v>0</v>
      </c>
      <c r="J185" s="2014">
        <f t="shared" si="49"/>
        <v>75937.5</v>
      </c>
      <c r="K185" s="2015">
        <v>0</v>
      </c>
      <c r="L185" s="1970">
        <v>0</v>
      </c>
      <c r="M185" s="2016">
        <v>124069.91</v>
      </c>
      <c r="N185" s="1967">
        <f t="shared" si="50"/>
        <v>124069.91</v>
      </c>
    </row>
    <row r="186" spans="1:42">
      <c r="A186" s="1950">
        <v>14</v>
      </c>
      <c r="B186" s="1829" t="s">
        <v>293</v>
      </c>
      <c r="C186" s="1830">
        <v>13</v>
      </c>
      <c r="D186" s="1946">
        <f t="shared" si="48"/>
        <v>0</v>
      </c>
      <c r="E186" s="1973"/>
      <c r="F186" s="1973"/>
      <c r="G186" s="1973"/>
      <c r="H186" s="2012"/>
      <c r="I186" s="2013">
        <v>0</v>
      </c>
      <c r="J186" s="2014">
        <f t="shared" si="49"/>
        <v>0</v>
      </c>
      <c r="K186" s="2015"/>
      <c r="L186" s="1970"/>
      <c r="M186" s="2016"/>
      <c r="N186" s="1967">
        <f t="shared" si="50"/>
        <v>0</v>
      </c>
    </row>
    <row r="187" spans="1:42">
      <c r="A187" s="1950">
        <v>15</v>
      </c>
      <c r="B187" s="1829" t="s">
        <v>294</v>
      </c>
      <c r="C187" s="1836">
        <v>14</v>
      </c>
      <c r="D187" s="1946">
        <f t="shared" si="48"/>
        <v>0</v>
      </c>
      <c r="E187" s="1973"/>
      <c r="F187" s="1973"/>
      <c r="G187" s="1973"/>
      <c r="H187" s="2012"/>
      <c r="I187" s="2013">
        <v>0</v>
      </c>
      <c r="J187" s="2014">
        <f t="shared" si="49"/>
        <v>0</v>
      </c>
      <c r="K187" s="2015"/>
      <c r="L187" s="1970"/>
      <c r="M187" s="2016"/>
      <c r="N187" s="1967">
        <f t="shared" si="50"/>
        <v>0</v>
      </c>
    </row>
    <row r="188" spans="1:42">
      <c r="A188" s="1950">
        <v>16</v>
      </c>
      <c r="B188" s="1829" t="s">
        <v>295</v>
      </c>
      <c r="C188" s="1830">
        <v>15</v>
      </c>
      <c r="D188" s="1946">
        <f t="shared" si="48"/>
        <v>35952.417000000001</v>
      </c>
      <c r="E188" s="1973"/>
      <c r="F188" s="1973"/>
      <c r="G188" s="1973"/>
      <c r="H188" s="2012">
        <v>16551.13</v>
      </c>
      <c r="I188" s="2013">
        <v>0</v>
      </c>
      <c r="J188" s="2014">
        <f t="shared" si="49"/>
        <v>16551.13</v>
      </c>
      <c r="K188" s="2015">
        <v>3901.2950000000001</v>
      </c>
      <c r="L188" s="1970"/>
      <c r="M188" s="2016">
        <v>15499.992</v>
      </c>
      <c r="N188" s="1967">
        <f t="shared" si="50"/>
        <v>19401.287</v>
      </c>
    </row>
    <row r="189" spans="1:42">
      <c r="A189" s="1950">
        <v>17</v>
      </c>
      <c r="B189" s="1829" t="s">
        <v>296</v>
      </c>
      <c r="C189" s="1836">
        <v>16</v>
      </c>
      <c r="D189" s="1946">
        <f t="shared" si="48"/>
        <v>37907.893000000011</v>
      </c>
      <c r="E189" s="1973">
        <v>-38761.428999999996</v>
      </c>
      <c r="F189" s="1973">
        <v>75805.225000000006</v>
      </c>
      <c r="G189" s="1973">
        <v>0</v>
      </c>
      <c r="H189" s="2012">
        <v>864.09699999999998</v>
      </c>
      <c r="I189" s="2017">
        <v>0</v>
      </c>
      <c r="J189" s="2014">
        <f t="shared" si="49"/>
        <v>864.09699999999998</v>
      </c>
      <c r="K189" s="2015">
        <v>0</v>
      </c>
      <c r="L189" s="1970">
        <v>0</v>
      </c>
      <c r="M189" s="2016">
        <v>0</v>
      </c>
      <c r="N189" s="1967">
        <f t="shared" si="50"/>
        <v>0</v>
      </c>
    </row>
    <row r="190" spans="1:42">
      <c r="A190" s="1950">
        <v>18</v>
      </c>
      <c r="B190" s="1829" t="s">
        <v>297</v>
      </c>
      <c r="C190" s="1830"/>
      <c r="D190" s="1946">
        <f t="shared" si="48"/>
        <v>0</v>
      </c>
      <c r="E190" s="1973"/>
      <c r="F190" s="1973"/>
      <c r="G190" s="1973"/>
      <c r="H190" s="2012"/>
      <c r="I190" s="2013">
        <v>0</v>
      </c>
      <c r="J190" s="2014">
        <f t="shared" si="49"/>
        <v>0</v>
      </c>
      <c r="K190" s="2015"/>
      <c r="L190" s="1970"/>
      <c r="M190" s="2016"/>
      <c r="N190" s="1967">
        <f t="shared" si="50"/>
        <v>0</v>
      </c>
    </row>
    <row r="191" spans="1:42" ht="15" thickBot="1">
      <c r="A191" s="1957">
        <v>19</v>
      </c>
      <c r="B191" s="1848" t="s">
        <v>298</v>
      </c>
      <c r="C191" s="1847"/>
      <c r="D191" s="3120">
        <f t="shared" si="48"/>
        <v>76453.682000000001</v>
      </c>
      <c r="E191" s="3124"/>
      <c r="F191" s="3124">
        <v>10754.244000000001</v>
      </c>
      <c r="G191" s="3124">
        <v>0</v>
      </c>
      <c r="H191" s="951">
        <v>50315.764000000003</v>
      </c>
      <c r="I191" s="2018">
        <v>0</v>
      </c>
      <c r="J191" s="3126">
        <f t="shared" si="49"/>
        <v>50315.764000000003</v>
      </c>
      <c r="K191" s="3127">
        <v>0</v>
      </c>
      <c r="L191" s="3125">
        <v>0</v>
      </c>
      <c r="M191" s="956">
        <v>15383.673999999999</v>
      </c>
      <c r="N191" s="2019">
        <f t="shared" si="50"/>
        <v>15383.673999999999</v>
      </c>
    </row>
    <row r="192" spans="1:42" s="870" customFormat="1" ht="27" thickBot="1">
      <c r="A192" s="1235">
        <v>20</v>
      </c>
      <c r="B192" s="1139" t="s">
        <v>299</v>
      </c>
      <c r="C192" s="1138"/>
      <c r="D192" s="1236">
        <f t="shared" si="48"/>
        <v>3350253.1020000004</v>
      </c>
      <c r="E192" s="1236">
        <f>SUM(E169:E175)+E178+E181+SUM(E186:E191)</f>
        <v>-38761.428999999996</v>
      </c>
      <c r="F192" s="1236">
        <f>SUM(F169:F175)+F178+F181+SUM(F186:F191)</f>
        <v>621364.85800000001</v>
      </c>
      <c r="G192" s="1236">
        <f>SUM(G169:G175)+G178+G181+SUM(G186:G191)</f>
        <v>0</v>
      </c>
      <c r="H192" s="1281">
        <f>SUM(H169:H175)+H178+H181+SUM(H186:H191)</f>
        <v>617020.08400000015</v>
      </c>
      <c r="I192" s="1276">
        <f>SUM(I169:I175)+I178+I181+SUM(I186:I191)</f>
        <v>0</v>
      </c>
      <c r="J192" s="1282">
        <f t="shared" si="49"/>
        <v>617020.08400000015</v>
      </c>
      <c r="K192" s="1282">
        <f>SUM(K169:K175)+K178+K181+SUM(K186:K191)</f>
        <v>36244.561000000002</v>
      </c>
      <c r="L192" s="1264">
        <f>SUM(L169:L175)+L178+L181+SUM(L186:L191)</f>
        <v>0</v>
      </c>
      <c r="M192" s="1275">
        <f>SUM(M169:M175)+M178+M181+SUM(M186:M191)</f>
        <v>2114385.0279999999</v>
      </c>
      <c r="N192" s="1237">
        <f t="shared" si="50"/>
        <v>2150629.5890000002</v>
      </c>
      <c r="O192"/>
      <c r="P192"/>
      <c r="Q192"/>
      <c r="R192"/>
      <c r="S192"/>
      <c r="T192"/>
      <c r="U192"/>
      <c r="V192"/>
      <c r="W192"/>
      <c r="X192"/>
      <c r="Y192"/>
      <c r="Z192"/>
      <c r="AA192"/>
      <c r="AB192"/>
      <c r="AC192"/>
      <c r="AD192"/>
      <c r="AE192"/>
      <c r="AF192"/>
      <c r="AG192" s="2982"/>
      <c r="AH192" s="2982"/>
      <c r="AI192" s="2976"/>
      <c r="AJ192" s="2976"/>
      <c r="AK192" s="2976"/>
      <c r="AL192" s="2976"/>
      <c r="AM192" s="2976"/>
      <c r="AN192" s="2976"/>
      <c r="AO192" s="2976"/>
      <c r="AP192" s="2976"/>
    </row>
    <row r="193" spans="1:42">
      <c r="A193" s="1227"/>
      <c r="B193" s="1225" t="s">
        <v>300</v>
      </c>
      <c r="C193" s="1133"/>
      <c r="D193" s="1230">
        <f t="shared" si="48"/>
        <v>0</v>
      </c>
      <c r="E193" s="677"/>
      <c r="F193" s="677"/>
      <c r="G193" s="674"/>
      <c r="H193" s="952"/>
      <c r="I193" s="953"/>
      <c r="J193" s="1245">
        <f t="shared" si="49"/>
        <v>0</v>
      </c>
      <c r="K193" s="954"/>
      <c r="L193" s="679"/>
      <c r="M193" s="957"/>
      <c r="N193" s="1231">
        <f t="shared" si="50"/>
        <v>0</v>
      </c>
    </row>
    <row r="194" spans="1:42">
      <c r="A194" s="1950"/>
      <c r="B194" s="1959" t="s">
        <v>301</v>
      </c>
      <c r="C194" s="1830"/>
      <c r="D194" s="1946">
        <f t="shared" si="48"/>
        <v>0</v>
      </c>
      <c r="E194" s="1973"/>
      <c r="F194" s="1973"/>
      <c r="G194" s="1970"/>
      <c r="H194" s="2020"/>
      <c r="I194" s="2013"/>
      <c r="J194" s="2014">
        <f t="shared" si="49"/>
        <v>0</v>
      </c>
      <c r="K194" s="2015"/>
      <c r="L194" s="1985"/>
      <c r="M194" s="2021"/>
      <c r="N194" s="1967">
        <f t="shared" si="50"/>
        <v>0</v>
      </c>
    </row>
    <row r="195" spans="1:42">
      <c r="A195" s="1950">
        <v>21</v>
      </c>
      <c r="B195" s="1829" t="s">
        <v>302</v>
      </c>
      <c r="C195" s="1836">
        <v>17</v>
      </c>
      <c r="D195" s="1946">
        <f t="shared" si="48"/>
        <v>2547079.2849999997</v>
      </c>
      <c r="E195" s="1973"/>
      <c r="F195" s="1973"/>
      <c r="G195" s="1973"/>
      <c r="H195" s="2012">
        <v>397380.85399999999</v>
      </c>
      <c r="I195" s="2013">
        <v>0</v>
      </c>
      <c r="J195" s="2014">
        <f t="shared" si="49"/>
        <v>397380.85399999999</v>
      </c>
      <c r="K195" s="2022">
        <v>37365.343000000001</v>
      </c>
      <c r="L195" s="2023"/>
      <c r="M195" s="2024">
        <v>2112333.088</v>
      </c>
      <c r="N195" s="1967">
        <f t="shared" si="50"/>
        <v>2149698.4309999999</v>
      </c>
    </row>
    <row r="196" spans="1:42">
      <c r="A196" s="1950">
        <v>22</v>
      </c>
      <c r="B196" s="1829" t="s">
        <v>303</v>
      </c>
      <c r="C196" s="1830"/>
      <c r="D196" s="1946">
        <f t="shared" si="48"/>
        <v>13614.072</v>
      </c>
      <c r="E196" s="1973"/>
      <c r="F196" s="1973">
        <v>13614.072</v>
      </c>
      <c r="G196" s="1973"/>
      <c r="H196" s="2012"/>
      <c r="I196" s="2013"/>
      <c r="J196" s="2014">
        <f t="shared" si="49"/>
        <v>0</v>
      </c>
      <c r="K196" s="2022"/>
      <c r="L196" s="2023"/>
      <c r="M196" s="2024"/>
      <c r="N196" s="1967">
        <f t="shared" si="50"/>
        <v>0</v>
      </c>
    </row>
    <row r="197" spans="1:42">
      <c r="A197" s="1950">
        <v>23</v>
      </c>
      <c r="B197" s="1829" t="s">
        <v>304</v>
      </c>
      <c r="C197" s="1830">
        <v>18</v>
      </c>
      <c r="D197" s="1946">
        <f t="shared" si="48"/>
        <v>72581.796000000002</v>
      </c>
      <c r="E197" s="1973"/>
      <c r="F197" s="1973"/>
      <c r="G197" s="1973"/>
      <c r="H197" s="2012">
        <v>43961.043000000005</v>
      </c>
      <c r="I197" s="2013">
        <v>0</v>
      </c>
      <c r="J197" s="2014">
        <f t="shared" si="49"/>
        <v>43961.043000000005</v>
      </c>
      <c r="K197" s="2022">
        <v>28620.753000000001</v>
      </c>
      <c r="L197" s="2023"/>
      <c r="M197" s="2024"/>
      <c r="N197" s="1967">
        <f t="shared" si="50"/>
        <v>28620.753000000001</v>
      </c>
    </row>
    <row r="198" spans="1:42">
      <c r="A198" s="1950">
        <v>24</v>
      </c>
      <c r="B198" s="1829" t="s">
        <v>305</v>
      </c>
      <c r="C198" s="1830"/>
      <c r="D198" s="1946">
        <f t="shared" si="48"/>
        <v>0</v>
      </c>
      <c r="E198" s="1973"/>
      <c r="F198" s="1973"/>
      <c r="G198" s="1973"/>
      <c r="H198" s="2012"/>
      <c r="I198" s="2013"/>
      <c r="J198" s="2014">
        <f t="shared" si="49"/>
        <v>0</v>
      </c>
      <c r="K198" s="2022"/>
      <c r="L198" s="2023"/>
      <c r="M198" s="2024"/>
      <c r="N198" s="1967">
        <f t="shared" si="50"/>
        <v>0</v>
      </c>
    </row>
    <row r="199" spans="1:42">
      <c r="A199" s="1950">
        <v>25</v>
      </c>
      <c r="B199" s="1851" t="s">
        <v>306</v>
      </c>
      <c r="C199" s="1830"/>
      <c r="D199" s="1946">
        <f t="shared" si="48"/>
        <v>88004.732000000004</v>
      </c>
      <c r="E199" s="1973"/>
      <c r="F199" s="1973">
        <v>88004.732000000004</v>
      </c>
      <c r="G199" s="1973"/>
      <c r="H199" s="2012"/>
      <c r="I199" s="2013"/>
      <c r="J199" s="2014">
        <f t="shared" si="49"/>
        <v>0</v>
      </c>
      <c r="K199" s="2025"/>
      <c r="L199" s="1971"/>
      <c r="M199" s="2021"/>
      <c r="N199" s="1967">
        <f t="shared" si="50"/>
        <v>0</v>
      </c>
    </row>
    <row r="200" spans="1:42" ht="15" thickBot="1">
      <c r="A200" s="1957">
        <v>26</v>
      </c>
      <c r="B200" s="1848" t="s">
        <v>307</v>
      </c>
      <c r="C200" s="1852">
        <v>19</v>
      </c>
      <c r="D200" s="1946">
        <f t="shared" si="48"/>
        <v>145216.69299999997</v>
      </c>
      <c r="E200" s="1973">
        <v>-38761.4290000002</v>
      </c>
      <c r="F200" s="1973">
        <v>50388.601000000002</v>
      </c>
      <c r="G200" s="1973"/>
      <c r="H200" s="2012">
        <v>166410.20699999999</v>
      </c>
      <c r="I200" s="2026">
        <v>0</v>
      </c>
      <c r="J200" s="2014">
        <f t="shared" si="49"/>
        <v>166410.20699999999</v>
      </c>
      <c r="K200" s="2015">
        <v>-29741.535</v>
      </c>
      <c r="L200" s="1971">
        <v>0</v>
      </c>
      <c r="M200" s="958">
        <v>-3079.150999999797</v>
      </c>
      <c r="N200" s="1967">
        <f t="shared" si="50"/>
        <v>-32820.685999999798</v>
      </c>
    </row>
    <row r="201" spans="1:42" s="870" customFormat="1" ht="27" thickBot="1">
      <c r="A201" s="1226">
        <v>27</v>
      </c>
      <c r="B201" s="1136" t="s">
        <v>308</v>
      </c>
      <c r="C201" s="1135"/>
      <c r="D201" s="1241">
        <f t="shared" si="48"/>
        <v>2866496.5780000007</v>
      </c>
      <c r="E201" s="934">
        <f>SUM(E195:E200)</f>
        <v>-38761.4290000002</v>
      </c>
      <c r="F201" s="934">
        <f>SUM(F195:F200)</f>
        <v>152007.405</v>
      </c>
      <c r="G201" s="934">
        <f>SUM(G195:G200)</f>
        <v>0</v>
      </c>
      <c r="H201" s="949">
        <f>SUM(H195:H200)</f>
        <v>607752.10400000005</v>
      </c>
      <c r="I201" s="943">
        <f>SUM(I195:I200)</f>
        <v>0</v>
      </c>
      <c r="J201" s="1244">
        <f t="shared" si="49"/>
        <v>607752.10400000005</v>
      </c>
      <c r="K201" s="950">
        <f>SUM(K195:K200)</f>
        <v>36244.561000000002</v>
      </c>
      <c r="L201" s="934">
        <f>SUM(L195:L200)</f>
        <v>0</v>
      </c>
      <c r="M201" s="936">
        <f>SUM(M195:M200)</f>
        <v>2109253.9370000004</v>
      </c>
      <c r="N201" s="1261">
        <f t="shared" si="50"/>
        <v>2145498.4980000006</v>
      </c>
      <c r="O201"/>
      <c r="P201"/>
      <c r="Q201"/>
      <c r="R201"/>
      <c r="S201"/>
      <c r="T201"/>
      <c r="U201"/>
      <c r="V201"/>
      <c r="W201"/>
      <c r="X201"/>
      <c r="Y201"/>
      <c r="Z201"/>
      <c r="AA201"/>
      <c r="AB201"/>
      <c r="AC201"/>
      <c r="AD201"/>
      <c r="AE201"/>
      <c r="AF201"/>
      <c r="AG201" s="2982"/>
      <c r="AH201" s="2982"/>
      <c r="AI201" s="2976"/>
      <c r="AJ201" s="2976"/>
      <c r="AK201" s="2976"/>
      <c r="AL201" s="2976"/>
      <c r="AM201" s="2976"/>
      <c r="AN201" s="2976"/>
      <c r="AO201" s="2976"/>
      <c r="AP201" s="2976"/>
    </row>
    <row r="202" spans="1:42">
      <c r="A202" s="1227"/>
      <c r="B202" s="1225" t="s">
        <v>309</v>
      </c>
      <c r="C202" s="1133">
        <v>20</v>
      </c>
      <c r="D202" s="1230">
        <f t="shared" si="48"/>
        <v>0</v>
      </c>
      <c r="E202" s="914"/>
      <c r="F202" s="677"/>
      <c r="G202" s="674"/>
      <c r="H202" s="952"/>
      <c r="I202" s="944"/>
      <c r="J202" s="1245">
        <f t="shared" si="49"/>
        <v>0</v>
      </c>
      <c r="K202" s="954"/>
      <c r="L202" s="679"/>
      <c r="M202" s="955"/>
      <c r="N202" s="1231">
        <f t="shared" si="50"/>
        <v>0</v>
      </c>
    </row>
    <row r="203" spans="1:42">
      <c r="A203" s="1950">
        <v>28</v>
      </c>
      <c r="B203" s="1945" t="s">
        <v>310</v>
      </c>
      <c r="C203" s="1836"/>
      <c r="D203" s="1946">
        <f t="shared" si="48"/>
        <v>499999.99999999994</v>
      </c>
      <c r="E203" s="1947"/>
      <c r="F203" s="1973">
        <v>499999.99999999994</v>
      </c>
      <c r="G203" s="1973"/>
      <c r="H203" s="1964"/>
      <c r="I203" s="1996"/>
      <c r="J203" s="1948">
        <f t="shared" si="49"/>
        <v>0</v>
      </c>
      <c r="K203" s="1970"/>
      <c r="L203" s="1970"/>
      <c r="M203" s="2016"/>
      <c r="N203" s="1967">
        <f t="shared" si="50"/>
        <v>0</v>
      </c>
    </row>
    <row r="204" spans="1:42">
      <c r="A204" s="1950">
        <v>29</v>
      </c>
      <c r="B204" s="1945" t="s">
        <v>311</v>
      </c>
      <c r="C204" s="1836"/>
      <c r="D204" s="1946">
        <f t="shared" si="48"/>
        <v>14398.98</v>
      </c>
      <c r="E204" s="1947"/>
      <c r="F204" s="1973"/>
      <c r="G204" s="1973"/>
      <c r="H204" s="1964">
        <v>9267.98</v>
      </c>
      <c r="I204" s="1996"/>
      <c r="J204" s="1948">
        <f t="shared" si="49"/>
        <v>9267.98</v>
      </c>
      <c r="K204" s="1970"/>
      <c r="L204" s="1970"/>
      <c r="M204" s="2016">
        <v>5131</v>
      </c>
      <c r="N204" s="1967">
        <f t="shared" si="50"/>
        <v>5131</v>
      </c>
    </row>
    <row r="205" spans="1:42">
      <c r="A205" s="1950">
        <v>30</v>
      </c>
      <c r="B205" s="1960" t="s">
        <v>312</v>
      </c>
      <c r="C205" s="1852"/>
      <c r="D205" s="1946">
        <f t="shared" si="48"/>
        <v>11998.572</v>
      </c>
      <c r="E205" s="1947"/>
      <c r="F205" s="1973">
        <v>11998.572</v>
      </c>
      <c r="G205" s="1973"/>
      <c r="H205" s="1964"/>
      <c r="I205" s="1996"/>
      <c r="J205" s="1948">
        <f t="shared" si="49"/>
        <v>0</v>
      </c>
      <c r="K205" s="1970"/>
      <c r="L205" s="1970"/>
      <c r="M205" s="2016"/>
      <c r="N205" s="1967">
        <f t="shared" si="50"/>
        <v>0</v>
      </c>
    </row>
    <row r="206" spans="1:42">
      <c r="A206" s="1950">
        <v>31</v>
      </c>
      <c r="B206" s="1945" t="s">
        <v>313</v>
      </c>
      <c r="C206" s="1852"/>
      <c r="D206" s="1946">
        <f t="shared" si="48"/>
        <v>0</v>
      </c>
      <c r="E206" s="1947"/>
      <c r="F206" s="1973">
        <v>0</v>
      </c>
      <c r="G206" s="1973"/>
      <c r="H206" s="1964"/>
      <c r="I206" s="1996"/>
      <c r="J206" s="1948">
        <f t="shared" si="49"/>
        <v>0</v>
      </c>
      <c r="K206" s="1970"/>
      <c r="L206" s="1970"/>
      <c r="M206" s="2016"/>
      <c r="N206" s="1967">
        <f t="shared" si="50"/>
        <v>0</v>
      </c>
    </row>
    <row r="207" spans="1:42" ht="15" thickBot="1">
      <c r="A207" s="1957">
        <v>32</v>
      </c>
      <c r="B207" s="1960" t="s">
        <v>314</v>
      </c>
      <c r="C207" s="1852"/>
      <c r="D207" s="1946">
        <f t="shared" si="48"/>
        <v>-42641.118999999999</v>
      </c>
      <c r="E207" s="1947"/>
      <c r="F207" s="1973">
        <v>-42641.118999999999</v>
      </c>
      <c r="G207" s="1973"/>
      <c r="H207" s="1964"/>
      <c r="I207" s="1996"/>
      <c r="J207" s="1948">
        <f t="shared" si="49"/>
        <v>0</v>
      </c>
      <c r="K207" s="1970"/>
      <c r="L207" s="1970"/>
      <c r="M207" s="2016"/>
      <c r="N207" s="1967">
        <f t="shared" si="50"/>
        <v>0</v>
      </c>
    </row>
    <row r="208" spans="1:42" s="870" customFormat="1" ht="15" thickBot="1">
      <c r="A208" s="1226">
        <v>33</v>
      </c>
      <c r="B208" s="1137" t="s">
        <v>315</v>
      </c>
      <c r="C208" s="1135"/>
      <c r="D208" s="1242">
        <f t="shared" si="48"/>
        <v>483756.4329999999</v>
      </c>
      <c r="E208" s="939">
        <f>SUM(E203:E207)</f>
        <v>0</v>
      </c>
      <c r="F208" s="939">
        <f>SUM(F203:F207)</f>
        <v>469357.45299999992</v>
      </c>
      <c r="G208" s="939">
        <f>SUM(G203:G207)</f>
        <v>0</v>
      </c>
      <c r="H208" s="947">
        <f>SUM(H203:H207)</f>
        <v>9267.98</v>
      </c>
      <c r="I208" s="962">
        <f>SUM(I203:I207)</f>
        <v>0</v>
      </c>
      <c r="J208" s="1249">
        <f t="shared" si="49"/>
        <v>9267.98</v>
      </c>
      <c r="K208" s="939">
        <f>SUM(K203:K207)</f>
        <v>0</v>
      </c>
      <c r="L208" s="939">
        <f>SUM(L203:L207)</f>
        <v>0</v>
      </c>
      <c r="M208" s="947">
        <f>SUM(M203:M207)</f>
        <v>5131</v>
      </c>
      <c r="N208" s="1263">
        <f t="shared" si="50"/>
        <v>5131</v>
      </c>
      <c r="O208"/>
      <c r="P208"/>
      <c r="Q208"/>
      <c r="R208"/>
      <c r="S208"/>
      <c r="T208"/>
      <c r="U208"/>
      <c r="V208"/>
      <c r="W208"/>
      <c r="X208"/>
      <c r="Y208"/>
      <c r="Z208"/>
      <c r="AA208"/>
      <c r="AB208"/>
      <c r="AC208"/>
      <c r="AD208"/>
      <c r="AE208"/>
      <c r="AF208"/>
      <c r="AG208" s="2982"/>
      <c r="AH208" s="2982"/>
      <c r="AI208" s="2976"/>
      <c r="AJ208" s="2976"/>
      <c r="AK208" s="2976"/>
      <c r="AL208" s="2976"/>
      <c r="AM208" s="2976"/>
      <c r="AN208" s="2976"/>
      <c r="AO208" s="2976"/>
      <c r="AP208" s="2976"/>
    </row>
    <row r="209" spans="1:42" s="870" customFormat="1" ht="27" thickBot="1">
      <c r="A209" s="1235">
        <v>34</v>
      </c>
      <c r="B209" s="1139" t="s">
        <v>317</v>
      </c>
      <c r="C209" s="1138"/>
      <c r="D209" s="1268">
        <f t="shared" si="48"/>
        <v>3350253.0110000004</v>
      </c>
      <c r="E209" s="1268">
        <f>E208+E201</f>
        <v>-38761.4290000002</v>
      </c>
      <c r="F209" s="1268">
        <f>F208+F201</f>
        <v>621364.85799999989</v>
      </c>
      <c r="G209" s="1268">
        <f>G208+G201</f>
        <v>0</v>
      </c>
      <c r="H209" s="1268">
        <f>H208+H201</f>
        <v>617020.08400000003</v>
      </c>
      <c r="I209" s="1277">
        <f>I208+I201</f>
        <v>0</v>
      </c>
      <c r="J209" s="1277">
        <f t="shared" si="49"/>
        <v>617020.08400000003</v>
      </c>
      <c r="K209" s="1277">
        <f>K208+K201</f>
        <v>36244.561000000002</v>
      </c>
      <c r="L209" s="1268">
        <f>L208+L201</f>
        <v>0</v>
      </c>
      <c r="M209" s="1269">
        <f>M208+M201</f>
        <v>2114384.9370000004</v>
      </c>
      <c r="N209" s="1271">
        <f t="shared" si="50"/>
        <v>2150629.4980000006</v>
      </c>
      <c r="O209"/>
      <c r="P209"/>
      <c r="Q209"/>
      <c r="R209"/>
      <c r="S209"/>
      <c r="T209"/>
      <c r="U209"/>
      <c r="V209"/>
      <c r="W209"/>
      <c r="X209"/>
      <c r="Y209"/>
      <c r="Z209"/>
      <c r="AA209"/>
      <c r="AB209"/>
      <c r="AC209"/>
      <c r="AD209"/>
      <c r="AE209"/>
      <c r="AF209"/>
      <c r="AG209" s="2982"/>
      <c r="AH209" s="2982"/>
      <c r="AI209" s="2976"/>
      <c r="AJ209" s="2976"/>
      <c r="AK209" s="2976"/>
      <c r="AL209" s="2976"/>
      <c r="AM209" s="2976"/>
      <c r="AN209" s="2976"/>
      <c r="AO209" s="2976"/>
      <c r="AP209" s="2976"/>
    </row>
    <row r="210" spans="1:42">
      <c r="A210" s="662"/>
      <c r="B210" s="662"/>
      <c r="C210" s="662"/>
      <c r="D210" s="662"/>
      <c r="E210" s="662"/>
      <c r="F210" s="662"/>
      <c r="G210" s="662"/>
      <c r="H210" s="662"/>
      <c r="I210" s="662"/>
      <c r="J210" s="662"/>
      <c r="K210" s="662"/>
      <c r="L210" s="662"/>
      <c r="M210" s="662"/>
      <c r="N210" s="662"/>
    </row>
    <row r="211" spans="1:42">
      <c r="A211" s="662"/>
      <c r="B211" s="667"/>
      <c r="C211" s="662"/>
      <c r="D211" s="666"/>
      <c r="E211" s="666"/>
      <c r="F211" s="666"/>
      <c r="G211" s="666"/>
      <c r="H211" s="666"/>
      <c r="I211" s="666"/>
      <c r="J211" s="666"/>
      <c r="K211" s="666"/>
      <c r="L211" s="666"/>
      <c r="M211" s="666"/>
      <c r="N211" s="855"/>
    </row>
    <row r="212" spans="1:42">
      <c r="A212" s="662"/>
      <c r="B212" s="662"/>
      <c r="C212" s="662"/>
      <c r="D212" s="666"/>
      <c r="E212" s="666"/>
      <c r="F212" s="666"/>
      <c r="G212" s="666"/>
      <c r="H212" s="666"/>
      <c r="I212" s="666"/>
      <c r="J212" s="666"/>
      <c r="K212" s="666"/>
      <c r="L212" s="666"/>
      <c r="M212" s="666"/>
      <c r="N212" s="666"/>
    </row>
    <row r="213" spans="1:42" ht="15" thickBot="1">
      <c r="A213" s="662"/>
      <c r="B213" s="662"/>
      <c r="C213" s="662"/>
      <c r="D213" s="662"/>
      <c r="E213" s="666"/>
      <c r="F213" s="666"/>
      <c r="G213" s="666"/>
      <c r="H213" s="666"/>
      <c r="I213" s="666"/>
      <c r="J213" s="666"/>
      <c r="K213" s="666"/>
      <c r="L213" s="666"/>
      <c r="M213" s="666"/>
      <c r="N213" s="666"/>
    </row>
    <row r="214" spans="1:42" ht="15" thickBot="1">
      <c r="A214" s="1153" t="s">
        <v>178</v>
      </c>
      <c r="B214" s="3301" t="s">
        <v>323</v>
      </c>
      <c r="C214" s="3302"/>
      <c r="D214" s="67"/>
      <c r="E214" s="666">
        <f>D214-D244</f>
        <v>-4416236.9886413729</v>
      </c>
      <c r="F214" s="666"/>
      <c r="G214" s="666"/>
      <c r="H214" s="666"/>
      <c r="I214" s="666"/>
      <c r="J214" s="666"/>
      <c r="K214" s="666"/>
      <c r="L214" s="666"/>
      <c r="M214" s="3292"/>
      <c r="N214" s="3292" t="s">
        <v>257</v>
      </c>
    </row>
    <row r="215" spans="1:42" ht="13.5" customHeight="1" thickBot="1">
      <c r="A215" s="3311" t="s">
        <v>258</v>
      </c>
      <c r="B215" s="1212"/>
      <c r="C215" s="3280" t="s">
        <v>259</v>
      </c>
      <c r="D215" s="3314" t="s">
        <v>260</v>
      </c>
      <c r="E215" s="3314" t="s">
        <v>261</v>
      </c>
      <c r="F215" s="3314" t="s">
        <v>262</v>
      </c>
      <c r="G215" s="3324" t="s">
        <v>263</v>
      </c>
      <c r="H215" s="3325"/>
      <c r="I215" s="3325"/>
      <c r="J215" s="3325"/>
      <c r="K215" s="3325"/>
      <c r="L215" s="3325"/>
      <c r="M215" s="3325"/>
      <c r="N215" s="3326"/>
    </row>
    <row r="216" spans="1:42" ht="13.5" customHeight="1" thickBot="1">
      <c r="A216" s="3312"/>
      <c r="B216" s="1213"/>
      <c r="C216" s="3281"/>
      <c r="D216" s="3315"/>
      <c r="E216" s="3315"/>
      <c r="F216" s="3315"/>
      <c r="G216" s="3289" t="s">
        <v>264</v>
      </c>
      <c r="H216" s="3290"/>
      <c r="I216" s="3290"/>
      <c r="J216" s="3291"/>
      <c r="K216" s="3318" t="s">
        <v>265</v>
      </c>
      <c r="L216" s="3319"/>
      <c r="M216" s="3319"/>
      <c r="N216" s="3320"/>
    </row>
    <row r="217" spans="1:42" ht="40.15" thickBot="1">
      <c r="A217" s="3312"/>
      <c r="B217" s="1214"/>
      <c r="C217" s="3281"/>
      <c r="D217" s="3316"/>
      <c r="E217" s="3316"/>
      <c r="F217" s="3316"/>
      <c r="G217" s="1125" t="s">
        <v>267</v>
      </c>
      <c r="H217" s="1125" t="s">
        <v>268</v>
      </c>
      <c r="I217" s="1125" t="s">
        <v>269</v>
      </c>
      <c r="J217" s="1125" t="s">
        <v>160</v>
      </c>
      <c r="K217" s="1126" t="s">
        <v>270</v>
      </c>
      <c r="L217" s="1126" t="s">
        <v>271</v>
      </c>
      <c r="M217" s="1126" t="s">
        <v>272</v>
      </c>
      <c r="N217" s="2969" t="s">
        <v>160</v>
      </c>
    </row>
    <row r="218" spans="1:42" ht="15" thickBot="1">
      <c r="A218" s="3312"/>
      <c r="B218" s="1213"/>
      <c r="C218" s="3281"/>
      <c r="D218" s="1216">
        <v>1</v>
      </c>
      <c r="E218" s="1216">
        <v>2</v>
      </c>
      <c r="F218" s="1216">
        <v>3</v>
      </c>
      <c r="G218" s="1217">
        <v>4</v>
      </c>
      <c r="H218" s="1216">
        <v>5</v>
      </c>
      <c r="I218" s="1218">
        <v>6</v>
      </c>
      <c r="J218" s="2971">
        <v>7</v>
      </c>
      <c r="K218" s="1217">
        <v>8</v>
      </c>
      <c r="L218" s="1216">
        <v>9</v>
      </c>
      <c r="M218" s="1238">
        <v>10</v>
      </c>
      <c r="N218" s="1215">
        <v>11</v>
      </c>
    </row>
    <row r="219" spans="1:42" ht="15" thickBot="1">
      <c r="A219" s="3313"/>
      <c r="B219" s="1219"/>
      <c r="C219" s="3282"/>
      <c r="D219" s="1220"/>
      <c r="E219" s="1220"/>
      <c r="F219" s="1220"/>
      <c r="G219" s="1221"/>
      <c r="H219" s="1220"/>
      <c r="I219" s="1222"/>
      <c r="J219" s="1222" t="s">
        <v>273</v>
      </c>
      <c r="K219" s="1221"/>
      <c r="L219" s="1220"/>
      <c r="M219" s="1667"/>
      <c r="N219" s="1215" t="s">
        <v>274</v>
      </c>
    </row>
    <row r="220" spans="1:42">
      <c r="A220" s="1227"/>
      <c r="B220" s="1225" t="s">
        <v>275</v>
      </c>
      <c r="C220" s="1133"/>
      <c r="D220" s="1228"/>
      <c r="E220" s="673"/>
      <c r="F220" s="673"/>
      <c r="G220" s="921"/>
      <c r="H220" s="1095"/>
      <c r="I220" s="1096"/>
      <c r="J220" s="1247"/>
      <c r="K220" s="914"/>
      <c r="L220" s="912"/>
      <c r="M220" s="915"/>
      <c r="N220" s="1260"/>
    </row>
    <row r="221" spans="1:42">
      <c r="A221" s="1944">
        <v>1</v>
      </c>
      <c r="B221" s="1945" t="s">
        <v>276</v>
      </c>
      <c r="C221" s="1830"/>
      <c r="D221" s="1946">
        <f t="shared" ref="D221:D261" si="51">+E221+F221+J221+N221</f>
        <v>0</v>
      </c>
      <c r="E221" s="1947"/>
      <c r="F221" s="1947"/>
      <c r="G221" s="2016"/>
      <c r="H221" s="1949"/>
      <c r="I221" s="2027"/>
      <c r="J221" s="2028">
        <f t="shared" ref="J221:J261" si="52">G221+H221+I221</f>
        <v>0</v>
      </c>
      <c r="K221" s="1947"/>
      <c r="L221" s="1947"/>
      <c r="M221" s="1968"/>
      <c r="N221" s="1967">
        <f t="shared" ref="N221:N261" si="53">K221+L221+M221</f>
        <v>0</v>
      </c>
    </row>
    <row r="222" spans="1:42">
      <c r="A222" s="1944">
        <v>2</v>
      </c>
      <c r="B222" s="1945" t="s">
        <v>277</v>
      </c>
      <c r="C222" s="1830"/>
      <c r="D222" s="1946">
        <f t="shared" si="51"/>
        <v>586.84351000000015</v>
      </c>
      <c r="E222" s="1947"/>
      <c r="F222" s="1947"/>
      <c r="G222" s="2016"/>
      <c r="H222" s="1949">
        <v>410.49703524500018</v>
      </c>
      <c r="I222" s="2027">
        <v>176.34647475500003</v>
      </c>
      <c r="J222" s="2028">
        <f t="shared" si="52"/>
        <v>586.84351000000015</v>
      </c>
      <c r="K222" s="1947"/>
      <c r="L222" s="1947"/>
      <c r="M222" s="1968"/>
      <c r="N222" s="1967">
        <f t="shared" si="53"/>
        <v>0</v>
      </c>
    </row>
    <row r="223" spans="1:42">
      <c r="A223" s="1944">
        <v>3</v>
      </c>
      <c r="B223" s="1945" t="s">
        <v>278</v>
      </c>
      <c r="C223" s="1830"/>
      <c r="D223" s="1946">
        <f t="shared" si="51"/>
        <v>0</v>
      </c>
      <c r="E223" s="1947"/>
      <c r="F223" s="1947"/>
      <c r="G223" s="2016"/>
      <c r="H223" s="1949"/>
      <c r="I223" s="2027"/>
      <c r="J223" s="2029">
        <f t="shared" si="52"/>
        <v>0</v>
      </c>
      <c r="K223" s="1947"/>
      <c r="L223" s="1947"/>
      <c r="M223" s="1968"/>
      <c r="N223" s="1967">
        <f t="shared" si="53"/>
        <v>0</v>
      </c>
    </row>
    <row r="224" spans="1:42">
      <c r="A224" s="1944">
        <v>4</v>
      </c>
      <c r="B224" s="1945" t="s">
        <v>324</v>
      </c>
      <c r="C224" s="1830"/>
      <c r="D224" s="1946">
        <f t="shared" si="51"/>
        <v>0</v>
      </c>
      <c r="E224" s="1947"/>
      <c r="F224" s="1947"/>
      <c r="G224" s="2016"/>
      <c r="H224" s="1949"/>
      <c r="I224" s="2027"/>
      <c r="J224" s="2029">
        <f t="shared" si="52"/>
        <v>0</v>
      </c>
      <c r="K224" s="1947"/>
      <c r="L224" s="1947"/>
      <c r="M224" s="1968"/>
      <c r="N224" s="1967">
        <f t="shared" si="53"/>
        <v>0</v>
      </c>
    </row>
    <row r="225" spans="1:14">
      <c r="A225" s="1944">
        <v>5</v>
      </c>
      <c r="B225" s="1945" t="s">
        <v>280</v>
      </c>
      <c r="C225" s="1836">
        <v>5</v>
      </c>
      <c r="D225" s="1946">
        <f t="shared" si="51"/>
        <v>57691.936780000004</v>
      </c>
      <c r="E225" s="1947"/>
      <c r="F225" s="1947"/>
      <c r="G225" s="2016"/>
      <c r="H225" s="1949">
        <v>40355.509777610001</v>
      </c>
      <c r="I225" s="2027">
        <v>17336.427002390006</v>
      </c>
      <c r="J225" s="2029">
        <f t="shared" si="52"/>
        <v>57691.936780000004</v>
      </c>
      <c r="K225" s="1947"/>
      <c r="L225" s="1947"/>
      <c r="M225" s="1968"/>
      <c r="N225" s="1967">
        <f t="shared" si="53"/>
        <v>0</v>
      </c>
    </row>
    <row r="226" spans="1:14">
      <c r="A226" s="1944">
        <v>6</v>
      </c>
      <c r="B226" s="1945" t="s">
        <v>281</v>
      </c>
      <c r="C226" s="1830">
        <v>6</v>
      </c>
      <c r="D226" s="1946">
        <f t="shared" si="51"/>
        <v>0</v>
      </c>
      <c r="E226" s="1947"/>
      <c r="F226" s="1947"/>
      <c r="G226" s="2016"/>
      <c r="H226" s="1949"/>
      <c r="I226" s="2027"/>
      <c r="J226" s="2029">
        <f t="shared" si="52"/>
        <v>0</v>
      </c>
      <c r="K226" s="1947"/>
      <c r="L226" s="1947"/>
      <c r="M226" s="1968"/>
      <c r="N226" s="1967">
        <f t="shared" si="53"/>
        <v>0</v>
      </c>
    </row>
    <row r="227" spans="1:14">
      <c r="A227" s="1944">
        <v>7</v>
      </c>
      <c r="B227" s="1945" t="s">
        <v>282</v>
      </c>
      <c r="C227" s="1836">
        <v>7</v>
      </c>
      <c r="D227" s="1946">
        <f t="shared" si="51"/>
        <v>0</v>
      </c>
      <c r="E227" s="1947"/>
      <c r="F227" s="1947"/>
      <c r="G227" s="1968"/>
      <c r="H227" s="1949"/>
      <c r="I227" s="2027"/>
      <c r="J227" s="2029">
        <f t="shared" si="52"/>
        <v>0</v>
      </c>
      <c r="K227" s="1947">
        <f>K228+K229</f>
        <v>0</v>
      </c>
      <c r="L227" s="1947">
        <f>L228+L229</f>
        <v>0</v>
      </c>
      <c r="M227" s="1968">
        <f>M228+M229</f>
        <v>0</v>
      </c>
      <c r="N227" s="1967">
        <f t="shared" si="53"/>
        <v>0</v>
      </c>
    </row>
    <row r="228" spans="1:14">
      <c r="A228" s="1950"/>
      <c r="B228" s="1837" t="s">
        <v>283</v>
      </c>
      <c r="C228" s="1836"/>
      <c r="D228" s="1946">
        <f t="shared" si="51"/>
        <v>0</v>
      </c>
      <c r="E228" s="1947"/>
      <c r="F228" s="1947"/>
      <c r="G228" s="1968"/>
      <c r="H228" s="1949"/>
      <c r="I228" s="2027"/>
      <c r="J228" s="2029">
        <f t="shared" si="52"/>
        <v>0</v>
      </c>
      <c r="K228" s="1947"/>
      <c r="L228" s="1947"/>
      <c r="M228" s="1968"/>
      <c r="N228" s="1967">
        <f t="shared" si="53"/>
        <v>0</v>
      </c>
    </row>
    <row r="229" spans="1:14">
      <c r="A229" s="1950"/>
      <c r="B229" s="1837" t="s">
        <v>284</v>
      </c>
      <c r="C229" s="1836"/>
      <c r="D229" s="1946">
        <f t="shared" si="51"/>
        <v>0</v>
      </c>
      <c r="E229" s="1947"/>
      <c r="F229" s="1947"/>
      <c r="G229" s="1968"/>
      <c r="H229" s="1949"/>
      <c r="I229" s="2027"/>
      <c r="J229" s="2029">
        <f t="shared" si="52"/>
        <v>0</v>
      </c>
      <c r="K229" s="1947"/>
      <c r="L229" s="1947"/>
      <c r="M229" s="1968"/>
      <c r="N229" s="1967">
        <f t="shared" si="53"/>
        <v>0</v>
      </c>
    </row>
    <row r="230" spans="1:14">
      <c r="A230" s="1944">
        <v>8</v>
      </c>
      <c r="B230" s="1945" t="s">
        <v>285</v>
      </c>
      <c r="C230" s="1830">
        <v>8</v>
      </c>
      <c r="D230" s="1946">
        <f t="shared" si="51"/>
        <v>0</v>
      </c>
      <c r="E230" s="1947"/>
      <c r="F230" s="1947"/>
      <c r="G230" s="1968"/>
      <c r="H230" s="1949"/>
      <c r="I230" s="2027"/>
      <c r="J230" s="2029">
        <f t="shared" si="52"/>
        <v>0</v>
      </c>
      <c r="K230" s="1947">
        <f>K231+K232</f>
        <v>0</v>
      </c>
      <c r="L230" s="1947">
        <f>L231+L232</f>
        <v>0</v>
      </c>
      <c r="M230" s="1968">
        <f>M231+M232</f>
        <v>0</v>
      </c>
      <c r="N230" s="1967">
        <f t="shared" si="53"/>
        <v>0</v>
      </c>
    </row>
    <row r="231" spans="1:14">
      <c r="A231" s="1944"/>
      <c r="B231" s="1837" t="s">
        <v>286</v>
      </c>
      <c r="C231" s="1830"/>
      <c r="D231" s="1946">
        <f t="shared" si="51"/>
        <v>0</v>
      </c>
      <c r="E231" s="1947"/>
      <c r="F231" s="1947"/>
      <c r="G231" s="1968"/>
      <c r="H231" s="1949"/>
      <c r="I231" s="2027"/>
      <c r="J231" s="2029">
        <f t="shared" si="52"/>
        <v>0</v>
      </c>
      <c r="K231" s="1947"/>
      <c r="L231" s="1947"/>
      <c r="M231" s="1968"/>
      <c r="N231" s="1967">
        <f t="shared" si="53"/>
        <v>0</v>
      </c>
    </row>
    <row r="232" spans="1:14">
      <c r="A232" s="1944"/>
      <c r="B232" s="1837" t="s">
        <v>287</v>
      </c>
      <c r="C232" s="1830"/>
      <c r="D232" s="1946">
        <f t="shared" si="51"/>
        <v>0</v>
      </c>
      <c r="E232" s="1947"/>
      <c r="F232" s="1947"/>
      <c r="G232" s="1968"/>
      <c r="H232" s="1949"/>
      <c r="I232" s="2027"/>
      <c r="J232" s="2029">
        <f t="shared" si="52"/>
        <v>0</v>
      </c>
      <c r="K232" s="1947"/>
      <c r="L232" s="1947"/>
      <c r="M232" s="1968"/>
      <c r="N232" s="1967">
        <f t="shared" si="53"/>
        <v>0</v>
      </c>
    </row>
    <row r="233" spans="1:14" ht="26.45">
      <c r="A233" s="1951">
        <v>9</v>
      </c>
      <c r="B233" s="1952" t="s">
        <v>288</v>
      </c>
      <c r="C233" s="1840"/>
      <c r="D233" s="1953">
        <f t="shared" si="51"/>
        <v>3470094.8170990059</v>
      </c>
      <c r="E233" s="1954">
        <f>SUM(E234:E237)</f>
        <v>0</v>
      </c>
      <c r="F233" s="1954">
        <f>SUM(F234:F237)</f>
        <v>1513762.7114320097</v>
      </c>
      <c r="G233" s="1976">
        <f>SUM(G234:G237)</f>
        <v>0</v>
      </c>
      <c r="H233" s="1956">
        <f>SUM(H234:H237)</f>
        <v>1368454.3079161658</v>
      </c>
      <c r="I233" s="2030">
        <f>SUM(I234:I237)</f>
        <v>587877.7977508303</v>
      </c>
      <c r="J233" s="2031">
        <f t="shared" si="52"/>
        <v>1956332.105666996</v>
      </c>
      <c r="K233" s="1954">
        <f>SUM(K234:K237)</f>
        <v>0</v>
      </c>
      <c r="L233" s="1954">
        <f>SUM(L234:L237)</f>
        <v>0</v>
      </c>
      <c r="M233" s="1976">
        <f>SUM(M234:M237)</f>
        <v>0</v>
      </c>
      <c r="N233" s="1979">
        <f t="shared" si="53"/>
        <v>0</v>
      </c>
    </row>
    <row r="234" spans="1:14">
      <c r="A234" s="1950">
        <v>10</v>
      </c>
      <c r="B234" s="1846" t="s">
        <v>289</v>
      </c>
      <c r="C234" s="1830">
        <v>9</v>
      </c>
      <c r="D234" s="1946">
        <f t="shared" si="51"/>
        <v>224603.50912957764</v>
      </c>
      <c r="E234" s="1947"/>
      <c r="F234" s="1947">
        <v>63629.658059577654</v>
      </c>
      <c r="G234" s="2016"/>
      <c r="H234" s="1949">
        <v>112601.20882346499</v>
      </c>
      <c r="I234" s="2027">
        <v>48372.642246534997</v>
      </c>
      <c r="J234" s="2029">
        <f t="shared" si="52"/>
        <v>160973.85106999998</v>
      </c>
      <c r="K234" s="1947"/>
      <c r="L234" s="1947"/>
      <c r="M234" s="1968"/>
      <c r="N234" s="1967">
        <f t="shared" si="53"/>
        <v>0</v>
      </c>
    </row>
    <row r="235" spans="1:14">
      <c r="A235" s="1950">
        <v>11</v>
      </c>
      <c r="B235" s="1846" t="s">
        <v>290</v>
      </c>
      <c r="C235" s="1830">
        <v>10</v>
      </c>
      <c r="D235" s="1946">
        <f t="shared" si="51"/>
        <v>2624851.0273511773</v>
      </c>
      <c r="E235" s="1947"/>
      <c r="F235" s="1947">
        <v>1140347.1462941819</v>
      </c>
      <c r="G235" s="2016"/>
      <c r="H235" s="2032">
        <v>1038410.4648014703</v>
      </c>
      <c r="I235" s="2033">
        <v>446093.41625552514</v>
      </c>
      <c r="J235" s="2029">
        <f t="shared" si="52"/>
        <v>1484503.8810569954</v>
      </c>
      <c r="K235" s="1947"/>
      <c r="L235" s="1947"/>
      <c r="M235" s="1968"/>
      <c r="N235" s="1967">
        <f t="shared" si="53"/>
        <v>0</v>
      </c>
    </row>
    <row r="236" spans="1:14">
      <c r="A236" s="1950">
        <v>12</v>
      </c>
      <c r="B236" s="1846" t="s">
        <v>291</v>
      </c>
      <c r="C236" s="1830">
        <v>11</v>
      </c>
      <c r="D236" s="1946">
        <f t="shared" si="51"/>
        <v>544769.94244000071</v>
      </c>
      <c r="E236" s="1947"/>
      <c r="F236" s="1947">
        <v>233915.56890000001</v>
      </c>
      <c r="G236" s="2016"/>
      <c r="H236" s="2032">
        <v>217442.6342912305</v>
      </c>
      <c r="I236" s="2033">
        <v>93411.739248770216</v>
      </c>
      <c r="J236" s="2029">
        <f t="shared" si="52"/>
        <v>310854.3735400007</v>
      </c>
      <c r="K236" s="1947"/>
      <c r="L236" s="1947"/>
      <c r="M236" s="1968"/>
      <c r="N236" s="1967">
        <f t="shared" si="53"/>
        <v>0</v>
      </c>
    </row>
    <row r="237" spans="1:14" ht="26.45">
      <c r="A237" s="1950">
        <v>13</v>
      </c>
      <c r="B237" s="1846" t="s">
        <v>292</v>
      </c>
      <c r="C237" s="1830">
        <v>12</v>
      </c>
      <c r="D237" s="1946">
        <f t="shared" si="51"/>
        <v>75870.338178249993</v>
      </c>
      <c r="E237" s="1947"/>
      <c r="F237" s="1947">
        <v>75870.338178249993</v>
      </c>
      <c r="G237" s="2016"/>
      <c r="H237" s="2032"/>
      <c r="I237" s="2033"/>
      <c r="J237" s="2029">
        <f t="shared" si="52"/>
        <v>0</v>
      </c>
      <c r="K237" s="1947"/>
      <c r="L237" s="1947"/>
      <c r="M237" s="1968"/>
      <c r="N237" s="1967">
        <f t="shared" si="53"/>
        <v>0</v>
      </c>
    </row>
    <row r="238" spans="1:14">
      <c r="A238" s="1950">
        <v>14</v>
      </c>
      <c r="B238" s="1829" t="s">
        <v>293</v>
      </c>
      <c r="C238" s="1830">
        <v>13</v>
      </c>
      <c r="D238" s="1946">
        <f t="shared" si="51"/>
        <v>425525.37636999995</v>
      </c>
      <c r="E238" s="1947"/>
      <c r="F238" s="1947"/>
      <c r="G238" s="2016"/>
      <c r="H238" s="1949">
        <v>297655.00077081495</v>
      </c>
      <c r="I238" s="2027">
        <v>127870.37559918499</v>
      </c>
      <c r="J238" s="2029">
        <f t="shared" si="52"/>
        <v>425525.37636999995</v>
      </c>
      <c r="K238" s="1947"/>
      <c r="L238" s="1947"/>
      <c r="M238" s="1968"/>
      <c r="N238" s="1967">
        <f t="shared" si="53"/>
        <v>0</v>
      </c>
    </row>
    <row r="239" spans="1:14">
      <c r="A239" s="1950">
        <v>15</v>
      </c>
      <c r="B239" s="1829" t="s">
        <v>294</v>
      </c>
      <c r="C239" s="1836">
        <v>14</v>
      </c>
      <c r="D239" s="1946">
        <f t="shared" si="51"/>
        <v>8373.8950399999776</v>
      </c>
      <c r="E239" s="1947"/>
      <c r="F239" s="1947"/>
      <c r="G239" s="2016"/>
      <c r="H239" s="1949">
        <v>5857.5395804799846</v>
      </c>
      <c r="I239" s="2027">
        <v>2516.355459519993</v>
      </c>
      <c r="J239" s="2029">
        <f t="shared" si="52"/>
        <v>8373.8950399999776</v>
      </c>
      <c r="K239" s="1947"/>
      <c r="L239" s="1947"/>
      <c r="M239" s="1968"/>
      <c r="N239" s="1967">
        <f t="shared" si="53"/>
        <v>0</v>
      </c>
    </row>
    <row r="240" spans="1:14">
      <c r="A240" s="1950">
        <v>16</v>
      </c>
      <c r="B240" s="1829" t="s">
        <v>295</v>
      </c>
      <c r="C240" s="1830">
        <v>15</v>
      </c>
      <c r="D240" s="1946">
        <f t="shared" si="51"/>
        <v>62470.094720000023</v>
      </c>
      <c r="E240" s="1947"/>
      <c r="F240" s="1947"/>
      <c r="G240" s="2016"/>
      <c r="H240" s="1949">
        <v>43697.83125664002</v>
      </c>
      <c r="I240" s="2027">
        <v>18772.263463360006</v>
      </c>
      <c r="J240" s="2029">
        <f t="shared" si="52"/>
        <v>62470.094720000023</v>
      </c>
      <c r="K240" s="1947"/>
      <c r="L240" s="1947"/>
      <c r="M240" s="1968"/>
      <c r="N240" s="1967">
        <f t="shared" si="53"/>
        <v>0</v>
      </c>
    </row>
    <row r="241" spans="1:42">
      <c r="A241" s="1950">
        <v>17</v>
      </c>
      <c r="B241" s="1829" t="s">
        <v>296</v>
      </c>
      <c r="C241" s="1836">
        <v>16</v>
      </c>
      <c r="D241" s="1946">
        <f t="shared" si="51"/>
        <v>241478.84037236532</v>
      </c>
      <c r="E241" s="1947"/>
      <c r="F241" s="1947">
        <v>181259.84037236532</v>
      </c>
      <c r="G241" s="2016"/>
      <c r="H241" s="2032">
        <v>42123</v>
      </c>
      <c r="I241" s="2033">
        <v>18096</v>
      </c>
      <c r="J241" s="2029">
        <f t="shared" si="52"/>
        <v>60219</v>
      </c>
      <c r="K241" s="1947"/>
      <c r="L241" s="1947"/>
      <c r="M241" s="1968"/>
      <c r="N241" s="1967">
        <f t="shared" si="53"/>
        <v>0</v>
      </c>
    </row>
    <row r="242" spans="1:42">
      <c r="A242" s="1950">
        <v>18</v>
      </c>
      <c r="B242" s="1829" t="s">
        <v>297</v>
      </c>
      <c r="C242" s="1830"/>
      <c r="D242" s="1946">
        <f t="shared" si="51"/>
        <v>0</v>
      </c>
      <c r="E242" s="1947"/>
      <c r="F242" s="1947"/>
      <c r="G242" s="2016"/>
      <c r="H242" s="1949"/>
      <c r="I242" s="2027"/>
      <c r="J242" s="2029">
        <f t="shared" si="52"/>
        <v>0</v>
      </c>
      <c r="K242" s="1947"/>
      <c r="L242" s="1947"/>
      <c r="M242" s="1968"/>
      <c r="N242" s="1967">
        <f t="shared" si="53"/>
        <v>0</v>
      </c>
    </row>
    <row r="243" spans="1:42" ht="15" thickBot="1">
      <c r="A243" s="1957">
        <v>19</v>
      </c>
      <c r="B243" s="1848" t="s">
        <v>298</v>
      </c>
      <c r="C243" s="1847"/>
      <c r="D243" s="3120">
        <f t="shared" si="51"/>
        <v>150015.18475000176</v>
      </c>
      <c r="E243" s="3121"/>
      <c r="F243" s="3121">
        <v>397024.22411681141</v>
      </c>
      <c r="G243" s="956"/>
      <c r="H243" s="1097">
        <v>-1372226.9277365843</v>
      </c>
      <c r="I243" s="3128">
        <v>1125217.8883697747</v>
      </c>
      <c r="J243" s="3129">
        <f t="shared" si="52"/>
        <v>-247009.03936680965</v>
      </c>
      <c r="K243" s="3121"/>
      <c r="L243" s="3121"/>
      <c r="M243" s="969"/>
      <c r="N243" s="2019">
        <f t="shared" si="53"/>
        <v>0</v>
      </c>
    </row>
    <row r="244" spans="1:42" s="870" customFormat="1" ht="27" thickBot="1">
      <c r="A244" s="1235">
        <v>20</v>
      </c>
      <c r="B244" s="1139" t="s">
        <v>299</v>
      </c>
      <c r="C244" s="1138"/>
      <c r="D244" s="1236">
        <f t="shared" si="51"/>
        <v>4416236.9886413729</v>
      </c>
      <c r="E244" s="1236">
        <f>SUM(E221:E227)+E230+E233+SUM(E238:E243)</f>
        <v>0</v>
      </c>
      <c r="F244" s="1236">
        <f>SUM(F221:F227)+F230+F233+SUM(F238:F243)</f>
        <v>2092046.7759211864</v>
      </c>
      <c r="G244" s="1264">
        <f>SUM(G221:G227)+G230+G233+SUM(G238:G243)</f>
        <v>0</v>
      </c>
      <c r="H244" s="1237">
        <f>SUM(H221:H227)+H230+H233+SUM(H238:H243)</f>
        <v>426326.75860037131</v>
      </c>
      <c r="I244" s="1290">
        <f>SUM(I221:I227)+I230+I233+SUM(I238:I243)</f>
        <v>1897863.454119815</v>
      </c>
      <c r="J244" s="1291">
        <f t="shared" si="52"/>
        <v>2324190.2127201864</v>
      </c>
      <c r="K244" s="1236">
        <f>SUM(K221:K227)+K230+K233+SUM(K238:K243)</f>
        <v>0</v>
      </c>
      <c r="L244" s="1236">
        <f>SUM(L221:L227)+L230+L233+SUM(L238:L243)</f>
        <v>0</v>
      </c>
      <c r="M244" s="1264">
        <f>SUM(M221:M227)+M230+M233+SUM(M238:M243)</f>
        <v>0</v>
      </c>
      <c r="N244" s="1237">
        <f t="shared" si="53"/>
        <v>0</v>
      </c>
      <c r="O244"/>
      <c r="P244"/>
      <c r="Q244"/>
      <c r="R244"/>
      <c r="S244"/>
      <c r="T244"/>
      <c r="U244"/>
      <c r="V244"/>
      <c r="W244"/>
      <c r="X244"/>
      <c r="Y244"/>
      <c r="Z244"/>
      <c r="AA244"/>
      <c r="AB244"/>
      <c r="AC244"/>
      <c r="AD244"/>
      <c r="AE244"/>
      <c r="AF244"/>
      <c r="AG244" s="2982"/>
      <c r="AH244" s="2982"/>
      <c r="AI244" s="2976"/>
      <c r="AJ244" s="2976"/>
      <c r="AK244" s="2976"/>
      <c r="AL244" s="2976"/>
      <c r="AM244" s="2976"/>
      <c r="AN244" s="2976"/>
      <c r="AO244" s="2976"/>
      <c r="AP244" s="2976"/>
    </row>
    <row r="245" spans="1:42">
      <c r="A245" s="1227"/>
      <c r="B245" s="1225" t="s">
        <v>300</v>
      </c>
      <c r="C245" s="1133"/>
      <c r="D245" s="1230">
        <f t="shared" si="51"/>
        <v>0</v>
      </c>
      <c r="E245" s="914"/>
      <c r="F245" s="914"/>
      <c r="G245" s="911"/>
      <c r="H245" s="912"/>
      <c r="I245" s="933"/>
      <c r="J245" s="1287">
        <f t="shared" si="52"/>
        <v>0</v>
      </c>
      <c r="K245" s="914"/>
      <c r="L245" s="914"/>
      <c r="M245" s="967"/>
      <c r="N245" s="1231">
        <f t="shared" si="53"/>
        <v>0</v>
      </c>
    </row>
    <row r="246" spans="1:42">
      <c r="A246" s="1950"/>
      <c r="B246" s="1959" t="s">
        <v>301</v>
      </c>
      <c r="C246" s="1830"/>
      <c r="D246" s="1946">
        <f t="shared" si="51"/>
        <v>0</v>
      </c>
      <c r="E246" s="1947"/>
      <c r="F246" s="1947"/>
      <c r="G246" s="2034"/>
      <c r="H246" s="2035"/>
      <c r="I246" s="1996"/>
      <c r="J246" s="2029">
        <f t="shared" si="52"/>
        <v>0</v>
      </c>
      <c r="K246" s="1947"/>
      <c r="L246" s="1947"/>
      <c r="M246" s="1968"/>
      <c r="N246" s="1967">
        <f t="shared" si="53"/>
        <v>0</v>
      </c>
    </row>
    <row r="247" spans="1:42">
      <c r="A247" s="1950">
        <v>21</v>
      </c>
      <c r="B247" s="1829" t="s">
        <v>302</v>
      </c>
      <c r="C247" s="1836">
        <v>17</v>
      </c>
      <c r="D247" s="1946">
        <f t="shared" si="51"/>
        <v>1897003</v>
      </c>
      <c r="E247" s="1947"/>
      <c r="F247" s="1947"/>
      <c r="G247" s="2034"/>
      <c r="H247" s="2035">
        <v>129606</v>
      </c>
      <c r="I247" s="1996">
        <v>1767397</v>
      </c>
      <c r="J247" s="2029">
        <f t="shared" si="52"/>
        <v>1897003</v>
      </c>
      <c r="K247" s="1947"/>
      <c r="L247" s="1947"/>
      <c r="M247" s="1968"/>
      <c r="N247" s="1967">
        <f t="shared" si="53"/>
        <v>0</v>
      </c>
    </row>
    <row r="248" spans="1:42">
      <c r="A248" s="1950">
        <v>22</v>
      </c>
      <c r="B248" s="1829" t="s">
        <v>303</v>
      </c>
      <c r="C248" s="1830"/>
      <c r="D248" s="1946">
        <f t="shared" si="51"/>
        <v>16146.222999999998</v>
      </c>
      <c r="E248" s="1947"/>
      <c r="F248" s="1947"/>
      <c r="G248" s="2034"/>
      <c r="H248" s="2035">
        <v>9687.7337999999982</v>
      </c>
      <c r="I248" s="1996">
        <v>6458.4891999999991</v>
      </c>
      <c r="J248" s="2029">
        <f t="shared" si="52"/>
        <v>16146.222999999998</v>
      </c>
      <c r="K248" s="1947"/>
      <c r="L248" s="1947"/>
      <c r="M248" s="1968"/>
      <c r="N248" s="1967">
        <f t="shared" si="53"/>
        <v>0</v>
      </c>
    </row>
    <row r="249" spans="1:42">
      <c r="A249" s="1950">
        <v>23</v>
      </c>
      <c r="B249" s="1829" t="s">
        <v>304</v>
      </c>
      <c r="C249" s="1830">
        <v>18</v>
      </c>
      <c r="D249" s="1946">
        <f t="shared" si="51"/>
        <v>70001.399459999957</v>
      </c>
      <c r="E249" s="1947"/>
      <c r="F249" s="1947"/>
      <c r="G249" s="2034"/>
      <c r="H249" s="2035">
        <v>48965.978922269969</v>
      </c>
      <c r="I249" s="1996">
        <v>21035.420537729988</v>
      </c>
      <c r="J249" s="2029">
        <f t="shared" si="52"/>
        <v>70001.399459999957</v>
      </c>
      <c r="K249" s="1947"/>
      <c r="L249" s="1947"/>
      <c r="M249" s="1968"/>
      <c r="N249" s="1967">
        <f t="shared" si="53"/>
        <v>0</v>
      </c>
    </row>
    <row r="250" spans="1:42">
      <c r="A250" s="1950">
        <v>24</v>
      </c>
      <c r="B250" s="1829" t="s">
        <v>305</v>
      </c>
      <c r="C250" s="1830"/>
      <c r="D250" s="1946">
        <f t="shared" si="51"/>
        <v>0</v>
      </c>
      <c r="E250" s="1947"/>
      <c r="F250" s="1947"/>
      <c r="G250" s="2034"/>
      <c r="H250" s="2035"/>
      <c r="I250" s="1996"/>
      <c r="J250" s="2029">
        <f t="shared" si="52"/>
        <v>0</v>
      </c>
      <c r="K250" s="1947"/>
      <c r="L250" s="1947"/>
      <c r="M250" s="1968"/>
      <c r="N250" s="1967">
        <f t="shared" si="53"/>
        <v>0</v>
      </c>
    </row>
    <row r="251" spans="1:42">
      <c r="A251" s="1950">
        <v>25</v>
      </c>
      <c r="B251" s="1851" t="s">
        <v>306</v>
      </c>
      <c r="C251" s="1830"/>
      <c r="D251" s="1946">
        <f t="shared" si="51"/>
        <v>0</v>
      </c>
      <c r="E251" s="1947"/>
      <c r="F251" s="1947"/>
      <c r="G251" s="2034"/>
      <c r="H251" s="2035"/>
      <c r="I251" s="1996"/>
      <c r="J251" s="2029">
        <f t="shared" si="52"/>
        <v>0</v>
      </c>
      <c r="K251" s="1947"/>
      <c r="L251" s="1947"/>
      <c r="M251" s="1968"/>
      <c r="N251" s="1967">
        <f t="shared" si="53"/>
        <v>0</v>
      </c>
    </row>
    <row r="252" spans="1:42" ht="15" thickBot="1">
      <c r="A252" s="1957">
        <v>26</v>
      </c>
      <c r="B252" s="1848" t="s">
        <v>307</v>
      </c>
      <c r="C252" s="1852">
        <v>19</v>
      </c>
      <c r="D252" s="3120">
        <f t="shared" si="51"/>
        <v>361941.2865631883</v>
      </c>
      <c r="E252" s="3121"/>
      <c r="F252" s="3121">
        <v>20901.525579999998</v>
      </c>
      <c r="G252" s="3130"/>
      <c r="H252" s="956">
        <v>238067.35572334021</v>
      </c>
      <c r="I252" s="2036">
        <v>102972.40525984809</v>
      </c>
      <c r="J252" s="3129">
        <f t="shared" si="52"/>
        <v>341039.76098318829</v>
      </c>
      <c r="K252" s="3121"/>
      <c r="L252" s="3121"/>
      <c r="M252" s="969"/>
      <c r="N252" s="2019">
        <f t="shared" si="53"/>
        <v>0</v>
      </c>
    </row>
    <row r="253" spans="1:42" s="870" customFormat="1" ht="27" thickBot="1">
      <c r="A253" s="1226">
        <v>27</v>
      </c>
      <c r="B253" s="1136" t="s">
        <v>308</v>
      </c>
      <c r="C253" s="1135"/>
      <c r="D253" s="1241">
        <f t="shared" si="51"/>
        <v>2345091.9090231885</v>
      </c>
      <c r="E253" s="934">
        <f>SUM(E247:E252)</f>
        <v>0</v>
      </c>
      <c r="F253" s="934">
        <f>SUM(F247:F252)</f>
        <v>20901.525579999998</v>
      </c>
      <c r="G253" s="934">
        <f>SUM(G247:G252)</f>
        <v>0</v>
      </c>
      <c r="H253" s="946">
        <f>SUM(H247:H252)</f>
        <v>426327.06844561017</v>
      </c>
      <c r="I253" s="938">
        <f>SUM(I247:I252)</f>
        <v>1897863.314997578</v>
      </c>
      <c r="J253" s="1286">
        <f t="shared" si="52"/>
        <v>2324190.3834431884</v>
      </c>
      <c r="K253" s="916">
        <f>SUM(K247:K252)</f>
        <v>0</v>
      </c>
      <c r="L253" s="934">
        <f>SUM(L247:L252)</f>
        <v>0</v>
      </c>
      <c r="M253" s="946">
        <f>SUM(M247:M252)</f>
        <v>0</v>
      </c>
      <c r="N253" s="1261">
        <f t="shared" si="53"/>
        <v>0</v>
      </c>
      <c r="O253"/>
      <c r="P253"/>
      <c r="Q253"/>
      <c r="R253"/>
      <c r="S253"/>
      <c r="T253"/>
      <c r="U253"/>
      <c r="V253"/>
      <c r="W253"/>
      <c r="X253"/>
      <c r="Y253"/>
      <c r="Z253"/>
      <c r="AA253"/>
      <c r="AB253"/>
      <c r="AC253"/>
      <c r="AD253"/>
      <c r="AE253"/>
      <c r="AF253"/>
      <c r="AG253" s="2982"/>
      <c r="AH253" s="2982"/>
      <c r="AI253" s="2976"/>
      <c r="AJ253" s="2976"/>
      <c r="AK253" s="2976"/>
      <c r="AL253" s="2976"/>
      <c r="AM253" s="2976"/>
      <c r="AN253" s="2976"/>
      <c r="AO253" s="2976"/>
      <c r="AP253" s="2976"/>
    </row>
    <row r="254" spans="1:42">
      <c r="A254" s="1227"/>
      <c r="B254" s="1225" t="s">
        <v>309</v>
      </c>
      <c r="C254" s="1133">
        <v>20</v>
      </c>
      <c r="D254" s="1230">
        <f t="shared" si="51"/>
        <v>0</v>
      </c>
      <c r="E254" s="914"/>
      <c r="F254" s="914"/>
      <c r="G254" s="911"/>
      <c r="H254" s="912"/>
      <c r="I254" s="933"/>
      <c r="J254" s="1245">
        <f t="shared" si="52"/>
        <v>0</v>
      </c>
      <c r="K254" s="914"/>
      <c r="L254" s="914"/>
      <c r="M254" s="967"/>
      <c r="N254" s="1231">
        <f t="shared" si="53"/>
        <v>0</v>
      </c>
    </row>
    <row r="255" spans="1:42">
      <c r="A255" s="1950">
        <v>28</v>
      </c>
      <c r="B255" s="1945" t="s">
        <v>310</v>
      </c>
      <c r="C255" s="1836"/>
      <c r="D255" s="1946">
        <f t="shared" si="51"/>
        <v>675564.87</v>
      </c>
      <c r="E255" s="1947"/>
      <c r="F255" s="1947">
        <v>675564.87</v>
      </c>
      <c r="G255" s="2034"/>
      <c r="H255" s="2035"/>
      <c r="I255" s="1996"/>
      <c r="J255" s="2014">
        <f t="shared" si="52"/>
        <v>0</v>
      </c>
      <c r="K255" s="1947"/>
      <c r="L255" s="1947"/>
      <c r="M255" s="1968"/>
      <c r="N255" s="1967">
        <f t="shared" si="53"/>
        <v>0</v>
      </c>
    </row>
    <row r="256" spans="1:42">
      <c r="A256" s="1950">
        <v>29</v>
      </c>
      <c r="B256" s="1945" t="s">
        <v>311</v>
      </c>
      <c r="C256" s="1836"/>
      <c r="D256" s="1946">
        <f t="shared" si="51"/>
        <v>-26545.649739999997</v>
      </c>
      <c r="E256" s="1947"/>
      <c r="F256" s="1947">
        <v>-26545.649739999997</v>
      </c>
      <c r="G256" s="2034"/>
      <c r="H256" s="2035"/>
      <c r="I256" s="1996"/>
      <c r="J256" s="2014">
        <f t="shared" si="52"/>
        <v>0</v>
      </c>
      <c r="K256" s="1947"/>
      <c r="L256" s="1947"/>
      <c r="M256" s="1968"/>
      <c r="N256" s="1967">
        <f t="shared" si="53"/>
        <v>0</v>
      </c>
    </row>
    <row r="257" spans="1:42">
      <c r="A257" s="1950">
        <v>30</v>
      </c>
      <c r="B257" s="1945" t="s">
        <v>312</v>
      </c>
      <c r="C257" s="1852"/>
      <c r="D257" s="1946">
        <f t="shared" si="51"/>
        <v>0</v>
      </c>
      <c r="E257" s="1947"/>
      <c r="F257" s="3121"/>
      <c r="G257" s="3130"/>
      <c r="H257" s="2037"/>
      <c r="I257" s="2038"/>
      <c r="J257" s="2014">
        <f t="shared" si="52"/>
        <v>0</v>
      </c>
      <c r="K257" s="1947"/>
      <c r="L257" s="1947"/>
      <c r="M257" s="1968"/>
      <c r="N257" s="1967">
        <f t="shared" si="53"/>
        <v>0</v>
      </c>
    </row>
    <row r="258" spans="1:42">
      <c r="A258" s="1950">
        <v>31</v>
      </c>
      <c r="B258" s="1945" t="s">
        <v>313</v>
      </c>
      <c r="C258" s="1852"/>
      <c r="D258" s="1946">
        <f t="shared" si="51"/>
        <v>0</v>
      </c>
      <c r="E258" s="1947"/>
      <c r="F258" s="3121"/>
      <c r="G258" s="3130"/>
      <c r="H258" s="2037"/>
      <c r="I258" s="2038"/>
      <c r="J258" s="2014">
        <f t="shared" si="52"/>
        <v>0</v>
      </c>
      <c r="K258" s="1947"/>
      <c r="L258" s="1947"/>
      <c r="M258" s="1968"/>
      <c r="N258" s="1967">
        <f t="shared" si="53"/>
        <v>0</v>
      </c>
    </row>
    <row r="259" spans="1:42" ht="15" thickBot="1">
      <c r="A259" s="1957">
        <v>32</v>
      </c>
      <c r="B259" s="1960" t="s">
        <v>314</v>
      </c>
      <c r="C259" s="1852"/>
      <c r="D259" s="1946">
        <f t="shared" si="51"/>
        <v>1422126.1879891772</v>
      </c>
      <c r="E259" s="1947"/>
      <c r="F259" s="3121">
        <v>1422126.1879891772</v>
      </c>
      <c r="G259" s="3130"/>
      <c r="H259" s="2037"/>
      <c r="I259" s="2038"/>
      <c r="J259" s="2014">
        <f t="shared" si="52"/>
        <v>0</v>
      </c>
      <c r="K259" s="1947"/>
      <c r="L259" s="1947"/>
      <c r="M259" s="1968"/>
      <c r="N259" s="1967">
        <f t="shared" si="53"/>
        <v>0</v>
      </c>
    </row>
    <row r="260" spans="1:42" s="870" customFormat="1" ht="15" thickBot="1">
      <c r="A260" s="1283">
        <v>33</v>
      </c>
      <c r="B260" s="1169" t="s">
        <v>315</v>
      </c>
      <c r="C260" s="1170"/>
      <c r="D260" s="1285">
        <f t="shared" si="51"/>
        <v>2071145.408249177</v>
      </c>
      <c r="E260" s="963">
        <f>SUM(E255:E259)</f>
        <v>0</v>
      </c>
      <c r="F260" s="963">
        <f>SUM(F255:F259)</f>
        <v>2071145.408249177</v>
      </c>
      <c r="G260" s="963">
        <f>SUM(G255:G259)</f>
        <v>0</v>
      </c>
      <c r="H260" s="964">
        <f>SUM(H255:H259)</f>
        <v>0</v>
      </c>
      <c r="I260" s="965">
        <f>SUM(I255:I259)</f>
        <v>0</v>
      </c>
      <c r="J260" s="1288">
        <f t="shared" si="52"/>
        <v>0</v>
      </c>
      <c r="K260" s="963">
        <f>SUM(K255:K259)</f>
        <v>0</v>
      </c>
      <c r="L260" s="963">
        <f>SUM(L255:L259)</f>
        <v>0</v>
      </c>
      <c r="M260" s="964">
        <f>SUM(M255:M259)</f>
        <v>0</v>
      </c>
      <c r="N260" s="1289">
        <f t="shared" si="53"/>
        <v>0</v>
      </c>
      <c r="O260"/>
      <c r="P260"/>
      <c r="Q260"/>
      <c r="R260"/>
      <c r="S260"/>
      <c r="T260"/>
      <c r="U260"/>
      <c r="V260"/>
      <c r="W260"/>
      <c r="X260"/>
      <c r="Y260"/>
      <c r="Z260"/>
      <c r="AA260"/>
      <c r="AB260"/>
      <c r="AC260"/>
      <c r="AD260"/>
      <c r="AE260"/>
      <c r="AF260"/>
      <c r="AG260" s="2982"/>
      <c r="AH260" s="2982"/>
      <c r="AI260" s="2976"/>
      <c r="AJ260" s="2976"/>
      <c r="AK260" s="2976"/>
      <c r="AL260" s="2976"/>
      <c r="AM260" s="2976"/>
      <c r="AN260" s="2976"/>
      <c r="AO260" s="2976"/>
      <c r="AP260" s="2976"/>
    </row>
    <row r="261" spans="1:42" s="870" customFormat="1" ht="27" thickBot="1">
      <c r="A261" s="1235">
        <v>34</v>
      </c>
      <c r="B261" s="1139" t="s">
        <v>317</v>
      </c>
      <c r="C261" s="1138"/>
      <c r="D261" s="1268">
        <f t="shared" si="51"/>
        <v>4416237.3172723651</v>
      </c>
      <c r="E261" s="1268">
        <f>E260+E253</f>
        <v>0</v>
      </c>
      <c r="F261" s="1268">
        <f>F260+F253</f>
        <v>2092046.9338291769</v>
      </c>
      <c r="G261" s="1268">
        <f>G260+G253</f>
        <v>0</v>
      </c>
      <c r="H261" s="1268">
        <f>H260+H253</f>
        <v>426327.06844561017</v>
      </c>
      <c r="I261" s="1268">
        <f>I260+I253</f>
        <v>1897863.314997578</v>
      </c>
      <c r="J261" s="1277">
        <f t="shared" si="52"/>
        <v>2324190.3834431884</v>
      </c>
      <c r="K261" s="1268">
        <f>K260+K253</f>
        <v>0</v>
      </c>
      <c r="L261" s="1268">
        <f>L260+L253</f>
        <v>0</v>
      </c>
      <c r="M261" s="1269">
        <f>M260+M253</f>
        <v>0</v>
      </c>
      <c r="N261" s="1271">
        <f t="shared" si="53"/>
        <v>0</v>
      </c>
      <c r="O261"/>
      <c r="P261"/>
      <c r="Q261"/>
      <c r="R261"/>
      <c r="S261"/>
      <c r="T261"/>
      <c r="U261"/>
      <c r="V261"/>
      <c r="W261"/>
      <c r="X261"/>
      <c r="Y261"/>
      <c r="Z261"/>
      <c r="AA261"/>
      <c r="AB261"/>
      <c r="AC261"/>
      <c r="AD261"/>
      <c r="AE261"/>
      <c r="AF261"/>
      <c r="AG261" s="2982"/>
      <c r="AH261" s="2982"/>
      <c r="AI261" s="2976"/>
      <c r="AJ261" s="2976"/>
      <c r="AK261" s="2976"/>
      <c r="AL261" s="2976"/>
      <c r="AM261" s="2976"/>
      <c r="AN261" s="2976"/>
      <c r="AO261" s="2976"/>
      <c r="AP261" s="2976"/>
    </row>
    <row r="262" spans="1:42">
      <c r="B262"/>
      <c r="C262"/>
      <c r="D262"/>
      <c r="E262"/>
      <c r="F262"/>
      <c r="G262"/>
      <c r="H262"/>
      <c r="I262"/>
      <c r="J262"/>
      <c r="K262"/>
      <c r="L262"/>
      <c r="M262"/>
      <c r="N262"/>
    </row>
    <row r="263" spans="1:42">
      <c r="B263"/>
      <c r="C263"/>
      <c r="D263"/>
      <c r="E263"/>
      <c r="F263"/>
      <c r="G263"/>
      <c r="H263"/>
      <c r="I263"/>
      <c r="J263"/>
      <c r="K263"/>
      <c r="L263"/>
      <c r="M263"/>
      <c r="N263"/>
    </row>
    <row r="264" spans="1:42">
      <c r="B264"/>
      <c r="C264"/>
      <c r="D264"/>
      <c r="E264"/>
      <c r="F264"/>
      <c r="G264"/>
      <c r="H264"/>
      <c r="I264"/>
      <c r="J264"/>
      <c r="K264"/>
      <c r="L264"/>
      <c r="M264"/>
      <c r="N264"/>
    </row>
    <row r="265" spans="1:42">
      <c r="B265"/>
      <c r="C265"/>
      <c r="D265"/>
      <c r="E265"/>
      <c r="F265"/>
      <c r="G265"/>
      <c r="H265"/>
      <c r="I265"/>
      <c r="J265"/>
      <c r="K265"/>
      <c r="L265"/>
      <c r="M265"/>
      <c r="N265"/>
    </row>
    <row r="266" spans="1:42" ht="15" thickBot="1"/>
    <row r="267" spans="1:42" ht="15" thickBot="1">
      <c r="A267" s="1153" t="s">
        <v>177</v>
      </c>
      <c r="B267" s="3317" t="s">
        <v>116</v>
      </c>
      <c r="C267" s="3304"/>
      <c r="D267" s="662"/>
      <c r="E267" s="662"/>
      <c r="F267" s="662"/>
      <c r="G267" s="662"/>
      <c r="H267" s="662"/>
      <c r="I267" s="662"/>
      <c r="J267" s="662"/>
      <c r="K267" s="662"/>
      <c r="L267" s="662"/>
      <c r="M267" s="3292"/>
      <c r="N267" s="3292" t="s">
        <v>257</v>
      </c>
    </row>
    <row r="268" spans="1:42" ht="13.5" customHeight="1" thickBot="1">
      <c r="A268" s="3311" t="s">
        <v>258</v>
      </c>
      <c r="B268" s="1212"/>
      <c r="C268" s="3280" t="s">
        <v>259</v>
      </c>
      <c r="D268" s="3314" t="s">
        <v>260</v>
      </c>
      <c r="E268" s="3314" t="s">
        <v>261</v>
      </c>
      <c r="F268" s="3314" t="s">
        <v>262</v>
      </c>
      <c r="G268" s="3324" t="s">
        <v>263</v>
      </c>
      <c r="H268" s="3325"/>
      <c r="I268" s="3325"/>
      <c r="J268" s="3325"/>
      <c r="K268" s="3325"/>
      <c r="L268" s="3325"/>
      <c r="M268" s="3325"/>
      <c r="N268" s="3326"/>
    </row>
    <row r="269" spans="1:42" ht="13.5" customHeight="1" thickBot="1">
      <c r="A269" s="3312"/>
      <c r="B269" s="1213"/>
      <c r="C269" s="3281"/>
      <c r="D269" s="3315"/>
      <c r="E269" s="3315"/>
      <c r="F269" s="3315"/>
      <c r="G269" s="3289" t="s">
        <v>264</v>
      </c>
      <c r="H269" s="3290"/>
      <c r="I269" s="3290"/>
      <c r="J269" s="3291"/>
      <c r="K269" s="3318" t="s">
        <v>265</v>
      </c>
      <c r="L269" s="3319"/>
      <c r="M269" s="3319"/>
      <c r="N269" s="3320"/>
    </row>
    <row r="270" spans="1:42" ht="40.15" thickBot="1">
      <c r="A270" s="3312"/>
      <c r="B270" s="1214"/>
      <c r="C270" s="3281"/>
      <c r="D270" s="3316"/>
      <c r="E270" s="3316"/>
      <c r="F270" s="3316"/>
      <c r="G270" s="1125" t="s">
        <v>267</v>
      </c>
      <c r="H270" s="1125" t="s">
        <v>268</v>
      </c>
      <c r="I270" s="1125" t="s">
        <v>269</v>
      </c>
      <c r="J270" s="1125" t="s">
        <v>160</v>
      </c>
      <c r="K270" s="1126" t="s">
        <v>270</v>
      </c>
      <c r="L270" s="1126" t="s">
        <v>271</v>
      </c>
      <c r="M270" s="1126" t="s">
        <v>272</v>
      </c>
      <c r="N270" s="2969" t="s">
        <v>160</v>
      </c>
    </row>
    <row r="271" spans="1:42" ht="15" thickBot="1">
      <c r="A271" s="3312"/>
      <c r="B271" s="1213"/>
      <c r="C271" s="3281"/>
      <c r="D271" s="1215">
        <v>1</v>
      </c>
      <c r="E271" s="1216">
        <v>2</v>
      </c>
      <c r="F271" s="1216">
        <v>3</v>
      </c>
      <c r="G271" s="1217">
        <v>4</v>
      </c>
      <c r="H271" s="1216">
        <v>5</v>
      </c>
      <c r="I271" s="1218">
        <v>6</v>
      </c>
      <c r="J271" s="2971">
        <v>7</v>
      </c>
      <c r="K271" s="1217">
        <v>8</v>
      </c>
      <c r="L271" s="1216">
        <v>9</v>
      </c>
      <c r="M271" s="1238">
        <v>10</v>
      </c>
      <c r="N271" s="1215">
        <v>11</v>
      </c>
    </row>
    <row r="272" spans="1:42" ht="15" thickBot="1">
      <c r="A272" s="3313"/>
      <c r="B272" s="1219"/>
      <c r="C272" s="3282"/>
      <c r="D272" s="1220"/>
      <c r="E272" s="1220"/>
      <c r="F272" s="1220"/>
      <c r="G272" s="1221"/>
      <c r="H272" s="1220"/>
      <c r="I272" s="1292"/>
      <c r="J272" s="1222" t="s">
        <v>273</v>
      </c>
      <c r="K272" s="1221"/>
      <c r="L272" s="1220"/>
      <c r="M272" s="1667"/>
      <c r="N272" s="1293" t="s">
        <v>274</v>
      </c>
    </row>
    <row r="273" spans="1:14">
      <c r="A273" s="1224"/>
      <c r="B273" s="1294" t="s">
        <v>275</v>
      </c>
      <c r="C273" s="1183"/>
      <c r="D273" s="1295"/>
      <c r="E273" s="671"/>
      <c r="F273" s="671"/>
      <c r="G273" s="668"/>
      <c r="H273" s="669"/>
      <c r="I273" s="672"/>
      <c r="J273" s="1297"/>
      <c r="K273" s="664"/>
      <c r="L273" s="663"/>
      <c r="M273" s="665"/>
      <c r="N273" s="1298"/>
    </row>
    <row r="274" spans="1:14">
      <c r="A274" s="1944">
        <v>1</v>
      </c>
      <c r="B274" s="1945" t="s">
        <v>276</v>
      </c>
      <c r="C274" s="1830"/>
      <c r="D274" s="1946">
        <f t="shared" ref="D274:D314" si="54">+E274+F274+J274+N274</f>
        <v>0</v>
      </c>
      <c r="E274" s="1973"/>
      <c r="F274" s="1973"/>
      <c r="G274" s="1970"/>
      <c r="H274" s="1966"/>
      <c r="I274" s="1972"/>
      <c r="J274" s="1833">
        <f t="shared" ref="J274:J314" si="55">G274+H274+I274</f>
        <v>0</v>
      </c>
      <c r="K274" s="1947"/>
      <c r="L274" s="1947"/>
      <c r="M274" s="1968"/>
      <c r="N274" s="1967">
        <f t="shared" ref="N274:N314" si="56">K274+L274+M274</f>
        <v>0</v>
      </c>
    </row>
    <row r="275" spans="1:14">
      <c r="A275" s="1944">
        <v>2</v>
      </c>
      <c r="B275" s="1945" t="s">
        <v>277</v>
      </c>
      <c r="C275" s="1830"/>
      <c r="D275" s="1946">
        <f t="shared" si="54"/>
        <v>1356</v>
      </c>
      <c r="E275" s="1973"/>
      <c r="F275" s="1973">
        <v>1356</v>
      </c>
      <c r="G275" s="1970">
        <v>0</v>
      </c>
      <c r="H275" s="1966">
        <v>0</v>
      </c>
      <c r="I275" s="1972">
        <v>0</v>
      </c>
      <c r="J275" s="1833">
        <f t="shared" si="55"/>
        <v>0</v>
      </c>
      <c r="K275" s="1947"/>
      <c r="L275" s="1947"/>
      <c r="M275" s="1968"/>
      <c r="N275" s="1967">
        <f t="shared" si="56"/>
        <v>0</v>
      </c>
    </row>
    <row r="276" spans="1:14">
      <c r="A276" s="1944">
        <v>3</v>
      </c>
      <c r="B276" s="1945" t="s">
        <v>278</v>
      </c>
      <c r="C276" s="1830"/>
      <c r="D276" s="1946">
        <f t="shared" si="54"/>
        <v>0</v>
      </c>
      <c r="E276" s="1973"/>
      <c r="F276" s="1973">
        <v>0</v>
      </c>
      <c r="G276" s="1970">
        <v>0</v>
      </c>
      <c r="H276" s="1966">
        <v>0</v>
      </c>
      <c r="I276" s="1972">
        <v>0</v>
      </c>
      <c r="J276" s="1833">
        <f t="shared" si="55"/>
        <v>0</v>
      </c>
      <c r="K276" s="1947"/>
      <c r="L276" s="1947"/>
      <c r="M276" s="1968"/>
      <c r="N276" s="1967">
        <f t="shared" si="56"/>
        <v>0</v>
      </c>
    </row>
    <row r="277" spans="1:14">
      <c r="A277" s="1944">
        <v>4</v>
      </c>
      <c r="B277" s="1945" t="s">
        <v>279</v>
      </c>
      <c r="C277" s="1830"/>
      <c r="D277" s="1946">
        <f t="shared" si="54"/>
        <v>361759</v>
      </c>
      <c r="E277" s="1973"/>
      <c r="F277" s="2039">
        <v>24188</v>
      </c>
      <c r="G277" s="2034">
        <v>337571</v>
      </c>
      <c r="H277" s="2035">
        <v>0</v>
      </c>
      <c r="I277" s="2040">
        <v>0</v>
      </c>
      <c r="J277" s="1833">
        <f t="shared" si="55"/>
        <v>337571</v>
      </c>
      <c r="K277" s="1947"/>
      <c r="L277" s="1947"/>
      <c r="M277" s="1968"/>
      <c r="N277" s="1967">
        <f t="shared" si="56"/>
        <v>0</v>
      </c>
    </row>
    <row r="278" spans="1:14">
      <c r="A278" s="1944">
        <v>5</v>
      </c>
      <c r="B278" s="1945" t="s">
        <v>280</v>
      </c>
      <c r="C278" s="1836">
        <v>5</v>
      </c>
      <c r="D278" s="1946">
        <f t="shared" si="54"/>
        <v>872403</v>
      </c>
      <c r="E278" s="1973"/>
      <c r="F278" s="1973">
        <v>329613</v>
      </c>
      <c r="G278" s="1970">
        <v>288132</v>
      </c>
      <c r="H278" s="1966">
        <v>254658</v>
      </c>
      <c r="I278" s="1972">
        <v>0</v>
      </c>
      <c r="J278" s="1833">
        <f t="shared" si="55"/>
        <v>542790</v>
      </c>
      <c r="K278" s="1947"/>
      <c r="L278" s="1947"/>
      <c r="M278" s="1968"/>
      <c r="N278" s="1967">
        <f t="shared" si="56"/>
        <v>0</v>
      </c>
    </row>
    <row r="279" spans="1:14">
      <c r="A279" s="1944">
        <v>6</v>
      </c>
      <c r="B279" s="1945" t="s">
        <v>281</v>
      </c>
      <c r="C279" s="1830">
        <v>6</v>
      </c>
      <c r="D279" s="1946">
        <f t="shared" si="54"/>
        <v>0</v>
      </c>
      <c r="E279" s="1947"/>
      <c r="F279" s="1947"/>
      <c r="G279" s="1947"/>
      <c r="H279" s="1968"/>
      <c r="I279" s="1996"/>
      <c r="J279" s="1833">
        <f t="shared" si="55"/>
        <v>0</v>
      </c>
      <c r="K279" s="1947"/>
      <c r="L279" s="1947"/>
      <c r="M279" s="1968"/>
      <c r="N279" s="1967">
        <f t="shared" si="56"/>
        <v>0</v>
      </c>
    </row>
    <row r="280" spans="1:14">
      <c r="A280" s="1944">
        <v>7</v>
      </c>
      <c r="B280" s="1945" t="s">
        <v>282</v>
      </c>
      <c r="C280" s="1836">
        <v>7</v>
      </c>
      <c r="D280" s="1946">
        <f t="shared" si="54"/>
        <v>0</v>
      </c>
      <c r="E280" s="1947"/>
      <c r="F280" s="1947">
        <f>F281+F282</f>
        <v>0</v>
      </c>
      <c r="G280" s="1947">
        <f>G281+G282</f>
        <v>0</v>
      </c>
      <c r="H280" s="1968">
        <f>H281+H282</f>
        <v>0</v>
      </c>
      <c r="I280" s="1996">
        <f>I281+I282</f>
        <v>0</v>
      </c>
      <c r="J280" s="1833">
        <f t="shared" si="55"/>
        <v>0</v>
      </c>
      <c r="K280" s="1947">
        <f>K281+K282</f>
        <v>0</v>
      </c>
      <c r="L280" s="1947">
        <f>L281+L282</f>
        <v>0</v>
      </c>
      <c r="M280" s="1968">
        <f>M281+M282</f>
        <v>0</v>
      </c>
      <c r="N280" s="1967">
        <f t="shared" si="56"/>
        <v>0</v>
      </c>
    </row>
    <row r="281" spans="1:14">
      <c r="A281" s="1950"/>
      <c r="B281" s="1837" t="s">
        <v>283</v>
      </c>
      <c r="C281" s="1836"/>
      <c r="D281" s="1946">
        <f t="shared" si="54"/>
        <v>0</v>
      </c>
      <c r="E281" s="1947"/>
      <c r="F281" s="1947"/>
      <c r="G281" s="1947"/>
      <c r="H281" s="1968"/>
      <c r="I281" s="1996"/>
      <c r="J281" s="1833">
        <f t="shared" si="55"/>
        <v>0</v>
      </c>
      <c r="K281" s="1947"/>
      <c r="L281" s="1947"/>
      <c r="M281" s="1968"/>
      <c r="N281" s="1967">
        <f t="shared" si="56"/>
        <v>0</v>
      </c>
    </row>
    <row r="282" spans="1:14">
      <c r="A282" s="1950"/>
      <c r="B282" s="1837" t="s">
        <v>284</v>
      </c>
      <c r="C282" s="1836"/>
      <c r="D282" s="1946">
        <f t="shared" si="54"/>
        <v>0</v>
      </c>
      <c r="E282" s="1947"/>
      <c r="F282" s="1947"/>
      <c r="G282" s="1947"/>
      <c r="H282" s="1968"/>
      <c r="I282" s="1996"/>
      <c r="J282" s="1833">
        <f t="shared" si="55"/>
        <v>0</v>
      </c>
      <c r="K282" s="1947"/>
      <c r="L282" s="1947"/>
      <c r="M282" s="1968"/>
      <c r="N282" s="1967">
        <f t="shared" si="56"/>
        <v>0</v>
      </c>
    </row>
    <row r="283" spans="1:14">
      <c r="A283" s="1944">
        <v>8</v>
      </c>
      <c r="B283" s="1945" t="s">
        <v>285</v>
      </c>
      <c r="C283" s="1830">
        <v>8</v>
      </c>
      <c r="D283" s="1946">
        <f t="shared" si="54"/>
        <v>0</v>
      </c>
      <c r="E283" s="1947"/>
      <c r="F283" s="1947">
        <f>F284+F285</f>
        <v>0</v>
      </c>
      <c r="G283" s="1947">
        <f>G284+G285</f>
        <v>0</v>
      </c>
      <c r="H283" s="1968">
        <f>H284+H285</f>
        <v>0</v>
      </c>
      <c r="I283" s="1996">
        <f>I284+I285</f>
        <v>0</v>
      </c>
      <c r="J283" s="1833">
        <f t="shared" si="55"/>
        <v>0</v>
      </c>
      <c r="K283" s="1947">
        <f>K284+K285</f>
        <v>0</v>
      </c>
      <c r="L283" s="1947">
        <f>L284+L285</f>
        <v>0</v>
      </c>
      <c r="M283" s="1968">
        <f>M284+M285</f>
        <v>0</v>
      </c>
      <c r="N283" s="1967">
        <f t="shared" si="56"/>
        <v>0</v>
      </c>
    </row>
    <row r="284" spans="1:14">
      <c r="A284" s="1944"/>
      <c r="B284" s="1837" t="s">
        <v>286</v>
      </c>
      <c r="C284" s="1830"/>
      <c r="D284" s="1946">
        <f t="shared" si="54"/>
        <v>0</v>
      </c>
      <c r="E284" s="1947"/>
      <c r="F284" s="1947"/>
      <c r="G284" s="1947"/>
      <c r="H284" s="1968"/>
      <c r="I284" s="1996"/>
      <c r="J284" s="1833">
        <f t="shared" si="55"/>
        <v>0</v>
      </c>
      <c r="K284" s="1947"/>
      <c r="L284" s="1947"/>
      <c r="M284" s="1968"/>
      <c r="N284" s="1967">
        <f t="shared" si="56"/>
        <v>0</v>
      </c>
    </row>
    <row r="285" spans="1:14">
      <c r="A285" s="1944"/>
      <c r="B285" s="1837" t="s">
        <v>287</v>
      </c>
      <c r="C285" s="1830"/>
      <c r="D285" s="1946">
        <f t="shared" si="54"/>
        <v>0</v>
      </c>
      <c r="E285" s="1947"/>
      <c r="F285" s="1947"/>
      <c r="G285" s="1947"/>
      <c r="H285" s="1968"/>
      <c r="I285" s="1996"/>
      <c r="J285" s="1833">
        <f t="shared" si="55"/>
        <v>0</v>
      </c>
      <c r="K285" s="1947"/>
      <c r="L285" s="1947"/>
      <c r="M285" s="1968"/>
      <c r="N285" s="1967">
        <f t="shared" si="56"/>
        <v>0</v>
      </c>
    </row>
    <row r="286" spans="1:14" ht="26.45">
      <c r="A286" s="1951">
        <v>9</v>
      </c>
      <c r="B286" s="1952" t="s">
        <v>288</v>
      </c>
      <c r="C286" s="1840"/>
      <c r="D286" s="1953">
        <f t="shared" si="54"/>
        <v>34217429</v>
      </c>
      <c r="E286" s="1954">
        <f>SUM(E287:E290)</f>
        <v>0</v>
      </c>
      <c r="F286" s="1954">
        <f>SUM(F287:F290)</f>
        <v>10709394</v>
      </c>
      <c r="G286" s="1954">
        <f>SUM(G287:G290)</f>
        <v>8052583</v>
      </c>
      <c r="H286" s="1976">
        <f>SUM(H287:H290)</f>
        <v>14410141.981009999</v>
      </c>
      <c r="I286" s="1977">
        <f>SUM(I287:I290)</f>
        <v>1045310.01899</v>
      </c>
      <c r="J286" s="1843">
        <f t="shared" si="55"/>
        <v>23508034.999999996</v>
      </c>
      <c r="K286" s="1954">
        <f>SUM(K287:K290)</f>
        <v>0</v>
      </c>
      <c r="L286" s="1954">
        <f>SUM(L287:L290)</f>
        <v>0</v>
      </c>
      <c r="M286" s="1976">
        <f>SUM(M287:M290)</f>
        <v>0</v>
      </c>
      <c r="N286" s="1979">
        <f t="shared" si="56"/>
        <v>0</v>
      </c>
    </row>
    <row r="287" spans="1:14">
      <c r="A287" s="1950">
        <v>10</v>
      </c>
      <c r="B287" s="1846" t="s">
        <v>289</v>
      </c>
      <c r="C287" s="1830">
        <v>9</v>
      </c>
      <c r="D287" s="1946">
        <f t="shared" si="54"/>
        <v>0</v>
      </c>
      <c r="E287" s="1973"/>
      <c r="F287" s="1973"/>
      <c r="G287" s="1970"/>
      <c r="H287" s="1966"/>
      <c r="I287" s="1972"/>
      <c r="J287" s="1833">
        <f t="shared" si="55"/>
        <v>0</v>
      </c>
      <c r="K287" s="1947"/>
      <c r="L287" s="1947"/>
      <c r="M287" s="1968"/>
      <c r="N287" s="1967">
        <f t="shared" si="56"/>
        <v>0</v>
      </c>
    </row>
    <row r="288" spans="1:14">
      <c r="A288" s="1950">
        <v>11</v>
      </c>
      <c r="B288" s="1846" t="s">
        <v>290</v>
      </c>
      <c r="C288" s="1830">
        <v>10</v>
      </c>
      <c r="D288" s="1946">
        <f t="shared" si="54"/>
        <v>25600336</v>
      </c>
      <c r="E288" s="1973"/>
      <c r="F288" s="1973">
        <v>8666173</v>
      </c>
      <c r="G288" s="1970">
        <v>5687136</v>
      </c>
      <c r="H288" s="1971">
        <v>10290979.57264</v>
      </c>
      <c r="I288" s="1965">
        <v>956047.42735999997</v>
      </c>
      <c r="J288" s="1833">
        <f t="shared" si="55"/>
        <v>16934163</v>
      </c>
      <c r="K288" s="1947"/>
      <c r="L288" s="1947"/>
      <c r="M288" s="1968"/>
      <c r="N288" s="1967">
        <f t="shared" si="56"/>
        <v>0</v>
      </c>
    </row>
    <row r="289" spans="1:42">
      <c r="A289" s="1950">
        <v>12</v>
      </c>
      <c r="B289" s="1846" t="s">
        <v>291</v>
      </c>
      <c r="C289" s="1830">
        <v>11</v>
      </c>
      <c r="D289" s="1946">
        <f t="shared" si="54"/>
        <v>3382909</v>
      </c>
      <c r="E289" s="1973"/>
      <c r="F289" s="1973">
        <v>1364549</v>
      </c>
      <c r="G289" s="1970">
        <v>1775867</v>
      </c>
      <c r="H289" s="1971">
        <v>242493</v>
      </c>
      <c r="I289" s="1965">
        <v>0</v>
      </c>
      <c r="J289" s="1833">
        <f t="shared" si="55"/>
        <v>2018360</v>
      </c>
      <c r="K289" s="1947"/>
      <c r="L289" s="1947"/>
      <c r="M289" s="1968"/>
      <c r="N289" s="1967">
        <f t="shared" si="56"/>
        <v>0</v>
      </c>
    </row>
    <row r="290" spans="1:42" ht="26.45">
      <c r="A290" s="1950">
        <v>13</v>
      </c>
      <c r="B290" s="1846" t="s">
        <v>292</v>
      </c>
      <c r="C290" s="1830">
        <v>12</v>
      </c>
      <c r="D290" s="1946">
        <f t="shared" si="54"/>
        <v>5234183.9999999991</v>
      </c>
      <c r="E290" s="1973"/>
      <c r="F290" s="1973">
        <v>678672</v>
      </c>
      <c r="G290" s="1970">
        <v>589580</v>
      </c>
      <c r="H290" s="1971">
        <v>3876669.4083699998</v>
      </c>
      <c r="I290" s="1965">
        <v>89262.591629999995</v>
      </c>
      <c r="J290" s="1833">
        <f t="shared" si="55"/>
        <v>4555511.9999999991</v>
      </c>
      <c r="K290" s="1947"/>
      <c r="L290" s="1947"/>
      <c r="M290" s="1968"/>
      <c r="N290" s="1967">
        <f t="shared" si="56"/>
        <v>0</v>
      </c>
    </row>
    <row r="291" spans="1:42">
      <c r="A291" s="1950">
        <v>14</v>
      </c>
      <c r="B291" s="1829" t="s">
        <v>293</v>
      </c>
      <c r="C291" s="1830">
        <v>13</v>
      </c>
      <c r="D291" s="1946">
        <f t="shared" si="54"/>
        <v>224198</v>
      </c>
      <c r="E291" s="1973"/>
      <c r="F291" s="1973">
        <v>0</v>
      </c>
      <c r="G291" s="1970">
        <v>224198</v>
      </c>
      <c r="H291" s="1966">
        <v>0</v>
      </c>
      <c r="I291" s="1972">
        <v>0</v>
      </c>
      <c r="J291" s="1833">
        <f t="shared" si="55"/>
        <v>224198</v>
      </c>
      <c r="K291" s="1947"/>
      <c r="L291" s="1947"/>
      <c r="M291" s="1968"/>
      <c r="N291" s="1967">
        <f t="shared" si="56"/>
        <v>0</v>
      </c>
    </row>
    <row r="292" spans="1:42">
      <c r="A292" s="1950">
        <v>15</v>
      </c>
      <c r="B292" s="1829" t="s">
        <v>294</v>
      </c>
      <c r="C292" s="1836">
        <v>14</v>
      </c>
      <c r="D292" s="1946">
        <f t="shared" si="54"/>
        <v>231587</v>
      </c>
      <c r="E292" s="1973"/>
      <c r="F292" s="1973">
        <v>0</v>
      </c>
      <c r="G292" s="1970">
        <v>14958</v>
      </c>
      <c r="H292" s="1966">
        <v>216462.13959000001</v>
      </c>
      <c r="I292" s="1972">
        <v>166.86041000000003</v>
      </c>
      <c r="J292" s="1833">
        <f t="shared" si="55"/>
        <v>231587</v>
      </c>
      <c r="K292" s="1947"/>
      <c r="L292" s="1947"/>
      <c r="M292" s="1968"/>
      <c r="N292" s="1967">
        <f t="shared" si="56"/>
        <v>0</v>
      </c>
    </row>
    <row r="293" spans="1:42">
      <c r="A293" s="1950">
        <v>16</v>
      </c>
      <c r="B293" s="1829" t="s">
        <v>295</v>
      </c>
      <c r="C293" s="1830">
        <v>15</v>
      </c>
      <c r="D293" s="1946">
        <f t="shared" si="54"/>
        <v>983657</v>
      </c>
      <c r="E293" s="1973"/>
      <c r="F293" s="1973">
        <v>0</v>
      </c>
      <c r="G293" s="1970">
        <v>80766</v>
      </c>
      <c r="H293" s="1966">
        <v>902891</v>
      </c>
      <c r="I293" s="1972">
        <v>0</v>
      </c>
      <c r="J293" s="1833">
        <f t="shared" si="55"/>
        <v>983657</v>
      </c>
      <c r="K293" s="1947"/>
      <c r="L293" s="1947"/>
      <c r="M293" s="1968"/>
      <c r="N293" s="1967">
        <f t="shared" si="56"/>
        <v>0</v>
      </c>
    </row>
    <row r="294" spans="1:42">
      <c r="A294" s="1950">
        <v>17</v>
      </c>
      <c r="B294" s="1829" t="s">
        <v>296</v>
      </c>
      <c r="C294" s="1836">
        <v>16</v>
      </c>
      <c r="D294" s="1946">
        <f t="shared" si="54"/>
        <v>1754422.5</v>
      </c>
      <c r="E294" s="1973"/>
      <c r="F294" s="1973">
        <v>911297.5</v>
      </c>
      <c r="G294" s="1970">
        <v>15235</v>
      </c>
      <c r="H294" s="1971">
        <v>827816.13924000005</v>
      </c>
      <c r="I294" s="1965">
        <v>73.860759999999999</v>
      </c>
      <c r="J294" s="1833">
        <f t="shared" si="55"/>
        <v>843125</v>
      </c>
      <c r="K294" s="1947"/>
      <c r="L294" s="1947"/>
      <c r="M294" s="1968"/>
      <c r="N294" s="1967">
        <f t="shared" si="56"/>
        <v>0</v>
      </c>
    </row>
    <row r="295" spans="1:42">
      <c r="A295" s="1950">
        <v>18</v>
      </c>
      <c r="B295" s="1829" t="s">
        <v>297</v>
      </c>
      <c r="C295" s="1830"/>
      <c r="D295" s="1946">
        <f t="shared" si="54"/>
        <v>0</v>
      </c>
      <c r="E295" s="1973"/>
      <c r="F295" s="1973">
        <v>0</v>
      </c>
      <c r="G295" s="1970">
        <v>0</v>
      </c>
      <c r="H295" s="1966">
        <v>0</v>
      </c>
      <c r="I295" s="1972">
        <v>0</v>
      </c>
      <c r="J295" s="1833">
        <f t="shared" si="55"/>
        <v>0</v>
      </c>
      <c r="K295" s="1947"/>
      <c r="L295" s="1947"/>
      <c r="M295" s="1968"/>
      <c r="N295" s="1967">
        <f t="shared" si="56"/>
        <v>0</v>
      </c>
    </row>
    <row r="296" spans="1:42" ht="15" thickBot="1">
      <c r="A296" s="1957">
        <v>19</v>
      </c>
      <c r="B296" s="1848" t="s">
        <v>298</v>
      </c>
      <c r="C296" s="1847"/>
      <c r="D296" s="3120">
        <f t="shared" si="54"/>
        <v>696920</v>
      </c>
      <c r="E296" s="3124"/>
      <c r="F296" s="3124">
        <v>2034</v>
      </c>
      <c r="G296" s="3125">
        <v>3379</v>
      </c>
      <c r="H296" s="2002">
        <v>689150.96505</v>
      </c>
      <c r="I296" s="2007">
        <v>2356.0349500000002</v>
      </c>
      <c r="J296" s="3112">
        <f t="shared" si="55"/>
        <v>694886</v>
      </c>
      <c r="K296" s="3121"/>
      <c r="L296" s="3121"/>
      <c r="M296" s="969"/>
      <c r="N296" s="2019">
        <f t="shared" si="56"/>
        <v>0</v>
      </c>
    </row>
    <row r="297" spans="1:42" s="870" customFormat="1" ht="27" thickBot="1">
      <c r="A297" s="1235">
        <v>20</v>
      </c>
      <c r="B297" s="1139" t="s">
        <v>299</v>
      </c>
      <c r="C297" s="1138"/>
      <c r="D297" s="1236">
        <f t="shared" si="54"/>
        <v>39343731.5</v>
      </c>
      <c r="E297" s="1236">
        <f>SUM(E274:E280)+E283+E286+SUM(E291:E296)</f>
        <v>0</v>
      </c>
      <c r="F297" s="1236">
        <f>SUM(F274:F280)+F283+F286+SUM(F291:F296)</f>
        <v>11977882.5</v>
      </c>
      <c r="G297" s="1236">
        <f>SUM(G274:G280)+G283+G286+SUM(G291:G296)</f>
        <v>9016822</v>
      </c>
      <c r="H297" s="1264">
        <f>SUM(H274:H280)+H283+H286+SUM(H291:H296)</f>
        <v>17301120.224890001</v>
      </c>
      <c r="I297" s="1265">
        <f>SUM(I274:I280)+I283+I286+SUM(I291:I296)</f>
        <v>1047906.77511</v>
      </c>
      <c r="J297" s="1140">
        <f t="shared" si="55"/>
        <v>27365849</v>
      </c>
      <c r="K297" s="1236">
        <f>SUM(K274:K280)+K283+K286+SUM(K291:K296)</f>
        <v>0</v>
      </c>
      <c r="L297" s="1236">
        <f>SUM(L274:L280)+L283+L286+SUM(L291:L296)</f>
        <v>0</v>
      </c>
      <c r="M297" s="1264">
        <f>SUM(M274:M280)+M283+M286+SUM(M291:M296)</f>
        <v>0</v>
      </c>
      <c r="N297" s="1237">
        <f t="shared" si="56"/>
        <v>0</v>
      </c>
      <c r="O297"/>
      <c r="P297"/>
      <c r="Q297"/>
      <c r="R297"/>
      <c r="S297"/>
      <c r="T297"/>
      <c r="U297"/>
      <c r="V297"/>
      <c r="W297"/>
      <c r="X297"/>
      <c r="Y297"/>
      <c r="Z297"/>
      <c r="AA297"/>
      <c r="AB297"/>
      <c r="AC297"/>
      <c r="AD297"/>
      <c r="AE297"/>
      <c r="AF297"/>
      <c r="AG297" s="2982"/>
      <c r="AH297" s="2982"/>
      <c r="AI297" s="2976"/>
      <c r="AJ297" s="2976"/>
      <c r="AK297" s="2976"/>
      <c r="AL297" s="2976"/>
      <c r="AM297" s="2976"/>
      <c r="AN297" s="2976"/>
      <c r="AO297" s="2976"/>
      <c r="AP297" s="2976"/>
    </row>
    <row r="298" spans="1:42">
      <c r="A298" s="1227"/>
      <c r="B298" s="1225" t="s">
        <v>300</v>
      </c>
      <c r="C298" s="1133"/>
      <c r="D298" s="1230">
        <f t="shared" si="54"/>
        <v>0</v>
      </c>
      <c r="E298" s="677"/>
      <c r="F298" s="677"/>
      <c r="G298" s="674"/>
      <c r="H298" s="675"/>
      <c r="I298" s="1095"/>
      <c r="J298" s="1195">
        <f t="shared" si="55"/>
        <v>0</v>
      </c>
      <c r="K298" s="914"/>
      <c r="L298" s="914"/>
      <c r="M298" s="967"/>
      <c r="N298" s="1231">
        <f t="shared" si="56"/>
        <v>0</v>
      </c>
    </row>
    <row r="299" spans="1:42">
      <c r="A299" s="1950"/>
      <c r="B299" s="1959" t="s">
        <v>301</v>
      </c>
      <c r="C299" s="1830"/>
      <c r="D299" s="1946">
        <f t="shared" si="54"/>
        <v>0</v>
      </c>
      <c r="E299" s="1973"/>
      <c r="F299" s="1973"/>
      <c r="G299" s="1970"/>
      <c r="H299" s="1966"/>
      <c r="I299" s="2041"/>
      <c r="J299" s="1833">
        <f t="shared" si="55"/>
        <v>0</v>
      </c>
      <c r="K299" s="1947"/>
      <c r="L299" s="1947"/>
      <c r="M299" s="1968"/>
      <c r="N299" s="1967">
        <f t="shared" si="56"/>
        <v>0</v>
      </c>
    </row>
    <row r="300" spans="1:42">
      <c r="A300" s="1950">
        <v>21</v>
      </c>
      <c r="B300" s="1829" t="s">
        <v>302</v>
      </c>
      <c r="C300" s="1836">
        <v>17</v>
      </c>
      <c r="D300" s="1946">
        <f t="shared" si="54"/>
        <v>20966244</v>
      </c>
      <c r="E300" s="1973"/>
      <c r="F300" s="1973">
        <v>0</v>
      </c>
      <c r="G300" s="2042">
        <v>8705109</v>
      </c>
      <c r="H300" s="1966">
        <v>10865685.770469999</v>
      </c>
      <c r="I300" s="2043">
        <v>1395449.2295300004</v>
      </c>
      <c r="J300" s="1833">
        <f t="shared" si="55"/>
        <v>20966244</v>
      </c>
      <c r="K300" s="1947"/>
      <c r="L300" s="1947"/>
      <c r="M300" s="1968"/>
      <c r="N300" s="1967">
        <f t="shared" si="56"/>
        <v>0</v>
      </c>
    </row>
    <row r="301" spans="1:42">
      <c r="A301" s="1950">
        <v>22</v>
      </c>
      <c r="B301" s="1829" t="s">
        <v>303</v>
      </c>
      <c r="C301" s="1830"/>
      <c r="D301" s="1946">
        <f t="shared" si="54"/>
        <v>192629</v>
      </c>
      <c r="E301" s="1973"/>
      <c r="F301" s="1973">
        <v>0</v>
      </c>
      <c r="G301" s="2042">
        <v>0</v>
      </c>
      <c r="H301" s="1966">
        <v>189920.61499999999</v>
      </c>
      <c r="I301" s="2041">
        <v>2708.3850000000002</v>
      </c>
      <c r="J301" s="1833">
        <f t="shared" si="55"/>
        <v>192629</v>
      </c>
      <c r="K301" s="1947"/>
      <c r="L301" s="1947"/>
      <c r="M301" s="1968"/>
      <c r="N301" s="1967">
        <f t="shared" si="56"/>
        <v>0</v>
      </c>
    </row>
    <row r="302" spans="1:42">
      <c r="A302" s="1950">
        <v>23</v>
      </c>
      <c r="B302" s="1829" t="s">
        <v>304</v>
      </c>
      <c r="C302" s="1830">
        <v>18</v>
      </c>
      <c r="D302" s="1946">
        <f t="shared" si="54"/>
        <v>1040255</v>
      </c>
      <c r="E302" s="1973"/>
      <c r="F302" s="1973">
        <v>0</v>
      </c>
      <c r="G302" s="2042">
        <v>30510</v>
      </c>
      <c r="H302" s="1966">
        <v>1013580.64926</v>
      </c>
      <c r="I302" s="2043">
        <v>-3835.6492600000001</v>
      </c>
      <c r="J302" s="1833">
        <f t="shared" si="55"/>
        <v>1040255</v>
      </c>
      <c r="K302" s="1947"/>
      <c r="L302" s="1947"/>
      <c r="M302" s="1968"/>
      <c r="N302" s="1967">
        <f t="shared" si="56"/>
        <v>0</v>
      </c>
    </row>
    <row r="303" spans="1:42">
      <c r="A303" s="1950">
        <v>24</v>
      </c>
      <c r="B303" s="1829" t="s">
        <v>305</v>
      </c>
      <c r="C303" s="1830"/>
      <c r="D303" s="1946">
        <f t="shared" si="54"/>
        <v>0</v>
      </c>
      <c r="E303" s="1973"/>
      <c r="F303" s="1973">
        <v>0</v>
      </c>
      <c r="G303" s="1970">
        <v>0</v>
      </c>
      <c r="H303" s="1966">
        <v>0</v>
      </c>
      <c r="I303" s="2041">
        <v>0</v>
      </c>
      <c r="J303" s="1833">
        <f t="shared" si="55"/>
        <v>0</v>
      </c>
      <c r="K303" s="1947"/>
      <c r="L303" s="1947"/>
      <c r="M303" s="1968"/>
      <c r="N303" s="1967">
        <f t="shared" si="56"/>
        <v>0</v>
      </c>
    </row>
    <row r="304" spans="1:42">
      <c r="A304" s="1950">
        <v>25</v>
      </c>
      <c r="B304" s="1851" t="s">
        <v>306</v>
      </c>
      <c r="C304" s="1830"/>
      <c r="D304" s="1946">
        <f t="shared" si="54"/>
        <v>3355544</v>
      </c>
      <c r="E304" s="1973"/>
      <c r="F304" s="2044">
        <v>3064994</v>
      </c>
      <c r="G304" s="2042">
        <v>0</v>
      </c>
      <c r="H304" s="1966">
        <v>290550</v>
      </c>
      <c r="I304" s="2041">
        <v>0</v>
      </c>
      <c r="J304" s="1833">
        <f t="shared" si="55"/>
        <v>290550</v>
      </c>
      <c r="K304" s="1947"/>
      <c r="L304" s="1947"/>
      <c r="M304" s="1968"/>
      <c r="N304" s="1967">
        <f t="shared" si="56"/>
        <v>0</v>
      </c>
    </row>
    <row r="305" spans="1:42" ht="15" thickBot="1">
      <c r="A305" s="1957">
        <v>26</v>
      </c>
      <c r="B305" s="1848" t="s">
        <v>307</v>
      </c>
      <c r="C305" s="1852">
        <v>19</v>
      </c>
      <c r="D305" s="3120">
        <f t="shared" si="54"/>
        <v>3200629.5</v>
      </c>
      <c r="E305" s="3124"/>
      <c r="F305" s="3131">
        <v>-2082289.5</v>
      </c>
      <c r="G305" s="3132">
        <v>679275</v>
      </c>
      <c r="H305" s="945">
        <v>4950059.1901599998</v>
      </c>
      <c r="I305" s="2045">
        <v>-346415.19016000006</v>
      </c>
      <c r="J305" s="3112">
        <f t="shared" si="55"/>
        <v>5282919</v>
      </c>
      <c r="K305" s="3121"/>
      <c r="L305" s="3121"/>
      <c r="M305" s="969"/>
      <c r="N305" s="2019">
        <f t="shared" si="56"/>
        <v>0</v>
      </c>
    </row>
    <row r="306" spans="1:42" s="870" customFormat="1" ht="27" thickBot="1">
      <c r="A306" s="1226">
        <v>27</v>
      </c>
      <c r="B306" s="1136" t="s">
        <v>308</v>
      </c>
      <c r="C306" s="1135"/>
      <c r="D306" s="1241">
        <f t="shared" si="54"/>
        <v>28755301.499999996</v>
      </c>
      <c r="E306" s="934">
        <f>SUM(E300:E305)</f>
        <v>0</v>
      </c>
      <c r="F306" s="934">
        <f>SUM(F300:F305)</f>
        <v>982704.5</v>
      </c>
      <c r="G306" s="934">
        <f>SUM(G300:G305)</f>
        <v>9414894</v>
      </c>
      <c r="H306" s="946">
        <f>SUM(H300:H305)</f>
        <v>17309796.224889997</v>
      </c>
      <c r="I306" s="934">
        <f>SUM(I300:I305)</f>
        <v>1047906.7751100003</v>
      </c>
      <c r="J306" s="1150">
        <f t="shared" si="55"/>
        <v>27772596.999999996</v>
      </c>
      <c r="K306" s="934">
        <f>SUM(K300:K305)</f>
        <v>0</v>
      </c>
      <c r="L306" s="934">
        <f>SUM(L300:L305)</f>
        <v>0</v>
      </c>
      <c r="M306" s="946">
        <f>SUM(M300:M305)</f>
        <v>0</v>
      </c>
      <c r="N306" s="1261">
        <f t="shared" si="56"/>
        <v>0</v>
      </c>
      <c r="O306"/>
      <c r="P306"/>
      <c r="Q306"/>
      <c r="R306"/>
      <c r="S306"/>
      <c r="T306"/>
      <c r="U306"/>
      <c r="V306"/>
      <c r="W306"/>
      <c r="X306"/>
      <c r="Y306"/>
      <c r="Z306"/>
      <c r="AA306"/>
      <c r="AB306"/>
      <c r="AC306"/>
      <c r="AD306"/>
      <c r="AE306"/>
      <c r="AF306"/>
      <c r="AG306" s="2982"/>
      <c r="AH306" s="2982"/>
      <c r="AI306" s="2976"/>
      <c r="AJ306" s="2976"/>
      <c r="AK306" s="2976"/>
      <c r="AL306" s="2976"/>
      <c r="AM306" s="2976"/>
      <c r="AN306" s="2976"/>
      <c r="AO306" s="2976"/>
      <c r="AP306" s="2976"/>
    </row>
    <row r="307" spans="1:42">
      <c r="A307" s="1227"/>
      <c r="B307" s="1225" t="s">
        <v>309</v>
      </c>
      <c r="C307" s="1133">
        <v>20</v>
      </c>
      <c r="D307" s="1230">
        <f t="shared" si="54"/>
        <v>0</v>
      </c>
      <c r="E307" s="677"/>
      <c r="F307" s="677"/>
      <c r="G307" s="674"/>
      <c r="H307" s="675"/>
      <c r="I307" s="678"/>
      <c r="J307" s="1195">
        <f t="shared" si="55"/>
        <v>0</v>
      </c>
      <c r="K307" s="914"/>
      <c r="L307" s="914"/>
      <c r="M307" s="967"/>
      <c r="N307" s="1231">
        <f t="shared" si="56"/>
        <v>0</v>
      </c>
    </row>
    <row r="308" spans="1:42">
      <c r="A308" s="1950">
        <v>28</v>
      </c>
      <c r="B308" s="1945" t="s">
        <v>310</v>
      </c>
      <c r="C308" s="1836"/>
      <c r="D308" s="1946">
        <f t="shared" si="54"/>
        <v>1062500</v>
      </c>
      <c r="E308" s="1973"/>
      <c r="F308" s="2044">
        <v>1062500</v>
      </c>
      <c r="G308" s="1970">
        <v>0</v>
      </c>
      <c r="H308" s="1966">
        <v>0</v>
      </c>
      <c r="I308" s="1972">
        <v>0</v>
      </c>
      <c r="J308" s="1833">
        <f t="shared" si="55"/>
        <v>0</v>
      </c>
      <c r="K308" s="1947"/>
      <c r="L308" s="1947"/>
      <c r="M308" s="1968"/>
      <c r="N308" s="1967">
        <f t="shared" si="56"/>
        <v>0</v>
      </c>
    </row>
    <row r="309" spans="1:42">
      <c r="A309" s="1950">
        <v>29</v>
      </c>
      <c r="B309" s="1945" t="s">
        <v>311</v>
      </c>
      <c r="C309" s="1836"/>
      <c r="D309" s="1946">
        <f t="shared" si="54"/>
        <v>-1855391</v>
      </c>
      <c r="E309" s="1973"/>
      <c r="F309" s="2044">
        <v>-1356257</v>
      </c>
      <c r="G309" s="2042">
        <v>-527805</v>
      </c>
      <c r="H309" s="1966">
        <v>28671</v>
      </c>
      <c r="I309" s="1972">
        <v>0</v>
      </c>
      <c r="J309" s="1833">
        <f t="shared" si="55"/>
        <v>-499134</v>
      </c>
      <c r="K309" s="1947"/>
      <c r="L309" s="1947"/>
      <c r="M309" s="1968"/>
      <c r="N309" s="1967">
        <f t="shared" si="56"/>
        <v>0</v>
      </c>
    </row>
    <row r="310" spans="1:42">
      <c r="A310" s="1950">
        <v>30</v>
      </c>
      <c r="B310" s="1960" t="s">
        <v>312</v>
      </c>
      <c r="C310" s="1852"/>
      <c r="D310" s="1946">
        <f t="shared" si="54"/>
        <v>129733</v>
      </c>
      <c r="E310" s="1973"/>
      <c r="F310" s="3131">
        <v>0</v>
      </c>
      <c r="G310" s="3132">
        <v>129733</v>
      </c>
      <c r="H310" s="2002">
        <v>0</v>
      </c>
      <c r="I310" s="2007">
        <v>0</v>
      </c>
      <c r="J310" s="1833">
        <f t="shared" si="55"/>
        <v>129733</v>
      </c>
      <c r="K310" s="1947"/>
      <c r="L310" s="1947"/>
      <c r="M310" s="1968"/>
      <c r="N310" s="1967">
        <f t="shared" si="56"/>
        <v>0</v>
      </c>
    </row>
    <row r="311" spans="1:42">
      <c r="A311" s="1950">
        <v>31</v>
      </c>
      <c r="B311" s="1960" t="s">
        <v>313</v>
      </c>
      <c r="C311" s="1852"/>
      <c r="D311" s="1946">
        <f t="shared" si="54"/>
        <v>798004</v>
      </c>
      <c r="E311" s="1973"/>
      <c r="F311" s="3131">
        <v>798004</v>
      </c>
      <c r="G311" s="3125">
        <v>0</v>
      </c>
      <c r="H311" s="2002">
        <v>0</v>
      </c>
      <c r="I311" s="2007">
        <v>0</v>
      </c>
      <c r="J311" s="1833">
        <f t="shared" si="55"/>
        <v>0</v>
      </c>
      <c r="K311" s="1947"/>
      <c r="L311" s="1947"/>
      <c r="M311" s="1968"/>
      <c r="N311" s="1967">
        <f t="shared" si="56"/>
        <v>0</v>
      </c>
    </row>
    <row r="312" spans="1:42" ht="15" thickBot="1">
      <c r="A312" s="1957">
        <v>32</v>
      </c>
      <c r="B312" s="1960" t="s">
        <v>314</v>
      </c>
      <c r="C312" s="1852"/>
      <c r="D312" s="3120">
        <f t="shared" si="54"/>
        <v>10453584</v>
      </c>
      <c r="E312" s="3124"/>
      <c r="F312" s="3131">
        <v>10490931</v>
      </c>
      <c r="G312" s="3125">
        <v>0</v>
      </c>
      <c r="H312" s="2002">
        <v>-37347</v>
      </c>
      <c r="I312" s="2007">
        <v>0</v>
      </c>
      <c r="J312" s="3112">
        <f t="shared" si="55"/>
        <v>-37347</v>
      </c>
      <c r="K312" s="3121"/>
      <c r="L312" s="3121"/>
      <c r="M312" s="969"/>
      <c r="N312" s="1967">
        <f t="shared" si="56"/>
        <v>0</v>
      </c>
    </row>
    <row r="313" spans="1:42" s="870" customFormat="1" ht="15" thickBot="1">
      <c r="A313" s="1226">
        <v>33</v>
      </c>
      <c r="B313" s="1137" t="s">
        <v>315</v>
      </c>
      <c r="C313" s="1135"/>
      <c r="D313" s="1242">
        <f t="shared" si="54"/>
        <v>10588430</v>
      </c>
      <c r="E313" s="939">
        <f>SUM(E308:E312)</f>
        <v>0</v>
      </c>
      <c r="F313" s="939">
        <f>SUM(F308:F312)</f>
        <v>10995178</v>
      </c>
      <c r="G313" s="939">
        <f>SUM(G308:G312)</f>
        <v>-398072</v>
      </c>
      <c r="H313" s="947">
        <f>SUM(H308:H312)</f>
        <v>-8676</v>
      </c>
      <c r="I313" s="962">
        <f>SUM(I308:I312)</f>
        <v>0</v>
      </c>
      <c r="J313" s="1202">
        <f t="shared" si="55"/>
        <v>-406748</v>
      </c>
      <c r="K313" s="939">
        <f>SUM(K308:K312)</f>
        <v>0</v>
      </c>
      <c r="L313" s="939">
        <f>SUM(L308:L312)</f>
        <v>0</v>
      </c>
      <c r="M313" s="947">
        <f>SUM(M308:M312)</f>
        <v>0</v>
      </c>
      <c r="N313" s="1289">
        <f t="shared" si="56"/>
        <v>0</v>
      </c>
      <c r="O313"/>
      <c r="P313"/>
      <c r="Q313"/>
      <c r="R313"/>
      <c r="S313"/>
      <c r="T313"/>
      <c r="U313"/>
      <c r="V313"/>
      <c r="W313"/>
      <c r="X313"/>
      <c r="Y313"/>
      <c r="Z313"/>
      <c r="AA313"/>
      <c r="AB313"/>
      <c r="AC313"/>
      <c r="AD313"/>
      <c r="AE313"/>
      <c r="AF313"/>
      <c r="AG313" s="2982"/>
      <c r="AH313" s="2982"/>
      <c r="AI313" s="2976"/>
      <c r="AJ313" s="2976"/>
      <c r="AK313" s="2976"/>
      <c r="AL313" s="2976"/>
      <c r="AM313" s="2976"/>
      <c r="AN313" s="2976"/>
      <c r="AO313" s="2976"/>
      <c r="AP313" s="2976"/>
    </row>
    <row r="314" spans="1:42" s="870" customFormat="1" ht="27" thickBot="1">
      <c r="A314" s="1235">
        <v>34</v>
      </c>
      <c r="B314" s="1139" t="s">
        <v>317</v>
      </c>
      <c r="C314" s="1138"/>
      <c r="D314" s="1268">
        <f t="shared" si="54"/>
        <v>39343731.5</v>
      </c>
      <c r="E314" s="1268">
        <f>E313+E306</f>
        <v>0</v>
      </c>
      <c r="F314" s="1268">
        <f>F313+F306</f>
        <v>11977882.5</v>
      </c>
      <c r="G314" s="1268">
        <f>G313+G306</f>
        <v>9016822</v>
      </c>
      <c r="H314" s="1268">
        <f>H313+H306</f>
        <v>17301120.224889997</v>
      </c>
      <c r="I314" s="1268">
        <f>I313+I306</f>
        <v>1047906.7751100003</v>
      </c>
      <c r="J314" s="1203">
        <f t="shared" si="55"/>
        <v>27365848.999999996</v>
      </c>
      <c r="K314" s="1268">
        <f>K313+K306</f>
        <v>0</v>
      </c>
      <c r="L314" s="1268">
        <f>L313+L306</f>
        <v>0</v>
      </c>
      <c r="M314" s="1269">
        <f>M313+M306</f>
        <v>0</v>
      </c>
      <c r="N314" s="1271">
        <f t="shared" si="56"/>
        <v>0</v>
      </c>
      <c r="O314"/>
      <c r="P314"/>
      <c r="Q314"/>
      <c r="R314"/>
      <c r="S314"/>
      <c r="T314"/>
      <c r="U314"/>
      <c r="V314"/>
      <c r="W314"/>
      <c r="X314"/>
      <c r="Y314"/>
      <c r="Z314"/>
      <c r="AA314"/>
      <c r="AB314"/>
      <c r="AC314"/>
      <c r="AD314"/>
      <c r="AE314"/>
      <c r="AF314"/>
      <c r="AG314" s="2982"/>
      <c r="AH314" s="2982"/>
      <c r="AI314" s="2976"/>
      <c r="AJ314" s="2976"/>
      <c r="AK314" s="2976"/>
      <c r="AL314" s="2976"/>
      <c r="AM314" s="2976"/>
      <c r="AN314" s="2976"/>
      <c r="AO314" s="2976"/>
      <c r="AP314" s="2976"/>
    </row>
    <row r="315" spans="1:42">
      <c r="B315"/>
      <c r="C315"/>
      <c r="D315"/>
      <c r="E315"/>
      <c r="F315"/>
      <c r="G315"/>
      <c r="H315"/>
      <c r="I315"/>
      <c r="J315"/>
      <c r="K315"/>
      <c r="L315"/>
      <c r="M315"/>
      <c r="N315"/>
    </row>
    <row r="316" spans="1:42">
      <c r="B316"/>
      <c r="C316"/>
      <c r="D316"/>
      <c r="E316"/>
      <c r="F316"/>
      <c r="G316"/>
      <c r="H316"/>
      <c r="I316"/>
      <c r="J316"/>
      <c r="K316"/>
      <c r="L316"/>
      <c r="M316"/>
      <c r="N316"/>
    </row>
    <row r="317" spans="1:42">
      <c r="B317"/>
      <c r="C317"/>
      <c r="D317"/>
      <c r="E317"/>
      <c r="F317"/>
      <c r="G317"/>
      <c r="H317"/>
      <c r="I317"/>
      <c r="J317"/>
      <c r="K317"/>
      <c r="L317"/>
      <c r="M317"/>
      <c r="N317"/>
    </row>
    <row r="318" spans="1:42">
      <c r="B318"/>
      <c r="C318"/>
      <c r="D318"/>
      <c r="E318"/>
      <c r="F318"/>
      <c r="G318"/>
      <c r="H318"/>
      <c r="I318"/>
      <c r="J318"/>
      <c r="K318"/>
      <c r="L318"/>
      <c r="M318"/>
      <c r="N318"/>
    </row>
    <row r="320" spans="1:42" ht="15" thickBot="1"/>
    <row r="321" spans="1:14" ht="15" customHeight="1" thickBot="1">
      <c r="A321" s="1153" t="s">
        <v>185</v>
      </c>
      <c r="B321" s="3303" t="s">
        <v>96</v>
      </c>
      <c r="C321" s="3304"/>
      <c r="D321" s="662"/>
      <c r="E321" s="662"/>
      <c r="F321" s="662"/>
      <c r="G321" s="662"/>
      <c r="H321" s="662"/>
      <c r="I321" s="662"/>
      <c r="J321" s="662"/>
      <c r="K321" s="662"/>
      <c r="L321" s="662"/>
      <c r="M321" s="3292"/>
      <c r="N321" s="3292" t="s">
        <v>257</v>
      </c>
    </row>
    <row r="322" spans="1:14" ht="13.5" customHeight="1" thickBot="1">
      <c r="A322" s="1299" t="s">
        <v>258</v>
      </c>
      <c r="B322" s="1212"/>
      <c r="C322" s="3280" t="s">
        <v>259</v>
      </c>
      <c r="D322" s="3314" t="s">
        <v>260</v>
      </c>
      <c r="E322" s="3314" t="s">
        <v>261</v>
      </c>
      <c r="F322" s="3314" t="s">
        <v>262</v>
      </c>
      <c r="G322" s="3324" t="s">
        <v>263</v>
      </c>
      <c r="H322" s="3325"/>
      <c r="I322" s="3325"/>
      <c r="J322" s="3325"/>
      <c r="K322" s="3325"/>
      <c r="L322" s="3325"/>
      <c r="M322" s="3325"/>
      <c r="N322" s="3326"/>
    </row>
    <row r="323" spans="1:14" ht="13.5" customHeight="1" thickBot="1">
      <c r="A323" s="1300"/>
      <c r="B323" s="1213"/>
      <c r="C323" s="3281"/>
      <c r="D323" s="3315"/>
      <c r="E323" s="3315"/>
      <c r="F323" s="3315"/>
      <c r="G323" s="3289" t="s">
        <v>264</v>
      </c>
      <c r="H323" s="3290"/>
      <c r="I323" s="3290"/>
      <c r="J323" s="3291"/>
      <c r="K323" s="3318" t="s">
        <v>265</v>
      </c>
      <c r="L323" s="3319"/>
      <c r="M323" s="3319"/>
      <c r="N323" s="3320"/>
    </row>
    <row r="324" spans="1:14" ht="40.15" thickBot="1">
      <c r="A324" s="1300"/>
      <c r="B324" s="1214"/>
      <c r="C324" s="3281"/>
      <c r="D324" s="3316"/>
      <c r="E324" s="3316"/>
      <c r="F324" s="3316"/>
      <c r="G324" s="1125" t="s">
        <v>267</v>
      </c>
      <c r="H324" s="1125" t="s">
        <v>268</v>
      </c>
      <c r="I324" s="1125" t="s">
        <v>269</v>
      </c>
      <c r="J324" s="1125" t="s">
        <v>160</v>
      </c>
      <c r="K324" s="1126" t="s">
        <v>270</v>
      </c>
      <c r="L324" s="1126" t="s">
        <v>271</v>
      </c>
      <c r="M324" s="1126" t="s">
        <v>272</v>
      </c>
      <c r="N324" s="2969" t="s">
        <v>160</v>
      </c>
    </row>
    <row r="325" spans="1:14" ht="15" thickBot="1">
      <c r="A325" s="1300"/>
      <c r="B325" s="1213"/>
      <c r="C325" s="3281"/>
      <c r="D325" s="1215">
        <v>1</v>
      </c>
      <c r="E325" s="1216">
        <v>2</v>
      </c>
      <c r="F325" s="1216">
        <v>3</v>
      </c>
      <c r="G325" s="1217">
        <v>4</v>
      </c>
      <c r="H325" s="1216">
        <v>5</v>
      </c>
      <c r="I325" s="1218">
        <v>6</v>
      </c>
      <c r="J325" s="2971">
        <v>7</v>
      </c>
      <c r="K325" s="1217">
        <v>8</v>
      </c>
      <c r="L325" s="1216">
        <v>9</v>
      </c>
      <c r="M325" s="1238">
        <v>10</v>
      </c>
      <c r="N325" s="1215">
        <v>11</v>
      </c>
    </row>
    <row r="326" spans="1:14" ht="15" thickBot="1">
      <c r="A326" s="1301"/>
      <c r="B326" s="1219"/>
      <c r="C326" s="3282"/>
      <c r="D326" s="1220"/>
      <c r="E326" s="1220"/>
      <c r="F326" s="1220"/>
      <c r="G326" s="1302"/>
      <c r="H326" s="1220"/>
      <c r="I326" s="1292"/>
      <c r="J326" s="1222" t="s">
        <v>273</v>
      </c>
      <c r="K326" s="1221"/>
      <c r="L326" s="1220"/>
      <c r="M326" s="1303"/>
      <c r="N326" s="1293" t="s">
        <v>274</v>
      </c>
    </row>
    <row r="327" spans="1:14">
      <c r="A327" s="1227"/>
      <c r="B327" s="1225" t="s">
        <v>275</v>
      </c>
      <c r="C327" s="1133"/>
      <c r="D327" s="1228"/>
      <c r="E327" s="673"/>
      <c r="F327" s="692"/>
      <c r="G327" s="691"/>
      <c r="H327" s="693"/>
      <c r="I327" s="676"/>
      <c r="J327" s="1233"/>
      <c r="K327" s="914"/>
      <c r="L327" s="912"/>
      <c r="M327" s="1304"/>
      <c r="N327" s="1260"/>
    </row>
    <row r="328" spans="1:14">
      <c r="A328" s="1944">
        <v>1</v>
      </c>
      <c r="B328" s="1945" t="s">
        <v>276</v>
      </c>
      <c r="C328" s="1830"/>
      <c r="D328" s="1946">
        <f t="shared" ref="D328:D368" si="57">+E328+F328+J328+N328</f>
        <v>0</v>
      </c>
      <c r="E328" s="1973"/>
      <c r="F328" s="1964">
        <v>0</v>
      </c>
      <c r="G328" s="1965">
        <v>0</v>
      </c>
      <c r="H328" s="1964">
        <v>0</v>
      </c>
      <c r="I328" s="1972">
        <v>0</v>
      </c>
      <c r="J328" s="1948">
        <f t="shared" ref="J328:J368" si="58">G328+H328+I328</f>
        <v>0</v>
      </c>
      <c r="K328" s="1947"/>
      <c r="L328" s="1968"/>
      <c r="M328" s="1997"/>
      <c r="N328" s="1967">
        <f t="shared" ref="N328:N368" si="59">K328+L328+M328</f>
        <v>0</v>
      </c>
    </row>
    <row r="329" spans="1:14">
      <c r="A329" s="1944">
        <v>2</v>
      </c>
      <c r="B329" s="1945" t="s">
        <v>277</v>
      </c>
      <c r="C329" s="1830"/>
      <c r="D329" s="1946">
        <f t="shared" si="57"/>
        <v>296447.68541000003</v>
      </c>
      <c r="E329" s="1973"/>
      <c r="F329" s="1964">
        <v>296447.68541000003</v>
      </c>
      <c r="G329" s="1965">
        <v>0</v>
      </c>
      <c r="H329" s="1964">
        <v>0</v>
      </c>
      <c r="I329" s="1972">
        <v>0</v>
      </c>
      <c r="J329" s="1948">
        <f t="shared" si="58"/>
        <v>0</v>
      </c>
      <c r="K329" s="1947"/>
      <c r="L329" s="1968"/>
      <c r="M329" s="1997"/>
      <c r="N329" s="1967">
        <f t="shared" si="59"/>
        <v>0</v>
      </c>
    </row>
    <row r="330" spans="1:14">
      <c r="A330" s="1944">
        <v>3</v>
      </c>
      <c r="B330" s="1945" t="s">
        <v>278</v>
      </c>
      <c r="C330" s="1830"/>
      <c r="D330" s="1946">
        <f t="shared" si="57"/>
        <v>0</v>
      </c>
      <c r="E330" s="1973"/>
      <c r="F330" s="1964">
        <v>0</v>
      </c>
      <c r="G330" s="1965">
        <v>0</v>
      </c>
      <c r="H330" s="1964">
        <v>0</v>
      </c>
      <c r="I330" s="1972">
        <v>0</v>
      </c>
      <c r="J330" s="1948">
        <f t="shared" si="58"/>
        <v>0</v>
      </c>
      <c r="K330" s="1947"/>
      <c r="L330" s="1968"/>
      <c r="M330" s="1997"/>
      <c r="N330" s="1967">
        <f t="shared" si="59"/>
        <v>0</v>
      </c>
    </row>
    <row r="331" spans="1:14">
      <c r="A331" s="1944">
        <v>4</v>
      </c>
      <c r="B331" s="1945" t="s">
        <v>324</v>
      </c>
      <c r="C331" s="1830"/>
      <c r="D331" s="1946">
        <f t="shared" si="57"/>
        <v>238136.72093999997</v>
      </c>
      <c r="E331" s="1973"/>
      <c r="F331" s="1964">
        <v>0</v>
      </c>
      <c r="G331" s="1965">
        <v>238136.72093999997</v>
      </c>
      <c r="H331" s="1964">
        <v>0</v>
      </c>
      <c r="I331" s="1972">
        <v>0</v>
      </c>
      <c r="J331" s="1948">
        <f t="shared" si="58"/>
        <v>238136.72093999997</v>
      </c>
      <c r="K331" s="1947"/>
      <c r="L331" s="1968"/>
      <c r="M331" s="1997"/>
      <c r="N331" s="1967">
        <f t="shared" si="59"/>
        <v>0</v>
      </c>
    </row>
    <row r="332" spans="1:14">
      <c r="A332" s="1944">
        <v>5</v>
      </c>
      <c r="B332" s="1945" t="s">
        <v>280</v>
      </c>
      <c r="C332" s="1836">
        <v>5</v>
      </c>
      <c r="D332" s="1946">
        <f t="shared" si="57"/>
        <v>10177017.604530001</v>
      </c>
      <c r="E332" s="1973"/>
      <c r="F332" s="1964">
        <v>2717772.9378</v>
      </c>
      <c r="G332" s="1965">
        <v>7459244.6667300006</v>
      </c>
      <c r="H332" s="1964">
        <v>0</v>
      </c>
      <c r="I332" s="1972">
        <v>0</v>
      </c>
      <c r="J332" s="1948">
        <f t="shared" si="58"/>
        <v>7459244.6667300006</v>
      </c>
      <c r="K332" s="1947"/>
      <c r="L332" s="1968"/>
      <c r="M332" s="1997"/>
      <c r="N332" s="1967">
        <f t="shared" si="59"/>
        <v>0</v>
      </c>
    </row>
    <row r="333" spans="1:14">
      <c r="A333" s="1944">
        <v>6</v>
      </c>
      <c r="B333" s="1945" t="s">
        <v>281</v>
      </c>
      <c r="C333" s="1830">
        <v>6</v>
      </c>
      <c r="D333" s="1946">
        <f t="shared" si="57"/>
        <v>4045700</v>
      </c>
      <c r="E333" s="1973"/>
      <c r="F333" s="1964">
        <v>2399600</v>
      </c>
      <c r="G333" s="1965">
        <v>1646100</v>
      </c>
      <c r="H333" s="1964">
        <v>0</v>
      </c>
      <c r="I333" s="1972">
        <v>0</v>
      </c>
      <c r="J333" s="1948">
        <f t="shared" si="58"/>
        <v>1646100</v>
      </c>
      <c r="K333" s="1947"/>
      <c r="L333" s="1968"/>
      <c r="M333" s="1997"/>
      <c r="N333" s="1967">
        <f t="shared" si="59"/>
        <v>0</v>
      </c>
    </row>
    <row r="334" spans="1:14">
      <c r="A334" s="1944">
        <v>7</v>
      </c>
      <c r="B334" s="1945" t="s">
        <v>282</v>
      </c>
      <c r="C334" s="1836">
        <v>7</v>
      </c>
      <c r="D334" s="1946">
        <f t="shared" si="57"/>
        <v>1136000</v>
      </c>
      <c r="E334" s="2046">
        <f>E335+E336</f>
        <v>0</v>
      </c>
      <c r="F334" s="2046">
        <f>F335+F336</f>
        <v>1121000</v>
      </c>
      <c r="G334" s="2040">
        <f>G335+G336</f>
        <v>15000</v>
      </c>
      <c r="H334" s="1968">
        <f>H335+H336</f>
        <v>0</v>
      </c>
      <c r="I334" s="1996">
        <f>I335+I336</f>
        <v>0</v>
      </c>
      <c r="J334" s="1948">
        <f t="shared" si="58"/>
        <v>15000</v>
      </c>
      <c r="K334" s="1947">
        <f>K335+K336</f>
        <v>0</v>
      </c>
      <c r="L334" s="1968">
        <f>L335+L336</f>
        <v>0</v>
      </c>
      <c r="M334" s="1997">
        <f>M335+M336</f>
        <v>0</v>
      </c>
      <c r="N334" s="1967">
        <f t="shared" si="59"/>
        <v>0</v>
      </c>
    </row>
    <row r="335" spans="1:14">
      <c r="A335" s="1950"/>
      <c r="B335" s="1837" t="s">
        <v>283</v>
      </c>
      <c r="C335" s="1836"/>
      <c r="D335" s="1946">
        <f t="shared" si="57"/>
        <v>0</v>
      </c>
      <c r="E335" s="1947"/>
      <c r="F335" s="1968">
        <v>0</v>
      </c>
      <c r="G335" s="1996">
        <v>0</v>
      </c>
      <c r="H335" s="1968">
        <v>0</v>
      </c>
      <c r="I335" s="1996">
        <v>0</v>
      </c>
      <c r="J335" s="1948">
        <f t="shared" si="58"/>
        <v>0</v>
      </c>
      <c r="K335" s="1947"/>
      <c r="L335" s="1968"/>
      <c r="M335" s="1997"/>
      <c r="N335" s="1967">
        <f t="shared" si="59"/>
        <v>0</v>
      </c>
    </row>
    <row r="336" spans="1:14">
      <c r="A336" s="1950"/>
      <c r="B336" s="1837" t="s">
        <v>284</v>
      </c>
      <c r="C336" s="1836"/>
      <c r="D336" s="1946">
        <f t="shared" si="57"/>
        <v>1136000</v>
      </c>
      <c r="E336" s="1973"/>
      <c r="F336" s="1964">
        <v>1121000</v>
      </c>
      <c r="G336" s="1965">
        <v>15000</v>
      </c>
      <c r="H336" s="1964">
        <v>0</v>
      </c>
      <c r="I336" s="1972">
        <v>0</v>
      </c>
      <c r="J336" s="1948">
        <f t="shared" si="58"/>
        <v>15000</v>
      </c>
      <c r="K336" s="1947"/>
      <c r="L336" s="1968"/>
      <c r="M336" s="1997"/>
      <c r="N336" s="1967">
        <f t="shared" si="59"/>
        <v>0</v>
      </c>
    </row>
    <row r="337" spans="1:14">
      <c r="A337" s="1944">
        <v>8</v>
      </c>
      <c r="B337" s="1945" t="s">
        <v>285</v>
      </c>
      <c r="C337" s="1830">
        <v>8</v>
      </c>
      <c r="D337" s="1946">
        <f t="shared" si="57"/>
        <v>807672.05697000003</v>
      </c>
      <c r="E337" s="1947"/>
      <c r="F337" s="1968">
        <f>F338+F339</f>
        <v>764681.56697000004</v>
      </c>
      <c r="G337" s="1996">
        <f>G338+G339</f>
        <v>13858.33</v>
      </c>
      <c r="H337" s="1968">
        <f>H338+H339</f>
        <v>29132.16</v>
      </c>
      <c r="I337" s="1996">
        <f>I338+I339</f>
        <v>0</v>
      </c>
      <c r="J337" s="1948">
        <f t="shared" si="58"/>
        <v>42990.49</v>
      </c>
      <c r="K337" s="1947">
        <f>K338+K339</f>
        <v>0</v>
      </c>
      <c r="L337" s="1968">
        <f>L338+L339</f>
        <v>0</v>
      </c>
      <c r="M337" s="1997">
        <f>M338+M339</f>
        <v>0</v>
      </c>
      <c r="N337" s="1967">
        <f t="shared" si="59"/>
        <v>0</v>
      </c>
    </row>
    <row r="338" spans="1:14">
      <c r="A338" s="1944"/>
      <c r="B338" s="1837" t="s">
        <v>286</v>
      </c>
      <c r="C338" s="1830"/>
      <c r="D338" s="1946">
        <f t="shared" si="57"/>
        <v>0</v>
      </c>
      <c r="E338" s="1947"/>
      <c r="F338" s="1968">
        <v>0</v>
      </c>
      <c r="G338" s="1996">
        <v>0</v>
      </c>
      <c r="H338" s="1968">
        <v>0</v>
      </c>
      <c r="I338" s="1996">
        <v>0</v>
      </c>
      <c r="J338" s="1948">
        <f t="shared" si="58"/>
        <v>0</v>
      </c>
      <c r="K338" s="1947"/>
      <c r="L338" s="1968"/>
      <c r="M338" s="1997"/>
      <c r="N338" s="1967">
        <f t="shared" si="59"/>
        <v>0</v>
      </c>
    </row>
    <row r="339" spans="1:14">
      <c r="A339" s="1944"/>
      <c r="B339" s="1837" t="s">
        <v>287</v>
      </c>
      <c r="C339" s="1830"/>
      <c r="D339" s="1946">
        <f t="shared" si="57"/>
        <v>807672.05697000003</v>
      </c>
      <c r="E339" s="1973"/>
      <c r="F339" s="1964">
        <v>764681.56697000004</v>
      </c>
      <c r="G339" s="1965">
        <v>13858.33</v>
      </c>
      <c r="H339" s="1964">
        <v>29132.16</v>
      </c>
      <c r="I339" s="1972">
        <v>0</v>
      </c>
      <c r="J339" s="2014">
        <f t="shared" si="58"/>
        <v>42990.49</v>
      </c>
      <c r="K339" s="1947"/>
      <c r="L339" s="1968"/>
      <c r="M339" s="1997"/>
      <c r="N339" s="1967">
        <f t="shared" si="59"/>
        <v>0</v>
      </c>
    </row>
    <row r="340" spans="1:14" ht="26.45">
      <c r="A340" s="1951">
        <v>9</v>
      </c>
      <c r="B340" s="1952" t="s">
        <v>288</v>
      </c>
      <c r="C340" s="1840"/>
      <c r="D340" s="1953">
        <f t="shared" si="57"/>
        <v>148465747.4789893</v>
      </c>
      <c r="E340" s="1954">
        <f>SUM(E341:E344)</f>
        <v>0</v>
      </c>
      <c r="F340" s="1976">
        <f>SUM(F341:F344)</f>
        <v>32927609.272759382</v>
      </c>
      <c r="G340" s="1977">
        <f>SUM(G341:G344)</f>
        <v>57097330.016276434</v>
      </c>
      <c r="H340" s="1976">
        <f>SUM(H341:H344)</f>
        <v>28152966.8431875</v>
      </c>
      <c r="I340" s="1977">
        <f>SUM(I341:I344)</f>
        <v>29887119.695285998</v>
      </c>
      <c r="J340" s="2010">
        <f t="shared" si="58"/>
        <v>115137416.55474994</v>
      </c>
      <c r="K340" s="1954">
        <f>SUM(K341:K344)</f>
        <v>0</v>
      </c>
      <c r="L340" s="1976">
        <f>SUM(L341:L344)</f>
        <v>0</v>
      </c>
      <c r="M340" s="1998">
        <f>SUM(M341:M344)</f>
        <v>400721.65148</v>
      </c>
      <c r="N340" s="1979">
        <f t="shared" si="59"/>
        <v>400721.65148</v>
      </c>
    </row>
    <row r="341" spans="1:14">
      <c r="A341" s="1950">
        <v>10</v>
      </c>
      <c r="B341" s="1846" t="s">
        <v>289</v>
      </c>
      <c r="C341" s="1830">
        <v>9</v>
      </c>
      <c r="D341" s="1946">
        <f t="shared" si="57"/>
        <v>63905376.82871756</v>
      </c>
      <c r="E341" s="1973"/>
      <c r="F341" s="1968">
        <v>8518997.2954039089</v>
      </c>
      <c r="G341" s="2047">
        <v>36327117.492315643</v>
      </c>
      <c r="H341" s="1968">
        <v>8352125.6050020009</v>
      </c>
      <c r="I341" s="1996">
        <v>10707136.435996</v>
      </c>
      <c r="J341" s="2014">
        <f t="shared" si="58"/>
        <v>55386379.533313647</v>
      </c>
      <c r="K341" s="2034"/>
      <c r="L341" s="2048"/>
      <c r="M341" s="2021">
        <v>0</v>
      </c>
      <c r="N341" s="1967">
        <f t="shared" si="59"/>
        <v>0</v>
      </c>
    </row>
    <row r="342" spans="1:14">
      <c r="A342" s="1950">
        <v>11</v>
      </c>
      <c r="B342" s="1846" t="s">
        <v>290</v>
      </c>
      <c r="C342" s="1830">
        <v>10</v>
      </c>
      <c r="D342" s="1946">
        <f t="shared" si="57"/>
        <v>83943189.868661761</v>
      </c>
      <c r="E342" s="1973"/>
      <c r="F342" s="1968">
        <v>24406086.977355473</v>
      </c>
      <c r="G342" s="2047">
        <v>20593035.132380791</v>
      </c>
      <c r="H342" s="2016">
        <v>19642349.922255497</v>
      </c>
      <c r="I342" s="2047">
        <v>19114586.66767</v>
      </c>
      <c r="J342" s="2014">
        <f t="shared" si="58"/>
        <v>59349971.722306281</v>
      </c>
      <c r="K342" s="2034"/>
      <c r="L342" s="2016"/>
      <c r="M342" s="2021">
        <v>187131.16899999999</v>
      </c>
      <c r="N342" s="1967">
        <f t="shared" si="59"/>
        <v>187131.16899999999</v>
      </c>
    </row>
    <row r="343" spans="1:14">
      <c r="A343" s="1950">
        <v>12</v>
      </c>
      <c r="B343" s="1846" t="s">
        <v>291</v>
      </c>
      <c r="C343" s="1830">
        <v>11</v>
      </c>
      <c r="D343" s="1946">
        <f t="shared" si="57"/>
        <v>616108.35051000002</v>
      </c>
      <c r="E343" s="1973"/>
      <c r="F343" s="1968">
        <v>2525</v>
      </c>
      <c r="G343" s="2047">
        <v>177177.39158</v>
      </c>
      <c r="H343" s="2016">
        <v>158491.31593000001</v>
      </c>
      <c r="I343" s="2047">
        <v>65396.591619999999</v>
      </c>
      <c r="J343" s="2014">
        <f t="shared" si="58"/>
        <v>401065.29913</v>
      </c>
      <c r="K343" s="2034"/>
      <c r="L343" s="2016"/>
      <c r="M343" s="2021">
        <v>212518.05138000002</v>
      </c>
      <c r="N343" s="1967">
        <f t="shared" si="59"/>
        <v>212518.05138000002</v>
      </c>
    </row>
    <row r="344" spans="1:14" ht="26.45">
      <c r="A344" s="1950">
        <v>13</v>
      </c>
      <c r="B344" s="1846" t="s">
        <v>292</v>
      </c>
      <c r="C344" s="1830">
        <v>12</v>
      </c>
      <c r="D344" s="1946">
        <f t="shared" si="57"/>
        <v>1072.4311</v>
      </c>
      <c r="E344" s="1973"/>
      <c r="F344" s="1968">
        <v>0</v>
      </c>
      <c r="G344" s="2047">
        <v>0</v>
      </c>
      <c r="H344" s="2016">
        <v>0</v>
      </c>
      <c r="I344" s="2047"/>
      <c r="J344" s="2014">
        <f t="shared" si="58"/>
        <v>0</v>
      </c>
      <c r="K344" s="2034"/>
      <c r="L344" s="2016"/>
      <c r="M344" s="2021">
        <v>1072.4311</v>
      </c>
      <c r="N344" s="1967">
        <f t="shared" si="59"/>
        <v>1072.4311</v>
      </c>
    </row>
    <row r="345" spans="1:14">
      <c r="A345" s="1950">
        <v>14</v>
      </c>
      <c r="B345" s="1829" t="s">
        <v>293</v>
      </c>
      <c r="C345" s="1830">
        <v>13</v>
      </c>
      <c r="D345" s="1946">
        <f t="shared" si="57"/>
        <v>1561980.5201700001</v>
      </c>
      <c r="E345" s="1973"/>
      <c r="F345" s="1968">
        <v>0</v>
      </c>
      <c r="G345" s="2047">
        <v>468028.49163</v>
      </c>
      <c r="H345" s="1968">
        <v>1093952.0285400001</v>
      </c>
      <c r="I345" s="1996">
        <v>0</v>
      </c>
      <c r="J345" s="2014">
        <f t="shared" si="58"/>
        <v>1561980.5201700001</v>
      </c>
      <c r="K345" s="2034"/>
      <c r="L345" s="2048"/>
      <c r="M345" s="2021"/>
      <c r="N345" s="1967">
        <f t="shared" si="59"/>
        <v>0</v>
      </c>
    </row>
    <row r="346" spans="1:14">
      <c r="A346" s="1950">
        <v>15</v>
      </c>
      <c r="B346" s="1829" t="s">
        <v>294</v>
      </c>
      <c r="C346" s="1836">
        <v>14</v>
      </c>
      <c r="D346" s="1946">
        <f t="shared" si="57"/>
        <v>392170.09740999993</v>
      </c>
      <c r="E346" s="1973"/>
      <c r="F346" s="1968">
        <v>0</v>
      </c>
      <c r="G346" s="2047">
        <v>12675.508075624501</v>
      </c>
      <c r="H346" s="1968">
        <v>379494.58933437546</v>
      </c>
      <c r="I346" s="1996">
        <v>0</v>
      </c>
      <c r="J346" s="2014">
        <f t="shared" si="58"/>
        <v>392170.09740999993</v>
      </c>
      <c r="K346" s="2034"/>
      <c r="L346" s="2048"/>
      <c r="M346" s="2021"/>
      <c r="N346" s="1967">
        <f t="shared" si="59"/>
        <v>0</v>
      </c>
    </row>
    <row r="347" spans="1:14">
      <c r="A347" s="1950">
        <v>16</v>
      </c>
      <c r="B347" s="1829" t="s">
        <v>295</v>
      </c>
      <c r="C347" s="1830">
        <v>15</v>
      </c>
      <c r="D347" s="1946">
        <f t="shared" si="57"/>
        <v>336495.56374000001</v>
      </c>
      <c r="E347" s="1973"/>
      <c r="F347" s="1968">
        <v>0</v>
      </c>
      <c r="G347" s="2047">
        <v>137788.79050999999</v>
      </c>
      <c r="H347" s="1968">
        <v>198706.77323000002</v>
      </c>
      <c r="I347" s="1996">
        <v>0</v>
      </c>
      <c r="J347" s="2014">
        <f t="shared" si="58"/>
        <v>336495.56374000001</v>
      </c>
      <c r="K347" s="2034"/>
      <c r="L347" s="2048"/>
      <c r="M347" s="2021"/>
      <c r="N347" s="1967">
        <f t="shared" si="59"/>
        <v>0</v>
      </c>
    </row>
    <row r="348" spans="1:14">
      <c r="A348" s="1950">
        <v>17</v>
      </c>
      <c r="B348" s="1829" t="s">
        <v>296</v>
      </c>
      <c r="C348" s="1836">
        <v>16</v>
      </c>
      <c r="D348" s="1946">
        <f t="shared" si="57"/>
        <v>5811234.5836199988</v>
      </c>
      <c r="E348" s="1973"/>
      <c r="F348" s="1968">
        <v>4477877.9480199991</v>
      </c>
      <c r="G348" s="2047">
        <v>671546.79647247191</v>
      </c>
      <c r="H348" s="2016">
        <v>661809.83912752813</v>
      </c>
      <c r="I348" s="2047">
        <v>0</v>
      </c>
      <c r="J348" s="2014">
        <f t="shared" si="58"/>
        <v>1333356.6356000002</v>
      </c>
      <c r="K348" s="2034"/>
      <c r="L348" s="2016"/>
      <c r="M348" s="2021"/>
      <c r="N348" s="1967">
        <f t="shared" si="59"/>
        <v>0</v>
      </c>
    </row>
    <row r="349" spans="1:14">
      <c r="A349" s="1950">
        <v>18</v>
      </c>
      <c r="B349" s="1829" t="s">
        <v>297</v>
      </c>
      <c r="C349" s="1830"/>
      <c r="D349" s="1946">
        <f t="shared" si="57"/>
        <v>0</v>
      </c>
      <c r="E349" s="1973"/>
      <c r="F349" s="1964">
        <v>0</v>
      </c>
      <c r="G349" s="1965">
        <v>0</v>
      </c>
      <c r="H349" s="1964">
        <v>0</v>
      </c>
      <c r="I349" s="1972">
        <v>0</v>
      </c>
      <c r="J349" s="2014">
        <f t="shared" si="58"/>
        <v>0</v>
      </c>
      <c r="K349" s="1970"/>
      <c r="L349" s="1985"/>
      <c r="M349" s="2001"/>
      <c r="N349" s="1967">
        <f t="shared" si="59"/>
        <v>0</v>
      </c>
    </row>
    <row r="350" spans="1:14" ht="15" thickBot="1">
      <c r="A350" s="1957">
        <v>19</v>
      </c>
      <c r="B350" s="1848" t="s">
        <v>298</v>
      </c>
      <c r="C350" s="1847"/>
      <c r="D350" s="3120">
        <f t="shared" si="57"/>
        <v>494350.49610005639</v>
      </c>
      <c r="E350" s="3124"/>
      <c r="F350" s="968">
        <v>134380.08872998849</v>
      </c>
      <c r="G350" s="1988">
        <v>83134.334172020899</v>
      </c>
      <c r="H350" s="968">
        <v>176138.41675404698</v>
      </c>
      <c r="I350" s="2007">
        <v>100697.65644400002</v>
      </c>
      <c r="J350" s="3126">
        <f t="shared" si="58"/>
        <v>359970.4073700679</v>
      </c>
      <c r="K350" s="3125"/>
      <c r="L350" s="2005"/>
      <c r="M350" s="2006"/>
      <c r="N350" s="2019">
        <f t="shared" si="59"/>
        <v>0</v>
      </c>
    </row>
    <row r="351" spans="1:14" ht="27" thickBot="1">
      <c r="A351" s="1235">
        <v>20</v>
      </c>
      <c r="B351" s="1139" t="s">
        <v>299</v>
      </c>
      <c r="C351" s="1138"/>
      <c r="D351" s="1236">
        <f t="shared" si="57"/>
        <v>173762952.80787936</v>
      </c>
      <c r="E351" s="1236">
        <f>SUM(E328:E334)+E337+E340+SUM(E345:E350)</f>
        <v>0</v>
      </c>
      <c r="F351" s="1236">
        <f>SUM(F328:F334)+F337+F340+SUM(F345:F350)</f>
        <v>44839369.49968937</v>
      </c>
      <c r="G351" s="1236">
        <f>SUM(G328:G334)+G337+G340+SUM(G345:G350)</f>
        <v>67842843.654806554</v>
      </c>
      <c r="H351" s="1264">
        <f>SUM(H328:H334)+H337+H340+SUM(H345:H350)</f>
        <v>30692200.650173452</v>
      </c>
      <c r="I351" s="1265">
        <f>SUM(I328:I334)+I337+I340+SUM(I345:I350)</f>
        <v>29987817.351729997</v>
      </c>
      <c r="J351" s="1282">
        <f t="shared" si="58"/>
        <v>128522861.65671</v>
      </c>
      <c r="K351" s="1236">
        <f>SUM(K328:K334)+K337+K340+SUM(K345:K350)</f>
        <v>0</v>
      </c>
      <c r="L351" s="1264">
        <f>SUM(L328:L334)+L337+L340+SUM(L345:L350)</f>
        <v>0</v>
      </c>
      <c r="M351" s="1275">
        <f>SUM(M328:M334)+M337+M340+SUM(M345:M350)</f>
        <v>400721.65148</v>
      </c>
      <c r="N351" s="1237">
        <f t="shared" si="59"/>
        <v>400721.65148</v>
      </c>
    </row>
    <row r="352" spans="1:14">
      <c r="A352" s="1227"/>
      <c r="B352" s="1225" t="s">
        <v>300</v>
      </c>
      <c r="C352" s="1133"/>
      <c r="D352" s="1230">
        <f t="shared" si="57"/>
        <v>0</v>
      </c>
      <c r="E352" s="677"/>
      <c r="F352" s="677"/>
      <c r="G352" s="674"/>
      <c r="H352" s="675"/>
      <c r="I352" s="678"/>
      <c r="J352" s="1245">
        <f t="shared" si="58"/>
        <v>0</v>
      </c>
      <c r="K352" s="674"/>
      <c r="L352" s="679"/>
      <c r="M352" s="1305"/>
      <c r="N352" s="1231">
        <f t="shared" si="59"/>
        <v>0</v>
      </c>
    </row>
    <row r="353" spans="1:14">
      <c r="A353" s="1950"/>
      <c r="B353" s="1959" t="s">
        <v>301</v>
      </c>
      <c r="C353" s="1830"/>
      <c r="D353" s="1946">
        <f t="shared" si="57"/>
        <v>0</v>
      </c>
      <c r="E353" s="1973"/>
      <c r="F353" s="1973"/>
      <c r="G353" s="1970"/>
      <c r="H353" s="1966"/>
      <c r="I353" s="1972"/>
      <c r="J353" s="2014">
        <f t="shared" si="58"/>
        <v>0</v>
      </c>
      <c r="K353" s="1970"/>
      <c r="L353" s="1985"/>
      <c r="M353" s="2001"/>
      <c r="N353" s="1967">
        <f t="shared" si="59"/>
        <v>0</v>
      </c>
    </row>
    <row r="354" spans="1:14">
      <c r="A354" s="1950">
        <v>21</v>
      </c>
      <c r="B354" s="1829" t="s">
        <v>302</v>
      </c>
      <c r="C354" s="1836">
        <v>17</v>
      </c>
      <c r="D354" s="1946">
        <f t="shared" si="57"/>
        <v>120321046.6889959</v>
      </c>
      <c r="E354" s="1973"/>
      <c r="F354" s="1973">
        <v>0</v>
      </c>
      <c r="G354" s="1970">
        <v>65991218</v>
      </c>
      <c r="H354" s="1966">
        <v>24023159.292165905</v>
      </c>
      <c r="I354" s="1972">
        <v>29987817.351729997</v>
      </c>
      <c r="J354" s="2014">
        <f t="shared" si="58"/>
        <v>120002194.64389589</v>
      </c>
      <c r="K354" s="1970"/>
      <c r="L354" s="1985"/>
      <c r="M354" s="2001">
        <v>318852.04509999999</v>
      </c>
      <c r="N354" s="1967">
        <f t="shared" si="59"/>
        <v>318852.04509999999</v>
      </c>
    </row>
    <row r="355" spans="1:14">
      <c r="A355" s="1950">
        <v>22</v>
      </c>
      <c r="B355" s="1829" t="s">
        <v>303</v>
      </c>
      <c r="C355" s="1830"/>
      <c r="D355" s="1946">
        <f t="shared" si="57"/>
        <v>108450.32808000001</v>
      </c>
      <c r="E355" s="1973"/>
      <c r="F355" s="1973">
        <v>0</v>
      </c>
      <c r="G355" s="1970">
        <v>54095.023646304006</v>
      </c>
      <c r="H355" s="1966">
        <v>54355.304433695994</v>
      </c>
      <c r="I355" s="1972">
        <v>0</v>
      </c>
      <c r="J355" s="2014">
        <f t="shared" si="58"/>
        <v>108450.32808000001</v>
      </c>
      <c r="K355" s="1970"/>
      <c r="L355" s="1985"/>
      <c r="M355" s="2001"/>
      <c r="N355" s="1967">
        <f t="shared" si="59"/>
        <v>0</v>
      </c>
    </row>
    <row r="356" spans="1:14">
      <c r="A356" s="1950">
        <v>23</v>
      </c>
      <c r="B356" s="1829" t="s">
        <v>304</v>
      </c>
      <c r="C356" s="1830">
        <v>18</v>
      </c>
      <c r="D356" s="1946">
        <f t="shared" si="57"/>
        <v>524897.40815999999</v>
      </c>
      <c r="E356" s="1973"/>
      <c r="F356" s="1973">
        <v>0</v>
      </c>
      <c r="G356" s="1970">
        <v>17532.111188991992</v>
      </c>
      <c r="H356" s="1966">
        <v>507365.29697100801</v>
      </c>
      <c r="I356" s="1972">
        <v>0</v>
      </c>
      <c r="J356" s="2014">
        <f t="shared" si="58"/>
        <v>524897.40815999999</v>
      </c>
      <c r="K356" s="1970"/>
      <c r="L356" s="1985"/>
      <c r="M356" s="2001"/>
      <c r="N356" s="1967">
        <f t="shared" si="59"/>
        <v>0</v>
      </c>
    </row>
    <row r="357" spans="1:14">
      <c r="A357" s="1950">
        <v>24</v>
      </c>
      <c r="B357" s="1829" t="s">
        <v>305</v>
      </c>
      <c r="C357" s="1830"/>
      <c r="D357" s="1946">
        <f t="shared" si="57"/>
        <v>918730.46505999973</v>
      </c>
      <c r="E357" s="1973"/>
      <c r="F357" s="1973">
        <v>0</v>
      </c>
      <c r="G357" s="1970">
        <v>212178.67894844388</v>
      </c>
      <c r="H357" s="1966">
        <v>706551.78611155588</v>
      </c>
      <c r="I357" s="1972">
        <v>0</v>
      </c>
      <c r="J357" s="2014">
        <f t="shared" si="58"/>
        <v>918730.46505999973</v>
      </c>
      <c r="K357" s="1970"/>
      <c r="L357" s="1985"/>
      <c r="M357" s="2001"/>
      <c r="N357" s="1967">
        <f t="shared" si="59"/>
        <v>0</v>
      </c>
    </row>
    <row r="358" spans="1:14">
      <c r="A358" s="1950">
        <v>25</v>
      </c>
      <c r="B358" s="1851" t="s">
        <v>306</v>
      </c>
      <c r="C358" s="1830"/>
      <c r="D358" s="1946">
        <f t="shared" si="57"/>
        <v>3202053.64384</v>
      </c>
      <c r="E358" s="1973"/>
      <c r="F358" s="1973">
        <v>0</v>
      </c>
      <c r="G358" s="1970">
        <v>0</v>
      </c>
      <c r="H358" s="1966">
        <v>3202053.64384</v>
      </c>
      <c r="I358" s="1972">
        <v>0</v>
      </c>
      <c r="J358" s="2014">
        <f t="shared" si="58"/>
        <v>3202053.64384</v>
      </c>
      <c r="K358" s="1970"/>
      <c r="L358" s="1985"/>
      <c r="M358" s="2001"/>
      <c r="N358" s="1967">
        <f t="shared" si="59"/>
        <v>0</v>
      </c>
    </row>
    <row r="359" spans="1:14" ht="15" thickBot="1">
      <c r="A359" s="1957">
        <v>26</v>
      </c>
      <c r="B359" s="1848" t="s">
        <v>307</v>
      </c>
      <c r="C359" s="1852">
        <v>19</v>
      </c>
      <c r="D359" s="3120">
        <f t="shared" si="57"/>
        <v>4493741.4789207419</v>
      </c>
      <c r="E359" s="3124"/>
      <c r="F359" s="3124">
        <v>645336.94498073775</v>
      </c>
      <c r="G359" s="3125">
        <f>1316260.15899372+251559.59105</f>
        <v>1567819.75004372</v>
      </c>
      <c r="H359" s="945">
        <v>2198715.1775162844</v>
      </c>
      <c r="I359" s="1988">
        <v>0</v>
      </c>
      <c r="J359" s="3126">
        <f t="shared" si="58"/>
        <v>3766534.9275600044</v>
      </c>
      <c r="K359" s="3125"/>
      <c r="L359" s="945"/>
      <c r="M359" s="2006">
        <v>81869.606380000012</v>
      </c>
      <c r="N359" s="2019">
        <f t="shared" si="59"/>
        <v>81869.606380000012</v>
      </c>
    </row>
    <row r="360" spans="1:14" ht="27" thickBot="1">
      <c r="A360" s="1226">
        <v>27</v>
      </c>
      <c r="B360" s="1136" t="s">
        <v>308</v>
      </c>
      <c r="C360" s="1135"/>
      <c r="D360" s="1241">
        <f t="shared" si="57"/>
        <v>129568920.01305665</v>
      </c>
      <c r="E360" s="934">
        <f>SUM(E354:E359)</f>
        <v>0</v>
      </c>
      <c r="F360" s="934">
        <f>SUM(F354:F359)</f>
        <v>645336.94498073775</v>
      </c>
      <c r="G360" s="934">
        <f>SUM(G354:G359)</f>
        <v>67842843.563827455</v>
      </c>
      <c r="H360" s="946">
        <f>SUM(H354:H359)</f>
        <v>30692200.501038451</v>
      </c>
      <c r="I360" s="938">
        <f>SUM(I354:I359)</f>
        <v>29987817.351729997</v>
      </c>
      <c r="J360" s="1244">
        <f t="shared" si="58"/>
        <v>128522861.41659591</v>
      </c>
      <c r="K360" s="934">
        <f>SUM(K354:K359)</f>
        <v>0</v>
      </c>
      <c r="L360" s="946">
        <f>SUM(L354:L359)</f>
        <v>0</v>
      </c>
      <c r="M360" s="942">
        <f>SUM(M354:M359)</f>
        <v>400721.65148</v>
      </c>
      <c r="N360" s="1261">
        <f t="shared" si="59"/>
        <v>400721.65148</v>
      </c>
    </row>
    <row r="361" spans="1:14">
      <c r="A361" s="1227"/>
      <c r="B361" s="1225" t="s">
        <v>309</v>
      </c>
      <c r="C361" s="1133">
        <v>20</v>
      </c>
      <c r="D361" s="1230">
        <f t="shared" si="57"/>
        <v>0</v>
      </c>
      <c r="E361" s="677"/>
      <c r="F361" s="677"/>
      <c r="G361" s="674"/>
      <c r="H361" s="675"/>
      <c r="I361" s="678"/>
      <c r="J361" s="1245">
        <f t="shared" si="58"/>
        <v>0</v>
      </c>
      <c r="K361" s="914"/>
      <c r="L361" s="967"/>
      <c r="M361" s="1306"/>
      <c r="N361" s="1231">
        <f t="shared" si="59"/>
        <v>0</v>
      </c>
    </row>
    <row r="362" spans="1:14">
      <c r="A362" s="1950">
        <v>28</v>
      </c>
      <c r="B362" s="1945" t="s">
        <v>310</v>
      </c>
      <c r="C362" s="1836"/>
      <c r="D362" s="1946">
        <f t="shared" si="57"/>
        <v>500001</v>
      </c>
      <c r="E362" s="1973"/>
      <c r="F362" s="1973">
        <v>500001</v>
      </c>
      <c r="G362" s="1970"/>
      <c r="H362" s="1966"/>
      <c r="I362" s="1972"/>
      <c r="J362" s="2014">
        <f t="shared" si="58"/>
        <v>0</v>
      </c>
      <c r="K362" s="1947"/>
      <c r="L362" s="1968"/>
      <c r="M362" s="1997"/>
      <c r="N362" s="1967">
        <f t="shared" si="59"/>
        <v>0</v>
      </c>
    </row>
    <row r="363" spans="1:14">
      <c r="A363" s="1950">
        <v>29</v>
      </c>
      <c r="B363" s="1945" t="s">
        <v>311</v>
      </c>
      <c r="C363" s="1836"/>
      <c r="D363" s="1946">
        <f t="shared" si="57"/>
        <v>7341019.0158089995</v>
      </c>
      <c r="E363" s="1973"/>
      <c r="F363" s="1973">
        <v>7341019.0158089995</v>
      </c>
      <c r="G363" s="1970"/>
      <c r="H363" s="1966"/>
      <c r="I363" s="1972"/>
      <c r="J363" s="2014">
        <f t="shared" si="58"/>
        <v>0</v>
      </c>
      <c r="K363" s="1947"/>
      <c r="L363" s="1968"/>
      <c r="M363" s="1997"/>
      <c r="N363" s="1967">
        <f t="shared" si="59"/>
        <v>0</v>
      </c>
    </row>
    <row r="364" spans="1:14">
      <c r="A364" s="1950">
        <v>30</v>
      </c>
      <c r="B364" s="1960" t="s">
        <v>312</v>
      </c>
      <c r="C364" s="1852"/>
      <c r="D364" s="1946">
        <f t="shared" si="57"/>
        <v>496512.01118983352</v>
      </c>
      <c r="E364" s="1973"/>
      <c r="F364" s="3124">
        <v>496512.01118983352</v>
      </c>
      <c r="G364" s="3125"/>
      <c r="H364" s="2002"/>
      <c r="I364" s="2007"/>
      <c r="J364" s="2014">
        <f t="shared" si="58"/>
        <v>0</v>
      </c>
      <c r="K364" s="1947"/>
      <c r="L364" s="1968"/>
      <c r="M364" s="1997"/>
      <c r="N364" s="1967">
        <f t="shared" si="59"/>
        <v>0</v>
      </c>
    </row>
    <row r="365" spans="1:14">
      <c r="A365" s="1950">
        <v>31</v>
      </c>
      <c r="B365" s="1960" t="s">
        <v>313</v>
      </c>
      <c r="C365" s="1852"/>
      <c r="D365" s="1946">
        <f t="shared" si="57"/>
        <v>3456184.2829999998</v>
      </c>
      <c r="E365" s="1973"/>
      <c r="F365" s="3124">
        <v>3456184.2829999998</v>
      </c>
      <c r="G365" s="3125"/>
      <c r="H365" s="2002"/>
      <c r="I365" s="2007"/>
      <c r="J365" s="2014">
        <f t="shared" si="58"/>
        <v>0</v>
      </c>
      <c r="K365" s="1947"/>
      <c r="L365" s="1968"/>
      <c r="M365" s="1997"/>
      <c r="N365" s="1967">
        <f t="shared" si="59"/>
        <v>0</v>
      </c>
    </row>
    <row r="366" spans="1:14" ht="15" thickBot="1">
      <c r="A366" s="1957">
        <v>32</v>
      </c>
      <c r="B366" s="1960" t="s">
        <v>314</v>
      </c>
      <c r="C366" s="1852"/>
      <c r="D366" s="3120">
        <f t="shared" si="57"/>
        <v>32400316.645799797</v>
      </c>
      <c r="E366" s="3124"/>
      <c r="F366" s="3124">
        <v>32400316.645799797</v>
      </c>
      <c r="G366" s="3125"/>
      <c r="H366" s="2002"/>
      <c r="I366" s="2007"/>
      <c r="J366" s="3126">
        <f t="shared" si="58"/>
        <v>0</v>
      </c>
      <c r="K366" s="3121"/>
      <c r="L366" s="969"/>
      <c r="M366" s="2049"/>
      <c r="N366" s="2019">
        <f t="shared" si="59"/>
        <v>0</v>
      </c>
    </row>
    <row r="367" spans="1:14" ht="15" thickBot="1">
      <c r="A367" s="1226">
        <v>33</v>
      </c>
      <c r="B367" s="1137" t="s">
        <v>315</v>
      </c>
      <c r="C367" s="1135"/>
      <c r="D367" s="1242">
        <f t="shared" si="57"/>
        <v>44194032.955798626</v>
      </c>
      <c r="E367" s="939">
        <f>SUM(E362:E366)</f>
        <v>0</v>
      </c>
      <c r="F367" s="939">
        <f>SUM(F362:F366)</f>
        <v>44194032.955798626</v>
      </c>
      <c r="G367" s="939">
        <f>SUM(G362:G366)</f>
        <v>0</v>
      </c>
      <c r="H367" s="939">
        <f>SUM(H362:H366)</f>
        <v>0</v>
      </c>
      <c r="I367" s="939">
        <f>SUM(I362:I366)</f>
        <v>0</v>
      </c>
      <c r="J367" s="940">
        <f t="shared" si="58"/>
        <v>0</v>
      </c>
      <c r="K367" s="939">
        <f>SUM(K362:K366)</f>
        <v>0</v>
      </c>
      <c r="L367" s="947">
        <f>SUM(L362:L366)</f>
        <v>0</v>
      </c>
      <c r="M367" s="1307">
        <f>SUM(M362:M366)</f>
        <v>0</v>
      </c>
      <c r="N367" s="1263">
        <f t="shared" si="59"/>
        <v>0</v>
      </c>
    </row>
    <row r="368" spans="1:14" ht="27" thickBot="1">
      <c r="A368" s="1235">
        <v>34</v>
      </c>
      <c r="B368" s="1139" t="s">
        <v>317</v>
      </c>
      <c r="C368" s="1138"/>
      <c r="D368" s="1268">
        <f t="shared" si="57"/>
        <v>173762952.96885526</v>
      </c>
      <c r="E368" s="1268">
        <f>E367+E360</f>
        <v>0</v>
      </c>
      <c r="F368" s="1268">
        <f>F367+F360</f>
        <v>44839369.900779366</v>
      </c>
      <c r="G368" s="1268">
        <f>G367+G360</f>
        <v>67842843.563827455</v>
      </c>
      <c r="H368" s="1268">
        <f>H367+H360</f>
        <v>30692200.501038451</v>
      </c>
      <c r="I368" s="1268">
        <f>I367+I360</f>
        <v>29987817.351729997</v>
      </c>
      <c r="J368" s="1277">
        <f t="shared" si="58"/>
        <v>128522861.41659591</v>
      </c>
      <c r="K368" s="1268">
        <f>K367+K360</f>
        <v>0</v>
      </c>
      <c r="L368" s="1269">
        <f>L367+L360</f>
        <v>0</v>
      </c>
      <c r="M368" s="1308">
        <f>M367+M360</f>
        <v>400721.65148</v>
      </c>
      <c r="N368" s="1271">
        <f t="shared" si="59"/>
        <v>400721.65148</v>
      </c>
    </row>
    <row r="369" spans="1:14">
      <c r="B369"/>
      <c r="C369"/>
      <c r="D369"/>
      <c r="E369"/>
      <c r="F369"/>
      <c r="G369"/>
      <c r="H369"/>
      <c r="I369"/>
      <c r="J369"/>
      <c r="K369"/>
      <c r="L369"/>
      <c r="M369"/>
      <c r="N369"/>
    </row>
    <row r="370" spans="1:14">
      <c r="B370"/>
      <c r="C370"/>
      <c r="D370"/>
      <c r="E370"/>
      <c r="F370"/>
      <c r="G370"/>
      <c r="H370"/>
      <c r="I370"/>
      <c r="J370"/>
      <c r="K370"/>
      <c r="L370"/>
      <c r="M370"/>
      <c r="N370"/>
    </row>
    <row r="371" spans="1:14" ht="15" thickBot="1">
      <c r="B371"/>
      <c r="C371"/>
      <c r="D371"/>
      <c r="E371"/>
      <c r="F371"/>
      <c r="G371"/>
      <c r="H371"/>
      <c r="I371"/>
      <c r="J371"/>
      <c r="K371"/>
      <c r="L371"/>
      <c r="M371"/>
      <c r="N371"/>
    </row>
    <row r="372" spans="1:14" ht="15" customHeight="1" thickBot="1">
      <c r="A372" s="1153" t="s">
        <v>186</v>
      </c>
      <c r="B372" s="3303" t="s">
        <v>239</v>
      </c>
      <c r="C372" s="3304"/>
      <c r="D372" s="662"/>
      <c r="E372" s="666"/>
      <c r="F372" s="666"/>
      <c r="G372" s="666"/>
      <c r="H372" s="666"/>
      <c r="I372" s="666"/>
      <c r="J372" s="666"/>
      <c r="K372" s="666"/>
      <c r="L372" s="666"/>
      <c r="M372" s="3292"/>
      <c r="N372" s="3292" t="s">
        <v>257</v>
      </c>
    </row>
    <row r="373" spans="1:14" ht="13.5" customHeight="1" thickBot="1">
      <c r="A373" s="3311" t="s">
        <v>258</v>
      </c>
      <c r="B373" s="1212"/>
      <c r="C373" s="3280" t="s">
        <v>259</v>
      </c>
      <c r="D373" s="3314" t="s">
        <v>260</v>
      </c>
      <c r="E373" s="3314" t="s">
        <v>261</v>
      </c>
      <c r="F373" s="3314" t="s">
        <v>262</v>
      </c>
      <c r="G373" s="3324" t="s">
        <v>263</v>
      </c>
      <c r="H373" s="3325"/>
      <c r="I373" s="3325"/>
      <c r="J373" s="3325"/>
      <c r="K373" s="3325"/>
      <c r="L373" s="3325"/>
      <c r="M373" s="3325"/>
      <c r="N373" s="3326"/>
    </row>
    <row r="374" spans="1:14" ht="13.5" customHeight="1" thickBot="1">
      <c r="A374" s="3312"/>
      <c r="B374" s="1213"/>
      <c r="C374" s="3281"/>
      <c r="D374" s="3315"/>
      <c r="E374" s="3315"/>
      <c r="F374" s="3315"/>
      <c r="G374" s="3289" t="s">
        <v>264</v>
      </c>
      <c r="H374" s="3290"/>
      <c r="I374" s="3290"/>
      <c r="J374" s="3291"/>
      <c r="K374" s="3318" t="s">
        <v>265</v>
      </c>
      <c r="L374" s="3319"/>
      <c r="M374" s="3319"/>
      <c r="N374" s="3320"/>
    </row>
    <row r="375" spans="1:14" ht="40.15" thickBot="1">
      <c r="A375" s="3312"/>
      <c r="B375" s="1214"/>
      <c r="C375" s="3281"/>
      <c r="D375" s="3316"/>
      <c r="E375" s="3316"/>
      <c r="F375" s="3316"/>
      <c r="G375" s="1125" t="s">
        <v>267</v>
      </c>
      <c r="H375" s="1125" t="s">
        <v>268</v>
      </c>
      <c r="I375" s="1125" t="s">
        <v>269</v>
      </c>
      <c r="J375" s="1125" t="s">
        <v>160</v>
      </c>
      <c r="K375" s="1126" t="s">
        <v>270</v>
      </c>
      <c r="L375" s="1126" t="s">
        <v>271</v>
      </c>
      <c r="M375" s="1126" t="s">
        <v>272</v>
      </c>
      <c r="N375" s="2969" t="s">
        <v>160</v>
      </c>
    </row>
    <row r="376" spans="1:14" ht="15" thickBot="1">
      <c r="A376" s="3312"/>
      <c r="B376" s="1213"/>
      <c r="C376" s="3281"/>
      <c r="D376" s="1215">
        <v>1</v>
      </c>
      <c r="E376" s="1216">
        <v>2</v>
      </c>
      <c r="F376" s="1216">
        <v>3</v>
      </c>
      <c r="G376" s="1217">
        <v>4</v>
      </c>
      <c r="H376" s="1216">
        <v>5</v>
      </c>
      <c r="I376" s="1218">
        <v>6</v>
      </c>
      <c r="J376" s="2971">
        <v>7</v>
      </c>
      <c r="K376" s="1217">
        <v>8</v>
      </c>
      <c r="L376" s="1216">
        <v>9</v>
      </c>
      <c r="M376" s="1238">
        <v>10</v>
      </c>
      <c r="N376" s="1215">
        <v>11</v>
      </c>
    </row>
    <row r="377" spans="1:14" ht="15" thickBot="1">
      <c r="A377" s="3313"/>
      <c r="B377" s="1219"/>
      <c r="C377" s="3282"/>
      <c r="D377" s="1220"/>
      <c r="E377" s="1220"/>
      <c r="F377" s="1220"/>
      <c r="G377" s="1221"/>
      <c r="H377" s="1220"/>
      <c r="I377" s="1292"/>
      <c r="J377" s="1222" t="s">
        <v>273</v>
      </c>
      <c r="K377" s="1221"/>
      <c r="L377" s="1220"/>
      <c r="M377" s="1667"/>
      <c r="N377" s="1293" t="s">
        <v>274</v>
      </c>
    </row>
    <row r="378" spans="1:14">
      <c r="A378" s="1227"/>
      <c r="B378" s="1225" t="s">
        <v>275</v>
      </c>
      <c r="C378" s="1133"/>
      <c r="D378" s="1228"/>
      <c r="E378" s="910"/>
      <c r="F378" s="673"/>
      <c r="G378" s="674"/>
      <c r="H378" s="675"/>
      <c r="I378" s="676"/>
      <c r="J378" s="1233"/>
      <c r="K378" s="914"/>
      <c r="L378" s="912"/>
      <c r="M378" s="915"/>
      <c r="N378" s="1260"/>
    </row>
    <row r="379" spans="1:14">
      <c r="A379" s="1944">
        <v>1</v>
      </c>
      <c r="B379" s="1945" t="s">
        <v>276</v>
      </c>
      <c r="C379" s="1830"/>
      <c r="D379" s="1946">
        <f t="shared" ref="D379:D419" si="60">+E379+F379+J379+N379</f>
        <v>1695.1125999999997</v>
      </c>
      <c r="E379" s="1947"/>
      <c r="F379" s="1973"/>
      <c r="G379" s="1970">
        <v>559.38715799999977</v>
      </c>
      <c r="H379" s="1966">
        <v>1135.7254419999999</v>
      </c>
      <c r="I379" s="1972"/>
      <c r="J379" s="2014">
        <f t="shared" ref="J379:J419" si="61">G379+H379+I379</f>
        <v>1695.1125999999997</v>
      </c>
      <c r="K379" s="1947"/>
      <c r="L379" s="1947"/>
      <c r="M379" s="1968"/>
      <c r="N379" s="1967">
        <f t="shared" ref="N379:N419" si="62">K379+L379+M379</f>
        <v>0</v>
      </c>
    </row>
    <row r="380" spans="1:14">
      <c r="A380" s="1944">
        <v>2</v>
      </c>
      <c r="B380" s="1945" t="s">
        <v>277</v>
      </c>
      <c r="C380" s="1830"/>
      <c r="D380" s="1946">
        <f t="shared" si="60"/>
        <v>0</v>
      </c>
      <c r="E380" s="1947"/>
      <c r="F380" s="1973"/>
      <c r="G380" s="2050"/>
      <c r="H380" s="2051"/>
      <c r="I380" s="1972"/>
      <c r="J380" s="2014">
        <f t="shared" si="61"/>
        <v>0</v>
      </c>
      <c r="K380" s="1947"/>
      <c r="L380" s="1947"/>
      <c r="M380" s="1968"/>
      <c r="N380" s="1967">
        <f t="shared" si="62"/>
        <v>0</v>
      </c>
    </row>
    <row r="381" spans="1:14">
      <c r="A381" s="1944">
        <v>3</v>
      </c>
      <c r="B381" s="1945" t="s">
        <v>278</v>
      </c>
      <c r="C381" s="1830"/>
      <c r="D381" s="1946">
        <f t="shared" si="60"/>
        <v>0</v>
      </c>
      <c r="E381" s="1947"/>
      <c r="F381" s="1973"/>
      <c r="G381" s="1970"/>
      <c r="H381" s="1966"/>
      <c r="I381" s="1972"/>
      <c r="J381" s="2014">
        <f t="shared" si="61"/>
        <v>0</v>
      </c>
      <c r="K381" s="1947"/>
      <c r="L381" s="1947"/>
      <c r="M381" s="1968"/>
      <c r="N381" s="1967">
        <f t="shared" si="62"/>
        <v>0</v>
      </c>
    </row>
    <row r="382" spans="1:14">
      <c r="A382" s="1944">
        <v>4</v>
      </c>
      <c r="B382" s="1945" t="s">
        <v>325</v>
      </c>
      <c r="C382" s="1830"/>
      <c r="D382" s="1946">
        <f t="shared" si="60"/>
        <v>72997.928240000008</v>
      </c>
      <c r="E382" s="1947"/>
      <c r="F382" s="1973">
        <v>0</v>
      </c>
      <c r="G382" s="1970">
        <v>24089.316319200003</v>
      </c>
      <c r="H382" s="1966">
        <v>48908.611920800002</v>
      </c>
      <c r="I382" s="1972"/>
      <c r="J382" s="2014">
        <f t="shared" si="61"/>
        <v>72997.928240000008</v>
      </c>
      <c r="K382" s="1947"/>
      <c r="L382" s="1947"/>
      <c r="M382" s="1968"/>
      <c r="N382" s="1967">
        <f t="shared" si="62"/>
        <v>0</v>
      </c>
    </row>
    <row r="383" spans="1:14">
      <c r="A383" s="1944">
        <v>5</v>
      </c>
      <c r="B383" s="1945" t="s">
        <v>280</v>
      </c>
      <c r="C383" s="1836">
        <v>5</v>
      </c>
      <c r="D383" s="1946">
        <f t="shared" si="60"/>
        <v>302485.14920287672</v>
      </c>
      <c r="E383" s="1947"/>
      <c r="F383" s="1983">
        <v>206007.61817</v>
      </c>
      <c r="G383" s="2052">
        <v>49257.585240849316</v>
      </c>
      <c r="H383" s="1969">
        <v>47219.9457920274</v>
      </c>
      <c r="I383" s="1972"/>
      <c r="J383" s="2014">
        <f t="shared" si="61"/>
        <v>96477.531032876723</v>
      </c>
      <c r="K383" s="1947"/>
      <c r="L383" s="1947"/>
      <c r="M383" s="1968"/>
      <c r="N383" s="1967">
        <f t="shared" si="62"/>
        <v>0</v>
      </c>
    </row>
    <row r="384" spans="1:14">
      <c r="A384" s="1944">
        <v>6</v>
      </c>
      <c r="B384" s="1945" t="s">
        <v>281</v>
      </c>
      <c r="C384" s="1830">
        <v>6</v>
      </c>
      <c r="D384" s="1946">
        <f t="shared" si="60"/>
        <v>0</v>
      </c>
      <c r="E384" s="1947"/>
      <c r="F384" s="1973"/>
      <c r="G384" s="1970"/>
      <c r="H384" s="1966"/>
      <c r="I384" s="1972"/>
      <c r="J384" s="2014">
        <f t="shared" si="61"/>
        <v>0</v>
      </c>
      <c r="K384" s="1947"/>
      <c r="L384" s="1947"/>
      <c r="M384" s="1968"/>
      <c r="N384" s="1967">
        <f t="shared" si="62"/>
        <v>0</v>
      </c>
    </row>
    <row r="385" spans="1:14">
      <c r="A385" s="1944">
        <v>7</v>
      </c>
      <c r="B385" s="1945" t="s">
        <v>282</v>
      </c>
      <c r="C385" s="1836">
        <v>7</v>
      </c>
      <c r="D385" s="1946">
        <f t="shared" si="60"/>
        <v>0</v>
      </c>
      <c r="E385" s="1947">
        <f>SUM(E386:E387)</f>
        <v>0</v>
      </c>
      <c r="F385" s="1973">
        <f>SUM(F386:F387)</f>
        <v>0</v>
      </c>
      <c r="G385" s="1973">
        <f>SUM(G386:G387)</f>
        <v>0</v>
      </c>
      <c r="H385" s="1964">
        <f>SUM(H386:H387)</f>
        <v>0</v>
      </c>
      <c r="I385" s="1972">
        <f>SUM(I386:I387)</f>
        <v>0</v>
      </c>
      <c r="J385" s="2014">
        <f t="shared" si="61"/>
        <v>0</v>
      </c>
      <c r="K385" s="1947">
        <f>K386+K387</f>
        <v>0</v>
      </c>
      <c r="L385" s="1947">
        <f>L386+L387</f>
        <v>0</v>
      </c>
      <c r="M385" s="1968">
        <f>M386+M387</f>
        <v>0</v>
      </c>
      <c r="N385" s="1967">
        <f t="shared" si="62"/>
        <v>0</v>
      </c>
    </row>
    <row r="386" spans="1:14">
      <c r="A386" s="1950"/>
      <c r="B386" s="1837" t="s">
        <v>283</v>
      </c>
      <c r="C386" s="1836"/>
      <c r="D386" s="1946">
        <f t="shared" si="60"/>
        <v>0</v>
      </c>
      <c r="E386" s="1947"/>
      <c r="F386" s="1947"/>
      <c r="G386" s="1947"/>
      <c r="H386" s="1968"/>
      <c r="I386" s="1996"/>
      <c r="J386" s="2014">
        <f t="shared" si="61"/>
        <v>0</v>
      </c>
      <c r="K386" s="1947"/>
      <c r="L386" s="1947"/>
      <c r="M386" s="1968"/>
      <c r="N386" s="1967">
        <f t="shared" si="62"/>
        <v>0</v>
      </c>
    </row>
    <row r="387" spans="1:14">
      <c r="A387" s="1950"/>
      <c r="B387" s="1837" t="s">
        <v>284</v>
      </c>
      <c r="C387" s="1836"/>
      <c r="D387" s="1946">
        <f t="shared" si="60"/>
        <v>0</v>
      </c>
      <c r="E387" s="1947"/>
      <c r="F387" s="1947"/>
      <c r="G387" s="1947"/>
      <c r="H387" s="1968"/>
      <c r="I387" s="1996"/>
      <c r="J387" s="2014">
        <f t="shared" si="61"/>
        <v>0</v>
      </c>
      <c r="K387" s="1947"/>
      <c r="L387" s="1947"/>
      <c r="M387" s="1968"/>
      <c r="N387" s="1967">
        <f t="shared" si="62"/>
        <v>0</v>
      </c>
    </row>
    <row r="388" spans="1:14">
      <c r="A388" s="1944">
        <v>8</v>
      </c>
      <c r="B388" s="1945" t="s">
        <v>285</v>
      </c>
      <c r="C388" s="1830">
        <v>8</v>
      </c>
      <c r="D388" s="1946">
        <f t="shared" si="60"/>
        <v>0</v>
      </c>
      <c r="E388" s="1947"/>
      <c r="F388" s="1947">
        <f>F389+F390</f>
        <v>0</v>
      </c>
      <c r="G388" s="1947">
        <f>G389+G390</f>
        <v>0</v>
      </c>
      <c r="H388" s="1968">
        <f>H389+H390</f>
        <v>0</v>
      </c>
      <c r="I388" s="1996">
        <f>I389+I390</f>
        <v>0</v>
      </c>
      <c r="J388" s="2014">
        <f t="shared" si="61"/>
        <v>0</v>
      </c>
      <c r="K388" s="1947">
        <f>K389+K390</f>
        <v>0</v>
      </c>
      <c r="L388" s="1947">
        <f>L389+L390</f>
        <v>0</v>
      </c>
      <c r="M388" s="1968">
        <f>M389+M390</f>
        <v>0</v>
      </c>
      <c r="N388" s="1967">
        <f t="shared" si="62"/>
        <v>0</v>
      </c>
    </row>
    <row r="389" spans="1:14">
      <c r="A389" s="1944"/>
      <c r="B389" s="1837" t="s">
        <v>286</v>
      </c>
      <c r="C389" s="1830"/>
      <c r="D389" s="1946">
        <f t="shared" si="60"/>
        <v>0</v>
      </c>
      <c r="E389" s="1947"/>
      <c r="F389" s="1947"/>
      <c r="G389" s="1947"/>
      <c r="H389" s="1968"/>
      <c r="I389" s="1996"/>
      <c r="J389" s="2014">
        <f t="shared" si="61"/>
        <v>0</v>
      </c>
      <c r="K389" s="1947"/>
      <c r="L389" s="1947"/>
      <c r="M389" s="1968"/>
      <c r="N389" s="1967">
        <f t="shared" si="62"/>
        <v>0</v>
      </c>
    </row>
    <row r="390" spans="1:14">
      <c r="A390" s="1944"/>
      <c r="B390" s="1837" t="s">
        <v>287</v>
      </c>
      <c r="C390" s="1830"/>
      <c r="D390" s="1946">
        <f t="shared" si="60"/>
        <v>0</v>
      </c>
      <c r="E390" s="1947"/>
      <c r="F390" s="1947"/>
      <c r="G390" s="1947"/>
      <c r="H390" s="1968"/>
      <c r="I390" s="1996"/>
      <c r="J390" s="2014">
        <f t="shared" si="61"/>
        <v>0</v>
      </c>
      <c r="K390" s="1947"/>
      <c r="L390" s="1947"/>
      <c r="M390" s="1968"/>
      <c r="N390" s="1967">
        <f t="shared" si="62"/>
        <v>0</v>
      </c>
    </row>
    <row r="391" spans="1:14" ht="26.45">
      <c r="A391" s="1950">
        <v>9</v>
      </c>
      <c r="B391" s="1952" t="s">
        <v>288</v>
      </c>
      <c r="C391" s="1836"/>
      <c r="D391" s="1946">
        <f t="shared" si="60"/>
        <v>3180049.9188992353</v>
      </c>
      <c r="E391" s="1947">
        <f t="shared" ref="E391:M391" si="63">SUM(E392:E395)</f>
        <v>0</v>
      </c>
      <c r="F391" s="1983">
        <f t="shared" si="63"/>
        <v>761059.96597139526</v>
      </c>
      <c r="G391" s="1983">
        <f t="shared" si="63"/>
        <v>1783199.4079771694</v>
      </c>
      <c r="H391" s="1983">
        <f t="shared" si="63"/>
        <v>635790.54495067056</v>
      </c>
      <c r="I391" s="1996">
        <f t="shared" si="63"/>
        <v>0</v>
      </c>
      <c r="J391" s="2014">
        <f t="shared" si="63"/>
        <v>2418989.9529278399</v>
      </c>
      <c r="K391" s="1947">
        <f t="shared" si="63"/>
        <v>0</v>
      </c>
      <c r="L391" s="1947">
        <f t="shared" si="63"/>
        <v>0</v>
      </c>
      <c r="M391" s="1968">
        <f t="shared" si="63"/>
        <v>0</v>
      </c>
      <c r="N391" s="1967">
        <f t="shared" si="62"/>
        <v>0</v>
      </c>
    </row>
    <row r="392" spans="1:14">
      <c r="A392" s="1950">
        <v>10</v>
      </c>
      <c r="B392" s="1846" t="s">
        <v>289</v>
      </c>
      <c r="C392" s="1830">
        <v>9</v>
      </c>
      <c r="D392" s="1946">
        <f t="shared" si="60"/>
        <v>529005.38216591033</v>
      </c>
      <c r="E392" s="1947"/>
      <c r="F392" s="926">
        <v>104416.42230999997</v>
      </c>
      <c r="G392" s="971">
        <v>318963.77250591043</v>
      </c>
      <c r="H392" s="972">
        <v>105625.18734999999</v>
      </c>
      <c r="I392" s="1972"/>
      <c r="J392" s="2014">
        <f t="shared" si="61"/>
        <v>424588.95985591039</v>
      </c>
      <c r="K392" s="1947"/>
      <c r="L392" s="1947"/>
      <c r="M392" s="1968"/>
      <c r="N392" s="1967">
        <f t="shared" si="62"/>
        <v>0</v>
      </c>
    </row>
    <row r="393" spans="1:14">
      <c r="A393" s="1950">
        <v>11</v>
      </c>
      <c r="B393" s="1846" t="s">
        <v>290</v>
      </c>
      <c r="C393" s="1830">
        <v>10</v>
      </c>
      <c r="D393" s="1946">
        <f t="shared" si="60"/>
        <v>945418.7103988888</v>
      </c>
      <c r="E393" s="1947"/>
      <c r="F393" s="926">
        <v>124105.32545139524</v>
      </c>
      <c r="G393" s="971">
        <v>562035.87294682302</v>
      </c>
      <c r="H393" s="971">
        <v>259277.51200067054</v>
      </c>
      <c r="I393" s="2047"/>
      <c r="J393" s="2014">
        <f t="shared" si="61"/>
        <v>821313.38494749356</v>
      </c>
      <c r="K393" s="1947"/>
      <c r="L393" s="1947"/>
      <c r="M393" s="1968"/>
      <c r="N393" s="1967">
        <f t="shared" si="62"/>
        <v>0</v>
      </c>
    </row>
    <row r="394" spans="1:14">
      <c r="A394" s="1950">
        <v>12</v>
      </c>
      <c r="B394" s="1846" t="s">
        <v>291</v>
      </c>
      <c r="C394" s="1830">
        <v>11</v>
      </c>
      <c r="D394" s="1946">
        <f t="shared" si="60"/>
        <v>1703784.8932344359</v>
      </c>
      <c r="E394" s="1947"/>
      <c r="F394" s="926">
        <v>532538.21821000008</v>
      </c>
      <c r="G394" s="971">
        <v>900358.82942443597</v>
      </c>
      <c r="H394" s="971">
        <v>270887.8456</v>
      </c>
      <c r="I394" s="2047"/>
      <c r="J394" s="2014">
        <f t="shared" si="61"/>
        <v>1171246.6750244359</v>
      </c>
      <c r="K394" s="1947"/>
      <c r="L394" s="1947"/>
      <c r="M394" s="1968"/>
      <c r="N394" s="1967">
        <f t="shared" si="62"/>
        <v>0</v>
      </c>
    </row>
    <row r="395" spans="1:14" ht="26.45">
      <c r="A395" s="1950">
        <v>13</v>
      </c>
      <c r="B395" s="1846" t="s">
        <v>292</v>
      </c>
      <c r="C395" s="1830">
        <v>12</v>
      </c>
      <c r="D395" s="1946">
        <f t="shared" si="60"/>
        <v>1840.9331</v>
      </c>
      <c r="E395" s="1947"/>
      <c r="F395" s="1973">
        <v>0</v>
      </c>
      <c r="G395" s="2052">
        <v>1840.9331</v>
      </c>
      <c r="H395" s="1971">
        <v>0</v>
      </c>
      <c r="I395" s="1965"/>
      <c r="J395" s="2014">
        <f t="shared" si="61"/>
        <v>1840.9331</v>
      </c>
      <c r="K395" s="1947"/>
      <c r="L395" s="1947"/>
      <c r="M395" s="1968"/>
      <c r="N395" s="1967">
        <f t="shared" si="62"/>
        <v>0</v>
      </c>
    </row>
    <row r="396" spans="1:14">
      <c r="A396" s="1950">
        <v>14</v>
      </c>
      <c r="B396" s="1829" t="s">
        <v>293</v>
      </c>
      <c r="C396" s="1830">
        <v>13</v>
      </c>
      <c r="D396" s="1946">
        <f t="shared" si="60"/>
        <v>31373.70912</v>
      </c>
      <c r="E396" s="1947"/>
      <c r="F396" s="1973"/>
      <c r="G396" s="2052">
        <v>31373.70912</v>
      </c>
      <c r="H396" s="1966"/>
      <c r="I396" s="1972"/>
      <c r="J396" s="2014">
        <f t="shared" si="61"/>
        <v>31373.70912</v>
      </c>
      <c r="K396" s="1947"/>
      <c r="L396" s="1947"/>
      <c r="M396" s="1968"/>
      <c r="N396" s="1967">
        <f t="shared" si="62"/>
        <v>0</v>
      </c>
    </row>
    <row r="397" spans="1:14">
      <c r="A397" s="1950">
        <v>15</v>
      </c>
      <c r="B397" s="1829" t="s">
        <v>294</v>
      </c>
      <c r="C397" s="1836">
        <v>14</v>
      </c>
      <c r="D397" s="1946">
        <f t="shared" si="60"/>
        <v>11902.483</v>
      </c>
      <c r="E397" s="1947"/>
      <c r="F397" s="1973"/>
      <c r="G397" s="2052">
        <v>371.17899999999997</v>
      </c>
      <c r="H397" s="1982">
        <v>11531.304</v>
      </c>
      <c r="I397" s="1972"/>
      <c r="J397" s="2014">
        <f t="shared" si="61"/>
        <v>11902.483</v>
      </c>
      <c r="K397" s="1947"/>
      <c r="L397" s="1947"/>
      <c r="M397" s="1968"/>
      <c r="N397" s="1967">
        <f t="shared" si="62"/>
        <v>0</v>
      </c>
    </row>
    <row r="398" spans="1:14">
      <c r="A398" s="1950">
        <v>16</v>
      </c>
      <c r="B398" s="1829" t="s">
        <v>295</v>
      </c>
      <c r="C398" s="1830">
        <v>15</v>
      </c>
      <c r="D398" s="1946">
        <f t="shared" si="60"/>
        <v>12719.784249999999</v>
      </c>
      <c r="E398" s="1947"/>
      <c r="F398" s="1973"/>
      <c r="G398" s="2052">
        <v>2985.6406299999999</v>
      </c>
      <c r="H398" s="1966">
        <v>9734.1436199999989</v>
      </c>
      <c r="I398" s="1972"/>
      <c r="J398" s="2014">
        <f t="shared" si="61"/>
        <v>12719.784249999999</v>
      </c>
      <c r="K398" s="1947"/>
      <c r="L398" s="1947"/>
      <c r="M398" s="1968"/>
      <c r="N398" s="1967">
        <f t="shared" si="62"/>
        <v>0</v>
      </c>
    </row>
    <row r="399" spans="1:14">
      <c r="A399" s="1950">
        <v>17</v>
      </c>
      <c r="B399" s="1829" t="s">
        <v>296</v>
      </c>
      <c r="C399" s="1836">
        <v>16</v>
      </c>
      <c r="D399" s="1946">
        <f t="shared" si="60"/>
        <v>133771.85432000001</v>
      </c>
      <c r="E399" s="2039"/>
      <c r="F399" s="1983">
        <v>98412.978971400007</v>
      </c>
      <c r="G399" s="2052">
        <v>12214.0674535</v>
      </c>
      <c r="H399" s="2052">
        <v>23144.807895099999</v>
      </c>
      <c r="I399" s="1965"/>
      <c r="J399" s="2014">
        <f t="shared" si="61"/>
        <v>35358.875348599999</v>
      </c>
      <c r="K399" s="1947"/>
      <c r="L399" s="1947"/>
      <c r="M399" s="1968"/>
      <c r="N399" s="1967">
        <f t="shared" si="62"/>
        <v>0</v>
      </c>
    </row>
    <row r="400" spans="1:14">
      <c r="A400" s="1950">
        <v>18</v>
      </c>
      <c r="B400" s="1829" t="s">
        <v>297</v>
      </c>
      <c r="C400" s="1830"/>
      <c r="D400" s="1946">
        <f t="shared" si="60"/>
        <v>0</v>
      </c>
      <c r="E400" s="1947"/>
      <c r="F400" s="1973"/>
      <c r="G400" s="1970"/>
      <c r="H400" s="1966"/>
      <c r="I400" s="1972"/>
      <c r="J400" s="2014">
        <f t="shared" si="61"/>
        <v>0</v>
      </c>
      <c r="K400" s="1947"/>
      <c r="L400" s="1947"/>
      <c r="M400" s="1968"/>
      <c r="N400" s="1967">
        <f t="shared" si="62"/>
        <v>0</v>
      </c>
    </row>
    <row r="401" spans="1:14" ht="15" thickBot="1">
      <c r="A401" s="1957">
        <v>19</v>
      </c>
      <c r="B401" s="1848" t="s">
        <v>298</v>
      </c>
      <c r="C401" s="1847"/>
      <c r="D401" s="3120">
        <f t="shared" si="60"/>
        <v>7493.841840000001</v>
      </c>
      <c r="E401" s="3121"/>
      <c r="F401" s="3124">
        <v>0</v>
      </c>
      <c r="G401" s="3133">
        <v>7493.841840000001</v>
      </c>
      <c r="H401" s="2002">
        <v>0</v>
      </c>
      <c r="I401" s="2007"/>
      <c r="J401" s="3126">
        <f t="shared" si="61"/>
        <v>7493.841840000001</v>
      </c>
      <c r="K401" s="3121"/>
      <c r="L401" s="3121"/>
      <c r="M401" s="969"/>
      <c r="N401" s="2019">
        <f t="shared" si="62"/>
        <v>0</v>
      </c>
    </row>
    <row r="402" spans="1:14" ht="27" thickBot="1">
      <c r="A402" s="1235">
        <v>20</v>
      </c>
      <c r="B402" s="1139" t="s">
        <v>299</v>
      </c>
      <c r="C402" s="1138"/>
      <c r="D402" s="1236">
        <f t="shared" si="60"/>
        <v>3754489.7814721121</v>
      </c>
      <c r="E402" s="1236">
        <f>SUM(E379:E385)+E388+E391+SUM(E396:E401)</f>
        <v>0</v>
      </c>
      <c r="F402" s="1236">
        <f>SUM(F379:F385)+F388+F391+SUM(F396:F401)</f>
        <v>1065480.5631127954</v>
      </c>
      <c r="G402" s="1236">
        <f>SUM(G379:G385)+G388+G391+SUM(G396:G401)</f>
        <v>1911544.1347387189</v>
      </c>
      <c r="H402" s="1264">
        <f>SUM(H379:H385)+H388+H391+SUM(H396:H401)</f>
        <v>777465.08362059796</v>
      </c>
      <c r="I402" s="1265">
        <f>SUM(I379:I385)+I388+I391+SUM(I396:I401)</f>
        <v>0</v>
      </c>
      <c r="J402" s="1282">
        <f t="shared" si="61"/>
        <v>2689009.2183593167</v>
      </c>
      <c r="K402" s="1236">
        <f>SUM(K379:K385)+K388+K391+SUM(K396:K401)</f>
        <v>0</v>
      </c>
      <c r="L402" s="1236">
        <f>SUM(L379:L385)+L388+L391+SUM(L396:L401)</f>
        <v>0</v>
      </c>
      <c r="M402" s="1264">
        <f>SUM(M379:M385)+M388+M391+SUM(M396:M401)</f>
        <v>0</v>
      </c>
      <c r="N402" s="1237">
        <f t="shared" si="62"/>
        <v>0</v>
      </c>
    </row>
    <row r="403" spans="1:14">
      <c r="A403" s="1227"/>
      <c r="B403" s="1225" t="s">
        <v>300</v>
      </c>
      <c r="C403" s="1133"/>
      <c r="D403" s="1230">
        <f t="shared" si="60"/>
        <v>0</v>
      </c>
      <c r="E403" s="914"/>
      <c r="F403" s="677"/>
      <c r="G403" s="674"/>
      <c r="H403" s="675"/>
      <c r="I403" s="678"/>
      <c r="J403" s="1245">
        <f t="shared" si="61"/>
        <v>0</v>
      </c>
      <c r="K403" s="914"/>
      <c r="L403" s="914"/>
      <c r="M403" s="967"/>
      <c r="N403" s="1231">
        <f t="shared" si="62"/>
        <v>0</v>
      </c>
    </row>
    <row r="404" spans="1:14">
      <c r="A404" s="1950"/>
      <c r="B404" s="1959" t="s">
        <v>301</v>
      </c>
      <c r="C404" s="1830"/>
      <c r="D404" s="1946">
        <f t="shared" si="60"/>
        <v>0</v>
      </c>
      <c r="E404" s="1947"/>
      <c r="F404" s="1973"/>
      <c r="G404" s="1970"/>
      <c r="H404" s="1966"/>
      <c r="I404" s="1972"/>
      <c r="J404" s="2014">
        <f t="shared" si="61"/>
        <v>0</v>
      </c>
      <c r="K404" s="1947"/>
      <c r="L404" s="1947"/>
      <c r="M404" s="1968"/>
      <c r="N404" s="1967">
        <f t="shared" si="62"/>
        <v>0</v>
      </c>
    </row>
    <row r="405" spans="1:14">
      <c r="A405" s="1950">
        <v>21</v>
      </c>
      <c r="B405" s="1829" t="s">
        <v>302</v>
      </c>
      <c r="C405" s="1836">
        <v>17</v>
      </c>
      <c r="D405" s="1946">
        <f t="shared" si="60"/>
        <v>2327393.38588</v>
      </c>
      <c r="E405" s="1947"/>
      <c r="F405" s="1973"/>
      <c r="G405" s="2053">
        <v>1759612.0858800001</v>
      </c>
      <c r="H405" s="2054">
        <v>567781.30000000005</v>
      </c>
      <c r="I405" s="1996"/>
      <c r="J405" s="2014">
        <f t="shared" si="61"/>
        <v>2327393.38588</v>
      </c>
      <c r="K405" s="1947"/>
      <c r="L405" s="1947"/>
      <c r="M405" s="1968"/>
      <c r="N405" s="1967">
        <f t="shared" si="62"/>
        <v>0</v>
      </c>
    </row>
    <row r="406" spans="1:14">
      <c r="A406" s="1950">
        <v>22</v>
      </c>
      <c r="B406" s="1829" t="s">
        <v>303</v>
      </c>
      <c r="C406" s="1830"/>
      <c r="D406" s="1946">
        <f t="shared" si="60"/>
        <v>13638.4422</v>
      </c>
      <c r="E406" s="1947"/>
      <c r="F406" s="1973"/>
      <c r="G406" s="973">
        <v>4500.6859260000001</v>
      </c>
      <c r="H406" s="974">
        <v>9137.7562739999994</v>
      </c>
      <c r="I406" s="1972"/>
      <c r="J406" s="2014">
        <f t="shared" si="61"/>
        <v>13638.4422</v>
      </c>
      <c r="K406" s="1947"/>
      <c r="L406" s="1947"/>
      <c r="M406" s="1968"/>
      <c r="N406" s="1967">
        <f t="shared" si="62"/>
        <v>0</v>
      </c>
    </row>
    <row r="407" spans="1:14">
      <c r="A407" s="1950">
        <v>23</v>
      </c>
      <c r="B407" s="1829" t="s">
        <v>304</v>
      </c>
      <c r="C407" s="1830">
        <v>18</v>
      </c>
      <c r="D407" s="1946">
        <f t="shared" si="60"/>
        <v>18308.201300000001</v>
      </c>
      <c r="E407" s="1947"/>
      <c r="F407" s="1973"/>
      <c r="G407" s="973">
        <v>1723.1676299999999</v>
      </c>
      <c r="H407" s="974">
        <v>16585.033670000001</v>
      </c>
      <c r="I407" s="1972"/>
      <c r="J407" s="2014">
        <f t="shared" si="61"/>
        <v>18308.201300000001</v>
      </c>
      <c r="K407" s="1947"/>
      <c r="L407" s="1947"/>
      <c r="M407" s="1968"/>
      <c r="N407" s="1967">
        <f t="shared" si="62"/>
        <v>0</v>
      </c>
    </row>
    <row r="408" spans="1:14">
      <c r="A408" s="1950">
        <v>24</v>
      </c>
      <c r="B408" s="1829" t="s">
        <v>305</v>
      </c>
      <c r="C408" s="1830"/>
      <c r="D408" s="1946">
        <f t="shared" si="60"/>
        <v>0</v>
      </c>
      <c r="E408" s="1947"/>
      <c r="F408" s="1973"/>
      <c r="G408" s="975"/>
      <c r="H408" s="976"/>
      <c r="I408" s="1972"/>
      <c r="J408" s="2014">
        <f t="shared" si="61"/>
        <v>0</v>
      </c>
      <c r="K408" s="1947"/>
      <c r="L408" s="1947"/>
      <c r="M408" s="1968"/>
      <c r="N408" s="1967">
        <f t="shared" si="62"/>
        <v>0</v>
      </c>
    </row>
    <row r="409" spans="1:14">
      <c r="A409" s="1950">
        <v>25</v>
      </c>
      <c r="B409" s="1851" t="s">
        <v>306</v>
      </c>
      <c r="C409" s="1830"/>
      <c r="D409" s="1946">
        <f t="shared" si="60"/>
        <v>0</v>
      </c>
      <c r="E409" s="1947"/>
      <c r="F409" s="1973"/>
      <c r="G409" s="975"/>
      <c r="H409" s="976"/>
      <c r="I409" s="1972"/>
      <c r="J409" s="2014">
        <f t="shared" si="61"/>
        <v>0</v>
      </c>
      <c r="K409" s="1947"/>
      <c r="L409" s="1947"/>
      <c r="M409" s="1968"/>
      <c r="N409" s="1967">
        <f t="shared" si="62"/>
        <v>0</v>
      </c>
    </row>
    <row r="410" spans="1:14" ht="15" thickBot="1">
      <c r="A410" s="1957">
        <v>26</v>
      </c>
      <c r="B410" s="1848" t="s">
        <v>307</v>
      </c>
      <c r="C410" s="1852">
        <v>19</v>
      </c>
      <c r="D410" s="3120">
        <f t="shared" si="60"/>
        <v>241767.56900000011</v>
      </c>
      <c r="E410" s="3121"/>
      <c r="F410" s="3121">
        <v>38.853000000000002</v>
      </c>
      <c r="G410" s="977">
        <v>102822.41493090009</v>
      </c>
      <c r="H410" s="977">
        <v>138906.30106910001</v>
      </c>
      <c r="I410" s="1988"/>
      <c r="J410" s="3126">
        <f t="shared" si="61"/>
        <v>241728.7160000001</v>
      </c>
      <c r="K410" s="3121"/>
      <c r="L410" s="3121"/>
      <c r="M410" s="969"/>
      <c r="N410" s="2019">
        <f t="shared" si="62"/>
        <v>0</v>
      </c>
    </row>
    <row r="411" spans="1:14" ht="27" thickBot="1">
      <c r="A411" s="1226">
        <v>27</v>
      </c>
      <c r="B411" s="1136" t="s">
        <v>308</v>
      </c>
      <c r="C411" s="1135"/>
      <c r="D411" s="1241">
        <f t="shared" si="60"/>
        <v>2601107.5983800003</v>
      </c>
      <c r="E411" s="934">
        <f>SUM(E405:E410)</f>
        <v>0</v>
      </c>
      <c r="F411" s="934">
        <f>SUM(F405:F410)</f>
        <v>38.853000000000002</v>
      </c>
      <c r="G411" s="934">
        <f>SUM(G405:G410)</f>
        <v>1868658.3543669002</v>
      </c>
      <c r="H411" s="946">
        <f>SUM(H405:H410)</f>
        <v>732410.39101310016</v>
      </c>
      <c r="I411" s="938">
        <f>SUM(I405:I410)</f>
        <v>0</v>
      </c>
      <c r="J411" s="1244">
        <f t="shared" si="61"/>
        <v>2601068.7453800002</v>
      </c>
      <c r="K411" s="934">
        <f>SUM(K405:K410)</f>
        <v>0</v>
      </c>
      <c r="L411" s="934">
        <f>SUM(L405:L410)</f>
        <v>0</v>
      </c>
      <c r="M411" s="946">
        <f>SUM(M405:M410)</f>
        <v>0</v>
      </c>
      <c r="N411" s="1261">
        <f t="shared" si="62"/>
        <v>0</v>
      </c>
    </row>
    <row r="412" spans="1:14">
      <c r="A412" s="1227"/>
      <c r="B412" s="1225" t="s">
        <v>309</v>
      </c>
      <c r="C412" s="1133">
        <v>20</v>
      </c>
      <c r="D412" s="1230">
        <f t="shared" si="60"/>
        <v>0</v>
      </c>
      <c r="E412" s="914"/>
      <c r="F412" s="677"/>
      <c r="G412" s="674"/>
      <c r="H412" s="675"/>
      <c r="I412" s="678"/>
      <c r="J412" s="1245">
        <f t="shared" si="61"/>
        <v>0</v>
      </c>
      <c r="K412" s="914"/>
      <c r="L412" s="914"/>
      <c r="M412" s="967"/>
      <c r="N412" s="1231">
        <f t="shared" si="62"/>
        <v>0</v>
      </c>
    </row>
    <row r="413" spans="1:14">
      <c r="A413" s="1950">
        <v>28</v>
      </c>
      <c r="B413" s="1945" t="s">
        <v>310</v>
      </c>
      <c r="C413" s="1836"/>
      <c r="D413" s="1946">
        <f t="shared" si="60"/>
        <v>544260.04</v>
      </c>
      <c r="E413" s="1947"/>
      <c r="F413" s="1983">
        <v>544260.04</v>
      </c>
      <c r="G413" s="2055">
        <v>0</v>
      </c>
      <c r="H413" s="2056">
        <v>0</v>
      </c>
      <c r="I413" s="1972"/>
      <c r="J413" s="2014">
        <f t="shared" si="61"/>
        <v>0</v>
      </c>
      <c r="K413" s="1947"/>
      <c r="L413" s="1947"/>
      <c r="M413" s="1968"/>
      <c r="N413" s="1967">
        <f t="shared" si="62"/>
        <v>0</v>
      </c>
    </row>
    <row r="414" spans="1:14">
      <c r="A414" s="1950">
        <v>29</v>
      </c>
      <c r="B414" s="1945" t="s">
        <v>311</v>
      </c>
      <c r="C414" s="1836"/>
      <c r="D414" s="1946">
        <f t="shared" si="60"/>
        <v>-14398.613230000003</v>
      </c>
      <c r="E414" s="1947"/>
      <c r="F414" s="926">
        <v>-2786.349484187399</v>
      </c>
      <c r="G414" s="971">
        <v>-7769.750002891923</v>
      </c>
      <c r="H414" s="972">
        <v>-3842.5137429206802</v>
      </c>
      <c r="I414" s="1972"/>
      <c r="J414" s="2014">
        <f t="shared" si="61"/>
        <v>-11612.263745812603</v>
      </c>
      <c r="K414" s="1947"/>
      <c r="L414" s="1947"/>
      <c r="M414" s="1968"/>
      <c r="N414" s="1967">
        <f t="shared" si="62"/>
        <v>0</v>
      </c>
    </row>
    <row r="415" spans="1:14">
      <c r="A415" s="1950">
        <v>30</v>
      </c>
      <c r="B415" s="1960" t="s">
        <v>312</v>
      </c>
      <c r="C415" s="1852"/>
      <c r="D415" s="1946">
        <f t="shared" si="60"/>
        <v>185942.61702000003</v>
      </c>
      <c r="E415" s="1947"/>
      <c r="F415" s="931">
        <v>86389.897779999999</v>
      </c>
      <c r="G415" s="977">
        <v>50655.792038</v>
      </c>
      <c r="H415" s="978">
        <v>48896.927202000043</v>
      </c>
      <c r="I415" s="2007"/>
      <c r="J415" s="2014">
        <f t="shared" si="61"/>
        <v>99552.719240000035</v>
      </c>
      <c r="K415" s="1947"/>
      <c r="L415" s="1947"/>
      <c r="M415" s="1968"/>
      <c r="N415" s="1967">
        <f t="shared" si="62"/>
        <v>0</v>
      </c>
    </row>
    <row r="416" spans="1:14">
      <c r="A416" s="1950">
        <v>31</v>
      </c>
      <c r="B416" s="1960" t="s">
        <v>313</v>
      </c>
      <c r="C416" s="1852"/>
      <c r="D416" s="1946">
        <f t="shared" si="60"/>
        <v>0</v>
      </c>
      <c r="E416" s="1947"/>
      <c r="F416" s="3134">
        <v>0</v>
      </c>
      <c r="G416" s="3135"/>
      <c r="H416" s="2057"/>
      <c r="I416" s="2007"/>
      <c r="J416" s="2014">
        <f t="shared" si="61"/>
        <v>0</v>
      </c>
      <c r="K416" s="1947"/>
      <c r="L416" s="1947"/>
      <c r="M416" s="1968"/>
      <c r="N416" s="1967">
        <f t="shared" si="62"/>
        <v>0</v>
      </c>
    </row>
    <row r="417" spans="1:14" ht="15" thickBot="1">
      <c r="A417" s="1957">
        <v>32</v>
      </c>
      <c r="B417" s="1960" t="s">
        <v>314</v>
      </c>
      <c r="C417" s="1852"/>
      <c r="D417" s="3120">
        <f t="shared" si="60"/>
        <v>437578.13951664697</v>
      </c>
      <c r="E417" s="3121"/>
      <c r="F417" s="3123">
        <v>437578.13951664697</v>
      </c>
      <c r="G417" s="3135">
        <v>0</v>
      </c>
      <c r="H417" s="2057">
        <v>0</v>
      </c>
      <c r="I417" s="2007"/>
      <c r="J417" s="3126">
        <f t="shared" si="61"/>
        <v>0</v>
      </c>
      <c r="K417" s="3121"/>
      <c r="L417" s="3121"/>
      <c r="M417" s="969"/>
      <c r="N417" s="2019">
        <f t="shared" si="62"/>
        <v>0</v>
      </c>
    </row>
    <row r="418" spans="1:14" ht="15" thickBot="1">
      <c r="A418" s="1226">
        <v>33</v>
      </c>
      <c r="B418" s="1137" t="s">
        <v>315</v>
      </c>
      <c r="C418" s="1135"/>
      <c r="D418" s="1242">
        <f t="shared" si="60"/>
        <v>1153382.1833066472</v>
      </c>
      <c r="E418" s="939">
        <f>SUM(E413:E417)</f>
        <v>0</v>
      </c>
      <c r="F418" s="939">
        <f>SUM(F413:F417)</f>
        <v>1065441.7278124597</v>
      </c>
      <c r="G418" s="939">
        <f>SUM(G413:G417)</f>
        <v>42886.042035108076</v>
      </c>
      <c r="H418" s="947">
        <f>SUM(H413:H417)</f>
        <v>45054.413459079362</v>
      </c>
      <c r="I418" s="962">
        <f>SUM(I413:I417)</f>
        <v>0</v>
      </c>
      <c r="J418" s="1246">
        <f t="shared" si="61"/>
        <v>87940.455494187438</v>
      </c>
      <c r="K418" s="939">
        <f>SUM(K413:K417)</f>
        <v>0</v>
      </c>
      <c r="L418" s="939">
        <f>SUM(L413:L417)</f>
        <v>0</v>
      </c>
      <c r="M418" s="947">
        <f>SUM(M413:M417)</f>
        <v>0</v>
      </c>
      <c r="N418" s="1263">
        <f t="shared" si="62"/>
        <v>0</v>
      </c>
    </row>
    <row r="419" spans="1:14" ht="27" thickBot="1">
      <c r="A419" s="1235">
        <v>34</v>
      </c>
      <c r="B419" s="1139" t="s">
        <v>317</v>
      </c>
      <c r="C419" s="1138"/>
      <c r="D419" s="1268">
        <f t="shared" si="60"/>
        <v>3754489.7816866469</v>
      </c>
      <c r="E419" s="1268">
        <f>E418+E411</f>
        <v>0</v>
      </c>
      <c r="F419" s="1268">
        <f>F418+F411</f>
        <v>1065480.5808124596</v>
      </c>
      <c r="G419" s="1268">
        <f>G418+G411</f>
        <v>1911544.3964020081</v>
      </c>
      <c r="H419" s="1268">
        <f>H418+H411</f>
        <v>777464.8044721795</v>
      </c>
      <c r="I419" s="1268">
        <f>I418+I411</f>
        <v>0</v>
      </c>
      <c r="J419" s="1277">
        <f t="shared" si="61"/>
        <v>2689009.2008741875</v>
      </c>
      <c r="K419" s="1268">
        <f>K418+K411</f>
        <v>0</v>
      </c>
      <c r="L419" s="1268">
        <f>L418+L411</f>
        <v>0</v>
      </c>
      <c r="M419" s="1269">
        <f>M418+M411</f>
        <v>0</v>
      </c>
      <c r="N419" s="1271">
        <f t="shared" si="62"/>
        <v>0</v>
      </c>
    </row>
    <row r="420" spans="1:14">
      <c r="B420"/>
      <c r="C420"/>
      <c r="D420"/>
      <c r="E420"/>
      <c r="F420"/>
      <c r="G420"/>
      <c r="H420"/>
      <c r="I420"/>
      <c r="J420"/>
      <c r="K420"/>
      <c r="L420"/>
      <c r="M420"/>
      <c r="N420"/>
    </row>
    <row r="421" spans="1:14">
      <c r="B421"/>
      <c r="C421"/>
      <c r="D421"/>
      <c r="E421"/>
      <c r="F421"/>
      <c r="G421"/>
      <c r="H421"/>
      <c r="I421"/>
      <c r="J421"/>
      <c r="K421"/>
      <c r="L421"/>
      <c r="M421"/>
      <c r="N421"/>
    </row>
    <row r="422" spans="1:14">
      <c r="B422"/>
      <c r="C422"/>
      <c r="D422"/>
      <c r="E422"/>
      <c r="F422"/>
      <c r="G422"/>
      <c r="H422"/>
      <c r="I422"/>
      <c r="J422"/>
      <c r="K422"/>
      <c r="L422"/>
      <c r="M422"/>
      <c r="N422"/>
    </row>
    <row r="423" spans="1:14">
      <c r="B423"/>
      <c r="C423"/>
      <c r="D423"/>
      <c r="E423"/>
      <c r="F423"/>
      <c r="G423"/>
      <c r="H423"/>
      <c r="I423"/>
      <c r="J423"/>
      <c r="K423"/>
      <c r="L423"/>
      <c r="M423"/>
      <c r="N423"/>
    </row>
    <row r="424" spans="1:14" ht="15" thickBot="1"/>
    <row r="425" spans="1:14" ht="15" thickBot="1">
      <c r="A425" s="1210" t="s">
        <v>132</v>
      </c>
      <c r="B425" s="3309" t="s">
        <v>103</v>
      </c>
      <c r="C425" s="3310"/>
      <c r="D425" s="662"/>
      <c r="E425" s="662"/>
      <c r="F425" s="662"/>
      <c r="G425" s="662"/>
      <c r="H425" s="662"/>
      <c r="I425" s="662"/>
      <c r="J425" s="662"/>
      <c r="K425" s="662"/>
      <c r="L425" s="662"/>
      <c r="M425" s="3292"/>
      <c r="N425" s="3292" t="s">
        <v>257</v>
      </c>
    </row>
    <row r="426" spans="1:14" ht="13.5" customHeight="1" thickBot="1">
      <c r="A426" s="3311" t="s">
        <v>258</v>
      </c>
      <c r="B426" s="1212"/>
      <c r="C426" s="3280" t="s">
        <v>259</v>
      </c>
      <c r="D426" s="3314" t="s">
        <v>260</v>
      </c>
      <c r="E426" s="3314" t="s">
        <v>261</v>
      </c>
      <c r="F426" s="3314" t="s">
        <v>262</v>
      </c>
      <c r="G426" s="3324" t="s">
        <v>263</v>
      </c>
      <c r="H426" s="3325"/>
      <c r="I426" s="3325"/>
      <c r="J426" s="3325"/>
      <c r="K426" s="3325"/>
      <c r="L426" s="3325"/>
      <c r="M426" s="3325"/>
      <c r="N426" s="3326"/>
    </row>
    <row r="427" spans="1:14" ht="13.5" customHeight="1" thickBot="1">
      <c r="A427" s="3312"/>
      <c r="B427" s="1213"/>
      <c r="C427" s="3281"/>
      <c r="D427" s="3315"/>
      <c r="E427" s="3315"/>
      <c r="F427" s="3315"/>
      <c r="G427" s="3289" t="s">
        <v>264</v>
      </c>
      <c r="H427" s="3290"/>
      <c r="I427" s="3290"/>
      <c r="J427" s="3291"/>
      <c r="K427" s="3318" t="s">
        <v>265</v>
      </c>
      <c r="L427" s="3319"/>
      <c r="M427" s="3319"/>
      <c r="N427" s="3320"/>
    </row>
    <row r="428" spans="1:14" ht="40.15" thickBot="1">
      <c r="A428" s="3312"/>
      <c r="B428" s="1214"/>
      <c r="C428" s="3281"/>
      <c r="D428" s="3316"/>
      <c r="E428" s="3316"/>
      <c r="F428" s="3316"/>
      <c r="G428" s="1125" t="s">
        <v>267</v>
      </c>
      <c r="H428" s="1125" t="s">
        <v>268</v>
      </c>
      <c r="I428" s="1125" t="s">
        <v>269</v>
      </c>
      <c r="J428" s="1125" t="s">
        <v>160</v>
      </c>
      <c r="K428" s="1126" t="s">
        <v>270</v>
      </c>
      <c r="L428" s="1126" t="s">
        <v>271</v>
      </c>
      <c r="M428" s="1126" t="s">
        <v>272</v>
      </c>
      <c r="N428" s="2969" t="s">
        <v>160</v>
      </c>
    </row>
    <row r="429" spans="1:14" ht="15" thickBot="1">
      <c r="A429" s="3312"/>
      <c r="B429" s="1213"/>
      <c r="C429" s="3281"/>
      <c r="D429" s="1215">
        <v>1</v>
      </c>
      <c r="E429" s="1216">
        <v>2</v>
      </c>
      <c r="F429" s="1216">
        <v>3</v>
      </c>
      <c r="G429" s="1217">
        <v>4</v>
      </c>
      <c r="H429" s="1216">
        <v>5</v>
      </c>
      <c r="I429" s="1218">
        <v>6</v>
      </c>
      <c r="J429" s="2971">
        <v>7</v>
      </c>
      <c r="K429" s="1217">
        <v>8</v>
      </c>
      <c r="L429" s="1216">
        <v>9</v>
      </c>
      <c r="M429" s="1238">
        <v>10</v>
      </c>
      <c r="N429" s="1215">
        <v>11</v>
      </c>
    </row>
    <row r="430" spans="1:14" ht="15" thickBot="1">
      <c r="A430" s="3313"/>
      <c r="B430" s="1219"/>
      <c r="C430" s="3282"/>
      <c r="D430" s="1220"/>
      <c r="E430" s="1220"/>
      <c r="F430" s="1220"/>
      <c r="G430" s="1221"/>
      <c r="H430" s="1220"/>
      <c r="I430" s="1292"/>
      <c r="J430" s="1222" t="s">
        <v>273</v>
      </c>
      <c r="K430" s="1221"/>
      <c r="L430" s="1220"/>
      <c r="M430" s="1667"/>
      <c r="N430" s="1293" t="s">
        <v>274</v>
      </c>
    </row>
    <row r="431" spans="1:14" ht="15" thickBot="1">
      <c r="A431" s="1227"/>
      <c r="B431" s="1225" t="s">
        <v>275</v>
      </c>
      <c r="C431" s="1133"/>
      <c r="D431" s="1827"/>
      <c r="E431" s="673"/>
      <c r="F431" s="673"/>
      <c r="G431" s="674"/>
      <c r="H431" s="675"/>
      <c r="I431" s="1311"/>
      <c r="J431" s="1315"/>
      <c r="K431" s="914"/>
      <c r="L431" s="912"/>
      <c r="M431" s="915"/>
      <c r="N431" s="2058"/>
    </row>
    <row r="432" spans="1:14">
      <c r="A432" s="1944">
        <v>1</v>
      </c>
      <c r="B432" s="1945" t="s">
        <v>276</v>
      </c>
      <c r="C432" s="1830"/>
      <c r="D432" s="1946">
        <f t="shared" ref="D432:D472" si="64">+E432+F432+J432+N432</f>
        <v>0</v>
      </c>
      <c r="E432" s="1973"/>
      <c r="F432" s="1973"/>
      <c r="G432" s="1970"/>
      <c r="H432" s="1966"/>
      <c r="I432" s="1992"/>
      <c r="J432" s="1980">
        <f t="shared" ref="J432:J472" si="65">G432+H432+I432</f>
        <v>0</v>
      </c>
      <c r="K432" s="1947"/>
      <c r="L432" s="1947"/>
      <c r="M432" s="1947"/>
      <c r="N432" s="1254">
        <f t="shared" ref="N432:N472" si="66">K432+L432+M432</f>
        <v>0</v>
      </c>
    </row>
    <row r="433" spans="1:14">
      <c r="A433" s="1944">
        <v>2</v>
      </c>
      <c r="B433" s="1945" t="s">
        <v>277</v>
      </c>
      <c r="C433" s="1830"/>
      <c r="D433" s="1946">
        <f t="shared" si="64"/>
        <v>57839</v>
      </c>
      <c r="E433" s="1973"/>
      <c r="F433" s="1973">
        <v>57839</v>
      </c>
      <c r="G433" s="1970"/>
      <c r="H433" s="1966"/>
      <c r="I433" s="1992"/>
      <c r="J433" s="1980">
        <f t="shared" si="65"/>
        <v>0</v>
      </c>
      <c r="K433" s="1947"/>
      <c r="L433" s="1947"/>
      <c r="M433" s="1947"/>
      <c r="N433" s="1967">
        <f t="shared" si="66"/>
        <v>0</v>
      </c>
    </row>
    <row r="434" spans="1:14">
      <c r="A434" s="1944">
        <v>3</v>
      </c>
      <c r="B434" s="1945" t="s">
        <v>278</v>
      </c>
      <c r="C434" s="1830"/>
      <c r="D434" s="1946">
        <f t="shared" si="64"/>
        <v>0</v>
      </c>
      <c r="E434" s="1973"/>
      <c r="F434" s="1973"/>
      <c r="G434" s="1970"/>
      <c r="H434" s="1966"/>
      <c r="I434" s="1992"/>
      <c r="J434" s="1980">
        <f t="shared" si="65"/>
        <v>0</v>
      </c>
      <c r="K434" s="1947"/>
      <c r="L434" s="1947"/>
      <c r="M434" s="1947"/>
      <c r="N434" s="1967">
        <f t="shared" si="66"/>
        <v>0</v>
      </c>
    </row>
    <row r="435" spans="1:14">
      <c r="A435" s="1944">
        <v>4</v>
      </c>
      <c r="B435" s="1945" t="s">
        <v>324</v>
      </c>
      <c r="C435" s="1830"/>
      <c r="D435" s="1946">
        <f t="shared" si="64"/>
        <v>362336</v>
      </c>
      <c r="E435" s="1973"/>
      <c r="F435" s="1973">
        <v>362336</v>
      </c>
      <c r="G435" s="1970"/>
      <c r="H435" s="1966"/>
      <c r="I435" s="1992"/>
      <c r="J435" s="1980">
        <f t="shared" si="65"/>
        <v>0</v>
      </c>
      <c r="K435" s="1947"/>
      <c r="L435" s="1947"/>
      <c r="M435" s="1947"/>
      <c r="N435" s="1967">
        <f t="shared" si="66"/>
        <v>0</v>
      </c>
    </row>
    <row r="436" spans="1:14">
      <c r="A436" s="1944">
        <v>5</v>
      </c>
      <c r="B436" s="1945" t="s">
        <v>280</v>
      </c>
      <c r="C436" s="1836">
        <v>5</v>
      </c>
      <c r="D436" s="1946">
        <f t="shared" si="64"/>
        <v>141390</v>
      </c>
      <c r="E436" s="1973"/>
      <c r="F436" s="1973">
        <v>141390</v>
      </c>
      <c r="G436" s="1970"/>
      <c r="H436" s="1966"/>
      <c r="I436" s="1992"/>
      <c r="J436" s="1980">
        <f t="shared" si="65"/>
        <v>0</v>
      </c>
      <c r="K436" s="1947"/>
      <c r="L436" s="1947"/>
      <c r="M436" s="1947"/>
      <c r="N436" s="1967">
        <f t="shared" si="66"/>
        <v>0</v>
      </c>
    </row>
    <row r="437" spans="1:14">
      <c r="A437" s="1944">
        <v>6</v>
      </c>
      <c r="B437" s="1945" t="s">
        <v>281</v>
      </c>
      <c r="C437" s="1830">
        <v>6</v>
      </c>
      <c r="D437" s="1946">
        <f t="shared" si="64"/>
        <v>0</v>
      </c>
      <c r="E437" s="1947"/>
      <c r="F437" s="1947"/>
      <c r="G437" s="1947"/>
      <c r="H437" s="1968"/>
      <c r="I437" s="1997"/>
      <c r="J437" s="1980">
        <f t="shared" si="65"/>
        <v>0</v>
      </c>
      <c r="K437" s="1947"/>
      <c r="L437" s="1947"/>
      <c r="M437" s="1947"/>
      <c r="N437" s="1967">
        <f t="shared" si="66"/>
        <v>0</v>
      </c>
    </row>
    <row r="438" spans="1:14">
      <c r="A438" s="1944">
        <v>7</v>
      </c>
      <c r="B438" s="1945" t="s">
        <v>282</v>
      </c>
      <c r="C438" s="1836">
        <v>7</v>
      </c>
      <c r="D438" s="1946">
        <f t="shared" si="64"/>
        <v>1150000</v>
      </c>
      <c r="E438" s="1947"/>
      <c r="F438" s="1947">
        <f>SUM(F439:F440)</f>
        <v>1150000</v>
      </c>
      <c r="G438" s="1947">
        <f>G439+G440</f>
        <v>0</v>
      </c>
      <c r="H438" s="1968">
        <f>H439+H440</f>
        <v>0</v>
      </c>
      <c r="I438" s="1997">
        <f>I439+I440</f>
        <v>0</v>
      </c>
      <c r="J438" s="1980">
        <f t="shared" si="65"/>
        <v>0</v>
      </c>
      <c r="K438" s="1947">
        <f>K439+K440</f>
        <v>0</v>
      </c>
      <c r="L438" s="1947">
        <f>L439+L440</f>
        <v>0</v>
      </c>
      <c r="M438" s="1947">
        <f>M439+M440</f>
        <v>0</v>
      </c>
      <c r="N438" s="1967">
        <f t="shared" si="66"/>
        <v>0</v>
      </c>
    </row>
    <row r="439" spans="1:14">
      <c r="A439" s="1950"/>
      <c r="B439" s="1837" t="s">
        <v>283</v>
      </c>
      <c r="C439" s="1836"/>
      <c r="D439" s="1946">
        <f t="shared" si="64"/>
        <v>1150000</v>
      </c>
      <c r="E439" s="1973"/>
      <c r="F439" s="1973">
        <v>1150000</v>
      </c>
      <c r="G439" s="1970"/>
      <c r="H439" s="1966"/>
      <c r="I439" s="1992"/>
      <c r="J439" s="1980">
        <f t="shared" si="65"/>
        <v>0</v>
      </c>
      <c r="K439" s="1947"/>
      <c r="L439" s="1947"/>
      <c r="M439" s="1947"/>
      <c r="N439" s="1967">
        <f t="shared" si="66"/>
        <v>0</v>
      </c>
    </row>
    <row r="440" spans="1:14">
      <c r="A440" s="1950"/>
      <c r="B440" s="1837" t="s">
        <v>284</v>
      </c>
      <c r="C440" s="1836"/>
      <c r="D440" s="1946">
        <f t="shared" si="64"/>
        <v>0</v>
      </c>
      <c r="E440" s="1947"/>
      <c r="F440" s="1947"/>
      <c r="G440" s="1947"/>
      <c r="H440" s="1968"/>
      <c r="I440" s="1997"/>
      <c r="J440" s="1980">
        <f t="shared" si="65"/>
        <v>0</v>
      </c>
      <c r="K440" s="1947"/>
      <c r="L440" s="1947"/>
      <c r="M440" s="1947"/>
      <c r="N440" s="1967">
        <f t="shared" si="66"/>
        <v>0</v>
      </c>
    </row>
    <row r="441" spans="1:14">
      <c r="A441" s="1944">
        <v>8</v>
      </c>
      <c r="B441" s="1945" t="s">
        <v>285</v>
      </c>
      <c r="C441" s="1830">
        <v>8</v>
      </c>
      <c r="D441" s="1946">
        <f t="shared" si="64"/>
        <v>0</v>
      </c>
      <c r="E441" s="1947"/>
      <c r="F441" s="1947">
        <f>F442+F443</f>
        <v>0</v>
      </c>
      <c r="G441" s="1947">
        <f>G442+G443</f>
        <v>0</v>
      </c>
      <c r="H441" s="1968">
        <f>H442+H443</f>
        <v>0</v>
      </c>
      <c r="I441" s="1997">
        <f>I442+I443</f>
        <v>0</v>
      </c>
      <c r="J441" s="1980">
        <f t="shared" si="65"/>
        <v>0</v>
      </c>
      <c r="K441" s="1947">
        <f>K442+K443</f>
        <v>0</v>
      </c>
      <c r="L441" s="1947">
        <f>L442+L443</f>
        <v>0</v>
      </c>
      <c r="M441" s="1947">
        <f>M442+M443</f>
        <v>0</v>
      </c>
      <c r="N441" s="1967">
        <f t="shared" si="66"/>
        <v>0</v>
      </c>
    </row>
    <row r="442" spans="1:14">
      <c r="A442" s="1944"/>
      <c r="B442" s="1837" t="s">
        <v>286</v>
      </c>
      <c r="C442" s="1830"/>
      <c r="D442" s="1946">
        <f t="shared" si="64"/>
        <v>0</v>
      </c>
      <c r="E442" s="1947"/>
      <c r="F442" s="1947"/>
      <c r="G442" s="1947"/>
      <c r="H442" s="1968"/>
      <c r="I442" s="1997"/>
      <c r="J442" s="1980">
        <f t="shared" si="65"/>
        <v>0</v>
      </c>
      <c r="K442" s="1947"/>
      <c r="L442" s="1947"/>
      <c r="M442" s="1947"/>
      <c r="N442" s="1967">
        <f t="shared" si="66"/>
        <v>0</v>
      </c>
    </row>
    <row r="443" spans="1:14">
      <c r="A443" s="1944"/>
      <c r="B443" s="1837" t="s">
        <v>287</v>
      </c>
      <c r="C443" s="1830"/>
      <c r="D443" s="1946">
        <f t="shared" si="64"/>
        <v>0</v>
      </c>
      <c r="E443" s="1947"/>
      <c r="F443" s="1947"/>
      <c r="G443" s="1947"/>
      <c r="H443" s="1968"/>
      <c r="I443" s="1997"/>
      <c r="J443" s="1980">
        <f t="shared" si="65"/>
        <v>0</v>
      </c>
      <c r="K443" s="1947"/>
      <c r="L443" s="1947"/>
      <c r="M443" s="1947"/>
      <c r="N443" s="1967">
        <f t="shared" si="66"/>
        <v>0</v>
      </c>
    </row>
    <row r="444" spans="1:14" ht="26.45">
      <c r="A444" s="1951">
        <v>9</v>
      </c>
      <c r="B444" s="1952" t="s">
        <v>288</v>
      </c>
      <c r="C444" s="1840"/>
      <c r="D444" s="1953">
        <f t="shared" si="64"/>
        <v>25901037.740689997</v>
      </c>
      <c r="E444" s="1954">
        <f>SUM(E445:E448)</f>
        <v>0</v>
      </c>
      <c r="F444" s="1954">
        <f>SUM(F445:F448)</f>
        <v>5026360.6337160533</v>
      </c>
      <c r="G444" s="1954">
        <f>SUM(G445:G448)</f>
        <v>4403652.5715070004</v>
      </c>
      <c r="H444" s="1976">
        <f>SUM(H445:H448)</f>
        <v>3720785.7403414808</v>
      </c>
      <c r="I444" s="1998">
        <f>SUM(I445:I448)</f>
        <v>12750238.79512546</v>
      </c>
      <c r="J444" s="1978">
        <f t="shared" si="65"/>
        <v>20874677.106973942</v>
      </c>
      <c r="K444" s="1954">
        <f>SUM(K445:K448)</f>
        <v>0</v>
      </c>
      <c r="L444" s="1954">
        <f>SUM(L445:L448)</f>
        <v>0</v>
      </c>
      <c r="M444" s="1954">
        <f>SUM(M445:M448)</f>
        <v>0</v>
      </c>
      <c r="N444" s="1979">
        <f t="shared" si="66"/>
        <v>0</v>
      </c>
    </row>
    <row r="445" spans="1:14">
      <c r="A445" s="1950">
        <v>10</v>
      </c>
      <c r="B445" s="1846" t="s">
        <v>289</v>
      </c>
      <c r="C445" s="1830">
        <v>9</v>
      </c>
      <c r="D445" s="1946">
        <f t="shared" si="64"/>
        <v>313465.15000000002</v>
      </c>
      <c r="E445" s="1947"/>
      <c r="F445" s="1947">
        <v>51767.150000000009</v>
      </c>
      <c r="G445" s="2034">
        <v>0</v>
      </c>
      <c r="H445" s="2035">
        <v>53198</v>
      </c>
      <c r="I445" s="1997">
        <v>208500</v>
      </c>
      <c r="J445" s="1980">
        <f t="shared" si="65"/>
        <v>261698</v>
      </c>
      <c r="K445" s="1947"/>
      <c r="L445" s="1947"/>
      <c r="M445" s="1947"/>
      <c r="N445" s="1967">
        <f t="shared" si="66"/>
        <v>0</v>
      </c>
    </row>
    <row r="446" spans="1:14">
      <c r="A446" s="1950">
        <v>11</v>
      </c>
      <c r="B446" s="1846" t="s">
        <v>290</v>
      </c>
      <c r="C446" s="1830">
        <v>10</v>
      </c>
      <c r="D446" s="1946">
        <f t="shared" si="64"/>
        <v>18187908.413994394</v>
      </c>
      <c r="E446" s="1947"/>
      <c r="F446" s="1947">
        <v>4542319.4135630913</v>
      </c>
      <c r="G446" s="2034">
        <v>2596050.8034070004</v>
      </c>
      <c r="H446" s="2016">
        <v>3387168.40189884</v>
      </c>
      <c r="I446" s="2021">
        <v>7662369.7951254603</v>
      </c>
      <c r="J446" s="1980">
        <f t="shared" si="65"/>
        <v>13645589.000431301</v>
      </c>
      <c r="K446" s="1947"/>
      <c r="L446" s="1947"/>
      <c r="M446" s="1947"/>
      <c r="N446" s="1967">
        <f t="shared" si="66"/>
        <v>0</v>
      </c>
    </row>
    <row r="447" spans="1:14">
      <c r="A447" s="1950">
        <v>12</v>
      </c>
      <c r="B447" s="1846" t="s">
        <v>291</v>
      </c>
      <c r="C447" s="1830">
        <v>11</v>
      </c>
      <c r="D447" s="1946">
        <f t="shared" si="64"/>
        <v>7261326.0585956024</v>
      </c>
      <c r="E447" s="1947"/>
      <c r="F447" s="1947">
        <v>432274.07015296171</v>
      </c>
      <c r="G447" s="2034">
        <v>1682952.6500000001</v>
      </c>
      <c r="H447" s="2016">
        <v>280419.33844264073</v>
      </c>
      <c r="I447" s="2021">
        <v>4865680</v>
      </c>
      <c r="J447" s="1980">
        <f t="shared" si="65"/>
        <v>6829051.9884426408</v>
      </c>
      <c r="K447" s="1947"/>
      <c r="L447" s="1947"/>
      <c r="M447" s="1947"/>
      <c r="N447" s="1967">
        <f t="shared" si="66"/>
        <v>0</v>
      </c>
    </row>
    <row r="448" spans="1:14" ht="26.45">
      <c r="A448" s="1950">
        <v>13</v>
      </c>
      <c r="B448" s="1846" t="s">
        <v>292</v>
      </c>
      <c r="C448" s="1830">
        <v>12</v>
      </c>
      <c r="D448" s="1946">
        <f t="shared" si="64"/>
        <v>138338.11809999999</v>
      </c>
      <c r="E448" s="1947"/>
      <c r="F448" s="1947">
        <v>0</v>
      </c>
      <c r="G448" s="2034">
        <v>124649.11809999999</v>
      </c>
      <c r="H448" s="2016">
        <v>0</v>
      </c>
      <c r="I448" s="2021">
        <v>13689</v>
      </c>
      <c r="J448" s="1980">
        <f t="shared" si="65"/>
        <v>138338.11809999999</v>
      </c>
      <c r="K448" s="1947"/>
      <c r="L448" s="1947"/>
      <c r="M448" s="1947"/>
      <c r="N448" s="1967">
        <f t="shared" si="66"/>
        <v>0</v>
      </c>
    </row>
    <row r="449" spans="1:42">
      <c r="A449" s="1950">
        <v>14</v>
      </c>
      <c r="B449" s="1829" t="s">
        <v>293</v>
      </c>
      <c r="C449" s="1830">
        <v>13</v>
      </c>
      <c r="D449" s="1946">
        <f t="shared" si="64"/>
        <v>403452</v>
      </c>
      <c r="E449" s="1947"/>
      <c r="F449" s="1947">
        <v>0</v>
      </c>
      <c r="G449" s="2034">
        <v>143521.66005904396</v>
      </c>
      <c r="H449" s="2035">
        <v>134.49142448635132</v>
      </c>
      <c r="I449" s="1997">
        <v>259795.8485164697</v>
      </c>
      <c r="J449" s="1980">
        <f t="shared" si="65"/>
        <v>403452</v>
      </c>
      <c r="K449" s="1947"/>
      <c r="L449" s="1947"/>
      <c r="M449" s="1947"/>
      <c r="N449" s="1967">
        <f t="shared" si="66"/>
        <v>0</v>
      </c>
    </row>
    <row r="450" spans="1:42">
      <c r="A450" s="1950">
        <v>15</v>
      </c>
      <c r="B450" s="1829" t="s">
        <v>294</v>
      </c>
      <c r="C450" s="1836">
        <v>14</v>
      </c>
      <c r="D450" s="1946">
        <f t="shared" si="64"/>
        <v>317009</v>
      </c>
      <c r="E450" s="1947"/>
      <c r="F450" s="1947">
        <v>0</v>
      </c>
      <c r="G450" s="2034">
        <v>3424</v>
      </c>
      <c r="H450" s="2035">
        <v>298641</v>
      </c>
      <c r="I450" s="1997">
        <v>14944</v>
      </c>
      <c r="J450" s="1980">
        <f t="shared" si="65"/>
        <v>317009</v>
      </c>
      <c r="K450" s="1947"/>
      <c r="L450" s="1947"/>
      <c r="M450" s="1947"/>
      <c r="N450" s="1967">
        <f t="shared" si="66"/>
        <v>0</v>
      </c>
    </row>
    <row r="451" spans="1:42">
      <c r="A451" s="1950">
        <v>16</v>
      </c>
      <c r="B451" s="1829" t="s">
        <v>295</v>
      </c>
      <c r="C451" s="1830">
        <v>15</v>
      </c>
      <c r="D451" s="1946">
        <f t="shared" si="64"/>
        <v>7822</v>
      </c>
      <c r="E451" s="1947"/>
      <c r="F451" s="1947">
        <v>0</v>
      </c>
      <c r="G451" s="2034">
        <v>1106</v>
      </c>
      <c r="H451" s="2035">
        <v>4240</v>
      </c>
      <c r="I451" s="1997">
        <v>2476</v>
      </c>
      <c r="J451" s="1980">
        <f t="shared" si="65"/>
        <v>7822</v>
      </c>
      <c r="K451" s="1947"/>
      <c r="L451" s="1947"/>
      <c r="M451" s="1947"/>
      <c r="N451" s="1967">
        <f t="shared" si="66"/>
        <v>0</v>
      </c>
    </row>
    <row r="452" spans="1:42">
      <c r="A452" s="1950">
        <v>17</v>
      </c>
      <c r="B452" s="1829" t="s">
        <v>296</v>
      </c>
      <c r="C452" s="1836">
        <v>16</v>
      </c>
      <c r="D452" s="1946">
        <f t="shared" si="64"/>
        <v>781069.86065000028</v>
      </c>
      <c r="E452" s="1947"/>
      <c r="F452" s="1947">
        <v>687576.36077777797</v>
      </c>
      <c r="G452" s="2034">
        <v>-68883.500127777705</v>
      </c>
      <c r="H452" s="2016">
        <v>-336818</v>
      </c>
      <c r="I452" s="2021">
        <v>499195</v>
      </c>
      <c r="J452" s="1980">
        <f t="shared" si="65"/>
        <v>93493.49987222231</v>
      </c>
      <c r="K452" s="1947"/>
      <c r="L452" s="1947"/>
      <c r="M452" s="1947"/>
      <c r="N452" s="1967">
        <f t="shared" si="66"/>
        <v>0</v>
      </c>
    </row>
    <row r="453" spans="1:42">
      <c r="A453" s="1950">
        <v>18</v>
      </c>
      <c r="B453" s="1829" t="s">
        <v>297</v>
      </c>
      <c r="C453" s="1830"/>
      <c r="D453" s="1946">
        <f t="shared" si="64"/>
        <v>0</v>
      </c>
      <c r="E453" s="1947"/>
      <c r="F453" s="1947">
        <v>0</v>
      </c>
      <c r="G453" s="2034">
        <v>0</v>
      </c>
      <c r="H453" s="2035">
        <v>0</v>
      </c>
      <c r="I453" s="1997">
        <v>0</v>
      </c>
      <c r="J453" s="1980">
        <f t="shared" si="65"/>
        <v>0</v>
      </c>
      <c r="K453" s="1947"/>
      <c r="L453" s="1947"/>
      <c r="M453" s="1947"/>
      <c r="N453" s="1967">
        <f t="shared" si="66"/>
        <v>0</v>
      </c>
    </row>
    <row r="454" spans="1:42" ht="15" thickBot="1">
      <c r="A454" s="1957">
        <v>19</v>
      </c>
      <c r="B454" s="1848" t="s">
        <v>298</v>
      </c>
      <c r="C454" s="1847"/>
      <c r="D454" s="3120">
        <f t="shared" si="64"/>
        <v>341996.8715929318</v>
      </c>
      <c r="E454" s="3121"/>
      <c r="F454" s="3121">
        <v>55441.011839999999</v>
      </c>
      <c r="G454" s="3130">
        <v>10004.21818</v>
      </c>
      <c r="H454" s="2037">
        <v>21254.11531293179</v>
      </c>
      <c r="I454" s="2049">
        <v>255297.52626000001</v>
      </c>
      <c r="J454" s="1990">
        <f t="shared" si="65"/>
        <v>286555.85975293181</v>
      </c>
      <c r="K454" s="3121"/>
      <c r="L454" s="3121"/>
      <c r="M454" s="3121"/>
      <c r="N454" s="2019">
        <f t="shared" si="66"/>
        <v>0</v>
      </c>
    </row>
    <row r="455" spans="1:42" s="870" customFormat="1" ht="27" thickBot="1">
      <c r="A455" s="1235">
        <v>20</v>
      </c>
      <c r="B455" s="1139" t="s">
        <v>299</v>
      </c>
      <c r="C455" s="1138"/>
      <c r="D455" s="1236">
        <f t="shared" si="64"/>
        <v>29463952.472932927</v>
      </c>
      <c r="E455" s="1236">
        <f>SUM(E432:E438)+E441+E444+SUM(E449:E454)</f>
        <v>0</v>
      </c>
      <c r="F455" s="1236">
        <f>SUM(F432:F438)+F441+F444+SUM(F449:F454)</f>
        <v>7480943.0063338317</v>
      </c>
      <c r="G455" s="1236">
        <f>SUM(G432:G438)+G441+G444+SUM(G449:G454)</f>
        <v>4492824.9496182669</v>
      </c>
      <c r="H455" s="1264">
        <f>SUM(H432:H438)+H441+H444+SUM(H449:H454)</f>
        <v>3708237.3470788989</v>
      </c>
      <c r="I455" s="1275">
        <f>SUM(I432:I438)+I441+I444+SUM(I449:I454)</f>
        <v>13781947.16990193</v>
      </c>
      <c r="J455" s="1267">
        <f t="shared" si="65"/>
        <v>21983009.466599096</v>
      </c>
      <c r="K455" s="1236">
        <f>SUM(K432:K438)+K441+K444+SUM(K449:K454)</f>
        <v>0</v>
      </c>
      <c r="L455" s="1236">
        <f>SUM(L432:L438)+L441+L444+SUM(L449:L454)</f>
        <v>0</v>
      </c>
      <c r="M455" s="1236">
        <f>SUM(M432:M438)+M441+M444+SUM(M449:M454)</f>
        <v>0</v>
      </c>
      <c r="N455" s="1237">
        <f t="shared" si="66"/>
        <v>0</v>
      </c>
      <c r="O455"/>
      <c r="P455"/>
      <c r="Q455"/>
      <c r="R455"/>
      <c r="S455"/>
      <c r="T455"/>
      <c r="U455"/>
      <c r="V455"/>
      <c r="W455"/>
      <c r="X455"/>
      <c r="Y455"/>
      <c r="Z455"/>
      <c r="AA455"/>
      <c r="AB455"/>
      <c r="AC455"/>
      <c r="AD455"/>
      <c r="AE455"/>
      <c r="AF455"/>
      <c r="AG455" s="2982"/>
      <c r="AH455" s="2982"/>
      <c r="AI455" s="2976"/>
      <c r="AJ455" s="2976"/>
      <c r="AK455" s="2976"/>
      <c r="AL455" s="2976"/>
      <c r="AM455" s="2976"/>
      <c r="AN455" s="2976"/>
      <c r="AO455" s="2976"/>
      <c r="AP455" s="2976"/>
    </row>
    <row r="456" spans="1:42">
      <c r="A456" s="1950"/>
      <c r="B456" s="1959" t="s">
        <v>300</v>
      </c>
      <c r="C456" s="1830"/>
      <c r="D456" s="1230">
        <f t="shared" si="64"/>
        <v>0</v>
      </c>
      <c r="E456" s="677"/>
      <c r="F456" s="677"/>
      <c r="G456" s="674"/>
      <c r="H456" s="675"/>
      <c r="I456" s="922"/>
      <c r="J456" s="1256">
        <f t="shared" si="65"/>
        <v>0</v>
      </c>
      <c r="K456" s="914"/>
      <c r="L456" s="914"/>
      <c r="M456" s="914"/>
      <c r="N456" s="1231">
        <f t="shared" si="66"/>
        <v>0</v>
      </c>
    </row>
    <row r="457" spans="1:42">
      <c r="A457" s="1950"/>
      <c r="B457" s="1959" t="s">
        <v>301</v>
      </c>
      <c r="C457" s="1830"/>
      <c r="D457" s="1946">
        <f t="shared" si="64"/>
        <v>0</v>
      </c>
      <c r="E457" s="1973"/>
      <c r="F457" s="1973"/>
      <c r="G457" s="1970"/>
      <c r="H457" s="1966"/>
      <c r="I457" s="1992"/>
      <c r="J457" s="1980">
        <f t="shared" si="65"/>
        <v>0</v>
      </c>
      <c r="K457" s="1947"/>
      <c r="L457" s="1947"/>
      <c r="M457" s="1947"/>
      <c r="N457" s="1967">
        <f t="shared" si="66"/>
        <v>0</v>
      </c>
    </row>
    <row r="458" spans="1:42">
      <c r="A458" s="1950">
        <v>21</v>
      </c>
      <c r="B458" s="1829" t="s">
        <v>302</v>
      </c>
      <c r="C458" s="1836">
        <v>17</v>
      </c>
      <c r="D458" s="1946">
        <f t="shared" si="64"/>
        <v>20062534.754520003</v>
      </c>
      <c r="E458" s="2059"/>
      <c r="F458" s="2059">
        <v>0</v>
      </c>
      <c r="G458" s="2022">
        <v>4322059.9994824398</v>
      </c>
      <c r="H458" s="2060">
        <v>3002066.9065850321</v>
      </c>
      <c r="I458" s="2060">
        <v>12738407.848452531</v>
      </c>
      <c r="J458" s="1980">
        <f t="shared" si="65"/>
        <v>20062534.754520003</v>
      </c>
      <c r="K458" s="1947"/>
      <c r="L458" s="1947"/>
      <c r="M458" s="1947"/>
      <c r="N458" s="1967">
        <f t="shared" si="66"/>
        <v>0</v>
      </c>
    </row>
    <row r="459" spans="1:42">
      <c r="A459" s="1950">
        <v>22</v>
      </c>
      <c r="B459" s="1829" t="s">
        <v>303</v>
      </c>
      <c r="C459" s="1830"/>
      <c r="D459" s="1946">
        <f t="shared" si="64"/>
        <v>137328</v>
      </c>
      <c r="E459" s="2059"/>
      <c r="F459" s="2059">
        <v>137328</v>
      </c>
      <c r="G459" s="2022">
        <v>0</v>
      </c>
      <c r="H459" s="2060">
        <v>0</v>
      </c>
      <c r="I459" s="2060">
        <v>0</v>
      </c>
      <c r="J459" s="1980">
        <f t="shared" si="65"/>
        <v>0</v>
      </c>
      <c r="K459" s="1947"/>
      <c r="L459" s="1947"/>
      <c r="M459" s="1947"/>
      <c r="N459" s="1967">
        <f t="shared" si="66"/>
        <v>0</v>
      </c>
    </row>
    <row r="460" spans="1:42">
      <c r="A460" s="1950">
        <v>23</v>
      </c>
      <c r="B460" s="1829" t="s">
        <v>304</v>
      </c>
      <c r="C460" s="1830">
        <v>18</v>
      </c>
      <c r="D460" s="1946">
        <f t="shared" si="64"/>
        <v>453054.4729329315</v>
      </c>
      <c r="E460" s="2059"/>
      <c r="F460" s="2059">
        <v>0</v>
      </c>
      <c r="G460" s="2022">
        <v>8282</v>
      </c>
      <c r="H460" s="2060">
        <v>428600</v>
      </c>
      <c r="I460" s="2060">
        <v>16172.472932931501</v>
      </c>
      <c r="J460" s="1980">
        <f t="shared" si="65"/>
        <v>453054.4729329315</v>
      </c>
      <c r="K460" s="1947"/>
      <c r="L460" s="1947"/>
      <c r="M460" s="1947"/>
      <c r="N460" s="1967">
        <f t="shared" si="66"/>
        <v>0</v>
      </c>
    </row>
    <row r="461" spans="1:42">
      <c r="A461" s="1950">
        <v>24</v>
      </c>
      <c r="B461" s="1829" t="s">
        <v>305</v>
      </c>
      <c r="C461" s="1830"/>
      <c r="D461" s="1946">
        <f t="shared" si="64"/>
        <v>0</v>
      </c>
      <c r="E461" s="2059"/>
      <c r="F461" s="2059"/>
      <c r="G461" s="2022"/>
      <c r="H461" s="2060"/>
      <c r="I461" s="2060"/>
      <c r="J461" s="1980">
        <f t="shared" si="65"/>
        <v>0</v>
      </c>
      <c r="K461" s="1947"/>
      <c r="L461" s="1947"/>
      <c r="M461" s="1947"/>
      <c r="N461" s="1967">
        <f t="shared" si="66"/>
        <v>0</v>
      </c>
    </row>
    <row r="462" spans="1:42">
      <c r="A462" s="1950">
        <v>25</v>
      </c>
      <c r="B462" s="1851" t="s">
        <v>306</v>
      </c>
      <c r="C462" s="1830"/>
      <c r="D462" s="1946">
        <f t="shared" si="64"/>
        <v>0</v>
      </c>
      <c r="E462" s="2059"/>
      <c r="F462" s="2059"/>
      <c r="G462" s="2022"/>
      <c r="H462" s="2060"/>
      <c r="I462" s="2060"/>
      <c r="J462" s="1980">
        <f t="shared" si="65"/>
        <v>0</v>
      </c>
      <c r="K462" s="1947"/>
      <c r="L462" s="1947"/>
      <c r="M462" s="1947"/>
      <c r="N462" s="1967">
        <f t="shared" si="66"/>
        <v>0</v>
      </c>
    </row>
    <row r="463" spans="1:42" ht="15" thickBot="1">
      <c r="A463" s="1957">
        <v>26</v>
      </c>
      <c r="B463" s="1848" t="s">
        <v>307</v>
      </c>
      <c r="C463" s="1852">
        <v>19</v>
      </c>
      <c r="D463" s="1946">
        <f t="shared" si="64"/>
        <v>1778650.2454800005</v>
      </c>
      <c r="E463" s="2059"/>
      <c r="F463" s="3136">
        <v>243939.00633383379</v>
      </c>
      <c r="G463" s="3137">
        <v>171628.95013582596</v>
      </c>
      <c r="H463" s="3137">
        <v>262579.44049387099</v>
      </c>
      <c r="I463" s="1312">
        <v>1100502.8485164698</v>
      </c>
      <c r="J463" s="1980">
        <f t="shared" si="65"/>
        <v>1534711.2391461667</v>
      </c>
      <c r="K463" s="1947"/>
      <c r="L463" s="1947"/>
      <c r="M463" s="1947"/>
      <c r="N463" s="1967">
        <f t="shared" si="66"/>
        <v>0</v>
      </c>
    </row>
    <row r="464" spans="1:42" s="870" customFormat="1" ht="27" thickBot="1">
      <c r="A464" s="1226">
        <v>27</v>
      </c>
      <c r="B464" s="1136" t="s">
        <v>308</v>
      </c>
      <c r="C464" s="1209"/>
      <c r="D464" s="1309">
        <f t="shared" si="64"/>
        <v>22431567.472932935</v>
      </c>
      <c r="E464" s="961">
        <f>SUM(E458:E463)</f>
        <v>0</v>
      </c>
      <c r="F464" s="961">
        <f>SUM(F458:F463)</f>
        <v>381267.00633383379</v>
      </c>
      <c r="G464" s="961">
        <f>SUM(G458:G463)</f>
        <v>4501970.949618266</v>
      </c>
      <c r="H464" s="966">
        <f>SUM(H458:H463)</f>
        <v>3693246.3470789031</v>
      </c>
      <c r="I464" s="1313">
        <f>SUM(I458:I463)</f>
        <v>13855083.169901932</v>
      </c>
      <c r="J464" s="1316">
        <f t="shared" si="65"/>
        <v>22050300.466599099</v>
      </c>
      <c r="K464" s="961">
        <f>SUM(K458:K463)</f>
        <v>0</v>
      </c>
      <c r="L464" s="961">
        <f>SUM(L458:L463)</f>
        <v>0</v>
      </c>
      <c r="M464" s="961">
        <f>SUM(M458:M463)</f>
        <v>0</v>
      </c>
      <c r="N464" s="1318">
        <f t="shared" si="66"/>
        <v>0</v>
      </c>
      <c r="O464"/>
      <c r="P464"/>
      <c r="Q464"/>
      <c r="R464"/>
      <c r="S464"/>
      <c r="T464"/>
      <c r="U464"/>
      <c r="V464"/>
      <c r="W464"/>
      <c r="X464"/>
      <c r="Y464"/>
      <c r="Z464"/>
      <c r="AA464"/>
      <c r="AB464"/>
      <c r="AC464"/>
      <c r="AD464"/>
      <c r="AE464"/>
      <c r="AF464"/>
      <c r="AG464" s="2982"/>
      <c r="AH464" s="2982"/>
      <c r="AI464" s="2976"/>
      <c r="AJ464" s="2976"/>
      <c r="AK464" s="2976"/>
      <c r="AL464" s="2976"/>
      <c r="AM464" s="2976"/>
      <c r="AN464" s="2976"/>
      <c r="AO464" s="2976"/>
      <c r="AP464" s="2976"/>
    </row>
    <row r="465" spans="1:42">
      <c r="A465" s="1227"/>
      <c r="B465" s="1225" t="s">
        <v>309</v>
      </c>
      <c r="C465" s="1133">
        <v>20</v>
      </c>
      <c r="D465" s="1230">
        <f t="shared" si="64"/>
        <v>0</v>
      </c>
      <c r="E465" s="677"/>
      <c r="F465" s="677"/>
      <c r="G465" s="674"/>
      <c r="H465" s="675"/>
      <c r="I465" s="922"/>
      <c r="J465" s="1256">
        <f t="shared" si="65"/>
        <v>0</v>
      </c>
      <c r="K465" s="914"/>
      <c r="L465" s="914"/>
      <c r="M465" s="914"/>
      <c r="N465" s="1231">
        <f t="shared" si="66"/>
        <v>0</v>
      </c>
    </row>
    <row r="466" spans="1:42">
      <c r="A466" s="1950">
        <v>28</v>
      </c>
      <c r="B466" s="1945" t="s">
        <v>310</v>
      </c>
      <c r="C466" s="1836"/>
      <c r="D466" s="1946">
        <f t="shared" si="64"/>
        <v>1171875</v>
      </c>
      <c r="E466" s="1973"/>
      <c r="F466" s="1973">
        <v>1171875</v>
      </c>
      <c r="G466" s="1970">
        <v>0</v>
      </c>
      <c r="H466" s="1966">
        <v>0</v>
      </c>
      <c r="I466" s="1992">
        <v>0</v>
      </c>
      <c r="J466" s="1980">
        <f t="shared" si="65"/>
        <v>0</v>
      </c>
      <c r="K466" s="1947"/>
      <c r="L466" s="1947"/>
      <c r="M466" s="1947"/>
      <c r="N466" s="1967">
        <f t="shared" si="66"/>
        <v>0</v>
      </c>
    </row>
    <row r="467" spans="1:42">
      <c r="A467" s="1950">
        <v>29</v>
      </c>
      <c r="B467" s="1945" t="s">
        <v>311</v>
      </c>
      <c r="C467" s="1836"/>
      <c r="D467" s="1946">
        <f t="shared" si="64"/>
        <v>-69459</v>
      </c>
      <c r="E467" s="1973"/>
      <c r="F467" s="1973">
        <v>-2168</v>
      </c>
      <c r="G467" s="1970">
        <v>-9146</v>
      </c>
      <c r="H467" s="1966">
        <v>14991</v>
      </c>
      <c r="I467" s="1992">
        <v>-73136</v>
      </c>
      <c r="J467" s="1980">
        <f t="shared" si="65"/>
        <v>-67291</v>
      </c>
      <c r="K467" s="1947"/>
      <c r="L467" s="1947"/>
      <c r="M467" s="1947"/>
      <c r="N467" s="1967">
        <f t="shared" si="66"/>
        <v>0</v>
      </c>
    </row>
    <row r="468" spans="1:42">
      <c r="A468" s="1950">
        <v>30</v>
      </c>
      <c r="B468" s="1960" t="s">
        <v>312</v>
      </c>
      <c r="C468" s="1852"/>
      <c r="D468" s="1946">
        <f t="shared" si="64"/>
        <v>0</v>
      </c>
      <c r="E468" s="1973"/>
      <c r="F468" s="3124">
        <v>0</v>
      </c>
      <c r="G468" s="3125">
        <v>0</v>
      </c>
      <c r="H468" s="2002">
        <v>0</v>
      </c>
      <c r="I468" s="2003">
        <v>0</v>
      </c>
      <c r="J468" s="1980">
        <f t="shared" si="65"/>
        <v>0</v>
      </c>
      <c r="K468" s="1947"/>
      <c r="L468" s="1947"/>
      <c r="M468" s="1947"/>
      <c r="N468" s="1967">
        <f t="shared" si="66"/>
        <v>0</v>
      </c>
    </row>
    <row r="469" spans="1:42">
      <c r="A469" s="1950">
        <v>31</v>
      </c>
      <c r="B469" s="1960" t="s">
        <v>313</v>
      </c>
      <c r="C469" s="1852"/>
      <c r="D469" s="1946">
        <f t="shared" si="64"/>
        <v>381156</v>
      </c>
      <c r="E469" s="1973"/>
      <c r="F469" s="3124">
        <v>381156</v>
      </c>
      <c r="G469" s="3125">
        <v>0</v>
      </c>
      <c r="H469" s="2002">
        <v>0</v>
      </c>
      <c r="I469" s="2003">
        <v>0</v>
      </c>
      <c r="J469" s="1980">
        <f t="shared" si="65"/>
        <v>0</v>
      </c>
      <c r="K469" s="1947"/>
      <c r="L469" s="1947"/>
      <c r="M469" s="1947"/>
      <c r="N469" s="1967">
        <f t="shared" si="66"/>
        <v>0</v>
      </c>
    </row>
    <row r="470" spans="1:42" ht="15" thickBot="1">
      <c r="A470" s="1957">
        <v>32</v>
      </c>
      <c r="B470" s="1960" t="s">
        <v>314</v>
      </c>
      <c r="C470" s="1852"/>
      <c r="D470" s="1946">
        <f t="shared" si="64"/>
        <v>5548813</v>
      </c>
      <c r="E470" s="1973"/>
      <c r="F470" s="3124">
        <v>5548813</v>
      </c>
      <c r="G470" s="3125">
        <v>0</v>
      </c>
      <c r="H470" s="2002">
        <v>0</v>
      </c>
      <c r="I470" s="2003">
        <v>0</v>
      </c>
      <c r="J470" s="1980">
        <f t="shared" si="65"/>
        <v>0</v>
      </c>
      <c r="K470" s="1947"/>
      <c r="L470" s="1947"/>
      <c r="M470" s="1947"/>
      <c r="N470" s="1967">
        <f t="shared" si="66"/>
        <v>0</v>
      </c>
    </row>
    <row r="471" spans="1:42" s="870" customFormat="1" ht="15" thickBot="1">
      <c r="A471" s="1226">
        <v>33</v>
      </c>
      <c r="B471" s="1169" t="s">
        <v>315</v>
      </c>
      <c r="C471" s="1208"/>
      <c r="D471" s="1310">
        <f t="shared" si="64"/>
        <v>7032385</v>
      </c>
      <c r="E471" s="959">
        <f>SUM(E466:E470)</f>
        <v>0</v>
      </c>
      <c r="F471" s="959">
        <f>SUM(F466:F470)</f>
        <v>7099676</v>
      </c>
      <c r="G471" s="959">
        <f>SUM(G466:G470)</f>
        <v>-9146</v>
      </c>
      <c r="H471" s="960">
        <f>SUM(H466:H470)</f>
        <v>14991</v>
      </c>
      <c r="I471" s="1314">
        <f>SUM(I466:I470)</f>
        <v>-73136</v>
      </c>
      <c r="J471" s="1317">
        <f t="shared" si="65"/>
        <v>-67291</v>
      </c>
      <c r="K471" s="959">
        <f>SUM(K466:K470)</f>
        <v>0</v>
      </c>
      <c r="L471" s="959">
        <f>SUM(L466:L470)</f>
        <v>0</v>
      </c>
      <c r="M471" s="959">
        <f>SUM(M466:M470)</f>
        <v>0</v>
      </c>
      <c r="N471" s="1320">
        <f t="shared" si="66"/>
        <v>0</v>
      </c>
      <c r="O471"/>
      <c r="P471"/>
      <c r="Q471"/>
      <c r="R471"/>
      <c r="S471"/>
      <c r="T471"/>
      <c r="U471"/>
      <c r="V471"/>
      <c r="W471"/>
      <c r="X471"/>
      <c r="Y471"/>
      <c r="Z471"/>
      <c r="AA471"/>
      <c r="AB471"/>
      <c r="AC471"/>
      <c r="AD471"/>
      <c r="AE471"/>
      <c r="AF471"/>
      <c r="AG471" s="2982"/>
      <c r="AH471" s="2982"/>
      <c r="AI471" s="2976"/>
      <c r="AJ471" s="2976"/>
      <c r="AK471" s="2976"/>
      <c r="AL471" s="2976"/>
      <c r="AM471" s="2976"/>
      <c r="AN471" s="2976"/>
      <c r="AO471" s="2976"/>
      <c r="AP471" s="2976"/>
    </row>
    <row r="472" spans="1:42" s="870" customFormat="1" ht="27" thickBot="1">
      <c r="A472" s="1235">
        <v>34</v>
      </c>
      <c r="B472" s="1139" t="s">
        <v>317</v>
      </c>
      <c r="C472" s="1138"/>
      <c r="D472" s="1268">
        <f t="shared" si="64"/>
        <v>29463952.472932935</v>
      </c>
      <c r="E472" s="1268">
        <f>E471+E464</f>
        <v>0</v>
      </c>
      <c r="F472" s="1268">
        <f>F471+F464</f>
        <v>7480943.0063338336</v>
      </c>
      <c r="G472" s="1268">
        <f>G471+G464</f>
        <v>4492824.949618266</v>
      </c>
      <c r="H472" s="1268">
        <f>H471+H464</f>
        <v>3708237.3470789031</v>
      </c>
      <c r="I472" s="1269">
        <f>I471+I464</f>
        <v>13781947.169901932</v>
      </c>
      <c r="J472" s="1270">
        <f t="shared" si="65"/>
        <v>21983009.466599099</v>
      </c>
      <c r="K472" s="1268">
        <f>K471+K464</f>
        <v>0</v>
      </c>
      <c r="L472" s="1268">
        <f>L471+L464</f>
        <v>0</v>
      </c>
      <c r="M472" s="1268">
        <f>M471+M464</f>
        <v>0</v>
      </c>
      <c r="N472" s="1271">
        <f t="shared" si="66"/>
        <v>0</v>
      </c>
      <c r="O472"/>
      <c r="P472"/>
      <c r="Q472"/>
      <c r="R472"/>
      <c r="S472"/>
      <c r="T472"/>
      <c r="U472"/>
      <c r="V472"/>
      <c r="W472"/>
      <c r="X472"/>
      <c r="Y472"/>
      <c r="Z472"/>
      <c r="AA472"/>
      <c r="AB472"/>
      <c r="AC472"/>
      <c r="AD472"/>
      <c r="AE472"/>
      <c r="AF472"/>
      <c r="AG472" s="2982"/>
      <c r="AH472" s="2982"/>
      <c r="AI472" s="2976"/>
      <c r="AJ472" s="2976"/>
      <c r="AK472" s="2976"/>
      <c r="AL472" s="2976"/>
      <c r="AM472" s="2976"/>
      <c r="AN472" s="2976"/>
      <c r="AO472" s="2976"/>
      <c r="AP472" s="2976"/>
    </row>
    <row r="473" spans="1:42">
      <c r="B473"/>
      <c r="C473"/>
      <c r="D473"/>
      <c r="E473"/>
      <c r="F473"/>
      <c r="G473"/>
      <c r="H473"/>
      <c r="I473"/>
      <c r="J473"/>
      <c r="K473"/>
      <c r="L473"/>
      <c r="M473"/>
      <c r="N473"/>
    </row>
    <row r="474" spans="1:42">
      <c r="B474"/>
      <c r="C474"/>
      <c r="D474"/>
      <c r="E474"/>
      <c r="F474"/>
      <c r="G474"/>
      <c r="H474"/>
      <c r="I474"/>
      <c r="J474"/>
      <c r="K474"/>
      <c r="L474"/>
      <c r="M474"/>
      <c r="N474"/>
    </row>
    <row r="475" spans="1:42">
      <c r="B475"/>
      <c r="C475"/>
      <c r="D475"/>
      <c r="E475"/>
      <c r="F475"/>
      <c r="G475"/>
      <c r="H475"/>
      <c r="I475"/>
      <c r="J475"/>
      <c r="K475"/>
      <c r="L475"/>
      <c r="M475"/>
      <c r="N475"/>
    </row>
    <row r="476" spans="1:42">
      <c r="B476"/>
      <c r="C476"/>
      <c r="D476"/>
      <c r="E476"/>
      <c r="F476"/>
      <c r="G476"/>
      <c r="H476"/>
      <c r="I476"/>
      <c r="J476"/>
      <c r="K476"/>
      <c r="L476"/>
      <c r="M476"/>
      <c r="N476"/>
    </row>
    <row r="477" spans="1:42" ht="15" thickBot="1"/>
    <row r="478" spans="1:42" ht="15" thickBot="1">
      <c r="A478" s="1153" t="s">
        <v>189</v>
      </c>
      <c r="B478" s="3303" t="s">
        <v>133</v>
      </c>
      <c r="C478" s="3304"/>
      <c r="D478" s="662"/>
      <c r="E478" s="662"/>
      <c r="F478" s="662"/>
      <c r="G478" s="662"/>
      <c r="H478" s="662"/>
      <c r="I478" s="662"/>
      <c r="J478" s="662"/>
      <c r="K478" s="662"/>
      <c r="L478" s="662"/>
      <c r="M478" s="3292"/>
      <c r="N478" s="3292" t="s">
        <v>257</v>
      </c>
    </row>
    <row r="479" spans="1:42" ht="13.5" customHeight="1" thickBot="1">
      <c r="A479" s="3311" t="s">
        <v>258</v>
      </c>
      <c r="B479" s="1212"/>
      <c r="C479" s="3280" t="s">
        <v>259</v>
      </c>
      <c r="D479" s="3314" t="s">
        <v>260</v>
      </c>
      <c r="E479" s="3314" t="s">
        <v>261</v>
      </c>
      <c r="F479" s="3314" t="s">
        <v>262</v>
      </c>
      <c r="G479" s="3324" t="s">
        <v>263</v>
      </c>
      <c r="H479" s="3325"/>
      <c r="I479" s="3325"/>
      <c r="J479" s="3325"/>
      <c r="K479" s="3325"/>
      <c r="L479" s="3325"/>
      <c r="M479" s="3325"/>
      <c r="N479" s="3326"/>
    </row>
    <row r="480" spans="1:42" ht="13.5" customHeight="1" thickBot="1">
      <c r="A480" s="3312"/>
      <c r="B480" s="1213"/>
      <c r="C480" s="3281"/>
      <c r="D480" s="3315"/>
      <c r="E480" s="3315"/>
      <c r="F480" s="3315"/>
      <c r="G480" s="3289" t="s">
        <v>264</v>
      </c>
      <c r="H480" s="3290"/>
      <c r="I480" s="3290"/>
      <c r="J480" s="3291"/>
      <c r="K480" s="3318" t="s">
        <v>265</v>
      </c>
      <c r="L480" s="3319"/>
      <c r="M480" s="3319"/>
      <c r="N480" s="3320"/>
    </row>
    <row r="481" spans="1:14" ht="40.15" thickBot="1">
      <c r="A481" s="3312"/>
      <c r="B481" s="1214"/>
      <c r="C481" s="3281"/>
      <c r="D481" s="3316"/>
      <c r="E481" s="3316"/>
      <c r="F481" s="3316"/>
      <c r="G481" s="1125" t="s">
        <v>267</v>
      </c>
      <c r="H481" s="1125" t="s">
        <v>268</v>
      </c>
      <c r="I481" s="1125" t="s">
        <v>269</v>
      </c>
      <c r="J481" s="1125" t="s">
        <v>160</v>
      </c>
      <c r="K481" s="1126" t="s">
        <v>270</v>
      </c>
      <c r="L481" s="1126" t="s">
        <v>271</v>
      </c>
      <c r="M481" s="1126" t="s">
        <v>272</v>
      </c>
      <c r="N481" s="2969" t="s">
        <v>160</v>
      </c>
    </row>
    <row r="482" spans="1:14" ht="15" thickBot="1">
      <c r="A482" s="3312"/>
      <c r="B482" s="1213"/>
      <c r="C482" s="3281"/>
      <c r="D482" s="1215">
        <v>1</v>
      </c>
      <c r="E482" s="1216">
        <v>2</v>
      </c>
      <c r="F482" s="1216">
        <v>3</v>
      </c>
      <c r="G482" s="1217">
        <v>4</v>
      </c>
      <c r="H482" s="1216">
        <v>5</v>
      </c>
      <c r="I482" s="1218">
        <v>6</v>
      </c>
      <c r="J482" s="2971">
        <v>7</v>
      </c>
      <c r="K482" s="1217">
        <v>8</v>
      </c>
      <c r="L482" s="1216">
        <v>9</v>
      </c>
      <c r="M482" s="1238">
        <v>10</v>
      </c>
      <c r="N482" s="1215">
        <v>11</v>
      </c>
    </row>
    <row r="483" spans="1:14" ht="15" thickBot="1">
      <c r="A483" s="3313"/>
      <c r="B483" s="1219"/>
      <c r="C483" s="3282"/>
      <c r="D483" s="1220"/>
      <c r="E483" s="1220"/>
      <c r="F483" s="1220"/>
      <c r="G483" s="1221"/>
      <c r="H483" s="1220"/>
      <c r="I483" s="1292"/>
      <c r="J483" s="1222" t="s">
        <v>273</v>
      </c>
      <c r="K483" s="1221"/>
      <c r="L483" s="1220"/>
      <c r="M483" s="1667"/>
      <c r="N483" s="1293" t="s">
        <v>274</v>
      </c>
    </row>
    <row r="484" spans="1:14">
      <c r="A484" s="1227"/>
      <c r="B484" s="1225" t="s">
        <v>275</v>
      </c>
      <c r="C484" s="1133"/>
      <c r="D484" s="1827"/>
      <c r="E484" s="673"/>
      <c r="F484" s="673"/>
      <c r="G484" s="674"/>
      <c r="H484" s="675"/>
      <c r="I484" s="676"/>
      <c r="J484" s="1233"/>
      <c r="K484" s="914"/>
      <c r="L484" s="912"/>
      <c r="M484" s="915"/>
      <c r="N484" s="1260"/>
    </row>
    <row r="485" spans="1:14">
      <c r="A485" s="1944">
        <v>1</v>
      </c>
      <c r="B485" s="1945" t="s">
        <v>276</v>
      </c>
      <c r="C485" s="1830"/>
      <c r="D485" s="1946">
        <f t="shared" ref="D485:D525" si="67">+E485+F485+J485+N485</f>
        <v>0</v>
      </c>
      <c r="E485" s="1973"/>
      <c r="F485" s="1973"/>
      <c r="G485" s="1970"/>
      <c r="H485" s="1966"/>
      <c r="I485" s="1972"/>
      <c r="J485" s="1948">
        <v>0</v>
      </c>
      <c r="K485" s="1947"/>
      <c r="L485" s="1947"/>
      <c r="M485" s="1968"/>
      <c r="N485" s="1967">
        <f t="shared" ref="N485:N525" si="68">K485+L485+M485</f>
        <v>0</v>
      </c>
    </row>
    <row r="486" spans="1:14">
      <c r="A486" s="1944">
        <v>2</v>
      </c>
      <c r="B486" s="1945" t="s">
        <v>277</v>
      </c>
      <c r="C486" s="1830"/>
      <c r="D486" s="1946">
        <f t="shared" si="67"/>
        <v>53187.439849999995</v>
      </c>
      <c r="E486" s="1973"/>
      <c r="F486" s="1973">
        <v>53187.439849999995</v>
      </c>
      <c r="G486" s="1973"/>
      <c r="H486" s="1964"/>
      <c r="I486" s="1972"/>
      <c r="J486" s="1948">
        <v>0</v>
      </c>
      <c r="K486" s="1947"/>
      <c r="L486" s="1947"/>
      <c r="M486" s="1968"/>
      <c r="N486" s="1967">
        <f t="shared" si="68"/>
        <v>0</v>
      </c>
    </row>
    <row r="487" spans="1:14">
      <c r="A487" s="1944">
        <v>3</v>
      </c>
      <c r="B487" s="1945" t="s">
        <v>278</v>
      </c>
      <c r="C487" s="1830"/>
      <c r="D487" s="1946">
        <f t="shared" si="67"/>
        <v>0</v>
      </c>
      <c r="E487" s="1973"/>
      <c r="F487" s="1973"/>
      <c r="G487" s="1970"/>
      <c r="H487" s="1966"/>
      <c r="I487" s="1972"/>
      <c r="J487" s="2014">
        <v>0</v>
      </c>
      <c r="K487" s="1947"/>
      <c r="L487" s="1947"/>
      <c r="M487" s="1968"/>
      <c r="N487" s="1967">
        <f t="shared" si="68"/>
        <v>0</v>
      </c>
    </row>
    <row r="488" spans="1:14">
      <c r="A488" s="1944">
        <v>4</v>
      </c>
      <c r="B488" s="1945" t="s">
        <v>324</v>
      </c>
      <c r="C488" s="1830"/>
      <c r="D488" s="1946">
        <f t="shared" si="67"/>
        <v>173532.16905</v>
      </c>
      <c r="E488" s="1973"/>
      <c r="F488" s="1973">
        <v>0</v>
      </c>
      <c r="G488" s="1973">
        <v>0</v>
      </c>
      <c r="H488" s="1964">
        <v>83295.441144000011</v>
      </c>
      <c r="I488" s="1972">
        <v>90236.727905999986</v>
      </c>
      <c r="J488" s="2014">
        <v>173532.16905</v>
      </c>
      <c r="K488" s="1947"/>
      <c r="L488" s="1947"/>
      <c r="M488" s="1968"/>
      <c r="N488" s="1967">
        <f t="shared" si="68"/>
        <v>0</v>
      </c>
    </row>
    <row r="489" spans="1:14">
      <c r="A489" s="1944">
        <v>5</v>
      </c>
      <c r="B489" s="1945" t="s">
        <v>280</v>
      </c>
      <c r="C489" s="1836">
        <v>5</v>
      </c>
      <c r="D489" s="1946">
        <f t="shared" si="67"/>
        <v>257548.81109000003</v>
      </c>
      <c r="E489" s="1973"/>
      <c r="F489" s="1973">
        <v>240986.94963000002</v>
      </c>
      <c r="G489" s="1973">
        <v>0</v>
      </c>
      <c r="H489" s="1964">
        <v>7949.693500800011</v>
      </c>
      <c r="I489" s="1972">
        <v>8612.1679591999891</v>
      </c>
      <c r="J489" s="2014">
        <v>16561.86146</v>
      </c>
      <c r="K489" s="1947"/>
      <c r="L489" s="1947"/>
      <c r="M489" s="1968"/>
      <c r="N489" s="1967">
        <f t="shared" si="68"/>
        <v>0</v>
      </c>
    </row>
    <row r="490" spans="1:14">
      <c r="A490" s="1944">
        <v>6</v>
      </c>
      <c r="B490" s="1945" t="s">
        <v>281</v>
      </c>
      <c r="C490" s="1830">
        <v>6</v>
      </c>
      <c r="D490" s="1946">
        <f t="shared" si="67"/>
        <v>1783919.1134994221</v>
      </c>
      <c r="E490" s="1973"/>
      <c r="F490" s="1973">
        <v>1783919.1134994221</v>
      </c>
      <c r="G490" s="1973"/>
      <c r="H490" s="1964"/>
      <c r="I490" s="1972"/>
      <c r="J490" s="2014">
        <v>0</v>
      </c>
      <c r="K490" s="1947"/>
      <c r="L490" s="1947"/>
      <c r="M490" s="1968"/>
      <c r="N490" s="1967">
        <f t="shared" si="68"/>
        <v>0</v>
      </c>
    </row>
    <row r="491" spans="1:14">
      <c r="A491" s="1944">
        <v>7</v>
      </c>
      <c r="B491" s="1945" t="s">
        <v>282</v>
      </c>
      <c r="C491" s="1836">
        <v>7</v>
      </c>
      <c r="D491" s="1946">
        <f t="shared" si="67"/>
        <v>0</v>
      </c>
      <c r="E491" s="1973">
        <f>SUM(E492:E493)</f>
        <v>0</v>
      </c>
      <c r="F491" s="1973">
        <f>F492+F493</f>
        <v>0</v>
      </c>
      <c r="G491" s="1973">
        <f>G492+G493</f>
        <v>0</v>
      </c>
      <c r="H491" s="1964">
        <f>H492+H493</f>
        <v>0</v>
      </c>
      <c r="I491" s="1972">
        <f>I492+I493</f>
        <v>0</v>
      </c>
      <c r="J491" s="2014">
        <f t="shared" ref="J491:J497" si="69">G491+H491+I491</f>
        <v>0</v>
      </c>
      <c r="K491" s="1973">
        <f>K492+K493</f>
        <v>0</v>
      </c>
      <c r="L491" s="1973">
        <f>L492+L493</f>
        <v>0</v>
      </c>
      <c r="M491" s="1964">
        <f>M492+M493</f>
        <v>0</v>
      </c>
      <c r="N491" s="1967">
        <f t="shared" si="68"/>
        <v>0</v>
      </c>
    </row>
    <row r="492" spans="1:14">
      <c r="A492" s="1950"/>
      <c r="B492" s="1837" t="s">
        <v>283</v>
      </c>
      <c r="C492" s="1836"/>
      <c r="D492" s="1946">
        <f t="shared" si="67"/>
        <v>0</v>
      </c>
      <c r="E492" s="1973"/>
      <c r="F492" s="1973"/>
      <c r="G492" s="1973"/>
      <c r="H492" s="1964"/>
      <c r="I492" s="1972"/>
      <c r="J492" s="2014">
        <f t="shared" si="69"/>
        <v>0</v>
      </c>
      <c r="K492" s="1947"/>
      <c r="L492" s="1947"/>
      <c r="M492" s="1968"/>
      <c r="N492" s="1967">
        <f t="shared" si="68"/>
        <v>0</v>
      </c>
    </row>
    <row r="493" spans="1:14">
      <c r="A493" s="1950"/>
      <c r="B493" s="1837" t="s">
        <v>284</v>
      </c>
      <c r="C493" s="1836"/>
      <c r="D493" s="1946">
        <f t="shared" si="67"/>
        <v>0</v>
      </c>
      <c r="E493" s="1973"/>
      <c r="F493" s="1973"/>
      <c r="G493" s="1973"/>
      <c r="H493" s="1964"/>
      <c r="I493" s="1972"/>
      <c r="J493" s="2014">
        <f t="shared" si="69"/>
        <v>0</v>
      </c>
      <c r="K493" s="1947"/>
      <c r="L493" s="1947"/>
      <c r="M493" s="1968"/>
      <c r="N493" s="1967">
        <f t="shared" si="68"/>
        <v>0</v>
      </c>
    </row>
    <row r="494" spans="1:14">
      <c r="A494" s="1944">
        <v>8</v>
      </c>
      <c r="B494" s="1945" t="s">
        <v>285</v>
      </c>
      <c r="C494" s="1830">
        <v>8</v>
      </c>
      <c r="D494" s="1946">
        <f t="shared" si="67"/>
        <v>0</v>
      </c>
      <c r="E494" s="1973">
        <f>SUM(E495:E496)</f>
        <v>0</v>
      </c>
      <c r="F494" s="1973">
        <f>+F495+F496</f>
        <v>0</v>
      </c>
      <c r="G494" s="1973">
        <f>+G495+G496</f>
        <v>0</v>
      </c>
      <c r="H494" s="1964">
        <f>+H495+H496</f>
        <v>0</v>
      </c>
      <c r="I494" s="1972">
        <f>+I495+I496</f>
        <v>0</v>
      </c>
      <c r="J494" s="2014">
        <f t="shared" si="69"/>
        <v>0</v>
      </c>
      <c r="K494" s="1973">
        <f>+K495+K496</f>
        <v>0</v>
      </c>
      <c r="L494" s="1973">
        <f>+L495+L496</f>
        <v>0</v>
      </c>
      <c r="M494" s="1964">
        <f>+M495+M496</f>
        <v>0</v>
      </c>
      <c r="N494" s="1967">
        <f t="shared" si="68"/>
        <v>0</v>
      </c>
    </row>
    <row r="495" spans="1:14">
      <c r="A495" s="1944"/>
      <c r="B495" s="1837" t="s">
        <v>286</v>
      </c>
      <c r="C495" s="1830"/>
      <c r="D495" s="1946">
        <f t="shared" si="67"/>
        <v>0</v>
      </c>
      <c r="E495" s="1973"/>
      <c r="F495" s="1973">
        <v>0</v>
      </c>
      <c r="G495" s="1973">
        <v>0</v>
      </c>
      <c r="H495" s="1964">
        <v>0</v>
      </c>
      <c r="I495" s="1972">
        <v>0</v>
      </c>
      <c r="J495" s="2014">
        <f t="shared" si="69"/>
        <v>0</v>
      </c>
      <c r="K495" s="1947"/>
      <c r="L495" s="1947"/>
      <c r="M495" s="1968"/>
      <c r="N495" s="1967">
        <f t="shared" si="68"/>
        <v>0</v>
      </c>
    </row>
    <row r="496" spans="1:14">
      <c r="A496" s="1944"/>
      <c r="B496" s="1837" t="s">
        <v>287</v>
      </c>
      <c r="C496" s="1830"/>
      <c r="D496" s="1946">
        <f t="shared" si="67"/>
        <v>0</v>
      </c>
      <c r="E496" s="1973"/>
      <c r="F496" s="1973">
        <v>0</v>
      </c>
      <c r="G496" s="1973">
        <v>0</v>
      </c>
      <c r="H496" s="1964">
        <v>0</v>
      </c>
      <c r="I496" s="1972">
        <v>0</v>
      </c>
      <c r="J496" s="2014">
        <f t="shared" si="69"/>
        <v>0</v>
      </c>
      <c r="K496" s="1947"/>
      <c r="L496" s="1947"/>
      <c r="M496" s="1968"/>
      <c r="N496" s="1967">
        <f t="shared" si="68"/>
        <v>0</v>
      </c>
    </row>
    <row r="497" spans="1:14" ht="26.45">
      <c r="A497" s="1951">
        <v>9</v>
      </c>
      <c r="B497" s="1952" t="s">
        <v>288</v>
      </c>
      <c r="C497" s="1840"/>
      <c r="D497" s="1953">
        <f t="shared" si="67"/>
        <v>21284744.431491859</v>
      </c>
      <c r="E497" s="1954">
        <f>SUM(E498:E501)</f>
        <v>0</v>
      </c>
      <c r="F497" s="1954">
        <f>SUM(F498:F501)</f>
        <v>7682581.5359472604</v>
      </c>
      <c r="G497" s="1954">
        <f>SUM(G498:G501)</f>
        <v>1772457.4318670977</v>
      </c>
      <c r="H497" s="1976">
        <f>SUM(H498:H501)</f>
        <v>6205935.0742975008</v>
      </c>
      <c r="I497" s="1977">
        <f>SUM(I498:I501)</f>
        <v>5623770.3893800005</v>
      </c>
      <c r="J497" s="2010">
        <f t="shared" si="69"/>
        <v>13602162.8955446</v>
      </c>
      <c r="K497" s="1954">
        <f>SUM(K498:K501)</f>
        <v>0</v>
      </c>
      <c r="L497" s="1954">
        <f>SUM(L498:L501)</f>
        <v>0</v>
      </c>
      <c r="M497" s="1976">
        <f>SUM(M498:M501)</f>
        <v>0</v>
      </c>
      <c r="N497" s="1979">
        <f t="shared" si="68"/>
        <v>0</v>
      </c>
    </row>
    <row r="498" spans="1:14">
      <c r="A498" s="1950">
        <v>10</v>
      </c>
      <c r="B498" s="1846" t="s">
        <v>289</v>
      </c>
      <c r="C498" s="1830">
        <v>9</v>
      </c>
      <c r="D498" s="1946">
        <f t="shared" si="67"/>
        <v>0</v>
      </c>
      <c r="E498" s="1973"/>
      <c r="F498" s="1973">
        <v>0</v>
      </c>
      <c r="G498" s="1973">
        <v>0</v>
      </c>
      <c r="H498" s="1964">
        <v>0</v>
      </c>
      <c r="I498" s="1972"/>
      <c r="J498" s="2014">
        <v>0</v>
      </c>
      <c r="K498" s="1947"/>
      <c r="L498" s="1947"/>
      <c r="M498" s="1968"/>
      <c r="N498" s="1967">
        <f t="shared" si="68"/>
        <v>0</v>
      </c>
    </row>
    <row r="499" spans="1:14">
      <c r="A499" s="1950">
        <v>11</v>
      </c>
      <c r="B499" s="1846" t="s">
        <v>290</v>
      </c>
      <c r="C499" s="1830">
        <v>10</v>
      </c>
      <c r="D499" s="1946">
        <f t="shared" si="67"/>
        <v>8586590.4058975521</v>
      </c>
      <c r="E499" s="1973"/>
      <c r="F499" s="1973">
        <v>3022961.7790972441</v>
      </c>
      <c r="G499" s="1973">
        <v>21772.341867097923</v>
      </c>
      <c r="H499" s="1964">
        <v>2766647.3100632099</v>
      </c>
      <c r="I499" s="1972">
        <v>2775208.9748700005</v>
      </c>
      <c r="J499" s="2014">
        <v>5563628.626800308</v>
      </c>
      <c r="K499" s="1947"/>
      <c r="L499" s="1947"/>
      <c r="M499" s="1968"/>
      <c r="N499" s="1967">
        <f t="shared" si="68"/>
        <v>0</v>
      </c>
    </row>
    <row r="500" spans="1:14">
      <c r="A500" s="1950">
        <v>12</v>
      </c>
      <c r="B500" s="1846" t="s">
        <v>291</v>
      </c>
      <c r="C500" s="1830">
        <v>11</v>
      </c>
      <c r="D500" s="1946">
        <f t="shared" si="67"/>
        <v>4624323.5021332465</v>
      </c>
      <c r="E500" s="1973"/>
      <c r="F500" s="1973">
        <v>3237453.2845666162</v>
      </c>
      <c r="G500" s="1973">
        <v>0</v>
      </c>
      <c r="H500" s="1964">
        <v>743798.73559663014</v>
      </c>
      <c r="I500" s="1972">
        <v>643071.48196999996</v>
      </c>
      <c r="J500" s="2014">
        <v>1386870.2175666301</v>
      </c>
      <c r="K500" s="1947"/>
      <c r="L500" s="1947"/>
      <c r="M500" s="1968"/>
      <c r="N500" s="1967">
        <f t="shared" si="68"/>
        <v>0</v>
      </c>
    </row>
    <row r="501" spans="1:14" ht="26.45">
      <c r="A501" s="1950">
        <v>13</v>
      </c>
      <c r="B501" s="1846" t="s">
        <v>292</v>
      </c>
      <c r="C501" s="1830">
        <v>12</v>
      </c>
      <c r="D501" s="1946">
        <f t="shared" si="67"/>
        <v>8073830.5234610597</v>
      </c>
      <c r="E501" s="1973"/>
      <c r="F501" s="1973">
        <v>1422166.4722833999</v>
      </c>
      <c r="G501" s="1973">
        <v>1750685.0899999999</v>
      </c>
      <c r="H501" s="1964">
        <v>2695489.0286376602</v>
      </c>
      <c r="I501" s="1972">
        <v>2205489.93254</v>
      </c>
      <c r="J501" s="2014">
        <v>6651664.05117766</v>
      </c>
      <c r="K501" s="1947"/>
      <c r="L501" s="1947"/>
      <c r="M501" s="1968"/>
      <c r="N501" s="1967">
        <f t="shared" si="68"/>
        <v>0</v>
      </c>
    </row>
    <row r="502" spans="1:14">
      <c r="A502" s="1950">
        <v>14</v>
      </c>
      <c r="B502" s="1829" t="s">
        <v>293</v>
      </c>
      <c r="C502" s="1830">
        <v>13</v>
      </c>
      <c r="D502" s="1946">
        <f t="shared" si="67"/>
        <v>229407.16315000001</v>
      </c>
      <c r="E502" s="1973"/>
      <c r="F502" s="1973">
        <v>0</v>
      </c>
      <c r="G502" s="1973">
        <v>6913.9827800000003</v>
      </c>
      <c r="H502" s="1964">
        <v>222493.18037000002</v>
      </c>
      <c r="I502" s="1972"/>
      <c r="J502" s="2014">
        <v>229407.16315000001</v>
      </c>
      <c r="K502" s="1947"/>
      <c r="L502" s="1947"/>
      <c r="M502" s="1968"/>
      <c r="N502" s="1967">
        <f t="shared" si="68"/>
        <v>0</v>
      </c>
    </row>
    <row r="503" spans="1:14">
      <c r="A503" s="1950">
        <v>15</v>
      </c>
      <c r="B503" s="1829" t="s">
        <v>294</v>
      </c>
      <c r="C503" s="1836">
        <v>14</v>
      </c>
      <c r="D503" s="1946">
        <f t="shared" si="67"/>
        <v>55400.273654529999</v>
      </c>
      <c r="E503" s="1973"/>
      <c r="F503" s="1973">
        <v>0</v>
      </c>
      <c r="G503" s="1973">
        <v>1.0000000000000001E-5</v>
      </c>
      <c r="H503" s="1964">
        <v>55400.273644529996</v>
      </c>
      <c r="I503" s="1972"/>
      <c r="J503" s="2014">
        <v>55400.273654529999</v>
      </c>
      <c r="K503" s="1947"/>
      <c r="L503" s="1947"/>
      <c r="M503" s="1968"/>
      <c r="N503" s="1967">
        <f t="shared" si="68"/>
        <v>0</v>
      </c>
    </row>
    <row r="504" spans="1:14">
      <c r="A504" s="1950">
        <v>16</v>
      </c>
      <c r="B504" s="1829" t="s">
        <v>295</v>
      </c>
      <c r="C504" s="1830">
        <v>15</v>
      </c>
      <c r="D504" s="1946">
        <f t="shared" si="67"/>
        <v>152376.55269000001</v>
      </c>
      <c r="E504" s="1973"/>
      <c r="F504" s="1973">
        <v>0</v>
      </c>
      <c r="G504" s="1973">
        <v>951.22500000000002</v>
      </c>
      <c r="H504" s="1964">
        <v>151425.32769000001</v>
      </c>
      <c r="I504" s="1972"/>
      <c r="J504" s="2014">
        <v>152376.55269000001</v>
      </c>
      <c r="K504" s="1947"/>
      <c r="L504" s="1947"/>
      <c r="M504" s="1968"/>
      <c r="N504" s="1967">
        <f t="shared" si="68"/>
        <v>0</v>
      </c>
    </row>
    <row r="505" spans="1:14">
      <c r="A505" s="1950">
        <v>17</v>
      </c>
      <c r="B505" s="1829" t="s">
        <v>296</v>
      </c>
      <c r="C505" s="1836">
        <v>16</v>
      </c>
      <c r="D505" s="1946">
        <f t="shared" si="67"/>
        <v>1090327.0561800001</v>
      </c>
      <c r="E505" s="1973"/>
      <c r="F505" s="1973">
        <v>798203.46850000008</v>
      </c>
      <c r="G505" s="1973">
        <v>-82.98245</v>
      </c>
      <c r="H505" s="1964">
        <v>238393.4058832</v>
      </c>
      <c r="I505" s="1972">
        <v>53813.164246800021</v>
      </c>
      <c r="J505" s="2014">
        <v>292123.58768</v>
      </c>
      <c r="K505" s="1947"/>
      <c r="L505" s="1947"/>
      <c r="M505" s="1968"/>
      <c r="N505" s="1967">
        <f t="shared" si="68"/>
        <v>0</v>
      </c>
    </row>
    <row r="506" spans="1:14">
      <c r="A506" s="1950">
        <v>18</v>
      </c>
      <c r="B506" s="1829" t="s">
        <v>297</v>
      </c>
      <c r="C506" s="1830"/>
      <c r="D506" s="1946">
        <f t="shared" si="67"/>
        <v>0</v>
      </c>
      <c r="E506" s="1973"/>
      <c r="F506" s="1973"/>
      <c r="G506" s="1973"/>
      <c r="H506" s="1964"/>
      <c r="I506" s="1972"/>
      <c r="J506" s="2014">
        <v>0</v>
      </c>
      <c r="K506" s="1947"/>
      <c r="L506" s="1947"/>
      <c r="M506" s="1968"/>
      <c r="N506" s="1967">
        <f t="shared" si="68"/>
        <v>0</v>
      </c>
    </row>
    <row r="507" spans="1:14" ht="15" thickBot="1">
      <c r="A507" s="1957">
        <v>19</v>
      </c>
      <c r="B507" s="1848" t="s">
        <v>298</v>
      </c>
      <c r="C507" s="1847"/>
      <c r="D507" s="3120">
        <f t="shared" si="67"/>
        <v>395719.27728999982</v>
      </c>
      <c r="E507" s="3124"/>
      <c r="F507" s="3124">
        <v>16706.385620000001</v>
      </c>
      <c r="G507" s="3124">
        <v>79367.136749999845</v>
      </c>
      <c r="H507" s="968">
        <v>143829.96236159993</v>
      </c>
      <c r="I507" s="2007">
        <v>155815.79255840005</v>
      </c>
      <c r="J507" s="3126">
        <v>379012.89166999981</v>
      </c>
      <c r="K507" s="3121"/>
      <c r="L507" s="3121"/>
      <c r="M507" s="969"/>
      <c r="N507" s="2019">
        <f t="shared" si="68"/>
        <v>0</v>
      </c>
    </row>
    <row r="508" spans="1:14" ht="27" thickBot="1">
      <c r="A508" s="1235">
        <v>20</v>
      </c>
      <c r="B508" s="1139" t="s">
        <v>299</v>
      </c>
      <c r="C508" s="1138"/>
      <c r="D508" s="1236">
        <f t="shared" si="67"/>
        <v>25476162.287945814</v>
      </c>
      <c r="E508" s="1236">
        <f>SUM(E485:E491)+E494+E497+SUM(E502:E507)</f>
        <v>0</v>
      </c>
      <c r="F508" s="1236">
        <f>SUM(F485:F491)+F494+F497+SUM(F502:F507)</f>
        <v>10575584.893046683</v>
      </c>
      <c r="G508" s="1236">
        <f>SUM(G485:G491)+G494+G497+SUM(G502:G507)</f>
        <v>1859606.7939570977</v>
      </c>
      <c r="H508" s="1264">
        <f>SUM(H485:H491)+H494+H497+SUM(H502:H507)</f>
        <v>7108722.3588916305</v>
      </c>
      <c r="I508" s="1265">
        <f>SUM(I485:I491)+I494+I497+SUM(I502:I507)</f>
        <v>5932248.2420504009</v>
      </c>
      <c r="J508" s="1282">
        <f>G508+H508+I508</f>
        <v>14900577.39489913</v>
      </c>
      <c r="K508" s="1236">
        <f>SUM(K485:K491)+K494+K497+SUM(K502:K507)</f>
        <v>0</v>
      </c>
      <c r="L508" s="1236">
        <f>SUM(L485:L491)+L494+L497+SUM(L502:L507)</f>
        <v>0</v>
      </c>
      <c r="M508" s="1264">
        <f>SUM(M485:M491)+M494+M497+SUM(M502:M507)</f>
        <v>0</v>
      </c>
      <c r="N508" s="1237">
        <f t="shared" si="68"/>
        <v>0</v>
      </c>
    </row>
    <row r="509" spans="1:14">
      <c r="A509" s="1227"/>
      <c r="B509" s="1225" t="s">
        <v>300</v>
      </c>
      <c r="C509" s="1133"/>
      <c r="D509" s="1230">
        <f t="shared" si="67"/>
        <v>0</v>
      </c>
      <c r="E509" s="677"/>
      <c r="F509" s="677"/>
      <c r="G509" s="674"/>
      <c r="H509" s="675"/>
      <c r="I509" s="678"/>
      <c r="J509" s="1245"/>
      <c r="K509" s="914"/>
      <c r="L509" s="914"/>
      <c r="M509" s="967"/>
      <c r="N509" s="1231">
        <f t="shared" si="68"/>
        <v>0</v>
      </c>
    </row>
    <row r="510" spans="1:14">
      <c r="A510" s="1950"/>
      <c r="B510" s="1959" t="s">
        <v>301</v>
      </c>
      <c r="C510" s="1830"/>
      <c r="D510" s="1946">
        <f t="shared" si="67"/>
        <v>0</v>
      </c>
      <c r="E510" s="1973"/>
      <c r="F510" s="1973"/>
      <c r="G510" s="1970"/>
      <c r="H510" s="1966"/>
      <c r="I510" s="1972"/>
      <c r="J510" s="2014"/>
      <c r="K510" s="1947"/>
      <c r="L510" s="1947"/>
      <c r="M510" s="1968"/>
      <c r="N510" s="1967">
        <f t="shared" si="68"/>
        <v>0</v>
      </c>
    </row>
    <row r="511" spans="1:14">
      <c r="A511" s="1950">
        <v>21</v>
      </c>
      <c r="B511" s="1829" t="s">
        <v>302</v>
      </c>
      <c r="C511" s="1836">
        <v>17</v>
      </c>
      <c r="D511" s="1946">
        <f t="shared" si="67"/>
        <v>13427171.655649995</v>
      </c>
      <c r="E511" s="1973"/>
      <c r="F511" s="1973">
        <v>0</v>
      </c>
      <c r="G511" s="1973">
        <v>1620454.2809614944</v>
      </c>
      <c r="H511" s="1964">
        <v>6823580.7266368605</v>
      </c>
      <c r="I511" s="1972">
        <v>4983136.64805164</v>
      </c>
      <c r="J511" s="2014">
        <v>13427171.655649995</v>
      </c>
      <c r="K511" s="1947"/>
      <c r="L511" s="1947"/>
      <c r="M511" s="1968"/>
      <c r="N511" s="1967">
        <f t="shared" si="68"/>
        <v>0</v>
      </c>
    </row>
    <row r="512" spans="1:14">
      <c r="A512" s="1950">
        <v>22</v>
      </c>
      <c r="B512" s="1829" t="s">
        <v>303</v>
      </c>
      <c r="C512" s="1830"/>
      <c r="D512" s="1946">
        <f t="shared" si="67"/>
        <v>89379.370180000013</v>
      </c>
      <c r="E512" s="1973"/>
      <c r="F512" s="1973">
        <v>0</v>
      </c>
      <c r="G512" s="1973">
        <v>0</v>
      </c>
      <c r="H512" s="1964">
        <v>89379.370180000013</v>
      </c>
      <c r="I512" s="1972"/>
      <c r="J512" s="2014">
        <v>89379.370180000013</v>
      </c>
      <c r="K512" s="1947"/>
      <c r="L512" s="1947"/>
      <c r="M512" s="1968"/>
      <c r="N512" s="1967">
        <f t="shared" si="68"/>
        <v>0</v>
      </c>
    </row>
    <row r="513" spans="1:14">
      <c r="A513" s="1950">
        <v>23</v>
      </c>
      <c r="B513" s="1829" t="s">
        <v>304</v>
      </c>
      <c r="C513" s="1830">
        <v>18</v>
      </c>
      <c r="D513" s="1946">
        <f t="shared" si="67"/>
        <v>103032.28522999999</v>
      </c>
      <c r="E513" s="1973"/>
      <c r="F513" s="1973">
        <v>0</v>
      </c>
      <c r="G513" s="1973">
        <v>1751.9139</v>
      </c>
      <c r="H513" s="1964">
        <v>101280.37132999999</v>
      </c>
      <c r="I513" s="1972"/>
      <c r="J513" s="2014">
        <v>103032.28522999999</v>
      </c>
      <c r="K513" s="1947"/>
      <c r="L513" s="1947"/>
      <c r="M513" s="1968"/>
      <c r="N513" s="1967">
        <f t="shared" si="68"/>
        <v>0</v>
      </c>
    </row>
    <row r="514" spans="1:14">
      <c r="A514" s="1950">
        <v>24</v>
      </c>
      <c r="B514" s="1829" t="s">
        <v>305</v>
      </c>
      <c r="C514" s="1830"/>
      <c r="D514" s="1946">
        <f t="shared" si="67"/>
        <v>0</v>
      </c>
      <c r="E514" s="1973"/>
      <c r="F514" s="1973"/>
      <c r="G514" s="1973"/>
      <c r="H514" s="1964"/>
      <c r="I514" s="1972"/>
      <c r="J514" s="2014">
        <v>0</v>
      </c>
      <c r="K514" s="1947"/>
      <c r="L514" s="1947"/>
      <c r="M514" s="1968"/>
      <c r="N514" s="1967">
        <f t="shared" si="68"/>
        <v>0</v>
      </c>
    </row>
    <row r="515" spans="1:14">
      <c r="A515" s="1950">
        <v>25</v>
      </c>
      <c r="B515" s="1851" t="s">
        <v>306</v>
      </c>
      <c r="C515" s="1830"/>
      <c r="D515" s="1946">
        <f t="shared" si="67"/>
        <v>95951.790459999887</v>
      </c>
      <c r="E515" s="1973"/>
      <c r="F515" s="1973">
        <v>1557.2638300000001</v>
      </c>
      <c r="G515" s="1973">
        <v>94394.526629999891</v>
      </c>
      <c r="H515" s="1964">
        <v>0</v>
      </c>
      <c r="I515" s="1972"/>
      <c r="J515" s="2014">
        <v>94394.526629999891</v>
      </c>
      <c r="K515" s="1947"/>
      <c r="L515" s="1947"/>
      <c r="M515" s="1968"/>
      <c r="N515" s="1967">
        <f t="shared" si="68"/>
        <v>0</v>
      </c>
    </row>
    <row r="516" spans="1:14" ht="15" thickBot="1">
      <c r="A516" s="1957">
        <v>26</v>
      </c>
      <c r="B516" s="1848" t="s">
        <v>307</v>
      </c>
      <c r="C516" s="1852">
        <v>19</v>
      </c>
      <c r="D516" s="3120">
        <f t="shared" si="67"/>
        <v>1315695.9275245534</v>
      </c>
      <c r="E516" s="3124"/>
      <c r="F516" s="3124">
        <v>88613.173439999548</v>
      </c>
      <c r="G516" s="3124">
        <v>143006.07246560371</v>
      </c>
      <c r="H516" s="968">
        <v>134965.08762018778</v>
      </c>
      <c r="I516" s="2007">
        <v>949111.59399876231</v>
      </c>
      <c r="J516" s="3126">
        <v>1227082.7540845538</v>
      </c>
      <c r="K516" s="3121"/>
      <c r="L516" s="3121"/>
      <c r="M516" s="969"/>
      <c r="N516" s="2019">
        <f t="shared" si="68"/>
        <v>0</v>
      </c>
    </row>
    <row r="517" spans="1:14" ht="27" thickBot="1">
      <c r="A517" s="1226">
        <v>27</v>
      </c>
      <c r="B517" s="1136" t="s">
        <v>308</v>
      </c>
      <c r="C517" s="1135"/>
      <c r="D517" s="1241">
        <f t="shared" si="67"/>
        <v>15031231.029044546</v>
      </c>
      <c r="E517" s="934">
        <f>SUM(E511:E516)</f>
        <v>0</v>
      </c>
      <c r="F517" s="934">
        <f>SUM(F511:F516)</f>
        <v>90170.437269999544</v>
      </c>
      <c r="G517" s="934">
        <f>SUM(G511:G516)</f>
        <v>1859606.7939570982</v>
      </c>
      <c r="H517" s="946">
        <f>SUM(H511:H516)</f>
        <v>7149205.5557670482</v>
      </c>
      <c r="I517" s="938">
        <f>SUM(I511:I516)</f>
        <v>5932248.2420504019</v>
      </c>
      <c r="J517" s="1244">
        <f>G517+H517+I517</f>
        <v>14941060.591774547</v>
      </c>
      <c r="K517" s="934">
        <f>SUM(K511:K516)</f>
        <v>0</v>
      </c>
      <c r="L517" s="934">
        <f>SUM(L511:L516)</f>
        <v>0</v>
      </c>
      <c r="M517" s="946">
        <f>SUM(M511:M516)</f>
        <v>0</v>
      </c>
      <c r="N517" s="1261">
        <f t="shared" si="68"/>
        <v>0</v>
      </c>
    </row>
    <row r="518" spans="1:14">
      <c r="A518" s="1227"/>
      <c r="B518" s="1225" t="s">
        <v>309</v>
      </c>
      <c r="C518" s="1133">
        <v>20</v>
      </c>
      <c r="D518" s="1230">
        <f t="shared" si="67"/>
        <v>0</v>
      </c>
      <c r="E518" s="677"/>
      <c r="F518" s="677"/>
      <c r="G518" s="674"/>
      <c r="H518" s="675"/>
      <c r="I518" s="678"/>
      <c r="J518" s="1245"/>
      <c r="K518" s="914"/>
      <c r="L518" s="914"/>
      <c r="M518" s="967"/>
      <c r="N518" s="1231">
        <f t="shared" si="68"/>
        <v>0</v>
      </c>
    </row>
    <row r="519" spans="1:14">
      <c r="A519" s="1950">
        <v>28</v>
      </c>
      <c r="B519" s="1945" t="s">
        <v>310</v>
      </c>
      <c r="C519" s="1836"/>
      <c r="D519" s="1946">
        <f t="shared" si="67"/>
        <v>4753751.6210000003</v>
      </c>
      <c r="E519" s="1973"/>
      <c r="F519" s="1973">
        <v>4753751.6210000003</v>
      </c>
      <c r="G519" s="1973"/>
      <c r="H519" s="1964"/>
      <c r="I519" s="1972"/>
      <c r="J519" s="2014">
        <v>0</v>
      </c>
      <c r="K519" s="1947"/>
      <c r="L519" s="1947"/>
      <c r="M519" s="1968"/>
      <c r="N519" s="1967">
        <f t="shared" si="68"/>
        <v>0</v>
      </c>
    </row>
    <row r="520" spans="1:14">
      <c r="A520" s="1950">
        <v>29</v>
      </c>
      <c r="B520" s="1945" t="s">
        <v>311</v>
      </c>
      <c r="C520" s="1836"/>
      <c r="D520" s="1946">
        <f t="shared" si="67"/>
        <v>-142292.41514</v>
      </c>
      <c r="E520" s="1973"/>
      <c r="F520" s="1973">
        <v>-101809.44157</v>
      </c>
      <c r="G520" s="1973"/>
      <c r="H520" s="1964">
        <v>-40482.973570000002</v>
      </c>
      <c r="I520" s="1972"/>
      <c r="J520" s="2014">
        <v>-40482.973570000002</v>
      </c>
      <c r="K520" s="1947"/>
      <c r="L520" s="1947"/>
      <c r="M520" s="1968"/>
      <c r="N520" s="1967">
        <f t="shared" si="68"/>
        <v>0</v>
      </c>
    </row>
    <row r="521" spans="1:14">
      <c r="A521" s="1950">
        <v>30</v>
      </c>
      <c r="B521" s="1960" t="s">
        <v>312</v>
      </c>
      <c r="C521" s="1852"/>
      <c r="D521" s="1946">
        <f t="shared" si="67"/>
        <v>0</v>
      </c>
      <c r="E521" s="1973"/>
      <c r="F521" s="1973"/>
      <c r="G521" s="1973"/>
      <c r="H521" s="1964"/>
      <c r="I521" s="1972"/>
      <c r="J521" s="2014">
        <v>0</v>
      </c>
      <c r="K521" s="1947"/>
      <c r="L521" s="1947"/>
      <c r="M521" s="1968"/>
      <c r="N521" s="1967">
        <f t="shared" si="68"/>
        <v>0</v>
      </c>
    </row>
    <row r="522" spans="1:14">
      <c r="A522" s="1950">
        <v>31</v>
      </c>
      <c r="B522" s="1945" t="s">
        <v>313</v>
      </c>
      <c r="C522" s="1836"/>
      <c r="D522" s="1946">
        <f t="shared" si="67"/>
        <v>1795828.6910000001</v>
      </c>
      <c r="E522" s="1973"/>
      <c r="F522" s="1973">
        <v>1795828.6910000001</v>
      </c>
      <c r="G522" s="1973"/>
      <c r="H522" s="1964"/>
      <c r="I522" s="1972"/>
      <c r="J522" s="2014">
        <v>0</v>
      </c>
      <c r="K522" s="1947"/>
      <c r="L522" s="1947"/>
      <c r="M522" s="1968"/>
      <c r="N522" s="1967">
        <f t="shared" si="68"/>
        <v>0</v>
      </c>
    </row>
    <row r="523" spans="1:14" ht="15" thickBot="1">
      <c r="A523" s="1957">
        <v>32</v>
      </c>
      <c r="B523" s="1960" t="s">
        <v>314</v>
      </c>
      <c r="C523" s="1852"/>
      <c r="D523" s="1946">
        <f t="shared" si="67"/>
        <v>4037643.5841899998</v>
      </c>
      <c r="E523" s="1973"/>
      <c r="F523" s="1973">
        <v>4037643.5841899998</v>
      </c>
      <c r="G523" s="1973"/>
      <c r="H523" s="1964"/>
      <c r="I523" s="681"/>
      <c r="J523" s="2014">
        <v>0</v>
      </c>
      <c r="K523" s="1947"/>
      <c r="L523" s="1947"/>
      <c r="M523" s="1968"/>
      <c r="N523" s="1967">
        <f t="shared" si="68"/>
        <v>0</v>
      </c>
    </row>
    <row r="524" spans="1:14" ht="15" thickBot="1">
      <c r="A524" s="1226">
        <v>33</v>
      </c>
      <c r="B524" s="1169" t="s">
        <v>315</v>
      </c>
      <c r="C524" s="1208"/>
      <c r="D524" s="1310">
        <f t="shared" si="67"/>
        <v>10444931.48105</v>
      </c>
      <c r="E524" s="959">
        <f>SUM(E519:E523)</f>
        <v>0</v>
      </c>
      <c r="F524" s="959">
        <f>SUM(F519:F523)</f>
        <v>10485414.45462</v>
      </c>
      <c r="G524" s="959">
        <f>SUM(G519:G523)</f>
        <v>0</v>
      </c>
      <c r="H524" s="959">
        <f>SUM(H519:H523)</f>
        <v>-40482.973570000002</v>
      </c>
      <c r="I524" s="979">
        <f>SUM(I519:I523)</f>
        <v>0</v>
      </c>
      <c r="J524" s="1321">
        <f>G524+H524+I524</f>
        <v>-40482.973570000002</v>
      </c>
      <c r="K524" s="959">
        <f>SUM(K519:K523)</f>
        <v>0</v>
      </c>
      <c r="L524" s="959">
        <f>SUM(L519:L523)</f>
        <v>0</v>
      </c>
      <c r="M524" s="960">
        <f>SUM(M519:M523)</f>
        <v>0</v>
      </c>
      <c r="N524" s="1320">
        <f t="shared" si="68"/>
        <v>0</v>
      </c>
    </row>
    <row r="525" spans="1:14" ht="27" thickBot="1">
      <c r="A525" s="1235">
        <v>34</v>
      </c>
      <c r="B525" s="1139" t="s">
        <v>317</v>
      </c>
      <c r="C525" s="1138"/>
      <c r="D525" s="1268">
        <f t="shared" si="67"/>
        <v>25476162.510094546</v>
      </c>
      <c r="E525" s="1268">
        <f>E524+E517</f>
        <v>0</v>
      </c>
      <c r="F525" s="1268">
        <f>F524+F517</f>
        <v>10575584.891889999</v>
      </c>
      <c r="G525" s="1268">
        <f>G524+G517</f>
        <v>1859606.7939570982</v>
      </c>
      <c r="H525" s="1268">
        <f>H524+H517</f>
        <v>7108722.5821970478</v>
      </c>
      <c r="I525" s="1268">
        <f>I524+I517</f>
        <v>5932248.2420504019</v>
      </c>
      <c r="J525" s="1277">
        <f>G525+H525+I525</f>
        <v>14900577.618204547</v>
      </c>
      <c r="K525" s="1268">
        <f>K524+K517</f>
        <v>0</v>
      </c>
      <c r="L525" s="1268">
        <f>L524+L517</f>
        <v>0</v>
      </c>
      <c r="M525" s="1269">
        <f>M524+M517</f>
        <v>0</v>
      </c>
      <c r="N525" s="1271">
        <f t="shared" si="68"/>
        <v>0</v>
      </c>
    </row>
    <row r="526" spans="1:14">
      <c r="B526"/>
      <c r="C526"/>
      <c r="D526"/>
      <c r="E526"/>
      <c r="F526"/>
      <c r="G526"/>
      <c r="H526"/>
      <c r="I526"/>
      <c r="J526"/>
      <c r="K526"/>
      <c r="L526"/>
      <c r="M526"/>
      <c r="N526"/>
    </row>
    <row r="527" spans="1:14">
      <c r="B527"/>
      <c r="C527"/>
      <c r="D527"/>
      <c r="E527"/>
      <c r="F527"/>
      <c r="G527"/>
      <c r="H527"/>
      <c r="I527"/>
      <c r="J527"/>
      <c r="K527"/>
      <c r="L527"/>
      <c r="M527"/>
      <c r="N527"/>
    </row>
    <row r="528" spans="1:14">
      <c r="B528"/>
      <c r="C528"/>
      <c r="D528"/>
      <c r="E528"/>
      <c r="F528"/>
      <c r="G528"/>
      <c r="H528"/>
      <c r="I528"/>
      <c r="J528"/>
      <c r="K528"/>
      <c r="L528"/>
      <c r="M528"/>
      <c r="N528"/>
    </row>
    <row r="529" spans="1:14">
      <c r="B529"/>
      <c r="C529"/>
      <c r="D529"/>
      <c r="E529"/>
      <c r="F529"/>
      <c r="G529"/>
      <c r="H529"/>
      <c r="I529"/>
      <c r="J529"/>
      <c r="K529"/>
      <c r="L529"/>
      <c r="M529"/>
      <c r="N529"/>
    </row>
    <row r="530" spans="1:14" ht="15" thickBot="1"/>
    <row r="531" spans="1:14" ht="15" thickBot="1">
      <c r="A531" s="1153" t="s">
        <v>326</v>
      </c>
      <c r="B531" s="3303" t="s">
        <v>327</v>
      </c>
      <c r="C531" s="3304"/>
      <c r="D531" s="662"/>
      <c r="E531" s="662"/>
      <c r="F531" s="662"/>
      <c r="G531" s="662"/>
      <c r="H531" s="662"/>
      <c r="I531" s="662"/>
      <c r="J531" s="662"/>
      <c r="K531" s="662"/>
      <c r="L531" s="662"/>
      <c r="M531" s="3292"/>
      <c r="N531" s="3292" t="s">
        <v>257</v>
      </c>
    </row>
    <row r="532" spans="1:14" ht="13.5" customHeight="1" thickBot="1">
      <c r="A532" s="3311" t="s">
        <v>258</v>
      </c>
      <c r="B532" s="1212"/>
      <c r="C532" s="3280" t="s">
        <v>259</v>
      </c>
      <c r="D532" s="3314" t="s">
        <v>260</v>
      </c>
      <c r="E532" s="3314" t="s">
        <v>261</v>
      </c>
      <c r="F532" s="3314" t="s">
        <v>262</v>
      </c>
      <c r="G532" s="3324" t="s">
        <v>263</v>
      </c>
      <c r="H532" s="3325"/>
      <c r="I532" s="3325"/>
      <c r="J532" s="3325"/>
      <c r="K532" s="3325"/>
      <c r="L532" s="3325"/>
      <c r="M532" s="3325"/>
      <c r="N532" s="3326"/>
    </row>
    <row r="533" spans="1:14" ht="13.5" customHeight="1" thickBot="1">
      <c r="A533" s="3312"/>
      <c r="B533" s="1213"/>
      <c r="C533" s="3281"/>
      <c r="D533" s="3315"/>
      <c r="E533" s="3315"/>
      <c r="F533" s="3315"/>
      <c r="G533" s="3289" t="s">
        <v>264</v>
      </c>
      <c r="H533" s="3290"/>
      <c r="I533" s="3290"/>
      <c r="J533" s="3291"/>
      <c r="K533" s="3318" t="s">
        <v>265</v>
      </c>
      <c r="L533" s="3319"/>
      <c r="M533" s="3319"/>
      <c r="N533" s="3320"/>
    </row>
    <row r="534" spans="1:14" ht="40.15" thickBot="1">
      <c r="A534" s="3312"/>
      <c r="B534" s="1214"/>
      <c r="C534" s="3281"/>
      <c r="D534" s="3316"/>
      <c r="E534" s="3316"/>
      <c r="F534" s="3316"/>
      <c r="G534" s="1125" t="s">
        <v>267</v>
      </c>
      <c r="H534" s="1125" t="s">
        <v>268</v>
      </c>
      <c r="I534" s="1125" t="s">
        <v>269</v>
      </c>
      <c r="J534" s="1125" t="s">
        <v>160</v>
      </c>
      <c r="K534" s="1126" t="s">
        <v>270</v>
      </c>
      <c r="L534" s="1126" t="s">
        <v>271</v>
      </c>
      <c r="M534" s="1126" t="s">
        <v>272</v>
      </c>
      <c r="N534" s="2969" t="s">
        <v>160</v>
      </c>
    </row>
    <row r="535" spans="1:14" ht="15" thickBot="1">
      <c r="A535" s="3312"/>
      <c r="B535" s="1213"/>
      <c r="C535" s="3281"/>
      <c r="D535" s="1215">
        <v>1</v>
      </c>
      <c r="E535" s="1216">
        <v>2</v>
      </c>
      <c r="F535" s="1216">
        <v>3</v>
      </c>
      <c r="G535" s="1217">
        <v>4</v>
      </c>
      <c r="H535" s="1216">
        <v>5</v>
      </c>
      <c r="I535" s="1218">
        <v>6</v>
      </c>
      <c r="J535" s="2971">
        <v>7</v>
      </c>
      <c r="K535" s="1217">
        <v>8</v>
      </c>
      <c r="L535" s="1216">
        <v>9</v>
      </c>
      <c r="M535" s="1238">
        <v>10</v>
      </c>
      <c r="N535" s="1215">
        <v>11</v>
      </c>
    </row>
    <row r="536" spans="1:14" ht="15" thickBot="1">
      <c r="A536" s="3313"/>
      <c r="B536" s="1219"/>
      <c r="C536" s="3282"/>
      <c r="D536" s="1220"/>
      <c r="E536" s="1220"/>
      <c r="F536" s="1220"/>
      <c r="G536" s="1221"/>
      <c r="H536" s="1220"/>
      <c r="I536" s="1222"/>
      <c r="J536" s="1222" t="s">
        <v>273</v>
      </c>
      <c r="K536" s="1221"/>
      <c r="L536" s="1220"/>
      <c r="M536" s="1667"/>
      <c r="N536" s="1293" t="s">
        <v>274</v>
      </c>
    </row>
    <row r="537" spans="1:14">
      <c r="A537" s="1227"/>
      <c r="B537" s="1225" t="s">
        <v>275</v>
      </c>
      <c r="C537" s="1133"/>
      <c r="D537" s="1827"/>
      <c r="E537" s="910"/>
      <c r="F537" s="910"/>
      <c r="G537" s="911"/>
      <c r="H537" s="912"/>
      <c r="I537" s="912"/>
      <c r="J537" s="1256"/>
      <c r="K537" s="914"/>
      <c r="L537" s="912"/>
      <c r="M537" s="915"/>
      <c r="N537" s="2061"/>
    </row>
    <row r="538" spans="1:14">
      <c r="A538" s="1944">
        <v>1</v>
      </c>
      <c r="B538" s="1945" t="s">
        <v>276</v>
      </c>
      <c r="C538" s="1830"/>
      <c r="D538" s="1946">
        <f t="shared" ref="D538:D552" si="70">+E538+F538+J538+N538</f>
        <v>0</v>
      </c>
      <c r="E538" s="1947"/>
      <c r="F538" s="1947"/>
      <c r="G538" s="1947"/>
      <c r="H538" s="1947"/>
      <c r="I538" s="1947"/>
      <c r="J538" s="2014">
        <f t="shared" ref="J538:J578" si="71">G538+H538+I538</f>
        <v>0</v>
      </c>
      <c r="K538" s="1947"/>
      <c r="L538" s="1947"/>
      <c r="M538" s="1947"/>
      <c r="N538" s="1948">
        <f t="shared" ref="N538:N578" si="72">K538+L538+M538</f>
        <v>0</v>
      </c>
    </row>
    <row r="539" spans="1:14">
      <c r="A539" s="1944">
        <v>2</v>
      </c>
      <c r="B539" s="1945" t="s">
        <v>277</v>
      </c>
      <c r="C539" s="1830"/>
      <c r="D539" s="1946">
        <f t="shared" si="70"/>
        <v>0</v>
      </c>
      <c r="E539" s="1947"/>
      <c r="F539" s="1947"/>
      <c r="G539" s="1947"/>
      <c r="H539" s="1947"/>
      <c r="I539" s="1947"/>
      <c r="J539" s="2014">
        <f t="shared" si="71"/>
        <v>0</v>
      </c>
      <c r="K539" s="1947"/>
      <c r="L539" s="1947"/>
      <c r="M539" s="1947"/>
      <c r="N539" s="1948">
        <f t="shared" si="72"/>
        <v>0</v>
      </c>
    </row>
    <row r="540" spans="1:14">
      <c r="A540" s="1944">
        <v>3</v>
      </c>
      <c r="B540" s="1945" t="s">
        <v>278</v>
      </c>
      <c r="C540" s="1830"/>
      <c r="D540" s="1946">
        <f t="shared" si="70"/>
        <v>0</v>
      </c>
      <c r="E540" s="1947"/>
      <c r="F540" s="1947">
        <v>0</v>
      </c>
      <c r="G540" s="1947">
        <v>0</v>
      </c>
      <c r="H540" s="1947"/>
      <c r="I540" s="1947"/>
      <c r="J540" s="2014">
        <f t="shared" si="71"/>
        <v>0</v>
      </c>
      <c r="K540" s="1947"/>
      <c r="L540" s="1947"/>
      <c r="M540" s="1947"/>
      <c r="N540" s="1948">
        <f t="shared" si="72"/>
        <v>0</v>
      </c>
    </row>
    <row r="541" spans="1:14">
      <c r="A541" s="1944">
        <v>4</v>
      </c>
      <c r="B541" s="1945" t="s">
        <v>324</v>
      </c>
      <c r="C541" s="1830"/>
      <c r="D541" s="1946">
        <f t="shared" si="70"/>
        <v>0</v>
      </c>
      <c r="E541" s="1947"/>
      <c r="F541" s="1947"/>
      <c r="G541" s="1947"/>
      <c r="H541" s="1947"/>
      <c r="I541" s="1947"/>
      <c r="J541" s="2014">
        <f t="shared" si="71"/>
        <v>0</v>
      </c>
      <c r="K541" s="1947"/>
      <c r="L541" s="1947"/>
      <c r="M541" s="1947"/>
      <c r="N541" s="1948">
        <f t="shared" si="72"/>
        <v>0</v>
      </c>
    </row>
    <row r="542" spans="1:14">
      <c r="A542" s="1944">
        <v>5</v>
      </c>
      <c r="B542" s="1945" t="s">
        <v>280</v>
      </c>
      <c r="C542" s="1836">
        <v>5</v>
      </c>
      <c r="D542" s="1946">
        <f t="shared" si="70"/>
        <v>0</v>
      </c>
      <c r="E542" s="1947"/>
      <c r="F542" s="1947"/>
      <c r="G542" s="1947"/>
      <c r="H542" s="1947"/>
      <c r="I542" s="1947"/>
      <c r="J542" s="2014">
        <f t="shared" si="71"/>
        <v>0</v>
      </c>
      <c r="K542" s="1947"/>
      <c r="L542" s="1947"/>
      <c r="M542" s="1947"/>
      <c r="N542" s="1948">
        <f t="shared" si="72"/>
        <v>0</v>
      </c>
    </row>
    <row r="543" spans="1:14">
      <c r="A543" s="1944">
        <v>6</v>
      </c>
      <c r="B543" s="1945" t="s">
        <v>281</v>
      </c>
      <c r="C543" s="1830">
        <v>6</v>
      </c>
      <c r="D543" s="1946">
        <f t="shared" si="70"/>
        <v>0</v>
      </c>
      <c r="E543" s="1947"/>
      <c r="F543" s="1947"/>
      <c r="G543" s="1947"/>
      <c r="H543" s="1947"/>
      <c r="I543" s="1947"/>
      <c r="J543" s="2014">
        <f t="shared" si="71"/>
        <v>0</v>
      </c>
      <c r="K543" s="1947"/>
      <c r="L543" s="1947"/>
      <c r="M543" s="1947"/>
      <c r="N543" s="1948">
        <f t="shared" si="72"/>
        <v>0</v>
      </c>
    </row>
    <row r="544" spans="1:14">
      <c r="A544" s="1944">
        <v>7</v>
      </c>
      <c r="B544" s="1945" t="s">
        <v>282</v>
      </c>
      <c r="C544" s="1836">
        <v>7</v>
      </c>
      <c r="D544" s="1946">
        <f t="shared" si="70"/>
        <v>0</v>
      </c>
      <c r="E544" s="1947"/>
      <c r="F544" s="1947">
        <f>F545+F546</f>
        <v>0</v>
      </c>
      <c r="G544" s="1947">
        <f>G545+G546</f>
        <v>0</v>
      </c>
      <c r="H544" s="1947">
        <f>H545+H546</f>
        <v>0</v>
      </c>
      <c r="I544" s="1947">
        <f>I545+I546</f>
        <v>0</v>
      </c>
      <c r="J544" s="2014">
        <f t="shared" si="71"/>
        <v>0</v>
      </c>
      <c r="K544" s="1947">
        <f>K545+K546</f>
        <v>0</v>
      </c>
      <c r="L544" s="1947">
        <f>L545+L546</f>
        <v>0</v>
      </c>
      <c r="M544" s="1947">
        <f>M545+M546</f>
        <v>0</v>
      </c>
      <c r="N544" s="1948">
        <f t="shared" si="72"/>
        <v>0</v>
      </c>
    </row>
    <row r="545" spans="1:14">
      <c r="A545" s="1950"/>
      <c r="B545" s="1837" t="s">
        <v>283</v>
      </c>
      <c r="C545" s="1836"/>
      <c r="D545" s="1946">
        <f t="shared" si="70"/>
        <v>0</v>
      </c>
      <c r="E545" s="1947"/>
      <c r="F545" s="1947"/>
      <c r="G545" s="1947"/>
      <c r="H545" s="1947"/>
      <c r="I545" s="1947"/>
      <c r="J545" s="2014">
        <f t="shared" si="71"/>
        <v>0</v>
      </c>
      <c r="K545" s="1947"/>
      <c r="L545" s="1947"/>
      <c r="M545" s="1947"/>
      <c r="N545" s="1948">
        <f t="shared" si="72"/>
        <v>0</v>
      </c>
    </row>
    <row r="546" spans="1:14">
      <c r="A546" s="1950"/>
      <c r="B546" s="1837" t="s">
        <v>284</v>
      </c>
      <c r="C546" s="1836"/>
      <c r="D546" s="1946">
        <f t="shared" si="70"/>
        <v>0</v>
      </c>
      <c r="E546" s="1947"/>
      <c r="F546" s="1947"/>
      <c r="G546" s="1947"/>
      <c r="H546" s="1947"/>
      <c r="I546" s="1947"/>
      <c r="J546" s="2014">
        <f t="shared" si="71"/>
        <v>0</v>
      </c>
      <c r="K546" s="1947"/>
      <c r="L546" s="1947"/>
      <c r="M546" s="1947"/>
      <c r="N546" s="1948">
        <f t="shared" si="72"/>
        <v>0</v>
      </c>
    </row>
    <row r="547" spans="1:14">
      <c r="A547" s="1944">
        <v>8</v>
      </c>
      <c r="B547" s="1945" t="s">
        <v>285</v>
      </c>
      <c r="C547" s="1830">
        <v>8</v>
      </c>
      <c r="D547" s="1946">
        <f t="shared" si="70"/>
        <v>0</v>
      </c>
      <c r="E547" s="1947"/>
      <c r="F547" s="1947">
        <f>F548+F549</f>
        <v>0</v>
      </c>
      <c r="G547" s="1947">
        <f>G548+G549</f>
        <v>0</v>
      </c>
      <c r="H547" s="1947">
        <f>H548+H549</f>
        <v>0</v>
      </c>
      <c r="I547" s="1947">
        <f>I548+I549</f>
        <v>0</v>
      </c>
      <c r="J547" s="2014">
        <f t="shared" si="71"/>
        <v>0</v>
      </c>
      <c r="K547" s="1947">
        <f>K548+K549</f>
        <v>0</v>
      </c>
      <c r="L547" s="1947">
        <f>L548+L549</f>
        <v>0</v>
      </c>
      <c r="M547" s="1947">
        <f>M548+M549</f>
        <v>0</v>
      </c>
      <c r="N547" s="1948">
        <f t="shared" si="72"/>
        <v>0</v>
      </c>
    </row>
    <row r="548" spans="1:14">
      <c r="A548" s="1944"/>
      <c r="B548" s="1837" t="s">
        <v>286</v>
      </c>
      <c r="C548" s="1830"/>
      <c r="D548" s="1946">
        <f t="shared" si="70"/>
        <v>0</v>
      </c>
      <c r="E548" s="1947"/>
      <c r="F548" s="1947"/>
      <c r="G548" s="1947"/>
      <c r="H548" s="1947"/>
      <c r="I548" s="1947"/>
      <c r="J548" s="2014">
        <f t="shared" si="71"/>
        <v>0</v>
      </c>
      <c r="K548" s="1947"/>
      <c r="L548" s="1947"/>
      <c r="M548" s="1947"/>
      <c r="N548" s="1948">
        <f t="shared" si="72"/>
        <v>0</v>
      </c>
    </row>
    <row r="549" spans="1:14">
      <c r="A549" s="1944"/>
      <c r="B549" s="1837" t="s">
        <v>287</v>
      </c>
      <c r="C549" s="1830"/>
      <c r="D549" s="1946">
        <f t="shared" si="70"/>
        <v>0</v>
      </c>
      <c r="E549" s="1947"/>
      <c r="F549" s="1947"/>
      <c r="G549" s="1947"/>
      <c r="H549" s="1947"/>
      <c r="I549" s="1947"/>
      <c r="J549" s="2014">
        <f t="shared" si="71"/>
        <v>0</v>
      </c>
      <c r="K549" s="1947"/>
      <c r="L549" s="1947"/>
      <c r="M549" s="1947"/>
      <c r="N549" s="1948">
        <f t="shared" si="72"/>
        <v>0</v>
      </c>
    </row>
    <row r="550" spans="1:14" ht="26.45">
      <c r="A550" s="1951">
        <v>9</v>
      </c>
      <c r="B550" s="1952" t="s">
        <v>288</v>
      </c>
      <c r="C550" s="1840"/>
      <c r="D550" s="1953">
        <f t="shared" si="70"/>
        <v>260352.09079994587</v>
      </c>
      <c r="E550" s="1954">
        <f>SUM(E551:E554)</f>
        <v>0</v>
      </c>
      <c r="F550" s="1954">
        <f>SUM(F551:F554)</f>
        <v>100000</v>
      </c>
      <c r="G550" s="1954">
        <f>SUM(G551:G554)</f>
        <v>32649.533157539547</v>
      </c>
      <c r="H550" s="1954">
        <f>SUM(H551:H554)</f>
        <v>127702.55764240632</v>
      </c>
      <c r="I550" s="1954">
        <f>SUM(I551:I554)</f>
        <v>0</v>
      </c>
      <c r="J550" s="2010">
        <f t="shared" si="71"/>
        <v>160352.09079994587</v>
      </c>
      <c r="K550" s="1954">
        <f>SUM(K551:K554)</f>
        <v>0</v>
      </c>
      <c r="L550" s="1954">
        <f>SUM(L551:L554)</f>
        <v>0</v>
      </c>
      <c r="M550" s="1954">
        <f>SUM(M551:M554)</f>
        <v>0</v>
      </c>
      <c r="N550" s="1955">
        <f t="shared" si="72"/>
        <v>0</v>
      </c>
    </row>
    <row r="551" spans="1:14">
      <c r="A551" s="1950">
        <v>10</v>
      </c>
      <c r="B551" s="1846" t="s">
        <v>289</v>
      </c>
      <c r="C551" s="1830">
        <v>9</v>
      </c>
      <c r="D551" s="1946">
        <f t="shared" si="70"/>
        <v>0</v>
      </c>
      <c r="E551" s="1947"/>
      <c r="F551" s="1947"/>
      <c r="G551" s="1947"/>
      <c r="H551" s="1947"/>
      <c r="I551" s="1947"/>
      <c r="J551" s="2014">
        <f t="shared" si="71"/>
        <v>0</v>
      </c>
      <c r="K551" s="1947"/>
      <c r="L551" s="1947"/>
      <c r="M551" s="1947"/>
      <c r="N551" s="1948">
        <f t="shared" si="72"/>
        <v>0</v>
      </c>
    </row>
    <row r="552" spans="1:14">
      <c r="A552" s="1950">
        <v>11</v>
      </c>
      <c r="B552" s="1846" t="s">
        <v>290</v>
      </c>
      <c r="C552" s="1830">
        <v>10</v>
      </c>
      <c r="D552" s="1946">
        <f t="shared" si="70"/>
        <v>112996.44079994586</v>
      </c>
      <c r="E552" s="1947"/>
      <c r="F552" s="1947">
        <v>100000</v>
      </c>
      <c r="G552" s="1983">
        <v>3178.4031575395447</v>
      </c>
      <c r="H552" s="1983">
        <v>9818.0376424063179</v>
      </c>
      <c r="I552" s="1947"/>
      <c r="J552" s="2014">
        <f t="shared" si="71"/>
        <v>12996.440799945864</v>
      </c>
      <c r="K552" s="1947"/>
      <c r="L552" s="1947"/>
      <c r="M552" s="1947"/>
      <c r="N552" s="1948">
        <f t="shared" si="72"/>
        <v>0</v>
      </c>
    </row>
    <row r="553" spans="1:14">
      <c r="A553" s="1950">
        <v>12</v>
      </c>
      <c r="B553" s="1846" t="s">
        <v>291</v>
      </c>
      <c r="C553" s="1830">
        <v>11</v>
      </c>
      <c r="D553" s="1946"/>
      <c r="E553" s="1947"/>
      <c r="F553" s="1947"/>
      <c r="G553" s="924"/>
      <c r="H553" s="924"/>
      <c r="I553" s="1947"/>
      <c r="J553" s="2014">
        <f t="shared" si="71"/>
        <v>0</v>
      </c>
      <c r="K553" s="1947"/>
      <c r="L553" s="1947"/>
      <c r="M553" s="1947"/>
      <c r="N553" s="1948">
        <f t="shared" si="72"/>
        <v>0</v>
      </c>
    </row>
    <row r="554" spans="1:14" ht="26.45">
      <c r="A554" s="1950">
        <v>13</v>
      </c>
      <c r="B554" s="1846" t="s">
        <v>292</v>
      </c>
      <c r="C554" s="1830">
        <v>12</v>
      </c>
      <c r="D554" s="1946">
        <f t="shared" ref="D554:D578" si="73">+E554+F554+J554+N554</f>
        <v>147355.65</v>
      </c>
      <c r="E554" s="1947"/>
      <c r="F554" s="1947">
        <v>0</v>
      </c>
      <c r="G554" s="926">
        <v>29471.13</v>
      </c>
      <c r="H554" s="926">
        <v>117884.52</v>
      </c>
      <c r="I554" s="1947"/>
      <c r="J554" s="2014">
        <f t="shared" si="71"/>
        <v>147355.65</v>
      </c>
      <c r="K554" s="1947"/>
      <c r="L554" s="1947"/>
      <c r="M554" s="1947"/>
      <c r="N554" s="1948">
        <f t="shared" si="72"/>
        <v>0</v>
      </c>
    </row>
    <row r="555" spans="1:14">
      <c r="A555" s="1950">
        <v>14</v>
      </c>
      <c r="B555" s="1829" t="s">
        <v>293</v>
      </c>
      <c r="C555" s="1830">
        <v>13</v>
      </c>
      <c r="D555" s="1946">
        <f t="shared" si="73"/>
        <v>34853.324800000002</v>
      </c>
      <c r="E555" s="1947"/>
      <c r="F555" s="1947"/>
      <c r="G555" s="926">
        <v>34853.324800000002</v>
      </c>
      <c r="H555" s="924"/>
      <c r="I555" s="1947"/>
      <c r="J555" s="2014">
        <f t="shared" si="71"/>
        <v>34853.324800000002</v>
      </c>
      <c r="K555" s="1947"/>
      <c r="L555" s="1947"/>
      <c r="M555" s="1947"/>
      <c r="N555" s="1948">
        <f t="shared" si="72"/>
        <v>0</v>
      </c>
    </row>
    <row r="556" spans="1:14">
      <c r="A556" s="1950">
        <v>15</v>
      </c>
      <c r="B556" s="1829" t="s">
        <v>294</v>
      </c>
      <c r="C556" s="1836">
        <v>14</v>
      </c>
      <c r="D556" s="1946">
        <f t="shared" si="73"/>
        <v>0</v>
      </c>
      <c r="E556" s="1947"/>
      <c r="F556" s="1947"/>
      <c r="G556" s="924"/>
      <c r="H556" s="924"/>
      <c r="I556" s="1947"/>
      <c r="J556" s="2014">
        <f t="shared" si="71"/>
        <v>0</v>
      </c>
      <c r="K556" s="1947"/>
      <c r="L556" s="1947"/>
      <c r="M556" s="1947"/>
      <c r="N556" s="1948">
        <f t="shared" si="72"/>
        <v>0</v>
      </c>
    </row>
    <row r="557" spans="1:14">
      <c r="A557" s="1950">
        <v>16</v>
      </c>
      <c r="B557" s="1829" t="s">
        <v>295</v>
      </c>
      <c r="C557" s="1830">
        <v>15</v>
      </c>
      <c r="D557" s="1946">
        <f t="shared" si="73"/>
        <v>0</v>
      </c>
      <c r="E557" s="1947"/>
      <c r="F557" s="1947"/>
      <c r="G557" s="924"/>
      <c r="H557" s="924"/>
      <c r="I557" s="1947"/>
      <c r="J557" s="2014">
        <f t="shared" si="71"/>
        <v>0</v>
      </c>
      <c r="K557" s="1947"/>
      <c r="L557" s="1947"/>
      <c r="M557" s="1947"/>
      <c r="N557" s="1948">
        <f t="shared" si="72"/>
        <v>0</v>
      </c>
    </row>
    <row r="558" spans="1:14">
      <c r="A558" s="1950">
        <v>17</v>
      </c>
      <c r="B558" s="1829" t="s">
        <v>296</v>
      </c>
      <c r="C558" s="1836">
        <v>16</v>
      </c>
      <c r="D558" s="1946">
        <f t="shared" si="73"/>
        <v>187511.14073055008</v>
      </c>
      <c r="E558" s="1947"/>
      <c r="F558" s="1947">
        <v>0</v>
      </c>
      <c r="G558" s="924">
        <v>-10.34413</v>
      </c>
      <c r="H558" s="926">
        <v>187521.48486055009</v>
      </c>
      <c r="I558" s="1947"/>
      <c r="J558" s="2014">
        <f t="shared" si="71"/>
        <v>187511.14073055008</v>
      </c>
      <c r="K558" s="1947"/>
      <c r="L558" s="1947"/>
      <c r="M558" s="1947"/>
      <c r="N558" s="1948">
        <f t="shared" si="72"/>
        <v>0</v>
      </c>
    </row>
    <row r="559" spans="1:14">
      <c r="A559" s="1950">
        <v>18</v>
      </c>
      <c r="B559" s="1829" t="s">
        <v>297</v>
      </c>
      <c r="C559" s="1830"/>
      <c r="D559" s="1946">
        <f t="shared" si="73"/>
        <v>0</v>
      </c>
      <c r="E559" s="1947"/>
      <c r="F559" s="1947"/>
      <c r="G559" s="924"/>
      <c r="H559" s="924"/>
      <c r="I559" s="1947"/>
      <c r="J559" s="2014">
        <f t="shared" si="71"/>
        <v>0</v>
      </c>
      <c r="K559" s="1947"/>
      <c r="L559" s="1947"/>
      <c r="M559" s="1947"/>
      <c r="N559" s="1948">
        <f t="shared" si="72"/>
        <v>0</v>
      </c>
    </row>
    <row r="560" spans="1:14" ht="15" thickBot="1">
      <c r="A560" s="1957">
        <v>19</v>
      </c>
      <c r="B560" s="1848" t="s">
        <v>298</v>
      </c>
      <c r="C560" s="1847"/>
      <c r="D560" s="3120">
        <f t="shared" si="73"/>
        <v>8915.0414199999941</v>
      </c>
      <c r="E560" s="3121"/>
      <c r="F560" s="3121">
        <v>0</v>
      </c>
      <c r="G560" s="931">
        <v>-69615.904460000005</v>
      </c>
      <c r="H560" s="931">
        <v>78530.945879999999</v>
      </c>
      <c r="I560" s="3121"/>
      <c r="J560" s="3126">
        <f t="shared" si="71"/>
        <v>8915.0414199999941</v>
      </c>
      <c r="K560" s="3121"/>
      <c r="L560" s="3121"/>
      <c r="M560" s="3121"/>
      <c r="N560" s="3122">
        <f t="shared" si="72"/>
        <v>0</v>
      </c>
    </row>
    <row r="561" spans="1:14" ht="27" thickBot="1">
      <c r="A561" s="1235">
        <v>20</v>
      </c>
      <c r="B561" s="1139" t="s">
        <v>299</v>
      </c>
      <c r="C561" s="1138"/>
      <c r="D561" s="1236">
        <f t="shared" si="73"/>
        <v>491631.59775049594</v>
      </c>
      <c r="E561" s="1236">
        <f>SUM(E538:E544)+E547+E550+SUM(E555:E560)</f>
        <v>0</v>
      </c>
      <c r="F561" s="1236">
        <f>SUM(F538:F544)+F547+F550+SUM(F555:F560)</f>
        <v>100000</v>
      </c>
      <c r="G561" s="1236">
        <f>SUM(G538:G544)+G547+G550+SUM(G555:G560)</f>
        <v>-2123.3906324604541</v>
      </c>
      <c r="H561" s="1236">
        <f>SUM(H538:H544)+H547+H550+SUM(H555:H560)</f>
        <v>393754.98838295642</v>
      </c>
      <c r="I561" s="1236">
        <f>SUM(I538:I544)+I547+I550+SUM(I555:I560)</f>
        <v>0</v>
      </c>
      <c r="J561" s="1236">
        <f t="shared" si="71"/>
        <v>391631.59775049594</v>
      </c>
      <c r="K561" s="1236">
        <f>SUM(K538:K544)+K547+K550+SUM(K555:K560)</f>
        <v>0</v>
      </c>
      <c r="L561" s="1236">
        <f>SUM(L538:L544)+L547+L550+SUM(L555:L560)</f>
        <v>0</v>
      </c>
      <c r="M561" s="1236">
        <f>SUM(M538:M544)+M547+M550+SUM(M555:M560)</f>
        <v>0</v>
      </c>
      <c r="N561" s="1236">
        <f t="shared" si="72"/>
        <v>0</v>
      </c>
    </row>
    <row r="562" spans="1:14">
      <c r="A562" s="1227"/>
      <c r="B562" s="1225" t="s">
        <v>300</v>
      </c>
      <c r="C562" s="1133"/>
      <c r="D562" s="1230">
        <f t="shared" si="73"/>
        <v>0</v>
      </c>
      <c r="E562" s="914"/>
      <c r="F562" s="914"/>
      <c r="G562" s="914"/>
      <c r="H562" s="914"/>
      <c r="I562" s="914"/>
      <c r="J562" s="1233">
        <f t="shared" si="71"/>
        <v>0</v>
      </c>
      <c r="K562" s="914"/>
      <c r="L562" s="914"/>
      <c r="M562" s="914"/>
      <c r="N562" s="1233">
        <f t="shared" si="72"/>
        <v>0</v>
      </c>
    </row>
    <row r="563" spans="1:14">
      <c r="A563" s="1950"/>
      <c r="B563" s="1959" t="s">
        <v>301</v>
      </c>
      <c r="C563" s="1830"/>
      <c r="D563" s="1946">
        <f t="shared" si="73"/>
        <v>0</v>
      </c>
      <c r="E563" s="1947"/>
      <c r="F563" s="1947"/>
      <c r="G563" s="1947"/>
      <c r="H563" s="1947"/>
      <c r="I563" s="1947"/>
      <c r="J563" s="1948">
        <f t="shared" si="71"/>
        <v>0</v>
      </c>
      <c r="K563" s="1947"/>
      <c r="L563" s="1947"/>
      <c r="M563" s="1947"/>
      <c r="N563" s="1948">
        <f t="shared" si="72"/>
        <v>0</v>
      </c>
    </row>
    <row r="564" spans="1:14">
      <c r="A564" s="1950">
        <v>21</v>
      </c>
      <c r="B564" s="1829" t="s">
        <v>302</v>
      </c>
      <c r="C564" s="1836">
        <v>17</v>
      </c>
      <c r="D564" s="1946">
        <f t="shared" si="73"/>
        <v>46529.136330000008</v>
      </c>
      <c r="E564" s="1947"/>
      <c r="F564" s="1947"/>
      <c r="G564" s="1983">
        <v>-263614.32392455003</v>
      </c>
      <c r="H564" s="1983">
        <v>310143.46025455004</v>
      </c>
      <c r="I564" s="1947"/>
      <c r="J564" s="1948">
        <f t="shared" si="71"/>
        <v>46529.136330000008</v>
      </c>
      <c r="K564" s="1947"/>
      <c r="L564" s="1947"/>
      <c r="M564" s="1947"/>
      <c r="N564" s="1948">
        <f t="shared" si="72"/>
        <v>0</v>
      </c>
    </row>
    <row r="565" spans="1:14">
      <c r="A565" s="1950">
        <v>22</v>
      </c>
      <c r="B565" s="1829" t="s">
        <v>303</v>
      </c>
      <c r="C565" s="1830"/>
      <c r="D565" s="1946">
        <f t="shared" si="73"/>
        <v>0</v>
      </c>
      <c r="E565" s="1947"/>
      <c r="F565" s="1947"/>
      <c r="G565" s="1947"/>
      <c r="H565" s="1947"/>
      <c r="I565" s="1947"/>
      <c r="J565" s="1948">
        <f t="shared" si="71"/>
        <v>0</v>
      </c>
      <c r="K565" s="1947"/>
      <c r="L565" s="1947"/>
      <c r="M565" s="1947"/>
      <c r="N565" s="1948">
        <f t="shared" si="72"/>
        <v>0</v>
      </c>
    </row>
    <row r="566" spans="1:14">
      <c r="A566" s="1950">
        <v>23</v>
      </c>
      <c r="B566" s="1829" t="s">
        <v>304</v>
      </c>
      <c r="C566" s="1830">
        <v>18</v>
      </c>
      <c r="D566" s="1946">
        <f t="shared" si="73"/>
        <v>0</v>
      </c>
      <c r="E566" s="1947"/>
      <c r="F566" s="1947"/>
      <c r="G566" s="1947"/>
      <c r="H566" s="1947"/>
      <c r="I566" s="1947"/>
      <c r="J566" s="1948">
        <f t="shared" si="71"/>
        <v>0</v>
      </c>
      <c r="K566" s="1947"/>
      <c r="L566" s="1947"/>
      <c r="M566" s="1947"/>
      <c r="N566" s="1948">
        <f t="shared" si="72"/>
        <v>0</v>
      </c>
    </row>
    <row r="567" spans="1:14">
      <c r="A567" s="1950">
        <v>24</v>
      </c>
      <c r="B567" s="1829" t="s">
        <v>305</v>
      </c>
      <c r="C567" s="1830"/>
      <c r="D567" s="1946">
        <f t="shared" si="73"/>
        <v>0</v>
      </c>
      <c r="E567" s="1947"/>
      <c r="F567" s="1947"/>
      <c r="G567" s="1947"/>
      <c r="H567" s="1947"/>
      <c r="I567" s="1947"/>
      <c r="J567" s="1948">
        <f t="shared" si="71"/>
        <v>0</v>
      </c>
      <c r="K567" s="1947"/>
      <c r="L567" s="1947"/>
      <c r="M567" s="1947"/>
      <c r="N567" s="1948">
        <f t="shared" si="72"/>
        <v>0</v>
      </c>
    </row>
    <row r="568" spans="1:14">
      <c r="A568" s="1950">
        <v>25</v>
      </c>
      <c r="B568" s="1851" t="s">
        <v>306</v>
      </c>
      <c r="C568" s="1830"/>
      <c r="D568" s="1946">
        <f t="shared" si="73"/>
        <v>0</v>
      </c>
      <c r="E568" s="1947"/>
      <c r="F568" s="1947"/>
      <c r="G568" s="1983"/>
      <c r="H568" s="1947"/>
      <c r="I568" s="1947"/>
      <c r="J568" s="1948">
        <f t="shared" si="71"/>
        <v>0</v>
      </c>
      <c r="K568" s="1947"/>
      <c r="L568" s="1947"/>
      <c r="M568" s="1947"/>
      <c r="N568" s="1948">
        <f t="shared" si="72"/>
        <v>0</v>
      </c>
    </row>
    <row r="569" spans="1:14" ht="15" thickBot="1">
      <c r="A569" s="1957">
        <v>26</v>
      </c>
      <c r="B569" s="1848" t="s">
        <v>307</v>
      </c>
      <c r="C569" s="1852">
        <v>19</v>
      </c>
      <c r="D569" s="3120">
        <f t="shared" si="73"/>
        <v>345102.46142049599</v>
      </c>
      <c r="E569" s="3121"/>
      <c r="F569" s="3121"/>
      <c r="G569" s="3123">
        <v>261490.93329208961</v>
      </c>
      <c r="H569" s="3123">
        <v>83611.528128406397</v>
      </c>
      <c r="I569" s="3121"/>
      <c r="J569" s="3122">
        <f t="shared" si="71"/>
        <v>345102.46142049599</v>
      </c>
      <c r="K569" s="3121"/>
      <c r="L569" s="3121"/>
      <c r="M569" s="3121"/>
      <c r="N569" s="3122">
        <f t="shared" si="72"/>
        <v>0</v>
      </c>
    </row>
    <row r="570" spans="1:14" ht="27" thickBot="1">
      <c r="A570" s="1226">
        <v>27</v>
      </c>
      <c r="B570" s="1136" t="s">
        <v>308</v>
      </c>
      <c r="C570" s="1135"/>
      <c r="D570" s="1241">
        <f t="shared" si="73"/>
        <v>391631.597750496</v>
      </c>
      <c r="E570" s="934">
        <f>SUM(E564:E569)</f>
        <v>0</v>
      </c>
      <c r="F570" s="934">
        <f>SUM(F564:F569)</f>
        <v>0</v>
      </c>
      <c r="G570" s="934">
        <f>SUM(G564:G569)</f>
        <v>-2123.3906324604177</v>
      </c>
      <c r="H570" s="934">
        <f>SUM(H564:H569)</f>
        <v>393754.98838295642</v>
      </c>
      <c r="I570" s="934">
        <f>SUM(I564:I569)</f>
        <v>0</v>
      </c>
      <c r="J570" s="1255">
        <f t="shared" si="71"/>
        <v>391631.597750496</v>
      </c>
      <c r="K570" s="934">
        <f>SUM(K564:K569)</f>
        <v>0</v>
      </c>
      <c r="L570" s="934">
        <f>SUM(L564:L569)</f>
        <v>0</v>
      </c>
      <c r="M570" s="934">
        <f>SUM(M564:M569)</f>
        <v>0</v>
      </c>
      <c r="N570" s="1261">
        <f t="shared" si="72"/>
        <v>0</v>
      </c>
    </row>
    <row r="571" spans="1:14">
      <c r="A571" s="1227"/>
      <c r="B571" s="1225" t="s">
        <v>309</v>
      </c>
      <c r="C571" s="1133">
        <v>20</v>
      </c>
      <c r="D571" s="1230">
        <f t="shared" si="73"/>
        <v>0</v>
      </c>
      <c r="E571" s="914"/>
      <c r="F571" s="914"/>
      <c r="G571" s="914"/>
      <c r="H571" s="914"/>
      <c r="I571" s="914"/>
      <c r="J571" s="1245">
        <f t="shared" si="71"/>
        <v>0</v>
      </c>
      <c r="K571" s="914"/>
      <c r="L571" s="914"/>
      <c r="M571" s="914"/>
      <c r="N571" s="1233">
        <f t="shared" si="72"/>
        <v>0</v>
      </c>
    </row>
    <row r="572" spans="1:14">
      <c r="A572" s="1950">
        <v>28</v>
      </c>
      <c r="B572" s="1945" t="s">
        <v>310</v>
      </c>
      <c r="C572" s="1836"/>
      <c r="D572" s="1946">
        <f t="shared" si="73"/>
        <v>100000</v>
      </c>
      <c r="E572" s="1947"/>
      <c r="F572" s="1947">
        <v>100000</v>
      </c>
      <c r="G572" s="1947"/>
      <c r="H572" s="1947"/>
      <c r="I572" s="1947"/>
      <c r="J572" s="2014">
        <f t="shared" si="71"/>
        <v>0</v>
      </c>
      <c r="K572" s="1947"/>
      <c r="L572" s="1947"/>
      <c r="M572" s="1947"/>
      <c r="N572" s="1948">
        <f t="shared" si="72"/>
        <v>0</v>
      </c>
    </row>
    <row r="573" spans="1:14">
      <c r="A573" s="1950">
        <v>29</v>
      </c>
      <c r="B573" s="1945" t="s">
        <v>311</v>
      </c>
      <c r="C573" s="1836"/>
      <c r="D573" s="1946">
        <f t="shared" si="73"/>
        <v>0</v>
      </c>
      <c r="E573" s="1947"/>
      <c r="F573" s="1947"/>
      <c r="G573" s="1947"/>
      <c r="H573" s="1947"/>
      <c r="I573" s="1947"/>
      <c r="J573" s="2014">
        <f t="shared" si="71"/>
        <v>0</v>
      </c>
      <c r="K573" s="1947"/>
      <c r="L573" s="1947"/>
      <c r="M573" s="1947"/>
      <c r="N573" s="1948">
        <f t="shared" si="72"/>
        <v>0</v>
      </c>
    </row>
    <row r="574" spans="1:14">
      <c r="A574" s="1950">
        <v>30</v>
      </c>
      <c r="B574" s="1960" t="s">
        <v>312</v>
      </c>
      <c r="C574" s="1852"/>
      <c r="D574" s="1946">
        <f t="shared" si="73"/>
        <v>0</v>
      </c>
      <c r="E574" s="1947"/>
      <c r="F574" s="1947"/>
      <c r="G574" s="1947"/>
      <c r="H574" s="1947"/>
      <c r="I574" s="1947"/>
      <c r="J574" s="2014">
        <f t="shared" si="71"/>
        <v>0</v>
      </c>
      <c r="K574" s="1947"/>
      <c r="L574" s="1947"/>
      <c r="M574" s="1947"/>
      <c r="N574" s="1948">
        <f t="shared" si="72"/>
        <v>0</v>
      </c>
    </row>
    <row r="575" spans="1:14">
      <c r="A575" s="1950">
        <v>31</v>
      </c>
      <c r="B575" s="1960" t="s">
        <v>313</v>
      </c>
      <c r="C575" s="1852"/>
      <c r="D575" s="1946">
        <f t="shared" si="73"/>
        <v>0</v>
      </c>
      <c r="E575" s="1947"/>
      <c r="F575" s="1947"/>
      <c r="G575" s="1947"/>
      <c r="H575" s="1947"/>
      <c r="I575" s="1947"/>
      <c r="J575" s="2014">
        <f t="shared" si="71"/>
        <v>0</v>
      </c>
      <c r="K575" s="1947"/>
      <c r="L575" s="1947"/>
      <c r="M575" s="1947"/>
      <c r="N575" s="1948">
        <f t="shared" si="72"/>
        <v>0</v>
      </c>
    </row>
    <row r="576" spans="1:14" ht="15" thickBot="1">
      <c r="A576" s="1957">
        <v>32</v>
      </c>
      <c r="B576" s="1960" t="s">
        <v>314</v>
      </c>
      <c r="C576" s="1852"/>
      <c r="D576" s="1946">
        <f t="shared" si="73"/>
        <v>0</v>
      </c>
      <c r="E576" s="1947"/>
      <c r="F576" s="1947"/>
      <c r="G576" s="1947"/>
      <c r="H576" s="1947"/>
      <c r="I576" s="1947"/>
      <c r="J576" s="2014">
        <f t="shared" si="71"/>
        <v>0</v>
      </c>
      <c r="K576" s="1947"/>
      <c r="L576" s="1947"/>
      <c r="M576" s="1947"/>
      <c r="N576" s="1948">
        <f t="shared" si="72"/>
        <v>0</v>
      </c>
    </row>
    <row r="577" spans="1:14" ht="15" thickBot="1">
      <c r="A577" s="1226">
        <v>33</v>
      </c>
      <c r="B577" s="1169" t="s">
        <v>315</v>
      </c>
      <c r="C577" s="1208"/>
      <c r="D577" s="1310">
        <f t="shared" si="73"/>
        <v>100000</v>
      </c>
      <c r="E577" s="959">
        <f>SUM(E572:E576)</f>
        <v>0</v>
      </c>
      <c r="F577" s="959">
        <f>SUM(F572:F576)</f>
        <v>100000</v>
      </c>
      <c r="G577" s="959">
        <f>SUM(G572:G576)</f>
        <v>0</v>
      </c>
      <c r="H577" s="959">
        <f>SUM(H572:H576)</f>
        <v>0</v>
      </c>
      <c r="I577" s="959">
        <f>SUM(I572:I576)</f>
        <v>0</v>
      </c>
      <c r="J577" s="1321">
        <f t="shared" si="71"/>
        <v>0</v>
      </c>
      <c r="K577" s="959">
        <f>SUM(K572:K576)</f>
        <v>0</v>
      </c>
      <c r="L577" s="959">
        <f>SUM(L572:L576)</f>
        <v>0</v>
      </c>
      <c r="M577" s="959">
        <f>SUM(M572:M576)</f>
        <v>0</v>
      </c>
      <c r="N577" s="1319">
        <f t="shared" si="72"/>
        <v>0</v>
      </c>
    </row>
    <row r="578" spans="1:14" ht="27" thickBot="1">
      <c r="A578" s="1235">
        <v>34</v>
      </c>
      <c r="B578" s="1139" t="s">
        <v>317</v>
      </c>
      <c r="C578" s="1138"/>
      <c r="D578" s="1268">
        <f t="shared" si="73"/>
        <v>491631.597750496</v>
      </c>
      <c r="E578" s="1268">
        <f>E577+E570</f>
        <v>0</v>
      </c>
      <c r="F578" s="1268">
        <f>F577+F570</f>
        <v>100000</v>
      </c>
      <c r="G578" s="1268">
        <f>G577+G570</f>
        <v>-2123.3906324604177</v>
      </c>
      <c r="H578" s="1268">
        <f>H577+H570</f>
        <v>393754.98838295642</v>
      </c>
      <c r="I578" s="1268">
        <f>I577+I570</f>
        <v>0</v>
      </c>
      <c r="J578" s="1277">
        <f t="shared" si="71"/>
        <v>391631.597750496</v>
      </c>
      <c r="K578" s="1268">
        <f>K577+K570</f>
        <v>0</v>
      </c>
      <c r="L578" s="1268">
        <f>L577+L570</f>
        <v>0</v>
      </c>
      <c r="M578" s="1268">
        <f>M577+M570</f>
        <v>0</v>
      </c>
      <c r="N578" s="1268">
        <f t="shared" si="72"/>
        <v>0</v>
      </c>
    </row>
    <row r="579" spans="1:14">
      <c r="B579"/>
      <c r="C579"/>
      <c r="D579"/>
      <c r="E579"/>
      <c r="F579"/>
      <c r="G579"/>
      <c r="H579"/>
      <c r="I579"/>
      <c r="J579"/>
      <c r="K579"/>
      <c r="L579"/>
      <c r="M579"/>
      <c r="N579"/>
    </row>
    <row r="580" spans="1:14">
      <c r="B580"/>
      <c r="C580"/>
      <c r="D580"/>
      <c r="E580"/>
      <c r="F580"/>
      <c r="G580"/>
      <c r="H580"/>
      <c r="I580"/>
      <c r="J580"/>
      <c r="K580"/>
      <c r="L580"/>
      <c r="M580"/>
      <c r="N580"/>
    </row>
    <row r="581" spans="1:14">
      <c r="B581"/>
      <c r="C581"/>
      <c r="D581"/>
      <c r="E581"/>
      <c r="F581"/>
      <c r="G581"/>
      <c r="H581"/>
      <c r="I581"/>
      <c r="J581"/>
      <c r="K581"/>
      <c r="L581"/>
      <c r="M581"/>
      <c r="N581"/>
    </row>
    <row r="582" spans="1:14" ht="15" thickBot="1"/>
    <row r="583" spans="1:14" ht="15" thickBot="1">
      <c r="A583" s="1153" t="s">
        <v>190</v>
      </c>
      <c r="B583" s="3303" t="s">
        <v>106</v>
      </c>
      <c r="C583" s="3304"/>
      <c r="D583" s="666"/>
      <c r="E583" s="666"/>
      <c r="F583" s="666"/>
      <c r="G583" s="666"/>
      <c r="H583" s="666"/>
      <c r="I583" s="666"/>
      <c r="J583" s="666"/>
      <c r="K583" s="666"/>
      <c r="L583" s="666"/>
      <c r="M583" s="3292"/>
      <c r="N583" s="3292" t="s">
        <v>257</v>
      </c>
    </row>
    <row r="584" spans="1:14" ht="13.5" customHeight="1" thickBot="1">
      <c r="A584" s="3311" t="s">
        <v>258</v>
      </c>
      <c r="B584" s="1212"/>
      <c r="C584" s="3280" t="s">
        <v>259</v>
      </c>
      <c r="D584" s="3314" t="s">
        <v>260</v>
      </c>
      <c r="E584" s="3314" t="s">
        <v>261</v>
      </c>
      <c r="F584" s="3314" t="s">
        <v>262</v>
      </c>
      <c r="G584" s="3324" t="s">
        <v>263</v>
      </c>
      <c r="H584" s="3325"/>
      <c r="I584" s="3325"/>
      <c r="J584" s="3325"/>
      <c r="K584" s="3325"/>
      <c r="L584" s="3325"/>
      <c r="M584" s="3325"/>
      <c r="N584" s="3326"/>
    </row>
    <row r="585" spans="1:14" ht="13.5" customHeight="1" thickBot="1">
      <c r="A585" s="3312"/>
      <c r="B585" s="1213"/>
      <c r="C585" s="3281"/>
      <c r="D585" s="3315"/>
      <c r="E585" s="3315"/>
      <c r="F585" s="3315"/>
      <c r="G585" s="3289" t="s">
        <v>264</v>
      </c>
      <c r="H585" s="3290"/>
      <c r="I585" s="3290"/>
      <c r="J585" s="3291"/>
      <c r="K585" s="3318" t="s">
        <v>265</v>
      </c>
      <c r="L585" s="3319"/>
      <c r="M585" s="3319"/>
      <c r="N585" s="3320"/>
    </row>
    <row r="586" spans="1:14" ht="40.15" thickBot="1">
      <c r="A586" s="3312"/>
      <c r="B586" s="1214"/>
      <c r="C586" s="3281"/>
      <c r="D586" s="3316"/>
      <c r="E586" s="3316"/>
      <c r="F586" s="3316"/>
      <c r="G586" s="1125" t="s">
        <v>267</v>
      </c>
      <c r="H586" s="1125" t="s">
        <v>268</v>
      </c>
      <c r="I586" s="1125" t="s">
        <v>269</v>
      </c>
      <c r="J586" s="1125" t="s">
        <v>160</v>
      </c>
      <c r="K586" s="1126" t="s">
        <v>270</v>
      </c>
      <c r="L586" s="1126" t="s">
        <v>271</v>
      </c>
      <c r="M586" s="1126" t="s">
        <v>272</v>
      </c>
      <c r="N586" s="2969" t="s">
        <v>160</v>
      </c>
    </row>
    <row r="587" spans="1:14" ht="15" thickBot="1">
      <c r="A587" s="3312"/>
      <c r="B587" s="1213"/>
      <c r="C587" s="3281"/>
      <c r="D587" s="1215">
        <v>1</v>
      </c>
      <c r="E587" s="1216">
        <v>2</v>
      </c>
      <c r="F587" s="1216">
        <v>3</v>
      </c>
      <c r="G587" s="1217">
        <v>4</v>
      </c>
      <c r="H587" s="1216">
        <v>5</v>
      </c>
      <c r="I587" s="1218">
        <v>6</v>
      </c>
      <c r="J587" s="2971">
        <v>7</v>
      </c>
      <c r="K587" s="1217">
        <v>8</v>
      </c>
      <c r="L587" s="1216">
        <v>9</v>
      </c>
      <c r="M587" s="1238">
        <v>10</v>
      </c>
      <c r="N587" s="1215">
        <v>11</v>
      </c>
    </row>
    <row r="588" spans="1:14" ht="15" thickBot="1">
      <c r="A588" s="3313"/>
      <c r="B588" s="1219"/>
      <c r="C588" s="3282"/>
      <c r="D588" s="1220"/>
      <c r="E588" s="1220"/>
      <c r="F588" s="1220"/>
      <c r="G588" s="1221"/>
      <c r="H588" s="1220"/>
      <c r="I588" s="1292"/>
      <c r="J588" s="1222" t="s">
        <v>273</v>
      </c>
      <c r="K588" s="1221"/>
      <c r="L588" s="1220"/>
      <c r="M588" s="1667"/>
      <c r="N588" s="1293" t="s">
        <v>274</v>
      </c>
    </row>
    <row r="589" spans="1:14">
      <c r="A589" s="1227"/>
      <c r="B589" s="1225" t="s">
        <v>275</v>
      </c>
      <c r="C589" s="1133"/>
      <c r="D589" s="1228"/>
      <c r="E589" s="673"/>
      <c r="F589" s="673"/>
      <c r="G589" s="674"/>
      <c r="H589" s="675"/>
      <c r="I589" s="676"/>
      <c r="J589" s="1233"/>
      <c r="K589" s="914"/>
      <c r="L589" s="912"/>
      <c r="M589" s="915"/>
      <c r="N589" s="1260"/>
    </row>
    <row r="590" spans="1:14">
      <c r="A590" s="1944">
        <v>1</v>
      </c>
      <c r="B590" s="1945" t="s">
        <v>276</v>
      </c>
      <c r="C590" s="1830"/>
      <c r="D590" s="1946">
        <f t="shared" ref="D590:D630" si="74">+E590+F590+J590+N590</f>
        <v>0</v>
      </c>
      <c r="E590" s="1973"/>
      <c r="F590" s="1973"/>
      <c r="G590" s="1970"/>
      <c r="H590" s="1966"/>
      <c r="I590" s="1972"/>
      <c r="J590" s="1948">
        <f t="shared" ref="J590:J630" si="75">G590+H590+I590</f>
        <v>0</v>
      </c>
      <c r="K590" s="1947"/>
      <c r="L590" s="1947"/>
      <c r="M590" s="1968"/>
      <c r="N590" s="1967">
        <f t="shared" ref="N590:N630" si="76">K590+L590+M590</f>
        <v>0</v>
      </c>
    </row>
    <row r="591" spans="1:14">
      <c r="A591" s="1944">
        <v>2</v>
      </c>
      <c r="B591" s="1945" t="s">
        <v>277</v>
      </c>
      <c r="C591" s="1830"/>
      <c r="D591" s="1946">
        <f t="shared" si="74"/>
        <v>0</v>
      </c>
      <c r="E591" s="1973"/>
      <c r="F591" s="1973"/>
      <c r="G591" s="1970"/>
      <c r="H591" s="1966"/>
      <c r="I591" s="1972"/>
      <c r="J591" s="1948">
        <f t="shared" si="75"/>
        <v>0</v>
      </c>
      <c r="K591" s="1947"/>
      <c r="L591" s="1947"/>
      <c r="M591" s="1968"/>
      <c r="N591" s="1967">
        <f t="shared" si="76"/>
        <v>0</v>
      </c>
    </row>
    <row r="592" spans="1:14">
      <c r="A592" s="1944">
        <v>3</v>
      </c>
      <c r="B592" s="1945" t="s">
        <v>278</v>
      </c>
      <c r="C592" s="1830"/>
      <c r="D592" s="1946">
        <f t="shared" si="74"/>
        <v>0</v>
      </c>
      <c r="E592" s="1973"/>
      <c r="F592" s="1973"/>
      <c r="G592" s="1970"/>
      <c r="H592" s="1966"/>
      <c r="I592" s="1972"/>
      <c r="J592" s="1948">
        <f t="shared" si="75"/>
        <v>0</v>
      </c>
      <c r="K592" s="1947"/>
      <c r="L592" s="1947"/>
      <c r="M592" s="1968"/>
      <c r="N592" s="1967">
        <f t="shared" si="76"/>
        <v>0</v>
      </c>
    </row>
    <row r="593" spans="1:14">
      <c r="A593" s="1944">
        <v>4</v>
      </c>
      <c r="B593" s="1945" t="s">
        <v>324</v>
      </c>
      <c r="C593" s="1830"/>
      <c r="D593" s="1946">
        <f t="shared" si="74"/>
        <v>25470.824559999997</v>
      </c>
      <c r="E593" s="1973"/>
      <c r="F593" s="1973">
        <v>25470.824559999997</v>
      </c>
      <c r="G593" s="1970"/>
      <c r="H593" s="1966"/>
      <c r="I593" s="1972"/>
      <c r="J593" s="1948">
        <f t="shared" si="75"/>
        <v>0</v>
      </c>
      <c r="K593" s="1947"/>
      <c r="L593" s="1947"/>
      <c r="M593" s="1968"/>
      <c r="N593" s="1967">
        <f t="shared" si="76"/>
        <v>0</v>
      </c>
    </row>
    <row r="594" spans="1:14">
      <c r="A594" s="1944">
        <v>5</v>
      </c>
      <c r="B594" s="1945" t="s">
        <v>280</v>
      </c>
      <c r="C594" s="1836">
        <v>5</v>
      </c>
      <c r="D594" s="1946">
        <f t="shared" si="74"/>
        <v>20994.880790000003</v>
      </c>
      <c r="E594" s="1973"/>
      <c r="F594" s="1973">
        <v>20994.880790000003</v>
      </c>
      <c r="G594" s="1970">
        <v>0</v>
      </c>
      <c r="H594" s="1966">
        <v>0</v>
      </c>
      <c r="I594" s="1972"/>
      <c r="J594" s="1948">
        <f t="shared" si="75"/>
        <v>0</v>
      </c>
      <c r="K594" s="1947"/>
      <c r="L594" s="1947"/>
      <c r="M594" s="1968"/>
      <c r="N594" s="1967">
        <f t="shared" si="76"/>
        <v>0</v>
      </c>
    </row>
    <row r="595" spans="1:14">
      <c r="A595" s="1944">
        <v>6</v>
      </c>
      <c r="B595" s="1945" t="s">
        <v>281</v>
      </c>
      <c r="C595" s="1830">
        <v>6</v>
      </c>
      <c r="D595" s="1946">
        <f t="shared" si="74"/>
        <v>299999.99971</v>
      </c>
      <c r="E595" s="1973"/>
      <c r="F595" s="1973">
        <v>52675</v>
      </c>
      <c r="G595" s="1970">
        <v>160761.24981150002</v>
      </c>
      <c r="H595" s="1966">
        <v>86563.749898499998</v>
      </c>
      <c r="I595" s="1972"/>
      <c r="J595" s="2014">
        <f t="shared" si="75"/>
        <v>247324.99971</v>
      </c>
      <c r="K595" s="1947"/>
      <c r="L595" s="1947"/>
      <c r="M595" s="1968"/>
      <c r="N595" s="1967">
        <f t="shared" si="76"/>
        <v>0</v>
      </c>
    </row>
    <row r="596" spans="1:14">
      <c r="A596" s="1944">
        <v>7</v>
      </c>
      <c r="B596" s="1945" t="s">
        <v>282</v>
      </c>
      <c r="C596" s="1836">
        <v>7</v>
      </c>
      <c r="D596" s="1946">
        <f t="shared" si="74"/>
        <v>0</v>
      </c>
      <c r="E596" s="1947"/>
      <c r="F596" s="1947"/>
      <c r="G596" s="1947"/>
      <c r="H596" s="1968"/>
      <c r="I596" s="1996"/>
      <c r="J596" s="2014">
        <f t="shared" si="75"/>
        <v>0</v>
      </c>
      <c r="K596" s="1947">
        <f>K597+K598</f>
        <v>0</v>
      </c>
      <c r="L596" s="1947">
        <f>L597+L598</f>
        <v>0</v>
      </c>
      <c r="M596" s="1968">
        <f>M597+M598</f>
        <v>0</v>
      </c>
      <c r="N596" s="1967">
        <f t="shared" si="76"/>
        <v>0</v>
      </c>
    </row>
    <row r="597" spans="1:14">
      <c r="A597" s="1950"/>
      <c r="B597" s="1837" t="s">
        <v>283</v>
      </c>
      <c r="C597" s="1836"/>
      <c r="D597" s="1946">
        <f t="shared" si="74"/>
        <v>0</v>
      </c>
      <c r="E597" s="1947"/>
      <c r="F597" s="1947"/>
      <c r="G597" s="1947"/>
      <c r="H597" s="1968"/>
      <c r="I597" s="1996"/>
      <c r="J597" s="2014">
        <f t="shared" si="75"/>
        <v>0</v>
      </c>
      <c r="K597" s="1947"/>
      <c r="L597" s="1947"/>
      <c r="M597" s="1968"/>
      <c r="N597" s="1967">
        <f t="shared" si="76"/>
        <v>0</v>
      </c>
    </row>
    <row r="598" spans="1:14">
      <c r="A598" s="1950"/>
      <c r="B598" s="1837" t="s">
        <v>284</v>
      </c>
      <c r="C598" s="1836"/>
      <c r="D598" s="1946">
        <f t="shared" si="74"/>
        <v>0</v>
      </c>
      <c r="E598" s="1947"/>
      <c r="F598" s="1947"/>
      <c r="G598" s="1947"/>
      <c r="H598" s="1968"/>
      <c r="I598" s="1996"/>
      <c r="J598" s="2014">
        <f t="shared" si="75"/>
        <v>0</v>
      </c>
      <c r="K598" s="1947"/>
      <c r="L598" s="1947"/>
      <c r="M598" s="1968"/>
      <c r="N598" s="1967">
        <f t="shared" si="76"/>
        <v>0</v>
      </c>
    </row>
    <row r="599" spans="1:14">
      <c r="A599" s="1944">
        <v>8</v>
      </c>
      <c r="B599" s="1945" t="s">
        <v>285</v>
      </c>
      <c r="C599" s="1830">
        <v>8</v>
      </c>
      <c r="D599" s="1946">
        <f t="shared" si="74"/>
        <v>0</v>
      </c>
      <c r="E599" s="1947"/>
      <c r="F599" s="1947">
        <f>F600+F601</f>
        <v>0</v>
      </c>
      <c r="G599" s="1947">
        <f>G600+G601</f>
        <v>0</v>
      </c>
      <c r="H599" s="1968">
        <f>H600+H601</f>
        <v>0</v>
      </c>
      <c r="I599" s="1996">
        <f>I600+I601</f>
        <v>0</v>
      </c>
      <c r="J599" s="2014">
        <f t="shared" si="75"/>
        <v>0</v>
      </c>
      <c r="K599" s="1947">
        <f>K600+K601</f>
        <v>0</v>
      </c>
      <c r="L599" s="1947">
        <f>L600+L601</f>
        <v>0</v>
      </c>
      <c r="M599" s="1968">
        <f>M600+M601</f>
        <v>0</v>
      </c>
      <c r="N599" s="1967">
        <f t="shared" si="76"/>
        <v>0</v>
      </c>
    </row>
    <row r="600" spans="1:14">
      <c r="A600" s="1944"/>
      <c r="B600" s="1837" t="s">
        <v>286</v>
      </c>
      <c r="C600" s="1830"/>
      <c r="D600" s="1946">
        <f t="shared" si="74"/>
        <v>0</v>
      </c>
      <c r="E600" s="1947"/>
      <c r="F600" s="1947"/>
      <c r="G600" s="1947"/>
      <c r="H600" s="1968"/>
      <c r="I600" s="1996"/>
      <c r="J600" s="2014">
        <f t="shared" si="75"/>
        <v>0</v>
      </c>
      <c r="K600" s="1947"/>
      <c r="L600" s="1947"/>
      <c r="M600" s="1968"/>
      <c r="N600" s="1967">
        <f t="shared" si="76"/>
        <v>0</v>
      </c>
    </row>
    <row r="601" spans="1:14">
      <c r="A601" s="1944"/>
      <c r="B601" s="1837" t="s">
        <v>287</v>
      </c>
      <c r="C601" s="1830"/>
      <c r="D601" s="1946">
        <f t="shared" si="74"/>
        <v>0</v>
      </c>
      <c r="E601" s="1947"/>
      <c r="F601" s="1947"/>
      <c r="G601" s="1947"/>
      <c r="H601" s="1968"/>
      <c r="I601" s="1996"/>
      <c r="J601" s="2014">
        <f t="shared" si="75"/>
        <v>0</v>
      </c>
      <c r="K601" s="1947"/>
      <c r="L601" s="1947"/>
      <c r="M601" s="1968"/>
      <c r="N601" s="1967">
        <f t="shared" si="76"/>
        <v>0</v>
      </c>
    </row>
    <row r="602" spans="1:14" ht="26.45">
      <c r="A602" s="1951">
        <v>9</v>
      </c>
      <c r="B602" s="1952" t="s">
        <v>288</v>
      </c>
      <c r="C602" s="1840"/>
      <c r="D602" s="1953">
        <f t="shared" si="74"/>
        <v>2900543.5198801723</v>
      </c>
      <c r="E602" s="1954">
        <f>SUM(E603:E606)</f>
        <v>0</v>
      </c>
      <c r="F602" s="1954">
        <f>SUM(F603:F606)</f>
        <v>289874.14186603419</v>
      </c>
      <c r="G602" s="1954">
        <f>SUM(G603:G606)</f>
        <v>1240846.5915343617</v>
      </c>
      <c r="H602" s="1976">
        <f>SUM(H603:H606)</f>
        <v>1369822.7864797763</v>
      </c>
      <c r="I602" s="1977">
        <f>SUM(I603:I606)</f>
        <v>0</v>
      </c>
      <c r="J602" s="2010">
        <f t="shared" si="75"/>
        <v>2610669.378014138</v>
      </c>
      <c r="K602" s="1954">
        <f>SUM(K603:K606)</f>
        <v>0</v>
      </c>
      <c r="L602" s="1954">
        <f>SUM(L603:L606)</f>
        <v>0</v>
      </c>
      <c r="M602" s="1976">
        <f>SUM(M603:M606)</f>
        <v>0</v>
      </c>
      <c r="N602" s="1979">
        <f t="shared" si="76"/>
        <v>0</v>
      </c>
    </row>
    <row r="603" spans="1:14">
      <c r="A603" s="1950">
        <v>10</v>
      </c>
      <c r="B603" s="1846" t="s">
        <v>289</v>
      </c>
      <c r="C603" s="1830">
        <v>9</v>
      </c>
      <c r="D603" s="1946">
        <f t="shared" si="74"/>
        <v>1167218.3333020008</v>
      </c>
      <c r="E603" s="1973"/>
      <c r="F603" s="1973">
        <v>0</v>
      </c>
      <c r="G603" s="1970">
        <v>783224.88318000035</v>
      </c>
      <c r="H603" s="1966">
        <v>383993.45012200036</v>
      </c>
      <c r="I603" s="1972"/>
      <c r="J603" s="2014">
        <f t="shared" si="75"/>
        <v>1167218.3333020008</v>
      </c>
      <c r="K603" s="1947"/>
      <c r="L603" s="1947"/>
      <c r="M603" s="1968"/>
      <c r="N603" s="1967">
        <f t="shared" si="76"/>
        <v>0</v>
      </c>
    </row>
    <row r="604" spans="1:14">
      <c r="A604" s="1950">
        <v>11</v>
      </c>
      <c r="B604" s="1846" t="s">
        <v>290</v>
      </c>
      <c r="C604" s="1830">
        <v>10</v>
      </c>
      <c r="D604" s="1946">
        <f t="shared" si="74"/>
        <v>1128833.8746882596</v>
      </c>
      <c r="E604" s="1973"/>
      <c r="F604" s="1973">
        <v>18944</v>
      </c>
      <c r="G604" s="1970">
        <v>445478.97182397445</v>
      </c>
      <c r="H604" s="1971">
        <v>664410.90286428505</v>
      </c>
      <c r="I604" s="1965"/>
      <c r="J604" s="2014">
        <f t="shared" si="75"/>
        <v>1109889.8746882596</v>
      </c>
      <c r="K604" s="1947"/>
      <c r="L604" s="1947"/>
      <c r="M604" s="1968"/>
      <c r="N604" s="1967">
        <f t="shared" si="76"/>
        <v>0</v>
      </c>
    </row>
    <row r="605" spans="1:14">
      <c r="A605" s="1950">
        <v>12</v>
      </c>
      <c r="B605" s="1846" t="s">
        <v>291</v>
      </c>
      <c r="C605" s="1830">
        <v>11</v>
      </c>
      <c r="D605" s="1946">
        <f t="shared" si="74"/>
        <v>189254.60551991154</v>
      </c>
      <c r="E605" s="1973"/>
      <c r="F605" s="1973">
        <v>4461.4163660341101</v>
      </c>
      <c r="G605" s="1970">
        <v>12142.736530386741</v>
      </c>
      <c r="H605" s="1971">
        <v>172650.45262349071</v>
      </c>
      <c r="I605" s="1965"/>
      <c r="J605" s="2014">
        <f t="shared" si="75"/>
        <v>184793.18915387744</v>
      </c>
      <c r="K605" s="1947"/>
      <c r="L605" s="1947"/>
      <c r="M605" s="1968"/>
      <c r="N605" s="1967">
        <f t="shared" si="76"/>
        <v>0</v>
      </c>
    </row>
    <row r="606" spans="1:14" ht="26.45">
      <c r="A606" s="1950">
        <v>13</v>
      </c>
      <c r="B606" s="1846" t="s">
        <v>292</v>
      </c>
      <c r="C606" s="1830">
        <v>12</v>
      </c>
      <c r="D606" s="1946">
        <f t="shared" si="74"/>
        <v>415236.70637000003</v>
      </c>
      <c r="E606" s="1973"/>
      <c r="F606" s="1973">
        <v>266468.72550000006</v>
      </c>
      <c r="G606" s="1970">
        <v>0</v>
      </c>
      <c r="H606" s="1971">
        <v>148767.98087</v>
      </c>
      <c r="I606" s="1965"/>
      <c r="J606" s="2014">
        <f t="shared" si="75"/>
        <v>148767.98087</v>
      </c>
      <c r="K606" s="1947"/>
      <c r="L606" s="1947"/>
      <c r="M606" s="1968"/>
      <c r="N606" s="1967">
        <f t="shared" si="76"/>
        <v>0</v>
      </c>
    </row>
    <row r="607" spans="1:14">
      <c r="A607" s="1950">
        <v>14</v>
      </c>
      <c r="B607" s="1829" t="s">
        <v>293</v>
      </c>
      <c r="C607" s="1830">
        <v>13</v>
      </c>
      <c r="D607" s="1946">
        <f t="shared" si="74"/>
        <v>96313.986000000004</v>
      </c>
      <c r="E607" s="1973"/>
      <c r="F607" s="1973"/>
      <c r="G607" s="1970">
        <v>34080.968000000001</v>
      </c>
      <c r="H607" s="1966">
        <v>62233.017999999996</v>
      </c>
      <c r="I607" s="1972"/>
      <c r="J607" s="2014">
        <f t="shared" si="75"/>
        <v>96313.986000000004</v>
      </c>
      <c r="K607" s="1947"/>
      <c r="L607" s="1947"/>
      <c r="M607" s="1968"/>
      <c r="N607" s="1967">
        <f t="shared" si="76"/>
        <v>0</v>
      </c>
    </row>
    <row r="608" spans="1:14">
      <c r="A608" s="1950">
        <v>15</v>
      </c>
      <c r="B608" s="1829" t="s">
        <v>294</v>
      </c>
      <c r="C608" s="1836">
        <v>14</v>
      </c>
      <c r="D608" s="1946">
        <f t="shared" si="74"/>
        <v>0</v>
      </c>
      <c r="E608" s="1973"/>
      <c r="F608" s="1973"/>
      <c r="G608" s="1970"/>
      <c r="H608" s="1966"/>
      <c r="I608" s="1972"/>
      <c r="J608" s="2014">
        <f t="shared" si="75"/>
        <v>0</v>
      </c>
      <c r="K608" s="1947"/>
      <c r="L608" s="1947"/>
      <c r="M608" s="1968"/>
      <c r="N608" s="1967">
        <f t="shared" si="76"/>
        <v>0</v>
      </c>
    </row>
    <row r="609" spans="1:14">
      <c r="A609" s="1950">
        <v>16</v>
      </c>
      <c r="B609" s="1829" t="s">
        <v>295</v>
      </c>
      <c r="C609" s="1830">
        <v>15</v>
      </c>
      <c r="D609" s="1946">
        <f t="shared" si="74"/>
        <v>11696.646000000001</v>
      </c>
      <c r="E609" s="1973"/>
      <c r="F609" s="1973"/>
      <c r="G609" s="1970">
        <v>11696.646000000001</v>
      </c>
      <c r="H609" s="1966">
        <v>0</v>
      </c>
      <c r="I609" s="1972"/>
      <c r="J609" s="2014">
        <f t="shared" si="75"/>
        <v>11696.646000000001</v>
      </c>
      <c r="K609" s="1947"/>
      <c r="L609" s="1947"/>
      <c r="M609" s="1968"/>
      <c r="N609" s="1967">
        <f t="shared" si="76"/>
        <v>0</v>
      </c>
    </row>
    <row r="610" spans="1:14">
      <c r="A610" s="1950">
        <v>17</v>
      </c>
      <c r="B610" s="1829" t="s">
        <v>296</v>
      </c>
      <c r="C610" s="1836">
        <v>16</v>
      </c>
      <c r="D610" s="1946">
        <f t="shared" si="74"/>
        <v>72121.194830000008</v>
      </c>
      <c r="E610" s="1973"/>
      <c r="F610" s="1973">
        <v>32408.736860000001</v>
      </c>
      <c r="G610" s="1970">
        <v>26505.624370000001</v>
      </c>
      <c r="H610" s="1971">
        <v>13206.833599999998</v>
      </c>
      <c r="I610" s="1965"/>
      <c r="J610" s="2014">
        <f t="shared" si="75"/>
        <v>39712.457970000003</v>
      </c>
      <c r="K610" s="1947"/>
      <c r="L610" s="1947"/>
      <c r="M610" s="1968"/>
      <c r="N610" s="1967">
        <f t="shared" si="76"/>
        <v>0</v>
      </c>
    </row>
    <row r="611" spans="1:14">
      <c r="A611" s="1950">
        <v>18</v>
      </c>
      <c r="B611" s="1829" t="s">
        <v>297</v>
      </c>
      <c r="C611" s="1830"/>
      <c r="D611" s="1946">
        <f t="shared" si="74"/>
        <v>0</v>
      </c>
      <c r="E611" s="1973"/>
      <c r="F611" s="1973"/>
      <c r="G611" s="1970"/>
      <c r="H611" s="1966"/>
      <c r="I611" s="1972"/>
      <c r="J611" s="2014">
        <f t="shared" si="75"/>
        <v>0</v>
      </c>
      <c r="K611" s="1947"/>
      <c r="L611" s="1947"/>
      <c r="M611" s="1968"/>
      <c r="N611" s="1967">
        <f t="shared" si="76"/>
        <v>0</v>
      </c>
    </row>
    <row r="612" spans="1:14" ht="15" thickBot="1">
      <c r="A612" s="1957">
        <v>19</v>
      </c>
      <c r="B612" s="1848" t="s">
        <v>298</v>
      </c>
      <c r="C612" s="1847"/>
      <c r="D612" s="3120">
        <f t="shared" si="74"/>
        <v>71394.09</v>
      </c>
      <c r="E612" s="3124"/>
      <c r="F612" s="3124">
        <v>0</v>
      </c>
      <c r="G612" s="3125">
        <v>28365.09</v>
      </c>
      <c r="H612" s="2002">
        <v>43029</v>
      </c>
      <c r="I612" s="2007"/>
      <c r="J612" s="3126">
        <f t="shared" si="75"/>
        <v>71394.09</v>
      </c>
      <c r="K612" s="3121"/>
      <c r="L612" s="3121"/>
      <c r="M612" s="969"/>
      <c r="N612" s="2019">
        <f t="shared" si="76"/>
        <v>0</v>
      </c>
    </row>
    <row r="613" spans="1:14" ht="27" thickBot="1">
      <c r="A613" s="1235">
        <v>20</v>
      </c>
      <c r="B613" s="1139" t="s">
        <v>299</v>
      </c>
      <c r="C613" s="1138"/>
      <c r="D613" s="1236">
        <f t="shared" si="74"/>
        <v>3498535.1417701724</v>
      </c>
      <c r="E613" s="1236">
        <f>SUM(E590:E596)+E599+E602+SUM(E607:E612)</f>
        <v>0</v>
      </c>
      <c r="F613" s="1236">
        <f>SUM(F590:F596)+F599+F602+SUM(F607:F612)</f>
        <v>421423.5840760342</v>
      </c>
      <c r="G613" s="1236">
        <f>SUM(G590:G596)+G599+G602+SUM(G607:G612)</f>
        <v>1502256.1697158618</v>
      </c>
      <c r="H613" s="1264">
        <f>SUM(H590:H596)+H599+H602+SUM(H607:H612)</f>
        <v>1574855.3879782762</v>
      </c>
      <c r="I613" s="1265">
        <f>SUM(I590:I596)+I599+I602+SUM(I607:I612)</f>
        <v>0</v>
      </c>
      <c r="J613" s="1282">
        <f t="shared" si="75"/>
        <v>3077111.557694138</v>
      </c>
      <c r="K613" s="1236">
        <f>SUM(K590:K596)+K599+K602+SUM(K607:K612)</f>
        <v>0</v>
      </c>
      <c r="L613" s="1236">
        <f>SUM(L590:L596)+L599+L602+SUM(L607:L612)</f>
        <v>0</v>
      </c>
      <c r="M613" s="1264">
        <f>SUM(M590:M596)+M599+M602+SUM(M607:M612)</f>
        <v>0</v>
      </c>
      <c r="N613" s="1237">
        <f t="shared" si="76"/>
        <v>0</v>
      </c>
    </row>
    <row r="614" spans="1:14">
      <c r="A614" s="1227"/>
      <c r="B614" s="1225" t="s">
        <v>300</v>
      </c>
      <c r="C614" s="1133"/>
      <c r="D614" s="1230">
        <f t="shared" si="74"/>
        <v>0</v>
      </c>
      <c r="E614" s="677"/>
      <c r="F614" s="677"/>
      <c r="G614" s="674"/>
      <c r="H614" s="675"/>
      <c r="I614" s="678"/>
      <c r="J614" s="1245">
        <f t="shared" si="75"/>
        <v>0</v>
      </c>
      <c r="K614" s="914"/>
      <c r="L614" s="914"/>
      <c r="M614" s="967"/>
      <c r="N614" s="1231">
        <f t="shared" si="76"/>
        <v>0</v>
      </c>
    </row>
    <row r="615" spans="1:14">
      <c r="A615" s="1950"/>
      <c r="B615" s="1959" t="s">
        <v>301</v>
      </c>
      <c r="C615" s="1830"/>
      <c r="D615" s="1946">
        <f t="shared" si="74"/>
        <v>0</v>
      </c>
      <c r="E615" s="1973"/>
      <c r="F615" s="1973"/>
      <c r="G615" s="1970"/>
      <c r="H615" s="1966"/>
      <c r="I615" s="1972"/>
      <c r="J615" s="2014">
        <f t="shared" si="75"/>
        <v>0</v>
      </c>
      <c r="K615" s="1947"/>
      <c r="L615" s="1947"/>
      <c r="M615" s="1968"/>
      <c r="N615" s="1967">
        <f t="shared" si="76"/>
        <v>0</v>
      </c>
    </row>
    <row r="616" spans="1:14">
      <c r="A616" s="1950">
        <v>21</v>
      </c>
      <c r="B616" s="1829" t="s">
        <v>302</v>
      </c>
      <c r="C616" s="1836">
        <v>17</v>
      </c>
      <c r="D616" s="1946">
        <f t="shared" si="74"/>
        <v>2928301.665</v>
      </c>
      <c r="E616" s="1973"/>
      <c r="F616" s="1973"/>
      <c r="G616" s="1970">
        <v>1421486.8870000001</v>
      </c>
      <c r="H616" s="1966">
        <v>1506814.7779999999</v>
      </c>
      <c r="I616" s="1972"/>
      <c r="J616" s="2014">
        <f t="shared" si="75"/>
        <v>2928301.665</v>
      </c>
      <c r="K616" s="1947"/>
      <c r="L616" s="1947"/>
      <c r="M616" s="1968"/>
      <c r="N616" s="1967">
        <f t="shared" si="76"/>
        <v>0</v>
      </c>
    </row>
    <row r="617" spans="1:14">
      <c r="A617" s="1950">
        <v>22</v>
      </c>
      <c r="B617" s="1829" t="s">
        <v>303</v>
      </c>
      <c r="C617" s="1830"/>
      <c r="D617" s="1946">
        <f t="shared" si="74"/>
        <v>20533.557000000001</v>
      </c>
      <c r="E617" s="1973"/>
      <c r="F617" s="1973">
        <v>20533.557000000001</v>
      </c>
      <c r="G617" s="1970"/>
      <c r="H617" s="1966"/>
      <c r="I617" s="1972"/>
      <c r="J617" s="2014">
        <f t="shared" si="75"/>
        <v>0</v>
      </c>
      <c r="K617" s="1947"/>
      <c r="L617" s="1947"/>
      <c r="M617" s="1968"/>
      <c r="N617" s="1967">
        <f t="shared" si="76"/>
        <v>0</v>
      </c>
    </row>
    <row r="618" spans="1:14">
      <c r="A618" s="1950">
        <v>23</v>
      </c>
      <c r="B618" s="1829" t="s">
        <v>304</v>
      </c>
      <c r="C618" s="1830">
        <v>18</v>
      </c>
      <c r="D618" s="1946">
        <f t="shared" si="74"/>
        <v>0</v>
      </c>
      <c r="E618" s="1973"/>
      <c r="F618" s="1973"/>
      <c r="G618" s="1970"/>
      <c r="H618" s="1966"/>
      <c r="I618" s="1972"/>
      <c r="J618" s="2014">
        <f t="shared" si="75"/>
        <v>0</v>
      </c>
      <c r="K618" s="1947"/>
      <c r="L618" s="1947"/>
      <c r="M618" s="1968"/>
      <c r="N618" s="1967">
        <f t="shared" si="76"/>
        <v>0</v>
      </c>
    </row>
    <row r="619" spans="1:14">
      <c r="A619" s="1950">
        <v>24</v>
      </c>
      <c r="B619" s="1829" t="s">
        <v>305</v>
      </c>
      <c r="C619" s="1830"/>
      <c r="D619" s="1946">
        <f t="shared" si="74"/>
        <v>0</v>
      </c>
      <c r="E619" s="1973"/>
      <c r="F619" s="1973"/>
      <c r="G619" s="1970"/>
      <c r="H619" s="1966"/>
      <c r="I619" s="1972"/>
      <c r="J619" s="2014">
        <f t="shared" si="75"/>
        <v>0</v>
      </c>
      <c r="K619" s="1947"/>
      <c r="L619" s="1947"/>
      <c r="M619" s="1968"/>
      <c r="N619" s="1967">
        <f t="shared" si="76"/>
        <v>0</v>
      </c>
    </row>
    <row r="620" spans="1:14">
      <c r="A620" s="1950">
        <v>25</v>
      </c>
      <c r="B620" s="1851" t="s">
        <v>306</v>
      </c>
      <c r="C620" s="1830"/>
      <c r="D620" s="1946">
        <f t="shared" si="74"/>
        <v>0</v>
      </c>
      <c r="E620" s="1973"/>
      <c r="F620" s="1973"/>
      <c r="G620" s="1970"/>
      <c r="H620" s="1966"/>
      <c r="I620" s="1972"/>
      <c r="J620" s="2014">
        <f t="shared" si="75"/>
        <v>0</v>
      </c>
      <c r="K620" s="1947"/>
      <c r="L620" s="1947"/>
      <c r="M620" s="1968"/>
      <c r="N620" s="1967">
        <f t="shared" si="76"/>
        <v>0</v>
      </c>
    </row>
    <row r="621" spans="1:14" ht="15" thickBot="1">
      <c r="A621" s="1957">
        <v>26</v>
      </c>
      <c r="B621" s="1848" t="s">
        <v>307</v>
      </c>
      <c r="C621" s="1852">
        <v>19</v>
      </c>
      <c r="D621" s="3120">
        <f t="shared" si="74"/>
        <v>219331.92614</v>
      </c>
      <c r="E621" s="3124"/>
      <c r="F621" s="3124">
        <v>70521.718200000003</v>
      </c>
      <c r="G621" s="3125">
        <v>80769.428313888304</v>
      </c>
      <c r="H621" s="945">
        <v>68040.779626111689</v>
      </c>
      <c r="I621" s="1988"/>
      <c r="J621" s="3126">
        <f t="shared" si="75"/>
        <v>148810.20793999999</v>
      </c>
      <c r="K621" s="3121"/>
      <c r="L621" s="3121"/>
      <c r="M621" s="969"/>
      <c r="N621" s="2019">
        <f t="shared" si="76"/>
        <v>0</v>
      </c>
    </row>
    <row r="622" spans="1:14" ht="27" thickBot="1">
      <c r="A622" s="1226">
        <v>27</v>
      </c>
      <c r="B622" s="1136" t="s">
        <v>308</v>
      </c>
      <c r="C622" s="1135"/>
      <c r="D622" s="1241">
        <f t="shared" si="74"/>
        <v>3168167.1481400002</v>
      </c>
      <c r="E622" s="934">
        <f>SUM(E616:E621)</f>
        <v>0</v>
      </c>
      <c r="F622" s="934">
        <f>SUM(F616:F621)</f>
        <v>91055.275200000004</v>
      </c>
      <c r="G622" s="934">
        <f>SUM(G616:G621)</f>
        <v>1502256.3153138885</v>
      </c>
      <c r="H622" s="946">
        <f>SUM(H616:H621)</f>
        <v>1574855.5576261117</v>
      </c>
      <c r="I622" s="938">
        <f>SUM(I616:I621)</f>
        <v>0</v>
      </c>
      <c r="J622" s="1244">
        <f t="shared" si="75"/>
        <v>3077111.8729400001</v>
      </c>
      <c r="K622" s="934">
        <f>SUM(K616:K621)</f>
        <v>0</v>
      </c>
      <c r="L622" s="934">
        <f>SUM(L616:L621)</f>
        <v>0</v>
      </c>
      <c r="M622" s="946">
        <f>SUM(M616:M621)</f>
        <v>0</v>
      </c>
      <c r="N622" s="1261">
        <f t="shared" si="76"/>
        <v>0</v>
      </c>
    </row>
    <row r="623" spans="1:14">
      <c r="A623" s="1227"/>
      <c r="B623" s="1225" t="s">
        <v>309</v>
      </c>
      <c r="C623" s="1133">
        <v>20</v>
      </c>
      <c r="D623" s="1230">
        <f t="shared" si="74"/>
        <v>0</v>
      </c>
      <c r="E623" s="677"/>
      <c r="F623" s="677"/>
      <c r="G623" s="674"/>
      <c r="H623" s="675"/>
      <c r="I623" s="678"/>
      <c r="J623" s="1245">
        <f t="shared" si="75"/>
        <v>0</v>
      </c>
      <c r="K623" s="914"/>
      <c r="L623" s="914"/>
      <c r="M623" s="967"/>
      <c r="N623" s="1231">
        <f t="shared" si="76"/>
        <v>0</v>
      </c>
    </row>
    <row r="624" spans="1:14">
      <c r="A624" s="1950">
        <v>28</v>
      </c>
      <c r="B624" s="1945" t="s">
        <v>310</v>
      </c>
      <c r="C624" s="1836"/>
      <c r="D624" s="1946">
        <f t="shared" si="74"/>
        <v>839015.83837000001</v>
      </c>
      <c r="E624" s="1973"/>
      <c r="F624" s="1973">
        <v>839015.83837000001</v>
      </c>
      <c r="G624" s="1970"/>
      <c r="H624" s="1966"/>
      <c r="I624" s="1972"/>
      <c r="J624" s="2014">
        <f t="shared" si="75"/>
        <v>0</v>
      </c>
      <c r="K624" s="1947"/>
      <c r="L624" s="1947"/>
      <c r="M624" s="1968"/>
      <c r="N624" s="1967">
        <f t="shared" si="76"/>
        <v>0</v>
      </c>
    </row>
    <row r="625" spans="1:14">
      <c r="A625" s="1950">
        <v>29</v>
      </c>
      <c r="B625" s="1945" t="s">
        <v>311</v>
      </c>
      <c r="C625" s="1836"/>
      <c r="D625" s="1946">
        <f t="shared" si="74"/>
        <v>-14670.974999999999</v>
      </c>
      <c r="E625" s="1973"/>
      <c r="F625" s="1973">
        <v>-14670.974999999999</v>
      </c>
      <c r="G625" s="1970"/>
      <c r="H625" s="1966"/>
      <c r="I625" s="1972"/>
      <c r="J625" s="2014">
        <f t="shared" si="75"/>
        <v>0</v>
      </c>
      <c r="K625" s="1947"/>
      <c r="L625" s="1947"/>
      <c r="M625" s="1968"/>
      <c r="N625" s="1967">
        <f t="shared" si="76"/>
        <v>0</v>
      </c>
    </row>
    <row r="626" spans="1:14">
      <c r="A626" s="1950">
        <v>30</v>
      </c>
      <c r="B626" s="1960" t="s">
        <v>312</v>
      </c>
      <c r="C626" s="1852"/>
      <c r="D626" s="1946">
        <f t="shared" si="74"/>
        <v>61899.216</v>
      </c>
      <c r="E626" s="1973"/>
      <c r="F626" s="3124">
        <v>61899.216</v>
      </c>
      <c r="G626" s="3125"/>
      <c r="H626" s="2002"/>
      <c r="I626" s="2007"/>
      <c r="J626" s="2014">
        <f t="shared" si="75"/>
        <v>0</v>
      </c>
      <c r="K626" s="1947"/>
      <c r="L626" s="1947"/>
      <c r="M626" s="1968"/>
      <c r="N626" s="1967">
        <f t="shared" si="76"/>
        <v>0</v>
      </c>
    </row>
    <row r="627" spans="1:14">
      <c r="A627" s="1950">
        <v>31</v>
      </c>
      <c r="B627" s="1945" t="s">
        <v>313</v>
      </c>
      <c r="C627" s="1836"/>
      <c r="D627" s="1946">
        <f t="shared" si="74"/>
        <v>0</v>
      </c>
      <c r="E627" s="1973"/>
      <c r="F627" s="3124"/>
      <c r="G627" s="3125"/>
      <c r="H627" s="2002"/>
      <c r="I627" s="2007"/>
      <c r="J627" s="2014">
        <f t="shared" si="75"/>
        <v>0</v>
      </c>
      <c r="K627" s="1947"/>
      <c r="L627" s="1947"/>
      <c r="M627" s="1968"/>
      <c r="N627" s="1967">
        <f t="shared" si="76"/>
        <v>0</v>
      </c>
    </row>
    <row r="628" spans="1:14" ht="15" thickBot="1">
      <c r="A628" s="1957">
        <v>32</v>
      </c>
      <c r="B628" s="1960" t="s">
        <v>314</v>
      </c>
      <c r="C628" s="1852"/>
      <c r="D628" s="3120">
        <f t="shared" si="74"/>
        <v>-555876.22512823169</v>
      </c>
      <c r="E628" s="3124"/>
      <c r="F628" s="3138">
        <v>-555876.22512823169</v>
      </c>
      <c r="G628" s="3125"/>
      <c r="H628" s="2002"/>
      <c r="I628" s="2007"/>
      <c r="J628" s="3126">
        <f t="shared" si="75"/>
        <v>0</v>
      </c>
      <c r="K628" s="3121"/>
      <c r="L628" s="3121"/>
      <c r="M628" s="969"/>
      <c r="N628" s="2019">
        <f t="shared" si="76"/>
        <v>0</v>
      </c>
    </row>
    <row r="629" spans="1:14" ht="15" thickBot="1">
      <c r="A629" s="1226">
        <v>33</v>
      </c>
      <c r="B629" s="1137" t="s">
        <v>315</v>
      </c>
      <c r="C629" s="1135"/>
      <c r="D629" s="1242">
        <f t="shared" si="74"/>
        <v>330367.85424176836</v>
      </c>
      <c r="E629" s="939">
        <f>SUM(E624:E628)</f>
        <v>0</v>
      </c>
      <c r="F629" s="939">
        <f>SUM(F624:F628)</f>
        <v>330367.85424176836</v>
      </c>
      <c r="G629" s="939">
        <f>SUM(G624:G628)</f>
        <v>0</v>
      </c>
      <c r="H629" s="947">
        <f>SUM(H624:H628)</f>
        <v>0</v>
      </c>
      <c r="I629" s="962">
        <f>SUM(I624:I628)</f>
        <v>0</v>
      </c>
      <c r="J629" s="1246">
        <f t="shared" si="75"/>
        <v>0</v>
      </c>
      <c r="K629" s="939">
        <f>SUM(K624:K628)</f>
        <v>0</v>
      </c>
      <c r="L629" s="939">
        <f>SUM(L624:L628)</f>
        <v>0</v>
      </c>
      <c r="M629" s="947">
        <f>SUM(M624:M628)</f>
        <v>0</v>
      </c>
      <c r="N629" s="1263">
        <f t="shared" si="76"/>
        <v>0</v>
      </c>
    </row>
    <row r="630" spans="1:14" ht="27" thickBot="1">
      <c r="A630" s="1235">
        <v>34</v>
      </c>
      <c r="B630" s="1139" t="s">
        <v>317</v>
      </c>
      <c r="C630" s="1138"/>
      <c r="D630" s="1268">
        <f t="shared" si="74"/>
        <v>3498535.0023817685</v>
      </c>
      <c r="E630" s="1268">
        <f>E629+E622</f>
        <v>0</v>
      </c>
      <c r="F630" s="1268">
        <f>F629+F622</f>
        <v>421423.1294417684</v>
      </c>
      <c r="G630" s="1268">
        <f>G629+G622</f>
        <v>1502256.3153138885</v>
      </c>
      <c r="H630" s="1268">
        <f>H629+H622</f>
        <v>1574855.5576261117</v>
      </c>
      <c r="I630" s="1268">
        <f>I629+I622</f>
        <v>0</v>
      </c>
      <c r="J630" s="1277">
        <f t="shared" si="75"/>
        <v>3077111.8729400001</v>
      </c>
      <c r="K630" s="1268">
        <f>K629+K622</f>
        <v>0</v>
      </c>
      <c r="L630" s="1268">
        <f>L629+L622</f>
        <v>0</v>
      </c>
      <c r="M630" s="1269">
        <f>M629+M622</f>
        <v>0</v>
      </c>
      <c r="N630" s="1271">
        <f t="shared" si="76"/>
        <v>0</v>
      </c>
    </row>
    <row r="631" spans="1:14">
      <c r="B631"/>
      <c r="C631"/>
      <c r="D631"/>
      <c r="E631"/>
      <c r="F631"/>
      <c r="G631"/>
      <c r="H631"/>
      <c r="I631"/>
      <c r="J631"/>
      <c r="K631"/>
      <c r="L631"/>
      <c r="M631"/>
      <c r="N631"/>
    </row>
    <row r="632" spans="1:14">
      <c r="B632"/>
      <c r="C632"/>
      <c r="D632"/>
      <c r="E632"/>
      <c r="F632"/>
      <c r="G632"/>
      <c r="H632"/>
      <c r="I632"/>
      <c r="J632"/>
      <c r="K632"/>
      <c r="L632"/>
      <c r="M632"/>
      <c r="N632"/>
    </row>
    <row r="633" spans="1:14">
      <c r="B633"/>
      <c r="C633"/>
      <c r="D633"/>
      <c r="E633"/>
      <c r="F633"/>
      <c r="G633"/>
      <c r="H633"/>
      <c r="I633"/>
      <c r="J633"/>
      <c r="K633"/>
      <c r="L633"/>
      <c r="M633"/>
      <c r="N633"/>
    </row>
    <row r="636" spans="1:14" ht="15" thickBot="1"/>
    <row r="637" spans="1:14" ht="15" thickBot="1">
      <c r="A637" s="1153" t="s">
        <v>134</v>
      </c>
      <c r="B637" s="3303" t="s">
        <v>107</v>
      </c>
      <c r="C637" s="3304"/>
      <c r="D637" s="662"/>
      <c r="E637" s="662"/>
      <c r="F637" s="662"/>
      <c r="G637" s="662"/>
      <c r="H637" s="662"/>
      <c r="I637" s="662"/>
      <c r="J637" s="662"/>
      <c r="K637" s="662"/>
      <c r="L637" s="662"/>
      <c r="M637" s="3292"/>
      <c r="N637" s="3292" t="s">
        <v>257</v>
      </c>
    </row>
    <row r="638" spans="1:14" ht="13.5" customHeight="1" thickBot="1">
      <c r="A638" s="3311" t="s">
        <v>258</v>
      </c>
      <c r="B638" s="1212"/>
      <c r="C638" s="3280" t="s">
        <v>259</v>
      </c>
      <c r="D638" s="3314" t="s">
        <v>260</v>
      </c>
      <c r="E638" s="3314" t="s">
        <v>261</v>
      </c>
      <c r="F638" s="3314" t="s">
        <v>262</v>
      </c>
      <c r="G638" s="3324" t="s">
        <v>263</v>
      </c>
      <c r="H638" s="3325"/>
      <c r="I638" s="3325"/>
      <c r="J638" s="3325"/>
      <c r="K638" s="3325"/>
      <c r="L638" s="3325"/>
      <c r="M638" s="3325"/>
      <c r="N638" s="3326"/>
    </row>
    <row r="639" spans="1:14" ht="13.5" customHeight="1" thickBot="1">
      <c r="A639" s="3312"/>
      <c r="B639" s="1213"/>
      <c r="C639" s="3281"/>
      <c r="D639" s="3315"/>
      <c r="E639" s="3315"/>
      <c r="F639" s="3315"/>
      <c r="G639" s="3289" t="s">
        <v>264</v>
      </c>
      <c r="H639" s="3290"/>
      <c r="I639" s="3290"/>
      <c r="J639" s="3291"/>
      <c r="K639" s="3318" t="s">
        <v>265</v>
      </c>
      <c r="L639" s="3319"/>
      <c r="M639" s="3319"/>
      <c r="N639" s="3320"/>
    </row>
    <row r="640" spans="1:14" ht="40.15" thickBot="1">
      <c r="A640" s="3312"/>
      <c r="B640" s="1214"/>
      <c r="C640" s="3281"/>
      <c r="D640" s="3316"/>
      <c r="E640" s="3316"/>
      <c r="F640" s="3316"/>
      <c r="G640" s="1125" t="s">
        <v>267</v>
      </c>
      <c r="H640" s="1125" t="s">
        <v>268</v>
      </c>
      <c r="I640" s="1125" t="s">
        <v>269</v>
      </c>
      <c r="J640" s="1125" t="s">
        <v>160</v>
      </c>
      <c r="K640" s="1126" t="s">
        <v>270</v>
      </c>
      <c r="L640" s="1126" t="s">
        <v>271</v>
      </c>
      <c r="M640" s="1126" t="s">
        <v>272</v>
      </c>
      <c r="N640" s="2969" t="s">
        <v>160</v>
      </c>
    </row>
    <row r="641" spans="1:42" ht="15" thickBot="1">
      <c r="A641" s="3312"/>
      <c r="B641" s="1213"/>
      <c r="C641" s="3281"/>
      <c r="D641" s="1215">
        <v>1</v>
      </c>
      <c r="E641" s="1216">
        <v>2</v>
      </c>
      <c r="F641" s="1216">
        <v>3</v>
      </c>
      <c r="G641" s="1217">
        <v>4</v>
      </c>
      <c r="H641" s="1216">
        <v>5</v>
      </c>
      <c r="I641" s="1218">
        <v>6</v>
      </c>
      <c r="J641" s="2971">
        <v>7</v>
      </c>
      <c r="K641" s="1217">
        <v>8</v>
      </c>
      <c r="L641" s="1216">
        <v>9</v>
      </c>
      <c r="M641" s="1238">
        <v>10</v>
      </c>
      <c r="N641" s="1215">
        <v>11</v>
      </c>
    </row>
    <row r="642" spans="1:42" ht="15" thickBot="1">
      <c r="A642" s="3313"/>
      <c r="B642" s="1219"/>
      <c r="C642" s="3282"/>
      <c r="D642" s="1220"/>
      <c r="E642" s="1220"/>
      <c r="F642" s="1220"/>
      <c r="G642" s="1221"/>
      <c r="H642" s="1220"/>
      <c r="I642" s="1222"/>
      <c r="J642" s="1222" t="s">
        <v>273</v>
      </c>
      <c r="K642" s="1221"/>
      <c r="L642" s="1220"/>
      <c r="M642" s="1667"/>
      <c r="N642" s="1293" t="s">
        <v>274</v>
      </c>
    </row>
    <row r="643" spans="1:42">
      <c r="A643" s="1158"/>
      <c r="B643" s="1159" t="s">
        <v>275</v>
      </c>
      <c r="C643" s="1158"/>
      <c r="D643" s="1827"/>
      <c r="E643" s="980"/>
      <c r="F643" s="980"/>
      <c r="G643" s="981"/>
      <c r="H643" s="982"/>
      <c r="I643" s="983"/>
      <c r="J643" s="1195"/>
      <c r="K643" s="984"/>
      <c r="L643" s="985"/>
      <c r="M643" s="986"/>
      <c r="N643" s="1207"/>
    </row>
    <row r="644" spans="1:42">
      <c r="A644" s="1828">
        <v>1</v>
      </c>
      <c r="B644" s="1829" t="s">
        <v>276</v>
      </c>
      <c r="C644" s="1830"/>
      <c r="D644" s="1831">
        <f t="shared" ref="D644:D684" si="77">+E644+F644+J644+N644</f>
        <v>0</v>
      </c>
      <c r="E644" s="2062"/>
      <c r="F644" s="2062"/>
      <c r="G644" s="2063"/>
      <c r="H644" s="2064"/>
      <c r="I644" s="2065"/>
      <c r="J644" s="1833">
        <f t="shared" ref="J644:J663" si="78">G644+H644+I644</f>
        <v>0</v>
      </c>
      <c r="K644" s="1832"/>
      <c r="L644" s="1832"/>
      <c r="M644" s="1834"/>
      <c r="N644" s="1835">
        <f t="shared" ref="N644:N684" si="79">K644+L644+M644</f>
        <v>0</v>
      </c>
      <c r="AG644" s="2983"/>
      <c r="AH644" s="2983"/>
      <c r="AI644" s="2977"/>
      <c r="AJ644" s="2977"/>
      <c r="AK644" s="2977">
        <f>I644-'[2]Sheet 7 BS - 2019 &amp; 2018 -LI'!H17</f>
        <v>0</v>
      </c>
      <c r="AL644" s="2977">
        <f>J644-'[2]Sheet 7 BS - 2019 &amp; 2018 -LI'!I17</f>
        <v>0</v>
      </c>
      <c r="AM644" s="2977">
        <f>K644-'[2]Sheet 7 BS - 2019 &amp; 2018 -LI'!J17</f>
        <v>0</v>
      </c>
      <c r="AN644" s="2977">
        <f>L644-'[2]Sheet 7 BS - 2019 &amp; 2018 -LI'!K17</f>
        <v>0</v>
      </c>
      <c r="AO644" s="2977">
        <f>M644-'[2]Sheet 7 BS - 2019 &amp; 2018 -LI'!L17</f>
        <v>0</v>
      </c>
      <c r="AP644" s="2977">
        <f>N644-'[2]Sheet 7 BS - 2019 &amp; 2018 -LI'!M17</f>
        <v>0</v>
      </c>
    </row>
    <row r="645" spans="1:42">
      <c r="A645" s="1828">
        <v>2</v>
      </c>
      <c r="B645" s="1829" t="s">
        <v>277</v>
      </c>
      <c r="C645" s="1830"/>
      <c r="D645" s="1831">
        <f t="shared" si="77"/>
        <v>12227.97892</v>
      </c>
      <c r="E645" s="2062"/>
      <c r="F645" s="2062">
        <v>12227.97892</v>
      </c>
      <c r="G645" s="2063"/>
      <c r="H645" s="2064"/>
      <c r="I645" s="2065"/>
      <c r="J645" s="1833">
        <f t="shared" si="78"/>
        <v>0</v>
      </c>
      <c r="K645" s="1832"/>
      <c r="L645" s="1832"/>
      <c r="M645" s="1834"/>
      <c r="N645" s="1835">
        <f t="shared" si="79"/>
        <v>0</v>
      </c>
      <c r="AG645" s="2983"/>
      <c r="AH645" s="2983"/>
      <c r="AI645" s="2977"/>
      <c r="AJ645" s="2977"/>
      <c r="AK645" s="2977">
        <f>I645-'[2]Sheet 7 BS - 2019 &amp; 2018 -LI'!H18</f>
        <v>0</v>
      </c>
      <c r="AL645" s="2977">
        <f>J645-'[2]Sheet 7 BS - 2019 &amp; 2018 -LI'!I18</f>
        <v>0</v>
      </c>
      <c r="AM645" s="2977">
        <f>K645-'[2]Sheet 7 BS - 2019 &amp; 2018 -LI'!J18</f>
        <v>0</v>
      </c>
      <c r="AN645" s="2977">
        <f>L645-'[2]Sheet 7 BS - 2019 &amp; 2018 -LI'!K18</f>
        <v>0</v>
      </c>
      <c r="AO645" s="2977">
        <f>M645-'[2]Sheet 7 BS - 2019 &amp; 2018 -LI'!L18</f>
        <v>0</v>
      </c>
      <c r="AP645" s="2977">
        <f>N645-'[2]Sheet 7 BS - 2019 &amp; 2018 -LI'!M18</f>
        <v>0</v>
      </c>
    </row>
    <row r="646" spans="1:42">
      <c r="A646" s="1828">
        <v>3</v>
      </c>
      <c r="B646" s="1829" t="s">
        <v>278</v>
      </c>
      <c r="C646" s="1830"/>
      <c r="D646" s="1831">
        <f t="shared" si="77"/>
        <v>0</v>
      </c>
      <c r="E646" s="2062"/>
      <c r="F646" s="2062"/>
      <c r="G646" s="2063"/>
      <c r="H646" s="2064"/>
      <c r="I646" s="2065"/>
      <c r="J646" s="1833">
        <f t="shared" si="78"/>
        <v>0</v>
      </c>
      <c r="K646" s="1832"/>
      <c r="L646" s="1832"/>
      <c r="M646" s="1834"/>
      <c r="N646" s="1835">
        <f t="shared" si="79"/>
        <v>0</v>
      </c>
      <c r="AG646" s="2983"/>
      <c r="AH646" s="2983"/>
      <c r="AI646" s="2977"/>
      <c r="AJ646" s="2977"/>
      <c r="AK646" s="2977">
        <f>I646-'[2]Sheet 7 BS - 2019 &amp; 2018 -LI'!H19</f>
        <v>0</v>
      </c>
      <c r="AL646" s="2977">
        <f>J646-'[2]Sheet 7 BS - 2019 &amp; 2018 -LI'!I19</f>
        <v>0</v>
      </c>
      <c r="AM646" s="2977">
        <f>K646-'[2]Sheet 7 BS - 2019 &amp; 2018 -LI'!J19</f>
        <v>0</v>
      </c>
      <c r="AN646" s="2977">
        <f>L646-'[2]Sheet 7 BS - 2019 &amp; 2018 -LI'!K19</f>
        <v>0</v>
      </c>
      <c r="AO646" s="2977">
        <f>M646-'[2]Sheet 7 BS - 2019 &amp; 2018 -LI'!L19</f>
        <v>0</v>
      </c>
      <c r="AP646" s="2977">
        <f>N646-'[2]Sheet 7 BS - 2019 &amp; 2018 -LI'!M19</f>
        <v>0</v>
      </c>
    </row>
    <row r="647" spans="1:42">
      <c r="A647" s="1828">
        <v>4</v>
      </c>
      <c r="B647" s="1829" t="s">
        <v>324</v>
      </c>
      <c r="C647" s="1830"/>
      <c r="D647" s="1831">
        <f t="shared" si="77"/>
        <v>104260.063130946</v>
      </c>
      <c r="E647" s="2062"/>
      <c r="F647" s="2062"/>
      <c r="G647" s="2063"/>
      <c r="H647" s="2064">
        <v>104260.063130946</v>
      </c>
      <c r="I647" s="2065"/>
      <c r="J647" s="1833">
        <f t="shared" si="78"/>
        <v>104260.063130946</v>
      </c>
      <c r="K647" s="1832"/>
      <c r="L647" s="1832"/>
      <c r="M647" s="1834"/>
      <c r="N647" s="1835">
        <f t="shared" si="79"/>
        <v>0</v>
      </c>
      <c r="AG647" s="2983"/>
      <c r="AH647" s="2983"/>
      <c r="AI647" s="2977"/>
      <c r="AJ647" s="2977"/>
      <c r="AK647" s="2977"/>
      <c r="AL647" s="2977"/>
      <c r="AM647" s="2977"/>
      <c r="AN647" s="2977"/>
      <c r="AO647" s="2977"/>
      <c r="AP647" s="2977"/>
    </row>
    <row r="648" spans="1:42">
      <c r="A648" s="1828">
        <v>5</v>
      </c>
      <c r="B648" s="1829" t="s">
        <v>280</v>
      </c>
      <c r="C648" s="1836">
        <v>5</v>
      </c>
      <c r="D648" s="1831">
        <f t="shared" si="77"/>
        <v>15429.813210000004</v>
      </c>
      <c r="E648" s="2062"/>
      <c r="F648" s="2062">
        <v>15429.813210000004</v>
      </c>
      <c r="G648" s="2063"/>
      <c r="H648" s="2064"/>
      <c r="I648" s="2065"/>
      <c r="J648" s="1833">
        <f t="shared" si="78"/>
        <v>0</v>
      </c>
      <c r="K648" s="1832"/>
      <c r="L648" s="1832"/>
      <c r="M648" s="1834"/>
      <c r="N648" s="1835">
        <f t="shared" si="79"/>
        <v>0</v>
      </c>
      <c r="AG648" s="2983"/>
      <c r="AH648" s="2983"/>
      <c r="AI648" s="2977"/>
      <c r="AJ648" s="2977"/>
      <c r="AK648" s="2977">
        <f>I648-'[2]Sheet 7 BS - 2019 &amp; 2018 -LI'!H20</f>
        <v>0</v>
      </c>
      <c r="AL648" s="2977">
        <f>J648-'[2]Sheet 7 BS - 2019 &amp; 2018 -LI'!I20</f>
        <v>0</v>
      </c>
      <c r="AM648" s="2977">
        <f>K648-'[2]Sheet 7 BS - 2019 &amp; 2018 -LI'!J20</f>
        <v>0</v>
      </c>
      <c r="AN648" s="2977">
        <f>L648-'[2]Sheet 7 BS - 2019 &amp; 2018 -LI'!K20</f>
        <v>0</v>
      </c>
      <c r="AO648" s="2977">
        <f>M648-'[2]Sheet 7 BS - 2019 &amp; 2018 -LI'!L20</f>
        <v>0</v>
      </c>
      <c r="AP648" s="2977">
        <f>N648-'[2]Sheet 7 BS - 2019 &amp; 2018 -LI'!M20</f>
        <v>0</v>
      </c>
    </row>
    <row r="649" spans="1:42">
      <c r="A649" s="1828">
        <v>6</v>
      </c>
      <c r="B649" s="1829" t="s">
        <v>281</v>
      </c>
      <c r="C649" s="1830">
        <v>6</v>
      </c>
      <c r="D649" s="1831">
        <f t="shared" si="77"/>
        <v>0</v>
      </c>
      <c r="E649" s="2062"/>
      <c r="F649" s="2062"/>
      <c r="G649" s="2063"/>
      <c r="H649" s="2064"/>
      <c r="I649" s="2065"/>
      <c r="J649" s="1833">
        <f t="shared" si="78"/>
        <v>0</v>
      </c>
      <c r="K649" s="1832"/>
      <c r="L649" s="1832"/>
      <c r="M649" s="1834"/>
      <c r="N649" s="1835">
        <f t="shared" si="79"/>
        <v>0</v>
      </c>
      <c r="AG649" s="2983"/>
      <c r="AH649" s="2983"/>
      <c r="AI649" s="2977"/>
      <c r="AJ649" s="2977"/>
      <c r="AK649" s="2977">
        <f>I649-'[2]Sheet 7 BS - 2019 &amp; 2018 -LI'!H21</f>
        <v>0</v>
      </c>
      <c r="AL649" s="2977">
        <f>J649-'[2]Sheet 7 BS - 2019 &amp; 2018 -LI'!I21</f>
        <v>0</v>
      </c>
      <c r="AM649" s="2977">
        <f>K649-'[2]Sheet 7 BS - 2019 &amp; 2018 -LI'!J21</f>
        <v>0</v>
      </c>
      <c r="AN649" s="2977">
        <f>L649-'[2]Sheet 7 BS - 2019 &amp; 2018 -LI'!K21</f>
        <v>0</v>
      </c>
      <c r="AO649" s="2977">
        <f>M649-'[2]Sheet 7 BS - 2019 &amp; 2018 -LI'!L21</f>
        <v>0</v>
      </c>
      <c r="AP649" s="2977">
        <f>N649-'[2]Sheet 7 BS - 2019 &amp; 2018 -LI'!M21</f>
        <v>0</v>
      </c>
    </row>
    <row r="650" spans="1:42">
      <c r="A650" s="1828">
        <v>7</v>
      </c>
      <c r="B650" s="1829" t="s">
        <v>282</v>
      </c>
      <c r="C650" s="1836">
        <v>7</v>
      </c>
      <c r="D650" s="1831">
        <f t="shared" si="77"/>
        <v>0</v>
      </c>
      <c r="E650" s="1832"/>
      <c r="F650" s="1832">
        <f>F651+F652</f>
        <v>0</v>
      </c>
      <c r="G650" s="1832">
        <f>G651+G652</f>
        <v>0</v>
      </c>
      <c r="H650" s="1834">
        <f>H651+H652</f>
        <v>0</v>
      </c>
      <c r="I650" s="1859">
        <f>I651+I652</f>
        <v>0</v>
      </c>
      <c r="J650" s="1833">
        <f t="shared" si="78"/>
        <v>0</v>
      </c>
      <c r="K650" s="1832">
        <f>K651+K652</f>
        <v>0</v>
      </c>
      <c r="L650" s="1832">
        <f>L651+L652</f>
        <v>0</v>
      </c>
      <c r="M650" s="1834">
        <f>M651+M652</f>
        <v>0</v>
      </c>
      <c r="N650" s="1835">
        <f t="shared" si="79"/>
        <v>0</v>
      </c>
      <c r="AG650" s="2983"/>
      <c r="AH650" s="2983"/>
      <c r="AI650" s="2977"/>
      <c r="AJ650" s="2977"/>
      <c r="AK650" s="2977">
        <f>I650-'[2]Sheet 7 BS - 2019 &amp; 2018 -LI'!H22</f>
        <v>0</v>
      </c>
      <c r="AL650" s="2977">
        <f>J650-'[2]Sheet 7 BS - 2019 &amp; 2018 -LI'!I22</f>
        <v>0</v>
      </c>
      <c r="AM650" s="2977">
        <f>K650-'[2]Sheet 7 BS - 2019 &amp; 2018 -LI'!J22</f>
        <v>0</v>
      </c>
      <c r="AN650" s="2977">
        <f>L650-'[2]Sheet 7 BS - 2019 &amp; 2018 -LI'!K22</f>
        <v>0</v>
      </c>
      <c r="AO650" s="2977">
        <f>M650-'[2]Sheet 7 BS - 2019 &amp; 2018 -LI'!L22</f>
        <v>0</v>
      </c>
      <c r="AP650" s="2977">
        <f>N650-'[2]Sheet 7 BS - 2019 &amp; 2018 -LI'!M22</f>
        <v>0</v>
      </c>
    </row>
    <row r="651" spans="1:42">
      <c r="A651" s="1830"/>
      <c r="B651" s="1837" t="s">
        <v>283</v>
      </c>
      <c r="C651" s="1836"/>
      <c r="D651" s="1831">
        <f t="shared" si="77"/>
        <v>0</v>
      </c>
      <c r="E651" s="1832"/>
      <c r="F651" s="1832"/>
      <c r="G651" s="1832"/>
      <c r="H651" s="1834"/>
      <c r="I651" s="1859"/>
      <c r="J651" s="1833">
        <f t="shared" si="78"/>
        <v>0</v>
      </c>
      <c r="K651" s="1832"/>
      <c r="L651" s="1832"/>
      <c r="M651" s="1834"/>
      <c r="N651" s="1835">
        <f t="shared" si="79"/>
        <v>0</v>
      </c>
      <c r="AG651" s="2983"/>
      <c r="AH651" s="2983"/>
      <c r="AI651" s="2977"/>
      <c r="AJ651" s="2977"/>
      <c r="AK651" s="2977">
        <f>I651-'[2]Sheet 7 BS - 2019 &amp; 2018 -LI'!H23</f>
        <v>0</v>
      </c>
      <c r="AL651" s="2977">
        <f>J651-'[2]Sheet 7 BS - 2019 &amp; 2018 -LI'!I23</f>
        <v>0</v>
      </c>
      <c r="AM651" s="2977">
        <f>K651-'[2]Sheet 7 BS - 2019 &amp; 2018 -LI'!J23</f>
        <v>0</v>
      </c>
      <c r="AN651" s="2977">
        <f>L651-'[2]Sheet 7 BS - 2019 &amp; 2018 -LI'!K23</f>
        <v>0</v>
      </c>
      <c r="AO651" s="2977">
        <f>M651-'[2]Sheet 7 BS - 2019 &amp; 2018 -LI'!L23</f>
        <v>0</v>
      </c>
      <c r="AP651" s="2977">
        <f>N651-'[2]Sheet 7 BS - 2019 &amp; 2018 -LI'!M23</f>
        <v>0</v>
      </c>
    </row>
    <row r="652" spans="1:42">
      <c r="A652" s="1830"/>
      <c r="B652" s="1837" t="s">
        <v>284</v>
      </c>
      <c r="C652" s="1836"/>
      <c r="D652" s="1831">
        <f t="shared" si="77"/>
        <v>0</v>
      </c>
      <c r="E652" s="1832"/>
      <c r="F652" s="1832"/>
      <c r="G652" s="1832"/>
      <c r="H652" s="1834"/>
      <c r="I652" s="1859"/>
      <c r="J652" s="1833">
        <f t="shared" si="78"/>
        <v>0</v>
      </c>
      <c r="K652" s="1832"/>
      <c r="L652" s="1832"/>
      <c r="M652" s="1834"/>
      <c r="N652" s="1835">
        <f t="shared" si="79"/>
        <v>0</v>
      </c>
      <c r="AG652" s="2983"/>
      <c r="AH652" s="2983"/>
      <c r="AI652" s="2977"/>
      <c r="AJ652" s="2977"/>
      <c r="AK652" s="2977">
        <f>I652-'[2]Sheet 7 BS - 2019 &amp; 2018 -LI'!H24</f>
        <v>0</v>
      </c>
      <c r="AL652" s="2977">
        <f>J652-'[2]Sheet 7 BS - 2019 &amp; 2018 -LI'!I24</f>
        <v>0</v>
      </c>
      <c r="AM652" s="2977">
        <f>K652-'[2]Sheet 7 BS - 2019 &amp; 2018 -LI'!J24</f>
        <v>0</v>
      </c>
      <c r="AN652" s="2977">
        <f>L652-'[2]Sheet 7 BS - 2019 &amp; 2018 -LI'!K24</f>
        <v>0</v>
      </c>
      <c r="AO652" s="2977">
        <f>M652-'[2]Sheet 7 BS - 2019 &amp; 2018 -LI'!L24</f>
        <v>0</v>
      </c>
      <c r="AP652" s="2977">
        <f>N652-'[2]Sheet 7 BS - 2019 &amp; 2018 -LI'!M24</f>
        <v>0</v>
      </c>
    </row>
    <row r="653" spans="1:42">
      <c r="A653" s="1828">
        <v>8</v>
      </c>
      <c r="B653" s="1829" t="s">
        <v>285</v>
      </c>
      <c r="C653" s="1830">
        <v>8</v>
      </c>
      <c r="D653" s="1831">
        <f t="shared" si="77"/>
        <v>89550</v>
      </c>
      <c r="E653" s="1832"/>
      <c r="F653" s="1832">
        <f>F654+F655</f>
        <v>89550</v>
      </c>
      <c r="G653" s="1832">
        <f>G654+G655</f>
        <v>0</v>
      </c>
      <c r="H653" s="1834">
        <f>H654+H655</f>
        <v>0</v>
      </c>
      <c r="I653" s="1859">
        <f>I654+I655</f>
        <v>0</v>
      </c>
      <c r="J653" s="1833">
        <f t="shared" si="78"/>
        <v>0</v>
      </c>
      <c r="K653" s="1832">
        <f>K654+K655</f>
        <v>0</v>
      </c>
      <c r="L653" s="1832">
        <f>L654+L655</f>
        <v>0</v>
      </c>
      <c r="M653" s="1834">
        <f>M654+M655</f>
        <v>0</v>
      </c>
      <c r="N653" s="1835">
        <f t="shared" si="79"/>
        <v>0</v>
      </c>
      <c r="AG653" s="2983"/>
      <c r="AH653" s="2983"/>
      <c r="AI653" s="2977"/>
      <c r="AJ653" s="2977"/>
      <c r="AK653" s="2977">
        <f>I653-'[2]Sheet 7 BS - 2019 &amp; 2018 -LI'!H25</f>
        <v>0</v>
      </c>
      <c r="AL653" s="2977">
        <f>J653-'[2]Sheet 7 BS - 2019 &amp; 2018 -LI'!I25</f>
        <v>0</v>
      </c>
      <c r="AM653" s="2977">
        <f>K653-'[2]Sheet 7 BS - 2019 &amp; 2018 -LI'!J25</f>
        <v>0</v>
      </c>
      <c r="AN653" s="2977">
        <f>L653-'[2]Sheet 7 BS - 2019 &amp; 2018 -LI'!K25</f>
        <v>0</v>
      </c>
      <c r="AO653" s="2977">
        <f>M653-'[2]Sheet 7 BS - 2019 &amp; 2018 -LI'!L25</f>
        <v>0</v>
      </c>
      <c r="AP653" s="2977">
        <f>N653-'[2]Sheet 7 BS - 2019 &amp; 2018 -LI'!M25</f>
        <v>0</v>
      </c>
    </row>
    <row r="654" spans="1:42">
      <c r="A654" s="1828"/>
      <c r="B654" s="1837" t="s">
        <v>286</v>
      </c>
      <c r="C654" s="1830"/>
      <c r="D654" s="1831">
        <f t="shared" si="77"/>
        <v>0</v>
      </c>
      <c r="E654" s="1832"/>
      <c r="F654" s="1832"/>
      <c r="G654" s="1832"/>
      <c r="H654" s="1834"/>
      <c r="I654" s="1859"/>
      <c r="J654" s="1833">
        <f t="shared" si="78"/>
        <v>0</v>
      </c>
      <c r="K654" s="1832"/>
      <c r="L654" s="1832"/>
      <c r="M654" s="1834"/>
      <c r="N654" s="1835">
        <f t="shared" si="79"/>
        <v>0</v>
      </c>
      <c r="AG654" s="2983"/>
      <c r="AH654" s="2983"/>
      <c r="AI654" s="2977"/>
      <c r="AJ654" s="2977"/>
      <c r="AK654" s="2977">
        <f>I654-'[2]Sheet 7 BS - 2019 &amp; 2018 -LI'!H26</f>
        <v>0</v>
      </c>
      <c r="AL654" s="2977">
        <f>J654-'[2]Sheet 7 BS - 2019 &amp; 2018 -LI'!I26</f>
        <v>0</v>
      </c>
      <c r="AM654" s="2977">
        <f>K654-'[2]Sheet 7 BS - 2019 &amp; 2018 -LI'!J26</f>
        <v>0</v>
      </c>
      <c r="AN654" s="2977">
        <f>L654-'[2]Sheet 7 BS - 2019 &amp; 2018 -LI'!K26</f>
        <v>0</v>
      </c>
      <c r="AO654" s="2977">
        <f>M654-'[2]Sheet 7 BS - 2019 &amp; 2018 -LI'!L26</f>
        <v>0</v>
      </c>
      <c r="AP654" s="2977">
        <f>N654-'[2]Sheet 7 BS - 2019 &amp; 2018 -LI'!M26</f>
        <v>0</v>
      </c>
    </row>
    <row r="655" spans="1:42">
      <c r="A655" s="1828"/>
      <c r="B655" s="1837" t="s">
        <v>287</v>
      </c>
      <c r="C655" s="1830"/>
      <c r="D655" s="1831">
        <f t="shared" si="77"/>
        <v>89550</v>
      </c>
      <c r="E655" s="1832"/>
      <c r="F655" s="1832">
        <v>89550</v>
      </c>
      <c r="G655" s="1832"/>
      <c r="H655" s="1834"/>
      <c r="I655" s="1859"/>
      <c r="J655" s="1833">
        <f t="shared" si="78"/>
        <v>0</v>
      </c>
      <c r="K655" s="1832"/>
      <c r="L655" s="1832"/>
      <c r="M655" s="1834"/>
      <c r="N655" s="1835">
        <f t="shared" si="79"/>
        <v>0</v>
      </c>
      <c r="AG655" s="2983"/>
      <c r="AH655" s="2983"/>
      <c r="AI655" s="2977"/>
      <c r="AJ655" s="2977"/>
      <c r="AK655" s="2977">
        <f>I655-'[2]Sheet 7 BS - 2019 &amp; 2018 -LI'!H27</f>
        <v>0</v>
      </c>
      <c r="AL655" s="2977">
        <f>J655-'[2]Sheet 7 BS - 2019 &amp; 2018 -LI'!I27</f>
        <v>0</v>
      </c>
      <c r="AM655" s="2977">
        <f>K655-'[2]Sheet 7 BS - 2019 &amp; 2018 -LI'!J27</f>
        <v>0</v>
      </c>
      <c r="AN655" s="2977">
        <f>L655-'[2]Sheet 7 BS - 2019 &amp; 2018 -LI'!K27</f>
        <v>0</v>
      </c>
      <c r="AO655" s="2977">
        <f>M655-'[2]Sheet 7 BS - 2019 &amp; 2018 -LI'!L27</f>
        <v>0</v>
      </c>
      <c r="AP655" s="2977">
        <f>N655-'[2]Sheet 7 BS - 2019 &amp; 2018 -LI'!M27</f>
        <v>0</v>
      </c>
    </row>
    <row r="656" spans="1:42" ht="26.45">
      <c r="A656" s="1838">
        <v>9</v>
      </c>
      <c r="B656" s="1839" t="s">
        <v>288</v>
      </c>
      <c r="C656" s="1840"/>
      <c r="D656" s="1841">
        <f t="shared" si="77"/>
        <v>8730579.7995875347</v>
      </c>
      <c r="E656" s="1842">
        <f>SUM(E657:E660)</f>
        <v>0</v>
      </c>
      <c r="F656" s="1842">
        <f>SUM(F657:F660)</f>
        <v>2016342.3738575343</v>
      </c>
      <c r="G656" s="1842">
        <f>SUM(G657:G660)</f>
        <v>265032.89637150004</v>
      </c>
      <c r="H656" s="1844">
        <f>SUM(H657:H660)</f>
        <v>3957293.97070583</v>
      </c>
      <c r="I656" s="1927">
        <f>SUM(I657:I660)</f>
        <v>2491910.5586526701</v>
      </c>
      <c r="J656" s="1843">
        <f t="shared" si="78"/>
        <v>6714237.4257300003</v>
      </c>
      <c r="K656" s="1842">
        <f>SUM(K657:K660)</f>
        <v>0</v>
      </c>
      <c r="L656" s="1842">
        <f>SUM(L657:L660)</f>
        <v>0</v>
      </c>
      <c r="M656" s="1844">
        <f>SUM(M657:M660)</f>
        <v>0</v>
      </c>
      <c r="N656" s="1845">
        <f t="shared" si="79"/>
        <v>0</v>
      </c>
      <c r="AG656" s="2983"/>
      <c r="AH656" s="2983"/>
      <c r="AI656" s="2977"/>
      <c r="AJ656" s="2977"/>
      <c r="AK656" s="2977">
        <f>I656-'[2]Sheet 7 BS - 2019 &amp; 2018 -LI'!H28</f>
        <v>867927.04797267006</v>
      </c>
      <c r="AL656" s="2977">
        <f>J656-'[2]Sheet 7 BS - 2019 &amp; 2018 -LI'!I28</f>
        <v>2352207.4706360409</v>
      </c>
      <c r="AM656" s="2977">
        <f>K656-'[2]Sheet 7 BS - 2019 &amp; 2018 -LI'!J28</f>
        <v>0</v>
      </c>
      <c r="AN656" s="2977">
        <f>L656-'[2]Sheet 7 BS - 2019 &amp; 2018 -LI'!K28</f>
        <v>0</v>
      </c>
      <c r="AO656" s="2977">
        <f>M656-'[2]Sheet 7 BS - 2019 &amp; 2018 -LI'!L28</f>
        <v>0</v>
      </c>
      <c r="AP656" s="2977">
        <f>N656-'[2]Sheet 7 BS - 2019 &amp; 2018 -LI'!M28</f>
        <v>0</v>
      </c>
    </row>
    <row r="657" spans="1:42">
      <c r="A657" s="1830">
        <v>10</v>
      </c>
      <c r="B657" s="1846" t="s">
        <v>289</v>
      </c>
      <c r="C657" s="1830">
        <v>9</v>
      </c>
      <c r="D657" s="1831">
        <f t="shared" si="77"/>
        <v>0</v>
      </c>
      <c r="E657" s="2062"/>
      <c r="F657" s="2062"/>
      <c r="G657" s="2063"/>
      <c r="H657" s="2064"/>
      <c r="I657" s="2065"/>
      <c r="J657" s="1833">
        <f t="shared" si="78"/>
        <v>0</v>
      </c>
      <c r="K657" s="1832"/>
      <c r="L657" s="1832"/>
      <c r="M657" s="1834"/>
      <c r="N657" s="1835">
        <f t="shared" si="79"/>
        <v>0</v>
      </c>
      <c r="AG657" s="2983"/>
      <c r="AH657" s="2983"/>
      <c r="AI657" s="2977"/>
      <c r="AJ657" s="2977"/>
      <c r="AK657" s="2977">
        <f>I657-'[2]Sheet 7 BS - 2019 &amp; 2018 -LI'!H29</f>
        <v>0</v>
      </c>
      <c r="AL657" s="2977">
        <f>J657-'[2]Sheet 7 BS - 2019 &amp; 2018 -LI'!I29</f>
        <v>0</v>
      </c>
      <c r="AM657" s="2977">
        <f>K657-'[2]Sheet 7 BS - 2019 &amp; 2018 -LI'!J29</f>
        <v>0</v>
      </c>
      <c r="AN657" s="2977">
        <f>L657-'[2]Sheet 7 BS - 2019 &amp; 2018 -LI'!K29</f>
        <v>0</v>
      </c>
      <c r="AO657" s="2977">
        <f>M657-'[2]Sheet 7 BS - 2019 &amp; 2018 -LI'!L29</f>
        <v>0</v>
      </c>
      <c r="AP657" s="2977">
        <f>N657-'[2]Sheet 7 BS - 2019 &amp; 2018 -LI'!M29</f>
        <v>0</v>
      </c>
    </row>
    <row r="658" spans="1:42">
      <c r="A658" s="1830">
        <v>11</v>
      </c>
      <c r="B658" s="1846" t="s">
        <v>290</v>
      </c>
      <c r="C658" s="1830">
        <v>10</v>
      </c>
      <c r="D658" s="1831">
        <f t="shared" si="77"/>
        <v>2870752.3519475339</v>
      </c>
      <c r="E658" s="2062"/>
      <c r="F658" s="2062">
        <v>627713.27944753424</v>
      </c>
      <c r="G658" s="2063"/>
      <c r="H658" s="2066">
        <v>1476149.65451</v>
      </c>
      <c r="I658" s="2067">
        <v>766889.41798999999</v>
      </c>
      <c r="J658" s="1833">
        <f t="shared" si="78"/>
        <v>2243039.0724999998</v>
      </c>
      <c r="K658" s="1832"/>
      <c r="L658" s="1832"/>
      <c r="M658" s="1834"/>
      <c r="N658" s="1835">
        <f t="shared" si="79"/>
        <v>0</v>
      </c>
      <c r="AG658" s="2983"/>
      <c r="AH658" s="2983"/>
      <c r="AI658" s="2977"/>
      <c r="AJ658" s="2977"/>
      <c r="AK658" s="2977">
        <f>I658-'[2]Sheet 7 BS - 2019 &amp; 2018 -LI'!H30</f>
        <v>384363.88538999995</v>
      </c>
      <c r="AL658" s="2977">
        <f>J658-'[2]Sheet 7 BS - 2019 &amp; 2018 -LI'!I30</f>
        <v>382698.72009603982</v>
      </c>
      <c r="AM658" s="2977">
        <f>K658-'[2]Sheet 7 BS - 2019 &amp; 2018 -LI'!J30</f>
        <v>0</v>
      </c>
      <c r="AN658" s="2977">
        <f>L658-'[2]Sheet 7 BS - 2019 &amp; 2018 -LI'!K30</f>
        <v>0</v>
      </c>
      <c r="AO658" s="2977">
        <f>M658-'[2]Sheet 7 BS - 2019 &amp; 2018 -LI'!L30</f>
        <v>0</v>
      </c>
      <c r="AP658" s="2977">
        <f>N658-'[2]Sheet 7 BS - 2019 &amp; 2018 -LI'!M30</f>
        <v>0</v>
      </c>
    </row>
    <row r="659" spans="1:42">
      <c r="A659" s="1830">
        <v>12</v>
      </c>
      <c r="B659" s="1846" t="s">
        <v>291</v>
      </c>
      <c r="C659" s="1830">
        <v>11</v>
      </c>
      <c r="D659" s="1831">
        <f t="shared" si="77"/>
        <v>4407438.0585099999</v>
      </c>
      <c r="E659" s="2062"/>
      <c r="F659" s="2062">
        <v>788778.3658400001</v>
      </c>
      <c r="G659" s="2063">
        <v>182277.07942000002</v>
      </c>
      <c r="H659" s="2066">
        <v>2046058.6730799999</v>
      </c>
      <c r="I659" s="2067">
        <v>1390323.9401700001</v>
      </c>
      <c r="J659" s="1833">
        <f t="shared" si="78"/>
        <v>3618659.6926699998</v>
      </c>
      <c r="K659" s="1832"/>
      <c r="L659" s="1832"/>
      <c r="M659" s="1834"/>
      <c r="N659" s="1835">
        <f t="shared" si="79"/>
        <v>0</v>
      </c>
      <c r="AG659" s="2983"/>
      <c r="AH659" s="2983"/>
      <c r="AI659" s="2977"/>
      <c r="AJ659" s="2977"/>
      <c r="AK659" s="2977">
        <f>I659-'[2]Sheet 7 BS - 2019 &amp; 2018 -LI'!H31</f>
        <v>148865.96209000004</v>
      </c>
      <c r="AL659" s="2977">
        <f>J659-'[2]Sheet 7 BS - 2019 &amp; 2018 -LI'!I31</f>
        <v>1176421.28094</v>
      </c>
      <c r="AM659" s="2977">
        <f>K659-'[2]Sheet 7 BS - 2019 &amp; 2018 -LI'!J31</f>
        <v>0</v>
      </c>
      <c r="AN659" s="2977">
        <f>L659-'[2]Sheet 7 BS - 2019 &amp; 2018 -LI'!K31</f>
        <v>0</v>
      </c>
      <c r="AO659" s="2977">
        <f>M659-'[2]Sheet 7 BS - 2019 &amp; 2018 -LI'!L31</f>
        <v>0</v>
      </c>
      <c r="AP659" s="2977">
        <f>N659-'[2]Sheet 7 BS - 2019 &amp; 2018 -LI'!M31</f>
        <v>0</v>
      </c>
    </row>
    <row r="660" spans="1:42" ht="26.45">
      <c r="A660" s="1830">
        <v>13</v>
      </c>
      <c r="B660" s="1846" t="s">
        <v>292</v>
      </c>
      <c r="C660" s="1830">
        <v>12</v>
      </c>
      <c r="D660" s="1831">
        <f t="shared" si="77"/>
        <v>1452389.38913</v>
      </c>
      <c r="E660" s="2062"/>
      <c r="F660" s="2062">
        <v>599850.72857000004</v>
      </c>
      <c r="G660" s="2063">
        <v>82755.816951500005</v>
      </c>
      <c r="H660" s="2066">
        <v>435085.64311583003</v>
      </c>
      <c r="I660" s="2067">
        <v>334697.20049267</v>
      </c>
      <c r="J660" s="1833">
        <f t="shared" si="78"/>
        <v>852538.66055999999</v>
      </c>
      <c r="K660" s="1832"/>
      <c r="L660" s="1832"/>
      <c r="M660" s="1834"/>
      <c r="N660" s="1835">
        <f t="shared" si="79"/>
        <v>0</v>
      </c>
      <c r="AG660" s="2983"/>
      <c r="AH660" s="2983"/>
      <c r="AI660" s="2977"/>
      <c r="AJ660" s="2977"/>
      <c r="AK660" s="2977">
        <f>I660-'[2]Sheet 7 BS - 2019 &amp; 2018 -LI'!H32</f>
        <v>334697.20049267</v>
      </c>
      <c r="AL660" s="2977">
        <f>J660-'[2]Sheet 7 BS - 2019 &amp; 2018 -LI'!I32</f>
        <v>793087.46959999995</v>
      </c>
      <c r="AM660" s="2977">
        <f>K660-'[2]Sheet 7 BS - 2019 &amp; 2018 -LI'!J32</f>
        <v>0</v>
      </c>
      <c r="AN660" s="2977">
        <f>L660-'[2]Sheet 7 BS - 2019 &amp; 2018 -LI'!K32</f>
        <v>0</v>
      </c>
      <c r="AO660" s="2977">
        <f>M660-'[2]Sheet 7 BS - 2019 &amp; 2018 -LI'!L32</f>
        <v>0</v>
      </c>
      <c r="AP660" s="2977">
        <f>N660-'[2]Sheet 7 BS - 2019 &amp; 2018 -LI'!M32</f>
        <v>0</v>
      </c>
    </row>
    <row r="661" spans="1:42">
      <c r="A661" s="1830">
        <v>14</v>
      </c>
      <c r="B661" s="1829" t="s">
        <v>293</v>
      </c>
      <c r="C661" s="1830">
        <v>13</v>
      </c>
      <c r="D661" s="1831">
        <f t="shared" si="77"/>
        <v>72118.606059999991</v>
      </c>
      <c r="E661" s="2062"/>
      <c r="F661" s="2062"/>
      <c r="G661" s="2063">
        <v>4440.0753799999993</v>
      </c>
      <c r="H661" s="2064">
        <v>476.56297999998787</v>
      </c>
      <c r="I661" s="2065">
        <v>67201.967700000008</v>
      </c>
      <c r="J661" s="1833">
        <f t="shared" si="78"/>
        <v>72118.606059999991</v>
      </c>
      <c r="K661" s="1832"/>
      <c r="L661" s="1832"/>
      <c r="M661" s="1834"/>
      <c r="N661" s="1835">
        <f t="shared" si="79"/>
        <v>0</v>
      </c>
      <c r="AG661" s="2983"/>
      <c r="AH661" s="2983"/>
      <c r="AI661" s="2977"/>
      <c r="AJ661" s="2977"/>
      <c r="AK661" s="2977">
        <f>I661-'[2]Sheet 7 BS - 2019 &amp; 2018 -LI'!H34</f>
        <v>31234.386639999982</v>
      </c>
      <c r="AL661" s="2977">
        <f>J661-'[2]Sheet 7 BS - 2019 &amp; 2018 -LI'!I34</f>
        <v>30958.376619999966</v>
      </c>
      <c r="AM661" s="2977">
        <f>K661-'[2]Sheet 7 BS - 2019 &amp; 2018 -LI'!J34</f>
        <v>0</v>
      </c>
      <c r="AN661" s="2977">
        <f>L661-'[2]Sheet 7 BS - 2019 &amp; 2018 -LI'!K34</f>
        <v>0</v>
      </c>
      <c r="AO661" s="2977">
        <f>M661-'[2]Sheet 7 BS - 2019 &amp; 2018 -LI'!L34</f>
        <v>0</v>
      </c>
      <c r="AP661" s="2977">
        <f>N661-'[2]Sheet 7 BS - 2019 &amp; 2018 -LI'!M34</f>
        <v>0</v>
      </c>
    </row>
    <row r="662" spans="1:42">
      <c r="A662" s="1830">
        <v>15</v>
      </c>
      <c r="B662" s="1829" t="s">
        <v>294</v>
      </c>
      <c r="C662" s="1836">
        <v>14</v>
      </c>
      <c r="D662" s="1831">
        <f t="shared" si="77"/>
        <v>50771.703000000001</v>
      </c>
      <c r="E662" s="2062"/>
      <c r="F662" s="2062"/>
      <c r="G662" s="2063">
        <v>220</v>
      </c>
      <c r="H662" s="2064">
        <v>44438.446000000004</v>
      </c>
      <c r="I662" s="2065">
        <v>6113.2569999999996</v>
      </c>
      <c r="J662" s="1833">
        <f t="shared" si="78"/>
        <v>50771.703000000001</v>
      </c>
      <c r="K662" s="1832"/>
      <c r="L662" s="1832"/>
      <c r="M662" s="1834"/>
      <c r="N662" s="1835">
        <f t="shared" si="79"/>
        <v>0</v>
      </c>
      <c r="AG662" s="2983"/>
      <c r="AH662" s="2983"/>
      <c r="AI662" s="2977"/>
      <c r="AJ662" s="2977"/>
      <c r="AK662" s="2977">
        <f>I662-'[2]Sheet 7 BS - 2019 &amp; 2018 -LI'!H35</f>
        <v>5199.5869999999995</v>
      </c>
      <c r="AL662" s="2977">
        <f>J662-'[2]Sheet 7 BS - 2019 &amp; 2018 -LI'!I35</f>
        <v>31489.144</v>
      </c>
      <c r="AM662" s="2977">
        <f>K662-'[2]Sheet 7 BS - 2019 &amp; 2018 -LI'!J35</f>
        <v>0</v>
      </c>
      <c r="AN662" s="2977">
        <f>L662-'[2]Sheet 7 BS - 2019 &amp; 2018 -LI'!K35</f>
        <v>0</v>
      </c>
      <c r="AO662" s="2977">
        <f>M662-'[2]Sheet 7 BS - 2019 &amp; 2018 -LI'!L35</f>
        <v>0</v>
      </c>
      <c r="AP662" s="2977">
        <f>N662-'[2]Sheet 7 BS - 2019 &amp; 2018 -LI'!M35</f>
        <v>0</v>
      </c>
    </row>
    <row r="663" spans="1:42">
      <c r="A663" s="1830">
        <v>16</v>
      </c>
      <c r="B663" s="1829" t="s">
        <v>295</v>
      </c>
      <c r="C663" s="1830">
        <v>15</v>
      </c>
      <c r="D663" s="1831">
        <f t="shared" si="77"/>
        <v>175872.51031000001</v>
      </c>
      <c r="E663" s="2062"/>
      <c r="F663" s="2062"/>
      <c r="G663" s="2063">
        <v>1859.3790900000001</v>
      </c>
      <c r="H663" s="2064">
        <v>61829.614139999998</v>
      </c>
      <c r="I663" s="2065">
        <v>112183.51708000001</v>
      </c>
      <c r="J663" s="1833">
        <f t="shared" si="78"/>
        <v>175872.51031000001</v>
      </c>
      <c r="K663" s="1832"/>
      <c r="L663" s="1832"/>
      <c r="M663" s="1834"/>
      <c r="N663" s="1835">
        <f t="shared" si="79"/>
        <v>0</v>
      </c>
      <c r="AG663" s="2983"/>
      <c r="AH663" s="2983"/>
      <c r="AI663" s="2977"/>
      <c r="AJ663" s="2977"/>
      <c r="AK663" s="2977">
        <f>I663-'[2]Sheet 7 BS - 2019 &amp; 2018 -LI'!H36</f>
        <v>27954.764090000011</v>
      </c>
      <c r="AL663" s="2977">
        <f>J663-'[2]Sheet 7 BS - 2019 &amp; 2018 -LI'!I36</f>
        <v>81033.907800000001</v>
      </c>
      <c r="AM663" s="2977">
        <f>K663-'[2]Sheet 7 BS - 2019 &amp; 2018 -LI'!J36</f>
        <v>0</v>
      </c>
      <c r="AN663" s="2977">
        <f>L663-'[2]Sheet 7 BS - 2019 &amp; 2018 -LI'!K36</f>
        <v>0</v>
      </c>
      <c r="AO663" s="2977">
        <f>M663-'[2]Sheet 7 BS - 2019 &amp; 2018 -LI'!L36</f>
        <v>0</v>
      </c>
      <c r="AP663" s="2977">
        <f>N663-'[2]Sheet 7 BS - 2019 &amp; 2018 -LI'!M36</f>
        <v>0</v>
      </c>
    </row>
    <row r="664" spans="1:42">
      <c r="A664" s="1830">
        <v>17</v>
      </c>
      <c r="B664" s="1829" t="s">
        <v>296</v>
      </c>
      <c r="C664" s="1836">
        <v>16</v>
      </c>
      <c r="D664" s="1831">
        <f t="shared" si="77"/>
        <v>122045.55411000017</v>
      </c>
      <c r="E664" s="2062">
        <v>-315722.47727999999</v>
      </c>
      <c r="F664" s="2062">
        <v>316468.33844999998</v>
      </c>
      <c r="G664" s="2063"/>
      <c r="H664" s="2066">
        <v>139946.62773339899</v>
      </c>
      <c r="I664" s="2067">
        <v>42293.700824047999</v>
      </c>
      <c r="J664" s="1833">
        <f>G664+H664+I664-18646.9347933988-42293.700824048</f>
        <v>121299.69294000018</v>
      </c>
      <c r="K664" s="1832"/>
      <c r="L664" s="1832"/>
      <c r="M664" s="1834"/>
      <c r="N664" s="1835">
        <f t="shared" si="79"/>
        <v>0</v>
      </c>
      <c r="AG664" s="2983"/>
      <c r="AH664" s="2983"/>
      <c r="AI664" s="2977"/>
      <c r="AJ664" s="2977"/>
      <c r="AK664" s="2977">
        <f>I664-'[2]Sheet 7 BS - 2019 &amp; 2018 -LI'!H37-'[2]Sheet 7 BS - 2019 &amp; 2018 -LI'!H33</f>
        <v>42293.700824047999</v>
      </c>
      <c r="AL664" s="2977">
        <f>J664-'[2]Sheet 7 BS - 2019 &amp; 2018 -LI'!I37-'[2]Sheet 7 BS - 2019 &amp; 2018 -LI'!I33</f>
        <v>-200830.83865999948</v>
      </c>
      <c r="AM664" s="2977">
        <f>K664-'[2]Sheet 7 BS - 2019 &amp; 2018 -LI'!J37-'[2]Sheet 7 BS - 2019 &amp; 2018 -LI'!J33</f>
        <v>0</v>
      </c>
      <c r="AN664" s="2977">
        <f>L664-'[2]Sheet 7 BS - 2019 &amp; 2018 -LI'!K37-'[2]Sheet 7 BS - 2019 &amp; 2018 -LI'!K33</f>
        <v>0</v>
      </c>
      <c r="AO664" s="2977">
        <f>M664-'[2]Sheet 7 BS - 2019 &amp; 2018 -LI'!L37-'[2]Sheet 7 BS - 2019 &amp; 2018 -LI'!L33</f>
        <v>0</v>
      </c>
      <c r="AP664" s="2977">
        <f>N664-'[2]Sheet 7 BS - 2019 &amp; 2018 -LI'!M37-'[2]Sheet 7 BS - 2019 &amp; 2018 -LI'!M33</f>
        <v>0</v>
      </c>
    </row>
    <row r="665" spans="1:42">
      <c r="A665" s="1830">
        <v>18</v>
      </c>
      <c r="B665" s="1829" t="s">
        <v>297</v>
      </c>
      <c r="C665" s="1830"/>
      <c r="D665" s="1831">
        <f t="shared" si="77"/>
        <v>0</v>
      </c>
      <c r="E665" s="2062"/>
      <c r="F665" s="2062"/>
      <c r="G665" s="2063"/>
      <c r="H665" s="2064"/>
      <c r="I665" s="2065"/>
      <c r="J665" s="1833">
        <f>G665+H665+I665</f>
        <v>0</v>
      </c>
      <c r="K665" s="1832"/>
      <c r="L665" s="1832"/>
      <c r="M665" s="1834"/>
      <c r="N665" s="1835">
        <f t="shared" si="79"/>
        <v>0</v>
      </c>
      <c r="AG665" s="2983"/>
      <c r="AH665" s="2983"/>
      <c r="AI665" s="2977"/>
      <c r="AJ665" s="2977"/>
      <c r="AK665" s="2977">
        <f>I665-'[2]Sheet 7 BS - 2019 &amp; 2018 -LI'!H38</f>
        <v>0</v>
      </c>
      <c r="AL665" s="2977">
        <f>J665-'[2]Sheet 7 BS - 2019 &amp; 2018 -LI'!I38</f>
        <v>0</v>
      </c>
      <c r="AM665" s="2977">
        <f>K665-'[2]Sheet 7 BS - 2019 &amp; 2018 -LI'!J38</f>
        <v>0</v>
      </c>
      <c r="AN665" s="2977">
        <f>L665-'[2]Sheet 7 BS - 2019 &amp; 2018 -LI'!K38</f>
        <v>0</v>
      </c>
      <c r="AO665" s="2977">
        <f>M665-'[2]Sheet 7 BS - 2019 &amp; 2018 -LI'!L38</f>
        <v>0</v>
      </c>
      <c r="AP665" s="2977">
        <f>N665-'[2]Sheet 7 BS - 2019 &amp; 2018 -LI'!M38</f>
        <v>0</v>
      </c>
    </row>
    <row r="666" spans="1:42" ht="15" thickBot="1">
      <c r="A666" s="1847">
        <v>19</v>
      </c>
      <c r="B666" s="1848" t="s">
        <v>298</v>
      </c>
      <c r="C666" s="1847"/>
      <c r="D666" s="3113">
        <f t="shared" si="77"/>
        <v>249289.33627999999</v>
      </c>
      <c r="E666" s="3139"/>
      <c r="F666" s="3139">
        <v>30919.82143</v>
      </c>
      <c r="G666" s="3140">
        <v>397.16116</v>
      </c>
      <c r="H666" s="2068">
        <v>217878.97705999998</v>
      </c>
      <c r="I666" s="2069">
        <v>93.376630000000006</v>
      </c>
      <c r="J666" s="3112">
        <f>G666+H666+I666</f>
        <v>218369.51484999998</v>
      </c>
      <c r="K666" s="3111"/>
      <c r="L666" s="3111"/>
      <c r="M666" s="1070"/>
      <c r="N666" s="1849">
        <f t="shared" si="79"/>
        <v>0</v>
      </c>
      <c r="AG666" s="2983"/>
      <c r="AH666" s="2983"/>
      <c r="AI666" s="2977"/>
      <c r="AJ666" s="2977"/>
      <c r="AK666" s="2977">
        <f>I666-'[2]Sheet 7 BS - 2019 &amp; 2018 -LI'!H39</f>
        <v>-137.00889999999998</v>
      </c>
      <c r="AL666" s="2977">
        <f>J666-'[2]Sheet 7 BS - 2019 &amp; 2018 -LI'!I39</f>
        <v>85971.956959999952</v>
      </c>
      <c r="AM666" s="2977">
        <f>K666-'[2]Sheet 7 BS - 2019 &amp; 2018 -LI'!J39</f>
        <v>0</v>
      </c>
      <c r="AN666" s="2977">
        <f>L666-'[2]Sheet 7 BS - 2019 &amp; 2018 -LI'!K39</f>
        <v>0</v>
      </c>
      <c r="AO666" s="2977">
        <f>M666-'[2]Sheet 7 BS - 2019 &amp; 2018 -LI'!L39</f>
        <v>0</v>
      </c>
      <c r="AP666" s="2977">
        <f>N666-'[2]Sheet 7 BS - 2019 &amp; 2018 -LI'!M39</f>
        <v>0</v>
      </c>
    </row>
    <row r="667" spans="1:42" s="870" customFormat="1" ht="27" thickBot="1">
      <c r="A667" s="1138">
        <v>20</v>
      </c>
      <c r="B667" s="1139" t="s">
        <v>299</v>
      </c>
      <c r="C667" s="1138"/>
      <c r="D667" s="1140">
        <f t="shared" si="77"/>
        <v>9622145.3646084815</v>
      </c>
      <c r="E667" s="1140">
        <f>SUM(E644:E650)+E653+E656+SUM(E661:E666)</f>
        <v>-315722.47727999999</v>
      </c>
      <c r="F667" s="1140">
        <f>SUM(F644:F650)+F653+F656+SUM(F661:F666)</f>
        <v>2480938.3258675346</v>
      </c>
      <c r="G667" s="1140">
        <f>SUM(G644:G650)+G653+G656+SUM(G661:G666)</f>
        <v>271949.51200150006</v>
      </c>
      <c r="H667" s="1141">
        <f>SUM(H644:H650)+H653+H656+SUM(H661:H666)</f>
        <v>4526124.2617501747</v>
      </c>
      <c r="I667" s="1142">
        <f>SUM(I644:I650)+I653+I656+SUM(I661:I666)</f>
        <v>2719796.3778867181</v>
      </c>
      <c r="J667" s="1140">
        <f>SUM(J661:J666)+J656+J647</f>
        <v>7456929.5160209462</v>
      </c>
      <c r="K667" s="1140">
        <f>SUM(K644:K650)+K653+K656+SUM(K661:K666)</f>
        <v>0</v>
      </c>
      <c r="L667" s="1140">
        <f>SUM(L644:L650)+L653+L656+SUM(L661:L666)</f>
        <v>0</v>
      </c>
      <c r="M667" s="1141">
        <f>SUM(M644:M650)+M653+M656+SUM(M661:M666)</f>
        <v>0</v>
      </c>
      <c r="N667" s="1142">
        <f t="shared" si="79"/>
        <v>0</v>
      </c>
      <c r="O667"/>
      <c r="P667"/>
      <c r="Q667"/>
      <c r="R667"/>
      <c r="S667"/>
      <c r="T667"/>
      <c r="U667"/>
      <c r="V667"/>
      <c r="W667"/>
      <c r="X667"/>
      <c r="Y667"/>
      <c r="Z667"/>
      <c r="AA667"/>
      <c r="AB667"/>
      <c r="AC667"/>
      <c r="AD667"/>
      <c r="AE667"/>
      <c r="AF667"/>
      <c r="AG667" s="2983"/>
      <c r="AH667" s="2983"/>
      <c r="AI667" s="2978"/>
      <c r="AJ667" s="2978"/>
      <c r="AK667" s="2978">
        <f>I667-'[2]Sheet 7 BS - 2019 &amp; 2018 -LI'!H40</f>
        <v>974472.47762671812</v>
      </c>
      <c r="AL667" s="2978">
        <f>J667-'[2]Sheet 7 BS - 2019 &amp; 2018 -LI'!I40</f>
        <v>2485090.0804869868</v>
      </c>
      <c r="AM667" s="2978">
        <f>K667-'[2]Sheet 7 BS - 2019 &amp; 2018 -LI'!J40</f>
        <v>0</v>
      </c>
      <c r="AN667" s="2978">
        <f>L667-'[2]Sheet 7 BS - 2019 &amp; 2018 -LI'!K40</f>
        <v>0</v>
      </c>
      <c r="AO667" s="2978">
        <f>M667-'[2]Sheet 7 BS - 2019 &amp; 2018 -LI'!L40</f>
        <v>0</v>
      </c>
      <c r="AP667" s="2978">
        <f>N667-'[2]Sheet 7 BS - 2019 &amp; 2018 -LI'!M40</f>
        <v>0</v>
      </c>
    </row>
    <row r="668" spans="1:42">
      <c r="A668" s="1133"/>
      <c r="B668" s="1134" t="s">
        <v>300</v>
      </c>
      <c r="C668" s="1133"/>
      <c r="D668" s="1194">
        <f t="shared" si="77"/>
        <v>0</v>
      </c>
      <c r="E668" s="987"/>
      <c r="F668" s="987"/>
      <c r="G668" s="987"/>
      <c r="H668" s="988"/>
      <c r="I668" s="989"/>
      <c r="J668" s="1195"/>
      <c r="K668" s="984"/>
      <c r="L668" s="984"/>
      <c r="M668" s="1029"/>
      <c r="N668" s="1149">
        <f t="shared" si="79"/>
        <v>0</v>
      </c>
      <c r="AG668" s="2983"/>
      <c r="AH668" s="2983"/>
      <c r="AI668" s="2977"/>
      <c r="AJ668" s="2977"/>
      <c r="AK668" s="2977">
        <f>I668-'[2]Sheet 7 BS - 2019 &amp; 2018 -LI'!H41</f>
        <v>0</v>
      </c>
      <c r="AL668" s="2977">
        <f>J668-'[2]Sheet 7 BS - 2019 &amp; 2018 -LI'!I41</f>
        <v>0</v>
      </c>
      <c r="AM668" s="2977">
        <f>K668-'[2]Sheet 7 BS - 2019 &amp; 2018 -LI'!J41</f>
        <v>0</v>
      </c>
      <c r="AN668" s="2977">
        <f>L668-'[2]Sheet 7 BS - 2019 &amp; 2018 -LI'!K41</f>
        <v>0</v>
      </c>
      <c r="AO668" s="2977">
        <f>M668-'[2]Sheet 7 BS - 2019 &amp; 2018 -LI'!L41</f>
        <v>0</v>
      </c>
      <c r="AP668" s="2977">
        <f>N668-'[2]Sheet 7 BS - 2019 &amp; 2018 -LI'!M41</f>
        <v>0</v>
      </c>
    </row>
    <row r="669" spans="1:42">
      <c r="A669" s="1830"/>
      <c r="B669" s="1850" t="s">
        <v>301</v>
      </c>
      <c r="C669" s="1830"/>
      <c r="D669" s="1831">
        <f t="shared" si="77"/>
        <v>0</v>
      </c>
      <c r="E669" s="2070"/>
      <c r="F669" s="2070"/>
      <c r="G669" s="2070"/>
      <c r="H669" s="2071"/>
      <c r="I669" s="2072"/>
      <c r="J669" s="1833">
        <f t="shared" ref="J669:J674" si="80">G669+H669+I669</f>
        <v>0</v>
      </c>
      <c r="K669" s="1832"/>
      <c r="L669" s="1832"/>
      <c r="M669" s="1834"/>
      <c r="N669" s="1835">
        <f t="shared" si="79"/>
        <v>0</v>
      </c>
      <c r="AG669" s="2983"/>
      <c r="AH669" s="2983"/>
      <c r="AI669" s="2977"/>
      <c r="AJ669" s="2977"/>
      <c r="AK669" s="2977">
        <f>I669-'[2]Sheet 7 BS - 2019 &amp; 2018 -LI'!H42</f>
        <v>0</v>
      </c>
      <c r="AL669" s="2977">
        <f>J669-'[2]Sheet 7 BS - 2019 &amp; 2018 -LI'!I42</f>
        <v>0</v>
      </c>
      <c r="AM669" s="2977">
        <f>K669-'[2]Sheet 7 BS - 2019 &amp; 2018 -LI'!J42</f>
        <v>0</v>
      </c>
      <c r="AN669" s="2977">
        <f>L669-'[2]Sheet 7 BS - 2019 &amp; 2018 -LI'!K42</f>
        <v>0</v>
      </c>
      <c r="AO669" s="2977">
        <f>M669-'[2]Sheet 7 BS - 2019 &amp; 2018 -LI'!L42</f>
        <v>0</v>
      </c>
      <c r="AP669" s="2977">
        <f>N669-'[2]Sheet 7 BS - 2019 &amp; 2018 -LI'!M42</f>
        <v>0</v>
      </c>
    </row>
    <row r="670" spans="1:42">
      <c r="A670" s="1830">
        <v>21</v>
      </c>
      <c r="B670" s="1829" t="s">
        <v>302</v>
      </c>
      <c r="C670" s="1836">
        <v>17</v>
      </c>
      <c r="D670" s="1831">
        <f t="shared" si="77"/>
        <v>6087274.1079699993</v>
      </c>
      <c r="E670" s="2062"/>
      <c r="F670" s="2062"/>
      <c r="G670" s="2063">
        <v>251745.135907499</v>
      </c>
      <c r="H670" s="2064">
        <v>3275960.2202698104</v>
      </c>
      <c r="I670" s="2065">
        <v>2559568.7517926898</v>
      </c>
      <c r="J670" s="1833">
        <f t="shared" si="80"/>
        <v>6087274.1079699993</v>
      </c>
      <c r="K670" s="1832"/>
      <c r="L670" s="1832"/>
      <c r="M670" s="1834"/>
      <c r="N670" s="1835">
        <f t="shared" si="79"/>
        <v>0</v>
      </c>
      <c r="AG670" s="2983"/>
      <c r="AH670" s="2983"/>
      <c r="AI670" s="2977"/>
      <c r="AJ670" s="2977"/>
      <c r="AK670" s="2977">
        <f>I670-'[2]Sheet 7 BS - 2019 &amp; 2018 -LI'!H43</f>
        <v>1058457.7349037</v>
      </c>
      <c r="AL670" s="2977">
        <f>J670-'[2]Sheet 7 BS - 2019 &amp; 2018 -LI'!I43</f>
        <v>2062357.2319599967</v>
      </c>
      <c r="AM670" s="2977">
        <f>K670-'[2]Sheet 7 BS - 2019 &amp; 2018 -LI'!J43</f>
        <v>0</v>
      </c>
      <c r="AN670" s="2977">
        <f>L670-'[2]Sheet 7 BS - 2019 &amp; 2018 -LI'!K43</f>
        <v>0</v>
      </c>
      <c r="AO670" s="2977">
        <f>M670-'[2]Sheet 7 BS - 2019 &amp; 2018 -LI'!L43</f>
        <v>0</v>
      </c>
      <c r="AP670" s="2977">
        <f>N670-'[2]Sheet 7 BS - 2019 &amp; 2018 -LI'!M43</f>
        <v>0</v>
      </c>
    </row>
    <row r="671" spans="1:42">
      <c r="A671" s="1830">
        <v>22</v>
      </c>
      <c r="B671" s="1829" t="s">
        <v>303</v>
      </c>
      <c r="C671" s="1830"/>
      <c r="D671" s="1831">
        <f t="shared" si="77"/>
        <v>18611.690999999999</v>
      </c>
      <c r="E671" s="2062"/>
      <c r="F671" s="2062"/>
      <c r="G671" s="2063"/>
      <c r="H671" s="2064">
        <v>18611.690999999999</v>
      </c>
      <c r="I671" s="2065"/>
      <c r="J671" s="1833">
        <f t="shared" si="80"/>
        <v>18611.690999999999</v>
      </c>
      <c r="K671" s="1832"/>
      <c r="L671" s="1832"/>
      <c r="M671" s="1834"/>
      <c r="N671" s="1835">
        <f t="shared" si="79"/>
        <v>0</v>
      </c>
      <c r="AG671" s="2983"/>
      <c r="AH671" s="2983"/>
      <c r="AI671" s="2977"/>
      <c r="AJ671" s="2977"/>
      <c r="AK671" s="2977">
        <f>I671-'[2]Sheet 7 BS - 2019 &amp; 2018 -LI'!H44</f>
        <v>0</v>
      </c>
      <c r="AL671" s="2977">
        <f>J671-'[2]Sheet 7 BS - 2019 &amp; 2018 -LI'!I44</f>
        <v>2035.8989999999976</v>
      </c>
      <c r="AM671" s="2977">
        <f>K671-'[2]Sheet 7 BS - 2019 &amp; 2018 -LI'!J44</f>
        <v>0</v>
      </c>
      <c r="AN671" s="2977">
        <f>L671-'[2]Sheet 7 BS - 2019 &amp; 2018 -LI'!K44</f>
        <v>0</v>
      </c>
      <c r="AO671" s="2977">
        <f>M671-'[2]Sheet 7 BS - 2019 &amp; 2018 -LI'!L44</f>
        <v>0</v>
      </c>
      <c r="AP671" s="2977">
        <f>N671-'[2]Sheet 7 BS - 2019 &amp; 2018 -LI'!M44</f>
        <v>0</v>
      </c>
    </row>
    <row r="672" spans="1:42">
      <c r="A672" s="1830">
        <v>23</v>
      </c>
      <c r="B672" s="1829" t="s">
        <v>304</v>
      </c>
      <c r="C672" s="1830">
        <v>18</v>
      </c>
      <c r="D672" s="1831">
        <f t="shared" si="77"/>
        <v>134703.68801000027</v>
      </c>
      <c r="E672" s="2062"/>
      <c r="F672" s="2062"/>
      <c r="G672" s="2063">
        <v>-4923.3698293977395</v>
      </c>
      <c r="H672" s="2064">
        <v>77432.979026321118</v>
      </c>
      <c r="I672" s="2065">
        <v>62194.0788130769</v>
      </c>
      <c r="J672" s="1833">
        <f t="shared" si="80"/>
        <v>134703.68801000027</v>
      </c>
      <c r="K672" s="1832"/>
      <c r="L672" s="1832"/>
      <c r="M672" s="1834"/>
      <c r="N672" s="1835">
        <f t="shared" si="79"/>
        <v>0</v>
      </c>
      <c r="AG672" s="2983"/>
      <c r="AH672" s="2983"/>
      <c r="AI672" s="2977"/>
      <c r="AJ672" s="2977"/>
      <c r="AK672" s="2977">
        <f>I672-'[2]Sheet 7 BS - 2019 &amp; 2018 -LI'!H46</f>
        <v>44763.3484933117</v>
      </c>
      <c r="AL672" s="2977">
        <f>J672-'[2]Sheet 7 BS - 2019 &amp; 2018 -LI'!I46</f>
        <v>79883.572440000309</v>
      </c>
      <c r="AM672" s="2977">
        <f>K672-'[2]Sheet 7 BS - 2019 &amp; 2018 -LI'!J46</f>
        <v>0</v>
      </c>
      <c r="AN672" s="2977">
        <f>L672-'[2]Sheet 7 BS - 2019 &amp; 2018 -LI'!K46</f>
        <v>0</v>
      </c>
      <c r="AO672" s="2977">
        <f>M672-'[2]Sheet 7 BS - 2019 &amp; 2018 -LI'!L46</f>
        <v>0</v>
      </c>
      <c r="AP672" s="2977">
        <f>N672-'[2]Sheet 7 BS - 2019 &amp; 2018 -LI'!M46</f>
        <v>0</v>
      </c>
    </row>
    <row r="673" spans="1:42">
      <c r="A673" s="1830">
        <v>24</v>
      </c>
      <c r="B673" s="1829" t="s">
        <v>305</v>
      </c>
      <c r="C673" s="1830"/>
      <c r="D673" s="1831">
        <f t="shared" si="77"/>
        <v>0</v>
      </c>
      <c r="E673" s="2062"/>
      <c r="F673" s="2062"/>
      <c r="G673" s="2063"/>
      <c r="H673" s="2064"/>
      <c r="I673" s="2065"/>
      <c r="J673" s="1833">
        <f t="shared" si="80"/>
        <v>0</v>
      </c>
      <c r="K673" s="1832"/>
      <c r="L673" s="1832"/>
      <c r="M673" s="1834"/>
      <c r="N673" s="1835">
        <f t="shared" si="79"/>
        <v>0</v>
      </c>
      <c r="AG673" s="2983"/>
      <c r="AH673" s="2983"/>
      <c r="AI673" s="2977"/>
      <c r="AJ673" s="2977"/>
      <c r="AK673" s="2977">
        <f>I673-'[2]Sheet 7 BS - 2019 &amp; 2018 -LI'!H47</f>
        <v>0</v>
      </c>
      <c r="AL673" s="2977">
        <f>J673-'[2]Sheet 7 BS - 2019 &amp; 2018 -LI'!I47</f>
        <v>0</v>
      </c>
      <c r="AM673" s="2977">
        <f>K673-'[2]Sheet 7 BS - 2019 &amp; 2018 -LI'!J47</f>
        <v>0</v>
      </c>
      <c r="AN673" s="2977">
        <f>L673-'[2]Sheet 7 BS - 2019 &amp; 2018 -LI'!K47</f>
        <v>0</v>
      </c>
      <c r="AO673" s="2977">
        <f>M673-'[2]Sheet 7 BS - 2019 &amp; 2018 -LI'!L47</f>
        <v>0</v>
      </c>
      <c r="AP673" s="2977">
        <f>N673-'[2]Sheet 7 BS - 2019 &amp; 2018 -LI'!M47</f>
        <v>0</v>
      </c>
    </row>
    <row r="674" spans="1:42">
      <c r="A674" s="1830">
        <v>25</v>
      </c>
      <c r="B674" s="1851" t="s">
        <v>306</v>
      </c>
      <c r="C674" s="1830"/>
      <c r="D674" s="1831">
        <f t="shared" si="77"/>
        <v>78201.111550000001</v>
      </c>
      <c r="E674" s="2070"/>
      <c r="F674" s="2070">
        <v>78201.111550000001</v>
      </c>
      <c r="G674" s="2070"/>
      <c r="H674" s="2071"/>
      <c r="I674" s="2072"/>
      <c r="J674" s="1833">
        <f t="shared" si="80"/>
        <v>0</v>
      </c>
      <c r="K674" s="1832"/>
      <c r="L674" s="1832"/>
      <c r="M674" s="1834"/>
      <c r="N674" s="1835">
        <f t="shared" si="79"/>
        <v>0</v>
      </c>
      <c r="AG674" s="2983"/>
      <c r="AH674" s="2983"/>
      <c r="AI674" s="2977"/>
      <c r="AJ674" s="2977"/>
      <c r="AK674" s="2977">
        <f>I674-'[2]Sheet 7 BS - 2019 &amp; 2018 -LI'!H48</f>
        <v>0</v>
      </c>
      <c r="AL674" s="2977">
        <f>J674-'[2]Sheet 7 BS - 2019 &amp; 2018 -LI'!I48</f>
        <v>0</v>
      </c>
      <c r="AM674" s="2977">
        <f>K674-'[2]Sheet 7 BS - 2019 &amp; 2018 -LI'!J48</f>
        <v>0</v>
      </c>
      <c r="AN674" s="2977">
        <f>L674-'[2]Sheet 7 BS - 2019 &amp; 2018 -LI'!K48</f>
        <v>0</v>
      </c>
      <c r="AO674" s="2977">
        <f>M674-'[2]Sheet 7 BS - 2019 &amp; 2018 -LI'!L48</f>
        <v>0</v>
      </c>
      <c r="AP674" s="2977">
        <f>N674-'[2]Sheet 7 BS - 2019 &amp; 2018 -LI'!M48</f>
        <v>0</v>
      </c>
    </row>
    <row r="675" spans="1:42" ht="15" thickBot="1">
      <c r="A675" s="1847">
        <v>26</v>
      </c>
      <c r="B675" s="1848" t="s">
        <v>307</v>
      </c>
      <c r="C675" s="1852">
        <v>19</v>
      </c>
      <c r="D675" s="3113">
        <f t="shared" si="77"/>
        <v>901537.84266000218</v>
      </c>
      <c r="E675" s="3139">
        <v>-315722.47727999999</v>
      </c>
      <c r="F675" s="3139">
        <v>920.29086000000007</v>
      </c>
      <c r="G675" s="3140">
        <v>25127.745923398805</v>
      </c>
      <c r="H675" s="990">
        <f>1005454.27049405+148665.1008</f>
        <v>1154119.37129405</v>
      </c>
      <c r="I675" s="2073">
        <v>98033.547480000008</v>
      </c>
      <c r="J675" s="3112">
        <f>G675+H675+I675-18646.9347933988-42293.700824048</f>
        <v>1216340.0290800021</v>
      </c>
      <c r="K675" s="3111"/>
      <c r="L675" s="3111"/>
      <c r="M675" s="1070"/>
      <c r="N675" s="1849">
        <f t="shared" si="79"/>
        <v>0</v>
      </c>
      <c r="AG675" s="2983"/>
      <c r="AH675" s="2983"/>
      <c r="AI675" s="2977"/>
      <c r="AJ675" s="2977"/>
      <c r="AK675" s="2977">
        <f>I675-'[2]Sheet 7 BS - 2019 &amp; 2018 -LI'!H49-'[2]Sheet 7 BS - 2019 &amp; 2018 -LI'!H45</f>
        <v>-128748.60546999998</v>
      </c>
      <c r="AL675" s="2977">
        <f>J675-'[2]Sheet 7 BS - 2019 &amp; 2018 -LI'!I49-'[2]Sheet 7 BS - 2019 &amp; 2018 -LI'!I45</f>
        <v>340813.37710000208</v>
      </c>
      <c r="AM675" s="2977">
        <f>K675-'[2]Sheet 7 BS - 2019 &amp; 2018 -LI'!J49-'[2]Sheet 7 BS - 2019 &amp; 2018 -LI'!J45</f>
        <v>0</v>
      </c>
      <c r="AN675" s="2977">
        <f>L675-'[2]Sheet 7 BS - 2019 &amp; 2018 -LI'!K49-'[2]Sheet 7 BS - 2019 &amp; 2018 -LI'!K45</f>
        <v>0</v>
      </c>
      <c r="AO675" s="2977">
        <f>M675-'[2]Sheet 7 BS - 2019 &amp; 2018 -LI'!L49-'[2]Sheet 7 BS - 2019 &amp; 2018 -LI'!L45</f>
        <v>0</v>
      </c>
      <c r="AP675" s="2977">
        <f>N675-'[2]Sheet 7 BS - 2019 &amp; 2018 -LI'!M49-'[2]Sheet 7 BS - 2019 &amp; 2018 -LI'!M45</f>
        <v>0</v>
      </c>
    </row>
    <row r="676" spans="1:42" s="870" customFormat="1" ht="27" thickBot="1">
      <c r="A676" s="1135">
        <v>27</v>
      </c>
      <c r="B676" s="1136" t="s">
        <v>308</v>
      </c>
      <c r="C676" s="1135"/>
      <c r="D676" s="1196">
        <f t="shared" si="77"/>
        <v>7220328.4411900025</v>
      </c>
      <c r="E676" s="996">
        <f t="shared" ref="E676:M676" si="81">SUM(E670:E675)</f>
        <v>-315722.47727999999</v>
      </c>
      <c r="F676" s="996">
        <f t="shared" si="81"/>
        <v>79121.402409999995</v>
      </c>
      <c r="G676" s="996">
        <f t="shared" si="81"/>
        <v>271949.51200150006</v>
      </c>
      <c r="H676" s="997">
        <f t="shared" si="81"/>
        <v>4526124.2615901818</v>
      </c>
      <c r="I676" s="996">
        <f t="shared" si="81"/>
        <v>2719796.3780857669</v>
      </c>
      <c r="J676" s="1150">
        <f t="shared" si="81"/>
        <v>7456929.5160600021</v>
      </c>
      <c r="K676" s="995">
        <f t="shared" si="81"/>
        <v>0</v>
      </c>
      <c r="L676" s="995">
        <f t="shared" si="81"/>
        <v>0</v>
      </c>
      <c r="M676" s="1027">
        <f t="shared" si="81"/>
        <v>0</v>
      </c>
      <c r="N676" s="1152">
        <f t="shared" si="79"/>
        <v>0</v>
      </c>
      <c r="O676"/>
      <c r="P676"/>
      <c r="Q676"/>
      <c r="R676"/>
      <c r="S676"/>
      <c r="T676"/>
      <c r="U676"/>
      <c r="V676"/>
      <c r="W676"/>
      <c r="X676"/>
      <c r="Y676"/>
      <c r="Z676"/>
      <c r="AA676"/>
      <c r="AB676"/>
      <c r="AC676"/>
      <c r="AD676"/>
      <c r="AE676"/>
      <c r="AF676"/>
      <c r="AG676" s="2983"/>
      <c r="AH676" s="2983"/>
      <c r="AI676" s="2978"/>
      <c r="AJ676" s="2978"/>
      <c r="AK676" s="2978">
        <f>I676-'[2]Sheet 7 BS - 2019 &amp; 2018 -LI'!H50</f>
        <v>974472.4779270119</v>
      </c>
      <c r="AL676" s="2978">
        <f>J676-'[2]Sheet 7 BS - 2019 &amp; 2018 -LI'!I50</f>
        <v>2485090.0804999992</v>
      </c>
      <c r="AM676" s="2978">
        <f>K676-'[2]Sheet 7 BS - 2019 &amp; 2018 -LI'!J50</f>
        <v>0</v>
      </c>
      <c r="AN676" s="2978">
        <f>L676-'[2]Sheet 7 BS - 2019 &amp; 2018 -LI'!K50</f>
        <v>0</v>
      </c>
      <c r="AO676" s="2978">
        <f>M676-'[2]Sheet 7 BS - 2019 &amp; 2018 -LI'!L50</f>
        <v>0</v>
      </c>
      <c r="AP676" s="2978">
        <f>N676-'[2]Sheet 7 BS - 2019 &amp; 2018 -LI'!M50</f>
        <v>0</v>
      </c>
    </row>
    <row r="677" spans="1:42">
      <c r="A677" s="1133"/>
      <c r="B677" s="1134" t="s">
        <v>309</v>
      </c>
      <c r="C677" s="1133">
        <v>20</v>
      </c>
      <c r="D677" s="1194">
        <f t="shared" si="77"/>
        <v>0</v>
      </c>
      <c r="E677" s="991"/>
      <c r="F677" s="991"/>
      <c r="G677" s="981"/>
      <c r="H677" s="982"/>
      <c r="I677" s="992"/>
      <c r="J677" s="1195">
        <f t="shared" ref="J677:J683" si="82">G677+H677+I677</f>
        <v>0</v>
      </c>
      <c r="K677" s="984"/>
      <c r="L677" s="984"/>
      <c r="M677" s="1029"/>
      <c r="N677" s="1149">
        <f t="shared" si="79"/>
        <v>0</v>
      </c>
      <c r="AG677" s="2983"/>
      <c r="AH677" s="2983"/>
      <c r="AI677" s="2977"/>
      <c r="AJ677" s="2977"/>
      <c r="AK677" s="2977">
        <f>I677-'[2]Sheet 7 BS - 2019 &amp; 2018 -LI'!H51</f>
        <v>0</v>
      </c>
      <c r="AL677" s="2977">
        <f>J677-'[2]Sheet 7 BS - 2019 &amp; 2018 -LI'!I51</f>
        <v>0</v>
      </c>
      <c r="AM677" s="2977">
        <f>K677-'[2]Sheet 7 BS - 2019 &amp; 2018 -LI'!J51</f>
        <v>0</v>
      </c>
      <c r="AN677" s="2977">
        <f>L677-'[2]Sheet 7 BS - 2019 &amp; 2018 -LI'!K51</f>
        <v>0</v>
      </c>
      <c r="AO677" s="2977">
        <f>M677-'[2]Sheet 7 BS - 2019 &amp; 2018 -LI'!L51</f>
        <v>0</v>
      </c>
      <c r="AP677" s="2977">
        <f>N677-'[2]Sheet 7 BS - 2019 &amp; 2018 -LI'!M51</f>
        <v>0</v>
      </c>
    </row>
    <row r="678" spans="1:42">
      <c r="A678" s="1830">
        <v>28</v>
      </c>
      <c r="B678" s="1829" t="s">
        <v>310</v>
      </c>
      <c r="C678" s="1836"/>
      <c r="D678" s="1831">
        <f t="shared" si="77"/>
        <v>1350000</v>
      </c>
      <c r="E678" s="2062"/>
      <c r="F678" s="2062">
        <v>1350000</v>
      </c>
      <c r="G678" s="2063"/>
      <c r="H678" s="2064"/>
      <c r="I678" s="2065"/>
      <c r="J678" s="1833">
        <f t="shared" si="82"/>
        <v>0</v>
      </c>
      <c r="K678" s="1832"/>
      <c r="L678" s="1832"/>
      <c r="M678" s="1834"/>
      <c r="N678" s="1835">
        <f t="shared" si="79"/>
        <v>0</v>
      </c>
      <c r="AG678" s="2983"/>
      <c r="AH678" s="2983"/>
      <c r="AI678" s="2977"/>
      <c r="AJ678" s="2977"/>
      <c r="AK678" s="2977">
        <f>I678-'[2]Sheet 7 BS - 2019 &amp; 2018 -LI'!H52</f>
        <v>0</v>
      </c>
      <c r="AL678" s="2977">
        <f>J678-'[2]Sheet 7 BS - 2019 &amp; 2018 -LI'!I52</f>
        <v>0</v>
      </c>
      <c r="AM678" s="2977">
        <f>K678-'[2]Sheet 7 BS - 2019 &amp; 2018 -LI'!J52</f>
        <v>0</v>
      </c>
      <c r="AN678" s="2977">
        <f>L678-'[2]Sheet 7 BS - 2019 &amp; 2018 -LI'!K52</f>
        <v>0</v>
      </c>
      <c r="AO678" s="2977">
        <f>M678-'[2]Sheet 7 BS - 2019 &amp; 2018 -LI'!L52</f>
        <v>0</v>
      </c>
      <c r="AP678" s="2977">
        <f>N678-'[2]Sheet 7 BS - 2019 &amp; 2018 -LI'!M52</f>
        <v>0</v>
      </c>
    </row>
    <row r="679" spans="1:42">
      <c r="A679" s="1830">
        <v>29</v>
      </c>
      <c r="B679" s="1829" t="s">
        <v>311</v>
      </c>
      <c r="C679" s="1836"/>
      <c r="D679" s="1831">
        <f t="shared" si="77"/>
        <v>-53811.533599999944</v>
      </c>
      <c r="E679" s="2062"/>
      <c r="F679" s="2062">
        <v>-53811.533599999944</v>
      </c>
      <c r="G679" s="2063"/>
      <c r="H679" s="2064"/>
      <c r="I679" s="2065"/>
      <c r="J679" s="1833">
        <f t="shared" si="82"/>
        <v>0</v>
      </c>
      <c r="K679" s="1832"/>
      <c r="L679" s="1832"/>
      <c r="M679" s="1834"/>
      <c r="N679" s="1835">
        <f t="shared" si="79"/>
        <v>0</v>
      </c>
      <c r="AG679" s="2983"/>
      <c r="AH679" s="2983"/>
      <c r="AI679" s="2977"/>
      <c r="AJ679" s="2977"/>
      <c r="AK679" s="2977">
        <f>I679-'[2]Sheet 7 BS - 2019 &amp; 2018 -LI'!H53</f>
        <v>0</v>
      </c>
      <c r="AL679" s="2977">
        <f>J679-'[2]Sheet 7 BS - 2019 &amp; 2018 -LI'!I53</f>
        <v>0</v>
      </c>
      <c r="AM679" s="2977">
        <f>K679-'[2]Sheet 7 BS - 2019 &amp; 2018 -LI'!J53</f>
        <v>0</v>
      </c>
      <c r="AN679" s="2977">
        <f>L679-'[2]Sheet 7 BS - 2019 &amp; 2018 -LI'!K53</f>
        <v>0</v>
      </c>
      <c r="AO679" s="2977">
        <f>M679-'[2]Sheet 7 BS - 2019 &amp; 2018 -LI'!L53</f>
        <v>0</v>
      </c>
      <c r="AP679" s="2977">
        <f>N679-'[2]Sheet 7 BS - 2019 &amp; 2018 -LI'!M53</f>
        <v>0</v>
      </c>
    </row>
    <row r="680" spans="1:42">
      <c r="A680" s="1830">
        <v>30</v>
      </c>
      <c r="B680" s="1848" t="s">
        <v>312</v>
      </c>
      <c r="C680" s="1852"/>
      <c r="D680" s="1831">
        <f t="shared" si="77"/>
        <v>0</v>
      </c>
      <c r="E680" s="2062"/>
      <c r="F680" s="3139"/>
      <c r="G680" s="3140"/>
      <c r="H680" s="2068"/>
      <c r="I680" s="2069"/>
      <c r="J680" s="1833">
        <f t="shared" si="82"/>
        <v>0</v>
      </c>
      <c r="K680" s="1832"/>
      <c r="L680" s="1832"/>
      <c r="M680" s="1834"/>
      <c r="N680" s="1835">
        <f t="shared" si="79"/>
        <v>0</v>
      </c>
      <c r="AG680" s="2983"/>
      <c r="AH680" s="2983"/>
      <c r="AI680" s="2977"/>
      <c r="AJ680" s="2977"/>
      <c r="AK680" s="2977">
        <f>I680-'[2]Sheet 7 BS - 2019 &amp; 2018 -LI'!H54</f>
        <v>0</v>
      </c>
      <c r="AL680" s="2977">
        <f>J680-'[2]Sheet 7 BS - 2019 &amp; 2018 -LI'!I54</f>
        <v>0</v>
      </c>
      <c r="AM680" s="2977">
        <f>K680-'[2]Sheet 7 BS - 2019 &amp; 2018 -LI'!J54</f>
        <v>0</v>
      </c>
      <c r="AN680" s="2977">
        <f>L680-'[2]Sheet 7 BS - 2019 &amp; 2018 -LI'!K54</f>
        <v>0</v>
      </c>
      <c r="AO680" s="2977">
        <f>M680-'[2]Sheet 7 BS - 2019 &amp; 2018 -LI'!L54</f>
        <v>0</v>
      </c>
      <c r="AP680" s="2977">
        <f>N680-'[2]Sheet 7 BS - 2019 &amp; 2018 -LI'!M54</f>
        <v>0</v>
      </c>
    </row>
    <row r="681" spans="1:42">
      <c r="A681" s="1830">
        <v>31</v>
      </c>
      <c r="B681" s="1848" t="s">
        <v>313</v>
      </c>
      <c r="C681" s="1852"/>
      <c r="D681" s="1831">
        <f t="shared" si="77"/>
        <v>256134.38</v>
      </c>
      <c r="E681" s="2062"/>
      <c r="F681" s="3139">
        <v>256134.38</v>
      </c>
      <c r="G681" s="3140"/>
      <c r="H681" s="2068"/>
      <c r="I681" s="2069"/>
      <c r="J681" s="1833">
        <f t="shared" si="82"/>
        <v>0</v>
      </c>
      <c r="K681" s="1832"/>
      <c r="L681" s="1832"/>
      <c r="M681" s="1834"/>
      <c r="N681" s="1835">
        <f t="shared" si="79"/>
        <v>0</v>
      </c>
      <c r="AG681" s="2983"/>
      <c r="AH681" s="2983"/>
      <c r="AI681" s="2977"/>
      <c r="AJ681" s="2977"/>
      <c r="AK681" s="2977">
        <f>I681-'[2]Sheet 7 BS - 2019 &amp; 2018 -LI'!H55</f>
        <v>0</v>
      </c>
      <c r="AL681" s="2977">
        <f>J681-'[2]Sheet 7 BS - 2019 &amp; 2018 -LI'!I55</f>
        <v>0</v>
      </c>
      <c r="AM681" s="2977">
        <f>K681-'[2]Sheet 7 BS - 2019 &amp; 2018 -LI'!J55</f>
        <v>0</v>
      </c>
      <c r="AN681" s="2977">
        <f>L681-'[2]Sheet 7 BS - 2019 &amp; 2018 -LI'!K55</f>
        <v>0</v>
      </c>
      <c r="AO681" s="2977">
        <f>M681-'[2]Sheet 7 BS - 2019 &amp; 2018 -LI'!L55</f>
        <v>0</v>
      </c>
      <c r="AP681" s="2977">
        <f>N681-'[2]Sheet 7 BS - 2019 &amp; 2018 -LI'!M55</f>
        <v>0</v>
      </c>
    </row>
    <row r="682" spans="1:42" ht="15" thickBot="1">
      <c r="A682" s="1847">
        <v>32</v>
      </c>
      <c r="B682" s="1848" t="s">
        <v>314</v>
      </c>
      <c r="C682" s="1852"/>
      <c r="D682" s="3113">
        <f t="shared" si="77"/>
        <v>849494.07705999992</v>
      </c>
      <c r="E682" s="3139"/>
      <c r="F682" s="3139">
        <v>849494.07705999992</v>
      </c>
      <c r="G682" s="3140"/>
      <c r="H682" s="2068"/>
      <c r="I682" s="2069"/>
      <c r="J682" s="3112">
        <f t="shared" si="82"/>
        <v>0</v>
      </c>
      <c r="K682" s="3111"/>
      <c r="L682" s="3111"/>
      <c r="M682" s="1070"/>
      <c r="N682" s="1849">
        <f t="shared" si="79"/>
        <v>0</v>
      </c>
      <c r="AG682" s="2983"/>
      <c r="AH682" s="2983"/>
      <c r="AI682" s="2977"/>
      <c r="AJ682" s="2977"/>
      <c r="AK682" s="2977">
        <f>I682-'[2]Sheet 7 BS - 2019 &amp; 2018 -LI'!H56</f>
        <v>0</v>
      </c>
      <c r="AL682" s="2977">
        <f>J682-'[2]Sheet 7 BS - 2019 &amp; 2018 -LI'!I56</f>
        <v>0</v>
      </c>
      <c r="AM682" s="2977">
        <f>K682-'[2]Sheet 7 BS - 2019 &amp; 2018 -LI'!J56</f>
        <v>0</v>
      </c>
      <c r="AN682" s="2977">
        <f>L682-'[2]Sheet 7 BS - 2019 &amp; 2018 -LI'!K56</f>
        <v>0</v>
      </c>
      <c r="AO682" s="2977">
        <f>M682-'[2]Sheet 7 BS - 2019 &amp; 2018 -LI'!L56</f>
        <v>0</v>
      </c>
      <c r="AP682" s="2977">
        <f>N682-'[2]Sheet 7 BS - 2019 &amp; 2018 -LI'!M56</f>
        <v>0</v>
      </c>
    </row>
    <row r="683" spans="1:42" s="870" customFormat="1" ht="15" thickBot="1">
      <c r="A683" s="1135">
        <v>33</v>
      </c>
      <c r="B683" s="1137" t="s">
        <v>315</v>
      </c>
      <c r="C683" s="1135"/>
      <c r="D683" s="1198">
        <f t="shared" si="77"/>
        <v>2401816.9234600002</v>
      </c>
      <c r="E683" s="998">
        <f>SUM(E678:E682)</f>
        <v>0</v>
      </c>
      <c r="F683" s="998">
        <f>SUM(F678:F682)</f>
        <v>2401816.9234600002</v>
      </c>
      <c r="G683" s="998">
        <f>SUM(G678:G682)</f>
        <v>0</v>
      </c>
      <c r="H683" s="999">
        <f>SUM(H678:H682)</f>
        <v>0</v>
      </c>
      <c r="I683" s="1000">
        <f>SUM(I678:I682)</f>
        <v>0</v>
      </c>
      <c r="J683" s="1202">
        <f t="shared" si="82"/>
        <v>0</v>
      </c>
      <c r="K683" s="998">
        <f>SUM(K678:K682)</f>
        <v>0</v>
      </c>
      <c r="L683" s="998">
        <f>SUM(L678:L682)</f>
        <v>0</v>
      </c>
      <c r="M683" s="999">
        <f>SUM(M678:M682)</f>
        <v>0</v>
      </c>
      <c r="N683" s="1201">
        <f t="shared" si="79"/>
        <v>0</v>
      </c>
      <c r="O683"/>
      <c r="P683"/>
      <c r="Q683"/>
      <c r="R683"/>
      <c r="S683"/>
      <c r="T683"/>
      <c r="U683"/>
      <c r="V683"/>
      <c r="W683"/>
      <c r="X683"/>
      <c r="Y683"/>
      <c r="Z683"/>
      <c r="AA683"/>
      <c r="AB683"/>
      <c r="AC683"/>
      <c r="AD683"/>
      <c r="AE683"/>
      <c r="AF683"/>
      <c r="AG683" s="2983"/>
      <c r="AH683" s="2983"/>
      <c r="AI683" s="2978"/>
      <c r="AJ683" s="2978"/>
      <c r="AK683" s="2978">
        <f>I683-'[2]Sheet 7 BS - 2019 &amp; 2018 -LI'!H57</f>
        <v>0</v>
      </c>
      <c r="AL683" s="2978">
        <f>J683-'[2]Sheet 7 BS - 2019 &amp; 2018 -LI'!I57</f>
        <v>0</v>
      </c>
      <c r="AM683" s="2978">
        <f>K683-'[2]Sheet 7 BS - 2019 &amp; 2018 -LI'!J57</f>
        <v>0</v>
      </c>
      <c r="AN683" s="2978">
        <f>L683-'[2]Sheet 7 BS - 2019 &amp; 2018 -LI'!K57</f>
        <v>0</v>
      </c>
      <c r="AO683" s="2978">
        <f>M683-'[2]Sheet 7 BS - 2019 &amp; 2018 -LI'!L57</f>
        <v>0</v>
      </c>
      <c r="AP683" s="2978">
        <f>N683-'[2]Sheet 7 BS - 2019 &amp; 2018 -LI'!M57</f>
        <v>0</v>
      </c>
    </row>
    <row r="684" spans="1:42" s="870" customFormat="1" ht="27" thickBot="1">
      <c r="A684" s="1138">
        <v>34</v>
      </c>
      <c r="B684" s="1139" t="s">
        <v>317</v>
      </c>
      <c r="C684" s="1138"/>
      <c r="D684" s="1203">
        <f t="shared" si="77"/>
        <v>9622145.3646500036</v>
      </c>
      <c r="E684" s="1203">
        <f t="shared" ref="E684:M684" si="83">E683+E676</f>
        <v>-315722.47727999999</v>
      </c>
      <c r="F684" s="1203">
        <f t="shared" si="83"/>
        <v>2480938.3258700003</v>
      </c>
      <c r="G684" s="1203">
        <f t="shared" si="83"/>
        <v>271949.51200150006</v>
      </c>
      <c r="H684" s="1204">
        <f t="shared" si="83"/>
        <v>4526124.2615901818</v>
      </c>
      <c r="I684" s="1199">
        <f t="shared" si="83"/>
        <v>2719796.3780857669</v>
      </c>
      <c r="J684" s="1166">
        <f t="shared" si="83"/>
        <v>7456929.5160600021</v>
      </c>
      <c r="K684" s="1203">
        <f t="shared" si="83"/>
        <v>0</v>
      </c>
      <c r="L684" s="1203">
        <f t="shared" si="83"/>
        <v>0</v>
      </c>
      <c r="M684" s="1204">
        <f t="shared" si="83"/>
        <v>0</v>
      </c>
      <c r="N684" s="1199">
        <f t="shared" si="79"/>
        <v>0</v>
      </c>
      <c r="O684"/>
      <c r="P684"/>
      <c r="Q684"/>
      <c r="R684"/>
      <c r="S684"/>
      <c r="T684"/>
      <c r="U684"/>
      <c r="V684"/>
      <c r="W684"/>
      <c r="X684"/>
      <c r="Y684"/>
      <c r="Z684"/>
      <c r="AA684"/>
      <c r="AB684"/>
      <c r="AC684"/>
      <c r="AD684"/>
      <c r="AE684"/>
      <c r="AF684"/>
      <c r="AG684" s="2983"/>
      <c r="AH684" s="2983"/>
      <c r="AI684" s="2978"/>
      <c r="AJ684" s="2978"/>
      <c r="AK684" s="2978">
        <f>I684-'[2]Sheet 7 BS - 2019 &amp; 2018 -LI'!H58</f>
        <v>974472.4779270119</v>
      </c>
      <c r="AL684" s="2978">
        <f>J684-'[2]Sheet 7 BS - 2019 &amp; 2018 -LI'!I58</f>
        <v>2485090.0804999992</v>
      </c>
      <c r="AM684" s="2978">
        <f>K684-'[2]Sheet 7 BS - 2019 &amp; 2018 -LI'!J58</f>
        <v>0</v>
      </c>
      <c r="AN684" s="2978">
        <f>L684-'[2]Sheet 7 BS - 2019 &amp; 2018 -LI'!K58</f>
        <v>0</v>
      </c>
      <c r="AO684" s="2978">
        <f>M684-'[2]Sheet 7 BS - 2019 &amp; 2018 -LI'!L58</f>
        <v>0</v>
      </c>
      <c r="AP684" s="2978">
        <f>N684-'[2]Sheet 7 BS - 2019 &amp; 2018 -LI'!M58</f>
        <v>0</v>
      </c>
    </row>
    <row r="685" spans="1:42">
      <c r="B685"/>
      <c r="C685"/>
      <c r="D685"/>
      <c r="E685"/>
      <c r="F685"/>
      <c r="G685"/>
      <c r="H685"/>
      <c r="I685"/>
      <c r="J685"/>
      <c r="K685"/>
      <c r="L685"/>
      <c r="M685"/>
      <c r="N685"/>
    </row>
    <row r="686" spans="1:42">
      <c r="B686"/>
      <c r="C686"/>
      <c r="D686"/>
      <c r="E686"/>
      <c r="F686"/>
      <c r="G686"/>
      <c r="H686"/>
      <c r="I686"/>
      <c r="J686"/>
      <c r="K686"/>
      <c r="L686"/>
      <c r="M686"/>
      <c r="N686"/>
    </row>
    <row r="687" spans="1:42">
      <c r="B687"/>
      <c r="C687"/>
      <c r="D687"/>
      <c r="E687"/>
      <c r="F687"/>
      <c r="G687"/>
      <c r="H687"/>
      <c r="I687"/>
      <c r="J687"/>
      <c r="K687"/>
      <c r="L687"/>
      <c r="M687"/>
      <c r="N687"/>
    </row>
    <row r="690" spans="1:14" ht="15" thickBot="1"/>
    <row r="691" spans="1:14" ht="15" thickBot="1">
      <c r="A691" s="1153" t="s">
        <v>109</v>
      </c>
      <c r="B691" s="3303" t="s">
        <v>109</v>
      </c>
      <c r="C691" s="3304"/>
      <c r="D691" s="666"/>
      <c r="E691" s="666"/>
      <c r="F691" s="666"/>
      <c r="G691" s="666"/>
      <c r="H691" s="666"/>
      <c r="I691" s="666"/>
      <c r="J691" s="666"/>
      <c r="K691" s="666"/>
      <c r="L691" s="666"/>
      <c r="M691" s="3292"/>
      <c r="N691" s="3292" t="s">
        <v>257</v>
      </c>
    </row>
    <row r="692" spans="1:14" ht="13.5" customHeight="1" thickBot="1">
      <c r="A692" s="3311" t="s">
        <v>258</v>
      </c>
      <c r="B692" s="1212"/>
      <c r="C692" s="3280" t="s">
        <v>259</v>
      </c>
      <c r="D692" s="3314" t="s">
        <v>260</v>
      </c>
      <c r="E692" s="3314" t="s">
        <v>261</v>
      </c>
      <c r="F692" s="3314" t="s">
        <v>262</v>
      </c>
      <c r="G692" s="3324" t="s">
        <v>263</v>
      </c>
      <c r="H692" s="3325"/>
      <c r="I692" s="3325"/>
      <c r="J692" s="3325"/>
      <c r="K692" s="3325"/>
      <c r="L692" s="3325"/>
      <c r="M692" s="3325"/>
      <c r="N692" s="3326"/>
    </row>
    <row r="693" spans="1:14" ht="13.5" customHeight="1" thickBot="1">
      <c r="A693" s="3312"/>
      <c r="B693" s="1213"/>
      <c r="C693" s="3281"/>
      <c r="D693" s="3315"/>
      <c r="E693" s="3315"/>
      <c r="F693" s="3315"/>
      <c r="G693" s="3289" t="s">
        <v>264</v>
      </c>
      <c r="H693" s="3290"/>
      <c r="I693" s="3290"/>
      <c r="J693" s="3291"/>
      <c r="K693" s="3318" t="s">
        <v>265</v>
      </c>
      <c r="L693" s="3319"/>
      <c r="M693" s="3319"/>
      <c r="N693" s="3320"/>
    </row>
    <row r="694" spans="1:14" ht="40.15" thickBot="1">
      <c r="A694" s="3312"/>
      <c r="B694" s="1214"/>
      <c r="C694" s="3281"/>
      <c r="D694" s="3316"/>
      <c r="E694" s="3316"/>
      <c r="F694" s="3316"/>
      <c r="G694" s="1125" t="s">
        <v>267</v>
      </c>
      <c r="H694" s="1125" t="s">
        <v>268</v>
      </c>
      <c r="I694" s="1125" t="s">
        <v>269</v>
      </c>
      <c r="J694" s="1125" t="s">
        <v>160</v>
      </c>
      <c r="K694" s="1126" t="s">
        <v>270</v>
      </c>
      <c r="L694" s="1126" t="s">
        <v>271</v>
      </c>
      <c r="M694" s="1126" t="s">
        <v>272</v>
      </c>
      <c r="N694" s="2969" t="s">
        <v>160</v>
      </c>
    </row>
    <row r="695" spans="1:14" ht="15" thickBot="1">
      <c r="A695" s="3312"/>
      <c r="B695" s="1213"/>
      <c r="C695" s="3281"/>
      <c r="D695" s="1215">
        <v>1</v>
      </c>
      <c r="E695" s="1216">
        <v>2</v>
      </c>
      <c r="F695" s="1216">
        <v>3</v>
      </c>
      <c r="G695" s="1217">
        <v>4</v>
      </c>
      <c r="H695" s="1216">
        <v>5</v>
      </c>
      <c r="I695" s="1218">
        <v>6</v>
      </c>
      <c r="J695" s="2971">
        <v>7</v>
      </c>
      <c r="K695" s="1217">
        <v>8</v>
      </c>
      <c r="L695" s="1216">
        <v>9</v>
      </c>
      <c r="M695" s="1238">
        <v>10</v>
      </c>
      <c r="N695" s="1215">
        <v>11</v>
      </c>
    </row>
    <row r="696" spans="1:14" ht="15" thickBot="1">
      <c r="A696" s="3329"/>
      <c r="B696" s="1326"/>
      <c r="C696" s="3330"/>
      <c r="D696" s="1220"/>
      <c r="E696" s="1220"/>
      <c r="F696" s="1220"/>
      <c r="G696" s="1221"/>
      <c r="H696" s="1220"/>
      <c r="I696" s="1292"/>
      <c r="J696" s="1222" t="s">
        <v>273</v>
      </c>
      <c r="K696" s="1221"/>
      <c r="L696" s="1220"/>
      <c r="M696" s="1667"/>
      <c r="N696" s="1293" t="s">
        <v>274</v>
      </c>
    </row>
    <row r="697" spans="1:14">
      <c r="A697" s="1950"/>
      <c r="B697" s="1959" t="s">
        <v>275</v>
      </c>
      <c r="C697" s="1830"/>
      <c r="D697" s="1827"/>
      <c r="E697" s="673"/>
      <c r="F697" s="673"/>
      <c r="G697" s="674"/>
      <c r="H697" s="675"/>
      <c r="I697" s="676"/>
      <c r="J697" s="1233"/>
      <c r="K697" s="914"/>
      <c r="L697" s="912"/>
      <c r="M697" s="915"/>
      <c r="N697" s="2061"/>
    </row>
    <row r="698" spans="1:14">
      <c r="A698" s="1944">
        <v>1</v>
      </c>
      <c r="B698" s="1945" t="s">
        <v>276</v>
      </c>
      <c r="C698" s="1830"/>
      <c r="D698" s="1946">
        <f t="shared" ref="D698:D738" si="84">+E698+F698+J698+N698</f>
        <v>0</v>
      </c>
      <c r="E698" s="1973"/>
      <c r="F698" s="1973"/>
      <c r="G698" s="1970"/>
      <c r="H698" s="1966"/>
      <c r="I698" s="1972"/>
      <c r="J698" s="1948">
        <f t="shared" ref="J698:J738" si="85">G698+H698+I698</f>
        <v>0</v>
      </c>
      <c r="K698" s="1947"/>
      <c r="L698" s="1947"/>
      <c r="M698" s="1947"/>
      <c r="N698" s="1948">
        <f t="shared" ref="N698:N738" si="86">K698+L698+M698</f>
        <v>0</v>
      </c>
    </row>
    <row r="699" spans="1:14">
      <c r="A699" s="1944">
        <v>2</v>
      </c>
      <c r="B699" s="1945" t="s">
        <v>277</v>
      </c>
      <c r="C699" s="1830"/>
      <c r="D699" s="1946">
        <f t="shared" si="84"/>
        <v>0</v>
      </c>
      <c r="E699" s="1973"/>
      <c r="F699" s="1973"/>
      <c r="G699" s="1970"/>
      <c r="H699" s="1966"/>
      <c r="I699" s="1972"/>
      <c r="J699" s="1948">
        <f t="shared" si="85"/>
        <v>0</v>
      </c>
      <c r="K699" s="1947"/>
      <c r="L699" s="1947"/>
      <c r="M699" s="1947"/>
      <c r="N699" s="1948">
        <f t="shared" si="86"/>
        <v>0</v>
      </c>
    </row>
    <row r="700" spans="1:14">
      <c r="A700" s="1944">
        <v>3</v>
      </c>
      <c r="B700" s="1945" t="s">
        <v>278</v>
      </c>
      <c r="C700" s="1830"/>
      <c r="D700" s="1946">
        <f t="shared" si="84"/>
        <v>0</v>
      </c>
      <c r="E700" s="1973"/>
      <c r="F700" s="1973"/>
      <c r="G700" s="1970"/>
      <c r="H700" s="1966"/>
      <c r="I700" s="1972"/>
      <c r="J700" s="1948">
        <f t="shared" si="85"/>
        <v>0</v>
      </c>
      <c r="K700" s="1947"/>
      <c r="L700" s="1947"/>
      <c r="M700" s="1947"/>
      <c r="N700" s="1948">
        <f t="shared" si="86"/>
        <v>0</v>
      </c>
    </row>
    <row r="701" spans="1:14">
      <c r="A701" s="1944">
        <v>4</v>
      </c>
      <c r="B701" s="1945" t="s">
        <v>324</v>
      </c>
      <c r="C701" s="1830"/>
      <c r="D701" s="1946">
        <f t="shared" si="84"/>
        <v>0</v>
      </c>
      <c r="E701" s="1973"/>
      <c r="F701" s="1973"/>
      <c r="G701" s="1970"/>
      <c r="H701" s="1966"/>
      <c r="I701" s="1972"/>
      <c r="J701" s="1948">
        <f t="shared" si="85"/>
        <v>0</v>
      </c>
      <c r="K701" s="1947"/>
      <c r="L701" s="1947"/>
      <c r="M701" s="1947"/>
      <c r="N701" s="1948">
        <f t="shared" si="86"/>
        <v>0</v>
      </c>
    </row>
    <row r="702" spans="1:14">
      <c r="A702" s="1944">
        <v>5</v>
      </c>
      <c r="B702" s="1945" t="s">
        <v>280</v>
      </c>
      <c r="C702" s="1836">
        <v>5</v>
      </c>
      <c r="D702" s="1946">
        <f t="shared" si="84"/>
        <v>116.7309700000001</v>
      </c>
      <c r="E702" s="1973"/>
      <c r="F702" s="1973">
        <v>116.7309700000001</v>
      </c>
      <c r="G702" s="1970"/>
      <c r="H702" s="1966"/>
      <c r="I702" s="1972"/>
      <c r="J702" s="1948">
        <f t="shared" si="85"/>
        <v>0</v>
      </c>
      <c r="K702" s="1947"/>
      <c r="L702" s="1947"/>
      <c r="M702" s="1947"/>
      <c r="N702" s="1948">
        <f t="shared" si="86"/>
        <v>0</v>
      </c>
    </row>
    <row r="703" spans="1:14">
      <c r="A703" s="1944">
        <v>6</v>
      </c>
      <c r="B703" s="1945" t="s">
        <v>281</v>
      </c>
      <c r="C703" s="1830">
        <v>6</v>
      </c>
      <c r="D703" s="1946">
        <f t="shared" si="84"/>
        <v>0</v>
      </c>
      <c r="E703" s="1947"/>
      <c r="F703" s="1947"/>
      <c r="G703" s="1947"/>
      <c r="H703" s="1968"/>
      <c r="I703" s="1996"/>
      <c r="J703" s="1948">
        <f t="shared" si="85"/>
        <v>0</v>
      </c>
      <c r="K703" s="1947"/>
      <c r="L703" s="1947"/>
      <c r="M703" s="1947"/>
      <c r="N703" s="1948">
        <f t="shared" si="86"/>
        <v>0</v>
      </c>
    </row>
    <row r="704" spans="1:14">
      <c r="A704" s="1944">
        <v>7</v>
      </c>
      <c r="B704" s="1945" t="s">
        <v>282</v>
      </c>
      <c r="C704" s="1836">
        <v>7</v>
      </c>
      <c r="D704" s="1946">
        <f t="shared" si="84"/>
        <v>0</v>
      </c>
      <c r="E704" s="1947"/>
      <c r="F704" s="1947">
        <f>F705+F706</f>
        <v>0</v>
      </c>
      <c r="G704" s="1947">
        <f>G705+G706</f>
        <v>0</v>
      </c>
      <c r="H704" s="1968">
        <f>H705+H706</f>
        <v>0</v>
      </c>
      <c r="I704" s="1996">
        <f>I705+I706</f>
        <v>0</v>
      </c>
      <c r="J704" s="1948">
        <f t="shared" si="85"/>
        <v>0</v>
      </c>
      <c r="K704" s="1947">
        <f>K705+K706</f>
        <v>0</v>
      </c>
      <c r="L704" s="1947">
        <f>L705+L706</f>
        <v>0</v>
      </c>
      <c r="M704" s="1947">
        <f>M705+M706</f>
        <v>0</v>
      </c>
      <c r="N704" s="1948">
        <f t="shared" si="86"/>
        <v>0</v>
      </c>
    </row>
    <row r="705" spans="1:14">
      <c r="A705" s="1950"/>
      <c r="B705" s="1837" t="s">
        <v>283</v>
      </c>
      <c r="C705" s="1836"/>
      <c r="D705" s="1946">
        <f t="shared" si="84"/>
        <v>0</v>
      </c>
      <c r="E705" s="1947"/>
      <c r="F705" s="1947"/>
      <c r="G705" s="1947"/>
      <c r="H705" s="1968"/>
      <c r="I705" s="1996"/>
      <c r="J705" s="1948">
        <f t="shared" si="85"/>
        <v>0</v>
      </c>
      <c r="K705" s="1947"/>
      <c r="L705" s="1947"/>
      <c r="M705" s="1947"/>
      <c r="N705" s="1948">
        <f t="shared" si="86"/>
        <v>0</v>
      </c>
    </row>
    <row r="706" spans="1:14">
      <c r="A706" s="1950"/>
      <c r="B706" s="1837" t="s">
        <v>284</v>
      </c>
      <c r="C706" s="1836"/>
      <c r="D706" s="1946">
        <f t="shared" si="84"/>
        <v>0</v>
      </c>
      <c r="E706" s="1947"/>
      <c r="F706" s="1947"/>
      <c r="G706" s="1947"/>
      <c r="H706" s="1968"/>
      <c r="I706" s="1996"/>
      <c r="J706" s="1948">
        <f t="shared" si="85"/>
        <v>0</v>
      </c>
      <c r="K706" s="1947"/>
      <c r="L706" s="1947"/>
      <c r="M706" s="1947"/>
      <c r="N706" s="1948">
        <f t="shared" si="86"/>
        <v>0</v>
      </c>
    </row>
    <row r="707" spans="1:14">
      <c r="A707" s="1944">
        <v>8</v>
      </c>
      <c r="B707" s="1945" t="s">
        <v>285</v>
      </c>
      <c r="C707" s="1830">
        <v>8</v>
      </c>
      <c r="D707" s="1946">
        <f t="shared" si="84"/>
        <v>0</v>
      </c>
      <c r="E707" s="1947"/>
      <c r="F707" s="1947">
        <f>F708+F709</f>
        <v>0</v>
      </c>
      <c r="G707" s="1947">
        <f>G708+G709</f>
        <v>0</v>
      </c>
      <c r="H707" s="1968">
        <f>H708+H709</f>
        <v>0</v>
      </c>
      <c r="I707" s="1996">
        <f>I708+I709</f>
        <v>0</v>
      </c>
      <c r="J707" s="1948">
        <f t="shared" si="85"/>
        <v>0</v>
      </c>
      <c r="K707" s="1947">
        <f>K708+K709</f>
        <v>0</v>
      </c>
      <c r="L707" s="1947">
        <f>L708+L709</f>
        <v>0</v>
      </c>
      <c r="M707" s="1947">
        <f>M708+M709</f>
        <v>0</v>
      </c>
      <c r="N707" s="1948">
        <f t="shared" si="86"/>
        <v>0</v>
      </c>
    </row>
    <row r="708" spans="1:14">
      <c r="A708" s="1944"/>
      <c r="B708" s="1837" t="s">
        <v>286</v>
      </c>
      <c r="C708" s="1830"/>
      <c r="D708" s="1946">
        <f t="shared" si="84"/>
        <v>0</v>
      </c>
      <c r="E708" s="1947"/>
      <c r="F708" s="1947"/>
      <c r="G708" s="1947"/>
      <c r="H708" s="1968"/>
      <c r="I708" s="1996"/>
      <c r="J708" s="1948">
        <f t="shared" si="85"/>
        <v>0</v>
      </c>
      <c r="K708" s="1947"/>
      <c r="L708" s="1947"/>
      <c r="M708" s="1947"/>
      <c r="N708" s="1948">
        <f t="shared" si="86"/>
        <v>0</v>
      </c>
    </row>
    <row r="709" spans="1:14">
      <c r="A709" s="1944"/>
      <c r="B709" s="1837" t="s">
        <v>287</v>
      </c>
      <c r="C709" s="1830"/>
      <c r="D709" s="1946">
        <f t="shared" si="84"/>
        <v>0</v>
      </c>
      <c r="E709" s="1947"/>
      <c r="F709" s="1947"/>
      <c r="G709" s="1947"/>
      <c r="H709" s="1968"/>
      <c r="I709" s="1996"/>
      <c r="J709" s="1948">
        <f t="shared" si="85"/>
        <v>0</v>
      </c>
      <c r="K709" s="1947"/>
      <c r="L709" s="1947"/>
      <c r="M709" s="1947"/>
      <c r="N709" s="1948">
        <f t="shared" si="86"/>
        <v>0</v>
      </c>
    </row>
    <row r="710" spans="1:14" ht="26.45">
      <c r="A710" s="1951">
        <v>9</v>
      </c>
      <c r="B710" s="1952" t="s">
        <v>288</v>
      </c>
      <c r="C710" s="1840"/>
      <c r="D710" s="1953">
        <f t="shared" si="84"/>
        <v>967744.16261</v>
      </c>
      <c r="E710" s="1954">
        <f>SUM(E711:E714)</f>
        <v>0</v>
      </c>
      <c r="F710" s="1954">
        <f>SUM(F711:F714)</f>
        <v>495327.54175000003</v>
      </c>
      <c r="G710" s="1954">
        <f>SUM(G711:G714)</f>
        <v>42918.024169999997</v>
      </c>
      <c r="H710" s="1976">
        <f>SUM(H711:H714)</f>
        <v>429498.59669000003</v>
      </c>
      <c r="I710" s="1977">
        <f>SUM(I711:I714)</f>
        <v>0</v>
      </c>
      <c r="J710" s="2010">
        <f t="shared" si="85"/>
        <v>472416.62086000002</v>
      </c>
      <c r="K710" s="1954">
        <f>SUM(K711:K714)</f>
        <v>0</v>
      </c>
      <c r="L710" s="1954">
        <f>SUM(L711:L714)</f>
        <v>0</v>
      </c>
      <c r="M710" s="1954">
        <f>SUM(M711:M714)</f>
        <v>0</v>
      </c>
      <c r="N710" s="1955">
        <f t="shared" si="86"/>
        <v>0</v>
      </c>
    </row>
    <row r="711" spans="1:14">
      <c r="A711" s="1950">
        <v>10</v>
      </c>
      <c r="B711" s="1846" t="s">
        <v>289</v>
      </c>
      <c r="C711" s="1830">
        <v>9</v>
      </c>
      <c r="D711" s="1946">
        <f t="shared" si="84"/>
        <v>0</v>
      </c>
      <c r="E711" s="1973"/>
      <c r="F711" s="1973"/>
      <c r="G711" s="1970"/>
      <c r="H711" s="1966"/>
      <c r="I711" s="1972"/>
      <c r="J711" s="2014">
        <f t="shared" si="85"/>
        <v>0</v>
      </c>
      <c r="K711" s="1947"/>
      <c r="L711" s="1947"/>
      <c r="M711" s="1947"/>
      <c r="N711" s="1948">
        <f t="shared" si="86"/>
        <v>0</v>
      </c>
    </row>
    <row r="712" spans="1:14">
      <c r="A712" s="1950">
        <v>11</v>
      </c>
      <c r="B712" s="1846" t="s">
        <v>290</v>
      </c>
      <c r="C712" s="1830">
        <v>10</v>
      </c>
      <c r="D712" s="1946">
        <f t="shared" si="84"/>
        <v>228750.83795000002</v>
      </c>
      <c r="E712" s="1973"/>
      <c r="F712" s="1973">
        <v>149468.64175000001</v>
      </c>
      <c r="G712" s="1970">
        <v>3080.7441699999999</v>
      </c>
      <c r="H712" s="1971">
        <v>76201.452029999986</v>
      </c>
      <c r="I712" s="1965"/>
      <c r="J712" s="2014">
        <f t="shared" si="85"/>
        <v>79282.196199999991</v>
      </c>
      <c r="K712" s="1947"/>
      <c r="L712" s="1947"/>
      <c r="M712" s="1947"/>
      <c r="N712" s="1948">
        <f t="shared" si="86"/>
        <v>0</v>
      </c>
    </row>
    <row r="713" spans="1:14">
      <c r="A713" s="1950">
        <v>12</v>
      </c>
      <c r="B713" s="1846" t="s">
        <v>291</v>
      </c>
      <c r="C713" s="1830">
        <v>11</v>
      </c>
      <c r="D713" s="1946">
        <f t="shared" si="84"/>
        <v>738993.32466000004</v>
      </c>
      <c r="E713" s="1973"/>
      <c r="F713" s="1973">
        <v>345858.9</v>
      </c>
      <c r="G713" s="1970">
        <v>39837.279999999999</v>
      </c>
      <c r="H713" s="1971">
        <v>353297.14466000005</v>
      </c>
      <c r="I713" s="1965"/>
      <c r="J713" s="2014">
        <f t="shared" si="85"/>
        <v>393134.42466000002</v>
      </c>
      <c r="K713" s="1947"/>
      <c r="L713" s="1947"/>
      <c r="M713" s="1947"/>
      <c r="N713" s="1948">
        <f t="shared" si="86"/>
        <v>0</v>
      </c>
    </row>
    <row r="714" spans="1:14" ht="26.45">
      <c r="A714" s="1950">
        <v>13</v>
      </c>
      <c r="B714" s="1846" t="s">
        <v>292</v>
      </c>
      <c r="C714" s="1830">
        <v>12</v>
      </c>
      <c r="D714" s="1946">
        <f t="shared" si="84"/>
        <v>0</v>
      </c>
      <c r="E714" s="1973"/>
      <c r="F714" s="1973"/>
      <c r="G714" s="1970"/>
      <c r="H714" s="1971"/>
      <c r="I714" s="1965"/>
      <c r="J714" s="2014">
        <f t="shared" si="85"/>
        <v>0</v>
      </c>
      <c r="K714" s="1947"/>
      <c r="L714" s="1947"/>
      <c r="M714" s="1947"/>
      <c r="N714" s="1948">
        <f t="shared" si="86"/>
        <v>0</v>
      </c>
    </row>
    <row r="715" spans="1:14">
      <c r="A715" s="1950">
        <v>14</v>
      </c>
      <c r="B715" s="1829" t="s">
        <v>293</v>
      </c>
      <c r="C715" s="1830">
        <v>13</v>
      </c>
      <c r="D715" s="1946">
        <f t="shared" si="84"/>
        <v>3979.1327099999999</v>
      </c>
      <c r="E715" s="1973"/>
      <c r="F715" s="1973"/>
      <c r="G715" s="1970">
        <v>0</v>
      </c>
      <c r="H715" s="1966">
        <v>3979.1327099999999</v>
      </c>
      <c r="I715" s="1972"/>
      <c r="J715" s="2014">
        <f t="shared" si="85"/>
        <v>3979.1327099999999</v>
      </c>
      <c r="K715" s="1947"/>
      <c r="L715" s="1947"/>
      <c r="M715" s="1947"/>
      <c r="N715" s="1948">
        <f t="shared" si="86"/>
        <v>0</v>
      </c>
    </row>
    <row r="716" spans="1:14">
      <c r="A716" s="1950">
        <v>15</v>
      </c>
      <c r="B716" s="1829" t="s">
        <v>294</v>
      </c>
      <c r="C716" s="1836">
        <v>14</v>
      </c>
      <c r="D716" s="1946">
        <f t="shared" si="84"/>
        <v>16167.14601</v>
      </c>
      <c r="E716" s="1973"/>
      <c r="F716" s="1973"/>
      <c r="G716" s="1970">
        <v>0</v>
      </c>
      <c r="H716" s="1966">
        <v>16167.14601</v>
      </c>
      <c r="I716" s="1972"/>
      <c r="J716" s="2014">
        <f t="shared" si="85"/>
        <v>16167.14601</v>
      </c>
      <c r="K716" s="1947"/>
      <c r="L716" s="1947"/>
      <c r="M716" s="1947"/>
      <c r="N716" s="1948">
        <f t="shared" si="86"/>
        <v>0</v>
      </c>
    </row>
    <row r="717" spans="1:14">
      <c r="A717" s="1950">
        <v>16</v>
      </c>
      <c r="B717" s="1829" t="s">
        <v>295</v>
      </c>
      <c r="C717" s="1830">
        <v>15</v>
      </c>
      <c r="D717" s="1946">
        <f t="shared" si="84"/>
        <v>1677.4459999999999</v>
      </c>
      <c r="E717" s="1973"/>
      <c r="F717" s="1973"/>
      <c r="G717" s="1970">
        <v>125.38108799864224</v>
      </c>
      <c r="H717" s="1966">
        <v>1552.0649120013577</v>
      </c>
      <c r="I717" s="1972"/>
      <c r="J717" s="2014">
        <f t="shared" si="85"/>
        <v>1677.4459999999999</v>
      </c>
      <c r="K717" s="1947"/>
      <c r="L717" s="1947"/>
      <c r="M717" s="1947"/>
      <c r="N717" s="1948">
        <f t="shared" si="86"/>
        <v>0</v>
      </c>
    </row>
    <row r="718" spans="1:14">
      <c r="A718" s="1950">
        <v>17</v>
      </c>
      <c r="B718" s="1829" t="s">
        <v>296</v>
      </c>
      <c r="C718" s="1836">
        <v>16</v>
      </c>
      <c r="D718" s="1946">
        <f t="shared" si="84"/>
        <v>7714.0851879635402</v>
      </c>
      <c r="E718" s="1973"/>
      <c r="F718" s="1973">
        <v>7164.8096099999993</v>
      </c>
      <c r="G718" s="1970">
        <v>7.4745230551798159E-4</v>
      </c>
      <c r="H718" s="1971">
        <v>549.27483051123545</v>
      </c>
      <c r="I718" s="1965"/>
      <c r="J718" s="2014">
        <f t="shared" si="85"/>
        <v>549.27557796354097</v>
      </c>
      <c r="K718" s="1947"/>
      <c r="L718" s="1947"/>
      <c r="M718" s="1947"/>
      <c r="N718" s="1948">
        <f t="shared" si="86"/>
        <v>0</v>
      </c>
    </row>
    <row r="719" spans="1:14">
      <c r="A719" s="1950">
        <v>18</v>
      </c>
      <c r="B719" s="1829" t="s">
        <v>297</v>
      </c>
      <c r="C719" s="1830"/>
      <c r="D719" s="1946">
        <f t="shared" si="84"/>
        <v>0</v>
      </c>
      <c r="E719" s="1973"/>
      <c r="F719" s="1973"/>
      <c r="G719" s="1970"/>
      <c r="H719" s="1966"/>
      <c r="I719" s="1972"/>
      <c r="J719" s="2014">
        <f t="shared" si="85"/>
        <v>0</v>
      </c>
      <c r="K719" s="1947"/>
      <c r="L719" s="1947"/>
      <c r="M719" s="1947"/>
      <c r="N719" s="1948">
        <f t="shared" si="86"/>
        <v>0</v>
      </c>
    </row>
    <row r="720" spans="1:14" ht="15" thickBot="1">
      <c r="A720" s="1957">
        <v>19</v>
      </c>
      <c r="B720" s="1848" t="s">
        <v>298</v>
      </c>
      <c r="C720" s="1847"/>
      <c r="D720" s="3120">
        <f t="shared" si="84"/>
        <v>10147.537779999999</v>
      </c>
      <c r="E720" s="3124"/>
      <c r="F720" s="3124"/>
      <c r="G720" s="3125">
        <v>758.48005084141414</v>
      </c>
      <c r="H720" s="2002">
        <v>9389.0577291585851</v>
      </c>
      <c r="I720" s="2007"/>
      <c r="J720" s="3126">
        <f t="shared" si="85"/>
        <v>10147.537779999999</v>
      </c>
      <c r="K720" s="3121"/>
      <c r="L720" s="3121"/>
      <c r="M720" s="3121"/>
      <c r="N720" s="3122">
        <f t="shared" si="86"/>
        <v>0</v>
      </c>
    </row>
    <row r="721" spans="1:14" ht="27" thickBot="1">
      <c r="A721" s="1235">
        <v>20</v>
      </c>
      <c r="B721" s="1139" t="s">
        <v>299</v>
      </c>
      <c r="C721" s="1138"/>
      <c r="D721" s="1236">
        <f t="shared" si="84"/>
        <v>1007546.2412679635</v>
      </c>
      <c r="E721" s="1236">
        <f>SUM(E698:E704)+E707+E710+SUM(E715:E720)</f>
        <v>0</v>
      </c>
      <c r="F721" s="1236">
        <f>SUM(F698:F704)+F707+F710+SUM(F715:F720)</f>
        <v>502609.08233</v>
      </c>
      <c r="G721" s="1236">
        <f>SUM(G698:G704)+G707+G710+SUM(G715:G720)</f>
        <v>43801.886056292358</v>
      </c>
      <c r="H721" s="1264">
        <f>SUM(H698:H704)+H707+H710+SUM(H715:H720)</f>
        <v>461135.2728816712</v>
      </c>
      <c r="I721" s="1265">
        <f>SUM(I698:I704)+I707+I710+SUM(I715:I720)</f>
        <v>0</v>
      </c>
      <c r="J721" s="1282">
        <f t="shared" si="85"/>
        <v>504937.15893796354</v>
      </c>
      <c r="K721" s="1236">
        <f>SUM(K698:K704)+K707+K710+SUM(K715:K720)</f>
        <v>0</v>
      </c>
      <c r="L721" s="1236">
        <f>SUM(L698:L704)+L707+L710+SUM(L715:L720)</f>
        <v>0</v>
      </c>
      <c r="M721" s="1236">
        <f>SUM(M698:M704)+M707+M710+SUM(M715:M720)</f>
        <v>0</v>
      </c>
      <c r="N721" s="1236">
        <f t="shared" si="86"/>
        <v>0</v>
      </c>
    </row>
    <row r="722" spans="1:14">
      <c r="A722" s="1950"/>
      <c r="B722" s="1959" t="s">
        <v>300</v>
      </c>
      <c r="C722" s="1830"/>
      <c r="D722" s="1230">
        <f t="shared" si="84"/>
        <v>0</v>
      </c>
      <c r="E722" s="677"/>
      <c r="F722" s="677"/>
      <c r="G722" s="674"/>
      <c r="H722" s="675"/>
      <c r="I722" s="678"/>
      <c r="J722" s="1245">
        <f t="shared" si="85"/>
        <v>0</v>
      </c>
      <c r="K722" s="914"/>
      <c r="L722" s="914"/>
      <c r="M722" s="914"/>
      <c r="N722" s="1233">
        <f t="shared" si="86"/>
        <v>0</v>
      </c>
    </row>
    <row r="723" spans="1:14">
      <c r="A723" s="1950"/>
      <c r="B723" s="1959" t="s">
        <v>301</v>
      </c>
      <c r="C723" s="1830"/>
      <c r="D723" s="1946">
        <f t="shared" si="84"/>
        <v>0</v>
      </c>
      <c r="E723" s="1973"/>
      <c r="F723" s="1973"/>
      <c r="G723" s="1970"/>
      <c r="H723" s="1966"/>
      <c r="I723" s="1972"/>
      <c r="J723" s="2014">
        <f t="shared" si="85"/>
        <v>0</v>
      </c>
      <c r="K723" s="1947"/>
      <c r="L723" s="1947"/>
      <c r="M723" s="1947"/>
      <c r="N723" s="1948">
        <f t="shared" si="86"/>
        <v>0</v>
      </c>
    </row>
    <row r="724" spans="1:14">
      <c r="A724" s="1950">
        <v>21</v>
      </c>
      <c r="B724" s="1829" t="s">
        <v>302</v>
      </c>
      <c r="C724" s="1836">
        <v>17</v>
      </c>
      <c r="D724" s="1946">
        <f t="shared" si="84"/>
        <v>416634.64167999983</v>
      </c>
      <c r="E724" s="1973"/>
      <c r="F724" s="1973"/>
      <c r="G724" s="1970">
        <v>29772.975434209759</v>
      </c>
      <c r="H724" s="1966">
        <v>386861.66624579008</v>
      </c>
      <c r="I724" s="1972"/>
      <c r="J724" s="2014">
        <f t="shared" si="85"/>
        <v>416634.64167999983</v>
      </c>
      <c r="K724" s="1947"/>
      <c r="L724" s="1947"/>
      <c r="M724" s="1947"/>
      <c r="N724" s="1948">
        <f t="shared" si="86"/>
        <v>0</v>
      </c>
    </row>
    <row r="725" spans="1:14">
      <c r="A725" s="1950">
        <v>22</v>
      </c>
      <c r="B725" s="1829" t="s">
        <v>303</v>
      </c>
      <c r="C725" s="1830"/>
      <c r="D725" s="1946">
        <f t="shared" si="84"/>
        <v>811.01256000000001</v>
      </c>
      <c r="E725" s="1973"/>
      <c r="F725" s="1973"/>
      <c r="G725" s="1970">
        <v>60.619320772987116</v>
      </c>
      <c r="H725" s="1966">
        <v>750.39323922701294</v>
      </c>
      <c r="I725" s="1972"/>
      <c r="J725" s="2014">
        <f t="shared" si="85"/>
        <v>811.01256000000001</v>
      </c>
      <c r="K725" s="1947"/>
      <c r="L725" s="1947"/>
      <c r="M725" s="1947"/>
      <c r="N725" s="1948">
        <f t="shared" si="86"/>
        <v>0</v>
      </c>
    </row>
    <row r="726" spans="1:14">
      <c r="A726" s="1950">
        <v>23</v>
      </c>
      <c r="B726" s="1829" t="s">
        <v>304</v>
      </c>
      <c r="C726" s="1830">
        <v>18</v>
      </c>
      <c r="D726" s="1946">
        <f t="shared" si="84"/>
        <v>11250.233450000002</v>
      </c>
      <c r="E726" s="1973"/>
      <c r="F726" s="1973"/>
      <c r="G726" s="1970">
        <v>155.82531</v>
      </c>
      <c r="H726" s="1966">
        <v>11094.408140000001</v>
      </c>
      <c r="I726" s="1972"/>
      <c r="J726" s="2014">
        <f t="shared" si="85"/>
        <v>11250.233450000002</v>
      </c>
      <c r="K726" s="1947"/>
      <c r="L726" s="1947"/>
      <c r="M726" s="1947"/>
      <c r="N726" s="1948">
        <f t="shared" si="86"/>
        <v>0</v>
      </c>
    </row>
    <row r="727" spans="1:14">
      <c r="A727" s="1950">
        <v>24</v>
      </c>
      <c r="B727" s="1829" t="s">
        <v>305</v>
      </c>
      <c r="C727" s="1830"/>
      <c r="D727" s="1946">
        <f t="shared" si="84"/>
        <v>0</v>
      </c>
      <c r="E727" s="1973"/>
      <c r="F727" s="1973"/>
      <c r="G727" s="1970"/>
      <c r="H727" s="1966"/>
      <c r="I727" s="1972"/>
      <c r="J727" s="2014">
        <f t="shared" si="85"/>
        <v>0</v>
      </c>
      <c r="K727" s="1947"/>
      <c r="L727" s="1947"/>
      <c r="M727" s="1947"/>
      <c r="N727" s="1948">
        <f t="shared" si="86"/>
        <v>0</v>
      </c>
    </row>
    <row r="728" spans="1:14">
      <c r="A728" s="1950">
        <v>25</v>
      </c>
      <c r="B728" s="1851" t="s">
        <v>306</v>
      </c>
      <c r="C728" s="1830"/>
      <c r="D728" s="1946">
        <f t="shared" si="84"/>
        <v>0</v>
      </c>
      <c r="E728" s="1973"/>
      <c r="F728" s="1973"/>
      <c r="G728" s="1970"/>
      <c r="H728" s="1966"/>
      <c r="I728" s="1972"/>
      <c r="J728" s="2014">
        <f t="shared" si="85"/>
        <v>0</v>
      </c>
      <c r="K728" s="1947"/>
      <c r="L728" s="1947"/>
      <c r="M728" s="1947"/>
      <c r="N728" s="1948">
        <f t="shared" si="86"/>
        <v>0</v>
      </c>
    </row>
    <row r="729" spans="1:14" ht="15" thickBot="1">
      <c r="A729" s="1957">
        <v>26</v>
      </c>
      <c r="B729" s="1848" t="s">
        <v>307</v>
      </c>
      <c r="C729" s="1852">
        <v>19</v>
      </c>
      <c r="D729" s="3120">
        <f t="shared" si="84"/>
        <v>76241.268277963536</v>
      </c>
      <c r="E729" s="3124"/>
      <c r="F729" s="3124"/>
      <c r="G729" s="3125">
        <v>13812.467343703162</v>
      </c>
      <c r="H729" s="945">
        <v>62428.800934260376</v>
      </c>
      <c r="I729" s="1988"/>
      <c r="J729" s="3126">
        <f t="shared" si="85"/>
        <v>76241.268277963536</v>
      </c>
      <c r="K729" s="3121"/>
      <c r="L729" s="3121"/>
      <c r="M729" s="3121"/>
      <c r="N729" s="3122">
        <f t="shared" si="86"/>
        <v>0</v>
      </c>
    </row>
    <row r="730" spans="1:14" ht="27" thickBot="1">
      <c r="A730" s="1226">
        <v>27</v>
      </c>
      <c r="B730" s="1136" t="s">
        <v>308</v>
      </c>
      <c r="C730" s="1135"/>
      <c r="D730" s="1241">
        <f t="shared" si="84"/>
        <v>504937.15596796339</v>
      </c>
      <c r="E730" s="934">
        <f>SUM(E724:E729)</f>
        <v>0</v>
      </c>
      <c r="F730" s="934">
        <f>SUM(F724:F729)</f>
        <v>0</v>
      </c>
      <c r="G730" s="934">
        <f>SUM(G724:G729)</f>
        <v>43801.887408685907</v>
      </c>
      <c r="H730" s="946">
        <f>SUM(H724:H729)</f>
        <v>461135.26855927747</v>
      </c>
      <c r="I730" s="938">
        <f>SUM(I724:I729)</f>
        <v>0</v>
      </c>
      <c r="J730" s="1244">
        <f t="shared" si="85"/>
        <v>504937.15596796339</v>
      </c>
      <c r="K730" s="934">
        <f>SUM(K724:K729)</f>
        <v>0</v>
      </c>
      <c r="L730" s="934">
        <f>SUM(L724:L729)</f>
        <v>0</v>
      </c>
      <c r="M730" s="934">
        <f>SUM(M724:M729)</f>
        <v>0</v>
      </c>
      <c r="N730" s="1261">
        <f t="shared" si="86"/>
        <v>0</v>
      </c>
    </row>
    <row r="731" spans="1:14">
      <c r="A731" s="1227"/>
      <c r="B731" s="1225" t="s">
        <v>309</v>
      </c>
      <c r="C731" s="1133">
        <v>20</v>
      </c>
      <c r="D731" s="1230">
        <f t="shared" si="84"/>
        <v>0</v>
      </c>
      <c r="E731" s="677"/>
      <c r="F731" s="914"/>
      <c r="G731" s="911"/>
      <c r="H731" s="675"/>
      <c r="I731" s="678"/>
      <c r="J731" s="1245">
        <f t="shared" si="85"/>
        <v>0</v>
      </c>
      <c r="K731" s="914"/>
      <c r="L731" s="914"/>
      <c r="M731" s="914"/>
      <c r="N731" s="1233">
        <f t="shared" si="86"/>
        <v>0</v>
      </c>
    </row>
    <row r="732" spans="1:14">
      <c r="A732" s="1950">
        <v>28</v>
      </c>
      <c r="B732" s="1945" t="s">
        <v>310</v>
      </c>
      <c r="C732" s="1836"/>
      <c r="D732" s="1946">
        <f t="shared" si="84"/>
        <v>400000</v>
      </c>
      <c r="E732" s="1973"/>
      <c r="F732" s="1947">
        <v>400000</v>
      </c>
      <c r="G732" s="2034"/>
      <c r="H732" s="1966"/>
      <c r="I732" s="1972"/>
      <c r="J732" s="2014">
        <f t="shared" si="85"/>
        <v>0</v>
      </c>
      <c r="K732" s="1947"/>
      <c r="L732" s="1947"/>
      <c r="M732" s="1947"/>
      <c r="N732" s="1948">
        <f t="shared" si="86"/>
        <v>0</v>
      </c>
    </row>
    <row r="733" spans="1:14">
      <c r="A733" s="1950">
        <v>29</v>
      </c>
      <c r="B733" s="1945" t="s">
        <v>311</v>
      </c>
      <c r="C733" s="1836"/>
      <c r="D733" s="1946">
        <f t="shared" si="84"/>
        <v>0</v>
      </c>
      <c r="E733" s="1973"/>
      <c r="F733" s="1947"/>
      <c r="G733" s="2034"/>
      <c r="H733" s="1966"/>
      <c r="I733" s="1972"/>
      <c r="J733" s="2014">
        <f t="shared" si="85"/>
        <v>0</v>
      </c>
      <c r="K733" s="1947"/>
      <c r="L733" s="1947"/>
      <c r="M733" s="1947"/>
      <c r="N733" s="1948">
        <f t="shared" si="86"/>
        <v>0</v>
      </c>
    </row>
    <row r="734" spans="1:14">
      <c r="A734" s="1950">
        <v>30</v>
      </c>
      <c r="B734" s="1960" t="s">
        <v>312</v>
      </c>
      <c r="C734" s="1852"/>
      <c r="D734" s="1946">
        <f t="shared" si="84"/>
        <v>0</v>
      </c>
      <c r="E734" s="1973"/>
      <c r="F734" s="3121"/>
      <c r="G734" s="3130"/>
      <c r="H734" s="2002"/>
      <c r="I734" s="2007"/>
      <c r="J734" s="2014">
        <f t="shared" si="85"/>
        <v>0</v>
      </c>
      <c r="K734" s="1947"/>
      <c r="L734" s="1947"/>
      <c r="M734" s="1947"/>
      <c r="N734" s="1948">
        <f t="shared" si="86"/>
        <v>0</v>
      </c>
    </row>
    <row r="735" spans="1:14">
      <c r="A735" s="1950">
        <v>31</v>
      </c>
      <c r="B735" s="1960" t="s">
        <v>313</v>
      </c>
      <c r="C735" s="1852"/>
      <c r="D735" s="1946">
        <f t="shared" si="84"/>
        <v>0</v>
      </c>
      <c r="E735" s="1973"/>
      <c r="F735" s="3121"/>
      <c r="G735" s="3130"/>
      <c r="H735" s="2002"/>
      <c r="I735" s="2007"/>
      <c r="J735" s="2014">
        <f t="shared" si="85"/>
        <v>0</v>
      </c>
      <c r="K735" s="1947"/>
      <c r="L735" s="1947"/>
      <c r="M735" s="1947"/>
      <c r="N735" s="1948">
        <f t="shared" si="86"/>
        <v>0</v>
      </c>
    </row>
    <row r="736" spans="1:14" ht="15" thickBot="1">
      <c r="A736" s="1957">
        <v>32</v>
      </c>
      <c r="B736" s="1960" t="s">
        <v>314</v>
      </c>
      <c r="C736" s="1852"/>
      <c r="D736" s="1946">
        <f t="shared" si="84"/>
        <v>102609.08530000001</v>
      </c>
      <c r="E736" s="1973"/>
      <c r="F736" s="3121">
        <v>102609.08530000001</v>
      </c>
      <c r="G736" s="3130"/>
      <c r="H736" s="2002"/>
      <c r="I736" s="2007"/>
      <c r="J736" s="2014">
        <f t="shared" si="85"/>
        <v>0</v>
      </c>
      <c r="K736" s="1947"/>
      <c r="L736" s="1947"/>
      <c r="M736" s="1947"/>
      <c r="N736" s="1948">
        <f t="shared" si="86"/>
        <v>0</v>
      </c>
    </row>
    <row r="737" spans="1:14" ht="15" thickBot="1">
      <c r="A737" s="1226">
        <v>33</v>
      </c>
      <c r="B737" s="1169" t="s">
        <v>315</v>
      </c>
      <c r="C737" s="1170"/>
      <c r="D737" s="1285">
        <f t="shared" si="84"/>
        <v>502609.08530000004</v>
      </c>
      <c r="E737" s="963">
        <f>SUM(E732:E736)</f>
        <v>0</v>
      </c>
      <c r="F737" s="963">
        <f>SUM(F732:F736)</f>
        <v>502609.08530000004</v>
      </c>
      <c r="G737" s="963">
        <f>SUM(G732:G736)</f>
        <v>0</v>
      </c>
      <c r="H737" s="964">
        <f>SUM(H732:H736)</f>
        <v>0</v>
      </c>
      <c r="I737" s="965">
        <f>SUM(I732:I736)</f>
        <v>0</v>
      </c>
      <c r="J737" s="1288">
        <f t="shared" si="85"/>
        <v>0</v>
      </c>
      <c r="K737" s="963">
        <f>SUM(K732:K736)</f>
        <v>0</v>
      </c>
      <c r="L737" s="963">
        <f>SUM(L732:L736)</f>
        <v>0</v>
      </c>
      <c r="M737" s="963">
        <f>SUM(M732:M736)</f>
        <v>0</v>
      </c>
      <c r="N737" s="1284">
        <f t="shared" si="86"/>
        <v>0</v>
      </c>
    </row>
    <row r="738" spans="1:14" ht="27" thickBot="1">
      <c r="A738" s="1235">
        <v>34</v>
      </c>
      <c r="B738" s="1139" t="s">
        <v>317</v>
      </c>
      <c r="C738" s="1138"/>
      <c r="D738" s="1268">
        <f t="shared" si="84"/>
        <v>1007546.2412679634</v>
      </c>
      <c r="E738" s="1268">
        <f>E737+E730</f>
        <v>0</v>
      </c>
      <c r="F738" s="1268">
        <f>F737+F730</f>
        <v>502609.08530000004</v>
      </c>
      <c r="G738" s="1268">
        <f>G737+G730</f>
        <v>43801.887408685907</v>
      </c>
      <c r="H738" s="1268">
        <f>H737+H730</f>
        <v>461135.26855927747</v>
      </c>
      <c r="I738" s="1268">
        <f>I737+I730</f>
        <v>0</v>
      </c>
      <c r="J738" s="1277">
        <f t="shared" si="85"/>
        <v>504937.15596796339</v>
      </c>
      <c r="K738" s="1268">
        <f>K737+K730</f>
        <v>0</v>
      </c>
      <c r="L738" s="1268">
        <f>L737+L730</f>
        <v>0</v>
      </c>
      <c r="M738" s="1268">
        <f>M737+M730</f>
        <v>0</v>
      </c>
      <c r="N738" s="1268">
        <f t="shared" si="86"/>
        <v>0</v>
      </c>
    </row>
    <row r="739" spans="1:14">
      <c r="B739"/>
      <c r="C739"/>
      <c r="D739"/>
      <c r="E739"/>
      <c r="F739"/>
      <c r="G739"/>
      <c r="H739"/>
      <c r="I739"/>
      <c r="J739"/>
      <c r="K739"/>
      <c r="L739"/>
      <c r="M739"/>
      <c r="N739"/>
    </row>
    <row r="740" spans="1:14">
      <c r="B740"/>
      <c r="C740"/>
      <c r="D740"/>
      <c r="E740"/>
      <c r="F740"/>
      <c r="G740"/>
      <c r="H740"/>
      <c r="I740"/>
      <c r="J740"/>
      <c r="K740"/>
      <c r="L740"/>
      <c r="M740"/>
      <c r="N740"/>
    </row>
    <row r="741" spans="1:14">
      <c r="B741"/>
      <c r="C741"/>
      <c r="D741"/>
      <c r="E741"/>
      <c r="F741"/>
      <c r="G741"/>
      <c r="H741"/>
      <c r="I741"/>
      <c r="J741"/>
      <c r="K741"/>
      <c r="L741"/>
      <c r="M741"/>
      <c r="N741"/>
    </row>
    <row r="742" spans="1:14">
      <c r="B742"/>
      <c r="C742"/>
      <c r="D742"/>
      <c r="E742"/>
      <c r="F742"/>
      <c r="G742"/>
      <c r="H742"/>
      <c r="I742"/>
      <c r="J742"/>
      <c r="K742"/>
      <c r="L742"/>
      <c r="M742"/>
      <c r="N742"/>
    </row>
    <row r="744" spans="1:14" ht="15" thickBot="1"/>
    <row r="745" spans="1:14" ht="15" thickBot="1">
      <c r="A745" s="1153" t="s">
        <v>196</v>
      </c>
      <c r="B745" s="3303" t="s">
        <v>135</v>
      </c>
      <c r="C745" s="3304"/>
      <c r="D745" s="662"/>
      <c r="E745" s="662"/>
      <c r="F745" s="662"/>
      <c r="G745" s="662"/>
      <c r="H745" s="662"/>
      <c r="I745" s="662"/>
      <c r="J745" s="662"/>
      <c r="K745" s="662"/>
      <c r="L745" s="662"/>
      <c r="M745" s="3292"/>
      <c r="N745" s="3292" t="s">
        <v>257</v>
      </c>
    </row>
    <row r="746" spans="1:14" ht="13.5" customHeight="1" thickBot="1">
      <c r="A746" s="3311" t="s">
        <v>258</v>
      </c>
      <c r="B746" s="1212"/>
      <c r="C746" s="3280" t="s">
        <v>259</v>
      </c>
      <c r="D746" s="3314" t="s">
        <v>260</v>
      </c>
      <c r="E746" s="3314" t="s">
        <v>261</v>
      </c>
      <c r="F746" s="3314" t="s">
        <v>262</v>
      </c>
      <c r="G746" s="3324" t="s">
        <v>263</v>
      </c>
      <c r="H746" s="3325"/>
      <c r="I746" s="3325"/>
      <c r="J746" s="3325"/>
      <c r="K746" s="3325"/>
      <c r="L746" s="3325"/>
      <c r="M746" s="3325"/>
      <c r="N746" s="3326"/>
    </row>
    <row r="747" spans="1:14" ht="13.5" customHeight="1" thickBot="1">
      <c r="A747" s="3312"/>
      <c r="B747" s="1213"/>
      <c r="C747" s="3281"/>
      <c r="D747" s="3315"/>
      <c r="E747" s="3315"/>
      <c r="F747" s="3315"/>
      <c r="G747" s="3289" t="s">
        <v>264</v>
      </c>
      <c r="H747" s="3290"/>
      <c r="I747" s="3290"/>
      <c r="J747" s="3291"/>
      <c r="K747" s="3318" t="s">
        <v>265</v>
      </c>
      <c r="L747" s="3319"/>
      <c r="M747" s="3319"/>
      <c r="N747" s="3320"/>
    </row>
    <row r="748" spans="1:14" ht="40.15" thickBot="1">
      <c r="A748" s="3312"/>
      <c r="B748" s="1214"/>
      <c r="C748" s="3281"/>
      <c r="D748" s="3316"/>
      <c r="E748" s="3316"/>
      <c r="F748" s="3316"/>
      <c r="G748" s="1125" t="s">
        <v>267</v>
      </c>
      <c r="H748" s="1125" t="s">
        <v>268</v>
      </c>
      <c r="I748" s="1125" t="s">
        <v>269</v>
      </c>
      <c r="J748" s="1125" t="s">
        <v>160</v>
      </c>
      <c r="K748" s="1126" t="s">
        <v>270</v>
      </c>
      <c r="L748" s="1126" t="s">
        <v>271</v>
      </c>
      <c r="M748" s="1126" t="s">
        <v>272</v>
      </c>
      <c r="N748" s="2969" t="s">
        <v>160</v>
      </c>
    </row>
    <row r="749" spans="1:14" ht="15" thickBot="1">
      <c r="A749" s="3312"/>
      <c r="B749" s="1213"/>
      <c r="C749" s="3281"/>
      <c r="D749" s="1215">
        <v>1</v>
      </c>
      <c r="E749" s="1216">
        <v>2</v>
      </c>
      <c r="F749" s="1216">
        <v>3</v>
      </c>
      <c r="G749" s="1217">
        <v>4</v>
      </c>
      <c r="H749" s="1216">
        <v>5</v>
      </c>
      <c r="I749" s="1218">
        <v>6</v>
      </c>
      <c r="J749" s="2971">
        <v>7</v>
      </c>
      <c r="K749" s="1217">
        <v>8</v>
      </c>
      <c r="L749" s="1216">
        <v>9</v>
      </c>
      <c r="M749" s="1238">
        <v>10</v>
      </c>
      <c r="N749" s="1215">
        <v>11</v>
      </c>
    </row>
    <row r="750" spans="1:14" ht="15" thickBot="1">
      <c r="A750" s="3329"/>
      <c r="B750" s="1326"/>
      <c r="C750" s="3330"/>
      <c r="D750" s="1220"/>
      <c r="E750" s="1220"/>
      <c r="F750" s="1220"/>
      <c r="G750" s="1221"/>
      <c r="H750" s="1220"/>
      <c r="I750" s="1292"/>
      <c r="J750" s="1222" t="s">
        <v>273</v>
      </c>
      <c r="K750" s="1221"/>
      <c r="L750" s="1220"/>
      <c r="M750" s="1667"/>
      <c r="N750" s="1293" t="s">
        <v>274</v>
      </c>
    </row>
    <row r="751" spans="1:14">
      <c r="A751" s="1950"/>
      <c r="B751" s="1959" t="s">
        <v>275</v>
      </c>
      <c r="C751" s="1830"/>
      <c r="D751" s="1827"/>
      <c r="E751" s="673"/>
      <c r="F751" s="673"/>
      <c r="G751" s="674"/>
      <c r="H751" s="675"/>
      <c r="I751" s="676"/>
      <c r="J751" s="1245"/>
      <c r="K751" s="914"/>
      <c r="L751" s="912"/>
      <c r="M751" s="915"/>
      <c r="N751" s="1260"/>
    </row>
    <row r="752" spans="1:14">
      <c r="A752" s="1944">
        <v>1</v>
      </c>
      <c r="B752" s="1945" t="s">
        <v>276</v>
      </c>
      <c r="C752" s="1830"/>
      <c r="D752" s="1946">
        <f t="shared" ref="D752:D792" si="87">+E752+F752+J752+N752</f>
        <v>0</v>
      </c>
      <c r="E752" s="1973"/>
      <c r="F752" s="1973"/>
      <c r="G752" s="1970"/>
      <c r="H752" s="1966"/>
      <c r="I752" s="1972"/>
      <c r="J752" s="2014">
        <f t="shared" ref="J752:J792" si="88">G752+H752+I752</f>
        <v>0</v>
      </c>
      <c r="K752" s="1947"/>
      <c r="L752" s="1947"/>
      <c r="M752" s="1968"/>
      <c r="N752" s="1967">
        <f t="shared" ref="N752:N792" si="89">K752+L752+M752</f>
        <v>0</v>
      </c>
    </row>
    <row r="753" spans="1:14">
      <c r="A753" s="1944">
        <v>2</v>
      </c>
      <c r="B753" s="1945" t="s">
        <v>277</v>
      </c>
      <c r="C753" s="1830"/>
      <c r="D753" s="1946">
        <f t="shared" si="87"/>
        <v>48269.649359999996</v>
      </c>
      <c r="E753" s="1973"/>
      <c r="F753" s="1973">
        <v>48269.649359999996</v>
      </c>
      <c r="G753" s="1970"/>
      <c r="H753" s="1966"/>
      <c r="I753" s="1972"/>
      <c r="J753" s="2014">
        <f t="shared" si="88"/>
        <v>0</v>
      </c>
      <c r="K753" s="1947"/>
      <c r="L753" s="1947"/>
      <c r="M753" s="1968"/>
      <c r="N753" s="1967">
        <f t="shared" si="89"/>
        <v>0</v>
      </c>
    </row>
    <row r="754" spans="1:14">
      <c r="A754" s="1944">
        <v>3</v>
      </c>
      <c r="B754" s="1945" t="s">
        <v>278</v>
      </c>
      <c r="C754" s="1830"/>
      <c r="D754" s="1946">
        <f t="shared" si="87"/>
        <v>0</v>
      </c>
      <c r="E754" s="1973"/>
      <c r="F754" s="1973"/>
      <c r="G754" s="1970"/>
      <c r="H754" s="1966"/>
      <c r="I754" s="1972"/>
      <c r="J754" s="2014">
        <f t="shared" si="88"/>
        <v>0</v>
      </c>
      <c r="K754" s="1947"/>
      <c r="L754" s="1947"/>
      <c r="M754" s="1968"/>
      <c r="N754" s="1967">
        <f t="shared" si="89"/>
        <v>0</v>
      </c>
    </row>
    <row r="755" spans="1:14">
      <c r="A755" s="1944">
        <v>4</v>
      </c>
      <c r="B755" s="1945" t="s">
        <v>324</v>
      </c>
      <c r="C755" s="1830"/>
      <c r="D755" s="1946">
        <f t="shared" si="87"/>
        <v>85400.495790000001</v>
      </c>
      <c r="E755" s="1973"/>
      <c r="F755" s="1973">
        <v>85400.495790000001</v>
      </c>
      <c r="G755" s="1970"/>
      <c r="H755" s="1966"/>
      <c r="I755" s="1972"/>
      <c r="J755" s="2014">
        <f t="shared" si="88"/>
        <v>0</v>
      </c>
      <c r="K755" s="1947"/>
      <c r="L755" s="1947"/>
      <c r="M755" s="1968"/>
      <c r="N755" s="1967">
        <f t="shared" si="89"/>
        <v>0</v>
      </c>
    </row>
    <row r="756" spans="1:14">
      <c r="A756" s="1944">
        <v>5</v>
      </c>
      <c r="B756" s="1945" t="s">
        <v>280</v>
      </c>
      <c r="C756" s="1836">
        <v>5</v>
      </c>
      <c r="D756" s="1946">
        <f t="shared" si="87"/>
        <v>130544.59539</v>
      </c>
      <c r="E756" s="1973"/>
      <c r="F756" s="1973">
        <v>130544.59539</v>
      </c>
      <c r="G756" s="1970"/>
      <c r="H756" s="1966"/>
      <c r="I756" s="1972"/>
      <c r="J756" s="2014">
        <f t="shared" si="88"/>
        <v>0</v>
      </c>
      <c r="K756" s="1947"/>
      <c r="L756" s="1947"/>
      <c r="M756" s="1968"/>
      <c r="N756" s="1967">
        <f t="shared" si="89"/>
        <v>0</v>
      </c>
    </row>
    <row r="757" spans="1:14">
      <c r="A757" s="1944">
        <v>6</v>
      </c>
      <c r="B757" s="1945" t="s">
        <v>281</v>
      </c>
      <c r="C757" s="1830">
        <v>6</v>
      </c>
      <c r="D757" s="1946">
        <f t="shared" si="87"/>
        <v>79364.160000000003</v>
      </c>
      <c r="E757" s="1973"/>
      <c r="F757" s="1973">
        <v>22300</v>
      </c>
      <c r="G757" s="1970"/>
      <c r="H757" s="1966">
        <v>57064.160000000003</v>
      </c>
      <c r="I757" s="1972"/>
      <c r="J757" s="2014">
        <f t="shared" si="88"/>
        <v>57064.160000000003</v>
      </c>
      <c r="K757" s="1947"/>
      <c r="L757" s="1947"/>
      <c r="M757" s="1968"/>
      <c r="N757" s="1967">
        <f t="shared" si="89"/>
        <v>0</v>
      </c>
    </row>
    <row r="758" spans="1:14">
      <c r="A758" s="1944">
        <v>7</v>
      </c>
      <c r="B758" s="1945" t="s">
        <v>282</v>
      </c>
      <c r="C758" s="1836">
        <v>7</v>
      </c>
      <c r="D758" s="1946">
        <f t="shared" si="87"/>
        <v>306140.59000000003</v>
      </c>
      <c r="E758" s="1947"/>
      <c r="F758" s="1947">
        <f>F759+F760</f>
        <v>306140.59000000003</v>
      </c>
      <c r="G758" s="1947">
        <f>G759+G760</f>
        <v>0</v>
      </c>
      <c r="H758" s="1968">
        <f>H759+H760</f>
        <v>0</v>
      </c>
      <c r="I758" s="1996">
        <f>I759+I760</f>
        <v>0</v>
      </c>
      <c r="J758" s="2014">
        <f t="shared" si="88"/>
        <v>0</v>
      </c>
      <c r="K758" s="1947">
        <f>K759+K760</f>
        <v>0</v>
      </c>
      <c r="L758" s="1947">
        <f>L759+L760</f>
        <v>0</v>
      </c>
      <c r="M758" s="1968">
        <f>M759+M760</f>
        <v>0</v>
      </c>
      <c r="N758" s="1967">
        <f t="shared" si="89"/>
        <v>0</v>
      </c>
    </row>
    <row r="759" spans="1:14">
      <c r="A759" s="1950"/>
      <c r="B759" s="1837" t="s">
        <v>283</v>
      </c>
      <c r="C759" s="1836"/>
      <c r="D759" s="1946">
        <f t="shared" si="87"/>
        <v>306140.59000000003</v>
      </c>
      <c r="E759" s="1973"/>
      <c r="F759" s="1973">
        <v>306140.59000000003</v>
      </c>
      <c r="G759" s="1970"/>
      <c r="H759" s="1966"/>
      <c r="I759" s="1972"/>
      <c r="J759" s="2014">
        <f t="shared" si="88"/>
        <v>0</v>
      </c>
      <c r="K759" s="1947"/>
      <c r="L759" s="1947"/>
      <c r="M759" s="1968"/>
      <c r="N759" s="1967">
        <f t="shared" si="89"/>
        <v>0</v>
      </c>
    </row>
    <row r="760" spans="1:14">
      <c r="A760" s="1950"/>
      <c r="B760" s="1837" t="s">
        <v>284</v>
      </c>
      <c r="C760" s="1836"/>
      <c r="D760" s="1946">
        <f t="shared" si="87"/>
        <v>0</v>
      </c>
      <c r="E760" s="1947"/>
      <c r="F760" s="1947"/>
      <c r="G760" s="1947"/>
      <c r="H760" s="1968"/>
      <c r="I760" s="1996"/>
      <c r="J760" s="2014">
        <f t="shared" si="88"/>
        <v>0</v>
      </c>
      <c r="K760" s="1947"/>
      <c r="L760" s="1947"/>
      <c r="M760" s="1968"/>
      <c r="N760" s="1967">
        <f t="shared" si="89"/>
        <v>0</v>
      </c>
    </row>
    <row r="761" spans="1:14">
      <c r="A761" s="1944">
        <v>8</v>
      </c>
      <c r="B761" s="1945" t="s">
        <v>285</v>
      </c>
      <c r="C761" s="1830">
        <v>8</v>
      </c>
      <c r="D761" s="1946">
        <f t="shared" si="87"/>
        <v>400</v>
      </c>
      <c r="E761" s="1947"/>
      <c r="F761" s="1947">
        <f>F762+F763</f>
        <v>400</v>
      </c>
      <c r="G761" s="1947">
        <f>G762+G763</f>
        <v>0</v>
      </c>
      <c r="H761" s="1968">
        <f>H762+H763</f>
        <v>0</v>
      </c>
      <c r="I761" s="1996">
        <f>I762+I763</f>
        <v>0</v>
      </c>
      <c r="J761" s="2014">
        <f t="shared" si="88"/>
        <v>0</v>
      </c>
      <c r="K761" s="1947">
        <f>K762+K763</f>
        <v>0</v>
      </c>
      <c r="L761" s="1947">
        <f>L762+L763</f>
        <v>0</v>
      </c>
      <c r="M761" s="1968">
        <f>M762+M763</f>
        <v>0</v>
      </c>
      <c r="N761" s="1967">
        <f t="shared" si="89"/>
        <v>0</v>
      </c>
    </row>
    <row r="762" spans="1:14">
      <c r="A762" s="1944"/>
      <c r="B762" s="1837" t="s">
        <v>286</v>
      </c>
      <c r="C762" s="1830"/>
      <c r="D762" s="1946">
        <f t="shared" si="87"/>
        <v>0</v>
      </c>
      <c r="E762" s="1947"/>
      <c r="F762" s="1947"/>
      <c r="G762" s="1947"/>
      <c r="H762" s="1968"/>
      <c r="I762" s="1996"/>
      <c r="J762" s="2014">
        <f t="shared" si="88"/>
        <v>0</v>
      </c>
      <c r="K762" s="1947"/>
      <c r="L762" s="1947"/>
      <c r="M762" s="1968"/>
      <c r="N762" s="1967">
        <f t="shared" si="89"/>
        <v>0</v>
      </c>
    </row>
    <row r="763" spans="1:14">
      <c r="A763" s="1944"/>
      <c r="B763" s="1837" t="s">
        <v>287</v>
      </c>
      <c r="C763" s="1830"/>
      <c r="D763" s="1946">
        <f t="shared" si="87"/>
        <v>400</v>
      </c>
      <c r="E763" s="1973"/>
      <c r="F763" s="1973">
        <v>400</v>
      </c>
      <c r="G763" s="1970"/>
      <c r="H763" s="1966"/>
      <c r="I763" s="1972"/>
      <c r="J763" s="2014">
        <f t="shared" si="88"/>
        <v>0</v>
      </c>
      <c r="K763" s="1947"/>
      <c r="L763" s="1947"/>
      <c r="M763" s="1968"/>
      <c r="N763" s="1967">
        <f t="shared" si="89"/>
        <v>0</v>
      </c>
    </row>
    <row r="764" spans="1:14" ht="26.45">
      <c r="A764" s="1951">
        <v>9</v>
      </c>
      <c r="B764" s="1952" t="s">
        <v>288</v>
      </c>
      <c r="C764" s="1840"/>
      <c r="D764" s="1953">
        <f t="shared" si="87"/>
        <v>1809085.7894602981</v>
      </c>
      <c r="E764" s="1954">
        <f>SUM(E765:E768)</f>
        <v>0</v>
      </c>
      <c r="F764" s="1954">
        <f>SUM(F765:F768)</f>
        <v>566586.12845491234</v>
      </c>
      <c r="G764" s="1954">
        <f>SUM(G765:G768)</f>
        <v>121644.82572072784</v>
      </c>
      <c r="H764" s="1976">
        <f>SUM(H765:H768)</f>
        <v>978801.76194976293</v>
      </c>
      <c r="I764" s="1977">
        <f>SUM(I765:I768)</f>
        <v>142053.07333489507</v>
      </c>
      <c r="J764" s="2010">
        <f t="shared" si="88"/>
        <v>1242499.6610053859</v>
      </c>
      <c r="K764" s="1954">
        <f>SUM(K765:K768)</f>
        <v>0</v>
      </c>
      <c r="L764" s="1954">
        <f>SUM(L765:L768)</f>
        <v>0</v>
      </c>
      <c r="M764" s="1976">
        <f>SUM(M765:M768)</f>
        <v>0</v>
      </c>
      <c r="N764" s="1979">
        <f t="shared" si="89"/>
        <v>0</v>
      </c>
    </row>
    <row r="765" spans="1:14">
      <c r="A765" s="1950">
        <v>10</v>
      </c>
      <c r="B765" s="1846" t="s">
        <v>289</v>
      </c>
      <c r="C765" s="1830">
        <v>9</v>
      </c>
      <c r="D765" s="1946">
        <f t="shared" si="87"/>
        <v>0</v>
      </c>
      <c r="E765" s="1973"/>
      <c r="F765" s="1973"/>
      <c r="G765" s="1970"/>
      <c r="H765" s="1966"/>
      <c r="I765" s="1972"/>
      <c r="J765" s="2014">
        <f t="shared" si="88"/>
        <v>0</v>
      </c>
      <c r="K765" s="1947"/>
      <c r="L765" s="1947"/>
      <c r="M765" s="1968"/>
      <c r="N765" s="1967">
        <f t="shared" si="89"/>
        <v>0</v>
      </c>
    </row>
    <row r="766" spans="1:14">
      <c r="A766" s="1950">
        <v>11</v>
      </c>
      <c r="B766" s="1846" t="s">
        <v>290</v>
      </c>
      <c r="C766" s="1830">
        <v>10</v>
      </c>
      <c r="D766" s="1946">
        <f t="shared" si="87"/>
        <v>1426744.169482098</v>
      </c>
      <c r="E766" s="1973"/>
      <c r="F766" s="1973">
        <v>287859.74287671235</v>
      </c>
      <c r="G766" s="1970">
        <v>112772.32572072784</v>
      </c>
      <c r="H766" s="1971">
        <v>884059.02754976298</v>
      </c>
      <c r="I766" s="1965">
        <v>142053.07333489507</v>
      </c>
      <c r="J766" s="2014">
        <f t="shared" si="88"/>
        <v>1138884.4266053857</v>
      </c>
      <c r="K766" s="1947"/>
      <c r="L766" s="1947"/>
      <c r="M766" s="1968"/>
      <c r="N766" s="1967">
        <f t="shared" si="89"/>
        <v>0</v>
      </c>
    </row>
    <row r="767" spans="1:14">
      <c r="A767" s="1950">
        <v>12</v>
      </c>
      <c r="B767" s="1846" t="s">
        <v>291</v>
      </c>
      <c r="C767" s="1830">
        <v>11</v>
      </c>
      <c r="D767" s="1946">
        <f t="shared" si="87"/>
        <v>6381</v>
      </c>
      <c r="E767" s="1973"/>
      <c r="F767" s="1973">
        <v>6381</v>
      </c>
      <c r="G767" s="1970"/>
      <c r="H767" s="1971"/>
      <c r="I767" s="1965"/>
      <c r="J767" s="2014">
        <f t="shared" si="88"/>
        <v>0</v>
      </c>
      <c r="K767" s="1947"/>
      <c r="L767" s="1947"/>
      <c r="M767" s="1968"/>
      <c r="N767" s="1967">
        <f t="shared" si="89"/>
        <v>0</v>
      </c>
    </row>
    <row r="768" spans="1:14" ht="26.45">
      <c r="A768" s="1950">
        <v>13</v>
      </c>
      <c r="B768" s="1846" t="s">
        <v>292</v>
      </c>
      <c r="C768" s="1830">
        <v>12</v>
      </c>
      <c r="D768" s="1946">
        <f t="shared" si="87"/>
        <v>375960.6199782</v>
      </c>
      <c r="E768" s="1973"/>
      <c r="F768" s="1973">
        <v>272345.38557819999</v>
      </c>
      <c r="G768" s="1970">
        <v>8872.5</v>
      </c>
      <c r="H768" s="1971">
        <v>94742.734400000001</v>
      </c>
      <c r="I768" s="1965">
        <v>0</v>
      </c>
      <c r="J768" s="2014">
        <f t="shared" si="88"/>
        <v>103615.2344</v>
      </c>
      <c r="K768" s="1947"/>
      <c r="L768" s="1947"/>
      <c r="M768" s="1968"/>
      <c r="N768" s="1967">
        <f t="shared" si="89"/>
        <v>0</v>
      </c>
    </row>
    <row r="769" spans="1:14">
      <c r="A769" s="1950">
        <v>14</v>
      </c>
      <c r="B769" s="1829" t="s">
        <v>293</v>
      </c>
      <c r="C769" s="1830">
        <v>13</v>
      </c>
      <c r="D769" s="1946">
        <f t="shared" si="87"/>
        <v>31588.964</v>
      </c>
      <c r="E769" s="1973"/>
      <c r="F769" s="1973"/>
      <c r="G769" s="1973">
        <v>653.06899999999996</v>
      </c>
      <c r="H769" s="1964">
        <v>20501.213</v>
      </c>
      <c r="I769" s="1972">
        <v>10434.682000000001</v>
      </c>
      <c r="J769" s="2014">
        <f t="shared" si="88"/>
        <v>31588.964</v>
      </c>
      <c r="K769" s="1947"/>
      <c r="L769" s="1947"/>
      <c r="M769" s="1968"/>
      <c r="N769" s="1967">
        <f t="shared" si="89"/>
        <v>0</v>
      </c>
    </row>
    <row r="770" spans="1:14">
      <c r="A770" s="1950">
        <v>15</v>
      </c>
      <c r="B770" s="1829" t="s">
        <v>294</v>
      </c>
      <c r="C770" s="1836">
        <v>14</v>
      </c>
      <c r="D770" s="1946">
        <f t="shared" si="87"/>
        <v>16057.79304</v>
      </c>
      <c r="E770" s="1973"/>
      <c r="F770" s="1973"/>
      <c r="G770" s="1970">
        <v>88.453305370913938</v>
      </c>
      <c r="H770" s="1971">
        <v>5106.4879100069484</v>
      </c>
      <c r="I770" s="1965">
        <v>10862.851824622137</v>
      </c>
      <c r="J770" s="2014">
        <f t="shared" si="88"/>
        <v>16057.79304</v>
      </c>
      <c r="K770" s="1947"/>
      <c r="L770" s="1947"/>
      <c r="M770" s="1968"/>
      <c r="N770" s="1967">
        <f t="shared" si="89"/>
        <v>0</v>
      </c>
    </row>
    <row r="771" spans="1:14">
      <c r="A771" s="1950">
        <v>16</v>
      </c>
      <c r="B771" s="1829" t="s">
        <v>295</v>
      </c>
      <c r="C771" s="1830">
        <v>15</v>
      </c>
      <c r="D771" s="1946">
        <f t="shared" si="87"/>
        <v>18015.943219999783</v>
      </c>
      <c r="E771" s="1973"/>
      <c r="F771" s="1973"/>
      <c r="G771" s="1973">
        <v>1019.5334899999999</v>
      </c>
      <c r="H771" s="1964">
        <v>78.476699999999951</v>
      </c>
      <c r="I771" s="1972">
        <v>16917.933029999782</v>
      </c>
      <c r="J771" s="2014">
        <f t="shared" si="88"/>
        <v>18015.943219999783</v>
      </c>
      <c r="K771" s="1947"/>
      <c r="L771" s="1947"/>
      <c r="M771" s="1968"/>
      <c r="N771" s="1967">
        <f t="shared" si="89"/>
        <v>0</v>
      </c>
    </row>
    <row r="772" spans="1:14">
      <c r="A772" s="1950">
        <v>17</v>
      </c>
      <c r="B772" s="1829" t="s">
        <v>296</v>
      </c>
      <c r="C772" s="1836">
        <v>16</v>
      </c>
      <c r="D772" s="1946">
        <f t="shared" si="87"/>
        <v>103496</v>
      </c>
      <c r="E772" s="1973"/>
      <c r="F772" s="1973">
        <v>103496</v>
      </c>
      <c r="G772" s="1970"/>
      <c r="H772" s="1971"/>
      <c r="I772" s="1965"/>
      <c r="J772" s="2014">
        <f t="shared" si="88"/>
        <v>0</v>
      </c>
      <c r="K772" s="1947"/>
      <c r="L772" s="1947"/>
      <c r="M772" s="1968"/>
      <c r="N772" s="1967">
        <f t="shared" si="89"/>
        <v>0</v>
      </c>
    </row>
    <row r="773" spans="1:14">
      <c r="A773" s="1950">
        <v>18</v>
      </c>
      <c r="B773" s="1829" t="s">
        <v>297</v>
      </c>
      <c r="C773" s="1830"/>
      <c r="D773" s="1946">
        <f t="shared" si="87"/>
        <v>0</v>
      </c>
      <c r="E773" s="1973"/>
      <c r="F773" s="1973"/>
      <c r="G773" s="1970"/>
      <c r="H773" s="1966"/>
      <c r="I773" s="1972"/>
      <c r="J773" s="2014">
        <f t="shared" si="88"/>
        <v>0</v>
      </c>
      <c r="K773" s="1947"/>
      <c r="L773" s="1947"/>
      <c r="M773" s="1968"/>
      <c r="N773" s="1967">
        <f t="shared" si="89"/>
        <v>0</v>
      </c>
    </row>
    <row r="774" spans="1:14" ht="15" thickBot="1">
      <c r="A774" s="1957">
        <v>19</v>
      </c>
      <c r="B774" s="1848" t="s">
        <v>298</v>
      </c>
      <c r="C774" s="1847"/>
      <c r="D774" s="3120">
        <f t="shared" si="87"/>
        <v>39894.650599999994</v>
      </c>
      <c r="E774" s="3124"/>
      <c r="F774" s="3124">
        <v>39894.650599999994</v>
      </c>
      <c r="G774" s="3124"/>
      <c r="H774" s="968"/>
      <c r="I774" s="2007"/>
      <c r="J774" s="3126">
        <f t="shared" si="88"/>
        <v>0</v>
      </c>
      <c r="K774" s="3121"/>
      <c r="L774" s="3121"/>
      <c r="M774" s="969"/>
      <c r="N774" s="2019">
        <f t="shared" si="89"/>
        <v>0</v>
      </c>
    </row>
    <row r="775" spans="1:14" ht="27" thickBot="1">
      <c r="A775" s="1235">
        <v>20</v>
      </c>
      <c r="B775" s="1139" t="s">
        <v>299</v>
      </c>
      <c r="C775" s="1138"/>
      <c r="D775" s="1236">
        <f t="shared" si="87"/>
        <v>2668258.6308602979</v>
      </c>
      <c r="E775" s="1236">
        <f>SUM(E752:E758)+E761+E764+SUM(E769:E774)</f>
        <v>0</v>
      </c>
      <c r="F775" s="1236">
        <f>SUM(F752:F758)+F761+F764+SUM(F769:F774)</f>
        <v>1303032.1095949125</v>
      </c>
      <c r="G775" s="1236">
        <f>SUM(G752:G758)+G761+G764+SUM(G769:G774)</f>
        <v>123405.88151609874</v>
      </c>
      <c r="H775" s="1264">
        <f>SUM(H752:H758)+H761+H764+SUM(H769:H774)</f>
        <v>1061552.09955977</v>
      </c>
      <c r="I775" s="1265">
        <f>SUM(I752:I758)+I761+I764+SUM(I769:I774)</f>
        <v>180268.54018951699</v>
      </c>
      <c r="J775" s="1282">
        <f t="shared" si="88"/>
        <v>1365226.5212653857</v>
      </c>
      <c r="K775" s="1236">
        <f>SUM(K752:K758)+K761+K764+SUM(K769:K774)</f>
        <v>0</v>
      </c>
      <c r="L775" s="1236">
        <f>SUM(L752:L758)+L761+L764+SUM(L769:L774)</f>
        <v>0</v>
      </c>
      <c r="M775" s="1264">
        <f>SUM(M752:M758)+M761+M764+SUM(M769:M774)</f>
        <v>0</v>
      </c>
      <c r="N775" s="1237">
        <f t="shared" si="89"/>
        <v>0</v>
      </c>
    </row>
    <row r="776" spans="1:14">
      <c r="A776" s="1227"/>
      <c r="B776" s="1225" t="s">
        <v>300</v>
      </c>
      <c r="C776" s="1133"/>
      <c r="D776" s="1230">
        <f t="shared" si="87"/>
        <v>0</v>
      </c>
      <c r="E776" s="677"/>
      <c r="F776" s="677"/>
      <c r="G776" s="674"/>
      <c r="H776" s="675"/>
      <c r="I776" s="678"/>
      <c r="J776" s="1245">
        <f t="shared" si="88"/>
        <v>0</v>
      </c>
      <c r="K776" s="914"/>
      <c r="L776" s="914"/>
      <c r="M776" s="967"/>
      <c r="N776" s="1231">
        <f t="shared" si="89"/>
        <v>0</v>
      </c>
    </row>
    <row r="777" spans="1:14">
      <c r="A777" s="1950"/>
      <c r="B777" s="1959" t="s">
        <v>301</v>
      </c>
      <c r="C777" s="1830"/>
      <c r="D777" s="1946">
        <f t="shared" si="87"/>
        <v>0</v>
      </c>
      <c r="E777" s="1973"/>
      <c r="F777" s="1973"/>
      <c r="G777" s="1970"/>
      <c r="H777" s="1966"/>
      <c r="I777" s="1972"/>
      <c r="J777" s="2014">
        <f t="shared" si="88"/>
        <v>0</v>
      </c>
      <c r="K777" s="1947"/>
      <c r="L777" s="1947"/>
      <c r="M777" s="1968"/>
      <c r="N777" s="1967">
        <f t="shared" si="89"/>
        <v>0</v>
      </c>
    </row>
    <row r="778" spans="1:14">
      <c r="A778" s="1950">
        <v>21</v>
      </c>
      <c r="B778" s="1829" t="s">
        <v>302</v>
      </c>
      <c r="C778" s="1836">
        <v>17</v>
      </c>
      <c r="D778" s="1946">
        <f t="shared" si="87"/>
        <v>990440</v>
      </c>
      <c r="E778" s="1973"/>
      <c r="F778" s="1973">
        <v>0</v>
      </c>
      <c r="G778" s="1970">
        <v>93400</v>
      </c>
      <c r="H778" s="1971">
        <v>769214</v>
      </c>
      <c r="I778" s="1965">
        <v>127826</v>
      </c>
      <c r="J778" s="2014">
        <f t="shared" si="88"/>
        <v>990440</v>
      </c>
      <c r="K778" s="1947"/>
      <c r="L778" s="1947"/>
      <c r="M778" s="1968"/>
      <c r="N778" s="1967">
        <f t="shared" si="89"/>
        <v>0</v>
      </c>
    </row>
    <row r="779" spans="1:14">
      <c r="A779" s="1950">
        <v>22</v>
      </c>
      <c r="B779" s="1829" t="s">
        <v>303</v>
      </c>
      <c r="C779" s="1830"/>
      <c r="D779" s="1946">
        <f t="shared" si="87"/>
        <v>7364.5659399999986</v>
      </c>
      <c r="E779" s="1973"/>
      <c r="F779" s="1973">
        <v>0</v>
      </c>
      <c r="G779" s="1970">
        <v>535.12674671143623</v>
      </c>
      <c r="H779" s="1971">
        <v>5939.8976330837377</v>
      </c>
      <c r="I779" s="1965">
        <v>889.54156020482515</v>
      </c>
      <c r="J779" s="2014">
        <f t="shared" si="88"/>
        <v>7364.5659399999986</v>
      </c>
      <c r="K779" s="1947"/>
      <c r="L779" s="1947"/>
      <c r="M779" s="1968"/>
      <c r="N779" s="1967">
        <f t="shared" si="89"/>
        <v>0</v>
      </c>
    </row>
    <row r="780" spans="1:14">
      <c r="A780" s="1950">
        <v>23</v>
      </c>
      <c r="B780" s="1829" t="s">
        <v>304</v>
      </c>
      <c r="C780" s="1830">
        <v>18</v>
      </c>
      <c r="D780" s="1946">
        <f t="shared" si="87"/>
        <v>12591.84045</v>
      </c>
      <c r="E780" s="1973"/>
      <c r="F780" s="1973">
        <v>0</v>
      </c>
      <c r="G780" s="1970">
        <v>240.85936999999998</v>
      </c>
      <c r="H780" s="1971">
        <v>5151.7658500000007</v>
      </c>
      <c r="I780" s="1965">
        <v>7199.2152299999998</v>
      </c>
      <c r="J780" s="2014">
        <f t="shared" si="88"/>
        <v>12591.84045</v>
      </c>
      <c r="K780" s="1947"/>
      <c r="L780" s="1947"/>
      <c r="M780" s="1968"/>
      <c r="N780" s="1967">
        <f t="shared" si="89"/>
        <v>0</v>
      </c>
    </row>
    <row r="781" spans="1:14">
      <c r="A781" s="1950">
        <v>24</v>
      </c>
      <c r="B781" s="1829" t="s">
        <v>305</v>
      </c>
      <c r="C781" s="1830"/>
      <c r="D781" s="1946">
        <f t="shared" si="87"/>
        <v>0</v>
      </c>
      <c r="E781" s="1973"/>
      <c r="F781" s="2074"/>
      <c r="G781" s="2075"/>
      <c r="H781" s="2076"/>
      <c r="I781" s="2077"/>
      <c r="J781" s="2014">
        <f t="shared" si="88"/>
        <v>0</v>
      </c>
      <c r="K781" s="1947"/>
      <c r="L781" s="1947"/>
      <c r="M781" s="1968"/>
      <c r="N781" s="1967">
        <f t="shared" si="89"/>
        <v>0</v>
      </c>
    </row>
    <row r="782" spans="1:14">
      <c r="A782" s="1950">
        <v>25</v>
      </c>
      <c r="B782" s="1851" t="s">
        <v>306</v>
      </c>
      <c r="C782" s="1830"/>
      <c r="D782" s="1946">
        <f t="shared" si="87"/>
        <v>202844.53430999999</v>
      </c>
      <c r="E782" s="1973"/>
      <c r="F782" s="1973">
        <v>202844.53430999999</v>
      </c>
      <c r="G782" s="1970">
        <v>0</v>
      </c>
      <c r="H782" s="1966"/>
      <c r="I782" s="1972"/>
      <c r="J782" s="2014">
        <f t="shared" si="88"/>
        <v>0</v>
      </c>
      <c r="K782" s="1947"/>
      <c r="L782" s="1947"/>
      <c r="M782" s="1968"/>
      <c r="N782" s="1967">
        <f t="shared" si="89"/>
        <v>0</v>
      </c>
    </row>
    <row r="783" spans="1:14" ht="15" thickBot="1">
      <c r="A783" s="1957">
        <v>26</v>
      </c>
      <c r="B783" s="1848" t="s">
        <v>307</v>
      </c>
      <c r="C783" s="1852">
        <v>19</v>
      </c>
      <c r="D783" s="1946">
        <f t="shared" si="87"/>
        <v>258675.43935999996</v>
      </c>
      <c r="E783" s="1973"/>
      <c r="F783" s="3124">
        <v>128301.409509636</v>
      </c>
      <c r="G783" s="1970">
        <v>19333.582471419748</v>
      </c>
      <c r="H783" s="1971">
        <v>84577.550133435332</v>
      </c>
      <c r="I783" s="1965">
        <v>26462.897245508873</v>
      </c>
      <c r="J783" s="2014">
        <f t="shared" si="88"/>
        <v>130374.02985036396</v>
      </c>
      <c r="K783" s="1947"/>
      <c r="L783" s="1947"/>
      <c r="M783" s="1968"/>
      <c r="N783" s="1967">
        <f t="shared" si="89"/>
        <v>0</v>
      </c>
    </row>
    <row r="784" spans="1:14" ht="27" thickBot="1">
      <c r="A784" s="1226">
        <v>27</v>
      </c>
      <c r="B784" s="1136" t="s">
        <v>308</v>
      </c>
      <c r="C784" s="1135"/>
      <c r="D784" s="1241">
        <f t="shared" si="87"/>
        <v>1471916.3800599999</v>
      </c>
      <c r="E784" s="934">
        <f>SUM(E778:E783)</f>
        <v>0</v>
      </c>
      <c r="F784" s="934">
        <f>SUM(F778:F783)</f>
        <v>331145.94381963601</v>
      </c>
      <c r="G784" s="934">
        <f>SUM(G778:G783)</f>
        <v>113509.56858813119</v>
      </c>
      <c r="H784" s="946">
        <f>SUM(H778:H783)</f>
        <v>864883.213616519</v>
      </c>
      <c r="I784" s="938">
        <f>SUM(I778:I783)</f>
        <v>162377.6540357137</v>
      </c>
      <c r="J784" s="1244">
        <f t="shared" si="88"/>
        <v>1140770.4362403639</v>
      </c>
      <c r="K784" s="934">
        <f>SUM(K778:K783)</f>
        <v>0</v>
      </c>
      <c r="L784" s="934">
        <f>SUM(L778:L783)</f>
        <v>0</v>
      </c>
      <c r="M784" s="946">
        <f>SUM(M778:M783)</f>
        <v>0</v>
      </c>
      <c r="N784" s="1261">
        <f t="shared" si="89"/>
        <v>0</v>
      </c>
    </row>
    <row r="785" spans="1:14">
      <c r="A785" s="1227"/>
      <c r="B785" s="1225" t="s">
        <v>309</v>
      </c>
      <c r="C785" s="1133">
        <v>20</v>
      </c>
      <c r="D785" s="1230">
        <f t="shared" si="87"/>
        <v>0</v>
      </c>
      <c r="E785" s="2078"/>
      <c r="F785" s="1973"/>
      <c r="G785" s="1973"/>
      <c r="H785" s="1971"/>
      <c r="I785" s="1972"/>
      <c r="J785" s="1245">
        <f t="shared" si="88"/>
        <v>0</v>
      </c>
      <c r="K785" s="914"/>
      <c r="L785" s="914"/>
      <c r="M785" s="967"/>
      <c r="N785" s="1231">
        <f t="shared" si="89"/>
        <v>0</v>
      </c>
    </row>
    <row r="786" spans="1:14">
      <c r="A786" s="1950">
        <v>28</v>
      </c>
      <c r="B786" s="1945" t="s">
        <v>310</v>
      </c>
      <c r="C786" s="1836"/>
      <c r="D786" s="1946">
        <f t="shared" si="87"/>
        <v>1045345.56</v>
      </c>
      <c r="E786" s="2078"/>
      <c r="F786" s="1973">
        <v>1045345.56</v>
      </c>
      <c r="G786" s="1973"/>
      <c r="H786" s="1971"/>
      <c r="I786" s="1972"/>
      <c r="J786" s="2014">
        <f t="shared" si="88"/>
        <v>0</v>
      </c>
      <c r="K786" s="1947"/>
      <c r="L786" s="1947"/>
      <c r="M786" s="1968"/>
      <c r="N786" s="1967">
        <f t="shared" si="89"/>
        <v>0</v>
      </c>
    </row>
    <row r="787" spans="1:14">
      <c r="A787" s="1950">
        <v>29</v>
      </c>
      <c r="B787" s="1945" t="s">
        <v>311</v>
      </c>
      <c r="C787" s="1836"/>
      <c r="D787" s="1946">
        <f t="shared" si="87"/>
        <v>0</v>
      </c>
      <c r="E787" s="1973"/>
      <c r="F787" s="1973"/>
      <c r="G787" s="1970"/>
      <c r="H787" s="1966"/>
      <c r="I787" s="1972"/>
      <c r="J787" s="2014">
        <f t="shared" si="88"/>
        <v>0</v>
      </c>
      <c r="K787" s="1947"/>
      <c r="L787" s="1947"/>
      <c r="M787" s="1968"/>
      <c r="N787" s="1967">
        <f t="shared" si="89"/>
        <v>0</v>
      </c>
    </row>
    <row r="788" spans="1:14">
      <c r="A788" s="1950">
        <v>30</v>
      </c>
      <c r="B788" s="1960" t="s">
        <v>312</v>
      </c>
      <c r="C788" s="1852"/>
      <c r="D788" s="1946">
        <f t="shared" si="87"/>
        <v>0</v>
      </c>
      <c r="E788" s="1973"/>
      <c r="F788" s="1973"/>
      <c r="G788" s="3125"/>
      <c r="H788" s="2002"/>
      <c r="I788" s="2007"/>
      <c r="J788" s="2014">
        <f t="shared" si="88"/>
        <v>0</v>
      </c>
      <c r="K788" s="1947"/>
      <c r="L788" s="1947"/>
      <c r="M788" s="1968"/>
      <c r="N788" s="1967">
        <f t="shared" si="89"/>
        <v>0</v>
      </c>
    </row>
    <row r="789" spans="1:14">
      <c r="A789" s="1950">
        <v>31</v>
      </c>
      <c r="B789" s="1945" t="s">
        <v>313</v>
      </c>
      <c r="C789" s="1836"/>
      <c r="D789" s="1946">
        <f t="shared" si="87"/>
        <v>0</v>
      </c>
      <c r="E789" s="1973"/>
      <c r="F789" s="3124"/>
      <c r="G789" s="3125"/>
      <c r="H789" s="2002"/>
      <c r="I789" s="2007"/>
      <c r="J789" s="2014">
        <f t="shared" si="88"/>
        <v>0</v>
      </c>
      <c r="K789" s="1947"/>
      <c r="L789" s="1947"/>
      <c r="M789" s="1968"/>
      <c r="N789" s="1967">
        <f t="shared" si="89"/>
        <v>0</v>
      </c>
    </row>
    <row r="790" spans="1:14" ht="15" thickBot="1">
      <c r="A790" s="1957">
        <v>32</v>
      </c>
      <c r="B790" s="1945" t="s">
        <v>314</v>
      </c>
      <c r="C790" s="1836"/>
      <c r="D790" s="1946">
        <f t="shared" si="87"/>
        <v>150997.98293502218</v>
      </c>
      <c r="E790" s="1973"/>
      <c r="F790" s="1973">
        <v>-73458.44</v>
      </c>
      <c r="G790" s="3125">
        <v>9896.3129279675341</v>
      </c>
      <c r="H790" s="2002">
        <v>196669.22385325134</v>
      </c>
      <c r="I790" s="681">
        <v>17890.886153803302</v>
      </c>
      <c r="J790" s="2014">
        <f t="shared" si="88"/>
        <v>224456.42293502219</v>
      </c>
      <c r="K790" s="1947"/>
      <c r="L790" s="1947"/>
      <c r="M790" s="1968"/>
      <c r="N790" s="1967">
        <f t="shared" si="89"/>
        <v>0</v>
      </c>
    </row>
    <row r="791" spans="1:14" ht="15" thickBot="1">
      <c r="A791" s="1226">
        <v>33</v>
      </c>
      <c r="B791" s="1169" t="s">
        <v>315</v>
      </c>
      <c r="C791" s="1170"/>
      <c r="D791" s="1285">
        <f t="shared" si="87"/>
        <v>1196343.5429350224</v>
      </c>
      <c r="E791" s="963">
        <f>SUM(E786:E790)</f>
        <v>0</v>
      </c>
      <c r="F791" s="963">
        <f>SUM(F786:F790)</f>
        <v>971887.12000000011</v>
      </c>
      <c r="G791" s="963">
        <f>SUM(G786:G790)</f>
        <v>9896.3129279675341</v>
      </c>
      <c r="H791" s="963">
        <f>SUM(H786:H790)</f>
        <v>196669.22385325134</v>
      </c>
      <c r="I791" s="970">
        <f>SUM(I786:I790)</f>
        <v>17890.886153803302</v>
      </c>
      <c r="J791" s="1288">
        <f t="shared" si="88"/>
        <v>224456.42293502219</v>
      </c>
      <c r="K791" s="963">
        <f>SUM(K786:K790)</f>
        <v>0</v>
      </c>
      <c r="L791" s="963">
        <f>SUM(L786:L790)</f>
        <v>0</v>
      </c>
      <c r="M791" s="964">
        <f>SUM(M786:M790)</f>
        <v>0</v>
      </c>
      <c r="N791" s="1289">
        <f t="shared" si="89"/>
        <v>0</v>
      </c>
    </row>
    <row r="792" spans="1:14" ht="27" thickBot="1">
      <c r="A792" s="1235">
        <v>34</v>
      </c>
      <c r="B792" s="1139" t="s">
        <v>317</v>
      </c>
      <c r="C792" s="1138"/>
      <c r="D792" s="1268">
        <f t="shared" si="87"/>
        <v>2668259.9229950225</v>
      </c>
      <c r="E792" s="1268">
        <f>E791+E784</f>
        <v>0</v>
      </c>
      <c r="F792" s="1268">
        <f>F791+F784</f>
        <v>1303033.0638196361</v>
      </c>
      <c r="G792" s="1268">
        <f>G791+G784</f>
        <v>123405.88151609873</v>
      </c>
      <c r="H792" s="1268">
        <f>H791+H784</f>
        <v>1061552.4374697704</v>
      </c>
      <c r="I792" s="1268">
        <f>I791+I784</f>
        <v>180268.54018951699</v>
      </c>
      <c r="J792" s="1277">
        <f t="shared" si="88"/>
        <v>1365226.8591753861</v>
      </c>
      <c r="K792" s="1268">
        <f>K791+K784</f>
        <v>0</v>
      </c>
      <c r="L792" s="1268">
        <f>L791+L784</f>
        <v>0</v>
      </c>
      <c r="M792" s="1269">
        <f>M791+M784</f>
        <v>0</v>
      </c>
      <c r="N792" s="1271">
        <f t="shared" si="89"/>
        <v>0</v>
      </c>
    </row>
    <row r="793" spans="1:14">
      <c r="B793"/>
      <c r="C793"/>
      <c r="D793"/>
      <c r="E793"/>
      <c r="F793"/>
      <c r="G793"/>
      <c r="H793"/>
      <c r="I793"/>
      <c r="J793"/>
      <c r="K793"/>
      <c r="L793"/>
      <c r="M793"/>
      <c r="N793"/>
    </row>
    <row r="794" spans="1:14">
      <c r="B794"/>
      <c r="C794"/>
      <c r="D794"/>
      <c r="E794"/>
      <c r="F794"/>
      <c r="G794"/>
      <c r="H794"/>
      <c r="I794"/>
      <c r="J794"/>
      <c r="K794"/>
      <c r="L794"/>
      <c r="M794"/>
      <c r="N794"/>
    </row>
    <row r="795" spans="1:14">
      <c r="B795"/>
      <c r="C795"/>
      <c r="D795"/>
      <c r="E795"/>
      <c r="F795"/>
      <c r="G795"/>
      <c r="H795"/>
      <c r="I795"/>
      <c r="J795"/>
      <c r="K795"/>
      <c r="L795"/>
      <c r="M795"/>
      <c r="N795"/>
    </row>
    <row r="796" spans="1:14">
      <c r="A796" s="662"/>
      <c r="B796" s="662"/>
      <c r="C796" s="662"/>
      <c r="D796" s="666"/>
      <c r="E796" s="666"/>
      <c r="F796" s="666"/>
      <c r="G796" s="666"/>
      <c r="H796" s="666"/>
      <c r="I796" s="666"/>
      <c r="J796" s="666"/>
      <c r="K796" s="662"/>
      <c r="L796" s="662"/>
      <c r="M796" s="662"/>
      <c r="N796" s="662"/>
    </row>
    <row r="797" spans="1:14" ht="15" thickBot="1">
      <c r="A797" s="662"/>
      <c r="B797" s="662"/>
      <c r="C797" s="662"/>
      <c r="D797" s="662"/>
      <c r="E797" s="662"/>
      <c r="F797" s="662"/>
      <c r="G797" s="662"/>
      <c r="H797" s="662"/>
      <c r="I797" s="662"/>
      <c r="J797" s="662"/>
      <c r="K797" s="662"/>
      <c r="L797" s="662"/>
      <c r="M797" s="662"/>
      <c r="N797" s="662"/>
    </row>
    <row r="798" spans="1:14" ht="15" thickBot="1">
      <c r="A798" s="1153" t="s">
        <v>115</v>
      </c>
      <c r="B798" s="3303" t="s">
        <v>328</v>
      </c>
      <c r="C798" s="3304"/>
      <c r="D798" s="662"/>
      <c r="E798" s="662"/>
      <c r="F798" s="662"/>
      <c r="G798" s="662"/>
      <c r="H798" s="662"/>
      <c r="I798" s="662"/>
      <c r="J798" s="662"/>
      <c r="K798" s="662"/>
      <c r="L798" s="662"/>
      <c r="M798" s="3292"/>
      <c r="N798" s="3292" t="s">
        <v>257</v>
      </c>
    </row>
    <row r="799" spans="1:14" ht="13.5" customHeight="1" thickBot="1">
      <c r="A799" s="3311" t="s">
        <v>258</v>
      </c>
      <c r="B799" s="1212"/>
      <c r="C799" s="3280" t="s">
        <v>259</v>
      </c>
      <c r="D799" s="3314" t="s">
        <v>260</v>
      </c>
      <c r="E799" s="3314" t="s">
        <v>261</v>
      </c>
      <c r="F799" s="3314" t="s">
        <v>262</v>
      </c>
      <c r="G799" s="3324" t="s">
        <v>263</v>
      </c>
      <c r="H799" s="3325"/>
      <c r="I799" s="3325"/>
      <c r="J799" s="3325"/>
      <c r="K799" s="3325"/>
      <c r="L799" s="3325"/>
      <c r="M799" s="3325"/>
      <c r="N799" s="3326"/>
    </row>
    <row r="800" spans="1:14" ht="13.5" customHeight="1" thickBot="1">
      <c r="A800" s="3312"/>
      <c r="B800" s="1213"/>
      <c r="C800" s="3281"/>
      <c r="D800" s="3315"/>
      <c r="E800" s="3315"/>
      <c r="F800" s="3315"/>
      <c r="G800" s="3289" t="s">
        <v>264</v>
      </c>
      <c r="H800" s="3290"/>
      <c r="I800" s="3290"/>
      <c r="J800" s="3291"/>
      <c r="K800" s="3318" t="s">
        <v>265</v>
      </c>
      <c r="L800" s="3319"/>
      <c r="M800" s="3319"/>
      <c r="N800" s="3320"/>
    </row>
    <row r="801" spans="1:14" ht="40.15" thickBot="1">
      <c r="A801" s="3312"/>
      <c r="B801" s="1214"/>
      <c r="C801" s="3281"/>
      <c r="D801" s="3316"/>
      <c r="E801" s="3316"/>
      <c r="F801" s="3316"/>
      <c r="G801" s="1125" t="s">
        <v>267</v>
      </c>
      <c r="H801" s="1125" t="s">
        <v>268</v>
      </c>
      <c r="I801" s="1125" t="s">
        <v>269</v>
      </c>
      <c r="J801" s="1125" t="s">
        <v>160</v>
      </c>
      <c r="K801" s="1126" t="s">
        <v>270</v>
      </c>
      <c r="L801" s="1126" t="s">
        <v>271</v>
      </c>
      <c r="M801" s="1126" t="s">
        <v>272</v>
      </c>
      <c r="N801" s="2969" t="s">
        <v>160</v>
      </c>
    </row>
    <row r="802" spans="1:14" ht="15" thickBot="1">
      <c r="A802" s="3312"/>
      <c r="B802" s="1213"/>
      <c r="C802" s="3281"/>
      <c r="D802" s="1215">
        <v>1</v>
      </c>
      <c r="E802" s="1216">
        <v>2</v>
      </c>
      <c r="F802" s="1216">
        <v>3</v>
      </c>
      <c r="G802" s="1217">
        <v>4</v>
      </c>
      <c r="H802" s="1216">
        <v>5</v>
      </c>
      <c r="I802" s="1218">
        <v>6</v>
      </c>
      <c r="J802" s="2971">
        <v>7</v>
      </c>
      <c r="K802" s="1217">
        <v>8</v>
      </c>
      <c r="L802" s="1216">
        <v>9</v>
      </c>
      <c r="M802" s="1238">
        <v>10</v>
      </c>
      <c r="N802" s="1215">
        <v>11</v>
      </c>
    </row>
    <row r="803" spans="1:14" ht="15" thickBot="1">
      <c r="A803" s="3313"/>
      <c r="B803" s="1219"/>
      <c r="C803" s="3282"/>
      <c r="D803" s="1220"/>
      <c r="E803" s="1220"/>
      <c r="F803" s="1220"/>
      <c r="G803" s="1221"/>
      <c r="H803" s="1220"/>
      <c r="I803" s="1667"/>
      <c r="J803" s="1215" t="s">
        <v>273</v>
      </c>
      <c r="K803" s="1667"/>
      <c r="L803" s="1220"/>
      <c r="M803" s="1667"/>
      <c r="N803" s="1293" t="s">
        <v>274</v>
      </c>
    </row>
    <row r="804" spans="1:14">
      <c r="A804" s="1227"/>
      <c r="B804" s="1225" t="s">
        <v>275</v>
      </c>
      <c r="C804" s="1133"/>
      <c r="D804" s="1827"/>
      <c r="E804" s="980"/>
      <c r="F804" s="980"/>
      <c r="G804" s="1001"/>
      <c r="H804" s="992"/>
      <c r="I804" s="1002"/>
      <c r="J804" s="1231"/>
      <c r="K804" s="914"/>
      <c r="L804" s="912"/>
      <c r="M804" s="915"/>
      <c r="N804" s="1260"/>
    </row>
    <row r="805" spans="1:14">
      <c r="A805" s="1944">
        <v>1</v>
      </c>
      <c r="B805" s="1945" t="s">
        <v>276</v>
      </c>
      <c r="C805" s="1830"/>
      <c r="D805" s="1946">
        <f t="shared" ref="D805:D845" si="90">+E805+F805+J805+N805</f>
        <v>0</v>
      </c>
      <c r="E805" s="2062"/>
      <c r="F805" s="2062"/>
      <c r="G805" s="2066"/>
      <c r="H805" s="2065"/>
      <c r="I805" s="1003"/>
      <c r="J805" s="1967">
        <f t="shared" ref="J805:J845" si="91">G805+H805+I805</f>
        <v>0</v>
      </c>
      <c r="K805" s="1947"/>
      <c r="L805" s="1947"/>
      <c r="M805" s="1968"/>
      <c r="N805" s="1967">
        <f t="shared" ref="N805:N845" si="92">K805+L805+M805</f>
        <v>0</v>
      </c>
    </row>
    <row r="806" spans="1:14">
      <c r="A806" s="1944">
        <v>2</v>
      </c>
      <c r="B806" s="1945" t="s">
        <v>277</v>
      </c>
      <c r="C806" s="1830"/>
      <c r="D806" s="1946">
        <f t="shared" si="90"/>
        <v>0</v>
      </c>
      <c r="E806" s="2062"/>
      <c r="F806" s="2062"/>
      <c r="G806" s="2066"/>
      <c r="H806" s="2065"/>
      <c r="I806" s="1003"/>
      <c r="J806" s="1967">
        <f t="shared" si="91"/>
        <v>0</v>
      </c>
      <c r="K806" s="1947"/>
      <c r="L806" s="1947"/>
      <c r="M806" s="1968"/>
      <c r="N806" s="1967">
        <f t="shared" si="92"/>
        <v>0</v>
      </c>
    </row>
    <row r="807" spans="1:14">
      <c r="A807" s="1944">
        <v>3</v>
      </c>
      <c r="B807" s="1945" t="s">
        <v>278</v>
      </c>
      <c r="C807" s="1830"/>
      <c r="D807" s="1946">
        <f t="shared" si="90"/>
        <v>0</v>
      </c>
      <c r="E807" s="2062"/>
      <c r="F807" s="2062"/>
      <c r="G807" s="2066"/>
      <c r="H807" s="2065"/>
      <c r="I807" s="1003"/>
      <c r="J807" s="1967">
        <f t="shared" si="91"/>
        <v>0</v>
      </c>
      <c r="K807" s="1947"/>
      <c r="L807" s="1947"/>
      <c r="M807" s="1968"/>
      <c r="N807" s="1967">
        <f t="shared" si="92"/>
        <v>0</v>
      </c>
    </row>
    <row r="808" spans="1:14">
      <c r="A808" s="1944">
        <v>4</v>
      </c>
      <c r="B808" s="1945" t="s">
        <v>324</v>
      </c>
      <c r="C808" s="1830"/>
      <c r="D808" s="1946">
        <f t="shared" si="90"/>
        <v>388059.26006218203</v>
      </c>
      <c r="E808" s="2062"/>
      <c r="F808" s="2062">
        <v>0</v>
      </c>
      <c r="G808" s="2079">
        <v>338623.6444152171</v>
      </c>
      <c r="H808" s="2080">
        <v>49435.615646964907</v>
      </c>
      <c r="I808" s="1003"/>
      <c r="J808" s="1967">
        <f t="shared" si="91"/>
        <v>388059.26006218203</v>
      </c>
      <c r="K808" s="1947"/>
      <c r="L808" s="1947"/>
      <c r="M808" s="1968"/>
      <c r="N808" s="1967">
        <f t="shared" si="92"/>
        <v>0</v>
      </c>
    </row>
    <row r="809" spans="1:14">
      <c r="A809" s="1944">
        <v>5</v>
      </c>
      <c r="B809" s="1945" t="s">
        <v>280</v>
      </c>
      <c r="C809" s="1836">
        <v>5</v>
      </c>
      <c r="D809" s="1946">
        <f t="shared" si="90"/>
        <v>97939.5</v>
      </c>
      <c r="E809" s="2062"/>
      <c r="F809" s="2062">
        <v>97939.5</v>
      </c>
      <c r="G809" s="2066">
        <v>0</v>
      </c>
      <c r="H809" s="2065">
        <v>0</v>
      </c>
      <c r="I809" s="1003"/>
      <c r="J809" s="1967">
        <f t="shared" si="91"/>
        <v>0</v>
      </c>
      <c r="K809" s="1947"/>
      <c r="L809" s="1947"/>
      <c r="M809" s="1968"/>
      <c r="N809" s="1967">
        <f t="shared" si="92"/>
        <v>0</v>
      </c>
    </row>
    <row r="810" spans="1:14">
      <c r="A810" s="1944">
        <v>6</v>
      </c>
      <c r="B810" s="1945" t="s">
        <v>281</v>
      </c>
      <c r="C810" s="1830">
        <v>6</v>
      </c>
      <c r="D810" s="1946">
        <f t="shared" si="90"/>
        <v>0</v>
      </c>
      <c r="E810" s="2062"/>
      <c r="F810" s="2062">
        <v>0</v>
      </c>
      <c r="G810" s="2066">
        <v>0</v>
      </c>
      <c r="H810" s="2065">
        <v>0</v>
      </c>
      <c r="I810" s="1003"/>
      <c r="J810" s="1967">
        <f t="shared" si="91"/>
        <v>0</v>
      </c>
      <c r="K810" s="1947"/>
      <c r="L810" s="1947"/>
      <c r="M810" s="1968"/>
      <c r="N810" s="1967">
        <f t="shared" si="92"/>
        <v>0</v>
      </c>
    </row>
    <row r="811" spans="1:14">
      <c r="A811" s="1944">
        <v>7</v>
      </c>
      <c r="B811" s="1945" t="s">
        <v>282</v>
      </c>
      <c r="C811" s="1836">
        <v>7</v>
      </c>
      <c r="D811" s="1946">
        <f t="shared" si="90"/>
        <v>3296543.3689999999</v>
      </c>
      <c r="E811" s="1947"/>
      <c r="F811" s="1947">
        <f>F812+F813</f>
        <v>3296543.3689999999</v>
      </c>
      <c r="G811" s="1968">
        <f>G812+G813</f>
        <v>0</v>
      </c>
      <c r="H811" s="1949">
        <f>H812+H813</f>
        <v>0</v>
      </c>
      <c r="I811" s="1004">
        <f>I812+I813</f>
        <v>0</v>
      </c>
      <c r="J811" s="1967">
        <f t="shared" si="91"/>
        <v>0</v>
      </c>
      <c r="K811" s="1947">
        <f>K812+K813</f>
        <v>0</v>
      </c>
      <c r="L811" s="1947">
        <f>L812+L813</f>
        <v>0</v>
      </c>
      <c r="M811" s="1968">
        <f>M812+M813</f>
        <v>0</v>
      </c>
      <c r="N811" s="1967">
        <f t="shared" si="92"/>
        <v>0</v>
      </c>
    </row>
    <row r="812" spans="1:14">
      <c r="A812" s="1950"/>
      <c r="B812" s="1837" t="s">
        <v>283</v>
      </c>
      <c r="C812" s="1836"/>
      <c r="D812" s="1946">
        <f t="shared" si="90"/>
        <v>0</v>
      </c>
      <c r="E812" s="1947"/>
      <c r="F812" s="1947">
        <v>0</v>
      </c>
      <c r="G812" s="1968">
        <v>0</v>
      </c>
      <c r="H812" s="1949">
        <v>0</v>
      </c>
      <c r="I812" s="967"/>
      <c r="J812" s="1967">
        <f t="shared" si="91"/>
        <v>0</v>
      </c>
      <c r="K812" s="1947"/>
      <c r="L812" s="1947"/>
      <c r="M812" s="1968"/>
      <c r="N812" s="1967">
        <f t="shared" si="92"/>
        <v>0</v>
      </c>
    </row>
    <row r="813" spans="1:14">
      <c r="A813" s="1950"/>
      <c r="B813" s="1837" t="s">
        <v>284</v>
      </c>
      <c r="C813" s="1836"/>
      <c r="D813" s="1946">
        <f t="shared" si="90"/>
        <v>3296543.3689999999</v>
      </c>
      <c r="E813" s="2059"/>
      <c r="F813" s="2081">
        <v>3296543.3689999999</v>
      </c>
      <c r="G813" s="2066">
        <v>0</v>
      </c>
      <c r="H813" s="2065">
        <v>0</v>
      </c>
      <c r="I813" s="2082"/>
      <c r="J813" s="1967">
        <f t="shared" si="91"/>
        <v>0</v>
      </c>
      <c r="K813" s="1947"/>
      <c r="L813" s="1947"/>
      <c r="M813" s="1968"/>
      <c r="N813" s="1967">
        <f t="shared" si="92"/>
        <v>0</v>
      </c>
    </row>
    <row r="814" spans="1:14">
      <c r="A814" s="1944">
        <v>8</v>
      </c>
      <c r="B814" s="1945" t="s">
        <v>285</v>
      </c>
      <c r="C814" s="1830">
        <v>8</v>
      </c>
      <c r="D814" s="1946">
        <f t="shared" si="90"/>
        <v>0</v>
      </c>
      <c r="E814" s="1947"/>
      <c r="F814" s="1947">
        <f>F815+F816</f>
        <v>0</v>
      </c>
      <c r="G814" s="1968">
        <f>G815+G816</f>
        <v>0</v>
      </c>
      <c r="H814" s="1949">
        <f>H815+H816</f>
        <v>0</v>
      </c>
      <c r="I814" s="1968">
        <f>I815+I816</f>
        <v>0</v>
      </c>
      <c r="J814" s="1967">
        <f t="shared" si="91"/>
        <v>0</v>
      </c>
      <c r="K814" s="1947">
        <f>K815+K816</f>
        <v>0</v>
      </c>
      <c r="L814" s="1947">
        <f>L815+L816</f>
        <v>0</v>
      </c>
      <c r="M814" s="1968">
        <f>M815+M816</f>
        <v>0</v>
      </c>
      <c r="N814" s="1967">
        <f t="shared" si="92"/>
        <v>0</v>
      </c>
    </row>
    <row r="815" spans="1:14">
      <c r="A815" s="1944"/>
      <c r="B815" s="1837" t="s">
        <v>286</v>
      </c>
      <c r="C815" s="1830"/>
      <c r="D815" s="1946">
        <f t="shared" si="90"/>
        <v>0</v>
      </c>
      <c r="E815" s="1947"/>
      <c r="F815" s="1947"/>
      <c r="G815" s="1968"/>
      <c r="H815" s="1949"/>
      <c r="I815" s="1968"/>
      <c r="J815" s="1967">
        <f t="shared" si="91"/>
        <v>0</v>
      </c>
      <c r="K815" s="1947"/>
      <c r="L815" s="1947"/>
      <c r="M815" s="1968"/>
      <c r="N815" s="1967">
        <f t="shared" si="92"/>
        <v>0</v>
      </c>
    </row>
    <row r="816" spans="1:14">
      <c r="A816" s="1944"/>
      <c r="B816" s="1837" t="s">
        <v>287</v>
      </c>
      <c r="C816" s="1830"/>
      <c r="D816" s="1946">
        <f t="shared" si="90"/>
        <v>0</v>
      </c>
      <c r="E816" s="1947"/>
      <c r="F816" s="1947"/>
      <c r="G816" s="1968"/>
      <c r="H816" s="1949"/>
      <c r="I816" s="1968"/>
      <c r="J816" s="1967">
        <f t="shared" si="91"/>
        <v>0</v>
      </c>
      <c r="K816" s="1947"/>
      <c r="L816" s="1947"/>
      <c r="M816" s="1968"/>
      <c r="N816" s="1967">
        <f t="shared" si="92"/>
        <v>0</v>
      </c>
    </row>
    <row r="817" spans="1:42" ht="26.45">
      <c r="A817" s="1838">
        <v>9</v>
      </c>
      <c r="B817" s="1839" t="s">
        <v>288</v>
      </c>
      <c r="C817" s="1840"/>
      <c r="D817" s="1841">
        <f t="shared" si="90"/>
        <v>160554248.69373</v>
      </c>
      <c r="E817" s="1842">
        <f>SUM(E818:E821)</f>
        <v>0</v>
      </c>
      <c r="F817" s="1842">
        <f>SUM(F818:F821)</f>
        <v>12139906.26311283</v>
      </c>
      <c r="G817" s="1844">
        <f>SUM(G818:G821)</f>
        <v>134177288.54776743</v>
      </c>
      <c r="H817" s="1927">
        <f>SUM(H818:H821)</f>
        <v>14237053.882849734</v>
      </c>
      <c r="I817" s="1844">
        <f>SUM(I818:I821)</f>
        <v>0</v>
      </c>
      <c r="J817" s="1845">
        <f t="shared" si="91"/>
        <v>148414342.43061715</v>
      </c>
      <c r="K817" s="1842">
        <f>SUM(K818:K821)</f>
        <v>0</v>
      </c>
      <c r="L817" s="1842">
        <f>SUM(L818:L821)</f>
        <v>0</v>
      </c>
      <c r="M817" s="1844">
        <f>SUM(M818:M821)</f>
        <v>0</v>
      </c>
      <c r="N817" s="1979">
        <f t="shared" si="92"/>
        <v>0</v>
      </c>
    </row>
    <row r="818" spans="1:42">
      <c r="A818" s="1830">
        <v>10</v>
      </c>
      <c r="B818" s="1846" t="s">
        <v>289</v>
      </c>
      <c r="C818" s="1830">
        <v>9</v>
      </c>
      <c r="D818" s="1831">
        <f t="shared" si="90"/>
        <v>60399782.987599999</v>
      </c>
      <c r="E818" s="2062"/>
      <c r="F818" s="2062">
        <v>591269.49367999996</v>
      </c>
      <c r="G818" s="2066">
        <v>55898919.890242279</v>
      </c>
      <c r="H818" s="2065">
        <v>3909593.603677717</v>
      </c>
      <c r="I818" s="2082"/>
      <c r="J818" s="1835">
        <f t="shared" si="91"/>
        <v>59808513.493919998</v>
      </c>
      <c r="K818" s="1832"/>
      <c r="L818" s="1832"/>
      <c r="M818" s="1834"/>
      <c r="N818" s="1967">
        <f t="shared" si="92"/>
        <v>0</v>
      </c>
    </row>
    <row r="819" spans="1:42">
      <c r="A819" s="1830">
        <v>11</v>
      </c>
      <c r="B819" s="1846" t="s">
        <v>290</v>
      </c>
      <c r="C819" s="1830">
        <v>10</v>
      </c>
      <c r="D819" s="1831">
        <f t="shared" si="90"/>
        <v>31897236.106850002</v>
      </c>
      <c r="E819" s="2062"/>
      <c r="F819" s="2062">
        <v>2508759.8685228331</v>
      </c>
      <c r="G819" s="2066">
        <v>24111232.214287166</v>
      </c>
      <c r="H819" s="2067">
        <v>5277244.0240400005</v>
      </c>
      <c r="I819" s="2066"/>
      <c r="J819" s="1835">
        <f t="shared" si="91"/>
        <v>29388476.238327168</v>
      </c>
      <c r="K819" s="1832"/>
      <c r="L819" s="1832"/>
      <c r="M819" s="1834"/>
      <c r="N819" s="1967">
        <f t="shared" si="92"/>
        <v>0</v>
      </c>
    </row>
    <row r="820" spans="1:42">
      <c r="A820" s="1830">
        <v>12</v>
      </c>
      <c r="B820" s="1846" t="s">
        <v>291</v>
      </c>
      <c r="C820" s="1830">
        <v>11</v>
      </c>
      <c r="D820" s="1831">
        <f t="shared" si="90"/>
        <v>50606618.068190001</v>
      </c>
      <c r="E820" s="2062"/>
      <c r="F820" s="2062">
        <v>6231571.6369299982</v>
      </c>
      <c r="G820" s="2066">
        <v>41955188.766580664</v>
      </c>
      <c r="H820" s="2067">
        <v>2419857.6646793378</v>
      </c>
      <c r="I820" s="2066"/>
      <c r="J820" s="1835">
        <f t="shared" si="91"/>
        <v>44375046.431260005</v>
      </c>
      <c r="K820" s="1832"/>
      <c r="L820" s="1832"/>
      <c r="M820" s="1834"/>
      <c r="N820" s="1967">
        <f t="shared" si="92"/>
        <v>0</v>
      </c>
    </row>
    <row r="821" spans="1:42" ht="26.45">
      <c r="A821" s="1830">
        <v>13</v>
      </c>
      <c r="B821" s="1846" t="s">
        <v>292</v>
      </c>
      <c r="C821" s="1830">
        <v>12</v>
      </c>
      <c r="D821" s="1831">
        <f t="shared" si="90"/>
        <v>17650611.531090003</v>
      </c>
      <c r="E821" s="2062"/>
      <c r="F821" s="2062">
        <v>2808305.2639799998</v>
      </c>
      <c r="G821" s="2066">
        <v>12211947.676657321</v>
      </c>
      <c r="H821" s="2067">
        <v>2630358.5904526794</v>
      </c>
      <c r="I821" s="2066"/>
      <c r="J821" s="1835">
        <f t="shared" si="91"/>
        <v>14842306.267110001</v>
      </c>
      <c r="K821" s="1832"/>
      <c r="L821" s="1832"/>
      <c r="M821" s="1834"/>
      <c r="N821" s="1967">
        <f t="shared" si="92"/>
        <v>0</v>
      </c>
    </row>
    <row r="822" spans="1:42">
      <c r="A822" s="1830">
        <v>14</v>
      </c>
      <c r="B822" s="1829" t="s">
        <v>293</v>
      </c>
      <c r="C822" s="1830">
        <v>13</v>
      </c>
      <c r="D822" s="1831">
        <f t="shared" si="90"/>
        <v>1637187.2930200025</v>
      </c>
      <c r="E822" s="2062"/>
      <c r="F822" s="2062">
        <v>0</v>
      </c>
      <c r="G822" s="2082">
        <v>1634597.9513977258</v>
      </c>
      <c r="H822" s="2067">
        <v>2589.3416222766127</v>
      </c>
      <c r="I822" s="2082"/>
      <c r="J822" s="1835">
        <f t="shared" si="91"/>
        <v>1637187.2930200025</v>
      </c>
      <c r="K822" s="1832"/>
      <c r="L822" s="1832"/>
      <c r="M822" s="1834"/>
      <c r="N822" s="1967">
        <f t="shared" si="92"/>
        <v>0</v>
      </c>
    </row>
    <row r="823" spans="1:42">
      <c r="A823" s="1830">
        <v>15</v>
      </c>
      <c r="B823" s="1829" t="s">
        <v>294</v>
      </c>
      <c r="C823" s="1836">
        <v>14</v>
      </c>
      <c r="D823" s="1831">
        <f t="shared" si="90"/>
        <v>811913.30239168752</v>
      </c>
      <c r="E823" s="2062"/>
      <c r="F823" s="2062">
        <v>0</v>
      </c>
      <c r="G823" s="2082">
        <v>708482.10492648103</v>
      </c>
      <c r="H823" s="2067">
        <v>103431.19746520645</v>
      </c>
      <c r="I823" s="2082"/>
      <c r="J823" s="1835">
        <f t="shared" si="91"/>
        <v>811913.30239168752</v>
      </c>
      <c r="K823" s="1832"/>
      <c r="L823" s="1832"/>
      <c r="M823" s="1834"/>
      <c r="N823" s="1967">
        <f t="shared" si="92"/>
        <v>0</v>
      </c>
    </row>
    <row r="824" spans="1:42">
      <c r="A824" s="1830">
        <v>16</v>
      </c>
      <c r="B824" s="1829" t="s">
        <v>295</v>
      </c>
      <c r="C824" s="1830">
        <v>15</v>
      </c>
      <c r="D824" s="1831">
        <f t="shared" si="90"/>
        <v>507391.39117999998</v>
      </c>
      <c r="E824" s="2062"/>
      <c r="F824" s="2062">
        <v>0</v>
      </c>
      <c r="G824" s="2082">
        <v>442753.82579131681</v>
      </c>
      <c r="H824" s="2067">
        <v>64637.565388683171</v>
      </c>
      <c r="I824" s="2082"/>
      <c r="J824" s="1835">
        <f t="shared" si="91"/>
        <v>507391.39117999998</v>
      </c>
      <c r="K824" s="1832"/>
      <c r="L824" s="1832"/>
      <c r="M824" s="1834"/>
      <c r="N824" s="1967">
        <f t="shared" si="92"/>
        <v>0</v>
      </c>
    </row>
    <row r="825" spans="1:42">
      <c r="A825" s="1830">
        <v>17</v>
      </c>
      <c r="B825" s="1829" t="s">
        <v>296</v>
      </c>
      <c r="C825" s="1836">
        <v>16</v>
      </c>
      <c r="D825" s="1831">
        <f t="shared" si="90"/>
        <v>3539442.509393</v>
      </c>
      <c r="E825" s="2062"/>
      <c r="F825" s="2062">
        <v>263712.72352000006</v>
      </c>
      <c r="G825" s="2066">
        <v>2858428.2669457528</v>
      </c>
      <c r="H825" s="2067">
        <v>417301.51892724744</v>
      </c>
      <c r="I825" s="2066"/>
      <c r="J825" s="1835">
        <f t="shared" si="91"/>
        <v>3275729.785873</v>
      </c>
      <c r="K825" s="1832"/>
      <c r="L825" s="1832"/>
      <c r="M825" s="1834"/>
      <c r="N825" s="1967">
        <f t="shared" si="92"/>
        <v>0</v>
      </c>
    </row>
    <row r="826" spans="1:42">
      <c r="A826" s="1830">
        <v>18</v>
      </c>
      <c r="B826" s="1829" t="s">
        <v>297</v>
      </c>
      <c r="C826" s="1830"/>
      <c r="D826" s="1831">
        <f t="shared" si="90"/>
        <v>0</v>
      </c>
      <c r="E826" s="2070"/>
      <c r="F826" s="2070"/>
      <c r="G826" s="2071"/>
      <c r="H826" s="2072"/>
      <c r="I826" s="2071"/>
      <c r="J826" s="1835">
        <f t="shared" si="91"/>
        <v>0</v>
      </c>
      <c r="K826" s="1832"/>
      <c r="L826" s="1832"/>
      <c r="M826" s="1834"/>
      <c r="N826" s="1967">
        <f t="shared" si="92"/>
        <v>0</v>
      </c>
    </row>
    <row r="827" spans="1:42" ht="15" thickBot="1">
      <c r="A827" s="1847">
        <v>19</v>
      </c>
      <c r="B827" s="1848" t="s">
        <v>298</v>
      </c>
      <c r="C827" s="1847"/>
      <c r="D827" s="3113">
        <f t="shared" si="90"/>
        <v>13782374.275</v>
      </c>
      <c r="E827" s="3139"/>
      <c r="F827" s="3139">
        <v>7092788.6824842989</v>
      </c>
      <c r="G827" s="990">
        <v>4461934.4366409089</v>
      </c>
      <c r="H827" s="2069">
        <v>2227651.155874792</v>
      </c>
      <c r="I827" s="1008"/>
      <c r="J827" s="1849">
        <f t="shared" si="91"/>
        <v>6689585.5925157014</v>
      </c>
      <c r="K827" s="3111"/>
      <c r="L827" s="3111"/>
      <c r="M827" s="1070"/>
      <c r="N827" s="2019">
        <f t="shared" si="92"/>
        <v>0</v>
      </c>
    </row>
    <row r="828" spans="1:42" s="870" customFormat="1" ht="27" thickBot="1">
      <c r="A828" s="1138">
        <v>20</v>
      </c>
      <c r="B828" s="1139" t="s">
        <v>299</v>
      </c>
      <c r="C828" s="1138"/>
      <c r="D828" s="1140">
        <f t="shared" si="90"/>
        <v>184615099.59377688</v>
      </c>
      <c r="E828" s="1140">
        <f>SUM(E805:E811)+E814+E817+SUM(E822:E827)</f>
        <v>0</v>
      </c>
      <c r="F828" s="1140">
        <f>SUM(F805:F811)+F814+F817+SUM(F822:F827)</f>
        <v>22890890.538117129</v>
      </c>
      <c r="G828" s="1141">
        <f>SUM(G805:G811)+G814+G817+SUM(G822:G827)</f>
        <v>144622108.77788484</v>
      </c>
      <c r="H828" s="1142">
        <f>SUM(H805:H811)+H814+H817+SUM(H822:H827)</f>
        <v>17102100.277774908</v>
      </c>
      <c r="I828" s="1141">
        <f>SUM(I805:I811)+I814+I817+SUM(I822:I827)</f>
        <v>0</v>
      </c>
      <c r="J828" s="1142">
        <f t="shared" si="91"/>
        <v>161724209.05565974</v>
      </c>
      <c r="K828" s="1140">
        <f>SUM(K805:K811)+K814+K817+SUM(K822:K827)</f>
        <v>0</v>
      </c>
      <c r="L828" s="1140">
        <f>SUM(L805:L811)+L814+L817+SUM(L822:L827)</f>
        <v>0</v>
      </c>
      <c r="M828" s="1141">
        <f>SUM(M805:M811)+M814+M817+SUM(M822:M827)</f>
        <v>0</v>
      </c>
      <c r="N828" s="1237">
        <f t="shared" si="92"/>
        <v>0</v>
      </c>
      <c r="O828"/>
      <c r="P828"/>
      <c r="Q828"/>
      <c r="R828"/>
      <c r="S828"/>
      <c r="T828"/>
      <c r="U828"/>
      <c r="V828"/>
      <c r="W828"/>
      <c r="X828"/>
      <c r="Y828"/>
      <c r="Z828"/>
      <c r="AA828"/>
      <c r="AB828"/>
      <c r="AC828"/>
      <c r="AD828"/>
      <c r="AE828"/>
      <c r="AF828"/>
      <c r="AG828" s="2982"/>
      <c r="AH828" s="2982"/>
      <c r="AI828" s="2976"/>
      <c r="AJ828" s="2976"/>
      <c r="AK828" s="2976"/>
      <c r="AL828" s="2976"/>
      <c r="AM828" s="2976"/>
      <c r="AN828" s="2976"/>
      <c r="AO828" s="2976"/>
      <c r="AP828" s="2976"/>
    </row>
    <row r="829" spans="1:42">
      <c r="A829" s="1133"/>
      <c r="B829" s="1134" t="s">
        <v>300</v>
      </c>
      <c r="C829" s="1133"/>
      <c r="D829" s="1194">
        <f t="shared" si="90"/>
        <v>0</v>
      </c>
      <c r="E829" s="991"/>
      <c r="F829" s="991"/>
      <c r="G829" s="1001"/>
      <c r="H829" s="992"/>
      <c r="I829" s="1005"/>
      <c r="J829" s="1149">
        <f t="shared" si="91"/>
        <v>0</v>
      </c>
      <c r="K829" s="984"/>
      <c r="L829" s="984"/>
      <c r="M829" s="1029"/>
      <c r="N829" s="1231">
        <f t="shared" si="92"/>
        <v>0</v>
      </c>
    </row>
    <row r="830" spans="1:42">
      <c r="A830" s="1830"/>
      <c r="B830" s="1850" t="s">
        <v>301</v>
      </c>
      <c r="C830" s="1830"/>
      <c r="D830" s="1831">
        <f t="shared" si="90"/>
        <v>0</v>
      </c>
      <c r="E830" s="2062"/>
      <c r="F830" s="2062"/>
      <c r="G830" s="2066"/>
      <c r="H830" s="2065"/>
      <c r="I830" s="2082"/>
      <c r="J830" s="1835">
        <f t="shared" si="91"/>
        <v>0</v>
      </c>
      <c r="K830" s="1832"/>
      <c r="L830" s="1832"/>
      <c r="M830" s="1834"/>
      <c r="N830" s="1967">
        <f t="shared" si="92"/>
        <v>0</v>
      </c>
    </row>
    <row r="831" spans="1:42">
      <c r="A831" s="1830">
        <v>21</v>
      </c>
      <c r="B831" s="1829" t="s">
        <v>302</v>
      </c>
      <c r="C831" s="1836">
        <v>17</v>
      </c>
      <c r="D831" s="1831">
        <f t="shared" si="90"/>
        <v>155788927.76547861</v>
      </c>
      <c r="E831" s="2062"/>
      <c r="F831" s="2062">
        <v>0</v>
      </c>
      <c r="G831" s="2066">
        <v>139442932.01629713</v>
      </c>
      <c r="H831" s="2065">
        <v>16345995.749181475</v>
      </c>
      <c r="I831" s="2082"/>
      <c r="J831" s="1835">
        <f t="shared" si="91"/>
        <v>155788927.76547861</v>
      </c>
      <c r="K831" s="1832"/>
      <c r="L831" s="1832"/>
      <c r="M831" s="1834"/>
      <c r="N831" s="1967">
        <f t="shared" si="92"/>
        <v>0</v>
      </c>
    </row>
    <row r="832" spans="1:42">
      <c r="A832" s="1830">
        <v>22</v>
      </c>
      <c r="B832" s="1829" t="s">
        <v>303</v>
      </c>
      <c r="C832" s="1830"/>
      <c r="D832" s="1831">
        <f t="shared" si="90"/>
        <v>917180.53772000002</v>
      </c>
      <c r="E832" s="2062"/>
      <c r="F832" s="2062">
        <v>0</v>
      </c>
      <c r="G832" s="2066">
        <v>800339.1446442696</v>
      </c>
      <c r="H832" s="2065">
        <v>116841.39307573045</v>
      </c>
      <c r="I832" s="2082"/>
      <c r="J832" s="1835">
        <f t="shared" si="91"/>
        <v>917180.53772000002</v>
      </c>
      <c r="K832" s="1832"/>
      <c r="L832" s="1832"/>
      <c r="M832" s="1834"/>
      <c r="N832" s="1967">
        <f t="shared" si="92"/>
        <v>0</v>
      </c>
    </row>
    <row r="833" spans="1:42">
      <c r="A833" s="1830">
        <v>23</v>
      </c>
      <c r="B833" s="1829" t="s">
        <v>304</v>
      </c>
      <c r="C833" s="1830">
        <v>18</v>
      </c>
      <c r="D833" s="1831">
        <f t="shared" si="90"/>
        <v>1095094.8991389731</v>
      </c>
      <c r="E833" s="2062"/>
      <c r="F833" s="2062">
        <v>0</v>
      </c>
      <c r="G833" s="2066">
        <v>955588.65330911893</v>
      </c>
      <c r="H833" s="2065">
        <v>139506.24582985416</v>
      </c>
      <c r="I833" s="2082"/>
      <c r="J833" s="1835">
        <f t="shared" si="91"/>
        <v>1095094.8991389731</v>
      </c>
      <c r="K833" s="1832"/>
      <c r="L833" s="1832"/>
      <c r="M833" s="1834"/>
      <c r="N833" s="1967">
        <f t="shared" si="92"/>
        <v>0</v>
      </c>
    </row>
    <row r="834" spans="1:42">
      <c r="A834" s="1830">
        <v>24</v>
      </c>
      <c r="B834" s="1829" t="s">
        <v>305</v>
      </c>
      <c r="C834" s="1830"/>
      <c r="D834" s="1831">
        <f t="shared" si="90"/>
        <v>0</v>
      </c>
      <c r="E834" s="2062"/>
      <c r="F834" s="2062"/>
      <c r="G834" s="2066"/>
      <c r="H834" s="2065"/>
      <c r="I834" s="2082"/>
      <c r="J834" s="1835">
        <f t="shared" si="91"/>
        <v>0</v>
      </c>
      <c r="K834" s="1832"/>
      <c r="L834" s="1832"/>
      <c r="M834" s="1834"/>
      <c r="N834" s="1967">
        <f t="shared" si="92"/>
        <v>0</v>
      </c>
    </row>
    <row r="835" spans="1:42">
      <c r="A835" s="1830">
        <v>25</v>
      </c>
      <c r="B835" s="1851" t="s">
        <v>306</v>
      </c>
      <c r="C835" s="1830"/>
      <c r="D835" s="1831">
        <f t="shared" si="90"/>
        <v>0</v>
      </c>
      <c r="E835" s="2062"/>
      <c r="F835" s="2062"/>
      <c r="G835" s="2066"/>
      <c r="H835" s="2065"/>
      <c r="I835" s="2082"/>
      <c r="J835" s="1835">
        <f t="shared" si="91"/>
        <v>0</v>
      </c>
      <c r="K835" s="1832"/>
      <c r="L835" s="1832"/>
      <c r="M835" s="1834"/>
      <c r="N835" s="1967">
        <f t="shared" si="92"/>
        <v>0</v>
      </c>
    </row>
    <row r="836" spans="1:42" ht="15" thickBot="1">
      <c r="A836" s="1847">
        <v>26</v>
      </c>
      <c r="B836" s="1848" t="s">
        <v>307</v>
      </c>
      <c r="C836" s="1852">
        <v>19</v>
      </c>
      <c r="D836" s="3113">
        <f t="shared" si="90"/>
        <v>5002023.3590002339</v>
      </c>
      <c r="E836" s="3139"/>
      <c r="F836" s="3139">
        <v>1146177.7337499999</v>
      </c>
      <c r="G836" s="990">
        <v>3364642.0335788033</v>
      </c>
      <c r="H836" s="2073">
        <v>491203.59167143097</v>
      </c>
      <c r="I836" s="990"/>
      <c r="J836" s="1849">
        <f t="shared" si="91"/>
        <v>3855845.6252502343</v>
      </c>
      <c r="K836" s="3111"/>
      <c r="L836" s="3111"/>
      <c r="M836" s="1070"/>
      <c r="N836" s="2019">
        <f t="shared" si="92"/>
        <v>0</v>
      </c>
    </row>
    <row r="837" spans="1:42" s="870" customFormat="1" ht="27" thickBot="1">
      <c r="A837" s="1135">
        <v>27</v>
      </c>
      <c r="B837" s="1136" t="s">
        <v>308</v>
      </c>
      <c r="C837" s="1135"/>
      <c r="D837" s="1196">
        <f t="shared" si="90"/>
        <v>162803226.5613378</v>
      </c>
      <c r="E837" s="996">
        <f>SUM(E831:E836)</f>
        <v>0</v>
      </c>
      <c r="F837" s="996">
        <f>SUM(F831:F836)</f>
        <v>1146177.7337499999</v>
      </c>
      <c r="G837" s="997">
        <f>SUM(G831:G836)</f>
        <v>144563501.84782931</v>
      </c>
      <c r="H837" s="996">
        <f>SUM(H831:H836)</f>
        <v>17093546.97975849</v>
      </c>
      <c r="I837" s="1009">
        <f>SUM(I831:I836)</f>
        <v>0</v>
      </c>
      <c r="J837" s="1152">
        <f t="shared" si="91"/>
        <v>161657048.82758781</v>
      </c>
      <c r="K837" s="993">
        <f>SUM(K831:K836)</f>
        <v>0</v>
      </c>
      <c r="L837" s="995">
        <f>SUM(L831:L836)</f>
        <v>0</v>
      </c>
      <c r="M837" s="1027">
        <f>SUM(M831:M836)</f>
        <v>0</v>
      </c>
      <c r="N837" s="1261">
        <f t="shared" si="92"/>
        <v>0</v>
      </c>
      <c r="O837"/>
      <c r="P837"/>
      <c r="Q837"/>
      <c r="R837"/>
      <c r="S837"/>
      <c r="T837"/>
      <c r="U837"/>
      <c r="V837"/>
      <c r="W837"/>
      <c r="X837"/>
      <c r="Y837"/>
      <c r="Z837"/>
      <c r="AA837"/>
      <c r="AB837"/>
      <c r="AC837"/>
      <c r="AD837"/>
      <c r="AE837"/>
      <c r="AF837"/>
      <c r="AG837" s="2982"/>
      <c r="AH837" s="2982"/>
      <c r="AI837" s="2976"/>
      <c r="AJ837" s="2976"/>
      <c r="AK837" s="2976"/>
      <c r="AL837" s="2976"/>
      <c r="AM837" s="2976"/>
      <c r="AN837" s="2976"/>
      <c r="AO837" s="2976"/>
      <c r="AP837" s="2976"/>
    </row>
    <row r="838" spans="1:42">
      <c r="A838" s="1133"/>
      <c r="B838" s="1134" t="s">
        <v>309</v>
      </c>
      <c r="C838" s="1133">
        <v>20</v>
      </c>
      <c r="D838" s="1194">
        <f t="shared" si="90"/>
        <v>0</v>
      </c>
      <c r="E838" s="991"/>
      <c r="F838" s="991"/>
      <c r="G838" s="1001"/>
      <c r="H838" s="992"/>
      <c r="I838" s="1005"/>
      <c r="J838" s="1149">
        <f t="shared" si="91"/>
        <v>0</v>
      </c>
      <c r="K838" s="984"/>
      <c r="L838" s="984"/>
      <c r="M838" s="1029"/>
      <c r="N838" s="1231">
        <f t="shared" si="92"/>
        <v>0</v>
      </c>
    </row>
    <row r="839" spans="1:42">
      <c r="A839" s="1830">
        <v>28</v>
      </c>
      <c r="B839" s="1829" t="s">
        <v>310</v>
      </c>
      <c r="C839" s="1836"/>
      <c r="D839" s="1831">
        <f t="shared" si="90"/>
        <v>0</v>
      </c>
      <c r="E839" s="2062"/>
      <c r="F839" s="2062">
        <v>0</v>
      </c>
      <c r="G839" s="2066">
        <v>0</v>
      </c>
      <c r="H839" s="2065">
        <v>0</v>
      </c>
      <c r="I839" s="2082"/>
      <c r="J839" s="1835">
        <f t="shared" si="91"/>
        <v>0</v>
      </c>
      <c r="K839" s="1832"/>
      <c r="L839" s="1832"/>
      <c r="M839" s="1834"/>
      <c r="N839" s="1967">
        <f t="shared" si="92"/>
        <v>0</v>
      </c>
    </row>
    <row r="840" spans="1:42">
      <c r="A840" s="1830">
        <v>29</v>
      </c>
      <c r="B840" s="1829" t="s">
        <v>311</v>
      </c>
      <c r="C840" s="1836"/>
      <c r="D840" s="1831">
        <f t="shared" si="90"/>
        <v>3260333.1994100004</v>
      </c>
      <c r="E840" s="2062"/>
      <c r="F840" s="2062">
        <v>3146247.0694400002</v>
      </c>
      <c r="G840" s="2066">
        <v>99552.478406208247</v>
      </c>
      <c r="H840" s="2065">
        <v>14533.651563791758</v>
      </c>
      <c r="I840" s="2082"/>
      <c r="J840" s="1835">
        <f t="shared" si="91"/>
        <v>114086.12997000001</v>
      </c>
      <c r="K840" s="1832"/>
      <c r="L840" s="1832"/>
      <c r="M840" s="1834"/>
      <c r="N840" s="1967">
        <f t="shared" si="92"/>
        <v>0</v>
      </c>
    </row>
    <row r="841" spans="1:42">
      <c r="A841" s="1830">
        <v>30</v>
      </c>
      <c r="B841" s="1848" t="s">
        <v>312</v>
      </c>
      <c r="C841" s="1852"/>
      <c r="D841" s="1831">
        <f t="shared" si="90"/>
        <v>71672.755080000003</v>
      </c>
      <c r="E841" s="2062"/>
      <c r="F841" s="3139">
        <v>71672.755080000003</v>
      </c>
      <c r="G841" s="990">
        <v>0</v>
      </c>
      <c r="H841" s="2069">
        <v>0</v>
      </c>
      <c r="I841" s="1006"/>
      <c r="J841" s="1835">
        <f t="shared" si="91"/>
        <v>0</v>
      </c>
      <c r="K841" s="1832"/>
      <c r="L841" s="1832"/>
      <c r="M841" s="1834"/>
      <c r="N841" s="1967">
        <f t="shared" si="92"/>
        <v>0</v>
      </c>
    </row>
    <row r="842" spans="1:42">
      <c r="A842" s="1830">
        <v>31</v>
      </c>
      <c r="B842" s="1848" t="s">
        <v>313</v>
      </c>
      <c r="C842" s="1852"/>
      <c r="D842" s="1831">
        <f t="shared" si="90"/>
        <v>98236.6300562916</v>
      </c>
      <c r="E842" s="2062"/>
      <c r="F842" s="3139">
        <v>98236.6300562916</v>
      </c>
      <c r="G842" s="990">
        <v>0</v>
      </c>
      <c r="H842" s="2069">
        <v>0</v>
      </c>
      <c r="I842" s="1006"/>
      <c r="J842" s="1835">
        <f t="shared" si="91"/>
        <v>0</v>
      </c>
      <c r="K842" s="1832"/>
      <c r="L842" s="1832"/>
      <c r="M842" s="1834"/>
      <c r="N842" s="1967">
        <f t="shared" si="92"/>
        <v>0</v>
      </c>
    </row>
    <row r="843" spans="1:42" ht="15" thickBot="1">
      <c r="A843" s="1847">
        <v>32</v>
      </c>
      <c r="B843" s="1848" t="s">
        <v>314</v>
      </c>
      <c r="C843" s="1852"/>
      <c r="D843" s="1831">
        <f t="shared" si="90"/>
        <v>18381630.45729867</v>
      </c>
      <c r="E843" s="2062"/>
      <c r="F843" s="3139">
        <v>18428554.00270867</v>
      </c>
      <c r="G843" s="990">
        <v>-40945.864693632189</v>
      </c>
      <c r="H843" s="2069">
        <v>-5977.6807163678031</v>
      </c>
      <c r="I843" s="1007"/>
      <c r="J843" s="1835">
        <f t="shared" si="91"/>
        <v>-46923.545409999992</v>
      </c>
      <c r="K843" s="1832"/>
      <c r="L843" s="1832"/>
      <c r="M843" s="1834"/>
      <c r="N843" s="1967">
        <f t="shared" si="92"/>
        <v>0</v>
      </c>
    </row>
    <row r="844" spans="1:42" s="870" customFormat="1" ht="15" thickBot="1">
      <c r="A844" s="1135">
        <v>33</v>
      </c>
      <c r="B844" s="1169" t="s">
        <v>315</v>
      </c>
      <c r="C844" s="1170"/>
      <c r="D844" s="1197">
        <f t="shared" si="90"/>
        <v>21811873.04184496</v>
      </c>
      <c r="E844" s="1010">
        <f>SUM(E839:E843)</f>
        <v>0</v>
      </c>
      <c r="F844" s="1010">
        <f>SUM(F839:F843)</f>
        <v>21744710.457284961</v>
      </c>
      <c r="G844" s="1011">
        <f>SUM(G839:G843)</f>
        <v>58606.613712576058</v>
      </c>
      <c r="H844" s="1012">
        <f>SUM(H839:H843)</f>
        <v>8555.970847423956</v>
      </c>
      <c r="I844" s="420">
        <f>SUM(I839:I843)</f>
        <v>0</v>
      </c>
      <c r="J844" s="1200">
        <f t="shared" si="91"/>
        <v>67162.584560000018</v>
      </c>
      <c r="K844" s="1010">
        <f>SUM(K839:K843)</f>
        <v>0</v>
      </c>
      <c r="L844" s="1010">
        <f>SUM(L839:L843)</f>
        <v>0</v>
      </c>
      <c r="M844" s="1011">
        <f>SUM(M839:M843)</f>
        <v>0</v>
      </c>
      <c r="N844" s="1289">
        <f t="shared" si="92"/>
        <v>0</v>
      </c>
      <c r="O844"/>
      <c r="P844"/>
      <c r="Q844"/>
      <c r="R844"/>
      <c r="S844"/>
      <c r="T844"/>
      <c r="U844"/>
      <c r="V844"/>
      <c r="W844"/>
      <c r="X844"/>
      <c r="Y844"/>
      <c r="Z844"/>
      <c r="AA844"/>
      <c r="AB844"/>
      <c r="AC844"/>
      <c r="AD844"/>
      <c r="AE844"/>
      <c r="AF844"/>
      <c r="AG844" s="2982"/>
      <c r="AH844" s="2982"/>
      <c r="AI844" s="2976"/>
      <c r="AJ844" s="2976"/>
      <c r="AK844" s="2976"/>
      <c r="AL844" s="2976"/>
      <c r="AM844" s="2976"/>
      <c r="AN844" s="2976"/>
      <c r="AO844" s="2976"/>
      <c r="AP844" s="2976"/>
    </row>
    <row r="845" spans="1:42" s="870" customFormat="1" ht="27" thickBot="1">
      <c r="A845" s="1138">
        <v>34</v>
      </c>
      <c r="B845" s="1139" t="s">
        <v>317</v>
      </c>
      <c r="C845" s="1138"/>
      <c r="D845" s="1203">
        <f t="shared" si="90"/>
        <v>184615099.60318279</v>
      </c>
      <c r="E845" s="1203">
        <f>E844+E837</f>
        <v>0</v>
      </c>
      <c r="F845" s="1203">
        <f>F844+F837</f>
        <v>22890888.191034961</v>
      </c>
      <c r="G845" s="1204">
        <f>G844+G837</f>
        <v>144622108.46154189</v>
      </c>
      <c r="H845" s="1199">
        <f>H844+H837</f>
        <v>17102102.950605914</v>
      </c>
      <c r="I845" s="1204">
        <f>I844+I837</f>
        <v>0</v>
      </c>
      <c r="J845" s="1199">
        <f t="shared" si="91"/>
        <v>161724211.41214782</v>
      </c>
      <c r="K845" s="1203">
        <f>K844+K837</f>
        <v>0</v>
      </c>
      <c r="L845" s="1203">
        <f>L844+L837</f>
        <v>0</v>
      </c>
      <c r="M845" s="1204">
        <f>M844+M837</f>
        <v>0</v>
      </c>
      <c r="N845" s="1271">
        <f t="shared" si="92"/>
        <v>0</v>
      </c>
      <c r="O845"/>
      <c r="P845"/>
      <c r="Q845"/>
      <c r="R845"/>
      <c r="S845"/>
      <c r="T845"/>
      <c r="U845"/>
      <c r="V845"/>
      <c r="W845"/>
      <c r="X845"/>
      <c r="Y845"/>
      <c r="Z845"/>
      <c r="AA845"/>
      <c r="AB845"/>
      <c r="AC845"/>
      <c r="AD845"/>
      <c r="AE845"/>
      <c r="AF845"/>
      <c r="AG845" s="2982"/>
      <c r="AH845" s="2982"/>
      <c r="AI845" s="2976"/>
      <c r="AJ845" s="2976"/>
      <c r="AK845" s="2976"/>
      <c r="AL845" s="2976"/>
      <c r="AM845" s="2976"/>
      <c r="AN845" s="2976"/>
      <c r="AO845" s="2976"/>
      <c r="AP845" s="2976"/>
    </row>
    <row r="846" spans="1:42">
      <c r="A846" s="662"/>
      <c r="B846" s="662"/>
      <c r="C846" s="662"/>
      <c r="D846" s="662"/>
      <c r="E846" s="662"/>
      <c r="F846" s="689"/>
      <c r="G846" s="689"/>
      <c r="H846" s="689"/>
      <c r="I846" s="689"/>
      <c r="J846" s="689"/>
      <c r="K846" s="662"/>
      <c r="L846" s="662"/>
      <c r="M846" s="662"/>
      <c r="N846" s="662"/>
    </row>
    <row r="847" spans="1:42">
      <c r="A847" s="662"/>
      <c r="B847" s="667"/>
      <c r="C847" s="662"/>
      <c r="D847" s="666"/>
      <c r="E847" s="666"/>
      <c r="F847" s="666"/>
      <c r="G847" s="666"/>
      <c r="H847" s="666"/>
      <c r="I847" s="666"/>
      <c r="J847" s="666"/>
      <c r="K847" s="666"/>
      <c r="L847" s="666"/>
      <c r="M847" s="666"/>
      <c r="N847" s="666"/>
    </row>
    <row r="848" spans="1:42">
      <c r="B848"/>
      <c r="C848"/>
      <c r="D848"/>
      <c r="E848"/>
      <c r="F848"/>
      <c r="G848"/>
      <c r="H848"/>
      <c r="I848"/>
      <c r="J848"/>
      <c r="K848"/>
      <c r="L848"/>
      <c r="M848"/>
      <c r="N848"/>
    </row>
    <row r="849" spans="1:14">
      <c r="A849" s="662"/>
      <c r="B849" s="662"/>
      <c r="C849" s="662"/>
      <c r="D849" s="666"/>
      <c r="E849" s="666"/>
      <c r="F849" s="666"/>
      <c r="G849" s="666"/>
      <c r="H849" s="666"/>
      <c r="I849" s="666"/>
      <c r="J849" s="666"/>
      <c r="K849" s="666"/>
      <c r="L849" s="662"/>
      <c r="M849" s="662"/>
      <c r="N849" s="662"/>
    </row>
    <row r="850" spans="1:14" ht="15" thickBot="1">
      <c r="A850" s="662"/>
      <c r="B850" s="662"/>
      <c r="C850" s="662"/>
      <c r="D850" s="662"/>
      <c r="E850" s="662"/>
      <c r="F850" s="662"/>
      <c r="G850" s="662"/>
      <c r="H850" s="662"/>
      <c r="I850" s="662"/>
      <c r="J850" s="662"/>
      <c r="K850" s="662"/>
      <c r="L850" s="662"/>
      <c r="M850" s="662"/>
      <c r="N850" s="662"/>
    </row>
    <row r="851" spans="1:14" ht="15" thickBot="1">
      <c r="A851" s="1153" t="s">
        <v>197</v>
      </c>
      <c r="B851" s="3303" t="s">
        <v>117</v>
      </c>
      <c r="C851" s="3304"/>
      <c r="D851" s="662"/>
      <c r="E851" s="662"/>
      <c r="F851" s="662"/>
      <c r="G851" s="662"/>
      <c r="H851" s="662"/>
      <c r="I851" s="662"/>
      <c r="J851" s="662"/>
      <c r="K851" s="662"/>
      <c r="L851" s="662"/>
      <c r="M851" s="3292"/>
      <c r="N851" s="3292"/>
    </row>
    <row r="852" spans="1:14" ht="13.5" customHeight="1" thickBot="1">
      <c r="A852" s="3311" t="s">
        <v>258</v>
      </c>
      <c r="B852" s="1212"/>
      <c r="C852" s="3280" t="s">
        <v>259</v>
      </c>
      <c r="D852" s="3314" t="s">
        <v>260</v>
      </c>
      <c r="E852" s="3314" t="s">
        <v>261</v>
      </c>
      <c r="F852" s="3314" t="s">
        <v>262</v>
      </c>
      <c r="G852" s="3324" t="s">
        <v>263</v>
      </c>
      <c r="H852" s="3325"/>
      <c r="I852" s="3325"/>
      <c r="J852" s="3325"/>
      <c r="K852" s="3325"/>
      <c r="L852" s="3325"/>
      <c r="M852" s="3325"/>
      <c r="N852" s="3326"/>
    </row>
    <row r="853" spans="1:14" ht="13.5" customHeight="1" thickBot="1">
      <c r="A853" s="3312"/>
      <c r="B853" s="1213"/>
      <c r="C853" s="3281"/>
      <c r="D853" s="3315"/>
      <c r="E853" s="3315"/>
      <c r="F853" s="3315"/>
      <c r="G853" s="3289" t="s">
        <v>264</v>
      </c>
      <c r="H853" s="3290"/>
      <c r="I853" s="3290"/>
      <c r="J853" s="3291"/>
      <c r="K853" s="3318" t="s">
        <v>265</v>
      </c>
      <c r="L853" s="3319"/>
      <c r="M853" s="3319"/>
      <c r="N853" s="3320"/>
    </row>
    <row r="854" spans="1:14" ht="40.15" thickBot="1">
      <c r="A854" s="3312"/>
      <c r="B854" s="1214"/>
      <c r="C854" s="3281"/>
      <c r="D854" s="3316"/>
      <c r="E854" s="3316"/>
      <c r="F854" s="3316"/>
      <c r="G854" s="1125" t="s">
        <v>267</v>
      </c>
      <c r="H854" s="1125" t="s">
        <v>268</v>
      </c>
      <c r="I854" s="1125" t="s">
        <v>269</v>
      </c>
      <c r="J854" s="1125" t="s">
        <v>160</v>
      </c>
      <c r="K854" s="1126" t="s">
        <v>270</v>
      </c>
      <c r="L854" s="1126" t="s">
        <v>271</v>
      </c>
      <c r="M854" s="1126" t="s">
        <v>272</v>
      </c>
      <c r="N854" s="2969" t="s">
        <v>160</v>
      </c>
    </row>
    <row r="855" spans="1:14" ht="15" thickBot="1">
      <c r="A855" s="3312"/>
      <c r="B855" s="1213"/>
      <c r="C855" s="3281"/>
      <c r="D855" s="1215">
        <v>1</v>
      </c>
      <c r="E855" s="1216">
        <v>2</v>
      </c>
      <c r="F855" s="1216">
        <v>3</v>
      </c>
      <c r="G855" s="1217">
        <v>4</v>
      </c>
      <c r="H855" s="1216">
        <v>5</v>
      </c>
      <c r="I855" s="1218">
        <v>6</v>
      </c>
      <c r="J855" s="2971">
        <v>7</v>
      </c>
      <c r="K855" s="1217">
        <v>8</v>
      </c>
      <c r="L855" s="1216">
        <v>9</v>
      </c>
      <c r="M855" s="1238">
        <v>10</v>
      </c>
      <c r="N855" s="1215">
        <v>11</v>
      </c>
    </row>
    <row r="856" spans="1:14" ht="15" thickBot="1">
      <c r="A856" s="3313"/>
      <c r="B856" s="1219"/>
      <c r="C856" s="3282"/>
      <c r="D856" s="1220"/>
      <c r="E856" s="1220"/>
      <c r="F856" s="1220"/>
      <c r="G856" s="1221"/>
      <c r="H856" s="1220"/>
      <c r="I856" s="1292"/>
      <c r="J856" s="1222" t="s">
        <v>273</v>
      </c>
      <c r="K856" s="1221"/>
      <c r="L856" s="1220"/>
      <c r="M856" s="1303"/>
      <c r="N856" s="1293" t="s">
        <v>274</v>
      </c>
    </row>
    <row r="857" spans="1:14">
      <c r="A857" s="1227"/>
      <c r="B857" s="1225" t="s">
        <v>275</v>
      </c>
      <c r="C857" s="1133"/>
      <c r="D857" s="1827"/>
      <c r="E857" s="673"/>
      <c r="F857" s="673"/>
      <c r="G857" s="674"/>
      <c r="H857" s="675"/>
      <c r="I857" s="676"/>
      <c r="J857" s="1233"/>
      <c r="K857" s="914"/>
      <c r="L857" s="912"/>
      <c r="M857" s="1322"/>
      <c r="N857" s="2083"/>
    </row>
    <row r="858" spans="1:14">
      <c r="A858" s="1944">
        <v>1</v>
      </c>
      <c r="B858" s="1945" t="s">
        <v>276</v>
      </c>
      <c r="C858" s="1830"/>
      <c r="D858" s="1946">
        <f t="shared" ref="D858:D898" si="93">+E858+F858+J858+N858</f>
        <v>0</v>
      </c>
      <c r="E858" s="2084"/>
      <c r="F858" s="2084">
        <v>0</v>
      </c>
      <c r="G858" s="2084">
        <v>0</v>
      </c>
      <c r="H858" s="2085">
        <v>0</v>
      </c>
      <c r="I858" s="2086">
        <v>0</v>
      </c>
      <c r="J858" s="1948">
        <f t="shared" ref="J858:J898" si="94">G858+H858+I858</f>
        <v>0</v>
      </c>
      <c r="K858" s="1947"/>
      <c r="L858" s="1968"/>
      <c r="M858" s="1995"/>
      <c r="N858" s="1948">
        <f t="shared" ref="N858:N898" si="95">K858+L858+M858</f>
        <v>0</v>
      </c>
    </row>
    <row r="859" spans="1:14">
      <c r="A859" s="1944">
        <v>2</v>
      </c>
      <c r="B859" s="1945" t="s">
        <v>277</v>
      </c>
      <c r="C859" s="1830"/>
      <c r="D859" s="1946">
        <f t="shared" si="93"/>
        <v>1545529</v>
      </c>
      <c r="E859" s="2084"/>
      <c r="F859" s="2084">
        <v>914214</v>
      </c>
      <c r="G859" s="2084">
        <v>0</v>
      </c>
      <c r="H859" s="2085">
        <v>0</v>
      </c>
      <c r="I859" s="2086">
        <v>631315</v>
      </c>
      <c r="J859" s="1948">
        <f t="shared" si="94"/>
        <v>631315</v>
      </c>
      <c r="K859" s="1947"/>
      <c r="L859" s="1968"/>
      <c r="M859" s="1995"/>
      <c r="N859" s="1948">
        <f t="shared" si="95"/>
        <v>0</v>
      </c>
    </row>
    <row r="860" spans="1:14">
      <c r="A860" s="1944">
        <v>3</v>
      </c>
      <c r="B860" s="1945" t="s">
        <v>278</v>
      </c>
      <c r="C860" s="1830"/>
      <c r="D860" s="1946">
        <f t="shared" si="93"/>
        <v>0</v>
      </c>
      <c r="E860" s="2084"/>
      <c r="F860" s="2084">
        <v>0</v>
      </c>
      <c r="G860" s="2084">
        <v>0</v>
      </c>
      <c r="H860" s="2085">
        <v>0</v>
      </c>
      <c r="I860" s="2086">
        <v>0</v>
      </c>
      <c r="J860" s="1948">
        <f t="shared" si="94"/>
        <v>0</v>
      </c>
      <c r="K860" s="1947"/>
      <c r="L860" s="1968"/>
      <c r="M860" s="1995"/>
      <c r="N860" s="1948">
        <f t="shared" si="95"/>
        <v>0</v>
      </c>
    </row>
    <row r="861" spans="1:14">
      <c r="A861" s="1944">
        <v>4</v>
      </c>
      <c r="B861" s="1945" t="s">
        <v>324</v>
      </c>
      <c r="C861" s="1830"/>
      <c r="D861" s="1946">
        <f t="shared" si="93"/>
        <v>421885</v>
      </c>
      <c r="E861" s="2084"/>
      <c r="F861" s="2084">
        <v>0</v>
      </c>
      <c r="G861" s="2084">
        <v>0</v>
      </c>
      <c r="H861" s="2085">
        <v>0</v>
      </c>
      <c r="I861" s="2086">
        <v>421885</v>
      </c>
      <c r="J861" s="1948">
        <f t="shared" si="94"/>
        <v>421885</v>
      </c>
      <c r="K861" s="1947"/>
      <c r="L861" s="1968"/>
      <c r="M861" s="1995"/>
      <c r="N861" s="1948">
        <f t="shared" si="95"/>
        <v>0</v>
      </c>
    </row>
    <row r="862" spans="1:14">
      <c r="A862" s="1944">
        <v>5</v>
      </c>
      <c r="B862" s="1945" t="s">
        <v>280</v>
      </c>
      <c r="C862" s="1836">
        <v>5</v>
      </c>
      <c r="D862" s="1946">
        <f t="shared" si="93"/>
        <v>2746114</v>
      </c>
      <c r="E862" s="2084"/>
      <c r="F862" s="2084">
        <v>0</v>
      </c>
      <c r="G862" s="2084">
        <v>0</v>
      </c>
      <c r="H862" s="2085">
        <v>2448161</v>
      </c>
      <c r="I862" s="2086">
        <v>297953</v>
      </c>
      <c r="J862" s="1948">
        <f t="shared" si="94"/>
        <v>2746114</v>
      </c>
      <c r="K862" s="1947"/>
      <c r="L862" s="1968"/>
      <c r="M862" s="1995"/>
      <c r="N862" s="1948">
        <f t="shared" si="95"/>
        <v>0</v>
      </c>
    </row>
    <row r="863" spans="1:14">
      <c r="A863" s="1944">
        <v>6</v>
      </c>
      <c r="B863" s="1945" t="s">
        <v>281</v>
      </c>
      <c r="C863" s="1830">
        <v>6</v>
      </c>
      <c r="D863" s="1946">
        <f t="shared" si="93"/>
        <v>0</v>
      </c>
      <c r="E863" s="2084"/>
      <c r="F863" s="2084">
        <v>0</v>
      </c>
      <c r="G863" s="2084">
        <v>0</v>
      </c>
      <c r="H863" s="2085">
        <v>0</v>
      </c>
      <c r="I863" s="2086">
        <v>0</v>
      </c>
      <c r="J863" s="1948">
        <f t="shared" si="94"/>
        <v>0</v>
      </c>
      <c r="K863" s="1947"/>
      <c r="L863" s="1968"/>
      <c r="M863" s="1995"/>
      <c r="N863" s="1948">
        <f t="shared" si="95"/>
        <v>0</v>
      </c>
    </row>
    <row r="864" spans="1:14">
      <c r="A864" s="1944">
        <v>7</v>
      </c>
      <c r="B864" s="1945" t="s">
        <v>282</v>
      </c>
      <c r="C864" s="1836">
        <v>7</v>
      </c>
      <c r="D864" s="1946">
        <f t="shared" si="93"/>
        <v>0</v>
      </c>
      <c r="E864" s="2084">
        <f>SUM(E865:E866)</f>
        <v>0</v>
      </c>
      <c r="F864" s="2084">
        <f>F865+F866</f>
        <v>0</v>
      </c>
      <c r="G864" s="2084">
        <f>G865+G866</f>
        <v>0</v>
      </c>
      <c r="H864" s="2085">
        <f>H865+H866</f>
        <v>0</v>
      </c>
      <c r="I864" s="2086">
        <f>I865+I866</f>
        <v>0</v>
      </c>
      <c r="J864" s="1948">
        <f t="shared" si="94"/>
        <v>0</v>
      </c>
      <c r="K864" s="2084">
        <f>K865+K866</f>
        <v>0</v>
      </c>
      <c r="L864" s="2085">
        <f>L865+L866</f>
        <v>0</v>
      </c>
      <c r="M864" s="2087">
        <f>M865+M866</f>
        <v>0</v>
      </c>
      <c r="N864" s="1948">
        <f t="shared" si="95"/>
        <v>0</v>
      </c>
    </row>
    <row r="865" spans="1:14">
      <c r="A865" s="1950"/>
      <c r="B865" s="1837" t="s">
        <v>283</v>
      </c>
      <c r="C865" s="1836"/>
      <c r="D865" s="1946">
        <f t="shared" si="93"/>
        <v>0</v>
      </c>
      <c r="E865" s="2084"/>
      <c r="F865" s="2084">
        <v>0</v>
      </c>
      <c r="G865" s="2084">
        <v>0</v>
      </c>
      <c r="H865" s="2085">
        <v>0</v>
      </c>
      <c r="I865" s="2086">
        <v>0</v>
      </c>
      <c r="J865" s="1948">
        <f t="shared" si="94"/>
        <v>0</v>
      </c>
      <c r="K865" s="1947"/>
      <c r="L865" s="1968"/>
      <c r="M865" s="1995"/>
      <c r="N865" s="1948">
        <f t="shared" si="95"/>
        <v>0</v>
      </c>
    </row>
    <row r="866" spans="1:14">
      <c r="A866" s="1950"/>
      <c r="B866" s="1837" t="s">
        <v>284</v>
      </c>
      <c r="C866" s="1836"/>
      <c r="D866" s="1946">
        <f t="shared" si="93"/>
        <v>0</v>
      </c>
      <c r="E866" s="2084"/>
      <c r="F866" s="2084">
        <v>0</v>
      </c>
      <c r="G866" s="2084">
        <v>0</v>
      </c>
      <c r="H866" s="2085">
        <v>0</v>
      </c>
      <c r="I866" s="2086">
        <v>0</v>
      </c>
      <c r="J866" s="1948">
        <f t="shared" si="94"/>
        <v>0</v>
      </c>
      <c r="K866" s="1947"/>
      <c r="L866" s="1968"/>
      <c r="M866" s="1995"/>
      <c r="N866" s="1948">
        <f t="shared" si="95"/>
        <v>0</v>
      </c>
    </row>
    <row r="867" spans="1:14">
      <c r="A867" s="1944">
        <v>8</v>
      </c>
      <c r="B867" s="1945" t="s">
        <v>285</v>
      </c>
      <c r="C867" s="1830">
        <v>8</v>
      </c>
      <c r="D867" s="1946">
        <f t="shared" si="93"/>
        <v>1513031</v>
      </c>
      <c r="E867" s="2084"/>
      <c r="F867" s="2084">
        <v>1513031</v>
      </c>
      <c r="G867" s="2084">
        <f>G868+G869</f>
        <v>0</v>
      </c>
      <c r="H867" s="2085">
        <f>H868+H869</f>
        <v>0</v>
      </c>
      <c r="I867" s="2086">
        <f>I868+I869</f>
        <v>0</v>
      </c>
      <c r="J867" s="1948">
        <f t="shared" si="94"/>
        <v>0</v>
      </c>
      <c r="K867" s="2084">
        <f>K868+K869</f>
        <v>0</v>
      </c>
      <c r="L867" s="2085">
        <f>L868+L869</f>
        <v>0</v>
      </c>
      <c r="M867" s="2087">
        <f>M868+M869</f>
        <v>0</v>
      </c>
      <c r="N867" s="1948">
        <f t="shared" si="95"/>
        <v>0</v>
      </c>
    </row>
    <row r="868" spans="1:14">
      <c r="A868" s="1944"/>
      <c r="B868" s="1837" t="s">
        <v>286</v>
      </c>
      <c r="C868" s="1830"/>
      <c r="D868" s="1946">
        <f t="shared" si="93"/>
        <v>0</v>
      </c>
      <c r="E868" s="2084"/>
      <c r="F868" s="2084"/>
      <c r="G868" s="2084">
        <v>0</v>
      </c>
      <c r="H868" s="2085">
        <v>0</v>
      </c>
      <c r="I868" s="2086">
        <v>0</v>
      </c>
      <c r="J868" s="2014">
        <f t="shared" si="94"/>
        <v>0</v>
      </c>
      <c r="K868" s="1947"/>
      <c r="L868" s="1968"/>
      <c r="M868" s="1995"/>
      <c r="N868" s="1948">
        <f t="shared" si="95"/>
        <v>0</v>
      </c>
    </row>
    <row r="869" spans="1:14">
      <c r="A869" s="1944"/>
      <c r="B869" s="1837" t="s">
        <v>287</v>
      </c>
      <c r="C869" s="1830"/>
      <c r="D869" s="1946">
        <f t="shared" si="93"/>
        <v>0</v>
      </c>
      <c r="E869" s="2084"/>
      <c r="F869" s="2084">
        <v>0</v>
      </c>
      <c r="G869" s="2084">
        <v>0</v>
      </c>
      <c r="H869" s="2085">
        <v>0</v>
      </c>
      <c r="I869" s="2086">
        <v>0</v>
      </c>
      <c r="J869" s="2014">
        <f t="shared" si="94"/>
        <v>0</v>
      </c>
      <c r="K869" s="1947"/>
      <c r="L869" s="1968"/>
      <c r="M869" s="1995"/>
      <c r="N869" s="1948">
        <f t="shared" si="95"/>
        <v>0</v>
      </c>
    </row>
    <row r="870" spans="1:14" ht="26.45">
      <c r="A870" s="1951">
        <v>9</v>
      </c>
      <c r="B870" s="1952" t="s">
        <v>288</v>
      </c>
      <c r="C870" s="1840"/>
      <c r="D870" s="1953">
        <f t="shared" si="93"/>
        <v>59329071</v>
      </c>
      <c r="E870" s="1954">
        <f>SUM(E871:E874)</f>
        <v>0</v>
      </c>
      <c r="F870" s="1954">
        <f>SUM(F871:F874)</f>
        <v>9624140</v>
      </c>
      <c r="G870" s="1954">
        <f>SUM(G871:G874)</f>
        <v>8736230</v>
      </c>
      <c r="H870" s="1976">
        <f>SUM(H871:H874)</f>
        <v>7652814</v>
      </c>
      <c r="I870" s="1977">
        <f>SUM(I871:I874)</f>
        <v>32162946</v>
      </c>
      <c r="J870" s="2010">
        <f t="shared" si="94"/>
        <v>48551990</v>
      </c>
      <c r="K870" s="1954">
        <f>SUM(K871:K874)</f>
        <v>233388</v>
      </c>
      <c r="L870" s="1976">
        <f>SUM(L871:L874)</f>
        <v>0</v>
      </c>
      <c r="M870" s="2088">
        <f>SUM(M871:M874)</f>
        <v>919553</v>
      </c>
      <c r="N870" s="1955">
        <f t="shared" si="95"/>
        <v>1152941</v>
      </c>
    </row>
    <row r="871" spans="1:14">
      <c r="A871" s="1950">
        <v>10</v>
      </c>
      <c r="B871" s="1846" t="s">
        <v>289</v>
      </c>
      <c r="C871" s="1830">
        <v>9</v>
      </c>
      <c r="D871" s="1946">
        <f t="shared" si="93"/>
        <v>28941570</v>
      </c>
      <c r="E871" s="2084"/>
      <c r="F871" s="2084">
        <v>4187718</v>
      </c>
      <c r="G871" s="2084">
        <v>4409814</v>
      </c>
      <c r="H871" s="2085">
        <v>3063249</v>
      </c>
      <c r="I871" s="2086">
        <v>17280789</v>
      </c>
      <c r="J871" s="2014">
        <f t="shared" si="94"/>
        <v>24753852</v>
      </c>
      <c r="K871" s="2084">
        <v>0</v>
      </c>
      <c r="L871" s="2085"/>
      <c r="M871" s="2087"/>
      <c r="N871" s="1948">
        <f t="shared" si="95"/>
        <v>0</v>
      </c>
    </row>
    <row r="872" spans="1:14">
      <c r="A872" s="1950">
        <v>11</v>
      </c>
      <c r="B872" s="1846" t="s">
        <v>290</v>
      </c>
      <c r="C872" s="1830">
        <v>10</v>
      </c>
      <c r="D872" s="1946">
        <f t="shared" si="93"/>
        <v>17078441</v>
      </c>
      <c r="E872" s="2084"/>
      <c r="F872" s="2084">
        <v>1272053</v>
      </c>
      <c r="G872" s="2084">
        <v>2524991</v>
      </c>
      <c r="H872" s="2085">
        <v>3742475</v>
      </c>
      <c r="I872" s="2086">
        <v>9433899</v>
      </c>
      <c r="J872" s="2014">
        <f t="shared" si="94"/>
        <v>15701365</v>
      </c>
      <c r="K872" s="2084">
        <v>105023</v>
      </c>
      <c r="L872" s="2085"/>
      <c r="M872" s="2087"/>
      <c r="N872" s="1948">
        <f t="shared" si="95"/>
        <v>105023</v>
      </c>
    </row>
    <row r="873" spans="1:14">
      <c r="A873" s="1950">
        <v>12</v>
      </c>
      <c r="B873" s="1846" t="s">
        <v>291</v>
      </c>
      <c r="C873" s="1830">
        <v>11</v>
      </c>
      <c r="D873" s="1946">
        <f t="shared" si="93"/>
        <v>7055753</v>
      </c>
      <c r="E873" s="2084"/>
      <c r="F873" s="2084">
        <v>3883663</v>
      </c>
      <c r="G873" s="2084">
        <v>851746</v>
      </c>
      <c r="H873" s="2085">
        <v>278030</v>
      </c>
      <c r="I873" s="2086">
        <v>1913949</v>
      </c>
      <c r="J873" s="2014">
        <f t="shared" si="94"/>
        <v>3043725</v>
      </c>
      <c r="K873" s="2084">
        <v>128365</v>
      </c>
      <c r="L873" s="2085"/>
      <c r="M873" s="2087"/>
      <c r="N873" s="1948">
        <f t="shared" si="95"/>
        <v>128365</v>
      </c>
    </row>
    <row r="874" spans="1:14" ht="26.45">
      <c r="A874" s="1950">
        <v>13</v>
      </c>
      <c r="B874" s="1846" t="s">
        <v>292</v>
      </c>
      <c r="C874" s="1830">
        <v>12</v>
      </c>
      <c r="D874" s="1946">
        <f t="shared" si="93"/>
        <v>6253307</v>
      </c>
      <c r="E874" s="2084"/>
      <c r="F874" s="2084">
        <v>280706</v>
      </c>
      <c r="G874" s="2084">
        <v>949679</v>
      </c>
      <c r="H874" s="2085">
        <v>569060</v>
      </c>
      <c r="I874" s="2086">
        <v>3534309</v>
      </c>
      <c r="J874" s="2014">
        <f t="shared" si="94"/>
        <v>5053048</v>
      </c>
      <c r="K874" s="2084">
        <v>0</v>
      </c>
      <c r="L874" s="2085"/>
      <c r="M874" s="2087">
        <v>919553</v>
      </c>
      <c r="N874" s="1948">
        <f t="shared" si="95"/>
        <v>919553</v>
      </c>
    </row>
    <row r="875" spans="1:14">
      <c r="A875" s="1950">
        <v>14</v>
      </c>
      <c r="B875" s="1829" t="s">
        <v>293</v>
      </c>
      <c r="C875" s="1830">
        <v>13</v>
      </c>
      <c r="D875" s="1946">
        <f t="shared" si="93"/>
        <v>1932079</v>
      </c>
      <c r="E875" s="2084"/>
      <c r="F875" s="2084">
        <v>0</v>
      </c>
      <c r="G875" s="2084">
        <v>124273</v>
      </c>
      <c r="H875" s="2085">
        <v>32169</v>
      </c>
      <c r="I875" s="2086">
        <v>1775637</v>
      </c>
      <c r="J875" s="2014">
        <f t="shared" si="94"/>
        <v>1932079</v>
      </c>
      <c r="K875" s="2084">
        <v>0</v>
      </c>
      <c r="L875" s="2085"/>
      <c r="M875" s="2087">
        <v>0</v>
      </c>
      <c r="N875" s="1948">
        <f t="shared" si="95"/>
        <v>0</v>
      </c>
    </row>
    <row r="876" spans="1:14">
      <c r="A876" s="1950">
        <v>15</v>
      </c>
      <c r="B876" s="1829" t="s">
        <v>294</v>
      </c>
      <c r="C876" s="1836">
        <v>14</v>
      </c>
      <c r="D876" s="1946">
        <f t="shared" si="93"/>
        <v>969446</v>
      </c>
      <c r="E876" s="2084"/>
      <c r="F876" s="2084">
        <v>0</v>
      </c>
      <c r="G876" s="2084">
        <v>37080</v>
      </c>
      <c r="H876" s="2085">
        <v>762614</v>
      </c>
      <c r="I876" s="2086">
        <v>169161</v>
      </c>
      <c r="J876" s="2014">
        <f t="shared" si="94"/>
        <v>968855</v>
      </c>
      <c r="K876" s="2084">
        <v>591</v>
      </c>
      <c r="L876" s="2085"/>
      <c r="M876" s="2087">
        <v>0</v>
      </c>
      <c r="N876" s="1948">
        <f t="shared" si="95"/>
        <v>591</v>
      </c>
    </row>
    <row r="877" spans="1:14">
      <c r="A877" s="1950">
        <v>16</v>
      </c>
      <c r="B877" s="1829" t="s">
        <v>295</v>
      </c>
      <c r="C877" s="1830">
        <v>15</v>
      </c>
      <c r="D877" s="1946">
        <f t="shared" si="93"/>
        <v>532975</v>
      </c>
      <c r="E877" s="2084"/>
      <c r="F877" s="2084">
        <v>0</v>
      </c>
      <c r="G877" s="2084">
        <v>7253</v>
      </c>
      <c r="H877" s="2085">
        <v>179700</v>
      </c>
      <c r="I877" s="2086">
        <v>346022</v>
      </c>
      <c r="J877" s="2014">
        <f t="shared" si="94"/>
        <v>532975</v>
      </c>
      <c r="K877" s="2084">
        <v>0</v>
      </c>
      <c r="L877" s="2085"/>
      <c r="M877" s="2087">
        <v>0</v>
      </c>
      <c r="N877" s="1948">
        <f t="shared" si="95"/>
        <v>0</v>
      </c>
    </row>
    <row r="878" spans="1:14">
      <c r="A878" s="1950">
        <v>17</v>
      </c>
      <c r="B878" s="1829" t="s">
        <v>296</v>
      </c>
      <c r="C878" s="1836">
        <v>16</v>
      </c>
      <c r="D878" s="1946">
        <f t="shared" si="93"/>
        <v>801758</v>
      </c>
      <c r="E878" s="2084">
        <v>-1988992</v>
      </c>
      <c r="F878" s="2084">
        <v>2023478</v>
      </c>
      <c r="G878" s="2084">
        <v>7814</v>
      </c>
      <c r="H878" s="2085">
        <v>538800</v>
      </c>
      <c r="I878" s="2086">
        <v>203517</v>
      </c>
      <c r="J878" s="2014">
        <f t="shared" si="94"/>
        <v>750131</v>
      </c>
      <c r="K878" s="2084">
        <v>3639</v>
      </c>
      <c r="L878" s="2085"/>
      <c r="M878" s="2087">
        <v>13502</v>
      </c>
      <c r="N878" s="1948">
        <f t="shared" si="95"/>
        <v>17141</v>
      </c>
    </row>
    <row r="879" spans="1:14">
      <c r="A879" s="1950">
        <v>18</v>
      </c>
      <c r="B879" s="1829" t="s">
        <v>297</v>
      </c>
      <c r="C879" s="1830"/>
      <c r="D879" s="1946">
        <f t="shared" si="93"/>
        <v>0</v>
      </c>
      <c r="E879" s="2084"/>
      <c r="F879" s="2084">
        <v>0</v>
      </c>
      <c r="G879" s="2084">
        <v>0</v>
      </c>
      <c r="H879" s="2085">
        <v>0</v>
      </c>
      <c r="I879" s="2086">
        <v>0</v>
      </c>
      <c r="J879" s="2014">
        <f t="shared" si="94"/>
        <v>0</v>
      </c>
      <c r="K879" s="2084">
        <v>0</v>
      </c>
      <c r="L879" s="2085"/>
      <c r="M879" s="2087">
        <v>0</v>
      </c>
      <c r="N879" s="1948">
        <f t="shared" si="95"/>
        <v>0</v>
      </c>
    </row>
    <row r="880" spans="1:14" ht="15" thickBot="1">
      <c r="A880" s="1957">
        <v>19</v>
      </c>
      <c r="B880" s="1848" t="s">
        <v>298</v>
      </c>
      <c r="C880" s="1847"/>
      <c r="D880" s="3120">
        <f t="shared" si="93"/>
        <v>969748</v>
      </c>
      <c r="E880" s="3124"/>
      <c r="F880" s="3124">
        <v>14921</v>
      </c>
      <c r="G880" s="3125">
        <v>51</v>
      </c>
      <c r="H880" s="2002">
        <v>953566</v>
      </c>
      <c r="I880" s="2007">
        <v>50</v>
      </c>
      <c r="J880" s="3126">
        <f t="shared" si="94"/>
        <v>953667</v>
      </c>
      <c r="K880" s="3125">
        <v>1104</v>
      </c>
      <c r="L880" s="2005"/>
      <c r="M880" s="2089">
        <v>56</v>
      </c>
      <c r="N880" s="3122">
        <f t="shared" si="95"/>
        <v>1160</v>
      </c>
    </row>
    <row r="881" spans="1:14" ht="27" thickBot="1">
      <c r="A881" s="1226">
        <v>20</v>
      </c>
      <c r="B881" s="1136" t="s">
        <v>299</v>
      </c>
      <c r="C881" s="1135"/>
      <c r="D881" s="1229">
        <f t="shared" si="93"/>
        <v>70761636</v>
      </c>
      <c r="E881" s="916">
        <f>SUM(E858:E864)+E867+E870+SUM(E875:E880)</f>
        <v>-1988992</v>
      </c>
      <c r="F881" s="916">
        <f>SUM(F858:F864)+F867+F870+SUM(F875:F880)</f>
        <v>14089784</v>
      </c>
      <c r="G881" s="916">
        <f>SUM(G858:G864)+G867+G870+SUM(G875:G880)</f>
        <v>8912701</v>
      </c>
      <c r="H881" s="937">
        <f>SUM(H858:H864)+H867+H870+SUM(H875:H880)</f>
        <v>12567824</v>
      </c>
      <c r="I881" s="938">
        <f>SUM(I858:I864)+I867+I870+SUM(I875:I880)</f>
        <v>36008486</v>
      </c>
      <c r="J881" s="1244">
        <f t="shared" si="94"/>
        <v>57489011</v>
      </c>
      <c r="K881" s="916">
        <f>SUM(K858:K864)+K867+K870+SUM(K875:K880)</f>
        <v>238722</v>
      </c>
      <c r="L881" s="937">
        <f>SUM(L858:L864)+L867+L870+SUM(L875:L880)</f>
        <v>0</v>
      </c>
      <c r="M881" s="1274">
        <f>SUM(M858:M864)+M867+M870+SUM(M875:M880)</f>
        <v>933111</v>
      </c>
      <c r="N881" s="1232">
        <f t="shared" si="95"/>
        <v>1171833</v>
      </c>
    </row>
    <row r="882" spans="1:14">
      <c r="A882" s="1227"/>
      <c r="B882" s="1225" t="s">
        <v>300</v>
      </c>
      <c r="C882" s="1133"/>
      <c r="D882" s="1230">
        <f t="shared" si="93"/>
        <v>0</v>
      </c>
      <c r="E882" s="677"/>
      <c r="F882" s="677"/>
      <c r="G882" s="674"/>
      <c r="H882" s="675"/>
      <c r="I882" s="678"/>
      <c r="J882" s="1245">
        <f t="shared" si="94"/>
        <v>0</v>
      </c>
      <c r="K882" s="674"/>
      <c r="L882" s="679"/>
      <c r="M882" s="1323"/>
      <c r="N882" s="1233">
        <f t="shared" si="95"/>
        <v>0</v>
      </c>
    </row>
    <row r="883" spans="1:14">
      <c r="A883" s="1950"/>
      <c r="B883" s="1959" t="s">
        <v>301</v>
      </c>
      <c r="C883" s="1830"/>
      <c r="D883" s="1946">
        <f t="shared" si="93"/>
        <v>0</v>
      </c>
      <c r="E883" s="1973"/>
      <c r="F883" s="1973"/>
      <c r="G883" s="1970"/>
      <c r="H883" s="1966"/>
      <c r="I883" s="1972"/>
      <c r="J883" s="2014">
        <f t="shared" si="94"/>
        <v>0</v>
      </c>
      <c r="K883" s="1970"/>
      <c r="L883" s="1985"/>
      <c r="M883" s="2090"/>
      <c r="N883" s="1948">
        <f t="shared" si="95"/>
        <v>0</v>
      </c>
    </row>
    <row r="884" spans="1:14">
      <c r="A884" s="1950">
        <v>21</v>
      </c>
      <c r="B884" s="1829" t="s">
        <v>302</v>
      </c>
      <c r="C884" s="1836">
        <v>17</v>
      </c>
      <c r="D884" s="1946">
        <f t="shared" si="93"/>
        <v>49368892</v>
      </c>
      <c r="E884" s="2091"/>
      <c r="F884" s="2091"/>
      <c r="G884" s="2092">
        <v>8357321</v>
      </c>
      <c r="H884" s="2093">
        <v>4905791</v>
      </c>
      <c r="I884" s="2094">
        <v>35098969</v>
      </c>
      <c r="J884" s="2014">
        <f t="shared" si="94"/>
        <v>48362081</v>
      </c>
      <c r="K884" s="2092">
        <v>90619</v>
      </c>
      <c r="L884" s="2095"/>
      <c r="M884" s="2096">
        <v>916192</v>
      </c>
      <c r="N884" s="1948">
        <f t="shared" si="95"/>
        <v>1006811</v>
      </c>
    </row>
    <row r="885" spans="1:14">
      <c r="A885" s="1950">
        <v>22</v>
      </c>
      <c r="B885" s="1829" t="s">
        <v>303</v>
      </c>
      <c r="C885" s="1830"/>
      <c r="D885" s="1946">
        <f t="shared" si="93"/>
        <v>239915</v>
      </c>
      <c r="E885" s="2091"/>
      <c r="F885" s="2091"/>
      <c r="G885" s="2092">
        <v>0</v>
      </c>
      <c r="H885" s="2093">
        <v>239915</v>
      </c>
      <c r="I885" s="2094">
        <v>0</v>
      </c>
      <c r="J885" s="2014">
        <f t="shared" si="94"/>
        <v>239915</v>
      </c>
      <c r="K885" s="2092">
        <v>0</v>
      </c>
      <c r="L885" s="2095"/>
      <c r="M885" s="2096">
        <v>0</v>
      </c>
      <c r="N885" s="1948">
        <f t="shared" si="95"/>
        <v>0</v>
      </c>
    </row>
    <row r="886" spans="1:14">
      <c r="A886" s="1950">
        <v>23</v>
      </c>
      <c r="B886" s="1829" t="s">
        <v>304</v>
      </c>
      <c r="C886" s="1830">
        <v>18</v>
      </c>
      <c r="D886" s="1946">
        <f t="shared" si="93"/>
        <v>1038267</v>
      </c>
      <c r="E886" s="2091"/>
      <c r="F886" s="2091"/>
      <c r="G886" s="2092">
        <v>36338</v>
      </c>
      <c r="H886" s="2093">
        <v>1136017</v>
      </c>
      <c r="I886" s="2094">
        <v>-135480</v>
      </c>
      <c r="J886" s="2014">
        <f t="shared" si="94"/>
        <v>1036875</v>
      </c>
      <c r="K886" s="2092">
        <v>1392</v>
      </c>
      <c r="L886" s="2095"/>
      <c r="M886" s="2096">
        <v>0</v>
      </c>
      <c r="N886" s="1948">
        <f t="shared" si="95"/>
        <v>1392</v>
      </c>
    </row>
    <row r="887" spans="1:14">
      <c r="A887" s="1950">
        <v>24</v>
      </c>
      <c r="B887" s="1829" t="s">
        <v>305</v>
      </c>
      <c r="C887" s="1830"/>
      <c r="D887" s="1946">
        <f t="shared" si="93"/>
        <v>0</v>
      </c>
      <c r="E887" s="2091"/>
      <c r="F887" s="2091"/>
      <c r="G887" s="2092">
        <v>0</v>
      </c>
      <c r="H887" s="2093">
        <v>0</v>
      </c>
      <c r="I887" s="2094">
        <v>0</v>
      </c>
      <c r="J887" s="2014">
        <f t="shared" si="94"/>
        <v>0</v>
      </c>
      <c r="K887" s="2092">
        <v>0</v>
      </c>
      <c r="L887" s="2095"/>
      <c r="M887" s="2096">
        <v>0</v>
      </c>
      <c r="N887" s="1948">
        <f t="shared" si="95"/>
        <v>0</v>
      </c>
    </row>
    <row r="888" spans="1:14">
      <c r="A888" s="1950">
        <v>25</v>
      </c>
      <c r="B888" s="1851" t="s">
        <v>306</v>
      </c>
      <c r="C888" s="1830"/>
      <c r="D888" s="1946">
        <f t="shared" si="93"/>
        <v>0</v>
      </c>
      <c r="E888" s="2091"/>
      <c r="F888" s="2091"/>
      <c r="G888" s="2092">
        <v>0</v>
      </c>
      <c r="H888" s="2093">
        <v>0</v>
      </c>
      <c r="I888" s="2094">
        <v>0</v>
      </c>
      <c r="J888" s="2014">
        <f t="shared" si="94"/>
        <v>0</v>
      </c>
      <c r="K888" s="2092">
        <v>0</v>
      </c>
      <c r="L888" s="2095"/>
      <c r="M888" s="2096">
        <v>0</v>
      </c>
      <c r="N888" s="1948">
        <f t="shared" si="95"/>
        <v>0</v>
      </c>
    </row>
    <row r="889" spans="1:14" ht="15" thickBot="1">
      <c r="A889" s="1957">
        <v>26</v>
      </c>
      <c r="B889" s="1848" t="s">
        <v>307</v>
      </c>
      <c r="C889" s="1852">
        <v>19</v>
      </c>
      <c r="D889" s="3120">
        <f t="shared" si="93"/>
        <v>4659469</v>
      </c>
      <c r="E889" s="3141">
        <v>-1988992</v>
      </c>
      <c r="F889" s="3141">
        <v>504337</v>
      </c>
      <c r="G889" s="3141">
        <v>478199</v>
      </c>
      <c r="H889" s="1018">
        <v>4544870</v>
      </c>
      <c r="I889" s="2097">
        <v>959070</v>
      </c>
      <c r="J889" s="3126">
        <f t="shared" si="94"/>
        <v>5982139</v>
      </c>
      <c r="K889" s="3142">
        <v>145066</v>
      </c>
      <c r="L889" s="1019"/>
      <c r="M889" s="2098">
        <v>16919</v>
      </c>
      <c r="N889" s="3122">
        <f t="shared" si="95"/>
        <v>161985</v>
      </c>
    </row>
    <row r="890" spans="1:14" ht="27" thickBot="1">
      <c r="A890" s="1226">
        <v>27</v>
      </c>
      <c r="B890" s="1136" t="s">
        <v>308</v>
      </c>
      <c r="C890" s="1135"/>
      <c r="D890" s="1241">
        <f t="shared" si="93"/>
        <v>55306543</v>
      </c>
      <c r="E890" s="934">
        <f>SUM(E884:E889)</f>
        <v>-1988992</v>
      </c>
      <c r="F890" s="934">
        <f>SUM(F884:F889)</f>
        <v>504337</v>
      </c>
      <c r="G890" s="934">
        <f>SUM(G884:G889)</f>
        <v>8871858</v>
      </c>
      <c r="H890" s="946">
        <f>SUM(H884:H889)</f>
        <v>10826593</v>
      </c>
      <c r="I890" s="938">
        <f>SUM(I884:I889)</f>
        <v>35922559</v>
      </c>
      <c r="J890" s="1244">
        <f t="shared" si="94"/>
        <v>55621010</v>
      </c>
      <c r="K890" s="934">
        <f>SUM(K884:K889)</f>
        <v>237077</v>
      </c>
      <c r="L890" s="946">
        <f>SUM(L884:L889)</f>
        <v>0</v>
      </c>
      <c r="M890" s="1274">
        <f>SUM(M884:M889)</f>
        <v>933111</v>
      </c>
      <c r="N890" s="1232">
        <f t="shared" si="95"/>
        <v>1170188</v>
      </c>
    </row>
    <row r="891" spans="1:14">
      <c r="A891" s="1227"/>
      <c r="B891" s="1225" t="s">
        <v>309</v>
      </c>
      <c r="C891" s="1133">
        <v>20</v>
      </c>
      <c r="D891" s="1230">
        <f t="shared" si="93"/>
        <v>0</v>
      </c>
      <c r="E891" s="1013"/>
      <c r="F891" s="1013"/>
      <c r="G891" s="1014"/>
      <c r="H891" s="1015"/>
      <c r="I891" s="1016"/>
      <c r="J891" s="1245">
        <f t="shared" si="94"/>
        <v>0</v>
      </c>
      <c r="K891" s="1014"/>
      <c r="L891" s="1017"/>
      <c r="M891" s="1324"/>
      <c r="N891" s="1233">
        <f t="shared" si="95"/>
        <v>0</v>
      </c>
    </row>
    <row r="892" spans="1:14">
      <c r="A892" s="1950">
        <v>28</v>
      </c>
      <c r="B892" s="1945" t="s">
        <v>310</v>
      </c>
      <c r="C892" s="1836"/>
      <c r="D892" s="1946">
        <f t="shared" si="93"/>
        <v>1000000</v>
      </c>
      <c r="E892" s="2091"/>
      <c r="F892" s="2091">
        <v>1000000</v>
      </c>
      <c r="G892" s="2092">
        <v>0</v>
      </c>
      <c r="H892" s="2093">
        <v>0</v>
      </c>
      <c r="I892" s="2094">
        <v>0</v>
      </c>
      <c r="J892" s="2014">
        <f t="shared" si="94"/>
        <v>0</v>
      </c>
      <c r="K892" s="2092"/>
      <c r="L892" s="2095"/>
      <c r="M892" s="2096"/>
      <c r="N892" s="1948">
        <f t="shared" si="95"/>
        <v>0</v>
      </c>
    </row>
    <row r="893" spans="1:14">
      <c r="A893" s="1950">
        <v>29</v>
      </c>
      <c r="B893" s="1945" t="s">
        <v>311</v>
      </c>
      <c r="C893" s="1836"/>
      <c r="D893" s="1946">
        <f t="shared" si="93"/>
        <v>213023</v>
      </c>
      <c r="E893" s="2091"/>
      <c r="F893" s="2091">
        <v>139742</v>
      </c>
      <c r="G893" s="2091">
        <v>40843</v>
      </c>
      <c r="H893" s="2099">
        <v>-55134</v>
      </c>
      <c r="I893" s="2094">
        <v>85927</v>
      </c>
      <c r="J893" s="2014">
        <f t="shared" si="94"/>
        <v>71636</v>
      </c>
      <c r="K893" s="2092">
        <v>1645</v>
      </c>
      <c r="L893" s="2095"/>
      <c r="M893" s="2096"/>
      <c r="N893" s="1948">
        <f t="shared" si="95"/>
        <v>1645</v>
      </c>
    </row>
    <row r="894" spans="1:14">
      <c r="A894" s="1950">
        <v>30</v>
      </c>
      <c r="B894" s="1960" t="s">
        <v>312</v>
      </c>
      <c r="C894" s="1852"/>
      <c r="D894" s="1946">
        <f t="shared" si="93"/>
        <v>2272226</v>
      </c>
      <c r="E894" s="2091"/>
      <c r="F894" s="3141">
        <v>475861</v>
      </c>
      <c r="G894" s="3142">
        <v>0</v>
      </c>
      <c r="H894" s="2100">
        <v>1796365</v>
      </c>
      <c r="I894" s="2097">
        <v>0</v>
      </c>
      <c r="J894" s="2014">
        <f t="shared" si="94"/>
        <v>1796365</v>
      </c>
      <c r="K894" s="2092"/>
      <c r="L894" s="2101"/>
      <c r="M894" s="2098"/>
      <c r="N894" s="1948">
        <f t="shared" si="95"/>
        <v>0</v>
      </c>
    </row>
    <row r="895" spans="1:14">
      <c r="A895" s="1950">
        <v>31</v>
      </c>
      <c r="B895" s="1960" t="s">
        <v>313</v>
      </c>
      <c r="C895" s="1852"/>
      <c r="D895" s="1946">
        <f t="shared" si="93"/>
        <v>3381934</v>
      </c>
      <c r="E895" s="2091"/>
      <c r="F895" s="3141">
        <v>3381934</v>
      </c>
      <c r="G895" s="3142">
        <v>0</v>
      </c>
      <c r="H895" s="2100">
        <v>0</v>
      </c>
      <c r="I895" s="2097">
        <v>0</v>
      </c>
      <c r="J895" s="2014">
        <f t="shared" si="94"/>
        <v>0</v>
      </c>
      <c r="K895" s="2092"/>
      <c r="L895" s="2101"/>
      <c r="M895" s="2098"/>
      <c r="N895" s="1948">
        <f t="shared" si="95"/>
        <v>0</v>
      </c>
    </row>
    <row r="896" spans="1:14" ht="15" thickBot="1">
      <c r="A896" s="1957">
        <v>32</v>
      </c>
      <c r="B896" s="1960" t="s">
        <v>314</v>
      </c>
      <c r="C896" s="1852"/>
      <c r="D896" s="1946">
        <f t="shared" si="93"/>
        <v>8587910</v>
      </c>
      <c r="E896" s="2091"/>
      <c r="F896" s="3141">
        <v>8587910</v>
      </c>
      <c r="G896" s="3142">
        <v>0</v>
      </c>
      <c r="H896" s="2100">
        <v>0</v>
      </c>
      <c r="I896" s="2097">
        <v>0</v>
      </c>
      <c r="J896" s="2014">
        <f t="shared" si="94"/>
        <v>0</v>
      </c>
      <c r="K896" s="2092"/>
      <c r="L896" s="2100"/>
      <c r="M896" s="2102"/>
      <c r="N896" s="1948">
        <f t="shared" si="95"/>
        <v>0</v>
      </c>
    </row>
    <row r="897" spans="1:14" ht="15" thickBot="1">
      <c r="A897" s="1226">
        <v>33</v>
      </c>
      <c r="B897" s="1169" t="s">
        <v>315</v>
      </c>
      <c r="C897" s="1170"/>
      <c r="D897" s="1285">
        <f t="shared" si="93"/>
        <v>15455093</v>
      </c>
      <c r="E897" s="963">
        <f>SUM(E892:E896)</f>
        <v>0</v>
      </c>
      <c r="F897" s="963">
        <f>SUM(F892:F896)</f>
        <v>13585447</v>
      </c>
      <c r="G897" s="963">
        <f>SUM(G892:G896)</f>
        <v>40843</v>
      </c>
      <c r="H897" s="964">
        <f>SUM(H892:H896)</f>
        <v>1741231</v>
      </c>
      <c r="I897" s="965">
        <f>SUM(I892:I896)</f>
        <v>85927</v>
      </c>
      <c r="J897" s="1288">
        <f t="shared" si="94"/>
        <v>1868001</v>
      </c>
      <c r="K897" s="1020">
        <f>SUM(K892:K896)</f>
        <v>1645</v>
      </c>
      <c r="L897" s="1020">
        <f>SUM(L892:L896)</f>
        <v>0</v>
      </c>
      <c r="M897" s="1325">
        <f>SUM(M892:M896)</f>
        <v>0</v>
      </c>
      <c r="N897" s="1284">
        <f t="shared" si="95"/>
        <v>1645</v>
      </c>
    </row>
    <row r="898" spans="1:14" ht="27" thickBot="1">
      <c r="A898" s="1226">
        <v>34</v>
      </c>
      <c r="B898" s="1139" t="s">
        <v>317</v>
      </c>
      <c r="C898" s="1138"/>
      <c r="D898" s="1268">
        <f t="shared" si="93"/>
        <v>70761636</v>
      </c>
      <c r="E898" s="1268">
        <f>E897+E890</f>
        <v>-1988992</v>
      </c>
      <c r="F898" s="1268">
        <f>F897+F890</f>
        <v>14089784</v>
      </c>
      <c r="G898" s="1268">
        <f>G897+G890</f>
        <v>8912701</v>
      </c>
      <c r="H898" s="1268">
        <f>H897+H890</f>
        <v>12567824</v>
      </c>
      <c r="I898" s="1268">
        <f>I897+I890</f>
        <v>36008486</v>
      </c>
      <c r="J898" s="1277">
        <f t="shared" si="94"/>
        <v>57489011</v>
      </c>
      <c r="K898" s="1268">
        <f>K897+K890</f>
        <v>238722</v>
      </c>
      <c r="L898" s="1296">
        <f>L897+L890</f>
        <v>0</v>
      </c>
      <c r="M898" s="1202">
        <f>M897+M890</f>
        <v>933111</v>
      </c>
      <c r="N898" s="1202">
        <f t="shared" si="95"/>
        <v>1171833</v>
      </c>
    </row>
    <row r="899" spans="1:14">
      <c r="A899" s="662"/>
      <c r="B899" s="662"/>
      <c r="C899" s="662"/>
      <c r="D899" s="662"/>
      <c r="E899" s="662"/>
      <c r="F899" s="662"/>
      <c r="G899" s="662"/>
      <c r="H899" s="662"/>
      <c r="I899" s="662"/>
      <c r="J899" s="662"/>
      <c r="K899" s="662"/>
      <c r="L899" s="662"/>
      <c r="M899" s="662"/>
      <c r="N899" s="662"/>
    </row>
    <row r="900" spans="1:14">
      <c r="A900" s="662"/>
      <c r="B900" s="667"/>
      <c r="C900" s="662"/>
      <c r="D900" s="666"/>
      <c r="E900" s="666"/>
      <c r="F900" s="666"/>
      <c r="G900" s="666"/>
      <c r="H900" s="666"/>
      <c r="I900" s="666"/>
      <c r="J900" s="666"/>
      <c r="K900" s="666"/>
      <c r="L900" s="666"/>
      <c r="M900" s="666"/>
      <c r="N900" s="666"/>
    </row>
    <row r="901" spans="1:14">
      <c r="B901"/>
      <c r="C901"/>
      <c r="D901"/>
      <c r="E901"/>
      <c r="F901"/>
      <c r="G901"/>
      <c r="H901"/>
      <c r="I901"/>
      <c r="J901"/>
      <c r="K901"/>
      <c r="L901"/>
      <c r="M901"/>
      <c r="N901"/>
    </row>
    <row r="904" spans="1:14">
      <c r="F904" s="855"/>
    </row>
  </sheetData>
  <mergeCells count="169">
    <mergeCell ref="A852:A856"/>
    <mergeCell ref="C852:C856"/>
    <mergeCell ref="D852:D854"/>
    <mergeCell ref="E852:E854"/>
    <mergeCell ref="F852:F854"/>
    <mergeCell ref="G852:N852"/>
    <mergeCell ref="G853:J853"/>
    <mergeCell ref="K853:N853"/>
    <mergeCell ref="A799:A803"/>
    <mergeCell ref="C799:C803"/>
    <mergeCell ref="D799:D801"/>
    <mergeCell ref="E799:E801"/>
    <mergeCell ref="F799:F801"/>
    <mergeCell ref="G799:N799"/>
    <mergeCell ref="G800:J800"/>
    <mergeCell ref="K800:N800"/>
    <mergeCell ref="B851:C851"/>
    <mergeCell ref="M851:N851"/>
    <mergeCell ref="A746:A750"/>
    <mergeCell ref="C746:C750"/>
    <mergeCell ref="D746:D748"/>
    <mergeCell ref="E746:E748"/>
    <mergeCell ref="F746:F748"/>
    <mergeCell ref="G746:N746"/>
    <mergeCell ref="G747:J747"/>
    <mergeCell ref="K747:N747"/>
    <mergeCell ref="B798:C798"/>
    <mergeCell ref="M798:N798"/>
    <mergeCell ref="A692:A696"/>
    <mergeCell ref="C692:C696"/>
    <mergeCell ref="D692:D694"/>
    <mergeCell ref="E692:E694"/>
    <mergeCell ref="F692:F694"/>
    <mergeCell ref="G692:N692"/>
    <mergeCell ref="G693:J693"/>
    <mergeCell ref="K693:N693"/>
    <mergeCell ref="B745:C745"/>
    <mergeCell ref="M745:N745"/>
    <mergeCell ref="A638:A642"/>
    <mergeCell ref="C638:C642"/>
    <mergeCell ref="D638:D640"/>
    <mergeCell ref="E638:E640"/>
    <mergeCell ref="F638:F640"/>
    <mergeCell ref="G638:N638"/>
    <mergeCell ref="G639:J639"/>
    <mergeCell ref="K639:N639"/>
    <mergeCell ref="B691:C691"/>
    <mergeCell ref="M691:N691"/>
    <mergeCell ref="A584:A588"/>
    <mergeCell ref="C584:C588"/>
    <mergeCell ref="D584:D586"/>
    <mergeCell ref="E584:E586"/>
    <mergeCell ref="F584:F586"/>
    <mergeCell ref="G584:N584"/>
    <mergeCell ref="G585:J585"/>
    <mergeCell ref="K585:N585"/>
    <mergeCell ref="B637:C637"/>
    <mergeCell ref="M637:N637"/>
    <mergeCell ref="A532:A536"/>
    <mergeCell ref="C532:C536"/>
    <mergeCell ref="D532:D534"/>
    <mergeCell ref="E532:E534"/>
    <mergeCell ref="F532:F534"/>
    <mergeCell ref="G532:N532"/>
    <mergeCell ref="G533:J533"/>
    <mergeCell ref="K533:N533"/>
    <mergeCell ref="B583:C583"/>
    <mergeCell ref="M583:N583"/>
    <mergeCell ref="A479:A483"/>
    <mergeCell ref="C479:C483"/>
    <mergeCell ref="D479:D481"/>
    <mergeCell ref="E479:E481"/>
    <mergeCell ref="F479:F481"/>
    <mergeCell ref="G479:N479"/>
    <mergeCell ref="G480:J480"/>
    <mergeCell ref="K480:N480"/>
    <mergeCell ref="B531:C531"/>
    <mergeCell ref="M531:N531"/>
    <mergeCell ref="A426:A430"/>
    <mergeCell ref="C426:C430"/>
    <mergeCell ref="D426:D428"/>
    <mergeCell ref="E426:E428"/>
    <mergeCell ref="F426:F428"/>
    <mergeCell ref="G426:N426"/>
    <mergeCell ref="G427:J427"/>
    <mergeCell ref="K427:N427"/>
    <mergeCell ref="B478:C478"/>
    <mergeCell ref="M478:N478"/>
    <mergeCell ref="B321:C321"/>
    <mergeCell ref="M321:N321"/>
    <mergeCell ref="C322:C326"/>
    <mergeCell ref="D322:D324"/>
    <mergeCell ref="E322:E324"/>
    <mergeCell ref="F322:F324"/>
    <mergeCell ref="G322:N322"/>
    <mergeCell ref="G323:J323"/>
    <mergeCell ref="K323:N323"/>
    <mergeCell ref="A215:A219"/>
    <mergeCell ref="C215:C219"/>
    <mergeCell ref="D215:D217"/>
    <mergeCell ref="E215:E217"/>
    <mergeCell ref="F215:F217"/>
    <mergeCell ref="G215:N215"/>
    <mergeCell ref="G216:J216"/>
    <mergeCell ref="K216:N216"/>
    <mergeCell ref="D268:D270"/>
    <mergeCell ref="E268:E270"/>
    <mergeCell ref="F268:F270"/>
    <mergeCell ref="G268:N268"/>
    <mergeCell ref="G269:J269"/>
    <mergeCell ref="K269:N269"/>
    <mergeCell ref="G111:N111"/>
    <mergeCell ref="G112:J112"/>
    <mergeCell ref="K112:N112"/>
    <mergeCell ref="E163:E165"/>
    <mergeCell ref="F163:F165"/>
    <mergeCell ref="G163:N163"/>
    <mergeCell ref="G164:J164"/>
    <mergeCell ref="K164:N164"/>
    <mergeCell ref="B214:C214"/>
    <mergeCell ref="M214:N214"/>
    <mergeCell ref="M7:N7"/>
    <mergeCell ref="M372:N372"/>
    <mergeCell ref="G373:N373"/>
    <mergeCell ref="G374:J374"/>
    <mergeCell ref="K374:N374"/>
    <mergeCell ref="M162:N162"/>
    <mergeCell ref="M267:N267"/>
    <mergeCell ref="C8:C12"/>
    <mergeCell ref="D8:D10"/>
    <mergeCell ref="E8:E10"/>
    <mergeCell ref="F8:F10"/>
    <mergeCell ref="A7:D7"/>
    <mergeCell ref="G8:N8"/>
    <mergeCell ref="G9:J9"/>
    <mergeCell ref="K9:N9"/>
    <mergeCell ref="B58:C58"/>
    <mergeCell ref="M58:N58"/>
    <mergeCell ref="A59:A63"/>
    <mergeCell ref="C59:C63"/>
    <mergeCell ref="D59:D61"/>
    <mergeCell ref="E59:E61"/>
    <mergeCell ref="F59:F61"/>
    <mergeCell ref="G59:N59"/>
    <mergeCell ref="G60:J60"/>
    <mergeCell ref="B425:C425"/>
    <mergeCell ref="M425:N425"/>
    <mergeCell ref="A8:A12"/>
    <mergeCell ref="B372:C372"/>
    <mergeCell ref="C373:C377"/>
    <mergeCell ref="D373:D375"/>
    <mergeCell ref="E373:E375"/>
    <mergeCell ref="F373:F375"/>
    <mergeCell ref="A373:A377"/>
    <mergeCell ref="B162:C162"/>
    <mergeCell ref="A163:A167"/>
    <mergeCell ref="C163:C167"/>
    <mergeCell ref="D163:D165"/>
    <mergeCell ref="B267:C267"/>
    <mergeCell ref="A268:A272"/>
    <mergeCell ref="C268:C272"/>
    <mergeCell ref="K60:N60"/>
    <mergeCell ref="B110:D110"/>
    <mergeCell ref="M110:N110"/>
    <mergeCell ref="A111:A115"/>
    <mergeCell ref="C111:C115"/>
    <mergeCell ref="D111:D113"/>
    <mergeCell ref="E111:E113"/>
    <mergeCell ref="F111:F113"/>
  </mergeCells>
  <pageMargins left="0.36" right="0.34" top="0.6" bottom="0.75" header="0.3" footer="0.3"/>
  <pageSetup paperSize="9" scale="56" orientation="landscape" r:id="rId1"/>
  <rowBreaks count="16" manualBreakCount="16">
    <brk id="56" max="13" man="1"/>
    <brk id="108" max="13" man="1"/>
    <brk id="159" max="13" man="1"/>
    <brk id="212" max="13" man="1"/>
    <brk id="263" max="13" man="1"/>
    <brk id="317" max="13" man="1"/>
    <brk id="369" max="13" man="1"/>
    <brk id="421" max="13" man="1"/>
    <brk id="474" max="13" man="1"/>
    <brk id="527" max="13" man="1"/>
    <brk id="580" max="13" man="1"/>
    <brk id="633" max="13" man="1"/>
    <brk id="687" max="13" man="1"/>
    <brk id="741" max="13" man="1"/>
    <brk id="795" max="13" man="1"/>
    <brk id="848" max="13"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92D050"/>
  </sheetPr>
  <dimension ref="A2:AL875"/>
  <sheetViews>
    <sheetView showGridLines="0" view="pageBreakPreview" zoomScale="70" zoomScaleNormal="80" zoomScaleSheetLayoutView="70" workbookViewId="0">
      <selection activeCell="D12" sqref="D12"/>
    </sheetView>
  </sheetViews>
  <sheetFormatPr defaultColWidth="9.140625" defaultRowHeight="14.45"/>
  <cols>
    <col min="1" max="1" width="13.28515625" style="856" customWidth="1"/>
    <col min="2" max="2" width="42.7109375" style="856" customWidth="1"/>
    <col min="3" max="3" width="8" style="856" customWidth="1"/>
    <col min="4" max="4" width="16.5703125" style="856" customWidth="1"/>
    <col min="5" max="5" width="15.42578125" style="856" customWidth="1"/>
    <col min="6" max="6" width="15.140625" style="856" customWidth="1"/>
    <col min="7" max="7" width="16.28515625" style="856" customWidth="1"/>
    <col min="8" max="8" width="15.5703125" style="856" customWidth="1"/>
    <col min="9" max="9" width="16.42578125" style="856" customWidth="1"/>
    <col min="10" max="13" width="14.28515625" style="856" customWidth="1"/>
    <col min="14" max="14" width="18.28515625" customWidth="1"/>
    <col min="15" max="15" width="15.28515625" bestFit="1" customWidth="1"/>
    <col min="16" max="16" width="14.28515625" bestFit="1" customWidth="1"/>
    <col min="17" max="17" width="14.42578125" customWidth="1"/>
    <col min="18" max="18" width="17.28515625" bestFit="1" customWidth="1"/>
    <col min="19" max="19" width="14.5703125" bestFit="1" customWidth="1"/>
    <col min="20" max="20" width="9.28515625" bestFit="1" customWidth="1"/>
    <col min="21" max="21" width="13.42578125" bestFit="1" customWidth="1"/>
    <col min="22" max="22" width="8.140625" customWidth="1"/>
    <col min="23" max="23" width="13.7109375" bestFit="1" customWidth="1"/>
    <col min="24" max="27" width="10.7109375" customWidth="1"/>
    <col min="28" max="38" width="10.7109375" style="2975" customWidth="1"/>
    <col min="39" max="39" width="10.7109375" style="856" customWidth="1"/>
    <col min="40" max="16384" width="9.140625" style="856"/>
  </cols>
  <sheetData>
    <row r="2" spans="2:13" s="857" customFormat="1" ht="13.15">
      <c r="B2" s="857" t="s">
        <v>332</v>
      </c>
      <c r="C2" s="662"/>
      <c r="D2" s="662"/>
      <c r="E2" s="662"/>
      <c r="F2" s="662"/>
      <c r="G2" s="662"/>
      <c r="H2" s="662"/>
      <c r="I2" s="662"/>
      <c r="J2" s="662"/>
      <c r="K2" s="662"/>
      <c r="L2" s="662"/>
      <c r="M2" s="662"/>
    </row>
    <row r="3" spans="2:13">
      <c r="B3" s="857"/>
      <c r="C3" s="662"/>
      <c r="D3" s="662"/>
      <c r="E3" s="662"/>
      <c r="F3" s="662"/>
      <c r="G3" s="662"/>
      <c r="H3" s="662"/>
      <c r="I3" s="662"/>
      <c r="J3" s="662"/>
      <c r="K3" s="662"/>
      <c r="L3" s="662"/>
      <c r="M3" s="662"/>
    </row>
    <row r="4" spans="2:13">
      <c r="B4" s="857"/>
      <c r="C4" s="662"/>
      <c r="D4" s="662"/>
      <c r="E4" s="662"/>
      <c r="F4" s="662"/>
      <c r="G4" s="662"/>
      <c r="H4" s="662"/>
      <c r="I4" s="662"/>
      <c r="J4" s="662"/>
      <c r="K4" s="662"/>
      <c r="L4" s="662"/>
      <c r="M4" s="662"/>
    </row>
    <row r="5" spans="2:13">
      <c r="B5" s="857" t="s">
        <v>333</v>
      </c>
      <c r="C5" s="662"/>
      <c r="D5" s="662"/>
      <c r="E5" s="662"/>
      <c r="F5" s="662"/>
      <c r="G5" s="662"/>
      <c r="H5" s="662"/>
      <c r="I5" s="662"/>
      <c r="J5" s="662"/>
      <c r="K5" s="662"/>
      <c r="L5" s="662"/>
      <c r="M5" s="662"/>
    </row>
    <row r="6" spans="2:13" ht="17.25" customHeight="1" thickBot="1">
      <c r="B6" s="2984"/>
      <c r="C6" s="2985"/>
      <c r="D6" s="873"/>
      <c r="E6" s="873"/>
      <c r="F6" s="873"/>
      <c r="G6" s="2980"/>
      <c r="H6" s="2980"/>
      <c r="I6" s="2980"/>
      <c r="J6" s="2980"/>
      <c r="K6" s="2980"/>
      <c r="L6" s="2980"/>
      <c r="M6" s="2986" t="s">
        <v>257</v>
      </c>
    </row>
    <row r="7" spans="2:13" ht="17.25" customHeight="1" thickBot="1">
      <c r="B7" s="3280" t="s">
        <v>266</v>
      </c>
      <c r="C7" s="3280" t="s">
        <v>334</v>
      </c>
      <c r="D7" s="3283" t="s">
        <v>260</v>
      </c>
      <c r="E7" s="3283" t="s">
        <v>335</v>
      </c>
      <c r="F7" s="3335" t="s">
        <v>263</v>
      </c>
      <c r="G7" s="3335"/>
      <c r="H7" s="3335"/>
      <c r="I7" s="3335"/>
      <c r="J7" s="3335"/>
      <c r="K7" s="3335"/>
      <c r="L7" s="3335"/>
      <c r="M7" s="3335"/>
    </row>
    <row r="8" spans="2:13" ht="17.25" customHeight="1" thickBot="1">
      <c r="B8" s="3281"/>
      <c r="C8" s="3281"/>
      <c r="D8" s="3284"/>
      <c r="E8" s="3284"/>
      <c r="F8" s="3332" t="s">
        <v>264</v>
      </c>
      <c r="G8" s="3333"/>
      <c r="H8" s="3333"/>
      <c r="I8" s="3334"/>
      <c r="J8" s="3335" t="s">
        <v>336</v>
      </c>
      <c r="K8" s="3335"/>
      <c r="L8" s="3335"/>
      <c r="M8" s="3335"/>
    </row>
    <row r="9" spans="2:13" ht="39.75" customHeight="1" thickBot="1">
      <c r="B9" s="3281"/>
      <c r="C9" s="3281"/>
      <c r="D9" s="3285"/>
      <c r="E9" s="3285"/>
      <c r="F9" s="2963" t="s">
        <v>267</v>
      </c>
      <c r="G9" s="2963" t="s">
        <v>268</v>
      </c>
      <c r="H9" s="2963" t="s">
        <v>269</v>
      </c>
      <c r="I9" s="2963" t="s">
        <v>160</v>
      </c>
      <c r="J9" s="2964" t="s">
        <v>337</v>
      </c>
      <c r="K9" s="2964" t="s">
        <v>271</v>
      </c>
      <c r="L9" s="2964" t="s">
        <v>338</v>
      </c>
      <c r="M9" s="2964" t="s">
        <v>160</v>
      </c>
    </row>
    <row r="10" spans="2:13" ht="17.25" customHeight="1" thickBot="1">
      <c r="B10" s="3281"/>
      <c r="C10" s="3281"/>
      <c r="D10" s="2972">
        <v>1</v>
      </c>
      <c r="E10" s="3283">
        <v>2</v>
      </c>
      <c r="F10" s="3283">
        <v>3</v>
      </c>
      <c r="G10" s="3283">
        <v>4</v>
      </c>
      <c r="H10" s="3283"/>
      <c r="I10" s="2972">
        <v>6</v>
      </c>
      <c r="J10" s="3283">
        <v>7</v>
      </c>
      <c r="K10" s="3283">
        <v>8</v>
      </c>
      <c r="L10" s="3283">
        <v>9</v>
      </c>
      <c r="M10" s="2972">
        <v>10</v>
      </c>
    </row>
    <row r="11" spans="2:13" ht="28.5" customHeight="1" thickBot="1">
      <c r="B11" s="3282"/>
      <c r="C11" s="3282"/>
      <c r="D11" s="1327" t="s">
        <v>339</v>
      </c>
      <c r="E11" s="3285"/>
      <c r="F11" s="3285"/>
      <c r="G11" s="3285"/>
      <c r="H11" s="3285">
        <v>5</v>
      </c>
      <c r="I11" s="1327" t="s">
        <v>340</v>
      </c>
      <c r="J11" s="3285"/>
      <c r="K11" s="3285"/>
      <c r="L11" s="3285"/>
      <c r="M11" s="1327" t="s">
        <v>341</v>
      </c>
    </row>
    <row r="12" spans="2:13">
      <c r="B12" s="1328" t="s">
        <v>342</v>
      </c>
      <c r="C12" s="885"/>
      <c r="D12" s="1329">
        <f>+D59+D107+D156+D204+D254+D304+D353+D403+D451+D499+D547+D595+D644+D691+D739+D787+D835</f>
        <v>136271012.17509601</v>
      </c>
      <c r="E12" s="887">
        <f t="shared" ref="D12:M25" si="0">+E59+E107+E156+E204+E254+E304+E353+E403+E451+E499+E547+E595+E644+E691+E739+E787+E835</f>
        <v>0</v>
      </c>
      <c r="F12" s="886">
        <f t="shared" si="0"/>
        <v>25200628.564632077</v>
      </c>
      <c r="G12" s="887">
        <f t="shared" si="0"/>
        <v>58744260.710026294</v>
      </c>
      <c r="H12" s="886">
        <f t="shared" si="0"/>
        <v>50516666.924727641</v>
      </c>
      <c r="I12" s="1332">
        <f t="shared" si="0"/>
        <v>134461556.199386</v>
      </c>
      <c r="J12" s="886">
        <f t="shared" si="0"/>
        <v>830913.19287000003</v>
      </c>
      <c r="K12" s="887">
        <f t="shared" si="0"/>
        <v>0</v>
      </c>
      <c r="L12" s="886">
        <f t="shared" si="0"/>
        <v>978542.78283999988</v>
      </c>
      <c r="M12" s="1335">
        <f t="shared" si="0"/>
        <v>1809455.9757099999</v>
      </c>
    </row>
    <row r="13" spans="2:13">
      <c r="B13" s="2103"/>
      <c r="C13" s="2104"/>
      <c r="D13" s="1330">
        <f t="shared" si="0"/>
        <v>0</v>
      </c>
      <c r="E13" s="897">
        <f t="shared" si="0"/>
        <v>0</v>
      </c>
      <c r="F13" s="868">
        <f t="shared" si="0"/>
        <v>0</v>
      </c>
      <c r="G13" s="897">
        <f t="shared" si="0"/>
        <v>0</v>
      </c>
      <c r="H13" s="868">
        <f t="shared" si="0"/>
        <v>0</v>
      </c>
      <c r="I13" s="1333">
        <f t="shared" si="0"/>
        <v>0</v>
      </c>
      <c r="J13" s="868">
        <f t="shared" si="0"/>
        <v>0</v>
      </c>
      <c r="K13" s="897">
        <f t="shared" si="0"/>
        <v>0</v>
      </c>
      <c r="L13" s="868">
        <f t="shared" si="0"/>
        <v>0</v>
      </c>
      <c r="M13" s="1336">
        <f t="shared" si="0"/>
        <v>0</v>
      </c>
    </row>
    <row r="14" spans="2:13">
      <c r="B14" s="2105" t="s">
        <v>343</v>
      </c>
      <c r="C14" s="2104"/>
      <c r="D14" s="1330">
        <f t="shared" si="0"/>
        <v>6609558.8335721055</v>
      </c>
      <c r="E14" s="897">
        <f t="shared" si="0"/>
        <v>0</v>
      </c>
      <c r="F14" s="868">
        <f t="shared" si="0"/>
        <v>161571.99397038002</v>
      </c>
      <c r="G14" s="897">
        <f t="shared" si="0"/>
        <v>5464546.3733018693</v>
      </c>
      <c r="H14" s="868">
        <f t="shared" si="0"/>
        <v>867769.43999985582</v>
      </c>
      <c r="I14" s="1333">
        <f t="shared" si="0"/>
        <v>6493887.8072721064</v>
      </c>
      <c r="J14" s="868">
        <f t="shared" si="0"/>
        <v>100312.44580000002</v>
      </c>
      <c r="K14" s="897">
        <f t="shared" si="0"/>
        <v>0</v>
      </c>
      <c r="L14" s="868">
        <f t="shared" si="0"/>
        <v>15358.5805</v>
      </c>
      <c r="M14" s="1336">
        <f t="shared" si="0"/>
        <v>115671.0263</v>
      </c>
    </row>
    <row r="15" spans="2:13">
      <c r="B15" s="2105"/>
      <c r="C15" s="2104"/>
      <c r="D15" s="1330">
        <f t="shared" si="0"/>
        <v>0</v>
      </c>
      <c r="E15" s="897">
        <f t="shared" si="0"/>
        <v>0</v>
      </c>
      <c r="F15" s="868">
        <f t="shared" si="0"/>
        <v>0</v>
      </c>
      <c r="G15" s="897">
        <f t="shared" si="0"/>
        <v>0</v>
      </c>
      <c r="H15" s="868">
        <f t="shared" si="0"/>
        <v>0</v>
      </c>
      <c r="I15" s="1333">
        <f t="shared" si="0"/>
        <v>0</v>
      </c>
      <c r="J15" s="868">
        <f t="shared" si="0"/>
        <v>0</v>
      </c>
      <c r="K15" s="897">
        <f t="shared" si="0"/>
        <v>0</v>
      </c>
      <c r="L15" s="868">
        <f t="shared" si="0"/>
        <v>0</v>
      </c>
      <c r="M15" s="1336">
        <f t="shared" si="0"/>
        <v>0</v>
      </c>
    </row>
    <row r="16" spans="2:13" ht="14.25" customHeight="1">
      <c r="B16" s="2106" t="s">
        <v>344</v>
      </c>
      <c r="C16" s="2104"/>
      <c r="D16" s="1330">
        <f t="shared" si="0"/>
        <v>2723.5140160092401</v>
      </c>
      <c r="E16" s="897">
        <f t="shared" si="0"/>
        <v>0</v>
      </c>
      <c r="F16" s="868">
        <f t="shared" si="0"/>
        <v>0</v>
      </c>
      <c r="G16" s="897">
        <f t="shared" si="0"/>
        <v>2723.5140160092401</v>
      </c>
      <c r="H16" s="868">
        <f t="shared" si="0"/>
        <v>0</v>
      </c>
      <c r="I16" s="1333">
        <f t="shared" si="0"/>
        <v>2723.5140160092401</v>
      </c>
      <c r="J16" s="868">
        <f t="shared" si="0"/>
        <v>0</v>
      </c>
      <c r="K16" s="897">
        <f t="shared" si="0"/>
        <v>0</v>
      </c>
      <c r="L16" s="868">
        <f t="shared" si="0"/>
        <v>0</v>
      </c>
      <c r="M16" s="1336">
        <f t="shared" si="0"/>
        <v>0</v>
      </c>
    </row>
    <row r="17" spans="2:13">
      <c r="B17" s="2103"/>
      <c r="C17" s="2104"/>
      <c r="D17" s="1330">
        <f t="shared" si="0"/>
        <v>0</v>
      </c>
      <c r="E17" s="897">
        <f t="shared" si="0"/>
        <v>0</v>
      </c>
      <c r="F17" s="868">
        <f t="shared" si="0"/>
        <v>0</v>
      </c>
      <c r="G17" s="897">
        <f t="shared" si="0"/>
        <v>0</v>
      </c>
      <c r="H17" s="868">
        <f t="shared" si="0"/>
        <v>0</v>
      </c>
      <c r="I17" s="1333">
        <f t="shared" si="0"/>
        <v>0</v>
      </c>
      <c r="J17" s="868">
        <f t="shared" si="0"/>
        <v>0</v>
      </c>
      <c r="K17" s="897">
        <f t="shared" si="0"/>
        <v>0</v>
      </c>
      <c r="L17" s="868">
        <f t="shared" si="0"/>
        <v>0</v>
      </c>
      <c r="M17" s="1336">
        <f t="shared" si="0"/>
        <v>0</v>
      </c>
    </row>
    <row r="18" spans="2:13">
      <c r="B18" s="2107" t="s">
        <v>345</v>
      </c>
      <c r="C18" s="2108"/>
      <c r="D18" s="1330">
        <f t="shared" si="0"/>
        <v>129664176.85553989</v>
      </c>
      <c r="E18" s="897">
        <f t="shared" si="0"/>
        <v>0</v>
      </c>
      <c r="F18" s="868">
        <f t="shared" si="0"/>
        <v>25039056.570661694</v>
      </c>
      <c r="G18" s="897">
        <f t="shared" si="0"/>
        <v>53282437.850740418</v>
      </c>
      <c r="H18" s="868">
        <f t="shared" si="0"/>
        <v>49648897.484727785</v>
      </c>
      <c r="I18" s="1333">
        <f t="shared" si="0"/>
        <v>127970391.9061299</v>
      </c>
      <c r="J18" s="868">
        <f t="shared" si="0"/>
        <v>730600.74707000004</v>
      </c>
      <c r="K18" s="897">
        <f t="shared" si="0"/>
        <v>0</v>
      </c>
      <c r="L18" s="868">
        <f t="shared" si="0"/>
        <v>963184.20233999984</v>
      </c>
      <c r="M18" s="1336">
        <f t="shared" si="0"/>
        <v>1693784.9494099999</v>
      </c>
    </row>
    <row r="19" spans="2:13">
      <c r="B19" s="2107"/>
      <c r="C19" s="2108"/>
      <c r="D19" s="1330">
        <f t="shared" si="0"/>
        <v>0</v>
      </c>
      <c r="E19" s="897">
        <f t="shared" si="0"/>
        <v>0</v>
      </c>
      <c r="F19" s="868">
        <f t="shared" si="0"/>
        <v>0</v>
      </c>
      <c r="G19" s="897">
        <f t="shared" si="0"/>
        <v>0</v>
      </c>
      <c r="H19" s="868">
        <f t="shared" si="0"/>
        <v>0</v>
      </c>
      <c r="I19" s="1333">
        <f t="shared" si="0"/>
        <v>0</v>
      </c>
      <c r="J19" s="868">
        <f t="shared" si="0"/>
        <v>0</v>
      </c>
      <c r="K19" s="897">
        <f t="shared" si="0"/>
        <v>0</v>
      </c>
      <c r="L19" s="868">
        <f t="shared" si="0"/>
        <v>0</v>
      </c>
      <c r="M19" s="1336">
        <f t="shared" si="0"/>
        <v>0</v>
      </c>
    </row>
    <row r="20" spans="2:13">
      <c r="B20" s="2107" t="s">
        <v>346</v>
      </c>
      <c r="C20" s="2108"/>
      <c r="D20" s="1330">
        <f t="shared" si="0"/>
        <v>67976468.975854263</v>
      </c>
      <c r="E20" s="897">
        <f t="shared" si="0"/>
        <v>13673797.653060881</v>
      </c>
      <c r="F20" s="868">
        <f t="shared" si="0"/>
        <v>23087331.751428276</v>
      </c>
      <c r="G20" s="897">
        <f t="shared" si="0"/>
        <v>10914134.191620978</v>
      </c>
      <c r="H20" s="868">
        <f t="shared" si="0"/>
        <v>20043386.891241014</v>
      </c>
      <c r="I20" s="1333">
        <f t="shared" si="0"/>
        <v>54044852.834290273</v>
      </c>
      <c r="J20" s="868">
        <f>+J67+J115+J164+J212+J262+J312+J361+J411+J459+J507+J555+J603+J652+J699+J747+J795+J843</f>
        <v>112114.8847231145</v>
      </c>
      <c r="K20" s="897">
        <f t="shared" si="0"/>
        <v>5023.0962</v>
      </c>
      <c r="L20" s="868">
        <f t="shared" si="0"/>
        <v>166786.16986999993</v>
      </c>
      <c r="M20" s="1336">
        <f t="shared" si="0"/>
        <v>283924.15079311439</v>
      </c>
    </row>
    <row r="21" spans="2:13">
      <c r="B21" s="2103" t="s">
        <v>347</v>
      </c>
      <c r="C21" s="2104"/>
      <c r="D21" s="1330">
        <f t="shared" si="0"/>
        <v>68130683.527040616</v>
      </c>
      <c r="E21" s="897">
        <f t="shared" si="0"/>
        <v>13393772.687767567</v>
      </c>
      <c r="F21" s="868">
        <f t="shared" si="0"/>
        <v>23998173.639552783</v>
      </c>
      <c r="G21" s="897">
        <f t="shared" si="0"/>
        <v>10697777.43915629</v>
      </c>
      <c r="H21" s="868">
        <f t="shared" si="0"/>
        <v>18789155.691916853</v>
      </c>
      <c r="I21" s="1333">
        <f t="shared" si="0"/>
        <v>53485106.770625934</v>
      </c>
      <c r="J21" s="868">
        <f t="shared" si="0"/>
        <v>112418.4516271145</v>
      </c>
      <c r="K21" s="897">
        <f t="shared" si="0"/>
        <v>5022.96234</v>
      </c>
      <c r="L21" s="868">
        <f t="shared" si="0"/>
        <v>1134362.6546799999</v>
      </c>
      <c r="M21" s="1336">
        <f t="shared" si="0"/>
        <v>1251804.0686471143</v>
      </c>
    </row>
    <row r="22" spans="2:13">
      <c r="B22" s="2103" t="s">
        <v>348</v>
      </c>
      <c r="C22" s="2104"/>
      <c r="D22" s="1330">
        <f t="shared" si="0"/>
        <v>1910889.6670110004</v>
      </c>
      <c r="E22" s="897">
        <f t="shared" si="0"/>
        <v>492768.0661864318</v>
      </c>
      <c r="F22" s="868">
        <f t="shared" si="0"/>
        <v>71436.45402515975</v>
      </c>
      <c r="G22" s="897">
        <f t="shared" si="0"/>
        <v>332706.07877290098</v>
      </c>
      <c r="H22" s="868">
        <f t="shared" si="0"/>
        <v>1394389.2414505077</v>
      </c>
      <c r="I22" s="1333">
        <f t="shared" si="0"/>
        <v>1798531.7742485683</v>
      </c>
      <c r="J22" s="868">
        <f t="shared" si="0"/>
        <v>-26596.97901399999</v>
      </c>
      <c r="K22" s="897">
        <f t="shared" si="0"/>
        <v>0</v>
      </c>
      <c r="L22" s="868">
        <f t="shared" si="0"/>
        <v>-334200.60117000004</v>
      </c>
      <c r="M22" s="1336">
        <f t="shared" si="0"/>
        <v>-360797.58018400002</v>
      </c>
    </row>
    <row r="23" spans="2:13">
      <c r="B23" s="2103" t="s">
        <v>349</v>
      </c>
      <c r="C23" s="2104"/>
      <c r="D23" s="1330">
        <f t="shared" si="0"/>
        <v>770577.33926000004</v>
      </c>
      <c r="E23" s="897">
        <f t="shared" si="0"/>
        <v>121726.11975454834</v>
      </c>
      <c r="F23" s="868">
        <f t="shared" si="0"/>
        <v>216670.13847564708</v>
      </c>
      <c r="G23" s="897">
        <f t="shared" si="0"/>
        <v>313136.32823777967</v>
      </c>
      <c r="H23" s="868">
        <f t="shared" si="0"/>
        <v>229774.243812025</v>
      </c>
      <c r="I23" s="1333">
        <f t="shared" si="0"/>
        <v>759580.71052545169</v>
      </c>
      <c r="J23" s="868">
        <f t="shared" si="0"/>
        <v>-264</v>
      </c>
      <c r="K23" s="897">
        <f t="shared" si="0"/>
        <v>0</v>
      </c>
      <c r="L23" s="868">
        <f t="shared" si="0"/>
        <v>-110465.49102</v>
      </c>
      <c r="M23" s="1336">
        <f t="shared" si="0"/>
        <v>-110729.49102</v>
      </c>
    </row>
    <row r="24" spans="2:13">
      <c r="B24" s="2103" t="s">
        <v>350</v>
      </c>
      <c r="C24" s="2104"/>
      <c r="D24" s="1330">
        <f t="shared" si="0"/>
        <v>-7162891.4768662229</v>
      </c>
      <c r="E24" s="897">
        <f t="shared" si="0"/>
        <v>-916269.39619766548</v>
      </c>
      <c r="F24" s="868">
        <f t="shared" si="0"/>
        <v>-4551044.1592978276</v>
      </c>
      <c r="G24" s="897">
        <f t="shared" si="0"/>
        <v>-825228.89530073083</v>
      </c>
      <c r="H24" s="868">
        <f t="shared" si="0"/>
        <v>-343704.21557</v>
      </c>
      <c r="I24" s="1333">
        <f t="shared" si="0"/>
        <v>-5719977.2701685568</v>
      </c>
      <c r="J24" s="868">
        <f t="shared" si="0"/>
        <v>0</v>
      </c>
      <c r="K24" s="897">
        <f t="shared" si="0"/>
        <v>0</v>
      </c>
      <c r="L24" s="868">
        <f t="shared" si="0"/>
        <v>-526644.81050000002</v>
      </c>
      <c r="M24" s="1336">
        <f t="shared" si="0"/>
        <v>-526644.81050000002</v>
      </c>
    </row>
    <row r="25" spans="2:13">
      <c r="B25" s="2103" t="s">
        <v>351</v>
      </c>
      <c r="C25" s="2104"/>
      <c r="D25" s="1330">
        <f>+D72+D120+D169+D217+D267+D317+D366+D416+D464+D512+D560+D608+D657+D704+D752+D800+D848</f>
        <v>4327209.9194088802</v>
      </c>
      <c r="E25" s="897">
        <f t="shared" si="0"/>
        <v>581800.17555000004</v>
      </c>
      <c r="F25" s="868">
        <f t="shared" si="0"/>
        <v>3352095.6786725111</v>
      </c>
      <c r="G25" s="897">
        <f t="shared" si="0"/>
        <v>395743.24075474241</v>
      </c>
      <c r="H25" s="868">
        <f t="shared" si="0"/>
        <v>-26228.070368373301</v>
      </c>
      <c r="I25" s="1333">
        <f t="shared" si="0"/>
        <v>3721610.84905888</v>
      </c>
      <c r="J25" s="868">
        <f t="shared" si="0"/>
        <v>26557.412110000001</v>
      </c>
      <c r="K25" s="897">
        <f t="shared" si="0"/>
        <v>0.13386000000000001</v>
      </c>
      <c r="L25" s="868">
        <f t="shared" si="0"/>
        <v>3734.41788</v>
      </c>
      <c r="M25" s="1336">
        <f t="shared" si="0"/>
        <v>30291.96385</v>
      </c>
    </row>
    <row r="26" spans="2:13">
      <c r="B26" s="2103" t="s">
        <v>352</v>
      </c>
      <c r="C26" s="2104"/>
      <c r="D26" s="1330">
        <f>+D73+D121+D170+D221+D268+D318+D368+D417+D465+D561+D609+D658+D705+D753+D801+D849</f>
        <v>12329.60764</v>
      </c>
      <c r="E26" s="897">
        <f>+E73+E121+E170+E221+E268+E318+E369+E417+E465+E513+E561+E609+E658+E705+E753+E801+E849</f>
        <v>-3786</v>
      </c>
      <c r="F26" s="868">
        <f>+F73+F121+F170+F221+F268+F318+F368+F417+F465+F513+F561+F609+F658+F705+F753+F801+F849</f>
        <v>32</v>
      </c>
      <c r="G26" s="897">
        <f>+G73+G121+G170+G221+G268+G318+G368+G417+G465+G513+G561+G609+G658+G705+G753+G801+G849</f>
        <v>14136</v>
      </c>
      <c r="H26" s="868">
        <f>+H73+H121+H170+H221+H268+H318+H368+H417+H465+H513+H561+H609+H658+H705+H753+H801+H849</f>
        <v>1947.6076399999999</v>
      </c>
      <c r="I26" s="1333">
        <f>+I73+I121+I170+I221+I268+I318+I368+I417+I465+I513+I561+I609+I658+I705+I753+I801+I849</f>
        <v>16115.60764</v>
      </c>
      <c r="J26" s="868">
        <f t="shared" ref="J26:M27" si="1">+J73+J121+J170+J220+J268+J318+J369+J417+J465+J513+J561+J609+J658+J705+J753+J801+J849</f>
        <v>0</v>
      </c>
      <c r="K26" s="897">
        <f t="shared" si="1"/>
        <v>0</v>
      </c>
      <c r="L26" s="868">
        <f t="shared" si="1"/>
        <v>0</v>
      </c>
      <c r="M26" s="1336">
        <f t="shared" si="1"/>
        <v>0</v>
      </c>
    </row>
    <row r="27" spans="2:13">
      <c r="B27" s="2103" t="s">
        <v>353</v>
      </c>
      <c r="C27" s="2104"/>
      <c r="D27" s="1330">
        <f>+D74+D122+D171+D269+D319+D370+D418+D466+D514+D562+D610+D659+D706+D754+D802+D850</f>
        <v>0</v>
      </c>
      <c r="E27" s="897">
        <f>+E74+E122+E171+E269+E319+E370+E418+E466+E514+E562+E610+E659+E706+E754+E802+E850</f>
        <v>0</v>
      </c>
      <c r="F27" s="868">
        <f t="shared" ref="D27:M42" si="2">+F74+F122+F171+F221+F269+F319+F370+F418+F466+F514+F562+F610+F659+F706+F754+F802+F850</f>
        <v>0</v>
      </c>
      <c r="G27" s="897">
        <f t="shared" si="2"/>
        <v>0</v>
      </c>
      <c r="H27" s="868">
        <f>+H74+H122+H171+H269+H319+H370+H418+H466+H514+H562+H610+H659+H706+H754+H802+H850</f>
        <v>0</v>
      </c>
      <c r="I27" s="1333">
        <f>+I74+I122+I171+I269+I319+I370+I418+I466+I514+I562+I610+I659+I706+I754+I802+I850</f>
        <v>0</v>
      </c>
      <c r="J27" s="868">
        <f t="shared" si="1"/>
        <v>0</v>
      </c>
      <c r="K27" s="897">
        <f t="shared" si="1"/>
        <v>0</v>
      </c>
      <c r="L27" s="868">
        <f t="shared" si="1"/>
        <v>0</v>
      </c>
      <c r="M27" s="1336">
        <f t="shared" si="1"/>
        <v>0</v>
      </c>
    </row>
    <row r="28" spans="2:13">
      <c r="B28" s="2103"/>
      <c r="C28" s="2104"/>
      <c r="D28" s="1330">
        <f t="shared" si="2"/>
        <v>0</v>
      </c>
      <c r="E28" s="897">
        <f t="shared" si="2"/>
        <v>0</v>
      </c>
      <c r="F28" s="868">
        <f t="shared" si="2"/>
        <v>0</v>
      </c>
      <c r="G28" s="897">
        <f t="shared" si="2"/>
        <v>0</v>
      </c>
      <c r="H28" s="868">
        <f t="shared" si="2"/>
        <v>0</v>
      </c>
      <c r="I28" s="1333">
        <f t="shared" si="2"/>
        <v>0</v>
      </c>
      <c r="J28" s="868">
        <f t="shared" si="2"/>
        <v>0</v>
      </c>
      <c r="K28" s="897">
        <f t="shared" si="2"/>
        <v>0</v>
      </c>
      <c r="L28" s="868">
        <f t="shared" si="2"/>
        <v>0</v>
      </c>
      <c r="M28" s="1336">
        <f t="shared" si="2"/>
        <v>0</v>
      </c>
    </row>
    <row r="29" spans="2:13">
      <c r="B29" s="2109" t="s">
        <v>354</v>
      </c>
      <c r="C29" s="2108"/>
      <c r="D29" s="1330">
        <f t="shared" si="2"/>
        <v>197640645.83139417</v>
      </c>
      <c r="E29" s="897">
        <f t="shared" si="2"/>
        <v>13673797.653060881</v>
      </c>
      <c r="F29" s="868">
        <f t="shared" si="2"/>
        <v>48126388.32208997</v>
      </c>
      <c r="G29" s="897">
        <f t="shared" si="2"/>
        <v>64196572.042361416</v>
      </c>
      <c r="H29" s="868">
        <f t="shared" si="2"/>
        <v>69692284.375968784</v>
      </c>
      <c r="I29" s="1333">
        <f t="shared" si="2"/>
        <v>182015244.74042013</v>
      </c>
      <c r="J29" s="868">
        <f t="shared" si="2"/>
        <v>842715.63179311459</v>
      </c>
      <c r="K29" s="897">
        <f t="shared" si="2"/>
        <v>5023.0962</v>
      </c>
      <c r="L29" s="868">
        <f t="shared" si="2"/>
        <v>1129970.3722099997</v>
      </c>
      <c r="M29" s="1336">
        <f t="shared" si="2"/>
        <v>1977709.1002031146</v>
      </c>
    </row>
    <row r="30" spans="2:13">
      <c r="B30" s="2109"/>
      <c r="C30" s="2108"/>
      <c r="D30" s="1330">
        <f t="shared" si="2"/>
        <v>0</v>
      </c>
      <c r="E30" s="897">
        <f t="shared" si="2"/>
        <v>0</v>
      </c>
      <c r="F30" s="868">
        <f t="shared" si="2"/>
        <v>0</v>
      </c>
      <c r="G30" s="897">
        <f t="shared" si="2"/>
        <v>0</v>
      </c>
      <c r="H30" s="868">
        <f t="shared" si="2"/>
        <v>0</v>
      </c>
      <c r="I30" s="1333">
        <f t="shared" si="2"/>
        <v>0</v>
      </c>
      <c r="J30" s="868">
        <f t="shared" si="2"/>
        <v>0</v>
      </c>
      <c r="K30" s="897">
        <f t="shared" si="2"/>
        <v>0</v>
      </c>
      <c r="L30" s="868">
        <f t="shared" si="2"/>
        <v>0</v>
      </c>
      <c r="M30" s="1336">
        <f t="shared" si="2"/>
        <v>0</v>
      </c>
    </row>
    <row r="31" spans="2:13">
      <c r="B31" s="2103" t="s">
        <v>355</v>
      </c>
      <c r="C31" s="2104"/>
      <c r="D31" s="1330">
        <f t="shared" si="2"/>
        <v>65525984.637060009</v>
      </c>
      <c r="E31" s="897">
        <f t="shared" si="2"/>
        <v>0</v>
      </c>
      <c r="F31" s="868">
        <f t="shared" si="2"/>
        <v>19348619.601969853</v>
      </c>
      <c r="G31" s="897">
        <f t="shared" si="2"/>
        <v>28318482.602990143</v>
      </c>
      <c r="H31" s="868">
        <f t="shared" si="2"/>
        <v>16096883.30712001</v>
      </c>
      <c r="I31" s="1333">
        <f t="shared" si="2"/>
        <v>63763985.512080006</v>
      </c>
      <c r="J31" s="868">
        <f t="shared" si="2"/>
        <v>1255133.41387</v>
      </c>
      <c r="K31" s="897">
        <f t="shared" si="2"/>
        <v>0</v>
      </c>
      <c r="L31" s="868">
        <f t="shared" si="2"/>
        <v>506865.71111000003</v>
      </c>
      <c r="M31" s="1336">
        <f t="shared" si="2"/>
        <v>1761999.1249799998</v>
      </c>
    </row>
    <row r="32" spans="2:13">
      <c r="B32" s="2103" t="s">
        <v>356</v>
      </c>
      <c r="C32" s="2104"/>
      <c r="D32" s="1330">
        <f t="shared" si="2"/>
        <v>-3884221.7634925004</v>
      </c>
      <c r="E32" s="897">
        <f t="shared" si="2"/>
        <v>0</v>
      </c>
      <c r="F32" s="868">
        <f t="shared" si="2"/>
        <v>-90044.726440000013</v>
      </c>
      <c r="G32" s="897">
        <f t="shared" si="2"/>
        <v>-3061326.845733583</v>
      </c>
      <c r="H32" s="868">
        <f t="shared" si="2"/>
        <v>-659511.92440891685</v>
      </c>
      <c r="I32" s="1333">
        <f t="shared" si="2"/>
        <v>-3810883.4965825006</v>
      </c>
      <c r="J32" s="868">
        <f t="shared" si="2"/>
        <v>-37564.73691</v>
      </c>
      <c r="K32" s="897">
        <f t="shared" si="2"/>
        <v>0</v>
      </c>
      <c r="L32" s="868">
        <f t="shared" si="2"/>
        <v>-35773.53</v>
      </c>
      <c r="M32" s="1336">
        <f t="shared" si="2"/>
        <v>-73338.266910000006</v>
      </c>
    </row>
    <row r="33" spans="1:13">
      <c r="B33" s="2103" t="s">
        <v>357</v>
      </c>
      <c r="C33" s="2104"/>
      <c r="D33" s="1330">
        <f t="shared" si="2"/>
        <v>10418808.25931</v>
      </c>
      <c r="E33" s="897">
        <f t="shared" si="2"/>
        <v>0</v>
      </c>
      <c r="F33" s="868">
        <f t="shared" si="2"/>
        <v>11255.314</v>
      </c>
      <c r="G33" s="897">
        <f t="shared" si="2"/>
        <v>895995.7385236941</v>
      </c>
      <c r="H33" s="868">
        <f t="shared" si="2"/>
        <v>10225344.707546305</v>
      </c>
      <c r="I33" s="1333">
        <f t="shared" si="2"/>
        <v>11132595.76007</v>
      </c>
      <c r="J33" s="868">
        <f t="shared" si="2"/>
        <v>-713787.50075999997</v>
      </c>
      <c r="K33" s="897">
        <f t="shared" si="2"/>
        <v>0</v>
      </c>
      <c r="L33" s="868">
        <f t="shared" si="2"/>
        <v>0</v>
      </c>
      <c r="M33" s="1336">
        <f t="shared" si="2"/>
        <v>-713787.50075999997</v>
      </c>
    </row>
    <row r="34" spans="1:13" ht="13.5" customHeight="1">
      <c r="B34" s="2110" t="s">
        <v>358</v>
      </c>
      <c r="C34" s="2104"/>
      <c r="D34" s="1330">
        <f t="shared" si="2"/>
        <v>332616.60502999998</v>
      </c>
      <c r="E34" s="897">
        <f t="shared" si="2"/>
        <v>0</v>
      </c>
      <c r="F34" s="868">
        <f t="shared" si="2"/>
        <v>21595</v>
      </c>
      <c r="G34" s="897">
        <f t="shared" si="2"/>
        <v>141684.21890918326</v>
      </c>
      <c r="H34" s="868">
        <f t="shared" si="2"/>
        <v>168746.38612081675</v>
      </c>
      <c r="I34" s="1333">
        <f t="shared" si="2"/>
        <v>332025.60502999998</v>
      </c>
      <c r="J34" s="868">
        <f t="shared" si="2"/>
        <v>591</v>
      </c>
      <c r="K34" s="897">
        <f t="shared" si="2"/>
        <v>0</v>
      </c>
      <c r="L34" s="868">
        <f t="shared" si="2"/>
        <v>0</v>
      </c>
      <c r="M34" s="1336">
        <f t="shared" si="2"/>
        <v>591</v>
      </c>
    </row>
    <row r="35" spans="1:13">
      <c r="B35" s="2103" t="s">
        <v>359</v>
      </c>
      <c r="C35" s="2104"/>
      <c r="D35" s="1330">
        <f t="shared" si="2"/>
        <v>45800182.58697661</v>
      </c>
      <c r="E35" s="897">
        <f t="shared" si="2"/>
        <v>-1336896.3689899999</v>
      </c>
      <c r="F35" s="868">
        <f t="shared" si="2"/>
        <v>16096762.965064334</v>
      </c>
      <c r="G35" s="897">
        <f t="shared" si="2"/>
        <v>11329330.071000373</v>
      </c>
      <c r="H35" s="868">
        <f t="shared" si="2"/>
        <v>19134670.584766246</v>
      </c>
      <c r="I35" s="1333">
        <f t="shared" si="2"/>
        <v>46560763.620830953</v>
      </c>
      <c r="J35" s="868">
        <f t="shared" si="2"/>
        <v>216677.83164565478</v>
      </c>
      <c r="K35" s="897">
        <f t="shared" si="2"/>
        <v>0</v>
      </c>
      <c r="L35" s="868">
        <f t="shared" si="2"/>
        <v>359637.50348999997</v>
      </c>
      <c r="M35" s="1336">
        <f t="shared" si="2"/>
        <v>576315.33513565466</v>
      </c>
    </row>
    <row r="36" spans="1:13">
      <c r="B36" s="2103" t="s">
        <v>360</v>
      </c>
      <c r="C36" s="2104"/>
      <c r="D36" s="1330">
        <f t="shared" si="2"/>
        <v>0</v>
      </c>
      <c r="E36" s="897">
        <f t="shared" si="2"/>
        <v>0</v>
      </c>
      <c r="F36" s="868">
        <f t="shared" si="2"/>
        <v>0</v>
      </c>
      <c r="G36" s="897">
        <f t="shared" si="2"/>
        <v>0</v>
      </c>
      <c r="H36" s="868">
        <f t="shared" si="2"/>
        <v>0</v>
      </c>
      <c r="I36" s="1333">
        <f t="shared" si="2"/>
        <v>0</v>
      </c>
      <c r="J36" s="868">
        <f t="shared" si="2"/>
        <v>0</v>
      </c>
      <c r="K36" s="897">
        <f t="shared" si="2"/>
        <v>0</v>
      </c>
      <c r="L36" s="868">
        <f t="shared" si="2"/>
        <v>0</v>
      </c>
      <c r="M36" s="1336">
        <f t="shared" si="2"/>
        <v>0</v>
      </c>
    </row>
    <row r="37" spans="1:13">
      <c r="B37" s="2109" t="s">
        <v>361</v>
      </c>
      <c r="C37" s="2108"/>
      <c r="D37" s="1330">
        <f t="shared" si="2"/>
        <v>118193370.3248841</v>
      </c>
      <c r="E37" s="897">
        <f t="shared" si="2"/>
        <v>-1336896.3689899999</v>
      </c>
      <c r="F37" s="868">
        <f t="shared" si="2"/>
        <v>35388188.15459419</v>
      </c>
      <c r="G37" s="897">
        <f t="shared" si="2"/>
        <v>37624165.785689816</v>
      </c>
      <c r="H37" s="868">
        <f t="shared" si="2"/>
        <v>44966133.061144456</v>
      </c>
      <c r="I37" s="1333">
        <f t="shared" si="2"/>
        <v>117978487.00142847</v>
      </c>
      <c r="J37" s="868">
        <f t="shared" si="2"/>
        <v>721050.00784565473</v>
      </c>
      <c r="K37" s="897">
        <f t="shared" si="2"/>
        <v>0</v>
      </c>
      <c r="L37" s="868">
        <f t="shared" si="2"/>
        <v>830729.68459999992</v>
      </c>
      <c r="M37" s="1336">
        <f t="shared" si="2"/>
        <v>1551779.6924456547</v>
      </c>
    </row>
    <row r="38" spans="1:13">
      <c r="B38" s="2103"/>
      <c r="C38" s="2104"/>
      <c r="D38" s="1330">
        <f t="shared" si="2"/>
        <v>0</v>
      </c>
      <c r="E38" s="897">
        <f t="shared" si="2"/>
        <v>0</v>
      </c>
      <c r="F38" s="868">
        <f t="shared" si="2"/>
        <v>0</v>
      </c>
      <c r="G38" s="897">
        <f t="shared" si="2"/>
        <v>0</v>
      </c>
      <c r="H38" s="868">
        <f t="shared" si="2"/>
        <v>0</v>
      </c>
      <c r="I38" s="1333">
        <f t="shared" si="2"/>
        <v>0</v>
      </c>
      <c r="J38" s="868">
        <f t="shared" si="2"/>
        <v>0</v>
      </c>
      <c r="K38" s="897">
        <f t="shared" si="2"/>
        <v>0</v>
      </c>
      <c r="L38" s="868">
        <f t="shared" si="2"/>
        <v>0</v>
      </c>
      <c r="M38" s="1336">
        <f t="shared" si="2"/>
        <v>0</v>
      </c>
    </row>
    <row r="39" spans="1:13" ht="26.45">
      <c r="B39" s="2110" t="s">
        <v>362</v>
      </c>
      <c r="C39" s="2104"/>
      <c r="D39" s="1330">
        <f t="shared" si="2"/>
        <v>20219238.881739996</v>
      </c>
      <c r="E39" s="897">
        <f t="shared" si="2"/>
        <v>147671.85995999997</v>
      </c>
      <c r="F39" s="868">
        <f t="shared" si="2"/>
        <v>3864466.697461525</v>
      </c>
      <c r="G39" s="897">
        <f t="shared" si="2"/>
        <v>8171788.7736759055</v>
      </c>
      <c r="H39" s="868">
        <f t="shared" si="2"/>
        <v>8002291.7662495803</v>
      </c>
      <c r="I39" s="1333">
        <f t="shared" si="2"/>
        <v>20038547.237387009</v>
      </c>
      <c r="J39" s="868">
        <f t="shared" si="2"/>
        <v>9482.1449799999991</v>
      </c>
      <c r="K39" s="897">
        <f t="shared" si="2"/>
        <v>0</v>
      </c>
      <c r="L39" s="868">
        <f t="shared" si="2"/>
        <v>23537.639412989076</v>
      </c>
      <c r="M39" s="1336">
        <f t="shared" si="2"/>
        <v>33019.784392989073</v>
      </c>
    </row>
    <row r="40" spans="1:13">
      <c r="B40" s="2103"/>
      <c r="C40" s="2104"/>
      <c r="D40" s="1330">
        <f t="shared" si="2"/>
        <v>0</v>
      </c>
      <c r="E40" s="897">
        <f t="shared" si="2"/>
        <v>0</v>
      </c>
      <c r="F40" s="868">
        <f t="shared" si="2"/>
        <v>0</v>
      </c>
      <c r="G40" s="897">
        <f t="shared" si="2"/>
        <v>0</v>
      </c>
      <c r="H40" s="868">
        <f t="shared" si="2"/>
        <v>0</v>
      </c>
      <c r="I40" s="1333">
        <f t="shared" si="2"/>
        <v>0</v>
      </c>
      <c r="J40" s="868">
        <f t="shared" si="2"/>
        <v>0</v>
      </c>
      <c r="K40" s="897">
        <f t="shared" si="2"/>
        <v>0</v>
      </c>
      <c r="L40" s="868">
        <f t="shared" si="2"/>
        <v>0</v>
      </c>
      <c r="M40" s="1336">
        <f t="shared" si="2"/>
        <v>0</v>
      </c>
    </row>
    <row r="41" spans="1:13" ht="15.75" customHeight="1">
      <c r="B41" s="2110" t="s">
        <v>363</v>
      </c>
      <c r="C41" s="2104"/>
      <c r="D41" s="1330">
        <f t="shared" si="2"/>
        <v>35486944.390280835</v>
      </c>
      <c r="E41" s="897">
        <f t="shared" si="2"/>
        <v>3550530.6677762284</v>
      </c>
      <c r="F41" s="868">
        <f t="shared" si="2"/>
        <v>7997405.8350630598</v>
      </c>
      <c r="G41" s="897">
        <f t="shared" si="2"/>
        <v>9815497.6268512644</v>
      </c>
      <c r="H41" s="868">
        <f t="shared" si="2"/>
        <v>13895109.44017506</v>
      </c>
      <c r="I41" s="1333">
        <f t="shared" si="2"/>
        <v>31708012.90208938</v>
      </c>
      <c r="J41" s="868">
        <f t="shared" si="2"/>
        <v>112183.47892734526</v>
      </c>
      <c r="K41" s="897">
        <f t="shared" si="2"/>
        <v>235.66104000000001</v>
      </c>
      <c r="L41" s="868">
        <f t="shared" si="2"/>
        <v>142087.34273788176</v>
      </c>
      <c r="M41" s="1336">
        <f t="shared" si="2"/>
        <v>254506.48270522701</v>
      </c>
    </row>
    <row r="42" spans="1:13">
      <c r="B42" s="2103" t="s">
        <v>364</v>
      </c>
      <c r="C42" s="2104"/>
      <c r="D42" s="1330">
        <f t="shared" si="2"/>
        <v>443794.34713000001</v>
      </c>
      <c r="E42" s="897">
        <f t="shared" si="2"/>
        <v>5758</v>
      </c>
      <c r="F42" s="868">
        <f t="shared" si="2"/>
        <v>79687</v>
      </c>
      <c r="G42" s="897">
        <f t="shared" si="2"/>
        <v>233619</v>
      </c>
      <c r="H42" s="868">
        <f t="shared" si="2"/>
        <v>0</v>
      </c>
      <c r="I42" s="1333">
        <f t="shared" si="2"/>
        <v>313306</v>
      </c>
      <c r="J42" s="868">
        <f t="shared" si="2"/>
        <v>0</v>
      </c>
      <c r="K42" s="897">
        <f t="shared" si="2"/>
        <v>4787.4351500000002</v>
      </c>
      <c r="L42" s="868">
        <f t="shared" si="2"/>
        <v>119942.91198</v>
      </c>
      <c r="M42" s="1336">
        <f t="shared" si="2"/>
        <v>124730.34713000001</v>
      </c>
    </row>
    <row r="43" spans="1:13">
      <c r="B43" s="2103" t="s">
        <v>365</v>
      </c>
      <c r="C43" s="2104"/>
      <c r="D43" s="1330">
        <f t="shared" ref="D43:M49" si="3">+D90+D138+D187+D237+D285+D335+D386+D434+D482+D530+D578+D626+D675+D722+D770+D818+D866</f>
        <v>-1538764.2619099999</v>
      </c>
      <c r="E43" s="897">
        <f t="shared" si="3"/>
        <v>116243.62392</v>
      </c>
      <c r="F43" s="868">
        <f t="shared" si="3"/>
        <v>167381.51370981225</v>
      </c>
      <c r="G43" s="897">
        <f t="shared" si="3"/>
        <v>-1940354.3991629572</v>
      </c>
      <c r="H43" s="868">
        <f t="shared" si="3"/>
        <v>117964.9996231447</v>
      </c>
      <c r="I43" s="1333">
        <f t="shared" si="3"/>
        <v>-1655007.8858299998</v>
      </c>
      <c r="J43" s="868">
        <f t="shared" si="3"/>
        <v>0</v>
      </c>
      <c r="K43" s="897">
        <f t="shared" si="3"/>
        <v>0</v>
      </c>
      <c r="L43" s="868">
        <f t="shared" si="3"/>
        <v>0</v>
      </c>
      <c r="M43" s="1336">
        <f t="shared" si="3"/>
        <v>0</v>
      </c>
    </row>
    <row r="44" spans="1:13">
      <c r="B44" s="2109" t="s">
        <v>366</v>
      </c>
      <c r="C44" s="2108"/>
      <c r="D44" s="1330">
        <f t="shared" si="3"/>
        <v>34391974.475500837</v>
      </c>
      <c r="E44" s="897">
        <f t="shared" si="3"/>
        <v>3672532.2916962281</v>
      </c>
      <c r="F44" s="868">
        <f t="shared" si="3"/>
        <v>8244474.3487728722</v>
      </c>
      <c r="G44" s="897">
        <f t="shared" si="3"/>
        <v>8108762.2276883069</v>
      </c>
      <c r="H44" s="868">
        <f t="shared" si="3"/>
        <v>14013074.439798204</v>
      </c>
      <c r="I44" s="1333">
        <f t="shared" si="3"/>
        <v>30366311.016259383</v>
      </c>
      <c r="J44" s="868">
        <f t="shared" si="3"/>
        <v>112183.47892734526</v>
      </c>
      <c r="K44" s="897">
        <f t="shared" si="3"/>
        <v>5023.0961900000002</v>
      </c>
      <c r="L44" s="868">
        <f t="shared" si="3"/>
        <v>262030.25471788173</v>
      </c>
      <c r="M44" s="1336">
        <f t="shared" si="3"/>
        <v>379236.82983522705</v>
      </c>
    </row>
    <row r="45" spans="1:13">
      <c r="B45" s="2109"/>
      <c r="C45" s="2108"/>
      <c r="D45" s="1330">
        <f t="shared" si="3"/>
        <v>0</v>
      </c>
      <c r="E45" s="897">
        <f t="shared" si="3"/>
        <v>0</v>
      </c>
      <c r="F45" s="868">
        <f t="shared" si="3"/>
        <v>0</v>
      </c>
      <c r="G45" s="897">
        <f t="shared" si="3"/>
        <v>0</v>
      </c>
      <c r="H45" s="868">
        <f t="shared" si="3"/>
        <v>0</v>
      </c>
      <c r="I45" s="1333">
        <f t="shared" si="3"/>
        <v>0</v>
      </c>
      <c r="J45" s="868">
        <f t="shared" si="3"/>
        <v>0</v>
      </c>
      <c r="K45" s="897">
        <f t="shared" si="3"/>
        <v>0</v>
      </c>
      <c r="L45" s="868">
        <f t="shared" si="3"/>
        <v>0</v>
      </c>
      <c r="M45" s="1336">
        <f t="shared" si="3"/>
        <v>0</v>
      </c>
    </row>
    <row r="46" spans="1:13">
      <c r="B46" s="2109" t="s">
        <v>367</v>
      </c>
      <c r="C46" s="2108"/>
      <c r="D46" s="1331">
        <f t="shared" si="3"/>
        <v>24836062.149269223</v>
      </c>
      <c r="E46" s="898">
        <f t="shared" si="3"/>
        <v>11190489.870394653</v>
      </c>
      <c r="F46" s="866">
        <f t="shared" si="3"/>
        <v>629259.12126138899</v>
      </c>
      <c r="G46" s="898">
        <f t="shared" si="3"/>
        <v>10291855.255307391</v>
      </c>
      <c r="H46" s="866">
        <f t="shared" si="3"/>
        <v>2710785.1087765452</v>
      </c>
      <c r="I46" s="1334">
        <f t="shared" si="3"/>
        <v>13631899.485345326</v>
      </c>
      <c r="J46" s="866">
        <f t="shared" si="3"/>
        <v>4.0114595321938396E-5</v>
      </c>
      <c r="K46" s="898">
        <f t="shared" si="3"/>
        <v>9.9999997473787516E-6</v>
      </c>
      <c r="L46" s="866">
        <f t="shared" si="3"/>
        <v>13672.793479129024</v>
      </c>
      <c r="M46" s="1337">
        <f t="shared" si="3"/>
        <v>13672.79352924362</v>
      </c>
    </row>
    <row r="47" spans="1:13">
      <c r="B47" s="2103" t="s">
        <v>368</v>
      </c>
      <c r="C47" s="2104"/>
      <c r="D47" s="1330">
        <f t="shared" si="3"/>
        <v>6888289.2408746248</v>
      </c>
      <c r="E47" s="897">
        <f t="shared" si="3"/>
        <v>5064903.5240650587</v>
      </c>
      <c r="F47" s="868">
        <f t="shared" si="3"/>
        <v>442371.94757935399</v>
      </c>
      <c r="G47" s="897">
        <f t="shared" si="3"/>
        <v>1011548.6013902109</v>
      </c>
      <c r="H47" s="868">
        <f t="shared" si="3"/>
        <v>369465.16784000001</v>
      </c>
      <c r="I47" s="1333">
        <f t="shared" si="3"/>
        <v>1823385.716809565</v>
      </c>
      <c r="J47" s="868">
        <f t="shared" si="3"/>
        <v>0</v>
      </c>
      <c r="K47" s="897">
        <f t="shared" si="3"/>
        <v>0</v>
      </c>
      <c r="L47" s="868">
        <f t="shared" si="3"/>
        <v>0</v>
      </c>
      <c r="M47" s="1336">
        <f t="shared" si="3"/>
        <v>0</v>
      </c>
    </row>
    <row r="48" spans="1:13">
      <c r="B48" s="2103"/>
      <c r="C48" s="2104"/>
      <c r="D48" s="1330">
        <f t="shared" si="3"/>
        <v>0</v>
      </c>
      <c r="E48" s="897">
        <f t="shared" si="3"/>
        <v>0</v>
      </c>
      <c r="F48" s="868">
        <f t="shared" si="3"/>
        <v>0</v>
      </c>
      <c r="G48" s="897">
        <f t="shared" si="3"/>
        <v>0</v>
      </c>
      <c r="H48" s="868">
        <f t="shared" si="3"/>
        <v>0</v>
      </c>
      <c r="I48" s="1333">
        <f t="shared" si="3"/>
        <v>0</v>
      </c>
      <c r="J48" s="868">
        <f t="shared" si="3"/>
        <v>0</v>
      </c>
      <c r="K48" s="897">
        <f t="shared" si="3"/>
        <v>0</v>
      </c>
      <c r="L48" s="868">
        <f t="shared" si="3"/>
        <v>0</v>
      </c>
      <c r="M48" s="1336">
        <f t="shared" si="3"/>
        <v>0</v>
      </c>
    </row>
    <row r="49" spans="1:13" ht="15" thickBot="1">
      <c r="B49" s="1338" t="s">
        <v>369</v>
      </c>
      <c r="C49" s="1339"/>
      <c r="D49" s="1340">
        <f t="shared" si="3"/>
        <v>17947772.908394597</v>
      </c>
      <c r="E49" s="1341">
        <f t="shared" si="3"/>
        <v>6125586.346329595</v>
      </c>
      <c r="F49" s="1340">
        <f t="shared" si="3"/>
        <v>186887.17368203506</v>
      </c>
      <c r="G49" s="1341">
        <f t="shared" si="3"/>
        <v>9280306.6539171804</v>
      </c>
      <c r="H49" s="1340">
        <f t="shared" si="3"/>
        <v>2341319.9409365449</v>
      </c>
      <c r="I49" s="1341">
        <f t="shared" si="3"/>
        <v>11808513.768535761</v>
      </c>
      <c r="J49" s="1340">
        <f t="shared" si="3"/>
        <v>4.0114595321938396E-5</v>
      </c>
      <c r="K49" s="1341">
        <f t="shared" si="3"/>
        <v>9.9999997473787516E-6</v>
      </c>
      <c r="L49" s="1340">
        <f t="shared" si="3"/>
        <v>13672.793479129024</v>
      </c>
      <c r="M49" s="1342">
        <f t="shared" si="3"/>
        <v>13672.79352924362</v>
      </c>
    </row>
    <row r="50" spans="1:13">
      <c r="B50" s="870"/>
      <c r="C50" s="871"/>
      <c r="D50" s="872"/>
      <c r="E50" s="872"/>
      <c r="F50" s="872"/>
      <c r="G50" s="872"/>
      <c r="H50" s="872"/>
      <c r="I50" s="872"/>
      <c r="J50" s="872"/>
      <c r="K50" s="872"/>
      <c r="L50" s="872"/>
      <c r="M50" s="872"/>
    </row>
    <row r="51" spans="1:13">
      <c r="B51" s="662"/>
      <c r="C51" s="662"/>
      <c r="D51" s="670"/>
      <c r="E51" s="670"/>
      <c r="F51" s="670"/>
      <c r="G51" s="670"/>
      <c r="H51" s="670"/>
      <c r="I51" s="670"/>
      <c r="J51" s="670"/>
      <c r="K51" s="670"/>
      <c r="L51" s="670"/>
      <c r="M51" s="670"/>
    </row>
    <row r="52" spans="1:13" ht="15" thickBot="1">
      <c r="D52" s="855"/>
      <c r="E52" s="855"/>
      <c r="F52" s="855"/>
      <c r="G52" s="855"/>
      <c r="H52" s="855"/>
      <c r="I52" s="855"/>
      <c r="J52" s="855"/>
      <c r="K52" s="855"/>
      <c r="L52" s="855"/>
      <c r="M52" s="855"/>
    </row>
    <row r="53" spans="1:13" ht="17.25" customHeight="1" thickBot="1">
      <c r="A53" s="1343" t="s">
        <v>370</v>
      </c>
      <c r="B53" s="1344" t="s">
        <v>116</v>
      </c>
      <c r="D53" s="662"/>
      <c r="E53" s="662"/>
      <c r="F53" s="662"/>
      <c r="G53" s="662"/>
      <c r="H53" s="662"/>
      <c r="I53" s="662"/>
      <c r="J53" s="662"/>
      <c r="K53" s="662"/>
      <c r="L53" s="3292"/>
      <c r="M53" s="3292" t="s">
        <v>257</v>
      </c>
    </row>
    <row r="54" spans="1:13" ht="17.25" customHeight="1" thickBot="1">
      <c r="A54" s="662"/>
      <c r="B54" s="3331" t="s">
        <v>116</v>
      </c>
      <c r="C54" s="3280" t="s">
        <v>334</v>
      </c>
      <c r="D54" s="3283" t="s">
        <v>260</v>
      </c>
      <c r="E54" s="3283" t="s">
        <v>335</v>
      </c>
      <c r="F54" s="3335" t="s">
        <v>263</v>
      </c>
      <c r="G54" s="3335"/>
      <c r="H54" s="3335"/>
      <c r="I54" s="3335"/>
      <c r="J54" s="3335"/>
      <c r="K54" s="3335"/>
      <c r="L54" s="3335"/>
      <c r="M54" s="3335"/>
    </row>
    <row r="55" spans="1:13" ht="17.25" customHeight="1" thickBot="1">
      <c r="A55" s="662"/>
      <c r="B55" s="3327"/>
      <c r="C55" s="3281"/>
      <c r="D55" s="3284"/>
      <c r="E55" s="3284"/>
      <c r="F55" s="3332" t="s">
        <v>264</v>
      </c>
      <c r="G55" s="3333"/>
      <c r="H55" s="3333"/>
      <c r="I55" s="3334"/>
      <c r="J55" s="3335" t="s">
        <v>336</v>
      </c>
      <c r="K55" s="3335"/>
      <c r="L55" s="3335"/>
      <c r="M55" s="3335"/>
    </row>
    <row r="56" spans="1:13" ht="24" customHeight="1" thickBot="1">
      <c r="A56" s="662"/>
      <c r="B56" s="3327"/>
      <c r="C56" s="3281"/>
      <c r="D56" s="3285"/>
      <c r="E56" s="3285"/>
      <c r="F56" s="2963" t="s">
        <v>267</v>
      </c>
      <c r="G56" s="2963" t="s">
        <v>268</v>
      </c>
      <c r="H56" s="2963" t="s">
        <v>269</v>
      </c>
      <c r="I56" s="2963" t="s">
        <v>160</v>
      </c>
      <c r="J56" s="2964" t="s">
        <v>337</v>
      </c>
      <c r="K56" s="2964" t="s">
        <v>271</v>
      </c>
      <c r="L56" s="2964" t="s">
        <v>338</v>
      </c>
      <c r="M56" s="2964" t="s">
        <v>160</v>
      </c>
    </row>
    <row r="57" spans="1:13" ht="17.25" customHeight="1" thickBot="1">
      <c r="A57" s="662"/>
      <c r="B57" s="3327"/>
      <c r="C57" s="3281"/>
      <c r="D57" s="2972">
        <v>1</v>
      </c>
      <c r="E57" s="3283">
        <v>2</v>
      </c>
      <c r="F57" s="3283">
        <v>3</v>
      </c>
      <c r="G57" s="3283">
        <v>4</v>
      </c>
      <c r="H57" s="2963"/>
      <c r="I57" s="2972">
        <v>6</v>
      </c>
      <c r="J57" s="3283">
        <v>7</v>
      </c>
      <c r="K57" s="3283">
        <v>8</v>
      </c>
      <c r="L57" s="3283">
        <v>9</v>
      </c>
      <c r="M57" s="2972">
        <v>10</v>
      </c>
    </row>
    <row r="58" spans="1:13" ht="15" thickBot="1">
      <c r="A58" s="662"/>
      <c r="B58" s="3328"/>
      <c r="C58" s="3282"/>
      <c r="D58" s="1327" t="s">
        <v>339</v>
      </c>
      <c r="E58" s="3285"/>
      <c r="F58" s="3285"/>
      <c r="G58" s="3285"/>
      <c r="H58" s="1327">
        <v>5</v>
      </c>
      <c r="I58" s="1327" t="s">
        <v>340</v>
      </c>
      <c r="J58" s="3285"/>
      <c r="K58" s="3285"/>
      <c r="L58" s="3285"/>
      <c r="M58" s="1327" t="s">
        <v>341</v>
      </c>
    </row>
    <row r="59" spans="1:13">
      <c r="A59" s="662"/>
      <c r="B59" s="1345" t="s">
        <v>342</v>
      </c>
      <c r="C59" s="900"/>
      <c r="D59" s="1346">
        <f t="shared" ref="D59:D95" si="4">E59+I59+M59</f>
        <v>23083425</v>
      </c>
      <c r="E59" s="886">
        <v>0</v>
      </c>
      <c r="F59" s="901">
        <v>5252880</v>
      </c>
      <c r="G59" s="886">
        <v>15778632</v>
      </c>
      <c r="H59" s="901">
        <v>2051913</v>
      </c>
      <c r="I59" s="1207">
        <f t="shared" ref="I59:I96" si="5">F59+G59+H59</f>
        <v>23083425</v>
      </c>
      <c r="J59" s="901"/>
      <c r="K59" s="886"/>
      <c r="L59" s="901"/>
      <c r="M59" s="1207">
        <f t="shared" ref="M59:M76" si="6">L59+K59+J59</f>
        <v>0</v>
      </c>
    </row>
    <row r="60" spans="1:13">
      <c r="A60" s="662"/>
      <c r="B60" s="2111"/>
      <c r="C60" s="2112"/>
      <c r="D60" s="2113">
        <f t="shared" si="4"/>
        <v>0</v>
      </c>
      <c r="E60" s="2114"/>
      <c r="F60" s="2115"/>
      <c r="G60" s="2114"/>
      <c r="H60" s="2115"/>
      <c r="I60" s="1924">
        <f t="shared" si="5"/>
        <v>0</v>
      </c>
      <c r="J60" s="2115"/>
      <c r="K60" s="2114"/>
      <c r="L60" s="2115"/>
      <c r="M60" s="1924">
        <f t="shared" si="6"/>
        <v>0</v>
      </c>
    </row>
    <row r="61" spans="1:13">
      <c r="A61" s="662"/>
      <c r="B61" s="2116" t="s">
        <v>343</v>
      </c>
      <c r="C61" s="2112"/>
      <c r="D61" s="2113">
        <f t="shared" si="4"/>
        <v>2678803</v>
      </c>
      <c r="E61" s="2114">
        <v>0</v>
      </c>
      <c r="F61" s="2115">
        <v>48886</v>
      </c>
      <c r="G61" s="2114">
        <v>2625688</v>
      </c>
      <c r="H61" s="2115">
        <v>4229</v>
      </c>
      <c r="I61" s="1924">
        <f t="shared" si="5"/>
        <v>2678803</v>
      </c>
      <c r="J61" s="2115"/>
      <c r="K61" s="2114"/>
      <c r="L61" s="2115"/>
      <c r="M61" s="1924">
        <f t="shared" si="6"/>
        <v>0</v>
      </c>
    </row>
    <row r="62" spans="1:13">
      <c r="A62" s="662"/>
      <c r="B62" s="2116"/>
      <c r="C62" s="2112"/>
      <c r="D62" s="2113">
        <f t="shared" si="4"/>
        <v>0</v>
      </c>
      <c r="E62" s="2114"/>
      <c r="F62" s="2115"/>
      <c r="G62" s="2114"/>
      <c r="H62" s="2115"/>
      <c r="I62" s="1924">
        <f t="shared" si="5"/>
        <v>0</v>
      </c>
      <c r="J62" s="2115"/>
      <c r="K62" s="2114"/>
      <c r="L62" s="2115"/>
      <c r="M62" s="1924">
        <f t="shared" si="6"/>
        <v>0</v>
      </c>
    </row>
    <row r="63" spans="1:13" ht="14.25" customHeight="1">
      <c r="A63" s="662"/>
      <c r="B63" s="2117" t="s">
        <v>344</v>
      </c>
      <c r="C63" s="2112"/>
      <c r="D63" s="2113">
        <f t="shared" si="4"/>
        <v>0</v>
      </c>
      <c r="E63" s="2114">
        <v>0</v>
      </c>
      <c r="F63" s="2115">
        <v>0</v>
      </c>
      <c r="G63" s="2114">
        <v>0</v>
      </c>
      <c r="H63" s="2115">
        <v>0</v>
      </c>
      <c r="I63" s="1924">
        <f t="shared" si="5"/>
        <v>0</v>
      </c>
      <c r="J63" s="2115"/>
      <c r="K63" s="2114"/>
      <c r="L63" s="2115"/>
      <c r="M63" s="1924">
        <f t="shared" si="6"/>
        <v>0</v>
      </c>
    </row>
    <row r="64" spans="1:13">
      <c r="A64" s="662"/>
      <c r="B64" s="2111"/>
      <c r="C64" s="2112"/>
      <c r="D64" s="2113">
        <f t="shared" si="4"/>
        <v>0</v>
      </c>
      <c r="E64" s="2114"/>
      <c r="F64" s="2115"/>
      <c r="G64" s="2114"/>
      <c r="H64" s="2115"/>
      <c r="I64" s="1924">
        <f t="shared" si="5"/>
        <v>0</v>
      </c>
      <c r="J64" s="2115"/>
      <c r="K64" s="2114"/>
      <c r="L64" s="2115"/>
      <c r="M64" s="1924">
        <f t="shared" si="6"/>
        <v>0</v>
      </c>
    </row>
    <row r="65" spans="1:38" s="870" customFormat="1">
      <c r="A65" s="662"/>
      <c r="B65" s="2118" t="s">
        <v>345</v>
      </c>
      <c r="C65" s="2119"/>
      <c r="D65" s="2113">
        <f t="shared" si="4"/>
        <v>20404622</v>
      </c>
      <c r="E65" s="2114">
        <f>E59-E61+E63</f>
        <v>0</v>
      </c>
      <c r="F65" s="2115">
        <f>F59-F61+F63</f>
        <v>5203994</v>
      </c>
      <c r="G65" s="2114">
        <f>G59-G61+G63</f>
        <v>13152944</v>
      </c>
      <c r="H65" s="2115">
        <f>H59-H61+H63</f>
        <v>2047684</v>
      </c>
      <c r="I65" s="1924">
        <f t="shared" si="5"/>
        <v>20404622</v>
      </c>
      <c r="J65" s="2115">
        <f>J59-J61+J63</f>
        <v>0</v>
      </c>
      <c r="K65" s="2114">
        <f>K59-K61+K63</f>
        <v>0</v>
      </c>
      <c r="L65" s="2115">
        <f>L59-L61+L63</f>
        <v>0</v>
      </c>
      <c r="M65" s="1924">
        <f t="shared" si="6"/>
        <v>0</v>
      </c>
      <c r="N65"/>
      <c r="O65"/>
      <c r="P65"/>
      <c r="Q65"/>
      <c r="R65"/>
      <c r="S65"/>
      <c r="T65"/>
      <c r="U65"/>
      <c r="V65"/>
      <c r="W65"/>
      <c r="X65"/>
      <c r="Y65"/>
      <c r="Z65"/>
      <c r="AA65"/>
      <c r="AB65" s="2976"/>
      <c r="AC65" s="2976"/>
      <c r="AD65" s="2976"/>
      <c r="AE65" s="2976"/>
      <c r="AF65" s="2976"/>
      <c r="AG65" s="2976"/>
      <c r="AH65" s="2976"/>
      <c r="AI65" s="2976"/>
      <c r="AJ65" s="2976"/>
      <c r="AK65" s="2976"/>
      <c r="AL65" s="2976"/>
    </row>
    <row r="66" spans="1:38">
      <c r="A66" s="662"/>
      <c r="B66" s="2118"/>
      <c r="C66" s="2119"/>
      <c r="D66" s="2113">
        <f t="shared" si="4"/>
        <v>0</v>
      </c>
      <c r="E66" s="2114"/>
      <c r="F66" s="2115"/>
      <c r="G66" s="2114"/>
      <c r="H66" s="2115"/>
      <c r="I66" s="1924">
        <f t="shared" si="5"/>
        <v>0</v>
      </c>
      <c r="J66" s="2115"/>
      <c r="K66" s="2114"/>
      <c r="L66" s="2115"/>
      <c r="M66" s="1924">
        <f t="shared" si="6"/>
        <v>0</v>
      </c>
    </row>
    <row r="67" spans="1:38" s="870" customFormat="1">
      <c r="A67" s="662"/>
      <c r="B67" s="2118" t="s">
        <v>346</v>
      </c>
      <c r="C67" s="2119"/>
      <c r="D67" s="2113">
        <f t="shared" si="4"/>
        <v>5120191</v>
      </c>
      <c r="E67" s="2114">
        <f>SUM(E68:E72)</f>
        <v>1803389</v>
      </c>
      <c r="F67" s="2115">
        <f>SUM(F68:F72)</f>
        <v>1031824</v>
      </c>
      <c r="G67" s="2114">
        <f>SUM(G68:G72)</f>
        <v>2073009</v>
      </c>
      <c r="H67" s="2115">
        <f>SUM(H68:H72)</f>
        <v>211969</v>
      </c>
      <c r="I67" s="1924">
        <f t="shared" si="5"/>
        <v>3316802</v>
      </c>
      <c r="J67" s="2115">
        <f>SUM(J68:J72)</f>
        <v>0</v>
      </c>
      <c r="K67" s="2114">
        <f>SUM(K68:K72)</f>
        <v>0</v>
      </c>
      <c r="L67" s="2115">
        <f>SUM(L68:L72)</f>
        <v>0</v>
      </c>
      <c r="M67" s="1924">
        <f t="shared" si="6"/>
        <v>0</v>
      </c>
      <c r="N67"/>
      <c r="O67"/>
      <c r="P67"/>
      <c r="Q67"/>
      <c r="R67"/>
      <c r="S67"/>
      <c r="T67"/>
      <c r="U67"/>
      <c r="V67"/>
      <c r="W67"/>
      <c r="X67"/>
      <c r="Y67"/>
      <c r="Z67"/>
      <c r="AA67"/>
      <c r="AB67" s="2976"/>
      <c r="AC67" s="2976"/>
      <c r="AD67" s="2976"/>
      <c r="AE67" s="2976"/>
      <c r="AF67" s="2976"/>
      <c r="AG67" s="2976"/>
      <c r="AH67" s="2976"/>
      <c r="AI67" s="2976"/>
      <c r="AJ67" s="2976"/>
      <c r="AK67" s="2976"/>
      <c r="AL67" s="2976"/>
    </row>
    <row r="68" spans="1:38">
      <c r="A68" s="662"/>
      <c r="B68" s="2111" t="s">
        <v>347</v>
      </c>
      <c r="C68" s="2112">
        <v>1</v>
      </c>
      <c r="D68" s="2113">
        <f t="shared" si="4"/>
        <v>4991145</v>
      </c>
      <c r="E68" s="2114">
        <v>1899940</v>
      </c>
      <c r="F68" s="2115">
        <v>1022316</v>
      </c>
      <c r="G68" s="2114">
        <v>1857879</v>
      </c>
      <c r="H68" s="2115">
        <v>211010</v>
      </c>
      <c r="I68" s="1924">
        <f t="shared" si="5"/>
        <v>3091205</v>
      </c>
      <c r="J68" s="2115"/>
      <c r="K68" s="2114"/>
      <c r="L68" s="2115"/>
      <c r="M68" s="1924">
        <f t="shared" si="6"/>
        <v>0</v>
      </c>
    </row>
    <row r="69" spans="1:38">
      <c r="A69" s="662"/>
      <c r="B69" s="2111" t="s">
        <v>348</v>
      </c>
      <c r="C69" s="2112">
        <v>2</v>
      </c>
      <c r="D69" s="2113">
        <f t="shared" si="4"/>
        <v>0</v>
      </c>
      <c r="E69" s="2114">
        <v>0</v>
      </c>
      <c r="F69" s="2115">
        <v>0</v>
      </c>
      <c r="G69" s="2114">
        <v>0</v>
      </c>
      <c r="H69" s="2115"/>
      <c r="I69" s="1924">
        <f t="shared" si="5"/>
        <v>0</v>
      </c>
      <c r="J69" s="2115"/>
      <c r="K69" s="2114"/>
      <c r="L69" s="2115"/>
      <c r="M69" s="1924">
        <f t="shared" si="6"/>
        <v>0</v>
      </c>
    </row>
    <row r="70" spans="1:38">
      <c r="A70" s="662"/>
      <c r="B70" s="2111" t="s">
        <v>349</v>
      </c>
      <c r="C70" s="2112"/>
      <c r="D70" s="2113">
        <f t="shared" si="4"/>
        <v>169908</v>
      </c>
      <c r="E70" s="2114">
        <v>23552</v>
      </c>
      <c r="F70" s="2115">
        <v>35007</v>
      </c>
      <c r="G70" s="2114">
        <v>109244</v>
      </c>
      <c r="H70" s="2115">
        <v>2105</v>
      </c>
      <c r="I70" s="1924">
        <f t="shared" si="5"/>
        <v>146356</v>
      </c>
      <c r="J70" s="2115"/>
      <c r="K70" s="2114"/>
      <c r="L70" s="2115"/>
      <c r="M70" s="1924">
        <f t="shared" si="6"/>
        <v>0</v>
      </c>
    </row>
    <row r="71" spans="1:38">
      <c r="A71" s="662"/>
      <c r="B71" s="2111" t="s">
        <v>350</v>
      </c>
      <c r="C71" s="2112"/>
      <c r="D71" s="2113">
        <f t="shared" si="4"/>
        <v>-51101</v>
      </c>
      <c r="E71" s="2114">
        <v>-116302</v>
      </c>
      <c r="F71" s="2115">
        <v>-25499</v>
      </c>
      <c r="G71" s="2114">
        <v>91846</v>
      </c>
      <c r="H71" s="2115">
        <v>-1146</v>
      </c>
      <c r="I71" s="1924">
        <f t="shared" si="5"/>
        <v>65201</v>
      </c>
      <c r="J71" s="2115"/>
      <c r="K71" s="2114"/>
      <c r="L71" s="2115"/>
      <c r="M71" s="1924">
        <f t="shared" si="6"/>
        <v>0</v>
      </c>
    </row>
    <row r="72" spans="1:38">
      <c r="A72" s="662"/>
      <c r="B72" s="2111" t="s">
        <v>351</v>
      </c>
      <c r="C72" s="2112">
        <v>3</v>
      </c>
      <c r="D72" s="2113">
        <f t="shared" si="4"/>
        <v>10239</v>
      </c>
      <c r="E72" s="2114">
        <v>-3801</v>
      </c>
      <c r="F72" s="2115">
        <v>0</v>
      </c>
      <c r="G72" s="2114">
        <v>14040</v>
      </c>
      <c r="H72" s="2115">
        <v>0</v>
      </c>
      <c r="I72" s="1924">
        <f t="shared" si="5"/>
        <v>14040</v>
      </c>
      <c r="J72" s="2115"/>
      <c r="K72" s="2114"/>
      <c r="L72" s="2115"/>
      <c r="M72" s="1924">
        <f t="shared" si="6"/>
        <v>0</v>
      </c>
    </row>
    <row r="73" spans="1:38">
      <c r="A73" s="662"/>
      <c r="B73" s="2120" t="s">
        <v>371</v>
      </c>
      <c r="C73" s="2112"/>
      <c r="D73" s="2113">
        <f t="shared" si="4"/>
        <v>10239</v>
      </c>
      <c r="E73" s="2114">
        <v>-3801</v>
      </c>
      <c r="F73" s="2115">
        <v>0</v>
      </c>
      <c r="G73" s="2114">
        <v>14040</v>
      </c>
      <c r="H73" s="2115">
        <v>0</v>
      </c>
      <c r="I73" s="1924">
        <f t="shared" si="5"/>
        <v>14040</v>
      </c>
      <c r="J73" s="2115"/>
      <c r="K73" s="2114"/>
      <c r="L73" s="2115"/>
      <c r="M73" s="1924">
        <f t="shared" si="6"/>
        <v>0</v>
      </c>
    </row>
    <row r="74" spans="1:38">
      <c r="A74" s="662"/>
      <c r="B74" s="2111" t="s">
        <v>353</v>
      </c>
      <c r="C74" s="2112"/>
      <c r="D74" s="2113">
        <f t="shared" si="4"/>
        <v>0</v>
      </c>
      <c r="E74" s="2114"/>
      <c r="F74" s="2115"/>
      <c r="G74" s="2114"/>
      <c r="H74" s="2115"/>
      <c r="I74" s="1924">
        <f t="shared" si="5"/>
        <v>0</v>
      </c>
      <c r="J74" s="2115"/>
      <c r="K74" s="2114"/>
      <c r="L74" s="2115"/>
      <c r="M74" s="1924">
        <f t="shared" si="6"/>
        <v>0</v>
      </c>
    </row>
    <row r="75" spans="1:38">
      <c r="A75" s="662"/>
      <c r="B75" s="2111"/>
      <c r="C75" s="2112"/>
      <c r="D75" s="2113">
        <f t="shared" si="4"/>
        <v>0</v>
      </c>
      <c r="E75" s="2114"/>
      <c r="F75" s="2115"/>
      <c r="G75" s="2114"/>
      <c r="H75" s="2115"/>
      <c r="I75" s="1924">
        <f t="shared" si="5"/>
        <v>0</v>
      </c>
      <c r="J75" s="2115"/>
      <c r="K75" s="2114"/>
      <c r="L75" s="2115"/>
      <c r="M75" s="1924">
        <f t="shared" si="6"/>
        <v>0</v>
      </c>
    </row>
    <row r="76" spans="1:38" s="870" customFormat="1">
      <c r="A76" s="662"/>
      <c r="B76" s="2121" t="s">
        <v>354</v>
      </c>
      <c r="C76" s="2119"/>
      <c r="D76" s="2113">
        <f t="shared" si="4"/>
        <v>25524813</v>
      </c>
      <c r="E76" s="2114">
        <f>E65+E67</f>
        <v>1803389</v>
      </c>
      <c r="F76" s="2115">
        <f>F65+F67</f>
        <v>6235818</v>
      </c>
      <c r="G76" s="2114">
        <f>G65+G67</f>
        <v>15225953</v>
      </c>
      <c r="H76" s="2115">
        <f>H65+H67</f>
        <v>2259653</v>
      </c>
      <c r="I76" s="1924">
        <f t="shared" si="5"/>
        <v>23721424</v>
      </c>
      <c r="J76" s="2115">
        <f>J65+J67</f>
        <v>0</v>
      </c>
      <c r="K76" s="2114">
        <f>K65+K67</f>
        <v>0</v>
      </c>
      <c r="L76" s="2115">
        <f>L65+L67</f>
        <v>0</v>
      </c>
      <c r="M76" s="1924">
        <f t="shared" si="6"/>
        <v>0</v>
      </c>
      <c r="N76"/>
      <c r="O76"/>
      <c r="P76"/>
      <c r="Q76"/>
      <c r="R76"/>
      <c r="S76"/>
      <c r="T76"/>
      <c r="U76"/>
      <c r="V76"/>
      <c r="W76"/>
      <c r="X76"/>
      <c r="Y76"/>
      <c r="Z76"/>
      <c r="AA76"/>
      <c r="AB76" s="2976"/>
      <c r="AC76" s="2976"/>
      <c r="AD76" s="2976"/>
      <c r="AE76" s="2976"/>
      <c r="AF76" s="2976"/>
      <c r="AG76" s="2976"/>
      <c r="AH76" s="2976"/>
      <c r="AI76" s="2976"/>
      <c r="AJ76" s="2976"/>
      <c r="AK76" s="2976"/>
      <c r="AL76" s="2976"/>
    </row>
    <row r="77" spans="1:38">
      <c r="A77" s="662"/>
      <c r="B77" s="2121"/>
      <c r="C77" s="2119"/>
      <c r="D77" s="2113">
        <f t="shared" si="4"/>
        <v>0</v>
      </c>
      <c r="E77" s="2114"/>
      <c r="F77" s="2115"/>
      <c r="G77" s="2114"/>
      <c r="H77" s="2115"/>
      <c r="I77" s="1924">
        <f t="shared" si="5"/>
        <v>0</v>
      </c>
      <c r="J77" s="2115"/>
      <c r="K77" s="2114"/>
      <c r="L77" s="2115"/>
      <c r="M77" s="1924"/>
    </row>
    <row r="78" spans="1:38">
      <c r="A78" s="662"/>
      <c r="B78" s="2111" t="s">
        <v>355</v>
      </c>
      <c r="C78" s="2112"/>
      <c r="D78" s="2113">
        <f t="shared" si="4"/>
        <v>9114292</v>
      </c>
      <c r="E78" s="2114">
        <v>0</v>
      </c>
      <c r="F78" s="2115">
        <v>717014</v>
      </c>
      <c r="G78" s="2114">
        <v>7791798</v>
      </c>
      <c r="H78" s="2115">
        <v>605480</v>
      </c>
      <c r="I78" s="1924">
        <f t="shared" si="5"/>
        <v>9114292</v>
      </c>
      <c r="J78" s="2115"/>
      <c r="K78" s="2114"/>
      <c r="L78" s="2115"/>
      <c r="M78" s="1924">
        <f t="shared" ref="M78:M96" si="7">L78+K78+J78</f>
        <v>0</v>
      </c>
    </row>
    <row r="79" spans="1:38">
      <c r="A79" s="662"/>
      <c r="B79" s="2111" t="s">
        <v>356</v>
      </c>
      <c r="C79" s="2112"/>
      <c r="D79" s="2113">
        <f t="shared" si="4"/>
        <v>-850006</v>
      </c>
      <c r="E79" s="2114">
        <v>0</v>
      </c>
      <c r="F79" s="2115">
        <v>-26817</v>
      </c>
      <c r="G79" s="2114">
        <v>-821338</v>
      </c>
      <c r="H79" s="2115">
        <v>-1851</v>
      </c>
      <c r="I79" s="1924">
        <f t="shared" si="5"/>
        <v>-850006</v>
      </c>
      <c r="J79" s="2115"/>
      <c r="K79" s="2114"/>
      <c r="L79" s="2115"/>
      <c r="M79" s="1924">
        <f t="shared" si="7"/>
        <v>0</v>
      </c>
    </row>
    <row r="80" spans="1:38">
      <c r="A80" s="662"/>
      <c r="B80" s="2111" t="s">
        <v>357</v>
      </c>
      <c r="C80" s="2112"/>
      <c r="D80" s="2113">
        <f t="shared" si="4"/>
        <v>213222</v>
      </c>
      <c r="E80" s="2114">
        <v>0</v>
      </c>
      <c r="F80" s="2115">
        <v>24161</v>
      </c>
      <c r="G80" s="2114">
        <v>182979</v>
      </c>
      <c r="H80" s="2115">
        <v>6082</v>
      </c>
      <c r="I80" s="1924">
        <f t="shared" si="5"/>
        <v>213222</v>
      </c>
      <c r="J80" s="2115"/>
      <c r="K80" s="2114"/>
      <c r="L80" s="2115"/>
      <c r="M80" s="1924">
        <f t="shared" si="7"/>
        <v>0</v>
      </c>
    </row>
    <row r="81" spans="1:38" ht="13.5" customHeight="1">
      <c r="A81" s="662"/>
      <c r="B81" s="2122" t="s">
        <v>358</v>
      </c>
      <c r="C81" s="2112"/>
      <c r="D81" s="2113">
        <f t="shared" si="4"/>
        <v>-83923</v>
      </c>
      <c r="E81" s="2114">
        <v>0</v>
      </c>
      <c r="F81" s="2115">
        <v>-7324</v>
      </c>
      <c r="G81" s="2114">
        <v>-74764</v>
      </c>
      <c r="H81" s="2115">
        <v>-1835</v>
      </c>
      <c r="I81" s="1924">
        <f t="shared" si="5"/>
        <v>-83923</v>
      </c>
      <c r="J81" s="2115"/>
      <c r="K81" s="2114"/>
      <c r="L81" s="2115"/>
      <c r="M81" s="1924">
        <f t="shared" si="7"/>
        <v>0</v>
      </c>
    </row>
    <row r="82" spans="1:38">
      <c r="A82" s="662"/>
      <c r="B82" s="2111" t="s">
        <v>359</v>
      </c>
      <c r="C82" s="2112"/>
      <c r="D82" s="2113">
        <f t="shared" si="4"/>
        <v>3717074</v>
      </c>
      <c r="E82" s="2114">
        <v>0</v>
      </c>
      <c r="F82" s="2115">
        <v>1720243</v>
      </c>
      <c r="G82" s="2114">
        <v>536371</v>
      </c>
      <c r="H82" s="2115">
        <v>1460460</v>
      </c>
      <c r="I82" s="1924">
        <f t="shared" si="5"/>
        <v>3717074</v>
      </c>
      <c r="J82" s="2115"/>
      <c r="K82" s="2114"/>
      <c r="L82" s="2115"/>
      <c r="M82" s="1924">
        <f t="shared" si="7"/>
        <v>0</v>
      </c>
    </row>
    <row r="83" spans="1:38" ht="26.45">
      <c r="A83" s="662"/>
      <c r="B83" s="2122" t="s">
        <v>360</v>
      </c>
      <c r="C83" s="2112"/>
      <c r="D83" s="2113">
        <f t="shared" si="4"/>
        <v>0</v>
      </c>
      <c r="E83" s="2114">
        <v>0</v>
      </c>
      <c r="F83" s="2115">
        <v>0</v>
      </c>
      <c r="G83" s="2114"/>
      <c r="H83" s="2115"/>
      <c r="I83" s="1924">
        <f t="shared" si="5"/>
        <v>0</v>
      </c>
      <c r="J83" s="2115"/>
      <c r="K83" s="2114"/>
      <c r="L83" s="2115"/>
      <c r="M83" s="1924">
        <f t="shared" si="7"/>
        <v>0</v>
      </c>
    </row>
    <row r="84" spans="1:38" s="870" customFormat="1">
      <c r="A84" s="662"/>
      <c r="B84" s="2121" t="s">
        <v>361</v>
      </c>
      <c r="C84" s="2119"/>
      <c r="D84" s="2113">
        <f t="shared" si="4"/>
        <v>12110659</v>
      </c>
      <c r="E84" s="2114">
        <f>SUM(E78:E83)</f>
        <v>0</v>
      </c>
      <c r="F84" s="2115">
        <f>SUM(F78:F83)</f>
        <v>2427277</v>
      </c>
      <c r="G84" s="2114">
        <f>SUM(G78:G83)</f>
        <v>7615046</v>
      </c>
      <c r="H84" s="2115">
        <f>SUM(H78:H83)</f>
        <v>2068336</v>
      </c>
      <c r="I84" s="1924">
        <f t="shared" si="5"/>
        <v>12110659</v>
      </c>
      <c r="J84" s="2115">
        <f>SUM(J78:J83)</f>
        <v>0</v>
      </c>
      <c r="K84" s="2114">
        <f>SUM(K78:K83)</f>
        <v>0</v>
      </c>
      <c r="L84" s="2115">
        <f>SUM(L78:L83)</f>
        <v>0</v>
      </c>
      <c r="M84" s="1924">
        <f t="shared" si="7"/>
        <v>0</v>
      </c>
      <c r="N84"/>
      <c r="O84"/>
      <c r="P84"/>
      <c r="Q84"/>
      <c r="R84"/>
      <c r="S84"/>
      <c r="T84"/>
      <c r="U84"/>
      <c r="V84"/>
      <c r="W84"/>
      <c r="X84"/>
      <c r="Y84"/>
      <c r="Z84"/>
      <c r="AA84"/>
      <c r="AB84" s="2976"/>
      <c r="AC84" s="2976"/>
      <c r="AD84" s="2976"/>
      <c r="AE84" s="2976"/>
      <c r="AF84" s="2976"/>
      <c r="AG84" s="2976"/>
      <c r="AH84" s="2976"/>
      <c r="AI84" s="2976"/>
      <c r="AJ84" s="2976"/>
      <c r="AK84" s="2976"/>
      <c r="AL84" s="2976"/>
    </row>
    <row r="85" spans="1:38">
      <c r="A85" s="662"/>
      <c r="B85" s="2111"/>
      <c r="C85" s="2112"/>
      <c r="D85" s="2113">
        <f t="shared" si="4"/>
        <v>0</v>
      </c>
      <c r="E85" s="2114"/>
      <c r="F85" s="2115"/>
      <c r="G85" s="2114"/>
      <c r="H85" s="2115"/>
      <c r="I85" s="1924">
        <f t="shared" si="5"/>
        <v>0</v>
      </c>
      <c r="J85" s="2115"/>
      <c r="K85" s="2114"/>
      <c r="L85" s="2115"/>
      <c r="M85" s="1924">
        <f t="shared" si="7"/>
        <v>0</v>
      </c>
    </row>
    <row r="86" spans="1:38" ht="26.45">
      <c r="A86" s="662"/>
      <c r="B86" s="2122" t="s">
        <v>362</v>
      </c>
      <c r="C86" s="2112"/>
      <c r="D86" s="2113">
        <f t="shared" si="4"/>
        <v>4955888</v>
      </c>
      <c r="E86" s="2114">
        <v>0</v>
      </c>
      <c r="F86" s="2115">
        <v>1486922</v>
      </c>
      <c r="G86" s="2114">
        <v>3280333</v>
      </c>
      <c r="H86" s="2115">
        <v>188633</v>
      </c>
      <c r="I86" s="1924">
        <f t="shared" si="5"/>
        <v>4955888</v>
      </c>
      <c r="J86" s="2115"/>
      <c r="K86" s="2114"/>
      <c r="L86" s="2115"/>
      <c r="M86" s="1924">
        <f t="shared" si="7"/>
        <v>0</v>
      </c>
    </row>
    <row r="87" spans="1:38">
      <c r="A87" s="662"/>
      <c r="B87" s="2111"/>
      <c r="C87" s="2112"/>
      <c r="D87" s="2113">
        <f t="shared" si="4"/>
        <v>0</v>
      </c>
      <c r="E87" s="2114">
        <v>0</v>
      </c>
      <c r="F87" s="2115">
        <v>0</v>
      </c>
      <c r="G87" s="2114"/>
      <c r="H87" s="2115"/>
      <c r="I87" s="1924">
        <f t="shared" si="5"/>
        <v>0</v>
      </c>
      <c r="J87" s="2115"/>
      <c r="K87" s="2114"/>
      <c r="L87" s="2115"/>
      <c r="M87" s="1924">
        <f t="shared" si="7"/>
        <v>0</v>
      </c>
    </row>
    <row r="88" spans="1:38" ht="15.75" customHeight="1">
      <c r="A88" s="662"/>
      <c r="B88" s="2122" t="s">
        <v>363</v>
      </c>
      <c r="C88" s="2112">
        <v>4</v>
      </c>
      <c r="D88" s="2113">
        <f t="shared" si="4"/>
        <v>6495669</v>
      </c>
      <c r="E88" s="2114">
        <v>2111025</v>
      </c>
      <c r="F88" s="2115">
        <v>2201815</v>
      </c>
      <c r="G88" s="2114">
        <v>2180168</v>
      </c>
      <c r="H88" s="2115">
        <v>2661</v>
      </c>
      <c r="I88" s="1924">
        <f t="shared" si="5"/>
        <v>4384644</v>
      </c>
      <c r="J88" s="2115"/>
      <c r="K88" s="2114"/>
      <c r="L88" s="2115"/>
      <c r="M88" s="1924">
        <f t="shared" si="7"/>
        <v>0</v>
      </c>
    </row>
    <row r="89" spans="1:38">
      <c r="A89" s="662"/>
      <c r="B89" s="2111" t="s">
        <v>364</v>
      </c>
      <c r="C89" s="2112"/>
      <c r="D89" s="2113">
        <f t="shared" si="4"/>
        <v>0</v>
      </c>
      <c r="E89" s="2114">
        <v>0</v>
      </c>
      <c r="F89" s="2115">
        <v>0</v>
      </c>
      <c r="G89" s="2114"/>
      <c r="H89" s="2115"/>
      <c r="I89" s="1924">
        <f t="shared" si="5"/>
        <v>0</v>
      </c>
      <c r="J89" s="2115"/>
      <c r="K89" s="2114"/>
      <c r="L89" s="2115"/>
      <c r="M89" s="1924">
        <f t="shared" si="7"/>
        <v>0</v>
      </c>
    </row>
    <row r="90" spans="1:38">
      <c r="A90" s="662"/>
      <c r="B90" s="2111" t="s">
        <v>365</v>
      </c>
      <c r="C90" s="2112"/>
      <c r="D90" s="2113">
        <f t="shared" si="4"/>
        <v>-2067787</v>
      </c>
      <c r="E90" s="2114">
        <v>39980</v>
      </c>
      <c r="F90" s="2115">
        <v>119804</v>
      </c>
      <c r="G90" s="2114">
        <v>-2227594</v>
      </c>
      <c r="H90" s="2115">
        <v>23</v>
      </c>
      <c r="I90" s="1924">
        <f t="shared" si="5"/>
        <v>-2107767</v>
      </c>
      <c r="J90" s="2115"/>
      <c r="K90" s="2114"/>
      <c r="L90" s="2115"/>
      <c r="M90" s="1924">
        <f t="shared" si="7"/>
        <v>0</v>
      </c>
    </row>
    <row r="91" spans="1:38" s="870" customFormat="1">
      <c r="A91" s="662"/>
      <c r="B91" s="2121" t="s">
        <v>366</v>
      </c>
      <c r="C91" s="2119"/>
      <c r="D91" s="2113">
        <f t="shared" si="4"/>
        <v>4427882</v>
      </c>
      <c r="E91" s="2114">
        <f>SUM(E88:E90)</f>
        <v>2151005</v>
      </c>
      <c r="F91" s="2115">
        <f>SUM(F88:F90)</f>
        <v>2321619</v>
      </c>
      <c r="G91" s="2114">
        <f>SUM(G88:G90)</f>
        <v>-47426</v>
      </c>
      <c r="H91" s="2115">
        <f>SUM(H88:H90)</f>
        <v>2684</v>
      </c>
      <c r="I91" s="1924">
        <f t="shared" si="5"/>
        <v>2276877</v>
      </c>
      <c r="J91" s="2115">
        <f>SUM(J88:J90)</f>
        <v>0</v>
      </c>
      <c r="K91" s="2114">
        <f>SUM(K88:K90)</f>
        <v>0</v>
      </c>
      <c r="L91" s="2115">
        <f>SUM(L88:L90)</f>
        <v>0</v>
      </c>
      <c r="M91" s="1924">
        <f t="shared" si="7"/>
        <v>0</v>
      </c>
      <c r="N91"/>
      <c r="O91"/>
      <c r="P91"/>
      <c r="Q91"/>
      <c r="R91"/>
      <c r="S91"/>
      <c r="T91"/>
      <c r="U91"/>
      <c r="V91"/>
      <c r="W91"/>
      <c r="X91"/>
      <c r="Y91"/>
      <c r="Z91"/>
      <c r="AA91"/>
      <c r="AB91" s="2976"/>
      <c r="AC91" s="2976"/>
      <c r="AD91" s="2976"/>
      <c r="AE91" s="2976"/>
      <c r="AF91" s="2976"/>
      <c r="AG91" s="2976"/>
      <c r="AH91" s="2976"/>
      <c r="AI91" s="2976"/>
      <c r="AJ91" s="2976"/>
      <c r="AK91" s="2976"/>
      <c r="AL91" s="2976"/>
    </row>
    <row r="92" spans="1:38">
      <c r="A92" s="662"/>
      <c r="B92" s="2121"/>
      <c r="C92" s="2119"/>
      <c r="D92" s="2113">
        <f t="shared" si="4"/>
        <v>0</v>
      </c>
      <c r="E92" s="2114"/>
      <c r="F92" s="2115"/>
      <c r="G92" s="2114"/>
      <c r="H92" s="2115"/>
      <c r="I92" s="1924">
        <f t="shared" si="5"/>
        <v>0</v>
      </c>
      <c r="J92" s="2115"/>
      <c r="K92" s="2114"/>
      <c r="L92" s="2115"/>
      <c r="M92" s="1924">
        <f t="shared" si="7"/>
        <v>0</v>
      </c>
    </row>
    <row r="93" spans="1:38" s="870" customFormat="1">
      <c r="A93" s="662"/>
      <c r="B93" s="2121" t="s">
        <v>367</v>
      </c>
      <c r="C93" s="2119"/>
      <c r="D93" s="2113">
        <f t="shared" si="4"/>
        <v>4030384</v>
      </c>
      <c r="E93" s="2114">
        <f>E76-E84-E86-E91</f>
        <v>-347616</v>
      </c>
      <c r="F93" s="2115">
        <f>F76-F84-F86-F91</f>
        <v>0</v>
      </c>
      <c r="G93" s="2114">
        <f>G76-G84-G86-G91</f>
        <v>4378000</v>
      </c>
      <c r="H93" s="2115">
        <f>H76-H84-H86-H91</f>
        <v>0</v>
      </c>
      <c r="I93" s="1924">
        <f t="shared" si="5"/>
        <v>4378000</v>
      </c>
      <c r="J93" s="2115">
        <f>J76-J84-J86-J91</f>
        <v>0</v>
      </c>
      <c r="K93" s="2114">
        <f>K76-K84-K86-K91</f>
        <v>0</v>
      </c>
      <c r="L93" s="2115">
        <f>L76-L84-L86-L91</f>
        <v>0</v>
      </c>
      <c r="M93" s="1924">
        <f t="shared" si="7"/>
        <v>0</v>
      </c>
      <c r="N93"/>
      <c r="O93"/>
      <c r="P93"/>
      <c r="Q93"/>
      <c r="R93"/>
      <c r="S93"/>
      <c r="T93"/>
      <c r="U93"/>
      <c r="V93"/>
      <c r="W93"/>
      <c r="X93"/>
      <c r="Y93"/>
      <c r="Z93"/>
      <c r="AA93"/>
      <c r="AB93" s="2976"/>
      <c r="AC93" s="2976"/>
      <c r="AD93" s="2976"/>
      <c r="AE93" s="2976"/>
      <c r="AF93" s="2976"/>
      <c r="AG93" s="2976"/>
      <c r="AH93" s="2976"/>
      <c r="AI93" s="2976"/>
      <c r="AJ93" s="2976"/>
      <c r="AK93" s="2976"/>
      <c r="AL93" s="2976"/>
    </row>
    <row r="94" spans="1:38">
      <c r="A94" s="662"/>
      <c r="B94" s="2111" t="s">
        <v>368</v>
      </c>
      <c r="C94" s="2112"/>
      <c r="D94" s="2113">
        <f t="shared" si="4"/>
        <v>1347507</v>
      </c>
      <c r="E94" s="2114">
        <v>1347507</v>
      </c>
      <c r="F94" s="2115"/>
      <c r="G94" s="2114"/>
      <c r="H94" s="2115"/>
      <c r="I94" s="1924">
        <f t="shared" si="5"/>
        <v>0</v>
      </c>
      <c r="J94" s="2115"/>
      <c r="K94" s="2114"/>
      <c r="L94" s="2115"/>
      <c r="M94" s="1924">
        <f t="shared" si="7"/>
        <v>0</v>
      </c>
    </row>
    <row r="95" spans="1:38">
      <c r="A95" s="662"/>
      <c r="B95" s="2123"/>
      <c r="C95" s="2112"/>
      <c r="D95" s="2113">
        <f t="shared" si="4"/>
        <v>0</v>
      </c>
      <c r="E95" s="2114"/>
      <c r="F95" s="2115"/>
      <c r="G95" s="2114"/>
      <c r="H95" s="2115"/>
      <c r="I95" s="1924">
        <f t="shared" si="5"/>
        <v>0</v>
      </c>
      <c r="J95" s="2115"/>
      <c r="K95" s="2114"/>
      <c r="L95" s="2115"/>
      <c r="M95" s="1924">
        <f t="shared" si="7"/>
        <v>0</v>
      </c>
    </row>
    <row r="96" spans="1:38" s="870" customFormat="1" ht="15" thickBot="1">
      <c r="A96" s="662"/>
      <c r="B96" s="1347" t="s">
        <v>369</v>
      </c>
      <c r="C96" s="1348"/>
      <c r="D96" s="1349">
        <f>E96+I96+M96</f>
        <v>2682877</v>
      </c>
      <c r="E96" s="1350">
        <f>E93-E94</f>
        <v>-1695123</v>
      </c>
      <c r="F96" s="1351">
        <f>F93-F94</f>
        <v>0</v>
      </c>
      <c r="G96" s="1350">
        <f>G93-G94</f>
        <v>4378000</v>
      </c>
      <c r="H96" s="1351">
        <f>H93-H94</f>
        <v>0</v>
      </c>
      <c r="I96" s="1350">
        <f t="shared" si="5"/>
        <v>4378000</v>
      </c>
      <c r="J96" s="1351">
        <f>J93-J94</f>
        <v>0</v>
      </c>
      <c r="K96" s="1350">
        <f>K93-K94</f>
        <v>0</v>
      </c>
      <c r="L96" s="1351">
        <f>L93-L94</f>
        <v>0</v>
      </c>
      <c r="M96" s="1350">
        <f t="shared" si="7"/>
        <v>0</v>
      </c>
      <c r="N96"/>
      <c r="O96"/>
      <c r="P96"/>
      <c r="Q96"/>
      <c r="R96"/>
      <c r="S96"/>
      <c r="T96"/>
      <c r="U96"/>
      <c r="V96"/>
      <c r="W96"/>
      <c r="X96"/>
      <c r="Y96"/>
      <c r="Z96"/>
      <c r="AA96"/>
      <c r="AB96" s="2976"/>
      <c r="AC96" s="2976"/>
      <c r="AD96" s="2976"/>
      <c r="AE96" s="2976"/>
      <c r="AF96" s="2976"/>
      <c r="AG96" s="2976"/>
      <c r="AH96" s="2976"/>
      <c r="AI96" s="2976"/>
      <c r="AJ96" s="2976"/>
      <c r="AK96" s="2976"/>
      <c r="AL96" s="2976"/>
    </row>
    <row r="97" spans="1:13">
      <c r="A97" s="662"/>
      <c r="B97" s="662"/>
      <c r="C97" s="662"/>
      <c r="D97" s="670"/>
      <c r="E97" s="670"/>
      <c r="F97" s="670"/>
      <c r="G97" s="670"/>
      <c r="H97" s="670"/>
      <c r="I97" s="670"/>
      <c r="J97" s="670"/>
      <c r="K97" s="670"/>
      <c r="L97" s="670"/>
      <c r="M97" s="670"/>
    </row>
    <row r="98" spans="1:13">
      <c r="A98" s="662"/>
      <c r="B98" s="662"/>
      <c r="C98" s="662"/>
      <c r="D98" s="662"/>
      <c r="E98" s="662"/>
      <c r="F98" s="662"/>
      <c r="G98" s="662"/>
      <c r="H98" s="662"/>
      <c r="I98" s="662"/>
      <c r="J98" s="662"/>
      <c r="K98" s="662"/>
      <c r="L98" s="662"/>
      <c r="M98" s="662"/>
    </row>
    <row r="100" spans="1:13" ht="15" thickBot="1"/>
    <row r="101" spans="1:13" ht="17.25" customHeight="1" thickBot="1">
      <c r="A101" s="1343" t="s">
        <v>178</v>
      </c>
      <c r="B101" s="1344" t="s">
        <v>323</v>
      </c>
      <c r="D101" s="662"/>
      <c r="E101" s="662"/>
      <c r="F101" s="895"/>
      <c r="G101" s="895"/>
      <c r="H101" s="895"/>
      <c r="I101" s="895"/>
      <c r="J101" s="895"/>
      <c r="K101" s="895"/>
      <c r="L101" s="3292"/>
      <c r="M101" s="3292" t="s">
        <v>257</v>
      </c>
    </row>
    <row r="102" spans="1:13" ht="17.25" customHeight="1" thickBot="1">
      <c r="A102" s="662"/>
      <c r="B102" s="3331" t="s">
        <v>323</v>
      </c>
      <c r="C102" s="3280" t="s">
        <v>334</v>
      </c>
      <c r="D102" s="3283" t="s">
        <v>260</v>
      </c>
      <c r="E102" s="3283" t="s">
        <v>335</v>
      </c>
      <c r="F102" s="3289" t="s">
        <v>263</v>
      </c>
      <c r="G102" s="3290"/>
      <c r="H102" s="3290"/>
      <c r="I102" s="3290"/>
      <c r="J102" s="3290"/>
      <c r="K102" s="3290"/>
      <c r="L102" s="3290"/>
      <c r="M102" s="3291"/>
    </row>
    <row r="103" spans="1:13" ht="17.25" customHeight="1" thickBot="1">
      <c r="A103" s="662"/>
      <c r="B103" s="3327"/>
      <c r="C103" s="3281"/>
      <c r="D103" s="3284"/>
      <c r="E103" s="3284"/>
      <c r="F103" s="3332" t="s">
        <v>264</v>
      </c>
      <c r="G103" s="3333"/>
      <c r="H103" s="3333"/>
      <c r="I103" s="3334"/>
      <c r="J103" s="3335" t="s">
        <v>336</v>
      </c>
      <c r="K103" s="3335"/>
      <c r="L103" s="3335"/>
      <c r="M103" s="3335"/>
    </row>
    <row r="104" spans="1:13" ht="17.25" customHeight="1" thickBot="1">
      <c r="A104" s="662"/>
      <c r="B104" s="3327"/>
      <c r="C104" s="3281"/>
      <c r="D104" s="3285"/>
      <c r="E104" s="3285"/>
      <c r="F104" s="2963" t="s">
        <v>267</v>
      </c>
      <c r="G104" s="2963" t="s">
        <v>268</v>
      </c>
      <c r="H104" s="2963" t="s">
        <v>269</v>
      </c>
      <c r="I104" s="2963" t="s">
        <v>160</v>
      </c>
      <c r="J104" s="2964" t="s">
        <v>337</v>
      </c>
      <c r="K104" s="2964" t="s">
        <v>271</v>
      </c>
      <c r="L104" s="2964" t="s">
        <v>338</v>
      </c>
      <c r="M104" s="2964" t="s">
        <v>160</v>
      </c>
    </row>
    <row r="105" spans="1:13" ht="17.25" customHeight="1" thickBot="1">
      <c r="A105" s="662"/>
      <c r="B105" s="3327"/>
      <c r="C105" s="3281"/>
      <c r="D105" s="2972">
        <v>1</v>
      </c>
      <c r="E105" s="3283">
        <v>2</v>
      </c>
      <c r="F105" s="3283">
        <v>3</v>
      </c>
      <c r="G105" s="3283">
        <v>4</v>
      </c>
      <c r="H105" s="2963"/>
      <c r="I105" s="2972">
        <v>6</v>
      </c>
      <c r="J105" s="3283">
        <v>7</v>
      </c>
      <c r="K105" s="3283">
        <v>8</v>
      </c>
      <c r="L105" s="3283">
        <v>9</v>
      </c>
      <c r="M105" s="2972">
        <v>10</v>
      </c>
    </row>
    <row r="106" spans="1:13" ht="15" thickBot="1">
      <c r="A106" s="662"/>
      <c r="B106" s="3328"/>
      <c r="C106" s="3282"/>
      <c r="D106" s="1327" t="s">
        <v>339</v>
      </c>
      <c r="E106" s="3285"/>
      <c r="F106" s="3285"/>
      <c r="G106" s="3285"/>
      <c r="H106" s="1327">
        <v>5</v>
      </c>
      <c r="I106" s="1327" t="s">
        <v>340</v>
      </c>
      <c r="J106" s="3285"/>
      <c r="K106" s="3285"/>
      <c r="L106" s="3285"/>
      <c r="M106" s="1327" t="s">
        <v>341</v>
      </c>
    </row>
    <row r="107" spans="1:13">
      <c r="A107" s="662"/>
      <c r="B107" s="1328" t="s">
        <v>342</v>
      </c>
      <c r="C107" s="885"/>
      <c r="D107" s="1329">
        <f t="shared" ref="D107:D144" si="8">E107+I107+M107</f>
        <v>2318578.3563300003</v>
      </c>
      <c r="E107" s="902">
        <v>0</v>
      </c>
      <c r="F107" s="485">
        <v>0</v>
      </c>
      <c r="G107" s="902">
        <v>1716907.2728623652</v>
      </c>
      <c r="H107" s="485">
        <v>601671.08346763509</v>
      </c>
      <c r="I107" s="1332">
        <f t="shared" ref="I107:I144" si="9">F107+G107+H107</f>
        <v>2318578.3563300003</v>
      </c>
      <c r="J107" s="886"/>
      <c r="K107" s="887"/>
      <c r="L107" s="886"/>
      <c r="M107" s="1335">
        <f t="shared" ref="M107:M124" si="10">L107+K107+J107</f>
        <v>0</v>
      </c>
    </row>
    <row r="108" spans="1:13">
      <c r="A108" s="662"/>
      <c r="B108" s="2103"/>
      <c r="C108" s="2104"/>
      <c r="D108" s="2124">
        <f t="shared" si="8"/>
        <v>0</v>
      </c>
      <c r="E108" s="1678"/>
      <c r="F108" s="1866"/>
      <c r="G108" s="1678"/>
      <c r="H108" s="1866"/>
      <c r="I108" s="2125">
        <f t="shared" si="9"/>
        <v>0</v>
      </c>
      <c r="J108" s="2114"/>
      <c r="K108" s="2126"/>
      <c r="L108" s="2114"/>
      <c r="M108" s="2127">
        <f t="shared" si="10"/>
        <v>0</v>
      </c>
    </row>
    <row r="109" spans="1:13">
      <c r="A109" s="662"/>
      <c r="B109" s="2105" t="s">
        <v>343</v>
      </c>
      <c r="C109" s="2104"/>
      <c r="D109" s="2124">
        <f t="shared" si="8"/>
        <v>69162.49252</v>
      </c>
      <c r="E109" s="1678">
        <v>0</v>
      </c>
      <c r="F109" s="1866">
        <v>0</v>
      </c>
      <c r="G109" s="1678">
        <v>68470.867594800002</v>
      </c>
      <c r="H109" s="1866">
        <v>691.62492520000001</v>
      </c>
      <c r="I109" s="2125">
        <f t="shared" si="9"/>
        <v>69162.49252</v>
      </c>
      <c r="J109" s="2114"/>
      <c r="K109" s="2126"/>
      <c r="L109" s="2114"/>
      <c r="M109" s="2127">
        <f t="shared" si="10"/>
        <v>0</v>
      </c>
    </row>
    <row r="110" spans="1:13">
      <c r="A110" s="662"/>
      <c r="B110" s="2105"/>
      <c r="C110" s="2104"/>
      <c r="D110" s="2124">
        <f t="shared" si="8"/>
        <v>0</v>
      </c>
      <c r="E110" s="1678"/>
      <c r="F110" s="1866"/>
      <c r="G110" s="1678"/>
      <c r="H110" s="1866"/>
      <c r="I110" s="2125">
        <f t="shared" si="9"/>
        <v>0</v>
      </c>
      <c r="J110" s="2114"/>
      <c r="K110" s="2126"/>
      <c r="L110" s="2114"/>
      <c r="M110" s="2127">
        <f t="shared" si="10"/>
        <v>0</v>
      </c>
    </row>
    <row r="111" spans="1:13" ht="14.25" customHeight="1">
      <c r="A111" s="662"/>
      <c r="B111" s="2106" t="s">
        <v>344</v>
      </c>
      <c r="C111" s="2104"/>
      <c r="D111" s="2124">
        <f t="shared" si="8"/>
        <v>0</v>
      </c>
      <c r="E111" s="1678"/>
      <c r="F111" s="1866"/>
      <c r="G111" s="1678"/>
      <c r="H111" s="1866"/>
      <c r="I111" s="2125">
        <f t="shared" si="9"/>
        <v>0</v>
      </c>
      <c r="J111" s="2114"/>
      <c r="K111" s="2126"/>
      <c r="L111" s="2114"/>
      <c r="M111" s="2127">
        <f t="shared" si="10"/>
        <v>0</v>
      </c>
    </row>
    <row r="112" spans="1:13">
      <c r="A112" s="662"/>
      <c r="B112" s="2103"/>
      <c r="C112" s="2104"/>
      <c r="D112" s="2124">
        <f t="shared" si="8"/>
        <v>0</v>
      </c>
      <c r="E112" s="2126"/>
      <c r="F112" s="2114"/>
      <c r="G112" s="2126"/>
      <c r="H112" s="2114"/>
      <c r="I112" s="2125">
        <f t="shared" si="9"/>
        <v>0</v>
      </c>
      <c r="J112" s="2114"/>
      <c r="K112" s="2126"/>
      <c r="L112" s="2114"/>
      <c r="M112" s="2127">
        <f t="shared" si="10"/>
        <v>0</v>
      </c>
    </row>
    <row r="113" spans="1:38" s="870" customFormat="1">
      <c r="A113" s="662"/>
      <c r="B113" s="2107" t="s">
        <v>345</v>
      </c>
      <c r="C113" s="2108"/>
      <c r="D113" s="2124">
        <f t="shared" si="8"/>
        <v>2249415.8638100005</v>
      </c>
      <c r="E113" s="2126">
        <f>E107-E109+E111</f>
        <v>0</v>
      </c>
      <c r="F113" s="2114">
        <f>F107-F109+F111</f>
        <v>0</v>
      </c>
      <c r="G113" s="2126">
        <f>G107-G109+G111</f>
        <v>1648436.4052675653</v>
      </c>
      <c r="H113" s="2114">
        <f>H107-H109+H111</f>
        <v>600979.45854243508</v>
      </c>
      <c r="I113" s="2125">
        <f t="shared" si="9"/>
        <v>2249415.8638100005</v>
      </c>
      <c r="J113" s="2114">
        <f>J107-J109+J111</f>
        <v>0</v>
      </c>
      <c r="K113" s="2126">
        <f>K107-K109+K111</f>
        <v>0</v>
      </c>
      <c r="L113" s="2114">
        <f>L107-L109+L111</f>
        <v>0</v>
      </c>
      <c r="M113" s="2127">
        <f t="shared" si="10"/>
        <v>0</v>
      </c>
      <c r="N113"/>
      <c r="O113"/>
      <c r="P113"/>
      <c r="Q113"/>
      <c r="R113"/>
      <c r="S113"/>
      <c r="T113"/>
      <c r="U113"/>
      <c r="V113"/>
      <c r="W113"/>
      <c r="X113"/>
      <c r="Y113"/>
      <c r="Z113"/>
      <c r="AA113"/>
      <c r="AB113" s="2976"/>
      <c r="AC113" s="2976"/>
      <c r="AD113" s="2976"/>
      <c r="AE113" s="2976"/>
      <c r="AF113" s="2976"/>
      <c r="AG113" s="2976"/>
      <c r="AH113" s="2976"/>
      <c r="AI113" s="2976"/>
      <c r="AJ113" s="2976"/>
      <c r="AK113" s="2976"/>
      <c r="AL113" s="2976"/>
    </row>
    <row r="114" spans="1:38">
      <c r="A114" s="662"/>
      <c r="B114" s="2107"/>
      <c r="C114" s="2108"/>
      <c r="D114" s="2124">
        <f t="shared" si="8"/>
        <v>0</v>
      </c>
      <c r="E114" s="2126"/>
      <c r="F114" s="2114"/>
      <c r="G114" s="2126"/>
      <c r="H114" s="2114"/>
      <c r="I114" s="2125">
        <f t="shared" si="9"/>
        <v>0</v>
      </c>
      <c r="J114" s="2114"/>
      <c r="K114" s="2126"/>
      <c r="L114" s="2114"/>
      <c r="M114" s="2127">
        <f t="shared" si="10"/>
        <v>0</v>
      </c>
    </row>
    <row r="115" spans="1:38" s="870" customFormat="1">
      <c r="A115" s="662"/>
      <c r="B115" s="2107" t="s">
        <v>346</v>
      </c>
      <c r="C115" s="2108"/>
      <c r="D115" s="2124">
        <f t="shared" si="8"/>
        <v>538831.64170000004</v>
      </c>
      <c r="E115" s="2126">
        <f>SUM(E116:E120)</f>
        <v>205628.83822999999</v>
      </c>
      <c r="F115" s="2114">
        <f>SUM(F116:F120)</f>
        <v>0</v>
      </c>
      <c r="G115" s="2126">
        <f>SUM(G116:G120)</f>
        <v>246736.67596953499</v>
      </c>
      <c r="H115" s="2114">
        <f>SUM(H116:H120)</f>
        <v>86466.127500465009</v>
      </c>
      <c r="I115" s="2125">
        <f t="shared" si="9"/>
        <v>333202.80346999998</v>
      </c>
      <c r="J115" s="2114">
        <f>SUM(J116:J120)</f>
        <v>0</v>
      </c>
      <c r="K115" s="2126">
        <f>SUM(K116:K120)</f>
        <v>0</v>
      </c>
      <c r="L115" s="2114">
        <f>SUM(L116:L120)</f>
        <v>0</v>
      </c>
      <c r="M115" s="2127">
        <f t="shared" si="10"/>
        <v>0</v>
      </c>
      <c r="N115"/>
      <c r="O115"/>
      <c r="P115"/>
      <c r="Q115"/>
      <c r="R115"/>
      <c r="S115"/>
      <c r="T115"/>
      <c r="U115"/>
      <c r="V115"/>
      <c r="W115"/>
      <c r="X115"/>
      <c r="Y115"/>
      <c r="Z115"/>
      <c r="AA115"/>
      <c r="AB115" s="2976"/>
      <c r="AC115" s="2976"/>
      <c r="AD115" s="2976"/>
      <c r="AE115" s="2976"/>
      <c r="AF115" s="2976"/>
      <c r="AG115" s="2976"/>
      <c r="AH115" s="2976"/>
      <c r="AI115" s="2976"/>
      <c r="AJ115" s="2976"/>
      <c r="AK115" s="2976"/>
      <c r="AL115" s="2976"/>
    </row>
    <row r="116" spans="1:38">
      <c r="A116" s="662"/>
      <c r="B116" s="2103" t="s">
        <v>347</v>
      </c>
      <c r="C116" s="2104">
        <v>1</v>
      </c>
      <c r="D116" s="2124">
        <f t="shared" si="8"/>
        <v>449542.84389000002</v>
      </c>
      <c r="E116" s="1678">
        <v>205628.83822999999</v>
      </c>
      <c r="F116" s="1866">
        <v>0</v>
      </c>
      <c r="G116" s="1678">
        <v>180618.32119123</v>
      </c>
      <c r="H116" s="1866">
        <v>63295.684468770007</v>
      </c>
      <c r="I116" s="2125">
        <f t="shared" si="9"/>
        <v>243914.00566000002</v>
      </c>
      <c r="J116" s="2114"/>
      <c r="K116" s="2126"/>
      <c r="L116" s="2114"/>
      <c r="M116" s="2127">
        <f t="shared" si="10"/>
        <v>0</v>
      </c>
    </row>
    <row r="117" spans="1:38">
      <c r="A117" s="662"/>
      <c r="B117" s="2103" t="s">
        <v>348</v>
      </c>
      <c r="C117" s="2104">
        <v>2</v>
      </c>
      <c r="D117" s="2124">
        <f t="shared" si="8"/>
        <v>50077.42497</v>
      </c>
      <c r="E117" s="1678">
        <v>0</v>
      </c>
      <c r="F117" s="1866">
        <v>0</v>
      </c>
      <c r="G117" s="1678">
        <v>37082.333190284997</v>
      </c>
      <c r="H117" s="1866">
        <v>12995.091779715001</v>
      </c>
      <c r="I117" s="2125">
        <f t="shared" si="9"/>
        <v>50077.42497</v>
      </c>
      <c r="J117" s="2114"/>
      <c r="K117" s="2126"/>
      <c r="L117" s="2114"/>
      <c r="M117" s="2127">
        <f t="shared" si="10"/>
        <v>0</v>
      </c>
    </row>
    <row r="118" spans="1:38">
      <c r="A118" s="662"/>
      <c r="B118" s="2103" t="s">
        <v>349</v>
      </c>
      <c r="C118" s="2104"/>
      <c r="D118" s="2124">
        <f t="shared" si="8"/>
        <v>4601.9299500000006</v>
      </c>
      <c r="E118" s="1678">
        <v>0</v>
      </c>
      <c r="F118" s="1866">
        <v>0</v>
      </c>
      <c r="G118" s="1678">
        <v>3407.7291279750007</v>
      </c>
      <c r="H118" s="1866">
        <v>1194.2008220250002</v>
      </c>
      <c r="I118" s="2125">
        <f t="shared" si="9"/>
        <v>4601.9299500000006</v>
      </c>
      <c r="J118" s="2114"/>
      <c r="K118" s="2126"/>
      <c r="L118" s="2114"/>
      <c r="M118" s="2127">
        <f t="shared" si="10"/>
        <v>0</v>
      </c>
    </row>
    <row r="119" spans="1:38">
      <c r="A119" s="662"/>
      <c r="B119" s="2103" t="s">
        <v>350</v>
      </c>
      <c r="C119" s="2104"/>
      <c r="D119" s="2124">
        <f t="shared" si="8"/>
        <v>0</v>
      </c>
      <c r="E119" s="1678"/>
      <c r="F119" s="1866"/>
      <c r="G119" s="1678"/>
      <c r="H119" s="1866"/>
      <c r="I119" s="2125">
        <f t="shared" si="9"/>
        <v>0</v>
      </c>
      <c r="J119" s="2114"/>
      <c r="K119" s="2126"/>
      <c r="L119" s="2114"/>
      <c r="M119" s="2127">
        <f t="shared" si="10"/>
        <v>0</v>
      </c>
    </row>
    <row r="120" spans="1:38">
      <c r="A120" s="662"/>
      <c r="B120" s="2103" t="s">
        <v>351</v>
      </c>
      <c r="C120" s="2104">
        <v>3</v>
      </c>
      <c r="D120" s="2124">
        <f t="shared" si="8"/>
        <v>34609.442889999998</v>
      </c>
      <c r="E120" s="1678">
        <v>0</v>
      </c>
      <c r="F120" s="1866">
        <v>0</v>
      </c>
      <c r="G120" s="1678">
        <v>25628.292460044999</v>
      </c>
      <c r="H120" s="1866">
        <v>8981.1504299549997</v>
      </c>
      <c r="I120" s="2125">
        <f t="shared" si="9"/>
        <v>34609.442889999998</v>
      </c>
      <c r="J120" s="2114"/>
      <c r="K120" s="2126"/>
      <c r="L120" s="2114"/>
      <c r="M120" s="2127">
        <f t="shared" si="10"/>
        <v>0</v>
      </c>
    </row>
    <row r="121" spans="1:38">
      <c r="A121" s="662"/>
      <c r="B121" s="2103" t="s">
        <v>353</v>
      </c>
      <c r="C121" s="2104"/>
      <c r="D121" s="2124">
        <f t="shared" si="8"/>
        <v>0</v>
      </c>
      <c r="E121" s="1678"/>
      <c r="F121" s="1866"/>
      <c r="G121" s="1678"/>
      <c r="H121" s="1866"/>
      <c r="I121" s="2125">
        <f t="shared" si="9"/>
        <v>0</v>
      </c>
      <c r="J121" s="2114"/>
      <c r="K121" s="2126"/>
      <c r="L121" s="2114"/>
      <c r="M121" s="2127">
        <f t="shared" si="10"/>
        <v>0</v>
      </c>
    </row>
    <row r="122" spans="1:38">
      <c r="A122" s="662"/>
      <c r="B122" s="2103" t="s">
        <v>353</v>
      </c>
      <c r="C122" s="2104"/>
      <c r="D122" s="2124">
        <f t="shared" si="8"/>
        <v>0</v>
      </c>
      <c r="E122" s="1678"/>
      <c r="F122" s="1866"/>
      <c r="G122" s="1678"/>
      <c r="H122" s="1866"/>
      <c r="I122" s="2125">
        <f t="shared" si="9"/>
        <v>0</v>
      </c>
      <c r="J122" s="2114"/>
      <c r="K122" s="2126"/>
      <c r="L122" s="2114"/>
      <c r="M122" s="2127">
        <f t="shared" si="10"/>
        <v>0</v>
      </c>
    </row>
    <row r="123" spans="1:38">
      <c r="A123" s="662"/>
      <c r="B123" s="2103"/>
      <c r="C123" s="2104"/>
      <c r="D123" s="2124">
        <f t="shared" si="8"/>
        <v>0</v>
      </c>
      <c r="E123" s="2126"/>
      <c r="F123" s="2114"/>
      <c r="G123" s="2126"/>
      <c r="H123" s="2114"/>
      <c r="I123" s="2125">
        <f t="shared" si="9"/>
        <v>0</v>
      </c>
      <c r="J123" s="2114"/>
      <c r="K123" s="2126"/>
      <c r="L123" s="2114"/>
      <c r="M123" s="2127">
        <f t="shared" si="10"/>
        <v>0</v>
      </c>
    </row>
    <row r="124" spans="1:38" s="870" customFormat="1">
      <c r="A124" s="662"/>
      <c r="B124" s="2109" t="s">
        <v>354</v>
      </c>
      <c r="C124" s="2108"/>
      <c r="D124" s="2124">
        <f t="shared" si="8"/>
        <v>2788247.5055100005</v>
      </c>
      <c r="E124" s="2126">
        <f>E113+E115</f>
        <v>205628.83822999999</v>
      </c>
      <c r="F124" s="2114">
        <f>F113+F115</f>
        <v>0</v>
      </c>
      <c r="G124" s="2126">
        <f>G113+G115</f>
        <v>1895173.0812371003</v>
      </c>
      <c r="H124" s="2114">
        <f>H113+H115</f>
        <v>687445.5860429001</v>
      </c>
      <c r="I124" s="2125">
        <f t="shared" si="9"/>
        <v>2582618.6672800006</v>
      </c>
      <c r="J124" s="2114">
        <f>J113+J115</f>
        <v>0</v>
      </c>
      <c r="K124" s="2126">
        <f>K113+K115</f>
        <v>0</v>
      </c>
      <c r="L124" s="2114">
        <f>L113+L115</f>
        <v>0</v>
      </c>
      <c r="M124" s="2127">
        <f t="shared" si="10"/>
        <v>0</v>
      </c>
      <c r="N124"/>
      <c r="O124"/>
      <c r="P124"/>
      <c r="Q124"/>
      <c r="R124"/>
      <c r="S124"/>
      <c r="T124"/>
      <c r="U124"/>
      <c r="V124"/>
      <c r="W124"/>
      <c r="X124"/>
      <c r="Y124"/>
      <c r="Z124"/>
      <c r="AA124"/>
      <c r="AB124" s="2976"/>
      <c r="AC124" s="2976"/>
      <c r="AD124" s="2976"/>
      <c r="AE124" s="2976"/>
      <c r="AF124" s="2976"/>
      <c r="AG124" s="2976"/>
      <c r="AH124" s="2976"/>
      <c r="AI124" s="2976"/>
      <c r="AJ124" s="2976"/>
      <c r="AK124" s="2976"/>
      <c r="AL124" s="2976"/>
    </row>
    <row r="125" spans="1:38">
      <c r="A125" s="662"/>
      <c r="B125" s="2109"/>
      <c r="C125" s="2108"/>
      <c r="D125" s="2124">
        <f t="shared" si="8"/>
        <v>0</v>
      </c>
      <c r="E125" s="2126"/>
      <c r="F125" s="2114"/>
      <c r="G125" s="2126"/>
      <c r="H125" s="2114"/>
      <c r="I125" s="2125">
        <f t="shared" si="9"/>
        <v>0</v>
      </c>
      <c r="J125" s="2114"/>
      <c r="K125" s="2126"/>
      <c r="L125" s="2114"/>
      <c r="M125" s="2127"/>
    </row>
    <row r="126" spans="1:38">
      <c r="A126" s="662"/>
      <c r="B126" s="2103" t="s">
        <v>355</v>
      </c>
      <c r="C126" s="2104"/>
      <c r="D126" s="2124">
        <f t="shared" si="8"/>
        <v>907809.19441999996</v>
      </c>
      <c r="E126" s="1678">
        <v>0</v>
      </c>
      <c r="F126" s="1866">
        <v>0</v>
      </c>
      <c r="G126" s="1678">
        <v>238622.05613998999</v>
      </c>
      <c r="H126" s="1866">
        <v>669187.13828000997</v>
      </c>
      <c r="I126" s="2125">
        <f t="shared" si="9"/>
        <v>907809.19441999996</v>
      </c>
      <c r="J126" s="2114"/>
      <c r="K126" s="2126"/>
      <c r="L126" s="2114"/>
      <c r="M126" s="2127">
        <f t="shared" ref="M126:M144" si="11">L126+K126+J126</f>
        <v>0</v>
      </c>
    </row>
    <row r="127" spans="1:38">
      <c r="A127" s="662"/>
      <c r="B127" s="2103" t="s">
        <v>356</v>
      </c>
      <c r="C127" s="2104"/>
      <c r="D127" s="2124">
        <f t="shared" si="8"/>
        <v>-57394.60456</v>
      </c>
      <c r="E127" s="1678">
        <v>0</v>
      </c>
      <c r="F127" s="1866">
        <v>0</v>
      </c>
      <c r="G127" s="1678">
        <v>-30981.4337910832</v>
      </c>
      <c r="H127" s="1866">
        <v>-26413.1707689168</v>
      </c>
      <c r="I127" s="2125">
        <f t="shared" si="9"/>
        <v>-57394.60456</v>
      </c>
      <c r="J127" s="2114"/>
      <c r="K127" s="2126"/>
      <c r="L127" s="2114"/>
      <c r="M127" s="2127">
        <f t="shared" si="11"/>
        <v>0</v>
      </c>
    </row>
    <row r="128" spans="1:38">
      <c r="A128" s="662"/>
      <c r="B128" s="2103" t="s">
        <v>357</v>
      </c>
      <c r="C128" s="2104"/>
      <c r="D128" s="2124">
        <f t="shared" si="8"/>
        <v>-1777.1713399999899</v>
      </c>
      <c r="E128" s="1678">
        <v>0</v>
      </c>
      <c r="F128" s="1866">
        <v>0</v>
      </c>
      <c r="G128" s="1678">
        <v>5311.3015536941002</v>
      </c>
      <c r="H128" s="1866">
        <v>-7088.4728936940901</v>
      </c>
      <c r="I128" s="2125">
        <f t="shared" si="9"/>
        <v>-1777.1713399999899</v>
      </c>
      <c r="J128" s="2114"/>
      <c r="K128" s="2126"/>
      <c r="L128" s="2114"/>
      <c r="M128" s="2127">
        <f t="shared" si="11"/>
        <v>0</v>
      </c>
    </row>
    <row r="129" spans="1:38" ht="13.5" customHeight="1">
      <c r="A129" s="662"/>
      <c r="B129" s="2110" t="s">
        <v>358</v>
      </c>
      <c r="C129" s="2104"/>
      <c r="D129" s="2124">
        <f t="shared" si="8"/>
        <v>-2368.3876200000013</v>
      </c>
      <c r="E129" s="1678">
        <v>0</v>
      </c>
      <c r="F129" s="1866">
        <v>0</v>
      </c>
      <c r="G129" s="1678">
        <v>7078.2262591832496</v>
      </c>
      <c r="H129" s="1866">
        <v>-9446.6138791832509</v>
      </c>
      <c r="I129" s="2125">
        <f t="shared" si="9"/>
        <v>-2368.3876200000013</v>
      </c>
      <c r="J129" s="2114"/>
      <c r="K129" s="2126"/>
      <c r="L129" s="2114"/>
      <c r="M129" s="2127">
        <f t="shared" si="11"/>
        <v>0</v>
      </c>
    </row>
    <row r="130" spans="1:38">
      <c r="A130" s="662"/>
      <c r="B130" s="2103" t="s">
        <v>359</v>
      </c>
      <c r="C130" s="2104"/>
      <c r="D130" s="2124">
        <f t="shared" si="8"/>
        <v>277833</v>
      </c>
      <c r="E130" s="1678"/>
      <c r="F130" s="1866"/>
      <c r="G130" s="1678">
        <v>555903</v>
      </c>
      <c r="H130" s="1866">
        <v>-278070</v>
      </c>
      <c r="I130" s="2125">
        <f t="shared" si="9"/>
        <v>277833</v>
      </c>
      <c r="J130" s="2114"/>
      <c r="K130" s="2126"/>
      <c r="L130" s="2114"/>
      <c r="M130" s="2127">
        <f t="shared" si="11"/>
        <v>0</v>
      </c>
    </row>
    <row r="131" spans="1:38" ht="26.45">
      <c r="A131" s="662"/>
      <c r="B131" s="2110" t="s">
        <v>360</v>
      </c>
      <c r="C131" s="2104"/>
      <c r="D131" s="2124">
        <f t="shared" si="8"/>
        <v>0</v>
      </c>
      <c r="E131" s="1678"/>
      <c r="F131" s="1866"/>
      <c r="G131" s="1678"/>
      <c r="H131" s="1866"/>
      <c r="I131" s="2125">
        <f t="shared" si="9"/>
        <v>0</v>
      </c>
      <c r="J131" s="2114"/>
      <c r="K131" s="2126"/>
      <c r="L131" s="2114"/>
      <c r="M131" s="2127">
        <f t="shared" si="11"/>
        <v>0</v>
      </c>
    </row>
    <row r="132" spans="1:38" s="870" customFormat="1">
      <c r="A132" s="662"/>
      <c r="B132" s="2109" t="s">
        <v>361</v>
      </c>
      <c r="C132" s="2108"/>
      <c r="D132" s="2124">
        <f t="shared" si="8"/>
        <v>1124102.0308999999</v>
      </c>
      <c r="E132" s="2126">
        <f>SUM(E126:E131)</f>
        <v>0</v>
      </c>
      <c r="F132" s="2114">
        <f>SUM(F126:F131)</f>
        <v>0</v>
      </c>
      <c r="G132" s="2126">
        <f>SUM(G126:G131)</f>
        <v>775933.15016178414</v>
      </c>
      <c r="H132" s="2114">
        <f>SUM(H126:H131)</f>
        <v>348168.88073821575</v>
      </c>
      <c r="I132" s="2125">
        <f t="shared" si="9"/>
        <v>1124102.0308999999</v>
      </c>
      <c r="J132" s="2114">
        <f>SUM(J126:J131)</f>
        <v>0</v>
      </c>
      <c r="K132" s="2126">
        <f>SUM(K126:K131)</f>
        <v>0</v>
      </c>
      <c r="L132" s="2114">
        <f>SUM(L126:L131)</f>
        <v>0</v>
      </c>
      <c r="M132" s="2127">
        <f t="shared" si="11"/>
        <v>0</v>
      </c>
      <c r="N132"/>
      <c r="O132"/>
      <c r="P132"/>
      <c r="Q132"/>
      <c r="R132"/>
      <c r="S132"/>
      <c r="T132"/>
      <c r="U132"/>
      <c r="V132"/>
      <c r="W132"/>
      <c r="X132"/>
      <c r="Y132"/>
      <c r="Z132"/>
      <c r="AA132"/>
      <c r="AB132" s="2976"/>
      <c r="AC132" s="2976"/>
      <c r="AD132" s="2976"/>
      <c r="AE132" s="2976"/>
      <c r="AF132" s="2976"/>
      <c r="AG132" s="2976"/>
      <c r="AH132" s="2976"/>
      <c r="AI132" s="2976"/>
      <c r="AJ132" s="2976"/>
      <c r="AK132" s="2976"/>
      <c r="AL132" s="2976"/>
    </row>
    <row r="133" spans="1:38">
      <c r="A133" s="662"/>
      <c r="B133" s="2103"/>
      <c r="C133" s="2104"/>
      <c r="D133" s="2124">
        <f t="shared" si="8"/>
        <v>0</v>
      </c>
      <c r="E133" s="2126"/>
      <c r="F133" s="2114"/>
      <c r="G133" s="2126"/>
      <c r="H133" s="2114"/>
      <c r="I133" s="2125">
        <f t="shared" si="9"/>
        <v>0</v>
      </c>
      <c r="J133" s="2114"/>
      <c r="K133" s="2126"/>
      <c r="L133" s="2114"/>
      <c r="M133" s="2127">
        <f t="shared" si="11"/>
        <v>0</v>
      </c>
    </row>
    <row r="134" spans="1:38" ht="26.45">
      <c r="A134" s="662"/>
      <c r="B134" s="2110" t="s">
        <v>362</v>
      </c>
      <c r="C134" s="2104"/>
      <c r="D134" s="2124">
        <f t="shared" si="8"/>
        <v>944777.14003000001</v>
      </c>
      <c r="E134" s="1678">
        <v>0</v>
      </c>
      <c r="F134" s="1866">
        <v>0</v>
      </c>
      <c r="G134" s="1678">
        <v>738819.77843204502</v>
      </c>
      <c r="H134" s="1866">
        <v>205957.36159795499</v>
      </c>
      <c r="I134" s="2125">
        <f t="shared" si="9"/>
        <v>944777.14003000001</v>
      </c>
      <c r="J134" s="2114"/>
      <c r="K134" s="2126"/>
      <c r="L134" s="2114"/>
      <c r="M134" s="2127">
        <f t="shared" si="11"/>
        <v>0</v>
      </c>
    </row>
    <row r="135" spans="1:38">
      <c r="A135" s="662"/>
      <c r="B135" s="2103"/>
      <c r="C135" s="2104"/>
      <c r="D135" s="2124">
        <f t="shared" si="8"/>
        <v>0</v>
      </c>
      <c r="E135" s="1678"/>
      <c r="F135" s="1866"/>
      <c r="G135" s="1678"/>
      <c r="H135" s="1866"/>
      <c r="I135" s="2125">
        <f t="shared" si="9"/>
        <v>0</v>
      </c>
      <c r="J135" s="2114"/>
      <c r="K135" s="2126"/>
      <c r="L135" s="2114"/>
      <c r="M135" s="2127">
        <f t="shared" si="11"/>
        <v>0</v>
      </c>
    </row>
    <row r="136" spans="1:38" ht="15.75" customHeight="1">
      <c r="A136" s="662"/>
      <c r="B136" s="2110" t="s">
        <v>363</v>
      </c>
      <c r="C136" s="2104">
        <v>4</v>
      </c>
      <c r="D136" s="2124">
        <f t="shared" si="8"/>
        <v>515464.15872999997</v>
      </c>
      <c r="E136" s="1678">
        <v>1724.9334100000001</v>
      </c>
      <c r="F136" s="1866">
        <v>0</v>
      </c>
      <c r="G136" s="1678">
        <v>380420.09950235498</v>
      </c>
      <c r="H136" s="1866">
        <v>133319.12581764499</v>
      </c>
      <c r="I136" s="2125">
        <f t="shared" si="9"/>
        <v>513739.22531999997</v>
      </c>
      <c r="J136" s="2114"/>
      <c r="K136" s="2126"/>
      <c r="L136" s="2114"/>
      <c r="M136" s="2127">
        <f t="shared" si="11"/>
        <v>0</v>
      </c>
    </row>
    <row r="137" spans="1:38">
      <c r="A137" s="662"/>
      <c r="B137" s="2103" t="s">
        <v>364</v>
      </c>
      <c r="C137" s="2104"/>
      <c r="D137" s="2124">
        <f t="shared" si="8"/>
        <v>0</v>
      </c>
      <c r="E137" s="1678"/>
      <c r="F137" s="1866"/>
      <c r="G137" s="1678"/>
      <c r="H137" s="1866"/>
      <c r="I137" s="2125">
        <f t="shared" si="9"/>
        <v>0</v>
      </c>
      <c r="J137" s="2114"/>
      <c r="K137" s="2126"/>
      <c r="L137" s="2114"/>
      <c r="M137" s="2127">
        <f t="shared" si="11"/>
        <v>0</v>
      </c>
    </row>
    <row r="138" spans="1:38">
      <c r="A138" s="662"/>
      <c r="B138" s="2103" t="s">
        <v>365</v>
      </c>
      <c r="C138" s="2104"/>
      <c r="D138" s="2124">
        <f t="shared" si="8"/>
        <v>0</v>
      </c>
      <c r="E138" s="1678"/>
      <c r="F138" s="1866"/>
      <c r="G138" s="1678"/>
      <c r="H138" s="1866"/>
      <c r="I138" s="2125">
        <f t="shared" si="9"/>
        <v>0</v>
      </c>
      <c r="J138" s="2114"/>
      <c r="K138" s="2126"/>
      <c r="L138" s="2114"/>
      <c r="M138" s="2127">
        <f t="shared" si="11"/>
        <v>0</v>
      </c>
    </row>
    <row r="139" spans="1:38" s="870" customFormat="1">
      <c r="A139" s="662"/>
      <c r="B139" s="2109" t="s">
        <v>366</v>
      </c>
      <c r="C139" s="2108"/>
      <c r="D139" s="2124">
        <f t="shared" si="8"/>
        <v>515464.15872999997</v>
      </c>
      <c r="E139" s="2126">
        <f>SUM(E136:E138)</f>
        <v>1724.9334100000001</v>
      </c>
      <c r="F139" s="2114">
        <f>SUM(F136:F138)</f>
        <v>0</v>
      </c>
      <c r="G139" s="2126">
        <f>SUM(G136:G138)</f>
        <v>380420.09950235498</v>
      </c>
      <c r="H139" s="2114">
        <f>SUM(H136:H138)</f>
        <v>133319.12581764499</v>
      </c>
      <c r="I139" s="2125">
        <f t="shared" si="9"/>
        <v>513739.22531999997</v>
      </c>
      <c r="J139" s="2114">
        <f>SUM(J136:J138)</f>
        <v>0</v>
      </c>
      <c r="K139" s="2126">
        <f>SUM(K136:K138)</f>
        <v>0</v>
      </c>
      <c r="L139" s="2114">
        <f>SUM(L136:L138)</f>
        <v>0</v>
      </c>
      <c r="M139" s="2127">
        <f t="shared" si="11"/>
        <v>0</v>
      </c>
      <c r="N139"/>
      <c r="O139"/>
      <c r="P139"/>
      <c r="Q139"/>
      <c r="R139"/>
      <c r="S139"/>
      <c r="T139"/>
      <c r="U139"/>
      <c r="V139"/>
      <c r="W139"/>
      <c r="X139"/>
      <c r="Y139"/>
      <c r="Z139"/>
      <c r="AA139"/>
      <c r="AB139" s="2976"/>
      <c r="AC139" s="2976"/>
      <c r="AD139" s="2976"/>
      <c r="AE139" s="2976"/>
      <c r="AF139" s="2976"/>
      <c r="AG139" s="2976"/>
      <c r="AH139" s="2976"/>
      <c r="AI139" s="2976"/>
      <c r="AJ139" s="2976"/>
      <c r="AK139" s="2976"/>
      <c r="AL139" s="2976"/>
    </row>
    <row r="140" spans="1:38">
      <c r="A140" s="662"/>
      <c r="B140" s="2109"/>
      <c r="C140" s="2108"/>
      <c r="D140" s="2124">
        <f t="shared" si="8"/>
        <v>0</v>
      </c>
      <c r="E140" s="2126"/>
      <c r="F140" s="2114"/>
      <c r="G140" s="2126"/>
      <c r="H140" s="2114"/>
      <c r="I140" s="2125">
        <f t="shared" si="9"/>
        <v>0</v>
      </c>
      <c r="J140" s="2114"/>
      <c r="K140" s="2126"/>
      <c r="L140" s="2114"/>
      <c r="M140" s="2127">
        <f t="shared" si="11"/>
        <v>0</v>
      </c>
    </row>
    <row r="141" spans="1:38" s="870" customFormat="1">
      <c r="A141" s="662"/>
      <c r="B141" s="2109" t="s">
        <v>372</v>
      </c>
      <c r="C141" s="2108"/>
      <c r="D141" s="2124">
        <f t="shared" si="8"/>
        <v>203904.17585000052</v>
      </c>
      <c r="E141" s="2126">
        <f>E124-E132-E134-E139</f>
        <v>203903.90482</v>
      </c>
      <c r="F141" s="2114">
        <f>F124-F132-F134-F139</f>
        <v>0</v>
      </c>
      <c r="G141" s="2126">
        <f>G124-G132-G134-G139</f>
        <v>5.3140916163101792E-2</v>
      </c>
      <c r="H141" s="2114">
        <f>H124-H132-H134-H139</f>
        <v>0.21788908436428756</v>
      </c>
      <c r="I141" s="2125">
        <f t="shared" si="9"/>
        <v>0.27103000052738935</v>
      </c>
      <c r="J141" s="2114">
        <f>J124-J132-J134-J139</f>
        <v>0</v>
      </c>
      <c r="K141" s="2126">
        <f>K124-K132-K134-K139</f>
        <v>0</v>
      </c>
      <c r="L141" s="2114">
        <f>L124-L132-L134-L139</f>
        <v>0</v>
      </c>
      <c r="M141" s="2127">
        <f t="shared" si="11"/>
        <v>0</v>
      </c>
      <c r="N141"/>
      <c r="O141"/>
      <c r="P141"/>
      <c r="Q141"/>
      <c r="R141"/>
      <c r="S141"/>
      <c r="T141"/>
      <c r="U141"/>
      <c r="V141"/>
      <c r="W141"/>
      <c r="X141"/>
      <c r="Y141"/>
      <c r="Z141"/>
      <c r="AA141"/>
      <c r="AB141" s="2976"/>
      <c r="AC141" s="2976"/>
      <c r="AD141" s="2976"/>
      <c r="AE141" s="2976"/>
      <c r="AF141" s="2976"/>
      <c r="AG141" s="2976"/>
      <c r="AH141" s="2976"/>
      <c r="AI141" s="2976"/>
      <c r="AJ141" s="2976"/>
      <c r="AK141" s="2976"/>
      <c r="AL141" s="2976"/>
    </row>
    <row r="142" spans="1:38">
      <c r="A142" s="662"/>
      <c r="B142" s="2103" t="s">
        <v>368</v>
      </c>
      <c r="C142" s="2104"/>
      <c r="D142" s="2124">
        <f t="shared" si="8"/>
        <v>0</v>
      </c>
      <c r="E142" s="1678"/>
      <c r="F142" s="2114"/>
      <c r="G142" s="2126"/>
      <c r="H142" s="2114"/>
      <c r="I142" s="2125">
        <f t="shared" si="9"/>
        <v>0</v>
      </c>
      <c r="J142" s="2114"/>
      <c r="K142" s="2126"/>
      <c r="L142" s="2114"/>
      <c r="M142" s="2127">
        <f t="shared" si="11"/>
        <v>0</v>
      </c>
      <c r="AB142" s="2987"/>
      <c r="AC142" s="2987"/>
      <c r="AD142" s="2987"/>
      <c r="AE142" s="2987"/>
      <c r="AF142" s="2987"/>
      <c r="AG142" s="2987"/>
      <c r="AH142" s="2987"/>
      <c r="AI142" s="2987"/>
      <c r="AJ142" s="2987"/>
      <c r="AK142" s="2987"/>
      <c r="AL142" s="2987"/>
    </row>
    <row r="143" spans="1:38">
      <c r="A143" s="662"/>
      <c r="B143" s="2128"/>
      <c r="C143" s="2129"/>
      <c r="D143" s="2130">
        <f t="shared" si="8"/>
        <v>0</v>
      </c>
      <c r="E143" s="2131"/>
      <c r="F143" s="2132"/>
      <c r="G143" s="2131"/>
      <c r="H143" s="2132"/>
      <c r="I143" s="2133">
        <f t="shared" si="9"/>
        <v>0</v>
      </c>
      <c r="J143" s="2132"/>
      <c r="K143" s="2131"/>
      <c r="L143" s="2132"/>
      <c r="M143" s="2134">
        <f t="shared" si="11"/>
        <v>0</v>
      </c>
    </row>
    <row r="144" spans="1:38" s="870" customFormat="1" ht="15" thickBot="1">
      <c r="A144" s="662"/>
      <c r="B144" s="1352" t="s">
        <v>369</v>
      </c>
      <c r="C144" s="1353"/>
      <c r="D144" s="1354">
        <f t="shared" si="8"/>
        <v>203904.17585000052</v>
      </c>
      <c r="E144" s="1355">
        <f>E141-E142</f>
        <v>203903.90482</v>
      </c>
      <c r="F144" s="1354">
        <f>F141-F142</f>
        <v>0</v>
      </c>
      <c r="G144" s="1355">
        <f>G141-G142</f>
        <v>5.3140916163101792E-2</v>
      </c>
      <c r="H144" s="1354">
        <f>H141-H142</f>
        <v>0.21788908436428756</v>
      </c>
      <c r="I144" s="1355">
        <f t="shared" si="9"/>
        <v>0.27103000052738935</v>
      </c>
      <c r="J144" s="1354">
        <f>J141-J142</f>
        <v>0</v>
      </c>
      <c r="K144" s="1355">
        <f>K141-K142</f>
        <v>0</v>
      </c>
      <c r="L144" s="1354">
        <f>L141-L142</f>
        <v>0</v>
      </c>
      <c r="M144" s="1356">
        <f t="shared" si="11"/>
        <v>0</v>
      </c>
      <c r="N144"/>
      <c r="O144"/>
      <c r="P144"/>
      <c r="Q144"/>
      <c r="R144"/>
      <c r="S144"/>
      <c r="T144"/>
      <c r="U144"/>
      <c r="V144"/>
      <c r="W144"/>
      <c r="X144"/>
      <c r="Y144"/>
      <c r="Z144"/>
      <c r="AA144"/>
      <c r="AB144" s="2988"/>
      <c r="AC144" s="2988"/>
      <c r="AD144" s="2988"/>
      <c r="AE144" s="2988"/>
      <c r="AF144" s="2988"/>
      <c r="AG144" s="2988"/>
      <c r="AH144" s="2988"/>
      <c r="AI144" s="2988"/>
      <c r="AJ144" s="2988"/>
      <c r="AK144" s="2988"/>
      <c r="AL144" s="2988"/>
    </row>
    <row r="145" spans="1:13">
      <c r="A145" s="662"/>
      <c r="B145" s="662"/>
      <c r="C145" s="662"/>
      <c r="D145" s="662"/>
      <c r="E145" s="662"/>
      <c r="F145" s="662"/>
      <c r="G145" s="662"/>
      <c r="H145" s="662"/>
      <c r="I145" s="662"/>
      <c r="J145" s="662"/>
      <c r="K145" s="662"/>
      <c r="L145" s="662"/>
      <c r="M145" s="662"/>
    </row>
    <row r="146" spans="1:13">
      <c r="A146" s="662"/>
      <c r="B146" s="662"/>
      <c r="C146" s="662"/>
      <c r="D146" s="662"/>
      <c r="E146" s="662"/>
      <c r="F146" s="662"/>
      <c r="G146" s="662"/>
      <c r="H146" s="662"/>
      <c r="I146" s="662"/>
      <c r="J146" s="662"/>
      <c r="K146" s="662"/>
      <c r="L146" s="662"/>
      <c r="M146" s="662"/>
    </row>
    <row r="147" spans="1:13">
      <c r="B147"/>
      <c r="C147"/>
      <c r="D147"/>
      <c r="E147"/>
      <c r="F147"/>
      <c r="G147"/>
      <c r="H147"/>
      <c r="I147"/>
      <c r="J147"/>
      <c r="K147"/>
      <c r="L147"/>
      <c r="M147"/>
    </row>
    <row r="149" spans="1:13" ht="15" thickBot="1"/>
    <row r="150" spans="1:13" ht="17.25" customHeight="1" thickBot="1">
      <c r="A150" s="1344" t="s">
        <v>92</v>
      </c>
      <c r="B150" s="1344" t="s">
        <v>92</v>
      </c>
      <c r="D150" s="662"/>
      <c r="E150" s="662"/>
      <c r="F150" s="662"/>
      <c r="G150" s="662"/>
      <c r="H150" s="662"/>
      <c r="I150" s="662"/>
      <c r="J150" s="662"/>
      <c r="K150" s="662"/>
      <c r="L150" s="3292"/>
      <c r="M150" s="3292" t="s">
        <v>257</v>
      </c>
    </row>
    <row r="151" spans="1:13" ht="17.25" customHeight="1" thickBot="1">
      <c r="A151" s="662"/>
      <c r="B151" s="3331" t="s">
        <v>92</v>
      </c>
      <c r="C151" s="3280" t="s">
        <v>334</v>
      </c>
      <c r="D151" s="3283" t="s">
        <v>260</v>
      </c>
      <c r="E151" s="3283" t="s">
        <v>335</v>
      </c>
      <c r="F151" s="3335" t="s">
        <v>263</v>
      </c>
      <c r="G151" s="3335"/>
      <c r="H151" s="3335"/>
      <c r="I151" s="3335"/>
      <c r="J151" s="3335"/>
      <c r="K151" s="3335"/>
      <c r="L151" s="3335"/>
      <c r="M151" s="3335"/>
    </row>
    <row r="152" spans="1:13" ht="17.25" customHeight="1" thickBot="1">
      <c r="A152" s="662"/>
      <c r="B152" s="3327"/>
      <c r="C152" s="3281"/>
      <c r="D152" s="3284"/>
      <c r="E152" s="3284"/>
      <c r="F152" s="3332" t="s">
        <v>264</v>
      </c>
      <c r="G152" s="3333"/>
      <c r="H152" s="3333"/>
      <c r="I152" s="3334"/>
      <c r="J152" s="3335" t="s">
        <v>336</v>
      </c>
      <c r="K152" s="3335"/>
      <c r="L152" s="3335"/>
      <c r="M152" s="3335"/>
    </row>
    <row r="153" spans="1:13" ht="41.45" customHeight="1" thickBot="1">
      <c r="A153" s="662"/>
      <c r="B153" s="3327"/>
      <c r="C153" s="3281"/>
      <c r="D153" s="3285"/>
      <c r="E153" s="3285"/>
      <c r="F153" s="2963" t="s">
        <v>267</v>
      </c>
      <c r="G153" s="2963" t="s">
        <v>268</v>
      </c>
      <c r="H153" s="2963" t="s">
        <v>269</v>
      </c>
      <c r="I153" s="2963" t="s">
        <v>160</v>
      </c>
      <c r="J153" s="2964" t="s">
        <v>337</v>
      </c>
      <c r="K153" s="2964" t="s">
        <v>271</v>
      </c>
      <c r="L153" s="2964" t="s">
        <v>338</v>
      </c>
      <c r="M153" s="2964" t="s">
        <v>160</v>
      </c>
    </row>
    <row r="154" spans="1:13" ht="17.25" customHeight="1" thickBot="1">
      <c r="A154" s="662"/>
      <c r="B154" s="3327"/>
      <c r="C154" s="3281"/>
      <c r="D154" s="2972">
        <v>1</v>
      </c>
      <c r="E154" s="3283">
        <v>2</v>
      </c>
      <c r="F154" s="3283">
        <v>3</v>
      </c>
      <c r="G154" s="3283">
        <v>4</v>
      </c>
      <c r="H154" s="2963"/>
      <c r="I154" s="2972">
        <v>6</v>
      </c>
      <c r="J154" s="3283">
        <v>7</v>
      </c>
      <c r="K154" s="3283">
        <v>8</v>
      </c>
      <c r="L154" s="3283">
        <v>9</v>
      </c>
      <c r="M154" s="2972">
        <v>10</v>
      </c>
    </row>
    <row r="155" spans="1:13" ht="15" thickBot="1">
      <c r="A155" s="662"/>
      <c r="B155" s="3328"/>
      <c r="C155" s="3282"/>
      <c r="D155" s="1327" t="s">
        <v>339</v>
      </c>
      <c r="E155" s="3285"/>
      <c r="F155" s="3285"/>
      <c r="G155" s="3285"/>
      <c r="H155" s="1327">
        <v>5</v>
      </c>
      <c r="I155" s="1327" t="s">
        <v>340</v>
      </c>
      <c r="J155" s="3285"/>
      <c r="K155" s="3285"/>
      <c r="L155" s="3285"/>
      <c r="M155" s="1327" t="s">
        <v>341</v>
      </c>
    </row>
    <row r="156" spans="1:13">
      <c r="A156" s="662"/>
      <c r="B156" s="1345" t="s">
        <v>342</v>
      </c>
      <c r="C156" s="903"/>
      <c r="D156" s="1357">
        <f t="shared" ref="D156:D193" si="12">E156+I156+M156</f>
        <v>2307274.1605399996</v>
      </c>
      <c r="E156" s="886">
        <v>0</v>
      </c>
      <c r="F156" s="904"/>
      <c r="G156" s="886">
        <v>238933.05301999976</v>
      </c>
      <c r="H156" s="904">
        <v>1881133.1553100001</v>
      </c>
      <c r="I156" s="1207">
        <f t="shared" ref="I156:I193" si="13">F156+G156+H156</f>
        <v>2120066.2083299998</v>
      </c>
      <c r="J156" s="904"/>
      <c r="K156" s="886"/>
      <c r="L156" s="904">
        <v>187207.95220999978</v>
      </c>
      <c r="M156" s="1207">
        <f t="shared" ref="M156:M173" si="14">L156+K156+J156</f>
        <v>187207.95220999978</v>
      </c>
    </row>
    <row r="157" spans="1:13">
      <c r="A157" s="662"/>
      <c r="B157" s="2111"/>
      <c r="C157" s="2135"/>
      <c r="D157" s="2136">
        <f t="shared" si="12"/>
        <v>0</v>
      </c>
      <c r="E157" s="2114"/>
      <c r="F157" s="1926"/>
      <c r="G157" s="2114"/>
      <c r="H157" s="1926"/>
      <c r="I157" s="1924">
        <f t="shared" si="13"/>
        <v>0</v>
      </c>
      <c r="J157" s="1926"/>
      <c r="K157" s="2114"/>
      <c r="L157" s="1926"/>
      <c r="M157" s="1924">
        <f t="shared" si="14"/>
        <v>0</v>
      </c>
    </row>
    <row r="158" spans="1:13">
      <c r="A158" s="662"/>
      <c r="B158" s="2116" t="s">
        <v>343</v>
      </c>
      <c r="C158" s="2135"/>
      <c r="D158" s="2136">
        <f t="shared" si="12"/>
        <v>135471.06523000001</v>
      </c>
      <c r="E158" s="2114">
        <v>0</v>
      </c>
      <c r="F158" s="1926"/>
      <c r="G158" s="2114">
        <v>61597.896799998896</v>
      </c>
      <c r="H158" s="1926">
        <v>58734.307330001102</v>
      </c>
      <c r="I158" s="1924">
        <f t="shared" si="13"/>
        <v>120332.20413</v>
      </c>
      <c r="J158" s="1926"/>
      <c r="K158" s="2114"/>
      <c r="L158" s="1926">
        <v>15138.8611</v>
      </c>
      <c r="M158" s="1924">
        <f t="shared" si="14"/>
        <v>15138.8611</v>
      </c>
    </row>
    <row r="159" spans="1:13">
      <c r="A159" s="662"/>
      <c r="B159" s="2116"/>
      <c r="C159" s="2135"/>
      <c r="D159" s="2136">
        <f t="shared" si="12"/>
        <v>0</v>
      </c>
      <c r="E159" s="2114"/>
      <c r="F159" s="1926"/>
      <c r="G159" s="2114"/>
      <c r="H159" s="1926"/>
      <c r="I159" s="1924">
        <f t="shared" si="13"/>
        <v>0</v>
      </c>
      <c r="J159" s="1926"/>
      <c r="K159" s="2114"/>
      <c r="L159" s="1926"/>
      <c r="M159" s="1924">
        <f t="shared" si="14"/>
        <v>0</v>
      </c>
    </row>
    <row r="160" spans="1:13" ht="14.25" customHeight="1">
      <c r="A160" s="662"/>
      <c r="B160" s="2117" t="s">
        <v>344</v>
      </c>
      <c r="C160" s="2135"/>
      <c r="D160" s="2136">
        <f t="shared" si="12"/>
        <v>0</v>
      </c>
      <c r="E160" s="2114">
        <v>0</v>
      </c>
      <c r="F160" s="1926"/>
      <c r="G160" s="2114"/>
      <c r="H160" s="1926"/>
      <c r="I160" s="1924">
        <f t="shared" si="13"/>
        <v>0</v>
      </c>
      <c r="J160" s="1926"/>
      <c r="K160" s="2114"/>
      <c r="L160" s="1926">
        <v>0</v>
      </c>
      <c r="M160" s="1924">
        <f t="shared" si="14"/>
        <v>0</v>
      </c>
    </row>
    <row r="161" spans="1:38">
      <c r="A161" s="662"/>
      <c r="B161" s="2111"/>
      <c r="C161" s="2135"/>
      <c r="D161" s="2136">
        <f t="shared" si="12"/>
        <v>0</v>
      </c>
      <c r="E161" s="2114"/>
      <c r="F161" s="1926"/>
      <c r="G161" s="2114"/>
      <c r="H161" s="1926"/>
      <c r="I161" s="1924">
        <f t="shared" si="13"/>
        <v>0</v>
      </c>
      <c r="J161" s="1926"/>
      <c r="K161" s="2114"/>
      <c r="L161" s="1926"/>
      <c r="M161" s="1924">
        <f t="shared" si="14"/>
        <v>0</v>
      </c>
    </row>
    <row r="162" spans="1:38" s="870" customFormat="1">
      <c r="A162" s="662"/>
      <c r="B162" s="2118" t="s">
        <v>345</v>
      </c>
      <c r="C162" s="2137"/>
      <c r="D162" s="2136">
        <f t="shared" si="12"/>
        <v>2171803.0953099998</v>
      </c>
      <c r="E162" s="2114">
        <f>E156-E158+E160</f>
        <v>0</v>
      </c>
      <c r="F162" s="1926">
        <f>F156-F158+F160</f>
        <v>0</v>
      </c>
      <c r="G162" s="2114">
        <f>G156-G158+G160</f>
        <v>177335.15622000088</v>
      </c>
      <c r="H162" s="1926">
        <f>H156-H158+H160</f>
        <v>1822398.8479799989</v>
      </c>
      <c r="I162" s="1924">
        <f t="shared" si="13"/>
        <v>1999734.0041999999</v>
      </c>
      <c r="J162" s="1926">
        <f>J156-J158+J160</f>
        <v>0</v>
      </c>
      <c r="K162" s="2114">
        <f>K156-K158+K160</f>
        <v>0</v>
      </c>
      <c r="L162" s="1926">
        <f>L156-L158+L160</f>
        <v>172069.09110999978</v>
      </c>
      <c r="M162" s="1924">
        <f t="shared" si="14"/>
        <v>172069.09110999978</v>
      </c>
      <c r="N162"/>
      <c r="O162"/>
      <c r="P162"/>
      <c r="Q162"/>
      <c r="R162"/>
      <c r="S162"/>
      <c r="T162"/>
      <c r="U162"/>
      <c r="V162"/>
      <c r="W162"/>
      <c r="X162"/>
      <c r="Y162"/>
      <c r="Z162"/>
      <c r="AA162"/>
      <c r="AB162" s="2976"/>
      <c r="AC162" s="2976"/>
      <c r="AD162" s="2976"/>
      <c r="AE162" s="2976"/>
      <c r="AF162" s="2976"/>
      <c r="AG162" s="2976"/>
      <c r="AH162" s="2976"/>
      <c r="AI162" s="2976"/>
      <c r="AJ162" s="2976"/>
      <c r="AK162" s="2976"/>
      <c r="AL162" s="2976"/>
    </row>
    <row r="163" spans="1:38">
      <c r="A163" s="662"/>
      <c r="B163" s="2118"/>
      <c r="C163" s="2137"/>
      <c r="D163" s="2136">
        <f t="shared" si="12"/>
        <v>0</v>
      </c>
      <c r="E163" s="2114"/>
      <c r="F163" s="1926"/>
      <c r="G163" s="2114"/>
      <c r="H163" s="1926"/>
      <c r="I163" s="1924">
        <f t="shared" si="13"/>
        <v>0</v>
      </c>
      <c r="J163" s="1926"/>
      <c r="K163" s="2114"/>
      <c r="L163" s="1926"/>
      <c r="M163" s="1924">
        <f t="shared" si="14"/>
        <v>0</v>
      </c>
    </row>
    <row r="164" spans="1:38" s="870" customFormat="1">
      <c r="A164" s="662"/>
      <c r="B164" s="2118" t="s">
        <v>346</v>
      </c>
      <c r="C164" s="2137"/>
      <c r="D164" s="2136">
        <f t="shared" si="12"/>
        <v>693315.01828266506</v>
      </c>
      <c r="E164" s="2114">
        <f>SUM(E165:E169)</f>
        <v>0</v>
      </c>
      <c r="F164" s="1926">
        <f>SUM(F165:F169)</f>
        <v>0</v>
      </c>
      <c r="G164" s="2114">
        <f>SUM(G165:G169)</f>
        <v>72870.904511093104</v>
      </c>
      <c r="H164" s="1926">
        <f>SUM(H165:H169)</f>
        <v>616748.99777157186</v>
      </c>
      <c r="I164" s="1924">
        <f t="shared" si="13"/>
        <v>689619.90228266502</v>
      </c>
      <c r="J164" s="1926">
        <f>SUM(J165:J169)</f>
        <v>0</v>
      </c>
      <c r="K164" s="2114">
        <f>SUM(K165:K169)</f>
        <v>0</v>
      </c>
      <c r="L164" s="1926">
        <f>SUM(L165:L169)</f>
        <v>3695.116</v>
      </c>
      <c r="M164" s="1924">
        <f t="shared" si="14"/>
        <v>3695.116</v>
      </c>
      <c r="N164"/>
      <c r="O164"/>
      <c r="P164"/>
      <c r="Q164"/>
      <c r="R164"/>
      <c r="S164"/>
      <c r="T164"/>
      <c r="U164"/>
      <c r="V164"/>
      <c r="W164"/>
      <c r="X164"/>
      <c r="Y164"/>
      <c r="Z164"/>
      <c r="AA164"/>
      <c r="AB164" s="2976"/>
      <c r="AC164" s="2976"/>
      <c r="AD164" s="2976"/>
      <c r="AE164" s="2976"/>
      <c r="AF164" s="2976"/>
      <c r="AG164" s="2976"/>
      <c r="AH164" s="2976"/>
      <c r="AI164" s="2976"/>
      <c r="AJ164" s="2976"/>
      <c r="AK164" s="2976"/>
      <c r="AL164" s="2976"/>
    </row>
    <row r="165" spans="1:38">
      <c r="A165" s="662"/>
      <c r="B165" s="2111" t="s">
        <v>347</v>
      </c>
      <c r="C165" s="2135">
        <v>1</v>
      </c>
      <c r="D165" s="2136">
        <f t="shared" si="12"/>
        <v>662462.76828266494</v>
      </c>
      <c r="E165" s="2114">
        <v>0</v>
      </c>
      <c r="F165" s="1926"/>
      <c r="G165" s="2114">
        <v>72870.904511093104</v>
      </c>
      <c r="H165" s="1926">
        <v>589591.86377157189</v>
      </c>
      <c r="I165" s="1924">
        <f t="shared" si="13"/>
        <v>662462.76828266494</v>
      </c>
      <c r="J165" s="1926"/>
      <c r="K165" s="2114"/>
      <c r="L165" s="1926"/>
      <c r="M165" s="1924">
        <f t="shared" si="14"/>
        <v>0</v>
      </c>
    </row>
    <row r="166" spans="1:38">
      <c r="A166" s="662"/>
      <c r="B166" s="2111" t="s">
        <v>348</v>
      </c>
      <c r="C166" s="2135">
        <v>2</v>
      </c>
      <c r="D166" s="2136">
        <f t="shared" si="12"/>
        <v>0</v>
      </c>
      <c r="E166" s="2114">
        <v>0</v>
      </c>
      <c r="F166" s="1926"/>
      <c r="G166" s="2114"/>
      <c r="H166" s="1926"/>
      <c r="I166" s="1924">
        <f t="shared" si="13"/>
        <v>0</v>
      </c>
      <c r="J166" s="1926"/>
      <c r="K166" s="2114"/>
      <c r="L166" s="1926"/>
      <c r="M166" s="1924">
        <f t="shared" si="14"/>
        <v>0</v>
      </c>
    </row>
    <row r="167" spans="1:38">
      <c r="A167" s="662"/>
      <c r="B167" s="2111" t="s">
        <v>349</v>
      </c>
      <c r="C167" s="2135"/>
      <c r="D167" s="2136">
        <f t="shared" si="12"/>
        <v>0</v>
      </c>
      <c r="E167" s="2114">
        <v>0</v>
      </c>
      <c r="F167" s="1926"/>
      <c r="G167" s="2114"/>
      <c r="H167" s="1926"/>
      <c r="I167" s="1924">
        <f t="shared" si="13"/>
        <v>0</v>
      </c>
      <c r="J167" s="1926"/>
      <c r="K167" s="2114"/>
      <c r="L167" s="1926"/>
      <c r="M167" s="1924">
        <f t="shared" si="14"/>
        <v>0</v>
      </c>
    </row>
    <row r="168" spans="1:38">
      <c r="A168" s="662"/>
      <c r="B168" s="2111" t="s">
        <v>350</v>
      </c>
      <c r="C168" s="2135"/>
      <c r="D168" s="2136">
        <f t="shared" si="12"/>
        <v>0</v>
      </c>
      <c r="E168" s="2114">
        <v>0</v>
      </c>
      <c r="F168" s="1926"/>
      <c r="G168" s="2114"/>
      <c r="H168" s="1926"/>
      <c r="I168" s="1924">
        <f t="shared" si="13"/>
        <v>0</v>
      </c>
      <c r="J168" s="1926"/>
      <c r="K168" s="2114"/>
      <c r="L168" s="1926"/>
      <c r="M168" s="1924">
        <f t="shared" si="14"/>
        <v>0</v>
      </c>
    </row>
    <row r="169" spans="1:38">
      <c r="A169" s="662"/>
      <c r="B169" s="2111" t="s">
        <v>351</v>
      </c>
      <c r="C169" s="2135">
        <v>3</v>
      </c>
      <c r="D169" s="2136">
        <f t="shared" si="12"/>
        <v>30852.25</v>
      </c>
      <c r="E169" s="2114">
        <v>0</v>
      </c>
      <c r="F169" s="1926"/>
      <c r="G169" s="2114"/>
      <c r="H169" s="1926">
        <v>27157.133999999998</v>
      </c>
      <c r="I169" s="1924">
        <f t="shared" si="13"/>
        <v>27157.133999999998</v>
      </c>
      <c r="J169" s="1926"/>
      <c r="K169" s="2114"/>
      <c r="L169" s="1926">
        <v>3695.116</v>
      </c>
      <c r="M169" s="1924">
        <f t="shared" si="14"/>
        <v>3695.116</v>
      </c>
    </row>
    <row r="170" spans="1:38">
      <c r="A170" s="662"/>
      <c r="B170" s="2111" t="s">
        <v>353</v>
      </c>
      <c r="C170" s="2135"/>
      <c r="D170" s="2136">
        <f t="shared" si="12"/>
        <v>0</v>
      </c>
      <c r="E170" s="2114">
        <v>0</v>
      </c>
      <c r="F170" s="1926"/>
      <c r="G170" s="2114"/>
      <c r="H170" s="1926"/>
      <c r="I170" s="1924">
        <f t="shared" si="13"/>
        <v>0</v>
      </c>
      <c r="J170" s="1926"/>
      <c r="K170" s="2114"/>
      <c r="L170" s="1926"/>
      <c r="M170" s="1924">
        <f t="shared" si="14"/>
        <v>0</v>
      </c>
    </row>
    <row r="171" spans="1:38">
      <c r="A171" s="662"/>
      <c r="B171" s="2111" t="s">
        <v>353</v>
      </c>
      <c r="C171" s="2135"/>
      <c r="D171" s="2136">
        <f t="shared" si="12"/>
        <v>0</v>
      </c>
      <c r="E171" s="2114"/>
      <c r="F171" s="1926"/>
      <c r="G171" s="2114"/>
      <c r="H171" s="1926"/>
      <c r="I171" s="1924">
        <f t="shared" si="13"/>
        <v>0</v>
      </c>
      <c r="J171" s="1926"/>
      <c r="K171" s="2114"/>
      <c r="L171" s="1926"/>
      <c r="M171" s="1924">
        <f t="shared" si="14"/>
        <v>0</v>
      </c>
    </row>
    <row r="172" spans="1:38">
      <c r="A172" s="662"/>
      <c r="B172" s="2111"/>
      <c r="C172" s="2135"/>
      <c r="D172" s="2136">
        <f t="shared" si="12"/>
        <v>0</v>
      </c>
      <c r="E172" s="2114"/>
      <c r="F172" s="1926"/>
      <c r="G172" s="2114"/>
      <c r="H172" s="1926"/>
      <c r="I172" s="1924">
        <f t="shared" si="13"/>
        <v>0</v>
      </c>
      <c r="J172" s="1926"/>
      <c r="K172" s="2114"/>
      <c r="L172" s="1926"/>
      <c r="M172" s="1924">
        <f t="shared" si="14"/>
        <v>0</v>
      </c>
    </row>
    <row r="173" spans="1:38" s="870" customFormat="1">
      <c r="A173" s="662"/>
      <c r="B173" s="2121" t="s">
        <v>354</v>
      </c>
      <c r="C173" s="2137"/>
      <c r="D173" s="2136">
        <f t="shared" si="12"/>
        <v>2865118.1135926642</v>
      </c>
      <c r="E173" s="2114">
        <f>E162+E164</f>
        <v>0</v>
      </c>
      <c r="F173" s="1926">
        <f>F162+F164</f>
        <v>0</v>
      </c>
      <c r="G173" s="2114">
        <f>G162+G164</f>
        <v>250206.06073109398</v>
      </c>
      <c r="H173" s="1926">
        <f>H162+H164</f>
        <v>2439147.8457515705</v>
      </c>
      <c r="I173" s="1924">
        <f t="shared" si="13"/>
        <v>2689353.9064826644</v>
      </c>
      <c r="J173" s="1926">
        <f>J162+J164</f>
        <v>0</v>
      </c>
      <c r="K173" s="2114">
        <f>K162+K164</f>
        <v>0</v>
      </c>
      <c r="L173" s="1926">
        <f>L162+L164</f>
        <v>175764.20710999978</v>
      </c>
      <c r="M173" s="1924">
        <f t="shared" si="14"/>
        <v>175764.20710999978</v>
      </c>
      <c r="N173"/>
      <c r="O173"/>
      <c r="P173"/>
      <c r="Q173"/>
      <c r="R173"/>
      <c r="S173"/>
      <c r="T173"/>
      <c r="U173"/>
      <c r="V173"/>
      <c r="W173"/>
      <c r="X173"/>
      <c r="Y173"/>
      <c r="Z173"/>
      <c r="AA173"/>
      <c r="AB173" s="2976"/>
      <c r="AC173" s="2976"/>
      <c r="AD173" s="2976"/>
      <c r="AE173" s="2976"/>
      <c r="AF173" s="2976"/>
      <c r="AG173" s="2976"/>
      <c r="AH173" s="2976"/>
      <c r="AI173" s="2976"/>
      <c r="AJ173" s="2976"/>
      <c r="AK173" s="2976"/>
      <c r="AL173" s="2976"/>
    </row>
    <row r="174" spans="1:38">
      <c r="A174" s="662"/>
      <c r="B174" s="2121"/>
      <c r="C174" s="2137"/>
      <c r="D174" s="2136">
        <f t="shared" si="12"/>
        <v>0</v>
      </c>
      <c r="E174" s="2114"/>
      <c r="F174" s="1926"/>
      <c r="G174" s="2114"/>
      <c r="H174" s="1926"/>
      <c r="I174" s="1924">
        <f t="shared" si="13"/>
        <v>0</v>
      </c>
      <c r="J174" s="1926"/>
      <c r="K174" s="2114"/>
      <c r="L174" s="1926"/>
      <c r="M174" s="1924"/>
    </row>
    <row r="175" spans="1:38">
      <c r="A175" s="662"/>
      <c r="B175" s="2111" t="s">
        <v>355</v>
      </c>
      <c r="C175" s="2135"/>
      <c r="D175" s="2136">
        <f t="shared" si="12"/>
        <v>664548.14</v>
      </c>
      <c r="E175" s="2114">
        <v>0</v>
      </c>
      <c r="F175" s="1926"/>
      <c r="G175" s="2114">
        <v>156930.76331000001</v>
      </c>
      <c r="H175" s="1926">
        <v>386689.34151</v>
      </c>
      <c r="I175" s="1924">
        <f t="shared" si="13"/>
        <v>543620.10482000001</v>
      </c>
      <c r="J175" s="1926"/>
      <c r="K175" s="2114"/>
      <c r="L175" s="1926">
        <v>120928.03517999998</v>
      </c>
      <c r="M175" s="1924">
        <f t="shared" ref="M175:M193" si="15">L175+K175+J175</f>
        <v>120928.03517999998</v>
      </c>
    </row>
    <row r="176" spans="1:38">
      <c r="A176" s="662"/>
      <c r="B176" s="2111" t="s">
        <v>356</v>
      </c>
      <c r="C176" s="2135"/>
      <c r="D176" s="2136">
        <f t="shared" si="12"/>
        <v>-125564.63</v>
      </c>
      <c r="E176" s="2114">
        <v>0</v>
      </c>
      <c r="F176" s="1926"/>
      <c r="G176" s="2114">
        <v>-59839.771400000005</v>
      </c>
      <c r="H176" s="1926">
        <v>-29951.328600000001</v>
      </c>
      <c r="I176" s="1924">
        <f t="shared" si="13"/>
        <v>-89791.1</v>
      </c>
      <c r="J176" s="1926"/>
      <c r="K176" s="2114"/>
      <c r="L176" s="1926">
        <v>-35773.53</v>
      </c>
      <c r="M176" s="1924">
        <f t="shared" si="15"/>
        <v>-35773.53</v>
      </c>
    </row>
    <row r="177" spans="1:38">
      <c r="A177" s="662"/>
      <c r="B177" s="2111" t="s">
        <v>357</v>
      </c>
      <c r="C177" s="2135"/>
      <c r="D177" s="2136">
        <f t="shared" si="12"/>
        <v>0</v>
      </c>
      <c r="E177" s="2114">
        <v>0</v>
      </c>
      <c r="F177" s="1926"/>
      <c r="G177" s="2114"/>
      <c r="H177" s="1926"/>
      <c r="I177" s="1924">
        <f t="shared" si="13"/>
        <v>0</v>
      </c>
      <c r="J177" s="1926"/>
      <c r="K177" s="2114"/>
      <c r="L177" s="1926">
        <v>0</v>
      </c>
      <c r="M177" s="1924">
        <f t="shared" si="15"/>
        <v>0</v>
      </c>
    </row>
    <row r="178" spans="1:38" ht="13.5" customHeight="1">
      <c r="A178" s="662"/>
      <c r="B178" s="2122" t="s">
        <v>358</v>
      </c>
      <c r="C178" s="2135"/>
      <c r="D178" s="2136">
        <f t="shared" si="12"/>
        <v>0</v>
      </c>
      <c r="E178" s="2114">
        <v>0</v>
      </c>
      <c r="F178" s="1926"/>
      <c r="G178" s="2114"/>
      <c r="H178" s="1926"/>
      <c r="I178" s="1924">
        <f t="shared" si="13"/>
        <v>0</v>
      </c>
      <c r="J178" s="1926"/>
      <c r="K178" s="2114"/>
      <c r="L178" s="1926">
        <v>0</v>
      </c>
      <c r="M178" s="1924">
        <f t="shared" si="15"/>
        <v>0</v>
      </c>
    </row>
    <row r="179" spans="1:38">
      <c r="A179" s="662"/>
      <c r="B179" s="2111" t="s">
        <v>359</v>
      </c>
      <c r="C179" s="2135"/>
      <c r="D179" s="2136">
        <f t="shared" si="12"/>
        <v>1357794.0899999999</v>
      </c>
      <c r="E179" s="2114">
        <v>0</v>
      </c>
      <c r="F179" s="1926"/>
      <c r="G179" s="2114">
        <v>-28069.685357350769</v>
      </c>
      <c r="H179" s="1926">
        <v>1371552.8153573507</v>
      </c>
      <c r="I179" s="1924">
        <f t="shared" si="13"/>
        <v>1343483.13</v>
      </c>
      <c r="J179" s="1926"/>
      <c r="K179" s="2114"/>
      <c r="L179" s="1926">
        <v>14310.96</v>
      </c>
      <c r="M179" s="1924">
        <f t="shared" si="15"/>
        <v>14310.96</v>
      </c>
    </row>
    <row r="180" spans="1:38" ht="26.45">
      <c r="A180" s="662"/>
      <c r="B180" s="2122" t="s">
        <v>360</v>
      </c>
      <c r="C180" s="2135"/>
      <c r="D180" s="2136">
        <f t="shared" si="12"/>
        <v>0</v>
      </c>
      <c r="E180" s="2114">
        <v>0</v>
      </c>
      <c r="F180" s="1926"/>
      <c r="G180" s="2114"/>
      <c r="H180" s="1926"/>
      <c r="I180" s="1924">
        <f t="shared" si="13"/>
        <v>0</v>
      </c>
      <c r="J180" s="1926"/>
      <c r="K180" s="2114"/>
      <c r="L180" s="1926">
        <v>0</v>
      </c>
      <c r="M180" s="1924">
        <f t="shared" si="15"/>
        <v>0</v>
      </c>
    </row>
    <row r="181" spans="1:38" s="870" customFormat="1">
      <c r="A181" s="662"/>
      <c r="B181" s="2121" t="s">
        <v>361</v>
      </c>
      <c r="C181" s="2137"/>
      <c r="D181" s="2136">
        <f t="shared" si="12"/>
        <v>1896777.6</v>
      </c>
      <c r="E181" s="2114">
        <f>SUM(E175:E180)</f>
        <v>0</v>
      </c>
      <c r="F181" s="1926">
        <f>SUM(F175:F180)</f>
        <v>0</v>
      </c>
      <c r="G181" s="2114">
        <f>SUM(G175:G180)</f>
        <v>69021.306552649243</v>
      </c>
      <c r="H181" s="1926">
        <f>SUM(H175:H180)</f>
        <v>1728290.8282673508</v>
      </c>
      <c r="I181" s="1924">
        <f t="shared" si="13"/>
        <v>1797312.13482</v>
      </c>
      <c r="J181" s="1926">
        <f>SUM(J175:J180)</f>
        <v>0</v>
      </c>
      <c r="K181" s="2114">
        <f>SUM(K175:K180)</f>
        <v>0</v>
      </c>
      <c r="L181" s="1926">
        <f>SUM(L175:L180)</f>
        <v>99465.46517999997</v>
      </c>
      <c r="M181" s="1924">
        <f t="shared" si="15"/>
        <v>99465.46517999997</v>
      </c>
      <c r="N181"/>
      <c r="O181"/>
      <c r="P181"/>
      <c r="Q181"/>
      <c r="R181"/>
      <c r="S181"/>
      <c r="T181"/>
      <c r="U181"/>
      <c r="V181"/>
      <c r="W181"/>
      <c r="X181"/>
      <c r="Y181"/>
      <c r="Z181"/>
      <c r="AA181"/>
      <c r="AB181" s="2976"/>
      <c r="AC181" s="2976"/>
      <c r="AD181" s="2976"/>
      <c r="AE181" s="2976"/>
      <c r="AF181" s="2976"/>
      <c r="AG181" s="2976"/>
      <c r="AH181" s="2976"/>
      <c r="AI181" s="2976"/>
      <c r="AJ181" s="2976"/>
      <c r="AK181" s="2976"/>
      <c r="AL181" s="2976"/>
    </row>
    <row r="182" spans="1:38">
      <c r="A182" s="662"/>
      <c r="B182" s="2111"/>
      <c r="C182" s="2135"/>
      <c r="D182" s="2136">
        <f t="shared" si="12"/>
        <v>0</v>
      </c>
      <c r="E182" s="2114"/>
      <c r="F182" s="1926"/>
      <c r="G182" s="2114"/>
      <c r="H182" s="1926"/>
      <c r="I182" s="1924">
        <f t="shared" si="13"/>
        <v>0</v>
      </c>
      <c r="J182" s="1926"/>
      <c r="K182" s="2114"/>
      <c r="L182" s="1926"/>
      <c r="M182" s="1924">
        <f t="shared" si="15"/>
        <v>0</v>
      </c>
    </row>
    <row r="183" spans="1:38" ht="26.45">
      <c r="A183" s="662"/>
      <c r="B183" s="2122" t="s">
        <v>362</v>
      </c>
      <c r="C183" s="2135"/>
      <c r="D183" s="2136">
        <f t="shared" si="12"/>
        <v>444101.08999999997</v>
      </c>
      <c r="E183" s="2114">
        <v>0</v>
      </c>
      <c r="F183" s="1926"/>
      <c r="G183" s="2114">
        <v>168218.56902657688</v>
      </c>
      <c r="H183" s="1926">
        <v>252344.88156043401</v>
      </c>
      <c r="I183" s="1924">
        <f t="shared" si="13"/>
        <v>420563.45058701088</v>
      </c>
      <c r="J183" s="1926"/>
      <c r="K183" s="2114"/>
      <c r="L183" s="1926">
        <v>23537.639412989076</v>
      </c>
      <c r="M183" s="1924">
        <f t="shared" si="15"/>
        <v>23537.639412989076</v>
      </c>
    </row>
    <row r="184" spans="1:38">
      <c r="A184" s="662"/>
      <c r="B184" s="2111"/>
      <c r="C184" s="2135"/>
      <c r="D184" s="2136">
        <f t="shared" si="12"/>
        <v>0</v>
      </c>
      <c r="E184" s="2114"/>
      <c r="F184" s="1926"/>
      <c r="G184" s="2114"/>
      <c r="H184" s="1926"/>
      <c r="I184" s="1924">
        <f t="shared" si="13"/>
        <v>0</v>
      </c>
      <c r="J184" s="1926"/>
      <c r="K184" s="2114"/>
      <c r="L184" s="1926"/>
      <c r="M184" s="1924">
        <f t="shared" si="15"/>
        <v>0</v>
      </c>
    </row>
    <row r="185" spans="1:38" ht="15.75" customHeight="1">
      <c r="A185" s="662"/>
      <c r="B185" s="2122" t="s">
        <v>363</v>
      </c>
      <c r="C185" s="2135">
        <v>4</v>
      </c>
      <c r="D185" s="2136">
        <f t="shared" si="12"/>
        <v>615997.26999999979</v>
      </c>
      <c r="E185" s="2114">
        <v>31868.660000000003</v>
      </c>
      <c r="F185" s="1926"/>
      <c r="G185" s="2114">
        <v>59954.433099233014</v>
      </c>
      <c r="H185" s="1926">
        <v>485085.86780288501</v>
      </c>
      <c r="I185" s="1924">
        <f t="shared" si="13"/>
        <v>545040.30090211798</v>
      </c>
      <c r="J185" s="1926"/>
      <c r="K185" s="2114"/>
      <c r="L185" s="1926">
        <v>39088.309097881749</v>
      </c>
      <c r="M185" s="1924">
        <f t="shared" si="15"/>
        <v>39088.309097881749</v>
      </c>
    </row>
    <row r="186" spans="1:38">
      <c r="A186" s="662"/>
      <c r="B186" s="2111" t="s">
        <v>364</v>
      </c>
      <c r="C186" s="2135"/>
      <c r="D186" s="2136">
        <f t="shared" si="12"/>
        <v>0</v>
      </c>
      <c r="E186" s="2114">
        <v>0</v>
      </c>
      <c r="F186" s="1926"/>
      <c r="G186" s="2114"/>
      <c r="H186" s="1926"/>
      <c r="I186" s="1924">
        <f t="shared" si="13"/>
        <v>0</v>
      </c>
      <c r="J186" s="1926"/>
      <c r="K186" s="2114"/>
      <c r="L186" s="1926"/>
      <c r="M186" s="1924">
        <f t="shared" si="15"/>
        <v>0</v>
      </c>
    </row>
    <row r="187" spans="1:38">
      <c r="A187" s="662"/>
      <c r="B187" s="2111" t="s">
        <v>365</v>
      </c>
      <c r="C187" s="2135"/>
      <c r="D187" s="2136">
        <f t="shared" si="12"/>
        <v>0</v>
      </c>
      <c r="E187" s="2114">
        <v>0</v>
      </c>
      <c r="F187" s="1926"/>
      <c r="G187" s="2114"/>
      <c r="H187" s="1926"/>
      <c r="I187" s="1924">
        <f t="shared" si="13"/>
        <v>0</v>
      </c>
      <c r="J187" s="1926"/>
      <c r="K187" s="2114"/>
      <c r="L187" s="1926"/>
      <c r="M187" s="1924">
        <f t="shared" si="15"/>
        <v>0</v>
      </c>
    </row>
    <row r="188" spans="1:38" s="870" customFormat="1">
      <c r="A188" s="662"/>
      <c r="B188" s="2121" t="s">
        <v>366</v>
      </c>
      <c r="C188" s="2137"/>
      <c r="D188" s="2136">
        <f t="shared" si="12"/>
        <v>615997.26999999979</v>
      </c>
      <c r="E188" s="2114">
        <f>SUM(E185:E187)</f>
        <v>31868.660000000003</v>
      </c>
      <c r="F188" s="1926">
        <f>SUM(F185:F187)</f>
        <v>0</v>
      </c>
      <c r="G188" s="2114">
        <f>SUM(G185:G187)</f>
        <v>59954.433099233014</v>
      </c>
      <c r="H188" s="1926">
        <f>SUM(H185:H187)</f>
        <v>485085.86780288501</v>
      </c>
      <c r="I188" s="1924">
        <f t="shared" si="13"/>
        <v>545040.30090211798</v>
      </c>
      <c r="J188" s="1926">
        <f>SUM(J185:J187)</f>
        <v>0</v>
      </c>
      <c r="K188" s="2114">
        <f>SUM(K185:K187)</f>
        <v>0</v>
      </c>
      <c r="L188" s="1926">
        <f>SUM(L185:L187)</f>
        <v>39088.309097881749</v>
      </c>
      <c r="M188" s="1924">
        <f t="shared" si="15"/>
        <v>39088.309097881749</v>
      </c>
      <c r="N188"/>
      <c r="O188"/>
      <c r="P188"/>
      <c r="Q188"/>
      <c r="R188"/>
      <c r="S188"/>
      <c r="T188"/>
      <c r="U188"/>
      <c r="V188"/>
      <c r="W188"/>
      <c r="X188"/>
      <c r="Y188"/>
      <c r="Z188"/>
      <c r="AA188"/>
      <c r="AB188" s="2976"/>
      <c r="AC188" s="2976"/>
      <c r="AD188" s="2976"/>
      <c r="AE188" s="2976"/>
      <c r="AF188" s="2976"/>
      <c r="AG188" s="2976"/>
      <c r="AH188" s="2976"/>
      <c r="AI188" s="2976"/>
      <c r="AJ188" s="2976"/>
      <c r="AK188" s="2976"/>
      <c r="AL188" s="2976"/>
    </row>
    <row r="189" spans="1:38">
      <c r="A189" s="662"/>
      <c r="B189" s="2121"/>
      <c r="C189" s="2137"/>
      <c r="D189" s="2136">
        <f t="shared" si="12"/>
        <v>0</v>
      </c>
      <c r="E189" s="2114"/>
      <c r="F189" s="1926"/>
      <c r="G189" s="2114"/>
      <c r="H189" s="1926"/>
      <c r="I189" s="1924">
        <f t="shared" si="13"/>
        <v>0</v>
      </c>
      <c r="J189" s="1926"/>
      <c r="K189" s="2114"/>
      <c r="L189" s="1926"/>
      <c r="M189" s="1924">
        <f t="shared" si="15"/>
        <v>0</v>
      </c>
    </row>
    <row r="190" spans="1:38" s="870" customFormat="1">
      <c r="A190" s="662"/>
      <c r="B190" s="2121" t="s">
        <v>367</v>
      </c>
      <c r="C190" s="2137"/>
      <c r="D190" s="2136">
        <f t="shared" si="12"/>
        <v>-91757.846407335455</v>
      </c>
      <c r="E190" s="2114">
        <f>E173-E181-E183-E188</f>
        <v>-31868.660000000003</v>
      </c>
      <c r="F190" s="1926">
        <f>F173-F181-F183-F188</f>
        <v>0</v>
      </c>
      <c r="G190" s="2114">
        <f>G173-G181-G183-G188</f>
        <v>-46988.247947365155</v>
      </c>
      <c r="H190" s="1926">
        <f>H173-H181-H183-H188</f>
        <v>-26573.731879099272</v>
      </c>
      <c r="I190" s="1924">
        <f t="shared" si="13"/>
        <v>-73561.979826464434</v>
      </c>
      <c r="J190" s="1926">
        <f>J173-J181-J183-J188</f>
        <v>0</v>
      </c>
      <c r="K190" s="2114">
        <f>K173-K181-K183-K188</f>
        <v>0</v>
      </c>
      <c r="L190" s="1926">
        <f>L173-L181-L183-L188</f>
        <v>13672.79341912899</v>
      </c>
      <c r="M190" s="1924">
        <f t="shared" si="15"/>
        <v>13672.79341912899</v>
      </c>
      <c r="N190"/>
      <c r="O190"/>
      <c r="P190"/>
      <c r="Q190"/>
      <c r="R190"/>
      <c r="S190"/>
      <c r="T190"/>
      <c r="U190"/>
      <c r="V190"/>
      <c r="W190"/>
      <c r="X190"/>
      <c r="Y190"/>
      <c r="Z190"/>
      <c r="AA190"/>
      <c r="AB190" s="2976"/>
      <c r="AC190" s="2976"/>
      <c r="AD190" s="2976"/>
      <c r="AE190" s="2976"/>
      <c r="AF190" s="2976"/>
      <c r="AG190" s="2976"/>
      <c r="AH190" s="2976"/>
      <c r="AI190" s="2976"/>
      <c r="AJ190" s="2976"/>
      <c r="AK190" s="2976"/>
      <c r="AL190" s="2976"/>
    </row>
    <row r="191" spans="1:38">
      <c r="A191" s="662"/>
      <c r="B191" s="2111" t="s">
        <v>368</v>
      </c>
      <c r="C191" s="2135"/>
      <c r="D191" s="2136">
        <f t="shared" si="12"/>
        <v>216366.71000000002</v>
      </c>
      <c r="E191" s="2114">
        <v>216366.71000000002</v>
      </c>
      <c r="F191" s="1926"/>
      <c r="G191" s="2114"/>
      <c r="H191" s="1926"/>
      <c r="I191" s="1924">
        <f t="shared" si="13"/>
        <v>0</v>
      </c>
      <c r="J191" s="1926"/>
      <c r="K191" s="2114"/>
      <c r="L191" s="1926"/>
      <c r="M191" s="1924">
        <f t="shared" si="15"/>
        <v>0</v>
      </c>
    </row>
    <row r="192" spans="1:38">
      <c r="A192" s="662"/>
      <c r="B192" s="2111"/>
      <c r="C192" s="2135"/>
      <c r="D192" s="2136">
        <f t="shared" si="12"/>
        <v>0</v>
      </c>
      <c r="E192" s="2114"/>
      <c r="F192" s="1926"/>
      <c r="G192" s="2114"/>
      <c r="H192" s="1926"/>
      <c r="I192" s="1924">
        <f t="shared" si="13"/>
        <v>0</v>
      </c>
      <c r="J192" s="1926"/>
      <c r="K192" s="2114"/>
      <c r="L192" s="1926"/>
      <c r="M192" s="1924">
        <f t="shared" si="15"/>
        <v>0</v>
      </c>
    </row>
    <row r="193" spans="1:38" s="870" customFormat="1" ht="15" thickBot="1">
      <c r="A193" s="662"/>
      <c r="B193" s="1347" t="s">
        <v>369</v>
      </c>
      <c r="C193" s="1358"/>
      <c r="D193" s="1359">
        <f t="shared" si="12"/>
        <v>-308124.55640733545</v>
      </c>
      <c r="E193" s="1350">
        <f>E190-E191</f>
        <v>-248235.37000000002</v>
      </c>
      <c r="F193" s="1360">
        <f>F190-F191</f>
        <v>0</v>
      </c>
      <c r="G193" s="1350">
        <f>G190-G191</f>
        <v>-46988.247947365155</v>
      </c>
      <c r="H193" s="1360">
        <f>H190-H191</f>
        <v>-26573.731879099272</v>
      </c>
      <c r="I193" s="1350">
        <f t="shared" si="13"/>
        <v>-73561.979826464434</v>
      </c>
      <c r="J193" s="1360">
        <f>J190-J191</f>
        <v>0</v>
      </c>
      <c r="K193" s="1350">
        <f>K190-K191</f>
        <v>0</v>
      </c>
      <c r="L193" s="1360">
        <f>L190-L191</f>
        <v>13672.79341912899</v>
      </c>
      <c r="M193" s="1350">
        <f t="shared" si="15"/>
        <v>13672.79341912899</v>
      </c>
      <c r="N193"/>
      <c r="O193"/>
      <c r="P193"/>
      <c r="Q193"/>
      <c r="R193"/>
      <c r="S193"/>
      <c r="T193"/>
      <c r="U193"/>
      <c r="V193"/>
      <c r="W193"/>
      <c r="X193"/>
      <c r="Y193"/>
      <c r="Z193"/>
      <c r="AA193"/>
      <c r="AB193" s="2976"/>
      <c r="AC193" s="2976"/>
      <c r="AD193" s="2976"/>
      <c r="AE193" s="2976"/>
      <c r="AF193" s="2976"/>
      <c r="AG193" s="2976"/>
      <c r="AH193" s="2976"/>
      <c r="AI193" s="2976"/>
      <c r="AJ193" s="2976"/>
      <c r="AK193" s="2976"/>
      <c r="AL193" s="2976"/>
    </row>
    <row r="194" spans="1:38">
      <c r="A194" s="662"/>
      <c r="B194" s="662"/>
      <c r="C194" s="662"/>
      <c r="D194"/>
      <c r="E194"/>
      <c r="F194"/>
      <c r="G194"/>
      <c r="H194"/>
      <c r="I194"/>
      <c r="J194"/>
      <c r="K194"/>
      <c r="L194"/>
      <c r="M194"/>
    </row>
    <row r="195" spans="1:38">
      <c r="A195" s="662"/>
      <c r="B195" s="662"/>
      <c r="C195" s="662"/>
      <c r="D195"/>
      <c r="E195"/>
      <c r="F195"/>
      <c r="G195"/>
      <c r="H195"/>
      <c r="I195"/>
      <c r="J195"/>
      <c r="K195"/>
      <c r="L195"/>
      <c r="M195"/>
    </row>
    <row r="197" spans="1:38" ht="15" thickBot="1">
      <c r="E197" s="855"/>
    </row>
    <row r="198" spans="1:38" ht="17.25" customHeight="1" thickBot="1">
      <c r="A198" s="1361" t="s">
        <v>125</v>
      </c>
      <c r="B198" s="1153" t="s">
        <v>319</v>
      </c>
      <c r="C198" s="871"/>
      <c r="D198" s="662"/>
      <c r="E198" s="662"/>
      <c r="F198" s="662"/>
      <c r="G198" s="662"/>
      <c r="H198" s="662"/>
      <c r="I198" s="662"/>
      <c r="J198" s="662"/>
      <c r="K198" s="662"/>
      <c r="L198" s="3292"/>
      <c r="M198" s="3292" t="s">
        <v>257</v>
      </c>
    </row>
    <row r="199" spans="1:38" ht="17.25" customHeight="1" thickBot="1">
      <c r="A199" s="662"/>
      <c r="B199" s="3331" t="s">
        <v>319</v>
      </c>
      <c r="C199" s="3280" t="s">
        <v>334</v>
      </c>
      <c r="D199" s="3283" t="s">
        <v>260</v>
      </c>
      <c r="E199" s="3283" t="s">
        <v>335</v>
      </c>
      <c r="F199" s="3335" t="s">
        <v>263</v>
      </c>
      <c r="G199" s="3335"/>
      <c r="H199" s="3335"/>
      <c r="I199" s="3335"/>
      <c r="J199" s="3335"/>
      <c r="K199" s="3335"/>
      <c r="L199" s="3335"/>
      <c r="M199" s="3335"/>
    </row>
    <row r="200" spans="1:38" ht="17.25" customHeight="1" thickBot="1">
      <c r="A200" s="662"/>
      <c r="B200" s="3327"/>
      <c r="C200" s="3281"/>
      <c r="D200" s="3284"/>
      <c r="E200" s="3284"/>
      <c r="F200" s="3332" t="s">
        <v>264</v>
      </c>
      <c r="G200" s="3333"/>
      <c r="H200" s="3333"/>
      <c r="I200" s="3334"/>
      <c r="J200" s="3335" t="s">
        <v>336</v>
      </c>
      <c r="K200" s="3335"/>
      <c r="L200" s="3335"/>
      <c r="M200" s="3335"/>
    </row>
    <row r="201" spans="1:38" ht="60" customHeight="1" thickBot="1">
      <c r="A201" s="662"/>
      <c r="B201" s="3327"/>
      <c r="C201" s="3281"/>
      <c r="D201" s="3285"/>
      <c r="E201" s="3285"/>
      <c r="F201" s="2963" t="s">
        <v>267</v>
      </c>
      <c r="G201" s="2963" t="s">
        <v>268</v>
      </c>
      <c r="H201" s="2963" t="s">
        <v>269</v>
      </c>
      <c r="I201" s="2963" t="s">
        <v>160</v>
      </c>
      <c r="J201" s="2964" t="s">
        <v>337</v>
      </c>
      <c r="K201" s="2964" t="s">
        <v>271</v>
      </c>
      <c r="L201" s="2964" t="s">
        <v>338</v>
      </c>
      <c r="M201" s="2964" t="s">
        <v>160</v>
      </c>
    </row>
    <row r="202" spans="1:38" ht="17.25" customHeight="1" thickBot="1">
      <c r="A202" s="662"/>
      <c r="B202" s="3327"/>
      <c r="C202" s="3281"/>
      <c r="D202" s="2972">
        <v>1</v>
      </c>
      <c r="E202" s="3283">
        <v>2</v>
      </c>
      <c r="F202" s="3296">
        <v>3</v>
      </c>
      <c r="G202" s="3283">
        <v>4</v>
      </c>
      <c r="H202" s="2968"/>
      <c r="I202" s="2972">
        <v>6</v>
      </c>
      <c r="J202" s="3283">
        <v>7</v>
      </c>
      <c r="K202" s="3283">
        <v>8</v>
      </c>
      <c r="L202" s="3283">
        <v>9</v>
      </c>
      <c r="M202" s="2972">
        <v>10</v>
      </c>
    </row>
    <row r="203" spans="1:38" ht="15" thickBot="1">
      <c r="A203" s="662"/>
      <c r="B203" s="3328"/>
      <c r="C203" s="3282"/>
      <c r="D203" s="1327" t="s">
        <v>339</v>
      </c>
      <c r="E203" s="3285"/>
      <c r="F203" s="3297"/>
      <c r="G203" s="3285"/>
      <c r="H203" s="2970">
        <v>5</v>
      </c>
      <c r="I203" s="1327" t="s">
        <v>340</v>
      </c>
      <c r="J203" s="3285"/>
      <c r="K203" s="3285"/>
      <c r="L203" s="3285"/>
      <c r="M203" s="1327" t="s">
        <v>341</v>
      </c>
    </row>
    <row r="204" spans="1:38">
      <c r="A204" s="662"/>
      <c r="B204" s="1345" t="s">
        <v>342</v>
      </c>
      <c r="C204" s="903"/>
      <c r="D204" s="1357">
        <f t="shared" ref="D204:D243" si="16">E204+I204+M204</f>
        <v>17568324.862730004</v>
      </c>
      <c r="E204" s="886">
        <v>0</v>
      </c>
      <c r="F204" s="904">
        <v>0</v>
      </c>
      <c r="G204" s="886">
        <v>194318.60695000002</v>
      </c>
      <c r="H204" s="904">
        <v>16755907.518540001</v>
      </c>
      <c r="I204" s="1207">
        <f t="shared" ref="I204:I211" si="17">F204+G204+H204</f>
        <v>16950226.125490002</v>
      </c>
      <c r="J204" s="904">
        <v>618098.73724000005</v>
      </c>
      <c r="K204" s="886">
        <v>0</v>
      </c>
      <c r="L204" s="904">
        <v>0</v>
      </c>
      <c r="M204" s="1207">
        <f t="shared" ref="M204:M223" si="18">L204+K204+J204</f>
        <v>618098.73724000005</v>
      </c>
      <c r="AB204" s="2975" t="b">
        <f>B204='[3]Sheet 6 Income St.- 19 &amp; 18- LI'!B96</f>
        <v>1</v>
      </c>
      <c r="AC204" s="2977">
        <f>D204-'[3]Sheet 6 Income St.- 19 &amp; 18- LI'!C96</f>
        <v>4828973.7911700029</v>
      </c>
      <c r="AD204" s="2977">
        <f>E204-'[3]Sheet 6 Income St.- 19 &amp; 18- LI'!D96</f>
        <v>0</v>
      </c>
      <c r="AE204" s="2977">
        <f>F204-'[3]Sheet 6 Income St.- 19 &amp; 18- LI'!E96</f>
        <v>0</v>
      </c>
      <c r="AF204" s="2977">
        <f>G204-'[3]Sheet 6 Income St.- 19 &amp; 18- LI'!F96</f>
        <v>-129782.95835</v>
      </c>
      <c r="AG204" s="2977">
        <f>H204-'[3]Sheet 6 Income St.- 19 &amp; 18- LI'!G96</f>
        <v>5428281.0122800004</v>
      </c>
      <c r="AH204" s="2977">
        <f>I204-'[3]Sheet 6 Income St.- 19 &amp; 18- LI'!H96</f>
        <v>5298498.0539300013</v>
      </c>
      <c r="AI204" s="2977">
        <f>J204-'[3]Sheet 6 Income St.- 19 &amp; 18- LI'!I96</f>
        <v>-469524.26275999995</v>
      </c>
      <c r="AJ204" s="2977">
        <f>K204-'[3]Sheet 6 Income St.- 19 &amp; 18- LI'!J96</f>
        <v>0</v>
      </c>
      <c r="AK204" s="2977">
        <f>L204-'[3]Sheet 6 Income St.- 19 &amp; 18- LI'!K96</f>
        <v>0</v>
      </c>
      <c r="AL204" s="2977">
        <f>M204-'[3]Sheet 6 Income St.- 19 &amp; 18- LI'!L96</f>
        <v>-469524.26275999995</v>
      </c>
    </row>
    <row r="205" spans="1:38">
      <c r="A205" s="662"/>
      <c r="B205" s="2111"/>
      <c r="C205" s="2135"/>
      <c r="D205" s="2136">
        <f t="shared" si="16"/>
        <v>0</v>
      </c>
      <c r="E205" s="2114"/>
      <c r="F205" s="1926"/>
      <c r="G205" s="2114"/>
      <c r="H205" s="1926"/>
      <c r="I205" s="1924">
        <f t="shared" si="17"/>
        <v>0</v>
      </c>
      <c r="J205" s="1926"/>
      <c r="K205" s="2114"/>
      <c r="L205" s="1926"/>
      <c r="M205" s="1924">
        <f t="shared" si="18"/>
        <v>0</v>
      </c>
      <c r="AB205" s="2975" t="b">
        <f>B205='[3]Sheet 6 Income St.- 19 &amp; 18- LI'!B97</f>
        <v>1</v>
      </c>
      <c r="AC205" s="2977">
        <f>D205-'[3]Sheet 6 Income St.- 19 &amp; 18- LI'!C97</f>
        <v>0</v>
      </c>
      <c r="AD205" s="2977">
        <f>E205-'[3]Sheet 6 Income St.- 19 &amp; 18- LI'!D97</f>
        <v>0</v>
      </c>
      <c r="AE205" s="2977">
        <f>F205-'[3]Sheet 6 Income St.- 19 &amp; 18- LI'!E97</f>
        <v>0</v>
      </c>
      <c r="AF205" s="2977">
        <f>G205-'[3]Sheet 6 Income St.- 19 &amp; 18- LI'!F97</f>
        <v>0</v>
      </c>
      <c r="AG205" s="2977">
        <f>H205-'[3]Sheet 6 Income St.- 19 &amp; 18- LI'!G97</f>
        <v>0</v>
      </c>
      <c r="AH205" s="2977">
        <f>I205-'[3]Sheet 6 Income St.- 19 &amp; 18- LI'!H97</f>
        <v>0</v>
      </c>
      <c r="AI205" s="2977">
        <f>J205-'[3]Sheet 6 Income St.- 19 &amp; 18- LI'!I97</f>
        <v>0</v>
      </c>
      <c r="AJ205" s="2977">
        <f>K205-'[3]Sheet 6 Income St.- 19 &amp; 18- LI'!J97</f>
        <v>0</v>
      </c>
      <c r="AK205" s="2977">
        <f>L205-'[3]Sheet 6 Income St.- 19 &amp; 18- LI'!K97</f>
        <v>0</v>
      </c>
      <c r="AL205" s="2977">
        <f>M205-'[3]Sheet 6 Income St.- 19 &amp; 18- LI'!L97</f>
        <v>0</v>
      </c>
    </row>
    <row r="206" spans="1:38">
      <c r="A206" s="662"/>
      <c r="B206" s="2116" t="s">
        <v>343</v>
      </c>
      <c r="C206" s="2135"/>
      <c r="D206" s="2136">
        <f t="shared" si="16"/>
        <v>639338.91356999998</v>
      </c>
      <c r="E206" s="2114">
        <v>0</v>
      </c>
      <c r="F206" s="1926">
        <v>0</v>
      </c>
      <c r="G206" s="2114">
        <v>31551.15266</v>
      </c>
      <c r="H206" s="1926">
        <v>549612.14694999997</v>
      </c>
      <c r="I206" s="1924">
        <f t="shared" si="17"/>
        <v>581163.29960999999</v>
      </c>
      <c r="J206" s="1926">
        <v>58175.613960000002</v>
      </c>
      <c r="K206" s="2114">
        <v>0</v>
      </c>
      <c r="L206" s="1926">
        <v>0</v>
      </c>
      <c r="M206" s="1924">
        <f t="shared" si="18"/>
        <v>58175.613960000002</v>
      </c>
      <c r="AB206" s="2975" t="b">
        <f>B206='[3]Sheet 6 Income St.- 19 &amp; 18- LI'!B98</f>
        <v>1</v>
      </c>
      <c r="AC206" s="2977">
        <f>D206+'[3]Sheet 6 Income St.- 19 &amp; 18- LI'!C98</f>
        <v>257118.16871</v>
      </c>
      <c r="AD206" s="2977">
        <f>E206+'[3]Sheet 6 Income St.- 19 &amp; 18- LI'!D98</f>
        <v>0</v>
      </c>
      <c r="AE206" s="2977">
        <f>F206+'[3]Sheet 6 Income St.- 19 &amp; 18- LI'!E98</f>
        <v>0</v>
      </c>
      <c r="AF206" s="2977">
        <f>G206+'[3]Sheet 6 Income St.- 19 &amp; 18- LI'!F98</f>
        <v>-8102.9993599999943</v>
      </c>
      <c r="AG206" s="2977">
        <f>H206+'[3]Sheet 6 Income St.- 19 &amp; 18- LI'!G98</f>
        <v>283509.55410999997</v>
      </c>
      <c r="AH206" s="2977">
        <f>I206+'[3]Sheet 6 Income St.- 19 &amp; 18- LI'!H98</f>
        <v>275406.55475000001</v>
      </c>
      <c r="AI206" s="2977">
        <f>J206+'[3]Sheet 6 Income St.- 19 &amp; 18- LI'!I98</f>
        <v>-18288.386039999998</v>
      </c>
      <c r="AJ206" s="2977">
        <f>K206+'[3]Sheet 6 Income St.- 19 &amp; 18- LI'!J98</f>
        <v>0</v>
      </c>
      <c r="AK206" s="2977">
        <f>L206+'[3]Sheet 6 Income St.- 19 &amp; 18- LI'!K98</f>
        <v>0</v>
      </c>
      <c r="AL206" s="2977">
        <f>M206+'[3]Sheet 6 Income St.- 19 &amp; 18- LI'!L98</f>
        <v>-18288.386039999998</v>
      </c>
    </row>
    <row r="207" spans="1:38">
      <c r="A207" s="662"/>
      <c r="B207" s="2116"/>
      <c r="C207" s="2135"/>
      <c r="D207" s="2136">
        <f t="shared" si="16"/>
        <v>0</v>
      </c>
      <c r="E207" s="2114"/>
      <c r="F207" s="1926"/>
      <c r="G207" s="2114"/>
      <c r="H207" s="1926"/>
      <c r="I207" s="1924">
        <f t="shared" si="17"/>
        <v>0</v>
      </c>
      <c r="J207" s="1926"/>
      <c r="K207" s="2114"/>
      <c r="L207" s="1926"/>
      <c r="M207" s="1924">
        <f t="shared" si="18"/>
        <v>0</v>
      </c>
      <c r="AB207" s="2975" t="b">
        <f>B207='[3]Sheet 6 Income St.- 19 &amp; 18- LI'!B99</f>
        <v>1</v>
      </c>
      <c r="AC207" s="2977">
        <f>D207-'[3]Sheet 6 Income St.- 19 &amp; 18- LI'!C99</f>
        <v>0</v>
      </c>
      <c r="AD207" s="2977">
        <f>E207-'[3]Sheet 6 Income St.- 19 &amp; 18- LI'!D99</f>
        <v>0</v>
      </c>
      <c r="AE207" s="2977">
        <f>F207-'[3]Sheet 6 Income St.- 19 &amp; 18- LI'!E99</f>
        <v>0</v>
      </c>
      <c r="AF207" s="2977">
        <f>G207-'[3]Sheet 6 Income St.- 19 &amp; 18- LI'!F99</f>
        <v>0</v>
      </c>
      <c r="AG207" s="2977">
        <f>H207-'[3]Sheet 6 Income St.- 19 &amp; 18- LI'!G99</f>
        <v>0</v>
      </c>
      <c r="AH207" s="2977">
        <f>I207-'[3]Sheet 6 Income St.- 19 &amp; 18- LI'!H99</f>
        <v>0</v>
      </c>
      <c r="AI207" s="2977">
        <f>J207-'[3]Sheet 6 Income St.- 19 &amp; 18- LI'!I99</f>
        <v>0</v>
      </c>
      <c r="AJ207" s="2977">
        <f>K207-'[3]Sheet 6 Income St.- 19 &amp; 18- LI'!J99</f>
        <v>0</v>
      </c>
      <c r="AK207" s="2977">
        <f>L207-'[3]Sheet 6 Income St.- 19 &amp; 18- LI'!K99</f>
        <v>0</v>
      </c>
      <c r="AL207" s="2977">
        <f>M207-'[3]Sheet 6 Income St.- 19 &amp; 18- LI'!L99</f>
        <v>0</v>
      </c>
    </row>
    <row r="208" spans="1:38" ht="14.25" customHeight="1">
      <c r="A208" s="662"/>
      <c r="B208" s="2117" t="s">
        <v>344</v>
      </c>
      <c r="C208" s="2135"/>
      <c r="D208" s="2136">
        <f t="shared" si="16"/>
        <v>0</v>
      </c>
      <c r="E208" s="2114"/>
      <c r="F208" s="1926"/>
      <c r="G208" s="2114"/>
      <c r="H208" s="1926"/>
      <c r="I208" s="1924">
        <f t="shared" si="17"/>
        <v>0</v>
      </c>
      <c r="J208" s="1926">
        <v>0</v>
      </c>
      <c r="K208" s="2114">
        <v>0</v>
      </c>
      <c r="L208" s="1926">
        <v>0</v>
      </c>
      <c r="M208" s="1924">
        <f t="shared" si="18"/>
        <v>0</v>
      </c>
      <c r="AB208" s="2975" t="b">
        <f>B208='[3]Sheet 6 Income St.- 19 &amp; 18- LI'!B100</f>
        <v>1</v>
      </c>
      <c r="AC208" s="2977">
        <f>D208-'[3]Sheet 6 Income St.- 19 &amp; 18- LI'!C100</f>
        <v>0</v>
      </c>
      <c r="AD208" s="2977">
        <f>E208-'[3]Sheet 6 Income St.- 19 &amp; 18- LI'!D100</f>
        <v>0</v>
      </c>
      <c r="AE208" s="2977">
        <f>F208-'[3]Sheet 6 Income St.- 19 &amp; 18- LI'!E100</f>
        <v>0</v>
      </c>
      <c r="AF208" s="2977">
        <f>G208-'[3]Sheet 6 Income St.- 19 &amp; 18- LI'!F100</f>
        <v>0</v>
      </c>
      <c r="AG208" s="2977">
        <f>H208-'[3]Sheet 6 Income St.- 19 &amp; 18- LI'!G100</f>
        <v>0</v>
      </c>
      <c r="AH208" s="2977">
        <f>I208-'[3]Sheet 6 Income St.- 19 &amp; 18- LI'!H100</f>
        <v>0</v>
      </c>
      <c r="AI208" s="2977">
        <f>J208-'[3]Sheet 6 Income St.- 19 &amp; 18- LI'!I100</f>
        <v>0</v>
      </c>
      <c r="AJ208" s="2977">
        <f>K208-'[3]Sheet 6 Income St.- 19 &amp; 18- LI'!J100</f>
        <v>0</v>
      </c>
      <c r="AK208" s="2977">
        <f>L208-'[3]Sheet 6 Income St.- 19 &amp; 18- LI'!K100</f>
        <v>0</v>
      </c>
      <c r="AL208" s="2977">
        <f>M208-'[3]Sheet 6 Income St.- 19 &amp; 18- LI'!L100</f>
        <v>0</v>
      </c>
    </row>
    <row r="209" spans="1:38">
      <c r="A209" s="662"/>
      <c r="B209" s="2111"/>
      <c r="C209" s="2135"/>
      <c r="D209" s="2136">
        <f t="shared" si="16"/>
        <v>0</v>
      </c>
      <c r="E209" s="2114"/>
      <c r="F209" s="1926"/>
      <c r="G209" s="2114"/>
      <c r="H209" s="1926"/>
      <c r="I209" s="1924">
        <f t="shared" si="17"/>
        <v>0</v>
      </c>
      <c r="J209" s="1926"/>
      <c r="K209" s="2114"/>
      <c r="L209" s="1926"/>
      <c r="M209" s="1924">
        <f t="shared" si="18"/>
        <v>0</v>
      </c>
      <c r="AB209" s="2975" t="b">
        <f>B209='[3]Sheet 6 Income St.- 19 &amp; 18- LI'!B101</f>
        <v>1</v>
      </c>
      <c r="AC209" s="2977">
        <f>D209-'[3]Sheet 6 Income St.- 19 &amp; 18- LI'!C101</f>
        <v>0</v>
      </c>
      <c r="AD209" s="2977">
        <f>E209-'[3]Sheet 6 Income St.- 19 &amp; 18- LI'!D101</f>
        <v>0</v>
      </c>
      <c r="AE209" s="2977">
        <f>F209-'[3]Sheet 6 Income St.- 19 &amp; 18- LI'!E101</f>
        <v>0</v>
      </c>
      <c r="AF209" s="2977">
        <f>G209-'[3]Sheet 6 Income St.- 19 &amp; 18- LI'!F101</f>
        <v>0</v>
      </c>
      <c r="AG209" s="2977">
        <f>H209-'[3]Sheet 6 Income St.- 19 &amp; 18- LI'!G101</f>
        <v>0</v>
      </c>
      <c r="AH209" s="2977">
        <f>I209-'[3]Sheet 6 Income St.- 19 &amp; 18- LI'!H101</f>
        <v>0</v>
      </c>
      <c r="AI209" s="2977">
        <f>J209-'[3]Sheet 6 Income St.- 19 &amp; 18- LI'!I101</f>
        <v>0</v>
      </c>
      <c r="AJ209" s="2977">
        <f>K209-'[3]Sheet 6 Income St.- 19 &amp; 18- LI'!J101</f>
        <v>0</v>
      </c>
      <c r="AK209" s="2977">
        <f>L209-'[3]Sheet 6 Income St.- 19 &amp; 18- LI'!K101</f>
        <v>0</v>
      </c>
      <c r="AL209" s="2977">
        <f>M209-'[3]Sheet 6 Income St.- 19 &amp; 18- LI'!L101</f>
        <v>0</v>
      </c>
    </row>
    <row r="210" spans="1:38" s="870" customFormat="1">
      <c r="A210" s="662"/>
      <c r="B210" s="2118" t="s">
        <v>345</v>
      </c>
      <c r="C210" s="2137"/>
      <c r="D210" s="2136">
        <f>E210+I210+M210</f>
        <v>16928985.949160002</v>
      </c>
      <c r="E210" s="2114">
        <f>E204-E206+E208</f>
        <v>0</v>
      </c>
      <c r="F210" s="1926">
        <f>F204-F206+F208</f>
        <v>0</v>
      </c>
      <c r="G210" s="2114">
        <f>G204-G206+G208</f>
        <v>162767.45429000002</v>
      </c>
      <c r="H210" s="1926">
        <f>H204-H206+H208</f>
        <v>16206295.37159</v>
      </c>
      <c r="I210" s="1924">
        <f t="shared" si="17"/>
        <v>16369062.82588</v>
      </c>
      <c r="J210" s="1926">
        <f>J204-J206+J208</f>
        <v>559923.12328000006</v>
      </c>
      <c r="K210" s="2114">
        <f>K204-K206+K208</f>
        <v>0</v>
      </c>
      <c r="L210" s="1926">
        <f>L204-L206+L208</f>
        <v>0</v>
      </c>
      <c r="M210" s="1924">
        <f t="shared" si="18"/>
        <v>559923.12328000006</v>
      </c>
      <c r="N210"/>
      <c r="O210"/>
      <c r="P210"/>
      <c r="Q210"/>
      <c r="R210"/>
      <c r="S210"/>
      <c r="T210"/>
      <c r="U210"/>
      <c r="V210"/>
      <c r="W210"/>
      <c r="X210"/>
      <c r="Y210"/>
      <c r="Z210"/>
      <c r="AA210"/>
      <c r="AB210" s="2976" t="b">
        <f>B210='[3]Sheet 6 Income St.- 19 &amp; 18- LI'!B102</f>
        <v>0</v>
      </c>
      <c r="AC210" s="2978">
        <f>D210-'[3]Sheet 6 Income St.- 19 &amp; 18- LI'!C102</f>
        <v>4571855.6224600002</v>
      </c>
      <c r="AD210" s="2978">
        <f>E210-'[3]Sheet 6 Income St.- 19 &amp; 18- LI'!D102</f>
        <v>0</v>
      </c>
      <c r="AE210" s="2978">
        <f>F210-'[3]Sheet 6 Income St.- 19 &amp; 18- LI'!E102</f>
        <v>0</v>
      </c>
      <c r="AF210" s="2978">
        <f>G210-'[3]Sheet 6 Income St.- 19 &amp; 18- LI'!F102</f>
        <v>-121679.95899000001</v>
      </c>
      <c r="AG210" s="2978">
        <f>H210-'[3]Sheet 6 Income St.- 19 &amp; 18- LI'!G102</f>
        <v>5144771.4581699986</v>
      </c>
      <c r="AH210" s="2978">
        <f>I210-'[3]Sheet 6 Income St.- 19 &amp; 18- LI'!H102</f>
        <v>5023091.4991799984</v>
      </c>
      <c r="AI210" s="2978">
        <f>J210-'[3]Sheet 6 Income St.- 19 &amp; 18- LI'!I102</f>
        <v>-451235.87671999994</v>
      </c>
      <c r="AJ210" s="2978">
        <f>K210-'[3]Sheet 6 Income St.- 19 &amp; 18- LI'!J102</f>
        <v>0</v>
      </c>
      <c r="AK210" s="2978">
        <f>L210-'[3]Sheet 6 Income St.- 19 &amp; 18- LI'!K102</f>
        <v>0</v>
      </c>
      <c r="AL210" s="2978">
        <f>M210-'[3]Sheet 6 Income St.- 19 &amp; 18- LI'!L102</f>
        <v>-451235.87671999994</v>
      </c>
    </row>
    <row r="211" spans="1:38">
      <c r="A211" s="662"/>
      <c r="B211" s="2118"/>
      <c r="C211" s="2137"/>
      <c r="D211" s="2136">
        <f t="shared" si="16"/>
        <v>0</v>
      </c>
      <c r="E211" s="2114"/>
      <c r="F211" s="1926"/>
      <c r="G211" s="2114"/>
      <c r="H211" s="1926"/>
      <c r="I211" s="1924">
        <f t="shared" si="17"/>
        <v>0</v>
      </c>
      <c r="J211" s="1926"/>
      <c r="K211" s="2114"/>
      <c r="L211" s="1926"/>
      <c r="M211" s="1924">
        <f t="shared" si="18"/>
        <v>0</v>
      </c>
      <c r="AB211" s="2975" t="b">
        <f>B211='[3]Sheet 6 Income St.- 19 &amp; 18- LI'!B103</f>
        <v>1</v>
      </c>
      <c r="AC211" s="2977">
        <f>D211-'[3]Sheet 6 Income St.- 19 &amp; 18- LI'!C103</f>
        <v>0</v>
      </c>
      <c r="AD211" s="2977">
        <f>E211-'[3]Sheet 6 Income St.- 19 &amp; 18- LI'!D103</f>
        <v>0</v>
      </c>
      <c r="AE211" s="2977">
        <f>F211-'[3]Sheet 6 Income St.- 19 &amp; 18- LI'!E103</f>
        <v>0</v>
      </c>
      <c r="AF211" s="2977">
        <f>G211-'[3]Sheet 6 Income St.- 19 &amp; 18- LI'!F103</f>
        <v>0</v>
      </c>
      <c r="AG211" s="2977">
        <f>H211-'[3]Sheet 6 Income St.- 19 &amp; 18- LI'!G103</f>
        <v>0</v>
      </c>
      <c r="AH211" s="2977">
        <f>I211-'[3]Sheet 6 Income St.- 19 &amp; 18- LI'!H103</f>
        <v>0</v>
      </c>
      <c r="AI211" s="2977">
        <f>J211-'[3]Sheet 6 Income St.- 19 &amp; 18- LI'!I103</f>
        <v>0</v>
      </c>
      <c r="AJ211" s="2977">
        <f>K211-'[3]Sheet 6 Income St.- 19 &amp; 18- LI'!J103</f>
        <v>0</v>
      </c>
      <c r="AK211" s="2977">
        <f>L211-'[3]Sheet 6 Income St.- 19 &amp; 18- LI'!K103</f>
        <v>0</v>
      </c>
      <c r="AL211" s="2977">
        <f>M211-'[3]Sheet 6 Income St.- 19 &amp; 18- LI'!L103</f>
        <v>0</v>
      </c>
    </row>
    <row r="212" spans="1:38" s="870" customFormat="1">
      <c r="A212" s="662"/>
      <c r="B212" s="2118" t="s">
        <v>346</v>
      </c>
      <c r="C212" s="2137"/>
      <c r="D212" s="2136">
        <f t="shared" si="16"/>
        <v>8808332.7020999994</v>
      </c>
      <c r="E212" s="2114">
        <f t="shared" ref="E212:K212" si="19">SUM(E213:E217)</f>
        <v>2161150.5275499998</v>
      </c>
      <c r="F212" s="1926">
        <f t="shared" si="19"/>
        <v>0</v>
      </c>
      <c r="G212" s="2114">
        <f t="shared" si="19"/>
        <v>49755.212240000008</v>
      </c>
      <c r="H212" s="1926">
        <f t="shared" si="19"/>
        <v>6317831.5580200003</v>
      </c>
      <c r="I212" s="1924">
        <f t="shared" si="19"/>
        <v>6367586.7702600006</v>
      </c>
      <c r="J212" s="1926">
        <f t="shared" si="19"/>
        <v>103625.75904</v>
      </c>
      <c r="K212" s="2114">
        <f t="shared" si="19"/>
        <v>5023.0962</v>
      </c>
      <c r="L212" s="1926">
        <f>SUM(L213:L217)</f>
        <v>170946.54905</v>
      </c>
      <c r="M212" s="1924">
        <f t="shared" si="18"/>
        <v>279595.40428999998</v>
      </c>
      <c r="N212"/>
      <c r="O212"/>
      <c r="P212"/>
      <c r="Q212"/>
      <c r="R212"/>
      <c r="S212"/>
      <c r="T212"/>
      <c r="U212"/>
      <c r="V212"/>
      <c r="W212"/>
      <c r="X212"/>
      <c r="Y212"/>
      <c r="Z212"/>
      <c r="AA212"/>
      <c r="AB212" s="2976" t="b">
        <f>B212='[3]Sheet 6 Income St.- 19 &amp; 18- LI'!B104</f>
        <v>1</v>
      </c>
      <c r="AC212" s="2978">
        <f>D212-'[3]Sheet 6 Income St.- 19 &amp; 18- LI'!C104</f>
        <v>2929472.7004499994</v>
      </c>
      <c r="AD212" s="2978">
        <f>E212-'[3]Sheet 6 Income St.- 19 &amp; 18- LI'!D104</f>
        <v>1607093.5275499998</v>
      </c>
      <c r="AE212" s="2978">
        <f>F212-'[3]Sheet 6 Income St.- 19 &amp; 18- LI'!E104</f>
        <v>0</v>
      </c>
      <c r="AF212" s="2978">
        <f>G212-'[3]Sheet 6 Income St.- 19 &amp; 18- LI'!F104</f>
        <v>45010.004120000005</v>
      </c>
      <c r="AG212" s="2978">
        <f>H212-'[3]Sheet 6 Income St.- 19 &amp; 18- LI'!G104</f>
        <v>1447815.76449</v>
      </c>
      <c r="AH212" s="2978">
        <f>I212-'[3]Sheet 6 Income St.- 19 &amp; 18- LI'!H104</f>
        <v>1492825.7686100006</v>
      </c>
      <c r="AI212" s="2978">
        <f>J212-'[3]Sheet 6 Income St.- 19 &amp; 18- LI'!I104</f>
        <v>-81950.240959999996</v>
      </c>
      <c r="AJ212" s="2978">
        <f>K212-'[3]Sheet 6 Income St.- 19 &amp; 18- LI'!J104</f>
        <v>2160.0962</v>
      </c>
      <c r="AK212" s="2978">
        <f>L212-'[3]Sheet 6 Income St.- 19 &amp; 18- LI'!K104</f>
        <v>-90656.450949999999</v>
      </c>
      <c r="AL212" s="2978">
        <f>M212-'[3]Sheet 6 Income St.- 19 &amp; 18- LI'!L104</f>
        <v>-170446.59571000002</v>
      </c>
    </row>
    <row r="213" spans="1:38">
      <c r="A213" s="662"/>
      <c r="B213" s="2111" t="s">
        <v>347</v>
      </c>
      <c r="C213" s="2135">
        <v>1</v>
      </c>
      <c r="D213" s="2136">
        <f t="shared" si="16"/>
        <v>8509468.9674999993</v>
      </c>
      <c r="E213" s="2114">
        <v>2164422.65809</v>
      </c>
      <c r="F213" s="1926">
        <v>0</v>
      </c>
      <c r="G213" s="2114">
        <v>51103.967420000008</v>
      </c>
      <c r="H213" s="1926">
        <v>5467027.47817</v>
      </c>
      <c r="I213" s="1924">
        <f t="shared" ref="I213:I243" si="20">F213+G213+H213</f>
        <v>5518131.4455899997</v>
      </c>
      <c r="J213" s="1926">
        <v>68581.352790000004</v>
      </c>
      <c r="K213" s="2114">
        <v>5022.96234</v>
      </c>
      <c r="L213" s="1926">
        <v>753310.54868999997</v>
      </c>
      <c r="M213" s="1924">
        <f t="shared" si="18"/>
        <v>826914.86381999997</v>
      </c>
      <c r="AB213" s="2975" t="b">
        <f>B213='[3]Sheet 6 Income St.- 19 &amp; 18- LI'!B105</f>
        <v>1</v>
      </c>
      <c r="AC213" s="2977">
        <f>D213-'[3]Sheet 6 Income St.- 19 &amp; 18- LI'!C105</f>
        <v>3411992.3718699981</v>
      </c>
      <c r="AD213" s="2977">
        <f>E213-'[3]Sheet 6 Income St.- 19 &amp; 18- LI'!D105</f>
        <v>973456.65809000004</v>
      </c>
      <c r="AE213" s="2977">
        <f>F213-'[3]Sheet 6 Income St.- 19 &amp; 18- LI'!E105</f>
        <v>0</v>
      </c>
      <c r="AF213" s="2977">
        <f>G213-'[3]Sheet 6 Income St.- 19 &amp; 18- LI'!F105</f>
        <v>46656.048250000007</v>
      </c>
      <c r="AG213" s="2977">
        <f>H213-'[3]Sheet 6 Income St.- 19 &amp; 18- LI'!G105</f>
        <v>2070905.8017099993</v>
      </c>
      <c r="AH213" s="2977">
        <f>I213-'[3]Sheet 6 Income St.- 19 &amp; 18- LI'!H105</f>
        <v>2117561.8499599989</v>
      </c>
      <c r="AI213" s="2977">
        <f>J213-'[3]Sheet 6 Income St.- 19 &amp; 18- LI'!I105</f>
        <v>40499.352790000004</v>
      </c>
      <c r="AJ213" s="2977">
        <f>K213-'[3]Sheet 6 Income St.- 19 &amp; 18- LI'!J105</f>
        <v>2160.96234</v>
      </c>
      <c r="AK213" s="2977">
        <f>L213-'[3]Sheet 6 Income St.- 19 &amp; 18- LI'!K105</f>
        <v>278313.54868999997</v>
      </c>
      <c r="AL213" s="2977">
        <f>M213-'[3]Sheet 6 Income St.- 19 &amp; 18- LI'!L105</f>
        <v>320973.86381999997</v>
      </c>
    </row>
    <row r="214" spans="1:38">
      <c r="A214" s="662"/>
      <c r="B214" s="2111" t="s">
        <v>348</v>
      </c>
      <c r="C214" s="2135">
        <v>2</v>
      </c>
      <c r="D214" s="2136">
        <f t="shared" si="16"/>
        <v>1317964.1932500002</v>
      </c>
      <c r="E214" s="2114">
        <v>0</v>
      </c>
      <c r="F214" s="1926">
        <v>0</v>
      </c>
      <c r="G214" s="2114">
        <v>0</v>
      </c>
      <c r="H214" s="1926">
        <v>1282941.1991100002</v>
      </c>
      <c r="I214" s="1924">
        <f t="shared" si="20"/>
        <v>1282941.1991100002</v>
      </c>
      <c r="J214" s="1926">
        <v>35022.994140000003</v>
      </c>
      <c r="K214" s="2114">
        <v>0</v>
      </c>
      <c r="L214" s="1926">
        <v>0</v>
      </c>
      <c r="M214" s="1924">
        <f t="shared" si="18"/>
        <v>35022.994140000003</v>
      </c>
      <c r="AB214" s="2975" t="b">
        <f>B214='[3]Sheet 6 Income St.- 19 &amp; 18- LI'!B106</f>
        <v>1</v>
      </c>
      <c r="AC214" s="2977">
        <f>D214-'[3]Sheet 6 Income St.- 19 &amp; 18- LI'!C106</f>
        <v>542238.1891300003</v>
      </c>
      <c r="AD214" s="2977">
        <f>E214-'[3]Sheet 6 Income St.- 19 &amp; 18- LI'!D106</f>
        <v>0</v>
      </c>
      <c r="AE214" s="2977">
        <f>F214-'[3]Sheet 6 Income St.- 19 &amp; 18- LI'!E106</f>
        <v>0</v>
      </c>
      <c r="AF214" s="2977">
        <f>G214-'[3]Sheet 6 Income St.- 19 &amp; 18- LI'!F106</f>
        <v>-296.47651000000002</v>
      </c>
      <c r="AG214" s="2977">
        <f>H214-'[3]Sheet 6 Income St.- 19 &amp; 18- LI'!G106</f>
        <v>663991.67150000017</v>
      </c>
      <c r="AH214" s="2977">
        <f>I214-'[3]Sheet 6 Income St.- 19 &amp; 18- LI'!H106</f>
        <v>663695.19499000022</v>
      </c>
      <c r="AI214" s="2977">
        <f>J214-'[3]Sheet 6 Income St.- 19 &amp; 18- LI'!I106</f>
        <v>-121457.00586</v>
      </c>
      <c r="AJ214" s="2977">
        <f>K214-'[3]Sheet 6 Income St.- 19 &amp; 18- LI'!J106</f>
        <v>0</v>
      </c>
      <c r="AK214" s="2977">
        <f>L214-'[3]Sheet 6 Income St.- 19 &amp; 18- LI'!K106</f>
        <v>0</v>
      </c>
      <c r="AL214" s="2977">
        <f>M214-'[3]Sheet 6 Income St.- 19 &amp; 18- LI'!L106</f>
        <v>-121457.00586</v>
      </c>
    </row>
    <row r="215" spans="1:38">
      <c r="A215" s="662"/>
      <c r="B215" s="2111" t="s">
        <v>349</v>
      </c>
      <c r="C215" s="2135"/>
      <c r="D215" s="2136">
        <f t="shared" si="16"/>
        <v>-110966.56195</v>
      </c>
      <c r="E215" s="2114">
        <v>1223.9943499999997</v>
      </c>
      <c r="F215" s="1926">
        <v>0</v>
      </c>
      <c r="G215" s="2114">
        <v>1956.93472</v>
      </c>
      <c r="H215" s="1926">
        <v>0</v>
      </c>
      <c r="I215" s="1924">
        <f t="shared" si="20"/>
        <v>1956.93472</v>
      </c>
      <c r="J215" s="1926">
        <v>0</v>
      </c>
      <c r="K215" s="2114">
        <v>0</v>
      </c>
      <c r="L215" s="1926">
        <v>-114147.49102</v>
      </c>
      <c r="M215" s="1924">
        <f t="shared" si="18"/>
        <v>-114147.49102</v>
      </c>
      <c r="AB215" s="2975" t="b">
        <f>B215='[3]Sheet 6 Income St.- 19 &amp; 18- LI'!B107</f>
        <v>1</v>
      </c>
      <c r="AC215" s="2977">
        <f>D215-'[3]Sheet 6 Income St.- 19 &amp; 18- LI'!C107</f>
        <v>-191031.56158999994</v>
      </c>
      <c r="AD215" s="2977">
        <f>E215-'[3]Sheet 6 Income St.- 19 &amp; 18- LI'!D107</f>
        <v>647759.99435000005</v>
      </c>
      <c r="AE215" s="2977">
        <f>F215-'[3]Sheet 6 Income St.- 19 &amp; 18- LI'!E107</f>
        <v>0</v>
      </c>
      <c r="AF215" s="2977">
        <f>G215-'[3]Sheet 6 Income St.- 19 &amp; 18- LI'!F107</f>
        <v>1956.93472</v>
      </c>
      <c r="AG215" s="2977">
        <f>H215-'[3]Sheet 6 Income St.- 19 &amp; 18- LI'!G107</f>
        <v>-745922.99963999994</v>
      </c>
      <c r="AH215" s="2977">
        <f>I215-'[3]Sheet 6 Income St.- 19 &amp; 18- LI'!H107</f>
        <v>-743966.06491999992</v>
      </c>
      <c r="AI215" s="2977">
        <f>J215-'[3]Sheet 6 Income St.- 19 &amp; 18- LI'!I107</f>
        <v>0</v>
      </c>
      <c r="AJ215" s="2977">
        <f>K215-'[3]Sheet 6 Income St.- 19 &amp; 18- LI'!J107</f>
        <v>0</v>
      </c>
      <c r="AK215" s="2977">
        <f>L215-'[3]Sheet 6 Income St.- 19 &amp; 18- LI'!K107</f>
        <v>-94825.491020000001</v>
      </c>
      <c r="AL215" s="2977">
        <f>M215-'[3]Sheet 6 Income St.- 19 &amp; 18- LI'!L107</f>
        <v>-94825.491020000001</v>
      </c>
    </row>
    <row r="216" spans="1:38">
      <c r="A216" s="662"/>
      <c r="B216" s="2111" t="s">
        <v>350</v>
      </c>
      <c r="C216" s="2135"/>
      <c r="D216" s="2136">
        <f t="shared" si="16"/>
        <v>-468255.81050000002</v>
      </c>
      <c r="E216" s="2114">
        <v>0</v>
      </c>
      <c r="F216" s="1926">
        <v>0</v>
      </c>
      <c r="G216" s="2114">
        <v>0</v>
      </c>
      <c r="H216" s="1926">
        <v>0</v>
      </c>
      <c r="I216" s="1924">
        <f t="shared" si="20"/>
        <v>0</v>
      </c>
      <c r="J216" s="1926">
        <v>0</v>
      </c>
      <c r="K216" s="2114">
        <v>0</v>
      </c>
      <c r="L216" s="1926">
        <v>-468255.81050000002</v>
      </c>
      <c r="M216" s="1924">
        <f t="shared" si="18"/>
        <v>-468255.81050000002</v>
      </c>
      <c r="AB216" s="2975" t="b">
        <f>B216='[3]Sheet 6 Income St.- 19 &amp; 18- LI'!B108</f>
        <v>1</v>
      </c>
      <c r="AC216" s="2977">
        <f>D216-'[3]Sheet 6 Income St.- 19 &amp; 18- LI'!C108</f>
        <v>-274097.81050000002</v>
      </c>
      <c r="AD216" s="2977">
        <f>E216-'[3]Sheet 6 Income St.- 19 &amp; 18- LI'!D108</f>
        <v>0</v>
      </c>
      <c r="AE216" s="2977">
        <f>F216-'[3]Sheet 6 Income St.- 19 &amp; 18- LI'!E108</f>
        <v>0</v>
      </c>
      <c r="AF216" s="2977">
        <f>G216-'[3]Sheet 6 Income St.- 19 &amp; 18- LI'!F108</f>
        <v>0</v>
      </c>
      <c r="AG216" s="2977">
        <f>H216-'[3]Sheet 6 Income St.- 19 &amp; 18- LI'!G108</f>
        <v>0</v>
      </c>
      <c r="AH216" s="2977">
        <f>I216-'[3]Sheet 6 Income St.- 19 &amp; 18- LI'!H108</f>
        <v>0</v>
      </c>
      <c r="AI216" s="2977">
        <f>J216-'[3]Sheet 6 Income St.- 19 &amp; 18- LI'!I108</f>
        <v>0</v>
      </c>
      <c r="AJ216" s="2977">
        <f>K216-'[3]Sheet 6 Income St.- 19 &amp; 18- LI'!J108</f>
        <v>0</v>
      </c>
      <c r="AK216" s="2977">
        <f>L216-'[3]Sheet 6 Income St.- 19 &amp; 18- LI'!K108</f>
        <v>-274097.81050000002</v>
      </c>
      <c r="AL216" s="2977">
        <f>M216-'[3]Sheet 6 Income St.- 19 &amp; 18- LI'!L108</f>
        <v>-274097.81050000002</v>
      </c>
    </row>
    <row r="217" spans="1:38" s="2991" customFormat="1">
      <c r="A217" s="662"/>
      <c r="B217" s="2111" t="s">
        <v>351</v>
      </c>
      <c r="C217" s="2135">
        <v>3</v>
      </c>
      <c r="D217" s="2136">
        <f>E217+I217+M217</f>
        <v>-439878.0861999999</v>
      </c>
      <c r="E217" s="2114">
        <f t="shared" ref="E217:L217" si="21">SUM(E218:E221)</f>
        <v>-4496.1248899999991</v>
      </c>
      <c r="F217" s="1926">
        <f t="shared" si="21"/>
        <v>0</v>
      </c>
      <c r="G217" s="2114">
        <f t="shared" si="21"/>
        <v>-3305.6899000000003</v>
      </c>
      <c r="H217" s="1926">
        <f t="shared" si="21"/>
        <v>-432137.11926000001</v>
      </c>
      <c r="I217" s="1924">
        <f t="shared" si="21"/>
        <v>-435442.80915999995</v>
      </c>
      <c r="J217" s="1926">
        <f t="shared" si="21"/>
        <v>21.412110000000002</v>
      </c>
      <c r="K217" s="2114">
        <f t="shared" si="21"/>
        <v>0.13386000000000001</v>
      </c>
      <c r="L217" s="1926">
        <f t="shared" si="21"/>
        <v>39.301879999999997</v>
      </c>
      <c r="M217" s="1924">
        <f>L217+K217+J217</f>
        <v>60.847849999999994</v>
      </c>
      <c r="N217"/>
      <c r="O217"/>
      <c r="P217"/>
      <c r="Q217"/>
      <c r="R217"/>
      <c r="S217"/>
      <c r="T217"/>
      <c r="U217"/>
      <c r="V217"/>
      <c r="W217"/>
      <c r="X217"/>
      <c r="Y217"/>
      <c r="Z217"/>
      <c r="AA217"/>
      <c r="AB217" s="2989" t="b">
        <f>B217='[3]Sheet 6 Income St.- 19 &amp; 18- LI'!B109</f>
        <v>1</v>
      </c>
      <c r="AC217" s="2990">
        <f>D217-'[3]Sheet 6 Income St.- 19 &amp; 18- LI'!C109</f>
        <v>-559627.88845999993</v>
      </c>
      <c r="AD217" s="2990">
        <f>E217-'[3]Sheet 6 Income St.- 19 &amp; 18- LI'!D109</f>
        <v>-14123.124889999999</v>
      </c>
      <c r="AE217" s="2990">
        <f>F217-'[3]Sheet 6 Income St.- 19 &amp; 18- LI'!E109</f>
        <v>0</v>
      </c>
      <c r="AF217" s="2990">
        <f>G217-'[3]Sheet 6 Income St.- 19 &amp; 18- LI'!F109</f>
        <v>-3306.5023400000005</v>
      </c>
      <c r="AG217" s="2990">
        <f>H217-'[3]Sheet 6 Income St.- 19 &amp; 18- LI'!G109</f>
        <v>-541158.10907999997</v>
      </c>
      <c r="AH217" s="2990">
        <f>I217-'[3]Sheet 6 Income St.- 19 &amp; 18- LI'!H109</f>
        <v>-544464.61141999997</v>
      </c>
      <c r="AI217" s="2990">
        <f>J217-'[3]Sheet 6 Income St.- 19 &amp; 18- LI'!I109</f>
        <v>-992.58789000000002</v>
      </c>
      <c r="AJ217" s="2990">
        <f>K217-'[3]Sheet 6 Income St.- 19 &amp; 18- LI'!J109</f>
        <v>-0.86614000000000002</v>
      </c>
      <c r="AK217" s="2990">
        <f>L217-'[3]Sheet 6 Income St.- 19 &amp; 18- LI'!K109</f>
        <v>-46.698120000000003</v>
      </c>
      <c r="AL217" s="2990">
        <f>M217-'[3]Sheet 6 Income St.- 19 &amp; 18- LI'!L109</f>
        <v>-1040.1521499999999</v>
      </c>
    </row>
    <row r="218" spans="1:38">
      <c r="A218" s="662"/>
      <c r="B218" s="2111" t="s">
        <v>373</v>
      </c>
      <c r="C218" s="2135"/>
      <c r="D218" s="2136">
        <f>E218+I218+M218</f>
        <v>-531709.76443999994</v>
      </c>
      <c r="E218" s="2114">
        <v>-15414.319</v>
      </c>
      <c r="F218" s="1926">
        <v>0</v>
      </c>
      <c r="G218" s="2114">
        <v>-3306.5668700000001</v>
      </c>
      <c r="H218" s="1926">
        <v>-512988.87857</v>
      </c>
      <c r="I218" s="1924">
        <f>F218+G218+H218</f>
        <v>-516295.44543999998</v>
      </c>
      <c r="J218" s="1926">
        <v>0</v>
      </c>
      <c r="K218" s="2114">
        <v>0</v>
      </c>
      <c r="L218" s="1926">
        <v>0</v>
      </c>
      <c r="M218" s="1924">
        <f t="shared" si="18"/>
        <v>0</v>
      </c>
      <c r="AC218" s="2977"/>
      <c r="AD218" s="2977"/>
      <c r="AE218" s="2977"/>
      <c r="AF218" s="2977"/>
      <c r="AG218" s="2977"/>
      <c r="AH218" s="2977"/>
      <c r="AI218" s="2977"/>
      <c r="AJ218" s="2977"/>
      <c r="AK218" s="2977"/>
      <c r="AL218" s="2977"/>
    </row>
    <row r="219" spans="1:38">
      <c r="A219" s="662"/>
      <c r="B219" s="2111" t="s">
        <v>374</v>
      </c>
      <c r="C219" s="2135"/>
      <c r="D219" s="2136">
        <f t="shared" si="16"/>
        <v>10178.675869999999</v>
      </c>
      <c r="E219" s="2114">
        <v>195.34735000000001</v>
      </c>
      <c r="F219" s="1926">
        <v>0</v>
      </c>
      <c r="G219" s="2114">
        <v>0.87697000000000003</v>
      </c>
      <c r="H219" s="1926">
        <v>9921.6036999999997</v>
      </c>
      <c r="I219" s="1924">
        <f>F219+G219+H219</f>
        <v>9922.480669999999</v>
      </c>
      <c r="J219" s="1926">
        <v>21.412110000000002</v>
      </c>
      <c r="K219" s="2114">
        <v>0.13386000000000001</v>
      </c>
      <c r="L219" s="1926">
        <v>39.301879999999997</v>
      </c>
      <c r="M219" s="1924">
        <f t="shared" si="18"/>
        <v>60.847849999999994</v>
      </c>
      <c r="AC219" s="2977"/>
      <c r="AD219" s="2977"/>
      <c r="AE219" s="2977"/>
      <c r="AF219" s="2977"/>
      <c r="AG219" s="2977"/>
      <c r="AH219" s="2977"/>
      <c r="AI219" s="2977"/>
      <c r="AJ219" s="2977"/>
      <c r="AK219" s="2977"/>
      <c r="AL219" s="2977"/>
    </row>
    <row r="220" spans="1:38">
      <c r="A220" s="662"/>
      <c r="B220" s="2111" t="s">
        <v>375</v>
      </c>
      <c r="C220" s="2135"/>
      <c r="D220" s="2136">
        <f t="shared" si="16"/>
        <v>79690.39473</v>
      </c>
      <c r="E220" s="2114">
        <v>10707.84676</v>
      </c>
      <c r="F220" s="1926">
        <v>0</v>
      </c>
      <c r="G220" s="2114">
        <v>0</v>
      </c>
      <c r="H220" s="1926">
        <v>68982.54797</v>
      </c>
      <c r="I220" s="1924">
        <f>F220+G220+H220</f>
        <v>68982.54797</v>
      </c>
      <c r="J220" s="1926">
        <v>0</v>
      </c>
      <c r="K220" s="2114">
        <v>0</v>
      </c>
      <c r="L220" s="1926">
        <v>0</v>
      </c>
      <c r="M220" s="1924">
        <f t="shared" si="18"/>
        <v>0</v>
      </c>
      <c r="AB220" s="2975" t="b">
        <f>B220='[3]Sheet 6 Income St.- 19 &amp; 18- LI'!B110</f>
        <v>0</v>
      </c>
      <c r="AC220" s="2977">
        <f>D220-'[3]Sheet 6 Income St.- 19 &amp; 18- LI'!C110</f>
        <v>79690.39473</v>
      </c>
      <c r="AD220" s="2977">
        <f>E220-'[3]Sheet 6 Income St.- 19 &amp; 18- LI'!D110</f>
        <v>10707.84676</v>
      </c>
      <c r="AE220" s="2977">
        <f>F220-'[3]Sheet 6 Income St.- 19 &amp; 18- LI'!E110</f>
        <v>0</v>
      </c>
      <c r="AF220" s="2977">
        <f>G220-'[3]Sheet 6 Income St.- 19 &amp; 18- LI'!F110</f>
        <v>0</v>
      </c>
      <c r="AG220" s="2977">
        <f>H220-'[3]Sheet 6 Income St.- 19 &amp; 18- LI'!G110</f>
        <v>68982.54797</v>
      </c>
      <c r="AH220" s="2977">
        <f>I220-'[3]Sheet 6 Income St.- 19 &amp; 18- LI'!H110</f>
        <v>68982.54797</v>
      </c>
      <c r="AI220" s="2977">
        <f>J220-'[3]Sheet 6 Income St.- 19 &amp; 18- LI'!I110</f>
        <v>0</v>
      </c>
      <c r="AJ220" s="2977">
        <f>K220-'[3]Sheet 6 Income St.- 19 &amp; 18- LI'!J110</f>
        <v>0</v>
      </c>
      <c r="AK220" s="2977">
        <f>L220-'[3]Sheet 6 Income St.- 19 &amp; 18- LI'!K110</f>
        <v>0</v>
      </c>
      <c r="AL220" s="2977">
        <f>M220-'[3]Sheet 6 Income St.- 19 &amp; 18- LI'!L110</f>
        <v>0</v>
      </c>
    </row>
    <row r="221" spans="1:38">
      <c r="A221" s="662"/>
      <c r="B221" s="2111" t="s">
        <v>376</v>
      </c>
      <c r="C221" s="2135"/>
      <c r="D221" s="2136">
        <f t="shared" si="16"/>
        <v>1962.6076399999999</v>
      </c>
      <c r="E221" s="2114">
        <v>15</v>
      </c>
      <c r="F221" s="1926">
        <v>0</v>
      </c>
      <c r="G221" s="2114">
        <v>0</v>
      </c>
      <c r="H221" s="1926">
        <v>1947.6076399999999</v>
      </c>
      <c r="I221" s="1924">
        <f t="shared" si="20"/>
        <v>1947.6076399999999</v>
      </c>
      <c r="J221" s="1926">
        <v>0</v>
      </c>
      <c r="K221" s="2114">
        <v>0</v>
      </c>
      <c r="L221" s="1926">
        <v>0</v>
      </c>
      <c r="M221" s="1924">
        <f t="shared" si="18"/>
        <v>0</v>
      </c>
      <c r="AB221" s="2975" t="b">
        <f>B221='[3]Sheet 6 Income St.- 19 &amp; 18- LI'!B111</f>
        <v>0</v>
      </c>
      <c r="AC221" s="2977">
        <f>D221-'[3]Sheet 6 Income St.- 19 &amp; 18- LI'!C111</f>
        <v>1962.6076399999999</v>
      </c>
      <c r="AD221" s="2977">
        <f>E221-'[3]Sheet 6 Income St.- 19 &amp; 18- LI'!D111</f>
        <v>15</v>
      </c>
      <c r="AE221" s="2977">
        <f>F221-'[3]Sheet 6 Income St.- 19 &amp; 18- LI'!E111</f>
        <v>0</v>
      </c>
      <c r="AF221" s="2977">
        <f>G221-'[3]Sheet 6 Income St.- 19 &amp; 18- LI'!F111</f>
        <v>0</v>
      </c>
      <c r="AG221" s="2977">
        <f>H221-'[3]Sheet 6 Income St.- 19 &amp; 18- LI'!G111</f>
        <v>1947.6076399999999</v>
      </c>
      <c r="AH221" s="2977">
        <f>I221-'[3]Sheet 6 Income St.- 19 &amp; 18- LI'!H111</f>
        <v>1947.6076399999999</v>
      </c>
      <c r="AI221" s="2977">
        <f>J221-'[3]Sheet 6 Income St.- 19 &amp; 18- LI'!I111</f>
        <v>0</v>
      </c>
      <c r="AJ221" s="2977">
        <f>K221-'[3]Sheet 6 Income St.- 19 &amp; 18- LI'!J111</f>
        <v>0</v>
      </c>
      <c r="AK221" s="2977">
        <f>L221-'[3]Sheet 6 Income St.- 19 &amp; 18- LI'!K111</f>
        <v>0</v>
      </c>
      <c r="AL221" s="2977">
        <f>M221-'[3]Sheet 6 Income St.- 19 &amp; 18- LI'!L111</f>
        <v>0</v>
      </c>
    </row>
    <row r="222" spans="1:38">
      <c r="A222" s="662"/>
      <c r="B222" s="2111"/>
      <c r="C222" s="2135"/>
      <c r="D222" s="2136">
        <f t="shared" si="16"/>
        <v>0</v>
      </c>
      <c r="E222" s="2114"/>
      <c r="F222" s="1926"/>
      <c r="G222" s="2114"/>
      <c r="H222" s="1926"/>
      <c r="I222" s="1924">
        <f t="shared" si="20"/>
        <v>0</v>
      </c>
      <c r="J222" s="1926"/>
      <c r="K222" s="2114"/>
      <c r="L222" s="1926"/>
      <c r="M222" s="1924">
        <f t="shared" si="18"/>
        <v>0</v>
      </c>
      <c r="AB222" s="2975" t="b">
        <f>B222='[3]Sheet 6 Income St.- 19 &amp; 18- LI'!B112</f>
        <v>1</v>
      </c>
      <c r="AC222" s="2977">
        <f>D222-'[3]Sheet 6 Income St.- 19 &amp; 18- LI'!C112</f>
        <v>0</v>
      </c>
      <c r="AD222" s="2977">
        <f>E222-'[3]Sheet 6 Income St.- 19 &amp; 18- LI'!D112</f>
        <v>0</v>
      </c>
      <c r="AE222" s="2977">
        <f>F222-'[3]Sheet 6 Income St.- 19 &amp; 18- LI'!E112</f>
        <v>0</v>
      </c>
      <c r="AF222" s="2977">
        <f>G222-'[3]Sheet 6 Income St.- 19 &amp; 18- LI'!F112</f>
        <v>0</v>
      </c>
      <c r="AG222" s="2977">
        <f>H222-'[3]Sheet 6 Income St.- 19 &amp; 18- LI'!G112</f>
        <v>0</v>
      </c>
      <c r="AH222" s="2977">
        <f>I222-'[3]Sheet 6 Income St.- 19 &amp; 18- LI'!H112</f>
        <v>0</v>
      </c>
      <c r="AI222" s="2977">
        <f>J222-'[3]Sheet 6 Income St.- 19 &amp; 18- LI'!I112</f>
        <v>0</v>
      </c>
      <c r="AJ222" s="2977">
        <f>K222-'[3]Sheet 6 Income St.- 19 &amp; 18- LI'!J112</f>
        <v>0</v>
      </c>
      <c r="AK222" s="2977">
        <f>L222-'[3]Sheet 6 Income St.- 19 &amp; 18- LI'!K112</f>
        <v>0</v>
      </c>
      <c r="AL222" s="2977">
        <f>M222-'[3]Sheet 6 Income St.- 19 &amp; 18- LI'!L112</f>
        <v>0</v>
      </c>
    </row>
    <row r="223" spans="1:38" s="870" customFormat="1">
      <c r="A223" s="662"/>
      <c r="B223" s="2121" t="s">
        <v>354</v>
      </c>
      <c r="C223" s="2137"/>
      <c r="D223" s="2136">
        <f t="shared" si="16"/>
        <v>25737318.65126</v>
      </c>
      <c r="E223" s="2114">
        <f>E210+E212</f>
        <v>2161150.5275499998</v>
      </c>
      <c r="F223" s="1926">
        <f>F210+F212</f>
        <v>0</v>
      </c>
      <c r="G223" s="2114">
        <f>G210+G212</f>
        <v>212522.66653000005</v>
      </c>
      <c r="H223" s="1926">
        <f>H210+H212</f>
        <v>22524126.929609999</v>
      </c>
      <c r="I223" s="1924">
        <f t="shared" si="20"/>
        <v>22736649.596139997</v>
      </c>
      <c r="J223" s="1926">
        <f>J210+J212</f>
        <v>663548.88232000009</v>
      </c>
      <c r="K223" s="2114">
        <f>K210+K212</f>
        <v>5023.0962</v>
      </c>
      <c r="L223" s="1926">
        <f>L210+L212</f>
        <v>170946.54905</v>
      </c>
      <c r="M223" s="1924">
        <f t="shared" si="18"/>
        <v>839518.52757000015</v>
      </c>
      <c r="N223"/>
      <c r="O223"/>
      <c r="P223"/>
      <c r="Q223"/>
      <c r="R223"/>
      <c r="S223"/>
      <c r="T223"/>
      <c r="U223"/>
      <c r="V223"/>
      <c r="W223"/>
      <c r="X223"/>
      <c r="Y223"/>
      <c r="Z223"/>
      <c r="AA223"/>
      <c r="AB223" s="2976" t="b">
        <f>B223='[3]Sheet 6 Income St.- 19 &amp; 18- LI'!B113</f>
        <v>1</v>
      </c>
      <c r="AC223" s="2978">
        <f>D223-'[3]Sheet 6 Income St.- 19 &amp; 18- LI'!C113</f>
        <v>7501328.3229099996</v>
      </c>
      <c r="AD223" s="2978">
        <f>E223-'[3]Sheet 6 Income St.- 19 &amp; 18- LI'!D113</f>
        <v>1607093.5275499998</v>
      </c>
      <c r="AE223" s="2978">
        <f>F223-'[3]Sheet 6 Income St.- 19 &amp; 18- LI'!E113</f>
        <v>0</v>
      </c>
      <c r="AF223" s="2978">
        <f>G223-'[3]Sheet 6 Income St.- 19 &amp; 18- LI'!F113</f>
        <v>-76669.954870000016</v>
      </c>
      <c r="AG223" s="2978">
        <f>H223-'[3]Sheet 6 Income St.- 19 &amp; 18- LI'!G113</f>
        <v>6592587.2226599976</v>
      </c>
      <c r="AH223" s="2978">
        <f>I223-'[3]Sheet 6 Income St.- 19 &amp; 18- LI'!H113</f>
        <v>6515917.2677899953</v>
      </c>
      <c r="AI223" s="2978">
        <f>J223-'[3]Sheet 6 Income St.- 19 &amp; 18- LI'!I113</f>
        <v>-533186.11767999991</v>
      </c>
      <c r="AJ223" s="2978">
        <f>K223-'[3]Sheet 6 Income St.- 19 &amp; 18- LI'!J113</f>
        <v>2160.0962</v>
      </c>
      <c r="AK223" s="2978">
        <f>L223-'[3]Sheet 6 Income St.- 19 &amp; 18- LI'!K113</f>
        <v>-90656.450949999999</v>
      </c>
      <c r="AL223" s="2978">
        <f>M223-'[3]Sheet 6 Income St.- 19 &amp; 18- LI'!L113</f>
        <v>-621682.47242999985</v>
      </c>
    </row>
    <row r="224" spans="1:38">
      <c r="A224" s="662"/>
      <c r="B224" s="2121"/>
      <c r="C224" s="2137"/>
      <c r="D224" s="2136">
        <f t="shared" si="16"/>
        <v>0</v>
      </c>
      <c r="E224" s="2114"/>
      <c r="F224" s="1926"/>
      <c r="G224" s="2114"/>
      <c r="H224" s="1926"/>
      <c r="I224" s="1924">
        <f t="shared" si="20"/>
        <v>0</v>
      </c>
      <c r="J224" s="1926"/>
      <c r="K224" s="2114"/>
      <c r="L224" s="1926"/>
      <c r="M224" s="1924"/>
      <c r="AB224" s="2975" t="b">
        <f>B224='[3]Sheet 6 Income St.- 19 &amp; 18- LI'!B114</f>
        <v>1</v>
      </c>
      <c r="AC224" s="2977">
        <f>D224-'[3]Sheet 6 Income St.- 19 &amp; 18- LI'!C114</f>
        <v>0</v>
      </c>
      <c r="AD224" s="2977">
        <f>E224-'[3]Sheet 6 Income St.- 19 &amp; 18- LI'!D114</f>
        <v>0</v>
      </c>
      <c r="AE224" s="2977">
        <f>F224-'[3]Sheet 6 Income St.- 19 &amp; 18- LI'!E114</f>
        <v>0</v>
      </c>
      <c r="AF224" s="2977">
        <f>G224-'[3]Sheet 6 Income St.- 19 &amp; 18- LI'!F114</f>
        <v>0</v>
      </c>
      <c r="AG224" s="2977">
        <f>H224-'[3]Sheet 6 Income St.- 19 &amp; 18- LI'!G114</f>
        <v>0</v>
      </c>
      <c r="AH224" s="2977">
        <f>I224-'[3]Sheet 6 Income St.- 19 &amp; 18- LI'!H114</f>
        <v>0</v>
      </c>
      <c r="AI224" s="2977">
        <f>J224-'[3]Sheet 6 Income St.- 19 &amp; 18- LI'!I114</f>
        <v>0</v>
      </c>
      <c r="AJ224" s="2977">
        <f>K224-'[3]Sheet 6 Income St.- 19 &amp; 18- LI'!J114</f>
        <v>0</v>
      </c>
      <c r="AK224" s="2977">
        <f>L224-'[3]Sheet 6 Income St.- 19 &amp; 18- LI'!K114</f>
        <v>0</v>
      </c>
      <c r="AL224" s="2977">
        <f>M224-'[3]Sheet 6 Income St.- 19 &amp; 18- LI'!L114</f>
        <v>0</v>
      </c>
    </row>
    <row r="225" spans="1:38">
      <c r="A225" s="662"/>
      <c r="B225" s="2111" t="s">
        <v>355</v>
      </c>
      <c r="C225" s="2135"/>
      <c r="D225" s="2136">
        <f t="shared" si="16"/>
        <v>6858756.6603199998</v>
      </c>
      <c r="E225" s="2114">
        <v>0</v>
      </c>
      <c r="F225" s="1926">
        <v>0</v>
      </c>
      <c r="G225" s="2114">
        <v>98761.212419999996</v>
      </c>
      <c r="H225" s="1926">
        <v>5517327.0672800001</v>
      </c>
      <c r="I225" s="1924">
        <f t="shared" si="20"/>
        <v>5616088.2796999998</v>
      </c>
      <c r="J225" s="1926">
        <v>1242668.38062</v>
      </c>
      <c r="K225" s="2114">
        <v>0</v>
      </c>
      <c r="L225" s="1926">
        <v>0</v>
      </c>
      <c r="M225" s="1924">
        <f t="shared" ref="M225:M243" si="22">L225+K225+J225</f>
        <v>1242668.38062</v>
      </c>
      <c r="AB225" s="2975" t="b">
        <f>B225='[3]Sheet 6 Income St.- 19 &amp; 18- LI'!B115</f>
        <v>1</v>
      </c>
      <c r="AC225" s="2977">
        <f>D225+'[3]Sheet 6 Income St.- 19 &amp; 18- LI'!C115</f>
        <v>1049944.1451899996</v>
      </c>
      <c r="AD225" s="2977">
        <f>E225+'[3]Sheet 6 Income St.- 19 &amp; 18- LI'!D115</f>
        <v>0</v>
      </c>
      <c r="AE225" s="2977">
        <f>F225+'[3]Sheet 6 Income St.- 19 &amp; 18- LI'!E115</f>
        <v>0</v>
      </c>
      <c r="AF225" s="2977">
        <f>G225+'[3]Sheet 6 Income St.- 19 &amp; 18- LI'!F115</f>
        <v>-578547.68525999994</v>
      </c>
      <c r="AG225" s="2977">
        <f>H225+'[3]Sheet 6 Income St.- 19 &amp; 18- LI'!G115</f>
        <v>1526275.4498299998</v>
      </c>
      <c r="AH225" s="2977">
        <f>I225+'[3]Sheet 6 Income St.- 19 &amp; 18- LI'!H115</f>
        <v>947727.76456999965</v>
      </c>
      <c r="AI225" s="2977">
        <f>J225+'[3]Sheet 6 Income St.- 19 &amp; 18- LI'!I115</f>
        <v>102216.38061999995</v>
      </c>
      <c r="AJ225" s="2977">
        <f>K225+'[3]Sheet 6 Income St.- 19 &amp; 18- LI'!J115</f>
        <v>0</v>
      </c>
      <c r="AK225" s="2977">
        <f>L225+'[3]Sheet 6 Income St.- 19 &amp; 18- LI'!K115</f>
        <v>0</v>
      </c>
      <c r="AL225" s="2977">
        <f>M225+'[3]Sheet 6 Income St.- 19 &amp; 18- LI'!L115</f>
        <v>102216.38061999995</v>
      </c>
    </row>
    <row r="226" spans="1:38">
      <c r="A226" s="662"/>
      <c r="B226" s="2111" t="s">
        <v>356</v>
      </c>
      <c r="C226" s="2135"/>
      <c r="D226" s="2136">
        <f t="shared" si="16"/>
        <v>-411950.06544999999</v>
      </c>
      <c r="E226" s="2114">
        <v>0</v>
      </c>
      <c r="F226" s="1926">
        <v>0</v>
      </c>
      <c r="G226" s="2114">
        <v>-14330.735199999999</v>
      </c>
      <c r="H226" s="1926">
        <v>-360645.59334000002</v>
      </c>
      <c r="I226" s="1924">
        <f t="shared" si="20"/>
        <v>-374976.32854000002</v>
      </c>
      <c r="J226" s="1926">
        <v>-36973.73691</v>
      </c>
      <c r="K226" s="2114">
        <v>0</v>
      </c>
      <c r="L226" s="1926">
        <v>0</v>
      </c>
      <c r="M226" s="1924">
        <f t="shared" si="22"/>
        <v>-36973.73691</v>
      </c>
      <c r="AB226" s="2975" t="b">
        <f>B226='[3]Sheet 6 Income St.- 19 &amp; 18- LI'!B116</f>
        <v>1</v>
      </c>
      <c r="AC226" s="2977">
        <f>D226+'[3]Sheet 6 Income St.- 19 &amp; 18- LI'!C116</f>
        <v>-247133.99215999999</v>
      </c>
      <c r="AD226" s="2977">
        <f>E226+'[3]Sheet 6 Income St.- 19 &amp; 18- LI'!D116</f>
        <v>0</v>
      </c>
      <c r="AE226" s="2977">
        <f>F226+'[3]Sheet 6 Income St.- 19 &amp; 18- LI'!E116</f>
        <v>0</v>
      </c>
      <c r="AF226" s="2977">
        <f>G226+'[3]Sheet 6 Income St.- 19 &amp; 18- LI'!F116</f>
        <v>-2907.5361999999986</v>
      </c>
      <c r="AG226" s="2977">
        <f>H226+'[3]Sheet 6 Income St.- 19 &amp; 18- LI'!G116</f>
        <v>-241450.71905000001</v>
      </c>
      <c r="AH226" s="2977">
        <f>I226+'[3]Sheet 6 Income St.- 19 &amp; 18- LI'!H116</f>
        <v>-244358.25525000002</v>
      </c>
      <c r="AI226" s="2977">
        <f>J226+'[3]Sheet 6 Income St.- 19 &amp; 18- LI'!I116</f>
        <v>-2775.7369099999996</v>
      </c>
      <c r="AJ226" s="2977">
        <f>K226+'[3]Sheet 6 Income St.- 19 &amp; 18- LI'!J116</f>
        <v>0</v>
      </c>
      <c r="AK226" s="2977">
        <f>L226+'[3]Sheet 6 Income St.- 19 &amp; 18- LI'!K116</f>
        <v>0</v>
      </c>
      <c r="AL226" s="2977">
        <f>M226+'[3]Sheet 6 Income St.- 19 &amp; 18- LI'!L116</f>
        <v>-2775.7369099999996</v>
      </c>
    </row>
    <row r="227" spans="1:38">
      <c r="A227" s="662"/>
      <c r="B227" s="2111" t="s">
        <v>357</v>
      </c>
      <c r="C227" s="2135"/>
      <c r="D227" s="2136">
        <f t="shared" si="16"/>
        <v>10157658.14538</v>
      </c>
      <c r="E227" s="2114">
        <v>0</v>
      </c>
      <c r="F227" s="1926">
        <v>0</v>
      </c>
      <c r="G227" s="2114">
        <v>-48384.534299999999</v>
      </c>
      <c r="H227" s="1926">
        <v>10952931.180439999</v>
      </c>
      <c r="I227" s="1924">
        <f t="shared" si="20"/>
        <v>10904546.64614</v>
      </c>
      <c r="J227" s="1926">
        <v>-746888.50075999997</v>
      </c>
      <c r="K227" s="2114"/>
      <c r="L227" s="1926"/>
      <c r="M227" s="1924">
        <f t="shared" si="22"/>
        <v>-746888.50075999997</v>
      </c>
      <c r="AB227" s="2975" t="b">
        <f>B227='[3]Sheet 6 Income St.- 19 &amp; 18- LI'!B117</f>
        <v>1</v>
      </c>
      <c r="AC227" s="2977">
        <f>D227+'[3]Sheet 6 Income St.- 19 &amp; 18- LI'!C117</f>
        <v>7930818.1504299995</v>
      </c>
      <c r="AD227" s="2977">
        <f>E227+'[3]Sheet 6 Income St.- 19 &amp; 18- LI'!D117</f>
        <v>1157283.7599999998</v>
      </c>
      <c r="AE227" s="2977">
        <f>F227+'[3]Sheet 6 Income St.- 19 &amp; 18- LI'!E117</f>
        <v>0</v>
      </c>
      <c r="AF227" s="2977">
        <f>G227+'[3]Sheet 6 Income St.- 19 &amp; 18- LI'!F117</f>
        <v>966307.42935999995</v>
      </c>
      <c r="AG227" s="2977">
        <f>H227+'[3]Sheet 6 Income St.- 19 &amp; 18- LI'!G117</f>
        <v>6233305.4618299995</v>
      </c>
      <c r="AH227" s="2977">
        <f>I227+'[3]Sheet 6 Income St.- 19 &amp; 18- LI'!H117</f>
        <v>7199612.8911899999</v>
      </c>
      <c r="AI227" s="2977">
        <f>J227+'[3]Sheet 6 Income St.- 19 &amp; 18- LI'!I117</f>
        <v>-426078.50075999997</v>
      </c>
      <c r="AJ227" s="2977">
        <f>K227+'[3]Sheet 6 Income St.- 19 &amp; 18- LI'!J117</f>
        <v>0</v>
      </c>
      <c r="AK227" s="2977">
        <f>L227+'[3]Sheet 6 Income St.- 19 &amp; 18- LI'!K117</f>
        <v>0</v>
      </c>
      <c r="AL227" s="2977">
        <f>M227+'[3]Sheet 6 Income St.- 19 &amp; 18- LI'!L117</f>
        <v>-426078.50075999997</v>
      </c>
    </row>
    <row r="228" spans="1:38" ht="13.5" customHeight="1">
      <c r="A228" s="662"/>
      <c r="B228" s="2122" t="s">
        <v>358</v>
      </c>
      <c r="C228" s="2135"/>
      <c r="D228" s="2136">
        <f t="shared" si="16"/>
        <v>0</v>
      </c>
      <c r="E228" s="2114"/>
      <c r="F228" s="1926"/>
      <c r="G228" s="2114"/>
      <c r="H228" s="1926"/>
      <c r="I228" s="1924">
        <f t="shared" si="20"/>
        <v>0</v>
      </c>
      <c r="J228" s="1926"/>
      <c r="K228" s="2114"/>
      <c r="L228" s="1926"/>
      <c r="M228" s="1924">
        <f t="shared" si="22"/>
        <v>0</v>
      </c>
      <c r="AB228" s="2975" t="b">
        <f>B228='[3]Sheet 6 Income St.- 19 &amp; 18- LI'!B118</f>
        <v>1</v>
      </c>
      <c r="AC228" s="2977">
        <f>D228+'[3]Sheet 6 Income St.- 19 &amp; 18- LI'!C118</f>
        <v>0</v>
      </c>
      <c r="AD228" s="2977">
        <f>E228+'[3]Sheet 6 Income St.- 19 &amp; 18- LI'!D118</f>
        <v>0</v>
      </c>
      <c r="AE228" s="2977">
        <f>F228+'[3]Sheet 6 Income St.- 19 &amp; 18- LI'!E118</f>
        <v>0</v>
      </c>
      <c r="AF228" s="2977">
        <f>G228+'[3]Sheet 6 Income St.- 19 &amp; 18- LI'!F118</f>
        <v>0</v>
      </c>
      <c r="AG228" s="2977">
        <f>H228+'[3]Sheet 6 Income St.- 19 &amp; 18- LI'!G118</f>
        <v>0</v>
      </c>
      <c r="AH228" s="2977">
        <f>I228+'[3]Sheet 6 Income St.- 19 &amp; 18- LI'!H118</f>
        <v>0</v>
      </c>
      <c r="AI228" s="2977">
        <f>J228+'[3]Sheet 6 Income St.- 19 &amp; 18- LI'!I118</f>
        <v>0</v>
      </c>
      <c r="AJ228" s="2977">
        <f>K228+'[3]Sheet 6 Income St.- 19 &amp; 18- LI'!J118</f>
        <v>0</v>
      </c>
      <c r="AK228" s="2977">
        <f>L228+'[3]Sheet 6 Income St.- 19 &amp; 18- LI'!K118</f>
        <v>0</v>
      </c>
      <c r="AL228" s="2977">
        <f>M228+'[3]Sheet 6 Income St.- 19 &amp; 18- LI'!L118</f>
        <v>0</v>
      </c>
    </row>
    <row r="229" spans="1:38">
      <c r="A229" s="662"/>
      <c r="B229" s="2111" t="s">
        <v>359</v>
      </c>
      <c r="C229" s="2135"/>
      <c r="D229" s="2136">
        <f t="shared" si="16"/>
        <v>0</v>
      </c>
      <c r="E229" s="2114">
        <v>963103.63101000001</v>
      </c>
      <c r="F229" s="1926">
        <v>0</v>
      </c>
      <c r="G229" s="2114">
        <v>0</v>
      </c>
      <c r="H229" s="1926">
        <v>-1102943.6710900001</v>
      </c>
      <c r="I229" s="1924">
        <f t="shared" si="20"/>
        <v>-1102943.6710900001</v>
      </c>
      <c r="J229" s="1926">
        <v>139840.04008000001</v>
      </c>
      <c r="K229" s="2114">
        <v>0</v>
      </c>
      <c r="L229" s="1926">
        <v>0</v>
      </c>
      <c r="M229" s="1924">
        <f t="shared" si="22"/>
        <v>139840.04008000001</v>
      </c>
      <c r="AB229" s="2975" t="b">
        <f>B229='[3]Sheet 6 Income St.- 19 &amp; 18- LI'!B119</f>
        <v>1</v>
      </c>
      <c r="AC229" s="2977">
        <f>D229+'[3]Sheet 6 Income St.- 19 &amp; 18- LI'!C119</f>
        <v>0</v>
      </c>
      <c r="AD229" s="2977">
        <f>E229+'[3]Sheet 6 Income St.- 19 &amp; 18- LI'!D119</f>
        <v>963103.63101000001</v>
      </c>
      <c r="AE229" s="2977">
        <f>F229+'[3]Sheet 6 Income St.- 19 &amp; 18- LI'!E119</f>
        <v>0</v>
      </c>
      <c r="AF229" s="2977">
        <f>G229+'[3]Sheet 6 Income St.- 19 &amp; 18- LI'!F119</f>
        <v>0</v>
      </c>
      <c r="AG229" s="2977">
        <f>H229+'[3]Sheet 6 Income St.- 19 &amp; 18- LI'!G119</f>
        <v>-1102943.6710900001</v>
      </c>
      <c r="AH229" s="2977">
        <f>I229+'[3]Sheet 6 Income St.- 19 &amp; 18- LI'!H119</f>
        <v>-1102943.6710900001</v>
      </c>
      <c r="AI229" s="2977">
        <f>J229+'[3]Sheet 6 Income St.- 19 &amp; 18- LI'!I119</f>
        <v>139840.04008000001</v>
      </c>
      <c r="AJ229" s="2977">
        <f>K229+'[3]Sheet 6 Income St.- 19 &amp; 18- LI'!J119</f>
        <v>0</v>
      </c>
      <c r="AK229" s="2977">
        <f>L229+'[3]Sheet 6 Income St.- 19 &amp; 18- LI'!K119</f>
        <v>0</v>
      </c>
      <c r="AL229" s="2977">
        <f>M229+'[3]Sheet 6 Income St.- 19 &amp; 18- LI'!L119</f>
        <v>139840.04008000001</v>
      </c>
    </row>
    <row r="230" spans="1:38">
      <c r="A230" s="662"/>
      <c r="B230" s="2111" t="s">
        <v>360</v>
      </c>
      <c r="C230" s="2135"/>
      <c r="D230" s="2136">
        <f t="shared" si="16"/>
        <v>0</v>
      </c>
      <c r="E230" s="2114"/>
      <c r="F230" s="1926"/>
      <c r="G230" s="2114"/>
      <c r="H230" s="1926"/>
      <c r="I230" s="1924">
        <f t="shared" si="20"/>
        <v>0</v>
      </c>
      <c r="J230" s="1926"/>
      <c r="K230" s="2114"/>
      <c r="L230" s="1926"/>
      <c r="M230" s="1924">
        <f t="shared" si="22"/>
        <v>0</v>
      </c>
      <c r="AB230" s="2975" t="b">
        <f>B230='[3]Sheet 6 Income St.- 19 &amp; 18- LI'!B120</f>
        <v>0</v>
      </c>
      <c r="AC230" s="2977">
        <f>D230+'[3]Sheet 6 Income St.- 19 &amp; 18- LI'!C120</f>
        <v>0</v>
      </c>
      <c r="AD230" s="2977">
        <f>E230+'[3]Sheet 6 Income St.- 19 &amp; 18- LI'!D120</f>
        <v>0</v>
      </c>
      <c r="AE230" s="2977">
        <f>F230+'[3]Sheet 6 Income St.- 19 &amp; 18- LI'!E120</f>
        <v>0</v>
      </c>
      <c r="AF230" s="2977">
        <f>G230+'[3]Sheet 6 Income St.- 19 &amp; 18- LI'!F120</f>
        <v>0</v>
      </c>
      <c r="AG230" s="2977">
        <f>H230+'[3]Sheet 6 Income St.- 19 &amp; 18- LI'!G120</f>
        <v>0</v>
      </c>
      <c r="AH230" s="2977">
        <f>I230+'[3]Sheet 6 Income St.- 19 &amp; 18- LI'!H120</f>
        <v>0</v>
      </c>
      <c r="AI230" s="2977">
        <f>J230+'[3]Sheet 6 Income St.- 19 &amp; 18- LI'!I120</f>
        <v>0</v>
      </c>
      <c r="AJ230" s="2977">
        <f>K230+'[3]Sheet 6 Income St.- 19 &amp; 18- LI'!J120</f>
        <v>0</v>
      </c>
      <c r="AK230" s="2977">
        <f>L230+'[3]Sheet 6 Income St.- 19 &amp; 18- LI'!K120</f>
        <v>0</v>
      </c>
      <c r="AL230" s="2977">
        <f>M230+'[3]Sheet 6 Income St.- 19 &amp; 18- LI'!L120</f>
        <v>0</v>
      </c>
    </row>
    <row r="231" spans="1:38" s="870" customFormat="1">
      <c r="A231" s="662"/>
      <c r="B231" s="2121" t="s">
        <v>361</v>
      </c>
      <c r="C231" s="2137"/>
      <c r="D231" s="2136">
        <f>E231+I231+M231</f>
        <v>16604464.740249999</v>
      </c>
      <c r="E231" s="2114">
        <f>SUM(E225:E230)</f>
        <v>963103.63101000001</v>
      </c>
      <c r="F231" s="1926">
        <f>SUM(F225:F230)</f>
        <v>0</v>
      </c>
      <c r="G231" s="2114">
        <f>SUM(G225:G230)</f>
        <v>36045.942920000001</v>
      </c>
      <c r="H231" s="1926">
        <f>SUM(H225:H230)</f>
        <v>15006668.98329</v>
      </c>
      <c r="I231" s="1924">
        <f t="shared" si="20"/>
        <v>15042714.926209999</v>
      </c>
      <c r="J231" s="1926">
        <f>SUM(J225:J230)</f>
        <v>598646.18302999996</v>
      </c>
      <c r="K231" s="2114">
        <f>SUM(K225:K230)</f>
        <v>0</v>
      </c>
      <c r="L231" s="1926">
        <f>SUM(L225:L230)</f>
        <v>0</v>
      </c>
      <c r="M231" s="1924">
        <f t="shared" si="22"/>
        <v>598646.18302999996</v>
      </c>
      <c r="N231"/>
      <c r="O231"/>
      <c r="P231"/>
      <c r="Q231"/>
      <c r="R231"/>
      <c r="S231"/>
      <c r="T231"/>
      <c r="U231"/>
      <c r="V231"/>
      <c r="W231"/>
      <c r="X231"/>
      <c r="Y231"/>
      <c r="Z231"/>
      <c r="AA231"/>
      <c r="AB231" s="2976" t="b">
        <f>B231='[3]Sheet 6 Income St.- 19 &amp; 18- LI'!B121</f>
        <v>0</v>
      </c>
      <c r="AC231" s="2978">
        <f>D231+'[3]Sheet 6 Income St.- 19 &amp; 18- LI'!C121</f>
        <v>8733627.3034599982</v>
      </c>
      <c r="AD231" s="2978">
        <f>E231+'[3]Sheet 6 Income St.- 19 &amp; 18- LI'!D121</f>
        <v>2120387.3910099999</v>
      </c>
      <c r="AE231" s="2978">
        <f>F231+'[3]Sheet 6 Income St.- 19 &amp; 18- LI'!E121</f>
        <v>0</v>
      </c>
      <c r="AF231" s="2978">
        <f>G231+'[3]Sheet 6 Income St.- 19 &amp; 18- LI'!F121</f>
        <v>384852.2079000001</v>
      </c>
      <c r="AG231" s="2978">
        <f>H231+'[3]Sheet 6 Income St.- 19 &amp; 18- LI'!G121</f>
        <v>6415186.52152</v>
      </c>
      <c r="AH231" s="2978">
        <f>I231+'[3]Sheet 6 Income St.- 19 &amp; 18- LI'!H121</f>
        <v>6800037.7294199998</v>
      </c>
      <c r="AI231" s="2978">
        <f>J231+'[3]Sheet 6 Income St.- 19 &amp; 18- LI'!I121</f>
        <v>-186797.81697000004</v>
      </c>
      <c r="AJ231" s="2978">
        <f>K231+'[3]Sheet 6 Income St.- 19 &amp; 18- LI'!J121</f>
        <v>0</v>
      </c>
      <c r="AK231" s="2978">
        <f>L231+'[3]Sheet 6 Income St.- 19 &amp; 18- LI'!K121</f>
        <v>0</v>
      </c>
      <c r="AL231" s="2978">
        <f>M231+'[3]Sheet 6 Income St.- 19 &amp; 18- LI'!L121</f>
        <v>-186797.81697000004</v>
      </c>
    </row>
    <row r="232" spans="1:38">
      <c r="A232" s="662"/>
      <c r="B232" s="2111"/>
      <c r="C232" s="2135"/>
      <c r="D232" s="2136">
        <f>E232+I232+M232</f>
        <v>0</v>
      </c>
      <c r="E232" s="2114"/>
      <c r="F232" s="1926"/>
      <c r="G232" s="2114"/>
      <c r="H232" s="1926"/>
      <c r="I232" s="1924">
        <f t="shared" si="20"/>
        <v>0</v>
      </c>
      <c r="J232" s="1926"/>
      <c r="K232" s="2114"/>
      <c r="L232" s="1926"/>
      <c r="M232" s="1924">
        <f t="shared" si="22"/>
        <v>0</v>
      </c>
      <c r="AB232" s="2975" t="b">
        <f>B232='[3]Sheet 6 Income St.- 19 &amp; 18- LI'!B122</f>
        <v>1</v>
      </c>
      <c r="AC232" s="2977">
        <f>D232+'[3]Sheet 6 Income St.- 19 &amp; 18- LI'!C122</f>
        <v>0</v>
      </c>
      <c r="AD232" s="2977">
        <f>E232+'[3]Sheet 6 Income St.- 19 &amp; 18- LI'!D122</f>
        <v>0</v>
      </c>
      <c r="AE232" s="2977">
        <f>F232+'[3]Sheet 6 Income St.- 19 &amp; 18- LI'!E122</f>
        <v>0</v>
      </c>
      <c r="AF232" s="2977">
        <f>G232+'[3]Sheet 6 Income St.- 19 &amp; 18- LI'!F122</f>
        <v>0</v>
      </c>
      <c r="AG232" s="2977">
        <f>H232+'[3]Sheet 6 Income St.- 19 &amp; 18- LI'!G122</f>
        <v>0</v>
      </c>
      <c r="AH232" s="2977">
        <f>I232+'[3]Sheet 6 Income St.- 19 &amp; 18- LI'!H122</f>
        <v>0</v>
      </c>
      <c r="AI232" s="2977">
        <f>J232+'[3]Sheet 6 Income St.- 19 &amp; 18- LI'!I122</f>
        <v>0</v>
      </c>
      <c r="AJ232" s="2977">
        <f>K232+'[3]Sheet 6 Income St.- 19 &amp; 18- LI'!J122</f>
        <v>0</v>
      </c>
      <c r="AK232" s="2977">
        <f>L232+'[3]Sheet 6 Income St.- 19 &amp; 18- LI'!K122</f>
        <v>0</v>
      </c>
      <c r="AL232" s="2977">
        <f>M232+'[3]Sheet 6 Income St.- 19 &amp; 18- LI'!L122</f>
        <v>0</v>
      </c>
    </row>
    <row r="233" spans="1:38" ht="26.45">
      <c r="A233" s="662"/>
      <c r="B233" s="2122" t="s">
        <v>362</v>
      </c>
      <c r="C233" s="2135"/>
      <c r="D233" s="2136">
        <f>E233+I233+M233</f>
        <v>2029806.4738700001</v>
      </c>
      <c r="E233" s="2114">
        <v>0</v>
      </c>
      <c r="F233" s="1926">
        <v>0</v>
      </c>
      <c r="G233" s="2114">
        <v>26129.167280000001</v>
      </c>
      <c r="H233" s="1926">
        <v>1994640.1616100001</v>
      </c>
      <c r="I233" s="1924">
        <f t="shared" si="20"/>
        <v>2020769.32889</v>
      </c>
      <c r="J233" s="1926">
        <v>9037.1449799999991</v>
      </c>
      <c r="K233" s="2114">
        <v>0</v>
      </c>
      <c r="L233" s="1926">
        <v>0</v>
      </c>
      <c r="M233" s="1924">
        <f t="shared" si="22"/>
        <v>9037.1449799999991</v>
      </c>
      <c r="AB233" s="2975" t="b">
        <f>B233='[3]Sheet 6 Income St.- 19 &amp; 18- LI'!B123</f>
        <v>1</v>
      </c>
      <c r="AC233" s="2977">
        <f>D233+'[3]Sheet 6 Income St.- 19 &amp; 18- LI'!C123</f>
        <v>49924.500710000051</v>
      </c>
      <c r="AD233" s="2977">
        <f>E233+'[3]Sheet 6 Income St.- 19 &amp; 18- LI'!D123</f>
        <v>0</v>
      </c>
      <c r="AE233" s="2977">
        <f>F233+'[3]Sheet 6 Income St.- 19 &amp; 18- LI'!E123</f>
        <v>0</v>
      </c>
      <c r="AF233" s="2977">
        <f>G233+'[3]Sheet 6 Income St.- 19 &amp; 18- LI'!F123</f>
        <v>18022.287820000001</v>
      </c>
      <c r="AG233" s="2977">
        <f>H233+'[3]Sheet 6 Income St.- 19 &amp; 18- LI'!G123</f>
        <v>208847.06790999998</v>
      </c>
      <c r="AH233" s="2977">
        <f>I233+'[3]Sheet 6 Income St.- 19 &amp; 18- LI'!H123</f>
        <v>226869.35572999995</v>
      </c>
      <c r="AI233" s="2977">
        <f>J233+'[3]Sheet 6 Income St.- 19 &amp; 18- LI'!I123</f>
        <v>-176944.85501999999</v>
      </c>
      <c r="AJ233" s="2977">
        <f>K233+'[3]Sheet 6 Income St.- 19 &amp; 18- LI'!J123</f>
        <v>0</v>
      </c>
      <c r="AK233" s="2977">
        <f>L233+'[3]Sheet 6 Income St.- 19 &amp; 18- LI'!K123</f>
        <v>0</v>
      </c>
      <c r="AL233" s="2977">
        <f>M233+'[3]Sheet 6 Income St.- 19 &amp; 18- LI'!L123</f>
        <v>-176944.85501999999</v>
      </c>
    </row>
    <row r="234" spans="1:38">
      <c r="A234" s="662"/>
      <c r="B234" s="2111"/>
      <c r="C234" s="2135"/>
      <c r="D234" s="2136">
        <f t="shared" si="16"/>
        <v>0</v>
      </c>
      <c r="E234" s="2114"/>
      <c r="F234" s="1926"/>
      <c r="G234" s="2114"/>
      <c r="H234" s="1926"/>
      <c r="I234" s="1924">
        <f t="shared" si="20"/>
        <v>0</v>
      </c>
      <c r="J234" s="1926"/>
      <c r="K234" s="2114"/>
      <c r="L234" s="1926"/>
      <c r="M234" s="1924">
        <f t="shared" si="22"/>
        <v>0</v>
      </c>
      <c r="AB234" s="2975" t="b">
        <f>B234='[3]Sheet 6 Income St.- 19 &amp; 18- LI'!B124</f>
        <v>1</v>
      </c>
      <c r="AC234" s="2977">
        <f>D234+'[3]Sheet 6 Income St.- 19 &amp; 18- LI'!C124</f>
        <v>0</v>
      </c>
      <c r="AD234" s="2977">
        <f>E234+'[3]Sheet 6 Income St.- 19 &amp; 18- LI'!D124</f>
        <v>0</v>
      </c>
      <c r="AE234" s="2977">
        <f>F234+'[3]Sheet 6 Income St.- 19 &amp; 18- LI'!E124</f>
        <v>0</v>
      </c>
      <c r="AF234" s="2977">
        <f>G234+'[3]Sheet 6 Income St.- 19 &amp; 18- LI'!F124</f>
        <v>0</v>
      </c>
      <c r="AG234" s="2977">
        <f>H234+'[3]Sheet 6 Income St.- 19 &amp; 18- LI'!G124</f>
        <v>0</v>
      </c>
      <c r="AH234" s="2977">
        <f>I234+'[3]Sheet 6 Income St.- 19 &amp; 18- LI'!H124</f>
        <v>0</v>
      </c>
      <c r="AI234" s="2977">
        <f>J234+'[3]Sheet 6 Income St.- 19 &amp; 18- LI'!I124</f>
        <v>0</v>
      </c>
      <c r="AJ234" s="2977">
        <f>K234+'[3]Sheet 6 Income St.- 19 &amp; 18- LI'!J124</f>
        <v>0</v>
      </c>
      <c r="AK234" s="2977">
        <f>L234+'[3]Sheet 6 Income St.- 19 &amp; 18- LI'!K124</f>
        <v>0</v>
      </c>
      <c r="AL234" s="2977">
        <f>M234+'[3]Sheet 6 Income St.- 19 &amp; 18- LI'!L124</f>
        <v>0</v>
      </c>
    </row>
    <row r="235" spans="1:38" ht="15.75" customHeight="1">
      <c r="A235" s="662"/>
      <c r="B235" s="2122" t="s">
        <v>363</v>
      </c>
      <c r="C235" s="2135">
        <v>4</v>
      </c>
      <c r="D235" s="2136">
        <f t="shared" si="16"/>
        <v>5788995.1274600001</v>
      </c>
      <c r="E235" s="2114">
        <v>102116.11075000001</v>
      </c>
      <c r="F235" s="1926">
        <v>0</v>
      </c>
      <c r="G235" s="2114">
        <v>56956.379569999997</v>
      </c>
      <c r="H235" s="1926">
        <v>5522817.7847100003</v>
      </c>
      <c r="I235" s="1924">
        <f t="shared" si="20"/>
        <v>5579774.1642800001</v>
      </c>
      <c r="J235" s="1926">
        <v>55865.55431</v>
      </c>
      <c r="K235" s="2114">
        <v>235.66104000000001</v>
      </c>
      <c r="L235" s="1926">
        <v>51003.63708</v>
      </c>
      <c r="M235" s="1924">
        <f t="shared" si="22"/>
        <v>107104.85243</v>
      </c>
      <c r="AB235" s="2975" t="b">
        <f>B235='[3]Sheet 6 Income St.- 19 &amp; 18- LI'!B125</f>
        <v>1</v>
      </c>
      <c r="AC235" s="2977">
        <f>D235+'[3]Sheet 6 Income St.- 19 &amp; 18- LI'!C125</f>
        <v>-800943.6953499997</v>
      </c>
      <c r="AD235" s="2977">
        <f>E235+'[3]Sheet 6 Income St.- 19 &amp; 18- LI'!D125</f>
        <v>-32166.983200000002</v>
      </c>
      <c r="AE235" s="2977">
        <f>F235+'[3]Sheet 6 Income St.- 19 &amp; 18- LI'!E125</f>
        <v>0</v>
      </c>
      <c r="AF235" s="2977">
        <f>G235+'[3]Sheet 6 Income St.- 19 &amp; 18- LI'!F125</f>
        <v>-572935.62735000008</v>
      </c>
      <c r="AG235" s="2977">
        <f>H235+'[3]Sheet 6 Income St.- 19 &amp; 18- LI'!G125</f>
        <v>6003.0627700006589</v>
      </c>
      <c r="AH235" s="2977">
        <f>I235+'[3]Sheet 6 Income St.- 19 &amp; 18- LI'!H125</f>
        <v>-566932.56458000001</v>
      </c>
      <c r="AI235" s="2977">
        <f>J235+'[3]Sheet 6 Income St.- 19 &amp; 18- LI'!I125</f>
        <v>-197256.44568999999</v>
      </c>
      <c r="AJ235" s="2977">
        <f>K235+'[3]Sheet 6 Income St.- 19 &amp; 18- LI'!J125</f>
        <v>-92.338959999999986</v>
      </c>
      <c r="AK235" s="2977">
        <f>L235+'[3]Sheet 6 Income St.- 19 &amp; 18- LI'!K125</f>
        <v>-4495.3629199999996</v>
      </c>
      <c r="AL235" s="2977">
        <f>M235+'[3]Sheet 6 Income St.- 19 &amp; 18- LI'!L125</f>
        <v>-201844.14757</v>
      </c>
    </row>
    <row r="236" spans="1:38">
      <c r="A236" s="662"/>
      <c r="B236" s="2111" t="s">
        <v>364</v>
      </c>
      <c r="C236" s="2135"/>
      <c r="D236" s="2136">
        <f t="shared" si="16"/>
        <v>124730.34713000001</v>
      </c>
      <c r="E236" s="2114">
        <v>0</v>
      </c>
      <c r="F236" s="1926">
        <v>0</v>
      </c>
      <c r="G236" s="2114">
        <v>0</v>
      </c>
      <c r="H236" s="1926">
        <v>0</v>
      </c>
      <c r="I236" s="1924">
        <f t="shared" si="20"/>
        <v>0</v>
      </c>
      <c r="J236" s="1926">
        <v>0</v>
      </c>
      <c r="K236" s="2114">
        <v>4787.4351500000002</v>
      </c>
      <c r="L236" s="1926">
        <v>119942.91198</v>
      </c>
      <c r="M236" s="1924">
        <f t="shared" si="22"/>
        <v>124730.34713000001</v>
      </c>
      <c r="AB236" s="2975" t="b">
        <f>B236='[3]Sheet 6 Income St.- 19 &amp; 18- LI'!B126</f>
        <v>1</v>
      </c>
      <c r="AC236" s="2977">
        <f>D236+'[3]Sheet 6 Income St.- 19 &amp; 18- LI'!C126</f>
        <v>-53749.652869999991</v>
      </c>
      <c r="AD236" s="2977">
        <f>E236+'[3]Sheet 6 Income St.- 19 &amp; 18- LI'!D126</f>
        <v>0</v>
      </c>
      <c r="AE236" s="2977">
        <f>F236+'[3]Sheet 6 Income St.- 19 &amp; 18- LI'!E126</f>
        <v>0</v>
      </c>
      <c r="AF236" s="2977">
        <f>G236+'[3]Sheet 6 Income St.- 19 &amp; 18- LI'!F126</f>
        <v>0</v>
      </c>
      <c r="AG236" s="2977">
        <f>H236+'[3]Sheet 6 Income St.- 19 &amp; 18- LI'!G126</f>
        <v>0</v>
      </c>
      <c r="AH236" s="2977">
        <f>I236+'[3]Sheet 6 Income St.- 19 &amp; 18- LI'!H126</f>
        <v>0</v>
      </c>
      <c r="AI236" s="2977">
        <f>J236+'[3]Sheet 6 Income St.- 19 &amp; 18- LI'!I126</f>
        <v>0</v>
      </c>
      <c r="AJ236" s="2977">
        <f>K236+'[3]Sheet 6 Income St.- 19 &amp; 18- LI'!J126</f>
        <v>2325.4351500000002</v>
      </c>
      <c r="AK236" s="2977">
        <f>L236+'[3]Sheet 6 Income St.- 19 &amp; 18- LI'!K126</f>
        <v>-56075.088019999996</v>
      </c>
      <c r="AL236" s="2977">
        <f>M236+'[3]Sheet 6 Income St.- 19 &amp; 18- LI'!L126</f>
        <v>-53749.652869999991</v>
      </c>
    </row>
    <row r="237" spans="1:38">
      <c r="A237" s="662"/>
      <c r="B237" s="2111" t="s">
        <v>365</v>
      </c>
      <c r="C237" s="2135"/>
      <c r="D237" s="2136">
        <f t="shared" si="16"/>
        <v>93391.176770000005</v>
      </c>
      <c r="E237" s="2114">
        <v>0</v>
      </c>
      <c r="F237" s="1926">
        <v>0</v>
      </c>
      <c r="G237" s="2114">
        <v>93391.176770000005</v>
      </c>
      <c r="H237" s="1926"/>
      <c r="I237" s="1924">
        <f t="shared" si="20"/>
        <v>93391.176770000005</v>
      </c>
      <c r="J237" s="1865"/>
      <c r="K237" s="1866"/>
      <c r="L237" s="1865"/>
      <c r="M237" s="1924">
        <f t="shared" si="22"/>
        <v>0</v>
      </c>
      <c r="AB237" s="2975" t="b">
        <f>B237='[3]Sheet 6 Income St.- 19 &amp; 18- LI'!B127</f>
        <v>1</v>
      </c>
      <c r="AC237" s="2977">
        <f>D237+'[3]Sheet 6 Income St.- 19 &amp; 18- LI'!C127</f>
        <v>93391.176770000005</v>
      </c>
      <c r="AD237" s="2977">
        <f>E237+'[3]Sheet 6 Income St.- 19 &amp; 18- LI'!D127</f>
        <v>0</v>
      </c>
      <c r="AE237" s="2977">
        <f>F237+'[3]Sheet 6 Income St.- 19 &amp; 18- LI'!E127</f>
        <v>0</v>
      </c>
      <c r="AF237" s="2977">
        <f>G237+'[3]Sheet 6 Income St.- 19 &amp; 18- LI'!F127</f>
        <v>93391.176770000005</v>
      </c>
      <c r="AG237" s="2977">
        <f>H237+'[3]Sheet 6 Income St.- 19 &amp; 18- LI'!G127</f>
        <v>0</v>
      </c>
      <c r="AH237" s="2977">
        <f>I237+'[3]Sheet 6 Income St.- 19 &amp; 18- LI'!H127</f>
        <v>93391.176770000005</v>
      </c>
      <c r="AI237" s="2977">
        <f>J237+'[3]Sheet 6 Income St.- 19 &amp; 18- LI'!I127</f>
        <v>0</v>
      </c>
      <c r="AJ237" s="2977">
        <f>K237+'[3]Sheet 6 Income St.- 19 &amp; 18- LI'!J127</f>
        <v>0</v>
      </c>
      <c r="AK237" s="2977">
        <f>L237+'[3]Sheet 6 Income St.- 19 &amp; 18- LI'!K127</f>
        <v>0</v>
      </c>
      <c r="AL237" s="2977">
        <f>M237+'[3]Sheet 6 Income St.- 19 &amp; 18- LI'!L127</f>
        <v>0</v>
      </c>
    </row>
    <row r="238" spans="1:38" s="870" customFormat="1">
      <c r="A238" s="662"/>
      <c r="B238" s="2121" t="s">
        <v>366</v>
      </c>
      <c r="C238" s="2137"/>
      <c r="D238" s="2136">
        <f t="shared" si="16"/>
        <v>6007116.6513599996</v>
      </c>
      <c r="E238" s="2114">
        <f>SUM(E235:E237)</f>
        <v>102116.11075000001</v>
      </c>
      <c r="F238" s="1926">
        <f>SUM(F235:F237)</f>
        <v>0</v>
      </c>
      <c r="G238" s="2114">
        <f>SUM(G235:G237)</f>
        <v>150347.55634000001</v>
      </c>
      <c r="H238" s="1926">
        <f>SUM(H235:H237)</f>
        <v>5522817.7847100003</v>
      </c>
      <c r="I238" s="1924">
        <f t="shared" si="20"/>
        <v>5673165.3410499999</v>
      </c>
      <c r="J238" s="1926">
        <f>SUM(J235:J237)</f>
        <v>55865.55431</v>
      </c>
      <c r="K238" s="2114">
        <f>SUM(K235:K237)</f>
        <v>5023.0961900000002</v>
      </c>
      <c r="L238" s="1926">
        <f>SUM(L235:L237)</f>
        <v>170946.54905999999</v>
      </c>
      <c r="M238" s="1924">
        <f t="shared" si="22"/>
        <v>231835.19956000001</v>
      </c>
      <c r="N238"/>
      <c r="O238"/>
      <c r="P238"/>
      <c r="Q238"/>
      <c r="R238"/>
      <c r="S238"/>
      <c r="T238"/>
      <c r="U238"/>
      <c r="V238"/>
      <c r="W238"/>
      <c r="X238"/>
      <c r="Y238"/>
      <c r="Z238"/>
      <c r="AA238"/>
      <c r="AB238" s="2976" t="b">
        <f>B238='[3]Sheet 6 Income St.- 19 &amp; 18- LI'!B128</f>
        <v>1</v>
      </c>
      <c r="AC238" s="2978">
        <f>D238+'[3]Sheet 6 Income St.- 19 &amp; 18- LI'!C128</f>
        <v>-761302.17145000026</v>
      </c>
      <c r="AD238" s="2978">
        <f>E238+'[3]Sheet 6 Income St.- 19 &amp; 18- LI'!D128</f>
        <v>-32166.983200000002</v>
      </c>
      <c r="AE238" s="2978">
        <f>F238+'[3]Sheet 6 Income St.- 19 &amp; 18- LI'!E128</f>
        <v>0</v>
      </c>
      <c r="AF238" s="2978">
        <f>G238+'[3]Sheet 6 Income St.- 19 &amp; 18- LI'!F128</f>
        <v>-479544.45058000006</v>
      </c>
      <c r="AG238" s="2978">
        <f>H238+'[3]Sheet 6 Income St.- 19 &amp; 18- LI'!G128</f>
        <v>6003.0627700006589</v>
      </c>
      <c r="AH238" s="2978">
        <f>I238+'[3]Sheet 6 Income St.- 19 &amp; 18- LI'!H128</f>
        <v>-473541.38781000022</v>
      </c>
      <c r="AI238" s="2978">
        <f>J238+'[3]Sheet 6 Income St.- 19 &amp; 18- LI'!I128</f>
        <v>-197256.44568999999</v>
      </c>
      <c r="AJ238" s="2978">
        <f>K238+'[3]Sheet 6 Income St.- 19 &amp; 18- LI'!J128</f>
        <v>2233.0961900000002</v>
      </c>
      <c r="AK238" s="2978">
        <f>L238+'[3]Sheet 6 Income St.- 19 &amp; 18- LI'!K128</f>
        <v>-60570.45094000001</v>
      </c>
      <c r="AL238" s="2978">
        <f>M238+'[3]Sheet 6 Income St.- 19 &amp; 18- LI'!L128</f>
        <v>-255593.80043999999</v>
      </c>
    </row>
    <row r="239" spans="1:38">
      <c r="A239" s="662"/>
      <c r="B239" s="2121"/>
      <c r="C239" s="2137"/>
      <c r="D239" s="2136">
        <f t="shared" si="16"/>
        <v>0</v>
      </c>
      <c r="E239" s="2114"/>
      <c r="F239" s="1926"/>
      <c r="G239" s="2114"/>
      <c r="H239" s="1926"/>
      <c r="I239" s="1924">
        <f t="shared" si="20"/>
        <v>0</v>
      </c>
      <c r="J239" s="1926"/>
      <c r="K239" s="2114"/>
      <c r="L239" s="1926"/>
      <c r="M239" s="1924">
        <f t="shared" si="22"/>
        <v>0</v>
      </c>
      <c r="AB239" s="2975" t="b">
        <f>B239='[3]Sheet 6 Income St.- 19 &amp; 18- LI'!B129</f>
        <v>1</v>
      </c>
      <c r="AC239" s="2977">
        <f>D239+'[3]Sheet 6 Income St.- 19 &amp; 18- LI'!C129</f>
        <v>0</v>
      </c>
      <c r="AD239" s="2977">
        <f>E239+'[3]Sheet 6 Income St.- 19 &amp; 18- LI'!D129</f>
        <v>0</v>
      </c>
      <c r="AE239" s="2977">
        <f>F239+'[3]Sheet 6 Income St.- 19 &amp; 18- LI'!E129</f>
        <v>0</v>
      </c>
      <c r="AF239" s="2977">
        <f>G239+'[3]Sheet 6 Income St.- 19 &amp; 18- LI'!F129</f>
        <v>0</v>
      </c>
      <c r="AG239" s="2977">
        <f>H239+'[3]Sheet 6 Income St.- 19 &amp; 18- LI'!G129</f>
        <v>0</v>
      </c>
      <c r="AH239" s="2977">
        <f>I239+'[3]Sheet 6 Income St.- 19 &amp; 18- LI'!H129</f>
        <v>0</v>
      </c>
      <c r="AI239" s="2977">
        <f>J239+'[3]Sheet 6 Income St.- 19 &amp; 18- LI'!I129</f>
        <v>0</v>
      </c>
      <c r="AJ239" s="2977">
        <f>K239+'[3]Sheet 6 Income St.- 19 &amp; 18- LI'!J129</f>
        <v>0</v>
      </c>
      <c r="AK239" s="2977">
        <f>L239+'[3]Sheet 6 Income St.- 19 &amp; 18- LI'!K129</f>
        <v>0</v>
      </c>
      <c r="AL239" s="2977">
        <f>M239+'[3]Sheet 6 Income St.- 19 &amp; 18- LI'!L129</f>
        <v>0</v>
      </c>
    </row>
    <row r="240" spans="1:38" s="870" customFormat="1">
      <c r="A240" s="662"/>
      <c r="B240" s="2121" t="s">
        <v>367</v>
      </c>
      <c r="C240" s="2137"/>
      <c r="D240" s="2136">
        <f t="shared" si="16"/>
        <v>1095930.7857799998</v>
      </c>
      <c r="E240" s="2114">
        <f>E223-E231-E233-E238</f>
        <v>1095930.7857899996</v>
      </c>
      <c r="F240" s="1926">
        <f>F223-F231-F233-F238</f>
        <v>0</v>
      </c>
      <c r="G240" s="2114">
        <f>G223-G231-G233-G238</f>
        <v>-9.9999597296118736E-6</v>
      </c>
      <c r="H240" s="1926">
        <f>H223-H231-H233-H238</f>
        <v>0</v>
      </c>
      <c r="I240" s="1924">
        <f t="shared" si="20"/>
        <v>-9.9999597296118736E-6</v>
      </c>
      <c r="J240" s="1865">
        <f>J223-J231-J233-J238</f>
        <v>1.3824319466948509E-10</v>
      </c>
      <c r="K240" s="1866">
        <f>K223-K231-K233-K238</f>
        <v>9.9999997473787516E-6</v>
      </c>
      <c r="L240" s="1865">
        <f>L223-L231-L233-L238</f>
        <v>-9.9999888334423304E-6</v>
      </c>
      <c r="M240" s="1881">
        <f t="shared" si="22"/>
        <v>1.4915713109076023E-10</v>
      </c>
      <c r="N240"/>
      <c r="O240"/>
      <c r="P240"/>
      <c r="Q240"/>
      <c r="R240"/>
      <c r="S240"/>
      <c r="T240"/>
      <c r="U240"/>
      <c r="V240"/>
      <c r="W240"/>
      <c r="X240"/>
      <c r="Y240"/>
      <c r="Z240"/>
      <c r="AA240"/>
      <c r="AB240" s="2976" t="b">
        <f>B240='[3]Sheet 6 Income St.- 19 &amp; 18- LI'!B130</f>
        <v>0</v>
      </c>
      <c r="AC240" s="2978">
        <f>D240-'[3]Sheet 6 Income St.- 19 &amp; 18- LI'!C130</f>
        <v>-520920.30981000257</v>
      </c>
      <c r="AD240" s="2978">
        <f>E240-'[3]Sheet 6 Income St.- 19 &amp; 18- LI'!D130</f>
        <v>-481126.88026000001</v>
      </c>
      <c r="AE240" s="2978">
        <f>F240-'[3]Sheet 6 Income St.- 19 &amp; 18- LI'!E130</f>
        <v>0</v>
      </c>
      <c r="AF240" s="2978">
        <f>G240-'[3]Sheet 6 Income St.- 19 &amp; 18- LI'!F130</f>
        <v>-9.9999597296118736E-6</v>
      </c>
      <c r="AG240" s="2978">
        <f>H240-'[3]Sheet 6 Income St.- 19 &amp; 18- LI'!G130</f>
        <v>-37448.429540001787</v>
      </c>
      <c r="AH240" s="2978">
        <f>I240-'[3]Sheet 6 Income St.- 19 &amp; 18- LI'!H130</f>
        <v>-37448.429550002678</v>
      </c>
      <c r="AI240" s="2978">
        <f>J240-'[3]Sheet 6 Income St.- 19 &amp; 18- LI'!I130</f>
        <v>27813.000000000138</v>
      </c>
      <c r="AJ240" s="2978">
        <f>K240-'[3]Sheet 6 Income St.- 19 &amp; 18- LI'!J130</f>
        <v>-71.999990000000253</v>
      </c>
      <c r="AK240" s="2978">
        <f>L240-'[3]Sheet 6 Income St.- 19 &amp; 18- LI'!K130</f>
        <v>-30087.000009999989</v>
      </c>
      <c r="AL240" s="2978">
        <f>M240-'[3]Sheet 6 Income St.- 19 &amp; 18- LI'!L130</f>
        <v>-2345.9999999998508</v>
      </c>
    </row>
    <row r="241" spans="1:38">
      <c r="A241" s="662"/>
      <c r="B241" s="2111" t="s">
        <v>368</v>
      </c>
      <c r="C241" s="2135"/>
      <c r="D241" s="2136">
        <f t="shared" si="16"/>
        <v>287440.85966000002</v>
      </c>
      <c r="E241" s="2114">
        <v>287440.85966000002</v>
      </c>
      <c r="F241" s="1865"/>
      <c r="G241" s="1866"/>
      <c r="H241" s="1865"/>
      <c r="I241" s="1924">
        <f t="shared" si="20"/>
        <v>0</v>
      </c>
      <c r="J241" s="1865"/>
      <c r="K241" s="1866"/>
      <c r="L241" s="1865"/>
      <c r="M241" s="1881">
        <f t="shared" si="22"/>
        <v>0</v>
      </c>
      <c r="AB241" s="2975" t="b">
        <f>B241='[3]Sheet 6 Income St.- 19 &amp; 18- LI'!B131</f>
        <v>1</v>
      </c>
      <c r="AC241" s="2977">
        <f>D241+'[3]Sheet 6 Income St.- 19 &amp; 18- LI'!C131</f>
        <v>2786448.4888200001</v>
      </c>
      <c r="AD241" s="2977">
        <f>E241+'[3]Sheet 6 Income St.- 19 &amp; 18- LI'!D131</f>
        <v>2826242.5630999999</v>
      </c>
      <c r="AE241" s="2977">
        <f>F241+'[3]Sheet 6 Income St.- 19 &amp; 18- LI'!E131</f>
        <v>0</v>
      </c>
      <c r="AF241" s="2977">
        <f>G241+'[3]Sheet 6 Income St.- 19 &amp; 18- LI'!F131</f>
        <v>0</v>
      </c>
      <c r="AG241" s="2977">
        <f>H241+'[3]Sheet 6 Income St.- 19 &amp; 18- LI'!G131</f>
        <v>-37448.159220000001</v>
      </c>
      <c r="AH241" s="2977">
        <f>I241+'[3]Sheet 6 Income St.- 19 &amp; 18- LI'!H131</f>
        <v>-37448.159220000001</v>
      </c>
      <c r="AI241" s="2977">
        <f>J241+'[3]Sheet 6 Income St.- 19 &amp; 18- LI'!I131</f>
        <v>27813.084940000001</v>
      </c>
      <c r="AJ241" s="2977">
        <f>K241+'[3]Sheet 6 Income St.- 19 &amp; 18- LI'!J131</f>
        <v>-72</v>
      </c>
      <c r="AK241" s="2977">
        <f>L241+'[3]Sheet 6 Income St.- 19 &amp; 18- LI'!K131</f>
        <v>-30087</v>
      </c>
      <c r="AL241" s="2977">
        <f>M241+'[3]Sheet 6 Income St.- 19 &amp; 18- LI'!L131</f>
        <v>-2345.9150599999994</v>
      </c>
    </row>
    <row r="242" spans="1:38">
      <c r="A242" s="662"/>
      <c r="B242" s="2111"/>
      <c r="C242" s="2135"/>
      <c r="D242" s="2138">
        <f t="shared" si="16"/>
        <v>0</v>
      </c>
      <c r="E242" s="2132"/>
      <c r="F242" s="905"/>
      <c r="G242" s="2132"/>
      <c r="H242" s="905"/>
      <c r="I242" s="2139">
        <f t="shared" si="20"/>
        <v>0</v>
      </c>
      <c r="J242" s="1065"/>
      <c r="K242" s="1930"/>
      <c r="L242" s="1065"/>
      <c r="M242" s="1887">
        <f t="shared" si="22"/>
        <v>0</v>
      </c>
      <c r="AB242" s="2975" t="b">
        <f>B242='[3]Sheet 6 Income St.- 19 &amp; 18- LI'!B132</f>
        <v>1</v>
      </c>
      <c r="AC242" s="2977">
        <f>D242-'[3]Sheet 6 Income St.- 19 &amp; 18- LI'!C132</f>
        <v>0</v>
      </c>
      <c r="AD242" s="2977">
        <f>E242-'[3]Sheet 6 Income St.- 19 &amp; 18- LI'!D132</f>
        <v>0</v>
      </c>
      <c r="AE242" s="2977">
        <f>F242-'[3]Sheet 6 Income St.- 19 &amp; 18- LI'!E132</f>
        <v>0</v>
      </c>
      <c r="AF242" s="2977">
        <f>G242-'[3]Sheet 6 Income St.- 19 &amp; 18- LI'!F132</f>
        <v>0</v>
      </c>
      <c r="AG242" s="2977">
        <f>H242-'[3]Sheet 6 Income St.- 19 &amp; 18- LI'!G132</f>
        <v>0</v>
      </c>
      <c r="AH242" s="2977">
        <f>I242-'[3]Sheet 6 Income St.- 19 &amp; 18- LI'!H132</f>
        <v>0</v>
      </c>
      <c r="AI242" s="2977">
        <f>J242-'[3]Sheet 6 Income St.- 19 &amp; 18- LI'!I132</f>
        <v>0</v>
      </c>
      <c r="AJ242" s="2977">
        <f>K242-'[3]Sheet 6 Income St.- 19 &amp; 18- LI'!J132</f>
        <v>0</v>
      </c>
      <c r="AK242" s="2977">
        <f>L242-'[3]Sheet 6 Income St.- 19 &amp; 18- LI'!K132</f>
        <v>0</v>
      </c>
      <c r="AL242" s="2977">
        <f>M242-'[3]Sheet 6 Income St.- 19 &amp; 18- LI'!L132</f>
        <v>0</v>
      </c>
    </row>
    <row r="243" spans="1:38" s="870" customFormat="1" ht="15" thickBot="1">
      <c r="A243" s="662"/>
      <c r="B243" s="1347" t="s">
        <v>369</v>
      </c>
      <c r="C243" s="2140"/>
      <c r="D243" s="1362">
        <f t="shared" si="16"/>
        <v>808489.92611999973</v>
      </c>
      <c r="E243" s="1354">
        <f>E240-E241</f>
        <v>808489.92612999957</v>
      </c>
      <c r="F243" s="1363">
        <f>F240-F241</f>
        <v>0</v>
      </c>
      <c r="G243" s="1354">
        <f>G240-G241</f>
        <v>-9.9999597296118736E-6</v>
      </c>
      <c r="H243" s="1363">
        <f>H240-H241</f>
        <v>0</v>
      </c>
      <c r="I243" s="1354">
        <f t="shared" si="20"/>
        <v>-9.9999597296118736E-6</v>
      </c>
      <c r="J243" s="1364">
        <f>J240-J241</f>
        <v>1.3824319466948509E-10</v>
      </c>
      <c r="K243" s="1365">
        <f>K240-K241</f>
        <v>9.9999997473787516E-6</v>
      </c>
      <c r="L243" s="1364">
        <f>L240-L241</f>
        <v>-9.9999888334423304E-6</v>
      </c>
      <c r="M243" s="1365">
        <f t="shared" si="22"/>
        <v>1.4915713109076023E-10</v>
      </c>
      <c r="N243"/>
      <c r="O243"/>
      <c r="P243"/>
      <c r="Q243"/>
      <c r="R243"/>
      <c r="S243"/>
      <c r="T243"/>
      <c r="U243"/>
      <c r="V243"/>
      <c r="W243"/>
      <c r="X243"/>
      <c r="Y243"/>
      <c r="Z243"/>
      <c r="AA243"/>
      <c r="AB243" s="2976" t="b">
        <f>B243='[3]Sheet 6 Income St.- 19 &amp; 18- LI'!B133</f>
        <v>1</v>
      </c>
      <c r="AC243" s="2978">
        <f>D243-'[3]Sheet 6 Income St.- 19 &amp; 18- LI'!C133</f>
        <v>-3307368.7986300029</v>
      </c>
      <c r="AD243" s="2978">
        <f>E243-'[3]Sheet 6 Income St.- 19 &amp; 18- LI'!D133</f>
        <v>-3307369.4433599999</v>
      </c>
      <c r="AE243" s="2978">
        <f>F243-'[3]Sheet 6 Income St.- 19 &amp; 18- LI'!E133</f>
        <v>0</v>
      </c>
      <c r="AF243" s="2978">
        <f>G243-'[3]Sheet 6 Income St.- 19 &amp; 18- LI'!F133</f>
        <v>-9.9999597296118736E-6</v>
      </c>
      <c r="AG243" s="2978">
        <f>H243-'[3]Sheet 6 Income St.- 19 &amp; 18- LI'!G133</f>
        <v>-0.27032000178587623</v>
      </c>
      <c r="AH243" s="2978">
        <f>I243-'[3]Sheet 6 Income St.- 19 &amp; 18- LI'!H133</f>
        <v>-0.27033000267692842</v>
      </c>
      <c r="AI243" s="2978">
        <f>J243-'[3]Sheet 6 Income St.- 19 &amp; 18- LI'!I133</f>
        <v>-8.4939999862399418E-2</v>
      </c>
      <c r="AJ243" s="2978">
        <f>K243-'[3]Sheet 6 Income St.- 19 &amp; 18- LI'!J133</f>
        <v>9.9999997473787516E-6</v>
      </c>
      <c r="AK243" s="2978">
        <f>L243-'[3]Sheet 6 Income St.- 19 &amp; 18- LI'!K133</f>
        <v>-9.9999888334423304E-6</v>
      </c>
      <c r="AL243" s="2978">
        <f>M243-'[3]Sheet 6 Income St.- 19 &amp; 18- LI'!L133</f>
        <v>-8.4939999851485481E-2</v>
      </c>
    </row>
    <row r="244" spans="1:38">
      <c r="A244" s="662"/>
      <c r="B244" s="662"/>
      <c r="C244" s="662"/>
      <c r="D244" s="662"/>
      <c r="E244" s="662"/>
      <c r="F244" s="662"/>
      <c r="G244" s="662"/>
      <c r="H244" s="662"/>
      <c r="I244" s="662"/>
      <c r="J244" s="662"/>
      <c r="K244" s="662"/>
      <c r="L244" s="662"/>
      <c r="M244" s="662"/>
    </row>
    <row r="245" spans="1:38">
      <c r="A245" s="662"/>
      <c r="B245" s="662"/>
      <c r="C245" s="662"/>
      <c r="D245" s="662"/>
      <c r="E245" s="662"/>
      <c r="F245" s="662"/>
      <c r="G245" s="662"/>
      <c r="H245" s="662"/>
      <c r="I245" s="662"/>
      <c r="J245" s="662"/>
      <c r="K245" s="662"/>
      <c r="L245" s="662"/>
      <c r="M245" s="662"/>
    </row>
    <row r="246" spans="1:38">
      <c r="B246"/>
      <c r="C246"/>
      <c r="D246"/>
      <c r="E246"/>
      <c r="F246"/>
      <c r="G246"/>
      <c r="H246"/>
      <c r="I246"/>
      <c r="J246"/>
      <c r="K246"/>
      <c r="L246"/>
      <c r="M246"/>
    </row>
    <row r="247" spans="1:38" ht="15" thickBot="1">
      <c r="B247"/>
      <c r="C247"/>
      <c r="D247"/>
      <c r="E247"/>
      <c r="F247"/>
      <c r="G247"/>
      <c r="H247"/>
      <c r="I247"/>
      <c r="J247"/>
      <c r="K247"/>
      <c r="L247"/>
      <c r="M247"/>
    </row>
    <row r="248" spans="1:38" ht="17.25" customHeight="1" thickBot="1">
      <c r="A248" s="1153" t="s">
        <v>182</v>
      </c>
      <c r="B248" s="1366" t="s">
        <v>320</v>
      </c>
      <c r="D248" s="662"/>
      <c r="E248" s="662"/>
      <c r="L248" s="3292"/>
      <c r="M248" s="3292" t="s">
        <v>257</v>
      </c>
    </row>
    <row r="249" spans="1:38" ht="17.25" customHeight="1" thickBot="1">
      <c r="A249" s="662"/>
      <c r="B249" s="3331" t="s">
        <v>320</v>
      </c>
      <c r="C249" s="3280" t="s">
        <v>334</v>
      </c>
      <c r="D249" s="3283" t="s">
        <v>260</v>
      </c>
      <c r="E249" s="3283" t="s">
        <v>335</v>
      </c>
      <c r="F249" s="3335" t="s">
        <v>263</v>
      </c>
      <c r="G249" s="3335"/>
      <c r="H249" s="3335"/>
      <c r="I249" s="3335"/>
      <c r="J249" s="3335"/>
      <c r="K249" s="3335"/>
      <c r="L249" s="3335"/>
      <c r="M249" s="3335"/>
    </row>
    <row r="250" spans="1:38" ht="17.25" customHeight="1" thickBot="1">
      <c r="A250" s="662"/>
      <c r="B250" s="3327"/>
      <c r="C250" s="3281"/>
      <c r="D250" s="3284"/>
      <c r="E250" s="3284"/>
      <c r="F250" s="3332" t="s">
        <v>264</v>
      </c>
      <c r="G250" s="3333"/>
      <c r="H250" s="3333"/>
      <c r="I250" s="3334"/>
      <c r="J250" s="3335" t="s">
        <v>336</v>
      </c>
      <c r="K250" s="3335"/>
      <c r="L250" s="3335"/>
      <c r="M250" s="3335"/>
    </row>
    <row r="251" spans="1:38" ht="63" customHeight="1" thickBot="1">
      <c r="A251" s="662"/>
      <c r="B251" s="3327"/>
      <c r="C251" s="3281"/>
      <c r="D251" s="3285"/>
      <c r="E251" s="3285"/>
      <c r="F251" s="2963" t="s">
        <v>267</v>
      </c>
      <c r="G251" s="2963" t="s">
        <v>268</v>
      </c>
      <c r="H251" s="2963" t="s">
        <v>269</v>
      </c>
      <c r="I251" s="2963" t="s">
        <v>160</v>
      </c>
      <c r="J251" s="2964" t="s">
        <v>337</v>
      </c>
      <c r="K251" s="2964" t="s">
        <v>271</v>
      </c>
      <c r="L251" s="2964" t="s">
        <v>338</v>
      </c>
      <c r="M251" s="2964" t="s">
        <v>160</v>
      </c>
    </row>
    <row r="252" spans="1:38" ht="17.25" customHeight="1" thickBot="1">
      <c r="A252" s="662"/>
      <c r="B252" s="3327"/>
      <c r="C252" s="3281"/>
      <c r="D252" s="2972">
        <v>1</v>
      </c>
      <c r="E252" s="3283">
        <v>2</v>
      </c>
      <c r="F252" s="3283">
        <v>3</v>
      </c>
      <c r="G252" s="3283">
        <v>4</v>
      </c>
      <c r="H252" s="2963"/>
      <c r="I252" s="2972">
        <v>6</v>
      </c>
      <c r="J252" s="3283">
        <v>7</v>
      </c>
      <c r="K252" s="3296">
        <v>8</v>
      </c>
      <c r="L252" s="3283">
        <v>9</v>
      </c>
      <c r="M252" s="2966">
        <v>10</v>
      </c>
    </row>
    <row r="253" spans="1:38" ht="15" thickBot="1">
      <c r="A253" s="662"/>
      <c r="B253" s="3328"/>
      <c r="C253" s="3282"/>
      <c r="D253" s="1327" t="s">
        <v>339</v>
      </c>
      <c r="E253" s="3285"/>
      <c r="F253" s="3285"/>
      <c r="G253" s="3285"/>
      <c r="H253" s="1327">
        <v>5</v>
      </c>
      <c r="I253" s="1327" t="s">
        <v>340</v>
      </c>
      <c r="J253" s="3285"/>
      <c r="K253" s="3297"/>
      <c r="L253" s="3285"/>
      <c r="M253" s="2970" t="s">
        <v>341</v>
      </c>
    </row>
    <row r="254" spans="1:38">
      <c r="A254" s="662"/>
      <c r="B254" s="1367" t="s">
        <v>342</v>
      </c>
      <c r="C254" s="906"/>
      <c r="D254" s="1329">
        <f t="shared" ref="D254:D291" si="23">E254+I254+M254</f>
        <v>1059623.6349760001</v>
      </c>
      <c r="E254" s="524">
        <v>0</v>
      </c>
      <c r="F254" s="485">
        <v>0</v>
      </c>
      <c r="G254" s="524">
        <v>69040.520485999907</v>
      </c>
      <c r="H254" s="485"/>
      <c r="I254" s="1368">
        <f t="shared" ref="I254:I291" si="24">F254+G254+H254</f>
        <v>69040.520485999907</v>
      </c>
      <c r="J254" s="886">
        <v>206777.45562999998</v>
      </c>
      <c r="K254" s="904">
        <v>0</v>
      </c>
      <c r="L254" s="886">
        <v>783805.65886000008</v>
      </c>
      <c r="M254" s="1369">
        <f t="shared" ref="M254:M271" si="25">L254+K254+J254</f>
        <v>990583.11449000007</v>
      </c>
    </row>
    <row r="255" spans="1:38">
      <c r="A255" s="662"/>
      <c r="B255" s="2103"/>
      <c r="C255" s="2141"/>
      <c r="D255" s="2124">
        <f t="shared" si="23"/>
        <v>0</v>
      </c>
      <c r="E255" s="1865"/>
      <c r="F255" s="1866"/>
      <c r="G255" s="1865"/>
      <c r="H255" s="1866"/>
      <c r="I255" s="2142">
        <f t="shared" si="24"/>
        <v>0</v>
      </c>
      <c r="J255" s="2114"/>
      <c r="K255" s="1926"/>
      <c r="L255" s="2114"/>
      <c r="M255" s="2143">
        <f t="shared" si="25"/>
        <v>0</v>
      </c>
    </row>
    <row r="256" spans="1:38">
      <c r="A256" s="662"/>
      <c r="B256" s="2105" t="s">
        <v>343</v>
      </c>
      <c r="C256" s="2141"/>
      <c r="D256" s="2124">
        <f t="shared" si="23"/>
        <v>60250.899990000005</v>
      </c>
      <c r="E256" s="1865">
        <v>0</v>
      </c>
      <c r="F256" s="1866">
        <v>0</v>
      </c>
      <c r="G256" s="1865">
        <v>18947.068149999999</v>
      </c>
      <c r="H256" s="1866"/>
      <c r="I256" s="2142">
        <f t="shared" si="24"/>
        <v>18947.068149999999</v>
      </c>
      <c r="J256" s="2114">
        <v>41303.831840000006</v>
      </c>
      <c r="K256" s="1926"/>
      <c r="L256" s="2114"/>
      <c r="M256" s="2143">
        <f t="shared" si="25"/>
        <v>41303.831840000006</v>
      </c>
    </row>
    <row r="257" spans="1:38">
      <c r="A257" s="662"/>
      <c r="B257" s="2105"/>
      <c r="C257" s="2141"/>
      <c r="D257" s="2124">
        <f t="shared" si="23"/>
        <v>0</v>
      </c>
      <c r="E257" s="1865"/>
      <c r="F257" s="1866"/>
      <c r="G257" s="1865"/>
      <c r="H257" s="1866"/>
      <c r="I257" s="2142">
        <f t="shared" si="24"/>
        <v>0</v>
      </c>
      <c r="J257" s="2114"/>
      <c r="K257" s="1926"/>
      <c r="L257" s="2114"/>
      <c r="M257" s="2143">
        <f t="shared" si="25"/>
        <v>0</v>
      </c>
    </row>
    <row r="258" spans="1:38" ht="14.25" customHeight="1">
      <c r="A258" s="662"/>
      <c r="B258" s="2106" t="s">
        <v>344</v>
      </c>
      <c r="C258" s="2141"/>
      <c r="D258" s="2124">
        <f t="shared" si="23"/>
        <v>2723.5140160092401</v>
      </c>
      <c r="E258" s="1865"/>
      <c r="F258" s="1866"/>
      <c r="G258" s="1865">
        <v>2723.5140160092401</v>
      </c>
      <c r="H258" s="1866"/>
      <c r="I258" s="2142">
        <f t="shared" si="24"/>
        <v>2723.5140160092401</v>
      </c>
      <c r="J258" s="2114"/>
      <c r="K258" s="1926"/>
      <c r="L258" s="2114"/>
      <c r="M258" s="2143">
        <f t="shared" si="25"/>
        <v>0</v>
      </c>
    </row>
    <row r="259" spans="1:38">
      <c r="A259" s="662"/>
      <c r="B259" s="2103"/>
      <c r="C259" s="2141"/>
      <c r="D259" s="2124">
        <f t="shared" si="23"/>
        <v>0</v>
      </c>
      <c r="E259" s="1865">
        <v>0</v>
      </c>
      <c r="F259" s="1866">
        <v>0</v>
      </c>
      <c r="G259" s="1865">
        <v>0</v>
      </c>
      <c r="H259" s="1866"/>
      <c r="I259" s="2142">
        <f t="shared" si="24"/>
        <v>0</v>
      </c>
      <c r="J259" s="2114">
        <v>0</v>
      </c>
      <c r="K259" s="1926"/>
      <c r="L259" s="2114">
        <v>0</v>
      </c>
      <c r="M259" s="2143">
        <f t="shared" si="25"/>
        <v>0</v>
      </c>
    </row>
    <row r="260" spans="1:38" s="870" customFormat="1">
      <c r="A260" s="662"/>
      <c r="B260" s="2107" t="s">
        <v>345</v>
      </c>
      <c r="C260" s="2144"/>
      <c r="D260" s="2124">
        <f t="shared" si="23"/>
        <v>1002096.2490020092</v>
      </c>
      <c r="E260" s="1926">
        <f>E254-E256+E258</f>
        <v>0</v>
      </c>
      <c r="F260" s="2114">
        <f>F254-F256+F258</f>
        <v>0</v>
      </c>
      <c r="G260" s="1926">
        <f>G254-G256+G258</f>
        <v>52816.966352009149</v>
      </c>
      <c r="H260" s="2114">
        <f>H254-H256+H258</f>
        <v>0</v>
      </c>
      <c r="I260" s="2142">
        <f t="shared" si="24"/>
        <v>52816.966352009149</v>
      </c>
      <c r="J260" s="2114">
        <f>J254-J256+J258</f>
        <v>165473.62378999998</v>
      </c>
      <c r="K260" s="1926">
        <f>K254-K256+K258</f>
        <v>0</v>
      </c>
      <c r="L260" s="2114">
        <f>L254-L256+L258</f>
        <v>783805.65886000008</v>
      </c>
      <c r="M260" s="2143">
        <f t="shared" si="25"/>
        <v>949279.28265000007</v>
      </c>
      <c r="N260"/>
      <c r="O260"/>
      <c r="P260"/>
      <c r="Q260"/>
      <c r="R260"/>
      <c r="S260"/>
      <c r="T260"/>
      <c r="U260"/>
      <c r="V260"/>
      <c r="W260"/>
      <c r="X260"/>
      <c r="Y260"/>
      <c r="Z260"/>
      <c r="AA260"/>
      <c r="AB260" s="2976"/>
      <c r="AC260" s="2976"/>
      <c r="AD260" s="2976"/>
      <c r="AE260" s="2976"/>
      <c r="AF260" s="2976"/>
      <c r="AG260" s="2976"/>
      <c r="AH260" s="2976"/>
      <c r="AI260" s="2976"/>
      <c r="AJ260" s="2976"/>
      <c r="AK260" s="2976"/>
      <c r="AL260" s="2976"/>
    </row>
    <row r="261" spans="1:38">
      <c r="A261" s="662"/>
      <c r="B261" s="2107"/>
      <c r="C261" s="2144"/>
      <c r="D261" s="2124">
        <f t="shared" si="23"/>
        <v>0</v>
      </c>
      <c r="E261" s="1926"/>
      <c r="F261" s="2114"/>
      <c r="G261" s="1926"/>
      <c r="H261" s="2114"/>
      <c r="I261" s="2142">
        <f t="shared" si="24"/>
        <v>0</v>
      </c>
      <c r="J261" s="2114"/>
      <c r="K261" s="1926"/>
      <c r="L261" s="2114"/>
      <c r="M261" s="2143">
        <f t="shared" si="25"/>
        <v>0</v>
      </c>
    </row>
    <row r="262" spans="1:38" s="870" customFormat="1">
      <c r="A262" s="662"/>
      <c r="B262" s="2107" t="s">
        <v>346</v>
      </c>
      <c r="C262" s="2144"/>
      <c r="D262" s="2124">
        <f t="shared" si="23"/>
        <v>533354.22056240519</v>
      </c>
      <c r="E262" s="1926">
        <f>SUM(E263:E267)</f>
        <v>593156.59009000007</v>
      </c>
      <c r="F262" s="2114">
        <f>SUM(F263:F267)</f>
        <v>0</v>
      </c>
      <c r="G262" s="1926">
        <f>SUM(G263:G267)</f>
        <v>-181.00003070930688</v>
      </c>
      <c r="H262" s="2114">
        <f>SUM(H263:H267)</f>
        <v>0</v>
      </c>
      <c r="I262" s="2142">
        <f t="shared" si="24"/>
        <v>-181.00003070930688</v>
      </c>
      <c r="J262" s="2114">
        <f>SUM(J263:J267)</f>
        <v>-55917.8743168855</v>
      </c>
      <c r="K262" s="1926">
        <f>SUM(K263:K267)</f>
        <v>0</v>
      </c>
      <c r="L262" s="2114">
        <f>SUM(L263:L267)</f>
        <v>-3703.4951800000854</v>
      </c>
      <c r="M262" s="2143">
        <f t="shared" si="25"/>
        <v>-59621.369496885585</v>
      </c>
      <c r="N262"/>
      <c r="O262"/>
      <c r="P262"/>
      <c r="Q262"/>
      <c r="R262"/>
      <c r="S262"/>
      <c r="T262"/>
      <c r="U262"/>
      <c r="V262"/>
      <c r="W262"/>
      <c r="X262"/>
      <c r="Y262"/>
      <c r="Z262"/>
      <c r="AA262"/>
      <c r="AB262" s="2976"/>
      <c r="AC262" s="2976"/>
      <c r="AD262" s="2976"/>
      <c r="AE262" s="2976"/>
      <c r="AF262" s="2976"/>
      <c r="AG262" s="2976"/>
      <c r="AH262" s="2976"/>
      <c r="AI262" s="2976"/>
      <c r="AJ262" s="2976"/>
      <c r="AK262" s="2976"/>
      <c r="AL262" s="2976"/>
    </row>
    <row r="263" spans="1:38">
      <c r="A263" s="662"/>
      <c r="B263" s="2103" t="s">
        <v>347</v>
      </c>
      <c r="C263" s="2141">
        <v>1</v>
      </c>
      <c r="D263" s="2124">
        <f t="shared" si="23"/>
        <v>409183.01334140508</v>
      </c>
      <c r="E263" s="1865">
        <v>64509.473559999991</v>
      </c>
      <c r="F263" s="1866">
        <v>0</v>
      </c>
      <c r="G263" s="1865">
        <v>8474.3349542906944</v>
      </c>
      <c r="H263" s="1866"/>
      <c r="I263" s="2142">
        <f t="shared" si="24"/>
        <v>8474.3349542906944</v>
      </c>
      <c r="J263" s="1866">
        <v>5702.0988371144904</v>
      </c>
      <c r="K263" s="1865">
        <v>0</v>
      </c>
      <c r="L263" s="1866">
        <v>330497.10598999995</v>
      </c>
      <c r="M263" s="2143">
        <f t="shared" si="25"/>
        <v>336199.20482711442</v>
      </c>
    </row>
    <row r="264" spans="1:38">
      <c r="A264" s="662"/>
      <c r="B264" s="2103" t="s">
        <v>348</v>
      </c>
      <c r="C264" s="2141">
        <v>2</v>
      </c>
      <c r="D264" s="2124">
        <f t="shared" si="23"/>
        <v>50473.002130999987</v>
      </c>
      <c r="E264" s="1865">
        <v>454948.91144000005</v>
      </c>
      <c r="F264" s="1866">
        <v>0</v>
      </c>
      <c r="G264" s="1865">
        <v>-8655.3349850000013</v>
      </c>
      <c r="H264" s="1866"/>
      <c r="I264" s="2142">
        <f t="shared" si="24"/>
        <v>-8655.3349850000013</v>
      </c>
      <c r="J264" s="1866">
        <v>-61619.973153999992</v>
      </c>
      <c r="K264" s="1865">
        <v>0</v>
      </c>
      <c r="L264" s="1866">
        <v>-334200.60117000004</v>
      </c>
      <c r="M264" s="2143">
        <f t="shared" si="25"/>
        <v>-395820.57432400004</v>
      </c>
    </row>
    <row r="265" spans="1:38">
      <c r="A265" s="662"/>
      <c r="B265" s="2103" t="s">
        <v>349</v>
      </c>
      <c r="C265" s="2141"/>
      <c r="D265" s="2124">
        <f t="shared" si="23"/>
        <v>0</v>
      </c>
      <c r="E265" s="1865">
        <v>0</v>
      </c>
      <c r="F265" s="1866">
        <v>0</v>
      </c>
      <c r="G265" s="1865">
        <v>0</v>
      </c>
      <c r="H265" s="1866"/>
      <c r="I265" s="2142">
        <f t="shared" si="24"/>
        <v>0</v>
      </c>
      <c r="J265" s="1866">
        <v>0</v>
      </c>
      <c r="K265" s="1865">
        <v>0</v>
      </c>
      <c r="L265" s="1866">
        <v>0</v>
      </c>
      <c r="M265" s="2143">
        <f t="shared" si="25"/>
        <v>0</v>
      </c>
    </row>
    <row r="266" spans="1:38">
      <c r="A266" s="662"/>
      <c r="B266" s="2103" t="s">
        <v>350</v>
      </c>
      <c r="C266" s="2141"/>
      <c r="D266" s="2124">
        <f t="shared" si="23"/>
        <v>0</v>
      </c>
      <c r="E266" s="1865">
        <v>0</v>
      </c>
      <c r="F266" s="1866">
        <v>0</v>
      </c>
      <c r="G266" s="1865">
        <v>0</v>
      </c>
      <c r="H266" s="1866"/>
      <c r="I266" s="2142">
        <f t="shared" si="24"/>
        <v>0</v>
      </c>
      <c r="J266" s="1866">
        <v>0</v>
      </c>
      <c r="K266" s="1865">
        <v>0</v>
      </c>
      <c r="L266" s="1866">
        <v>0</v>
      </c>
      <c r="M266" s="2143">
        <f t="shared" si="25"/>
        <v>0</v>
      </c>
    </row>
    <row r="267" spans="1:38">
      <c r="A267" s="662"/>
      <c r="B267" s="2103" t="s">
        <v>351</v>
      </c>
      <c r="C267" s="2141">
        <v>3</v>
      </c>
      <c r="D267" s="2124">
        <f t="shared" si="23"/>
        <v>73698.205090000003</v>
      </c>
      <c r="E267" s="1865">
        <v>73698.205090000003</v>
      </c>
      <c r="F267" s="1866">
        <v>0</v>
      </c>
      <c r="G267" s="1865">
        <v>0</v>
      </c>
      <c r="H267" s="1866"/>
      <c r="I267" s="2142">
        <f t="shared" si="24"/>
        <v>0</v>
      </c>
      <c r="J267" s="1866">
        <v>0</v>
      </c>
      <c r="K267" s="1865">
        <v>0</v>
      </c>
      <c r="L267" s="1866">
        <v>0</v>
      </c>
      <c r="M267" s="2143">
        <f t="shared" si="25"/>
        <v>0</v>
      </c>
    </row>
    <row r="268" spans="1:38">
      <c r="A268" s="662"/>
      <c r="B268" s="2103" t="s">
        <v>353</v>
      </c>
      <c r="C268" s="2141"/>
      <c r="D268" s="2124">
        <f t="shared" si="23"/>
        <v>0</v>
      </c>
      <c r="E268" s="1865"/>
      <c r="F268" s="1866"/>
      <c r="G268" s="1865"/>
      <c r="H268" s="1866"/>
      <c r="I268" s="2142">
        <f t="shared" si="24"/>
        <v>0</v>
      </c>
      <c r="J268" s="1866">
        <v>0</v>
      </c>
      <c r="K268" s="1865"/>
      <c r="L268" s="1866">
        <v>0</v>
      </c>
      <c r="M268" s="2143">
        <f t="shared" si="25"/>
        <v>0</v>
      </c>
    </row>
    <row r="269" spans="1:38">
      <c r="A269" s="662"/>
      <c r="B269" s="2103" t="s">
        <v>353</v>
      </c>
      <c r="C269" s="2141"/>
      <c r="D269" s="2124">
        <f t="shared" si="23"/>
        <v>0</v>
      </c>
      <c r="E269" s="1865">
        <v>0</v>
      </c>
      <c r="F269" s="1866">
        <v>0</v>
      </c>
      <c r="G269" s="1865">
        <v>0</v>
      </c>
      <c r="H269" s="1866"/>
      <c r="I269" s="2142">
        <f t="shared" si="24"/>
        <v>0</v>
      </c>
      <c r="J269" s="1866">
        <v>0</v>
      </c>
      <c r="K269" s="1865"/>
      <c r="L269" s="1866">
        <v>0</v>
      </c>
      <c r="M269" s="2143">
        <f t="shared" si="25"/>
        <v>0</v>
      </c>
    </row>
    <row r="270" spans="1:38">
      <c r="A270" s="662"/>
      <c r="B270" s="2103"/>
      <c r="C270" s="2141"/>
      <c r="D270" s="2124">
        <f t="shared" si="23"/>
        <v>0</v>
      </c>
      <c r="E270" s="1926"/>
      <c r="F270" s="2114"/>
      <c r="G270" s="1926"/>
      <c r="H270" s="2114"/>
      <c r="I270" s="2142">
        <f t="shared" si="24"/>
        <v>0</v>
      </c>
      <c r="J270" s="2114"/>
      <c r="K270" s="1926"/>
      <c r="L270" s="2114"/>
      <c r="M270" s="2143">
        <f t="shared" si="25"/>
        <v>0</v>
      </c>
    </row>
    <row r="271" spans="1:38" s="870" customFormat="1">
      <c r="A271" s="662"/>
      <c r="B271" s="2109" t="s">
        <v>354</v>
      </c>
      <c r="C271" s="2144"/>
      <c r="D271" s="2124">
        <f t="shared" si="23"/>
        <v>1535450.4695644144</v>
      </c>
      <c r="E271" s="1926">
        <f>E260+E262</f>
        <v>593156.59009000007</v>
      </c>
      <c r="F271" s="2114">
        <f>F260+F262</f>
        <v>0</v>
      </c>
      <c r="G271" s="1926">
        <f>G260+G262</f>
        <v>52635.966321299842</v>
      </c>
      <c r="H271" s="2114">
        <f>H260+H262</f>
        <v>0</v>
      </c>
      <c r="I271" s="2142">
        <f t="shared" si="24"/>
        <v>52635.966321299842</v>
      </c>
      <c r="J271" s="2114">
        <f>J260+J262</f>
        <v>109555.74947311448</v>
      </c>
      <c r="K271" s="1926">
        <f>K260+K262</f>
        <v>0</v>
      </c>
      <c r="L271" s="2114">
        <f>L260+L262</f>
        <v>780102.16368</v>
      </c>
      <c r="M271" s="2143">
        <f t="shared" si="25"/>
        <v>889657.9131531145</v>
      </c>
      <c r="N271"/>
      <c r="O271"/>
      <c r="P271"/>
      <c r="Q271"/>
      <c r="R271"/>
      <c r="S271"/>
      <c r="T271"/>
      <c r="U271"/>
      <c r="V271"/>
      <c r="W271"/>
      <c r="X271"/>
      <c r="Y271"/>
      <c r="Z271"/>
      <c r="AA271"/>
      <c r="AB271" s="2976"/>
      <c r="AC271" s="2976"/>
      <c r="AD271" s="2976"/>
      <c r="AE271" s="2976"/>
      <c r="AF271" s="2976"/>
      <c r="AG271" s="2976"/>
      <c r="AH271" s="2976"/>
      <c r="AI271" s="2976"/>
      <c r="AJ271" s="2976"/>
      <c r="AK271" s="2976"/>
      <c r="AL271" s="2976"/>
    </row>
    <row r="272" spans="1:38">
      <c r="A272" s="662"/>
      <c r="B272" s="2109"/>
      <c r="C272" s="2144"/>
      <c r="D272" s="2124">
        <f t="shared" si="23"/>
        <v>0</v>
      </c>
      <c r="E272" s="1926"/>
      <c r="F272" s="2114"/>
      <c r="G272" s="1926"/>
      <c r="H272" s="2114"/>
      <c r="I272" s="2142">
        <f t="shared" si="24"/>
        <v>0</v>
      </c>
      <c r="J272" s="2114"/>
      <c r="K272" s="1926"/>
      <c r="L272" s="2114"/>
      <c r="M272" s="2143"/>
    </row>
    <row r="273" spans="1:38">
      <c r="A273" s="662"/>
      <c r="B273" s="2103" t="s">
        <v>355</v>
      </c>
      <c r="C273" s="2141"/>
      <c r="D273" s="2124">
        <f t="shared" si="23"/>
        <v>529191.31987000001</v>
      </c>
      <c r="E273" s="1926">
        <v>0</v>
      </c>
      <c r="F273" s="2114">
        <v>0</v>
      </c>
      <c r="G273" s="1926">
        <v>97971.610690000001</v>
      </c>
      <c r="H273" s="2114"/>
      <c r="I273" s="2142">
        <f t="shared" si="24"/>
        <v>97971.610690000001</v>
      </c>
      <c r="J273" s="2114">
        <v>45282.03325</v>
      </c>
      <c r="K273" s="1926">
        <v>0</v>
      </c>
      <c r="L273" s="2114">
        <v>385937.67593000003</v>
      </c>
      <c r="M273" s="2143">
        <f t="shared" ref="M273:M291" si="26">L273+K273+J273</f>
        <v>431219.70918000001</v>
      </c>
    </row>
    <row r="274" spans="1:38">
      <c r="A274" s="662"/>
      <c r="B274" s="2103" t="s">
        <v>356</v>
      </c>
      <c r="C274" s="2141"/>
      <c r="D274" s="2124">
        <f t="shared" si="23"/>
        <v>0</v>
      </c>
      <c r="E274" s="1926">
        <v>0</v>
      </c>
      <c r="F274" s="2114">
        <v>0</v>
      </c>
      <c r="G274" s="1926">
        <v>0</v>
      </c>
      <c r="H274" s="2114"/>
      <c r="I274" s="2142">
        <f t="shared" si="24"/>
        <v>0</v>
      </c>
      <c r="J274" s="2114">
        <v>0</v>
      </c>
      <c r="K274" s="1926">
        <v>0</v>
      </c>
      <c r="L274" s="2114">
        <v>0</v>
      </c>
      <c r="M274" s="2143">
        <f t="shared" si="26"/>
        <v>0</v>
      </c>
    </row>
    <row r="275" spans="1:38">
      <c r="A275" s="662"/>
      <c r="B275" s="2103" t="s">
        <v>357</v>
      </c>
      <c r="C275" s="2141"/>
      <c r="D275" s="2124">
        <f t="shared" si="23"/>
        <v>0</v>
      </c>
      <c r="E275" s="1926">
        <v>0</v>
      </c>
      <c r="F275" s="2114">
        <v>0</v>
      </c>
      <c r="G275" s="1926">
        <v>0</v>
      </c>
      <c r="H275" s="2114"/>
      <c r="I275" s="2142">
        <f t="shared" si="24"/>
        <v>0</v>
      </c>
      <c r="J275" s="2114">
        <v>0</v>
      </c>
      <c r="K275" s="1926">
        <v>0</v>
      </c>
      <c r="L275" s="2114">
        <v>0</v>
      </c>
      <c r="M275" s="2143">
        <f t="shared" si="26"/>
        <v>0</v>
      </c>
    </row>
    <row r="276" spans="1:38" ht="13.5" customHeight="1">
      <c r="A276" s="662"/>
      <c r="B276" s="2110" t="s">
        <v>358</v>
      </c>
      <c r="C276" s="2141"/>
      <c r="D276" s="2124">
        <f t="shared" si="23"/>
        <v>0</v>
      </c>
      <c r="E276" s="1926">
        <v>0</v>
      </c>
      <c r="F276" s="2114">
        <v>0</v>
      </c>
      <c r="G276" s="1926">
        <v>0</v>
      </c>
      <c r="H276" s="2114"/>
      <c r="I276" s="2142">
        <f t="shared" si="24"/>
        <v>0</v>
      </c>
      <c r="J276" s="2114">
        <v>0</v>
      </c>
      <c r="K276" s="1926">
        <v>0</v>
      </c>
      <c r="L276" s="2114">
        <v>0</v>
      </c>
      <c r="M276" s="2143">
        <f t="shared" si="26"/>
        <v>0</v>
      </c>
    </row>
    <row r="277" spans="1:38">
      <c r="A277" s="662"/>
      <c r="B277" s="2103" t="s">
        <v>359</v>
      </c>
      <c r="C277" s="2141"/>
      <c r="D277" s="2124">
        <f t="shared" si="23"/>
        <v>291403.00697455561</v>
      </c>
      <c r="E277" s="1926">
        <v>0</v>
      </c>
      <c r="F277" s="2114">
        <v>0</v>
      </c>
      <c r="G277" s="1926">
        <v>-80528.328081099098</v>
      </c>
      <c r="H277" s="2114"/>
      <c r="I277" s="2142">
        <f t="shared" si="24"/>
        <v>-80528.328081099098</v>
      </c>
      <c r="J277" s="2114">
        <v>22452.791565654759</v>
      </c>
      <c r="K277" s="1926">
        <v>0</v>
      </c>
      <c r="L277" s="2114">
        <v>349478.54348999995</v>
      </c>
      <c r="M277" s="2143">
        <f t="shared" si="26"/>
        <v>371931.33505565469</v>
      </c>
    </row>
    <row r="278" spans="1:38">
      <c r="A278" s="662"/>
      <c r="B278" s="2103" t="s">
        <v>360</v>
      </c>
      <c r="C278" s="2141"/>
      <c r="D278" s="2124">
        <f t="shared" si="23"/>
        <v>0</v>
      </c>
      <c r="E278" s="1926">
        <v>0</v>
      </c>
      <c r="F278" s="2114">
        <v>0</v>
      </c>
      <c r="G278" s="1926">
        <v>0</v>
      </c>
      <c r="H278" s="2114"/>
      <c r="I278" s="2142">
        <f t="shared" si="24"/>
        <v>0</v>
      </c>
      <c r="J278" s="2114"/>
      <c r="K278" s="1926">
        <v>0</v>
      </c>
      <c r="L278" s="2114">
        <v>0</v>
      </c>
      <c r="M278" s="2143">
        <f t="shared" si="26"/>
        <v>0</v>
      </c>
    </row>
    <row r="279" spans="1:38" s="870" customFormat="1">
      <c r="A279" s="662"/>
      <c r="B279" s="2109" t="s">
        <v>361</v>
      </c>
      <c r="C279" s="2144"/>
      <c r="D279" s="2124">
        <f t="shared" si="23"/>
        <v>820594.32684455568</v>
      </c>
      <c r="E279" s="1926">
        <f>SUM(E273:E278)</f>
        <v>0</v>
      </c>
      <c r="F279" s="2114">
        <f>SUM(F273:F278)</f>
        <v>0</v>
      </c>
      <c r="G279" s="1926">
        <f>SUM(G273:G278)</f>
        <v>17443.282608900903</v>
      </c>
      <c r="H279" s="2114">
        <f>SUM(H273:H278)</f>
        <v>0</v>
      </c>
      <c r="I279" s="2142">
        <f t="shared" si="24"/>
        <v>17443.282608900903</v>
      </c>
      <c r="J279" s="2114">
        <f>SUM(J273:J278)</f>
        <v>67734.824815654763</v>
      </c>
      <c r="K279" s="1926">
        <f>SUM(K273:K278)</f>
        <v>0</v>
      </c>
      <c r="L279" s="2114">
        <f>SUM(L273:L278)</f>
        <v>735416.21941999998</v>
      </c>
      <c r="M279" s="2143">
        <f t="shared" si="26"/>
        <v>803151.04423565476</v>
      </c>
      <c r="N279"/>
      <c r="O279"/>
      <c r="P279"/>
      <c r="Q279"/>
      <c r="R279"/>
      <c r="S279"/>
      <c r="T279"/>
      <c r="U279"/>
      <c r="V279"/>
      <c r="W279"/>
      <c r="X279"/>
      <c r="Y279"/>
      <c r="Z279"/>
      <c r="AA279"/>
      <c r="AB279" s="2976"/>
      <c r="AC279" s="2976"/>
      <c r="AD279" s="2976"/>
      <c r="AE279" s="2976"/>
      <c r="AF279" s="2976"/>
      <c r="AG279" s="2976"/>
      <c r="AH279" s="2976"/>
      <c r="AI279" s="2976"/>
      <c r="AJ279" s="2976"/>
      <c r="AK279" s="2976"/>
      <c r="AL279" s="2976"/>
    </row>
    <row r="280" spans="1:38">
      <c r="A280" s="662"/>
      <c r="B280" s="2103"/>
      <c r="C280" s="2141"/>
      <c r="D280" s="2124">
        <f t="shared" si="23"/>
        <v>0</v>
      </c>
      <c r="E280" s="1926"/>
      <c r="F280" s="2114"/>
      <c r="G280" s="1926"/>
      <c r="H280" s="2114"/>
      <c r="I280" s="2142">
        <f t="shared" si="24"/>
        <v>0</v>
      </c>
      <c r="J280" s="2114"/>
      <c r="K280" s="1926"/>
      <c r="L280" s="2114"/>
      <c r="M280" s="2143">
        <f t="shared" si="26"/>
        <v>0</v>
      </c>
    </row>
    <row r="281" spans="1:38" ht="26.45">
      <c r="A281" s="662"/>
      <c r="B281" s="2110" t="s">
        <v>362</v>
      </c>
      <c r="C281" s="2141"/>
      <c r="D281" s="2124">
        <f t="shared" si="23"/>
        <v>149282.29474999997</v>
      </c>
      <c r="E281" s="1865">
        <v>147671.85995999997</v>
      </c>
      <c r="F281" s="1866">
        <v>0</v>
      </c>
      <c r="G281" s="1865">
        <v>1610.43479</v>
      </c>
      <c r="H281" s="1866"/>
      <c r="I281" s="2142">
        <f t="shared" si="24"/>
        <v>1610.43479</v>
      </c>
      <c r="J281" s="2114">
        <v>0</v>
      </c>
      <c r="K281" s="1926">
        <v>0</v>
      </c>
      <c r="L281" s="2114">
        <v>0</v>
      </c>
      <c r="M281" s="2143">
        <f t="shared" si="26"/>
        <v>0</v>
      </c>
    </row>
    <row r="282" spans="1:38">
      <c r="A282" s="662"/>
      <c r="B282" s="2103"/>
      <c r="C282" s="2141"/>
      <c r="D282" s="2124">
        <f t="shared" si="23"/>
        <v>0</v>
      </c>
      <c r="E282" s="1926"/>
      <c r="F282" s="2114"/>
      <c r="G282" s="1926"/>
      <c r="H282" s="2114"/>
      <c r="I282" s="2142">
        <f t="shared" si="24"/>
        <v>0</v>
      </c>
      <c r="J282" s="2114"/>
      <c r="K282" s="1926"/>
      <c r="L282" s="2114"/>
      <c r="M282" s="2143">
        <f t="shared" si="26"/>
        <v>0</v>
      </c>
    </row>
    <row r="283" spans="1:38" ht="15.75" customHeight="1">
      <c r="A283" s="662"/>
      <c r="B283" s="2110" t="s">
        <v>363</v>
      </c>
      <c r="C283" s="2141">
        <v>4</v>
      </c>
      <c r="D283" s="2124">
        <f t="shared" si="23"/>
        <v>503249.02308563993</v>
      </c>
      <c r="E283" s="1865">
        <v>383159.93348563998</v>
      </c>
      <c r="F283" s="1866">
        <v>0</v>
      </c>
      <c r="G283" s="1865">
        <v>33582.220792654698</v>
      </c>
      <c r="H283" s="1866"/>
      <c r="I283" s="2142">
        <f t="shared" si="24"/>
        <v>33582.220792654698</v>
      </c>
      <c r="J283" s="1866">
        <v>41820.924617345263</v>
      </c>
      <c r="K283" s="1865">
        <v>0</v>
      </c>
      <c r="L283" s="1866">
        <v>44685.944189999995</v>
      </c>
      <c r="M283" s="2143">
        <f t="shared" si="26"/>
        <v>86506.86880734525</v>
      </c>
    </row>
    <row r="284" spans="1:38">
      <c r="A284" s="662"/>
      <c r="B284" s="2103" t="s">
        <v>364</v>
      </c>
      <c r="C284" s="2141"/>
      <c r="D284" s="2124">
        <f t="shared" si="23"/>
        <v>0</v>
      </c>
      <c r="E284" s="1865">
        <v>0</v>
      </c>
      <c r="F284" s="1866">
        <v>0</v>
      </c>
      <c r="G284" s="1865">
        <v>0</v>
      </c>
      <c r="H284" s="1866"/>
      <c r="I284" s="2142">
        <f t="shared" si="24"/>
        <v>0</v>
      </c>
      <c r="J284" s="1866">
        <v>0</v>
      </c>
      <c r="K284" s="1865">
        <v>0</v>
      </c>
      <c r="L284" s="1866">
        <v>0</v>
      </c>
      <c r="M284" s="2143">
        <f t="shared" si="26"/>
        <v>0</v>
      </c>
    </row>
    <row r="285" spans="1:38">
      <c r="A285" s="662"/>
      <c r="B285" s="2103" t="s">
        <v>365</v>
      </c>
      <c r="C285" s="2141"/>
      <c r="D285" s="2124">
        <f t="shared" si="23"/>
        <v>9641.1664099999998</v>
      </c>
      <c r="E285" s="1865">
        <v>9641.1664099999998</v>
      </c>
      <c r="F285" s="1866">
        <v>0</v>
      </c>
      <c r="G285" s="1865">
        <v>0</v>
      </c>
      <c r="H285" s="1866"/>
      <c r="I285" s="2142">
        <f t="shared" si="24"/>
        <v>0</v>
      </c>
      <c r="J285" s="1866">
        <v>0</v>
      </c>
      <c r="K285" s="1865">
        <v>0</v>
      </c>
      <c r="L285" s="1866">
        <v>0</v>
      </c>
      <c r="M285" s="2143">
        <f t="shared" si="26"/>
        <v>0</v>
      </c>
    </row>
    <row r="286" spans="1:38" s="870" customFormat="1">
      <c r="A286" s="662"/>
      <c r="B286" s="2109" t="s">
        <v>366</v>
      </c>
      <c r="C286" s="2144"/>
      <c r="D286" s="2124">
        <f t="shared" si="23"/>
        <v>512890.18949563999</v>
      </c>
      <c r="E286" s="1926">
        <f>SUM(E283:E285)</f>
        <v>392801.09989563999</v>
      </c>
      <c r="F286" s="2114">
        <f>SUM(F283:F285)</f>
        <v>0</v>
      </c>
      <c r="G286" s="1926">
        <f>SUM(G283:G285)</f>
        <v>33582.220792654698</v>
      </c>
      <c r="H286" s="2114">
        <f>SUM(H283:H285)</f>
        <v>0</v>
      </c>
      <c r="I286" s="2142">
        <f t="shared" si="24"/>
        <v>33582.220792654698</v>
      </c>
      <c r="J286" s="2114">
        <f>SUM(J283:J285)</f>
        <v>41820.924617345263</v>
      </c>
      <c r="K286" s="1926">
        <f>SUM(K283:K285)</f>
        <v>0</v>
      </c>
      <c r="L286" s="2114">
        <f>SUM(L283:L285)</f>
        <v>44685.944189999995</v>
      </c>
      <c r="M286" s="2143">
        <f t="shared" si="26"/>
        <v>86506.86880734525</v>
      </c>
      <c r="N286"/>
      <c r="O286"/>
      <c r="P286"/>
      <c r="Q286"/>
      <c r="R286"/>
      <c r="S286"/>
      <c r="T286"/>
      <c r="U286"/>
      <c r="V286"/>
      <c r="W286"/>
      <c r="X286"/>
      <c r="Y286"/>
      <c r="Z286"/>
      <c r="AA286"/>
      <c r="AB286" s="2976"/>
      <c r="AC286" s="2976"/>
      <c r="AD286" s="2976"/>
      <c r="AE286" s="2976"/>
      <c r="AF286" s="2976"/>
      <c r="AG286" s="2976"/>
      <c r="AH286" s="2976"/>
      <c r="AI286" s="2976"/>
      <c r="AJ286" s="2976"/>
      <c r="AK286" s="2976"/>
      <c r="AL286" s="2976"/>
    </row>
    <row r="287" spans="1:38">
      <c r="A287" s="662"/>
      <c r="B287" s="2109"/>
      <c r="C287" s="2144"/>
      <c r="D287" s="2124">
        <f t="shared" si="23"/>
        <v>0</v>
      </c>
      <c r="E287" s="1926"/>
      <c r="F287" s="2114"/>
      <c r="G287" s="1926"/>
      <c r="H287" s="2114"/>
      <c r="I287" s="2142">
        <f t="shared" si="24"/>
        <v>0</v>
      </c>
      <c r="J287" s="2114"/>
      <c r="K287" s="1926"/>
      <c r="L287" s="2114"/>
      <c r="M287" s="2143">
        <f t="shared" si="26"/>
        <v>0</v>
      </c>
    </row>
    <row r="288" spans="1:38" s="870" customFormat="1">
      <c r="A288" s="662"/>
      <c r="B288" s="2109" t="s">
        <v>367</v>
      </c>
      <c r="C288" s="2144"/>
      <c r="D288" s="2124">
        <f t="shared" si="23"/>
        <v>52683.658474218835</v>
      </c>
      <c r="E288" s="1926">
        <f>E271-E279-E281-E286</f>
        <v>52683.630234360113</v>
      </c>
      <c r="F288" s="2114">
        <f>F271-F279-F281-F286</f>
        <v>0</v>
      </c>
      <c r="G288" s="1926">
        <f>G271-G279-G281-G286</f>
        <v>2.81297442415962E-2</v>
      </c>
      <c r="H288" s="2114">
        <f>H271-H279-H281-H286</f>
        <v>0</v>
      </c>
      <c r="I288" s="2142">
        <f t="shared" si="24"/>
        <v>2.81297442415962E-2</v>
      </c>
      <c r="J288" s="2114">
        <f>J271-J279-J281-J286</f>
        <v>4.0114457078743726E-5</v>
      </c>
      <c r="K288" s="1926">
        <f>K271-K279-K281-K286</f>
        <v>0</v>
      </c>
      <c r="L288" s="2114">
        <f>L271-L279-L281-L286</f>
        <v>7.0000023697502911E-5</v>
      </c>
      <c r="M288" s="2143">
        <f t="shared" si="26"/>
        <v>1.1011448077624664E-4</v>
      </c>
      <c r="N288"/>
      <c r="O288"/>
      <c r="P288"/>
      <c r="Q288"/>
      <c r="R288"/>
      <c r="S288"/>
      <c r="T288"/>
      <c r="U288"/>
      <c r="V288"/>
      <c r="W288"/>
      <c r="X288"/>
      <c r="Y288"/>
      <c r="Z288"/>
      <c r="AA288"/>
      <c r="AB288" s="2976"/>
      <c r="AC288" s="2976"/>
      <c r="AD288" s="2976"/>
      <c r="AE288" s="2976"/>
      <c r="AF288" s="2976"/>
      <c r="AG288" s="2976"/>
      <c r="AH288" s="2976"/>
      <c r="AI288" s="2976"/>
      <c r="AJ288" s="2976"/>
      <c r="AK288" s="2976"/>
      <c r="AL288" s="2976"/>
    </row>
    <row r="289" spans="1:38">
      <c r="A289" s="662"/>
      <c r="B289" s="2103" t="s">
        <v>368</v>
      </c>
      <c r="C289" s="2141"/>
      <c r="D289" s="2124">
        <f t="shared" si="23"/>
        <v>0</v>
      </c>
      <c r="E289" s="1926"/>
      <c r="F289" s="2114"/>
      <c r="G289" s="1926"/>
      <c r="H289" s="2114"/>
      <c r="I289" s="2142">
        <f t="shared" si="24"/>
        <v>0</v>
      </c>
      <c r="J289" s="2114"/>
      <c r="K289" s="1926"/>
      <c r="L289" s="2114"/>
      <c r="M289" s="2143">
        <f t="shared" si="26"/>
        <v>0</v>
      </c>
    </row>
    <row r="290" spans="1:38">
      <c r="A290" s="662"/>
      <c r="B290" s="2103"/>
      <c r="C290" s="2141"/>
      <c r="D290" s="2124">
        <f t="shared" si="23"/>
        <v>0</v>
      </c>
      <c r="E290" s="1926"/>
      <c r="F290" s="2114"/>
      <c r="G290" s="1926"/>
      <c r="H290" s="2114"/>
      <c r="I290" s="2142">
        <f t="shared" si="24"/>
        <v>0</v>
      </c>
      <c r="J290" s="2114"/>
      <c r="K290" s="1926"/>
      <c r="L290" s="2114"/>
      <c r="M290" s="2143">
        <f t="shared" si="26"/>
        <v>0</v>
      </c>
    </row>
    <row r="291" spans="1:38" s="870" customFormat="1" ht="15" thickBot="1">
      <c r="A291" s="662"/>
      <c r="B291" s="1338" t="s">
        <v>369</v>
      </c>
      <c r="C291" s="1370"/>
      <c r="D291" s="1350">
        <f t="shared" si="23"/>
        <v>52683.658474218835</v>
      </c>
      <c r="E291" s="1360">
        <f>E288-E289</f>
        <v>52683.630234360113</v>
      </c>
      <c r="F291" s="1350">
        <f>F288-F289</f>
        <v>0</v>
      </c>
      <c r="G291" s="1360">
        <f>G288-G289</f>
        <v>2.81297442415962E-2</v>
      </c>
      <c r="H291" s="1350">
        <f>H288-H289</f>
        <v>0</v>
      </c>
      <c r="I291" s="1360">
        <f t="shared" si="24"/>
        <v>2.81297442415962E-2</v>
      </c>
      <c r="J291" s="1350">
        <f>J288-J289</f>
        <v>4.0114457078743726E-5</v>
      </c>
      <c r="K291" s="1360">
        <f>K288-K289</f>
        <v>0</v>
      </c>
      <c r="L291" s="1350">
        <f>L288-L289</f>
        <v>7.0000023697502911E-5</v>
      </c>
      <c r="M291" s="1371">
        <f t="shared" si="26"/>
        <v>1.1011448077624664E-4</v>
      </c>
      <c r="N291"/>
      <c r="O291"/>
      <c r="P291"/>
      <c r="Q291"/>
      <c r="R291"/>
      <c r="S291"/>
      <c r="T291"/>
      <c r="U291"/>
      <c r="V291"/>
      <c r="W291"/>
      <c r="X291"/>
      <c r="Y291"/>
      <c r="Z291"/>
      <c r="AA291"/>
      <c r="AB291" s="2976"/>
      <c r="AC291" s="2976"/>
      <c r="AD291" s="2976"/>
      <c r="AE291" s="2976"/>
      <c r="AF291" s="2976"/>
      <c r="AG291" s="2976"/>
      <c r="AH291" s="2976"/>
      <c r="AI291" s="2976"/>
      <c r="AJ291" s="2976"/>
      <c r="AK291" s="2976"/>
      <c r="AL291" s="2976"/>
    </row>
    <row r="292" spans="1:38">
      <c r="A292" s="662"/>
      <c r="B292" s="662"/>
      <c r="C292" s="662"/>
      <c r="D292" s="662"/>
      <c r="E292" s="662"/>
      <c r="F292" s="662"/>
      <c r="G292" s="662"/>
      <c r="H292" s="662"/>
      <c r="I292" s="662"/>
      <c r="J292" s="662"/>
      <c r="K292" s="662"/>
      <c r="L292" s="662"/>
      <c r="M292" s="662"/>
    </row>
    <row r="293" spans="1:38">
      <c r="A293" s="662"/>
      <c r="B293" s="662"/>
      <c r="C293" s="662"/>
      <c r="D293" s="666"/>
      <c r="E293" s="666"/>
      <c r="F293" s="662"/>
      <c r="G293" s="662"/>
      <c r="H293" s="662"/>
      <c r="I293" s="662"/>
      <c r="J293" s="662"/>
      <c r="K293" s="662"/>
      <c r="L293" s="662"/>
      <c r="M293" s="667"/>
    </row>
    <row r="294" spans="1:38">
      <c r="D294" s="66"/>
    </row>
    <row r="297" spans="1:38" ht="15" thickBot="1"/>
    <row r="298" spans="1:38" ht="17.25" customHeight="1" thickBot="1">
      <c r="A298" s="1361" t="s">
        <v>185</v>
      </c>
      <c r="B298" s="1153" t="s">
        <v>96</v>
      </c>
      <c r="D298" s="662"/>
      <c r="E298" s="662"/>
      <c r="F298" s="662"/>
      <c r="G298" s="662"/>
      <c r="H298" s="662"/>
      <c r="I298" s="662"/>
      <c r="J298" s="662"/>
      <c r="K298" s="662"/>
      <c r="L298" s="3292"/>
      <c r="M298" s="3292" t="s">
        <v>257</v>
      </c>
    </row>
    <row r="299" spans="1:38" ht="17.25" customHeight="1" thickBot="1">
      <c r="A299" s="662"/>
      <c r="B299" s="3331" t="s">
        <v>96</v>
      </c>
      <c r="C299" s="3280" t="s">
        <v>334</v>
      </c>
      <c r="D299" s="3283" t="s">
        <v>260</v>
      </c>
      <c r="E299" s="3283" t="s">
        <v>335</v>
      </c>
      <c r="F299" s="3335" t="s">
        <v>263</v>
      </c>
      <c r="G299" s="3335"/>
      <c r="H299" s="3335"/>
      <c r="I299" s="3335"/>
      <c r="J299" s="3335"/>
      <c r="K299" s="3335"/>
      <c r="L299" s="3335"/>
      <c r="M299" s="3335"/>
    </row>
    <row r="300" spans="1:38" ht="17.25" customHeight="1" thickBot="1">
      <c r="A300" s="662"/>
      <c r="B300" s="3327"/>
      <c r="C300" s="3281"/>
      <c r="D300" s="3284"/>
      <c r="E300" s="3284"/>
      <c r="F300" s="3332" t="s">
        <v>264</v>
      </c>
      <c r="G300" s="3333"/>
      <c r="H300" s="3333"/>
      <c r="I300" s="3334"/>
      <c r="J300" s="3335" t="s">
        <v>336</v>
      </c>
      <c r="K300" s="3335"/>
      <c r="L300" s="3335"/>
      <c r="M300" s="3335"/>
    </row>
    <row r="301" spans="1:38" ht="57.6" customHeight="1" thickBot="1">
      <c r="A301" s="662"/>
      <c r="B301" s="3327"/>
      <c r="C301" s="3281"/>
      <c r="D301" s="3285"/>
      <c r="E301" s="3285"/>
      <c r="F301" s="2963" t="s">
        <v>267</v>
      </c>
      <c r="G301" s="2963" t="s">
        <v>268</v>
      </c>
      <c r="H301" s="2963" t="s">
        <v>269</v>
      </c>
      <c r="I301" s="2963" t="s">
        <v>160</v>
      </c>
      <c r="J301" s="2964" t="s">
        <v>337</v>
      </c>
      <c r="K301" s="2964" t="s">
        <v>271</v>
      </c>
      <c r="L301" s="2964" t="s">
        <v>338</v>
      </c>
      <c r="M301" s="2964" t="s">
        <v>160</v>
      </c>
    </row>
    <row r="302" spans="1:38" ht="28.9" customHeight="1" thickBot="1">
      <c r="A302" s="662"/>
      <c r="B302" s="3327"/>
      <c r="C302" s="3281"/>
      <c r="D302" s="2972">
        <v>1</v>
      </c>
      <c r="E302" s="3283">
        <v>2</v>
      </c>
      <c r="F302" s="3283">
        <v>3</v>
      </c>
      <c r="G302" s="3283">
        <v>4</v>
      </c>
      <c r="H302" s="3283"/>
      <c r="I302" s="2972">
        <v>6</v>
      </c>
      <c r="J302" s="3283">
        <v>7</v>
      </c>
      <c r="K302" s="3283">
        <v>8</v>
      </c>
      <c r="L302" s="3283">
        <v>9</v>
      </c>
      <c r="M302" s="2972">
        <v>10</v>
      </c>
    </row>
    <row r="303" spans="1:38" ht="15" thickBot="1">
      <c r="A303" s="662"/>
      <c r="B303" s="3328"/>
      <c r="C303" s="3282"/>
      <c r="D303" s="1327" t="s">
        <v>339</v>
      </c>
      <c r="E303" s="3285"/>
      <c r="F303" s="3285"/>
      <c r="G303" s="3285"/>
      <c r="H303" s="3285">
        <v>5</v>
      </c>
      <c r="I303" s="1327" t="s">
        <v>340</v>
      </c>
      <c r="J303" s="3285"/>
      <c r="K303" s="3285"/>
      <c r="L303" s="3285"/>
      <c r="M303" s="1327" t="s">
        <v>341</v>
      </c>
    </row>
    <row r="304" spans="1:38">
      <c r="A304" s="662"/>
      <c r="B304" s="1328" t="s">
        <v>342</v>
      </c>
      <c r="C304" s="885"/>
      <c r="D304" s="1329">
        <f>E304+I304+M304</f>
        <v>29160164.109129999</v>
      </c>
      <c r="E304" s="887"/>
      <c r="F304" s="886">
        <v>5628708.9583200002</v>
      </c>
      <c r="G304" s="887">
        <v>17932015.979040001</v>
      </c>
      <c r="H304" s="886">
        <v>5591910</v>
      </c>
      <c r="I304" s="1332">
        <f>F304+G304+H304</f>
        <v>29152634.93736</v>
      </c>
      <c r="J304" s="886"/>
      <c r="K304" s="887"/>
      <c r="L304" s="886">
        <v>7529.1717699999999</v>
      </c>
      <c r="M304" s="1335">
        <f t="shared" ref="M304:M321" si="27">L304+K304+J304</f>
        <v>7529.1717699999999</v>
      </c>
    </row>
    <row r="305" spans="1:38">
      <c r="A305" s="662"/>
      <c r="B305" s="2103"/>
      <c r="C305" s="2104"/>
      <c r="D305" s="2124">
        <f t="shared" ref="D305:D341" si="28">E305+I305+M305</f>
        <v>0</v>
      </c>
      <c r="E305" s="2126"/>
      <c r="F305" s="2114"/>
      <c r="G305" s="2126"/>
      <c r="H305" s="2114"/>
      <c r="I305" s="2125">
        <f t="shared" ref="I305:I341" si="29">F305+G305+H305</f>
        <v>0</v>
      </c>
      <c r="J305" s="2114"/>
      <c r="K305" s="2126"/>
      <c r="L305" s="2114"/>
      <c r="M305" s="2127">
        <f t="shared" si="27"/>
        <v>0</v>
      </c>
    </row>
    <row r="306" spans="1:38">
      <c r="A306" s="662"/>
      <c r="B306" s="2105" t="s">
        <v>343</v>
      </c>
      <c r="C306" s="2104"/>
      <c r="D306" s="2124">
        <f>E306+I306+M306</f>
        <v>472196.73209</v>
      </c>
      <c r="E306" s="2126"/>
      <c r="F306" s="2114">
        <v>27176.612519999999</v>
      </c>
      <c r="G306" s="2126">
        <v>434824.40016999998</v>
      </c>
      <c r="H306" s="2114">
        <v>9976</v>
      </c>
      <c r="I306" s="2125">
        <f>F306+G306+H306</f>
        <v>471977.01269</v>
      </c>
      <c r="J306" s="2114"/>
      <c r="K306" s="2126"/>
      <c r="L306" s="2114">
        <v>219.71940000000001</v>
      </c>
      <c r="M306" s="2127">
        <f t="shared" si="27"/>
        <v>219.71940000000001</v>
      </c>
    </row>
    <row r="307" spans="1:38">
      <c r="A307" s="662"/>
      <c r="B307" s="2105"/>
      <c r="C307" s="2104"/>
      <c r="D307" s="2124">
        <f t="shared" si="28"/>
        <v>0</v>
      </c>
      <c r="E307" s="2126"/>
      <c r="F307" s="2114"/>
      <c r="G307" s="2126"/>
      <c r="H307" s="2114"/>
      <c r="I307" s="2125">
        <f t="shared" si="29"/>
        <v>0</v>
      </c>
      <c r="J307" s="2114"/>
      <c r="K307" s="2126"/>
      <c r="L307" s="2114"/>
      <c r="M307" s="2127">
        <f t="shared" si="27"/>
        <v>0</v>
      </c>
    </row>
    <row r="308" spans="1:38" ht="14.25" customHeight="1">
      <c r="A308" s="662"/>
      <c r="B308" s="2106" t="s">
        <v>344</v>
      </c>
      <c r="C308" s="2104"/>
      <c r="D308" s="2124">
        <f t="shared" si="28"/>
        <v>0</v>
      </c>
      <c r="E308" s="2126"/>
      <c r="F308" s="2114"/>
      <c r="G308" s="2126"/>
      <c r="H308" s="2114"/>
      <c r="I308" s="2125">
        <f t="shared" si="29"/>
        <v>0</v>
      </c>
      <c r="J308" s="2114"/>
      <c r="K308" s="2126"/>
      <c r="L308" s="2114"/>
      <c r="M308" s="2127">
        <f t="shared" si="27"/>
        <v>0</v>
      </c>
    </row>
    <row r="309" spans="1:38">
      <c r="A309" s="662"/>
      <c r="B309" s="2103"/>
      <c r="C309" s="2104"/>
      <c r="D309" s="2124">
        <f t="shared" si="28"/>
        <v>0</v>
      </c>
      <c r="E309" s="2126"/>
      <c r="F309" s="2114"/>
      <c r="G309" s="2126"/>
      <c r="H309" s="2114"/>
      <c r="I309" s="2125">
        <f t="shared" si="29"/>
        <v>0</v>
      </c>
      <c r="J309" s="2114"/>
      <c r="K309" s="2126"/>
      <c r="L309" s="2114"/>
      <c r="M309" s="2127">
        <f t="shared" si="27"/>
        <v>0</v>
      </c>
    </row>
    <row r="310" spans="1:38" s="870" customFormat="1">
      <c r="A310" s="662"/>
      <c r="B310" s="2107" t="s">
        <v>345</v>
      </c>
      <c r="C310" s="2108"/>
      <c r="D310" s="2124">
        <f>E310+I310+M310</f>
        <v>28687967.377040002</v>
      </c>
      <c r="E310" s="2126">
        <f>E304-E306+E308</f>
        <v>0</v>
      </c>
      <c r="F310" s="2114">
        <f>F304-F306+F308</f>
        <v>5601532.3458000002</v>
      </c>
      <c r="G310" s="2126">
        <f>G304-G306+G308</f>
        <v>17497191.578870002</v>
      </c>
      <c r="H310" s="2114">
        <f>H304-H306+H308</f>
        <v>5581934</v>
      </c>
      <c r="I310" s="2125">
        <f>F310+G310+H310</f>
        <v>28680657.924670003</v>
      </c>
      <c r="J310" s="2114">
        <f>J304-J306+J308</f>
        <v>0</v>
      </c>
      <c r="K310" s="2126">
        <f>K304-K306+K308</f>
        <v>0</v>
      </c>
      <c r="L310" s="2114">
        <f>L304-L306+L308</f>
        <v>7309.45237</v>
      </c>
      <c r="M310" s="2127">
        <f t="shared" si="27"/>
        <v>7309.45237</v>
      </c>
      <c r="N310"/>
      <c r="O310"/>
      <c r="P310"/>
      <c r="Q310"/>
      <c r="R310"/>
      <c r="S310"/>
      <c r="T310"/>
      <c r="U310"/>
      <c r="V310"/>
      <c r="W310"/>
      <c r="X310"/>
      <c r="Y310"/>
      <c r="Z310"/>
      <c r="AA310"/>
      <c r="AB310" s="2976"/>
      <c r="AC310" s="2976"/>
      <c r="AD310" s="2976"/>
      <c r="AE310" s="2976"/>
      <c r="AF310" s="2976"/>
      <c r="AG310" s="2976"/>
      <c r="AH310" s="2976"/>
      <c r="AI310" s="2976"/>
      <c r="AJ310" s="2976"/>
      <c r="AK310" s="2976"/>
      <c r="AL310" s="2976"/>
    </row>
    <row r="311" spans="1:38">
      <c r="A311" s="662"/>
      <c r="B311" s="2107"/>
      <c r="C311" s="2108"/>
      <c r="D311" s="2124">
        <f t="shared" si="28"/>
        <v>0</v>
      </c>
      <c r="E311" s="2126"/>
      <c r="F311" s="2114"/>
      <c r="G311" s="2126"/>
      <c r="H311" s="2114"/>
      <c r="I311" s="2125">
        <f t="shared" si="29"/>
        <v>0</v>
      </c>
      <c r="J311" s="2114"/>
      <c r="K311" s="2126"/>
      <c r="L311" s="2114"/>
      <c r="M311" s="2127">
        <f t="shared" si="27"/>
        <v>0</v>
      </c>
    </row>
    <row r="312" spans="1:38" s="870" customFormat="1">
      <c r="A312" s="662"/>
      <c r="B312" s="2107" t="s">
        <v>346</v>
      </c>
      <c r="C312" s="2108"/>
      <c r="D312" s="2124">
        <f t="shared" si="28"/>
        <v>20071237.995669998</v>
      </c>
      <c r="E312" s="2126">
        <f>SUM(E313:E317)</f>
        <v>4209521.91897</v>
      </c>
      <c r="F312" s="2114">
        <f>SUM(F313:F317)</f>
        <v>7162113.08715</v>
      </c>
      <c r="G312" s="2126">
        <f>SUM(G313:G317)</f>
        <v>3936188.5187799996</v>
      </c>
      <c r="H312" s="2114">
        <f>SUM(H313:H317)</f>
        <v>4763414.4707699995</v>
      </c>
      <c r="I312" s="2125">
        <f t="shared" si="29"/>
        <v>15861716.0767</v>
      </c>
      <c r="J312" s="2114">
        <f>SUM(J313:J317)</f>
        <v>0</v>
      </c>
      <c r="K312" s="2126">
        <f>SUM(K313:K317)</f>
        <v>0</v>
      </c>
      <c r="L312" s="2114">
        <f>SUM(L313:L317)</f>
        <v>0</v>
      </c>
      <c r="M312" s="2127">
        <f t="shared" si="27"/>
        <v>0</v>
      </c>
      <c r="N312"/>
      <c r="O312"/>
      <c r="P312"/>
      <c r="Q312"/>
      <c r="R312"/>
      <c r="S312"/>
      <c r="T312"/>
      <c r="U312"/>
      <c r="V312"/>
      <c r="W312"/>
      <c r="X312"/>
      <c r="Y312"/>
      <c r="Z312"/>
      <c r="AA312"/>
      <c r="AB312" s="2976"/>
      <c r="AC312" s="2976"/>
      <c r="AD312" s="2976"/>
      <c r="AE312" s="2976"/>
      <c r="AF312" s="2976"/>
      <c r="AG312" s="2976"/>
      <c r="AH312" s="2976"/>
      <c r="AI312" s="2976"/>
      <c r="AJ312" s="2976"/>
      <c r="AK312" s="2976"/>
      <c r="AL312" s="2976"/>
    </row>
    <row r="313" spans="1:38">
      <c r="A313" s="662"/>
      <c r="B313" s="2103" t="s">
        <v>347</v>
      </c>
      <c r="C313" s="2104">
        <v>1</v>
      </c>
      <c r="D313" s="2124">
        <f t="shared" si="28"/>
        <v>19323139.739080001</v>
      </c>
      <c r="E313" s="2126">
        <v>3936207.4212499997</v>
      </c>
      <c r="F313" s="2114">
        <v>6941167.2268000003</v>
      </c>
      <c r="G313" s="2126">
        <v>3777231.0910299998</v>
      </c>
      <c r="H313" s="2114">
        <v>4668534</v>
      </c>
      <c r="I313" s="2125">
        <f t="shared" si="29"/>
        <v>15386932.31783</v>
      </c>
      <c r="J313" s="2114"/>
      <c r="K313" s="2126"/>
      <c r="L313" s="2114"/>
      <c r="M313" s="2127">
        <f t="shared" si="27"/>
        <v>0</v>
      </c>
    </row>
    <row r="314" spans="1:38">
      <c r="A314" s="662"/>
      <c r="B314" s="2103" t="s">
        <v>348</v>
      </c>
      <c r="C314" s="2104">
        <v>2</v>
      </c>
      <c r="D314" s="2124">
        <f t="shared" si="28"/>
        <v>205977.37679000001</v>
      </c>
      <c r="E314" s="2126">
        <v>0</v>
      </c>
      <c r="F314" s="2114">
        <v>36408.35338</v>
      </c>
      <c r="G314" s="2126">
        <v>124478.02340999999</v>
      </c>
      <c r="H314" s="2114">
        <v>45091</v>
      </c>
      <c r="I314" s="2125">
        <f t="shared" si="29"/>
        <v>205977.37679000001</v>
      </c>
      <c r="J314" s="2114"/>
      <c r="K314" s="2126"/>
      <c r="L314" s="2114"/>
      <c r="M314" s="2127">
        <f t="shared" si="27"/>
        <v>0</v>
      </c>
    </row>
    <row r="315" spans="1:38">
      <c r="A315" s="662"/>
      <c r="B315" s="2103" t="s">
        <v>349</v>
      </c>
      <c r="C315" s="2104"/>
      <c r="D315" s="2124">
        <f t="shared" si="28"/>
        <v>57960.055770000006</v>
      </c>
      <c r="E315" s="2126">
        <v>9468.2747899999995</v>
      </c>
      <c r="F315" s="2114">
        <v>11065.565039999999</v>
      </c>
      <c r="G315" s="2126">
        <v>5915.2159400000019</v>
      </c>
      <c r="H315" s="2114">
        <v>31511</v>
      </c>
      <c r="I315" s="2125">
        <f t="shared" si="29"/>
        <v>48491.780980000003</v>
      </c>
      <c r="J315" s="2114"/>
      <c r="K315" s="2126"/>
      <c r="L315" s="2114"/>
      <c r="M315" s="2127">
        <f t="shared" si="27"/>
        <v>0</v>
      </c>
    </row>
    <row r="316" spans="1:38">
      <c r="A316" s="662"/>
      <c r="B316" s="2103" t="s">
        <v>350</v>
      </c>
      <c r="C316" s="2104"/>
      <c r="D316" s="2124">
        <f t="shared" si="28"/>
        <v>433421.91636999999</v>
      </c>
      <c r="E316" s="2126">
        <v>263846.22292999999</v>
      </c>
      <c r="F316" s="2114">
        <v>158301.16546000002</v>
      </c>
      <c r="G316" s="2126">
        <v>719.83993000000009</v>
      </c>
      <c r="H316" s="2114">
        <v>10554.688050000001</v>
      </c>
      <c r="I316" s="2125">
        <f t="shared" si="29"/>
        <v>169575.69344</v>
      </c>
      <c r="J316" s="2114"/>
      <c r="K316" s="2126"/>
      <c r="L316" s="2114"/>
      <c r="M316" s="2127">
        <f t="shared" si="27"/>
        <v>0</v>
      </c>
    </row>
    <row r="317" spans="1:38">
      <c r="A317" s="662"/>
      <c r="B317" s="2103" t="s">
        <v>351</v>
      </c>
      <c r="C317" s="2104">
        <v>3</v>
      </c>
      <c r="D317" s="2124">
        <f t="shared" si="28"/>
        <v>50738.907660000106</v>
      </c>
      <c r="E317" s="2126">
        <v>0</v>
      </c>
      <c r="F317" s="2114">
        <v>15170.776470000001</v>
      </c>
      <c r="G317" s="2126">
        <v>27844.348470000103</v>
      </c>
      <c r="H317" s="2114">
        <v>7723.7827200000002</v>
      </c>
      <c r="I317" s="2125">
        <f t="shared" si="29"/>
        <v>50738.907660000106</v>
      </c>
      <c r="J317" s="2114"/>
      <c r="K317" s="2126"/>
      <c r="L317" s="2114"/>
      <c r="M317" s="2127">
        <f t="shared" si="27"/>
        <v>0</v>
      </c>
    </row>
    <row r="318" spans="1:38">
      <c r="A318" s="662"/>
      <c r="B318" s="2103" t="s">
        <v>353</v>
      </c>
      <c r="C318" s="2104"/>
      <c r="D318" s="2124">
        <f t="shared" si="28"/>
        <v>0</v>
      </c>
      <c r="E318" s="2126"/>
      <c r="F318" s="2114"/>
      <c r="G318" s="2126"/>
      <c r="H318" s="2114"/>
      <c r="I318" s="2125">
        <f t="shared" si="29"/>
        <v>0</v>
      </c>
      <c r="J318" s="2114"/>
      <c r="K318" s="2126"/>
      <c r="L318" s="2114"/>
      <c r="M318" s="2127">
        <f t="shared" si="27"/>
        <v>0</v>
      </c>
    </row>
    <row r="319" spans="1:38">
      <c r="A319" s="662"/>
      <c r="B319" s="2103" t="s">
        <v>353</v>
      </c>
      <c r="C319" s="2104"/>
      <c r="D319" s="2124">
        <f t="shared" si="28"/>
        <v>0</v>
      </c>
      <c r="E319" s="2126"/>
      <c r="F319" s="2114"/>
      <c r="G319" s="2126"/>
      <c r="H319" s="2114"/>
      <c r="I319" s="2125">
        <f t="shared" si="29"/>
        <v>0</v>
      </c>
      <c r="J319" s="2114"/>
      <c r="K319" s="2126"/>
      <c r="L319" s="2114"/>
      <c r="M319" s="2127">
        <f t="shared" si="27"/>
        <v>0</v>
      </c>
    </row>
    <row r="320" spans="1:38">
      <c r="A320" s="662"/>
      <c r="B320" s="2103"/>
      <c r="C320" s="2104"/>
      <c r="D320" s="2124">
        <f t="shared" si="28"/>
        <v>0</v>
      </c>
      <c r="E320" s="2126"/>
      <c r="F320" s="2114"/>
      <c r="G320" s="2126"/>
      <c r="H320" s="2114"/>
      <c r="I320" s="2125">
        <f t="shared" si="29"/>
        <v>0</v>
      </c>
      <c r="J320" s="2114"/>
      <c r="K320" s="2126"/>
      <c r="L320" s="2114"/>
      <c r="M320" s="2127">
        <f t="shared" si="27"/>
        <v>0</v>
      </c>
    </row>
    <row r="321" spans="1:38" s="870" customFormat="1">
      <c r="A321" s="662"/>
      <c r="B321" s="2109" t="s">
        <v>354</v>
      </c>
      <c r="C321" s="2108"/>
      <c r="D321" s="2124">
        <f>E321+I321+M321</f>
        <v>48759205.372710004</v>
      </c>
      <c r="E321" s="2126">
        <f>E310+E312</f>
        <v>4209521.91897</v>
      </c>
      <c r="F321" s="2114">
        <f>F310+F312</f>
        <v>12763645.432950001</v>
      </c>
      <c r="G321" s="2126">
        <f>G310+G312</f>
        <v>21433380.097650003</v>
      </c>
      <c r="H321" s="2114">
        <f>H310+H312</f>
        <v>10345348.47077</v>
      </c>
      <c r="I321" s="2125">
        <f t="shared" si="29"/>
        <v>44542374.001370005</v>
      </c>
      <c r="J321" s="2114">
        <f>J310+J312</f>
        <v>0</v>
      </c>
      <c r="K321" s="2126">
        <f>K310+K312</f>
        <v>0</v>
      </c>
      <c r="L321" s="2114">
        <f>L310+L312</f>
        <v>7309.45237</v>
      </c>
      <c r="M321" s="2127">
        <f t="shared" si="27"/>
        <v>7309.45237</v>
      </c>
      <c r="N321"/>
      <c r="O321"/>
      <c r="P321"/>
      <c r="Q321"/>
      <c r="R321"/>
      <c r="S321"/>
      <c r="T321"/>
      <c r="U321"/>
      <c r="V321"/>
      <c r="W321"/>
      <c r="X321"/>
      <c r="Y321"/>
      <c r="Z321"/>
      <c r="AA321"/>
      <c r="AB321" s="2976"/>
      <c r="AC321" s="2976"/>
      <c r="AD321" s="2976"/>
      <c r="AE321" s="2976"/>
      <c r="AF321" s="2976"/>
      <c r="AG321" s="2976"/>
      <c r="AH321" s="2976"/>
      <c r="AI321" s="2976"/>
      <c r="AJ321" s="2976"/>
      <c r="AK321" s="2976"/>
      <c r="AL321" s="2976"/>
    </row>
    <row r="322" spans="1:38">
      <c r="A322" s="662"/>
      <c r="B322" s="2109"/>
      <c r="C322" s="2108"/>
      <c r="D322" s="2124">
        <f t="shared" si="28"/>
        <v>0</v>
      </c>
      <c r="E322" s="2126"/>
      <c r="F322" s="2114"/>
      <c r="G322" s="2126"/>
      <c r="H322" s="2114"/>
      <c r="I322" s="2125">
        <f t="shared" si="29"/>
        <v>0</v>
      </c>
      <c r="J322" s="2114"/>
      <c r="K322" s="2126"/>
      <c r="L322" s="2114"/>
      <c r="M322" s="2127"/>
    </row>
    <row r="323" spans="1:38">
      <c r="A323" s="662"/>
      <c r="B323" s="2103" t="s">
        <v>355</v>
      </c>
      <c r="C323" s="2104"/>
      <c r="D323" s="2124">
        <f t="shared" si="28"/>
        <v>19187616.035870001</v>
      </c>
      <c r="E323" s="2126">
        <v>0</v>
      </c>
      <c r="F323" s="2114">
        <v>7594625.70462</v>
      </c>
      <c r="G323" s="2126">
        <v>8028141.3312500007</v>
      </c>
      <c r="H323" s="2114">
        <v>3564849</v>
      </c>
      <c r="I323" s="2125">
        <f t="shared" si="29"/>
        <v>19187616.035870001</v>
      </c>
      <c r="J323" s="2114"/>
      <c r="K323" s="2126"/>
      <c r="L323" s="2114"/>
      <c r="M323" s="2127">
        <f t="shared" ref="M323:M341" si="30">L323+K323+J323</f>
        <v>0</v>
      </c>
    </row>
    <row r="324" spans="1:38">
      <c r="A324" s="662"/>
      <c r="B324" s="2103" t="s">
        <v>356</v>
      </c>
      <c r="C324" s="2104"/>
      <c r="D324" s="2124">
        <f t="shared" si="28"/>
        <v>-218349.32941000001</v>
      </c>
      <c r="E324" s="2126">
        <v>0</v>
      </c>
      <c r="F324" s="2114">
        <v>-7836.4402700000001</v>
      </c>
      <c r="G324" s="2126">
        <v>-208512.88914000001</v>
      </c>
      <c r="H324" s="2114">
        <v>-2000</v>
      </c>
      <c r="I324" s="2125">
        <f>F324+G324+H324</f>
        <v>-218349.32941000001</v>
      </c>
      <c r="J324" s="2114"/>
      <c r="K324" s="2126"/>
      <c r="L324" s="2114"/>
      <c r="M324" s="2127">
        <f t="shared" si="30"/>
        <v>0</v>
      </c>
    </row>
    <row r="325" spans="1:38">
      <c r="A325" s="662"/>
      <c r="B325" s="2103" t="s">
        <v>357</v>
      </c>
      <c r="C325" s="2104"/>
      <c r="D325" s="2124">
        <f t="shared" si="28"/>
        <v>0</v>
      </c>
      <c r="E325" s="2126">
        <v>0</v>
      </c>
      <c r="F325" s="2114">
        <v>0</v>
      </c>
      <c r="G325" s="2126">
        <v>0</v>
      </c>
      <c r="H325" s="2114">
        <v>0</v>
      </c>
      <c r="I325" s="2125">
        <f t="shared" si="29"/>
        <v>0</v>
      </c>
      <c r="J325" s="2114"/>
      <c r="K325" s="2126"/>
      <c r="L325" s="2114"/>
      <c r="M325" s="2127">
        <f t="shared" si="30"/>
        <v>0</v>
      </c>
    </row>
    <row r="326" spans="1:38" ht="13.5" customHeight="1">
      <c r="A326" s="662"/>
      <c r="B326" s="2110" t="s">
        <v>358</v>
      </c>
      <c r="C326" s="2104"/>
      <c r="D326" s="2124">
        <f t="shared" si="28"/>
        <v>0</v>
      </c>
      <c r="E326" s="2126">
        <v>0</v>
      </c>
      <c r="F326" s="2114">
        <v>0</v>
      </c>
      <c r="G326" s="2126">
        <v>0</v>
      </c>
      <c r="H326" s="2114">
        <v>0</v>
      </c>
      <c r="I326" s="2125">
        <f t="shared" si="29"/>
        <v>0</v>
      </c>
      <c r="J326" s="2114"/>
      <c r="K326" s="2126"/>
      <c r="L326" s="2114"/>
      <c r="M326" s="2127">
        <f t="shared" si="30"/>
        <v>0</v>
      </c>
    </row>
    <row r="327" spans="1:38">
      <c r="A327" s="662"/>
      <c r="B327" s="2103" t="s">
        <v>359</v>
      </c>
      <c r="C327" s="2104"/>
      <c r="D327" s="2124">
        <f t="shared" si="28"/>
        <v>13375956.956540003</v>
      </c>
      <c r="E327" s="2126">
        <v>0</v>
      </c>
      <c r="F327" s="2114">
        <v>2791036.8917421624</v>
      </c>
      <c r="G327" s="2126">
        <v>7726075.7618678417</v>
      </c>
      <c r="H327" s="2114">
        <v>2858844.3029299993</v>
      </c>
      <c r="I327" s="2125">
        <f>F327+G327+H327</f>
        <v>13375956.956540003</v>
      </c>
      <c r="J327" s="2114"/>
      <c r="K327" s="2126"/>
      <c r="L327" s="2114"/>
      <c r="M327" s="2127">
        <f t="shared" si="30"/>
        <v>0</v>
      </c>
    </row>
    <row r="328" spans="1:38">
      <c r="A328" s="662"/>
      <c r="B328" s="2103" t="s">
        <v>360</v>
      </c>
      <c r="C328" s="2104"/>
      <c r="D328" s="2124">
        <f t="shared" si="28"/>
        <v>0</v>
      </c>
      <c r="E328" s="2126">
        <v>0</v>
      </c>
      <c r="F328" s="2114">
        <v>0</v>
      </c>
      <c r="G328" s="2126">
        <v>0</v>
      </c>
      <c r="H328" s="2114">
        <v>0</v>
      </c>
      <c r="I328" s="2125">
        <f t="shared" si="29"/>
        <v>0</v>
      </c>
      <c r="J328" s="2114"/>
      <c r="K328" s="2126"/>
      <c r="L328" s="2114"/>
      <c r="M328" s="2127">
        <f t="shared" si="30"/>
        <v>0</v>
      </c>
    </row>
    <row r="329" spans="1:38" s="870" customFormat="1">
      <c r="A329" s="662"/>
      <c r="B329" s="2109" t="s">
        <v>361</v>
      </c>
      <c r="C329" s="2108"/>
      <c r="D329" s="2124">
        <f t="shared" si="28"/>
        <v>32345223.663000003</v>
      </c>
      <c r="E329" s="2126">
        <f>SUM(E323:E328)</f>
        <v>0</v>
      </c>
      <c r="F329" s="2114">
        <f>SUM(F323:F328)</f>
        <v>10377826.156092163</v>
      </c>
      <c r="G329" s="2126">
        <f>SUM(G323:G328)</f>
        <v>15545704.203977842</v>
      </c>
      <c r="H329" s="2114">
        <f>SUM(H323:H328)</f>
        <v>6421693.3029299993</v>
      </c>
      <c r="I329" s="2125">
        <f t="shared" si="29"/>
        <v>32345223.663000003</v>
      </c>
      <c r="J329" s="2114">
        <f>SUM(J323:J328)</f>
        <v>0</v>
      </c>
      <c r="K329" s="2126">
        <f>SUM(K323:K328)</f>
        <v>0</v>
      </c>
      <c r="L329" s="2114">
        <f>SUM(L323:L328)</f>
        <v>0</v>
      </c>
      <c r="M329" s="2127">
        <f t="shared" si="30"/>
        <v>0</v>
      </c>
      <c r="N329"/>
      <c r="O329"/>
      <c r="P329"/>
      <c r="Q329"/>
      <c r="R329"/>
      <c r="S329"/>
      <c r="T329"/>
      <c r="U329"/>
      <c r="V329"/>
      <c r="W329"/>
      <c r="X329"/>
      <c r="Y329"/>
      <c r="Z329"/>
      <c r="AA329"/>
      <c r="AB329" s="2976"/>
      <c r="AC329" s="2976"/>
      <c r="AD329" s="2976"/>
      <c r="AE329" s="2976"/>
      <c r="AF329" s="2976"/>
      <c r="AG329" s="2976"/>
      <c r="AH329" s="2976"/>
      <c r="AI329" s="2976"/>
      <c r="AJ329" s="2976"/>
      <c r="AK329" s="2976"/>
      <c r="AL329" s="2976"/>
    </row>
    <row r="330" spans="1:38">
      <c r="A330" s="662"/>
      <c r="B330" s="2103"/>
      <c r="C330" s="2104"/>
      <c r="D330" s="2124">
        <f t="shared" si="28"/>
        <v>0</v>
      </c>
      <c r="E330" s="2126"/>
      <c r="F330" s="2114"/>
      <c r="G330" s="2126"/>
      <c r="H330" s="2114"/>
      <c r="I330" s="2125">
        <f t="shared" si="29"/>
        <v>0</v>
      </c>
      <c r="J330" s="2114"/>
      <c r="K330" s="2126"/>
      <c r="L330" s="2114"/>
      <c r="M330" s="2127">
        <f t="shared" si="30"/>
        <v>0</v>
      </c>
    </row>
    <row r="331" spans="1:38" ht="26.45">
      <c r="A331" s="662"/>
      <c r="B331" s="2110" t="s">
        <v>362</v>
      </c>
      <c r="C331" s="2104"/>
      <c r="D331" s="2124">
        <f t="shared" si="28"/>
        <v>2097314.4008200001</v>
      </c>
      <c r="E331" s="2126">
        <v>0</v>
      </c>
      <c r="F331" s="2114">
        <v>526067.51983999996</v>
      </c>
      <c r="G331" s="2126">
        <v>813686.8809799999</v>
      </c>
      <c r="H331" s="2114">
        <v>757560</v>
      </c>
      <c r="I331" s="2125">
        <f t="shared" si="29"/>
        <v>2097314.4008200001</v>
      </c>
      <c r="J331" s="2114"/>
      <c r="K331" s="2126"/>
      <c r="L331" s="2114"/>
      <c r="M331" s="2127">
        <f t="shared" si="30"/>
        <v>0</v>
      </c>
    </row>
    <row r="332" spans="1:38">
      <c r="A332" s="662"/>
      <c r="B332" s="2103"/>
      <c r="C332" s="2104"/>
      <c r="D332" s="2124">
        <f t="shared" si="28"/>
        <v>0</v>
      </c>
      <c r="E332" s="2126"/>
      <c r="F332" s="2114"/>
      <c r="G332" s="2126"/>
      <c r="H332" s="2114"/>
      <c r="I332" s="2125">
        <f t="shared" si="29"/>
        <v>0</v>
      </c>
      <c r="J332" s="2114"/>
      <c r="K332" s="2126"/>
      <c r="L332" s="2114"/>
      <c r="M332" s="2127">
        <f t="shared" si="30"/>
        <v>0</v>
      </c>
    </row>
    <row r="333" spans="1:38" ht="25.15" customHeight="1">
      <c r="A333" s="662"/>
      <c r="B333" s="2110" t="s">
        <v>363</v>
      </c>
      <c r="C333" s="2104">
        <v>4</v>
      </c>
      <c r="D333" s="2124">
        <f t="shared" si="28"/>
        <v>4300707.0230900003</v>
      </c>
      <c r="E333" s="2126">
        <v>335572.24200000003</v>
      </c>
      <c r="F333" s="2114">
        <v>1370516.1154209999</v>
      </c>
      <c r="G333" s="2126">
        <v>1753624.2132990002</v>
      </c>
      <c r="H333" s="2114">
        <v>833685</v>
      </c>
      <c r="I333" s="2125">
        <f t="shared" si="29"/>
        <v>3957825.3287200001</v>
      </c>
      <c r="J333" s="2114"/>
      <c r="K333" s="2126"/>
      <c r="L333" s="2114">
        <v>7309.45237</v>
      </c>
      <c r="M333" s="2127">
        <f t="shared" si="30"/>
        <v>7309.45237</v>
      </c>
    </row>
    <row r="334" spans="1:38">
      <c r="A334" s="662"/>
      <c r="B334" s="2103" t="s">
        <v>364</v>
      </c>
      <c r="C334" s="2104"/>
      <c r="D334" s="2124">
        <f t="shared" si="28"/>
        <v>0</v>
      </c>
      <c r="E334" s="2126">
        <v>0</v>
      </c>
      <c r="F334" s="2114">
        <v>0</v>
      </c>
      <c r="G334" s="2126">
        <v>0</v>
      </c>
      <c r="H334" s="2114">
        <v>0</v>
      </c>
      <c r="I334" s="2125">
        <f t="shared" si="29"/>
        <v>0</v>
      </c>
      <c r="J334" s="2114"/>
      <c r="K334" s="2126"/>
      <c r="L334" s="2114"/>
      <c r="M334" s="2127">
        <f t="shared" si="30"/>
        <v>0</v>
      </c>
    </row>
    <row r="335" spans="1:38">
      <c r="A335" s="662"/>
      <c r="B335" s="2103" t="s">
        <v>365</v>
      </c>
      <c r="C335" s="2104"/>
      <c r="D335" s="2124">
        <f t="shared" si="28"/>
        <v>104382.32595</v>
      </c>
      <c r="E335" s="2126">
        <v>1303.23828</v>
      </c>
      <c r="F335" s="2114">
        <v>35222.124256839001</v>
      </c>
      <c r="G335" s="2126">
        <v>44911.963413160993</v>
      </c>
      <c r="H335" s="2114">
        <v>22945</v>
      </c>
      <c r="I335" s="2125">
        <f t="shared" si="29"/>
        <v>103079.08766999999</v>
      </c>
      <c r="J335" s="2114"/>
      <c r="K335" s="2126"/>
      <c r="L335" s="2114"/>
      <c r="M335" s="2127">
        <f t="shared" si="30"/>
        <v>0</v>
      </c>
    </row>
    <row r="336" spans="1:38" s="870" customFormat="1">
      <c r="A336" s="662"/>
      <c r="B336" s="2109" t="s">
        <v>366</v>
      </c>
      <c r="C336" s="2108"/>
      <c r="D336" s="2124">
        <f t="shared" si="28"/>
        <v>4405089.3490399998</v>
      </c>
      <c r="E336" s="2126">
        <f>SUM(E333:E335)</f>
        <v>336875.48028000002</v>
      </c>
      <c r="F336" s="2114">
        <f>SUM(F333:F335)</f>
        <v>1405738.239677839</v>
      </c>
      <c r="G336" s="2126">
        <f>SUM(G333:G335)</f>
        <v>1798536.1767121612</v>
      </c>
      <c r="H336" s="2114">
        <f>SUM(H333:H335)</f>
        <v>856630</v>
      </c>
      <c r="I336" s="2125">
        <f t="shared" si="29"/>
        <v>4060904.4163899999</v>
      </c>
      <c r="J336" s="2114">
        <f>SUM(J333:J335)</f>
        <v>0</v>
      </c>
      <c r="K336" s="2126">
        <f>SUM(K333:K335)</f>
        <v>0</v>
      </c>
      <c r="L336" s="2114">
        <f>SUM(L333:L335)</f>
        <v>7309.45237</v>
      </c>
      <c r="M336" s="2127">
        <f t="shared" si="30"/>
        <v>7309.45237</v>
      </c>
      <c r="N336"/>
      <c r="O336"/>
      <c r="P336"/>
      <c r="Q336"/>
      <c r="R336"/>
      <c r="S336"/>
      <c r="T336"/>
      <c r="U336"/>
      <c r="V336"/>
      <c r="W336"/>
      <c r="X336"/>
      <c r="Y336"/>
      <c r="Z336"/>
      <c r="AA336"/>
      <c r="AB336" s="2976"/>
      <c r="AC336" s="2976"/>
      <c r="AD336" s="2976"/>
      <c r="AE336" s="2976"/>
      <c r="AF336" s="2976"/>
      <c r="AG336" s="2976"/>
      <c r="AH336" s="2976"/>
      <c r="AI336" s="2976"/>
      <c r="AJ336" s="2976"/>
      <c r="AK336" s="2976"/>
      <c r="AL336" s="2976"/>
    </row>
    <row r="337" spans="1:38">
      <c r="A337" s="662"/>
      <c r="B337" s="2109"/>
      <c r="C337" s="2108"/>
      <c r="D337" s="2124">
        <f t="shared" si="28"/>
        <v>0</v>
      </c>
      <c r="E337" s="2126"/>
      <c r="F337" s="2114"/>
      <c r="G337" s="2126"/>
      <c r="H337" s="2114"/>
      <c r="I337" s="2125">
        <f t="shared" si="29"/>
        <v>0</v>
      </c>
      <c r="J337" s="2114"/>
      <c r="K337" s="2126"/>
      <c r="L337" s="2114"/>
      <c r="M337" s="2127">
        <f t="shared" si="30"/>
        <v>0</v>
      </c>
    </row>
    <row r="338" spans="1:38" s="870" customFormat="1">
      <c r="A338" s="662"/>
      <c r="B338" s="2109" t="s">
        <v>367</v>
      </c>
      <c r="C338" s="2108"/>
      <c r="D338" s="2124">
        <f>E338+I338+M338</f>
        <v>9911577.9598499984</v>
      </c>
      <c r="E338" s="2126">
        <f>E321-E329-E331-E336</f>
        <v>3872646.4386900002</v>
      </c>
      <c r="F338" s="2114">
        <f>F321-F329-F331-F336</f>
        <v>454013.51733999909</v>
      </c>
      <c r="G338" s="2126">
        <f>G321-G329-G331-G336</f>
        <v>3275452.83598</v>
      </c>
      <c r="H338" s="2114">
        <f>H321-H329-H331-H336</f>
        <v>2309465.1678400002</v>
      </c>
      <c r="I338" s="2125">
        <f t="shared" si="29"/>
        <v>6038931.5211599991</v>
      </c>
      <c r="J338" s="2114">
        <f>J321-J329-J331-J336</f>
        <v>0</v>
      </c>
      <c r="K338" s="2126">
        <f>K321-K329-K331-K336</f>
        <v>0</v>
      </c>
      <c r="L338" s="2114">
        <f>L321-L329-L331-L336</f>
        <v>0</v>
      </c>
      <c r="M338" s="2127">
        <f t="shared" si="30"/>
        <v>0</v>
      </c>
      <c r="N338"/>
      <c r="O338"/>
      <c r="P338"/>
      <c r="Q338"/>
      <c r="R338"/>
      <c r="S338"/>
      <c r="T338"/>
      <c r="U338"/>
      <c r="V338"/>
      <c r="W338"/>
      <c r="X338"/>
      <c r="Y338"/>
      <c r="Z338"/>
      <c r="AA338"/>
      <c r="AB338" s="2976"/>
      <c r="AC338" s="2976"/>
      <c r="AD338" s="2976"/>
      <c r="AE338" s="2976"/>
      <c r="AF338" s="2976"/>
      <c r="AG338" s="2976"/>
      <c r="AH338" s="2976"/>
      <c r="AI338" s="2976"/>
      <c r="AJ338" s="2976"/>
      <c r="AK338" s="2976"/>
      <c r="AL338" s="2976"/>
    </row>
    <row r="339" spans="1:38">
      <c r="A339" s="662"/>
      <c r="B339" s="2103" t="s">
        <v>368</v>
      </c>
      <c r="C339" s="2104"/>
      <c r="D339" s="2124">
        <f t="shared" si="28"/>
        <v>2279802.7288600001</v>
      </c>
      <c r="E339" s="2126">
        <v>1069634.6906999999</v>
      </c>
      <c r="F339" s="2114">
        <v>165250.03434000001</v>
      </c>
      <c r="G339" s="2126">
        <v>675452.83597999997</v>
      </c>
      <c r="H339" s="2114">
        <v>369465.16784000001</v>
      </c>
      <c r="I339" s="2125">
        <f t="shared" si="29"/>
        <v>1210168.03816</v>
      </c>
      <c r="J339" s="2114"/>
      <c r="K339" s="2126"/>
      <c r="L339" s="2114"/>
      <c r="M339" s="2127">
        <f t="shared" si="30"/>
        <v>0</v>
      </c>
    </row>
    <row r="340" spans="1:38">
      <c r="A340" s="662"/>
      <c r="B340" s="2103"/>
      <c r="C340" s="2104"/>
      <c r="D340" s="2124">
        <f t="shared" si="28"/>
        <v>0</v>
      </c>
      <c r="E340" s="2126"/>
      <c r="F340" s="2114"/>
      <c r="G340" s="2126"/>
      <c r="H340" s="2114"/>
      <c r="I340" s="2125">
        <f t="shared" si="29"/>
        <v>0</v>
      </c>
      <c r="J340" s="2114"/>
      <c r="K340" s="2126"/>
      <c r="L340" s="2114"/>
      <c r="M340" s="2127">
        <f t="shared" si="30"/>
        <v>0</v>
      </c>
    </row>
    <row r="341" spans="1:38" s="870" customFormat="1" ht="15" thickBot="1">
      <c r="A341" s="662"/>
      <c r="B341" s="1338" t="s">
        <v>369</v>
      </c>
      <c r="C341" s="1339"/>
      <c r="D341" s="1350">
        <f t="shared" si="28"/>
        <v>7631775.2309899991</v>
      </c>
      <c r="E341" s="1372">
        <f>E338-E339</f>
        <v>2803011.7479900001</v>
      </c>
      <c r="F341" s="1350">
        <f>F338-F339</f>
        <v>288763.48299999908</v>
      </c>
      <c r="G341" s="1372">
        <f>G338-G339</f>
        <v>2600000</v>
      </c>
      <c r="H341" s="1350">
        <f>H338-H339</f>
        <v>1940000.0000000002</v>
      </c>
      <c r="I341" s="1372">
        <f t="shared" si="29"/>
        <v>4828763.4829999991</v>
      </c>
      <c r="J341" s="1350">
        <f>J338-J339</f>
        <v>0</v>
      </c>
      <c r="K341" s="1372">
        <f>K338-K339</f>
        <v>0</v>
      </c>
      <c r="L341" s="1350">
        <f>L338-L339</f>
        <v>0</v>
      </c>
      <c r="M341" s="1373">
        <f t="shared" si="30"/>
        <v>0</v>
      </c>
      <c r="N341"/>
      <c r="O341"/>
      <c r="P341"/>
      <c r="Q341"/>
      <c r="R341"/>
      <c r="S341"/>
      <c r="T341"/>
      <c r="U341"/>
      <c r="V341"/>
      <c r="W341"/>
      <c r="X341"/>
      <c r="Y341"/>
      <c r="Z341"/>
      <c r="AA341"/>
      <c r="AB341" s="2976"/>
      <c r="AC341" s="2976"/>
      <c r="AD341" s="2976"/>
      <c r="AE341" s="2976"/>
      <c r="AF341" s="2976"/>
      <c r="AG341" s="2976"/>
      <c r="AH341" s="2976"/>
      <c r="AI341" s="2976"/>
      <c r="AJ341" s="2976"/>
      <c r="AK341" s="2976"/>
      <c r="AL341" s="2976"/>
    </row>
    <row r="342" spans="1:38">
      <c r="A342" s="662"/>
      <c r="B342" s="662"/>
      <c r="C342" s="662"/>
      <c r="D342" s="662"/>
      <c r="E342" s="662"/>
      <c r="F342" s="662"/>
      <c r="G342" s="662"/>
      <c r="H342" s="662"/>
      <c r="I342" s="662"/>
      <c r="J342" s="662"/>
      <c r="K342" s="662"/>
      <c r="L342" s="662"/>
      <c r="M342" s="662"/>
    </row>
    <row r="343" spans="1:38">
      <c r="A343" s="662"/>
      <c r="B343" s="662"/>
      <c r="C343" s="662"/>
      <c r="D343" s="662"/>
      <c r="E343" s="662"/>
      <c r="F343" s="662"/>
      <c r="G343" s="662"/>
      <c r="H343" s="662"/>
      <c r="I343" s="662"/>
      <c r="J343" s="662"/>
      <c r="K343" s="662"/>
      <c r="L343" s="662"/>
      <c r="M343" s="662"/>
    </row>
    <row r="346" spans="1:38" ht="15" thickBot="1"/>
    <row r="347" spans="1:38" ht="17.25" customHeight="1" thickBot="1">
      <c r="A347" s="1343" t="s">
        <v>186</v>
      </c>
      <c r="B347" s="1344" t="s">
        <v>239</v>
      </c>
      <c r="D347" s="662"/>
      <c r="E347" s="662"/>
      <c r="F347" s="662"/>
      <c r="G347" s="662"/>
      <c r="H347" s="662"/>
      <c r="I347" s="662"/>
      <c r="J347" s="662"/>
      <c r="K347" s="662"/>
      <c r="L347" s="3292"/>
      <c r="M347" s="3292" t="s">
        <v>257</v>
      </c>
    </row>
    <row r="348" spans="1:38" ht="17.25" customHeight="1" thickBot="1">
      <c r="A348" s="662"/>
      <c r="B348" s="3331" t="s">
        <v>239</v>
      </c>
      <c r="C348" s="3280" t="s">
        <v>334</v>
      </c>
      <c r="D348" s="3283" t="s">
        <v>260</v>
      </c>
      <c r="E348" s="3283" t="s">
        <v>335</v>
      </c>
      <c r="F348" s="3335" t="s">
        <v>263</v>
      </c>
      <c r="G348" s="3335"/>
      <c r="H348" s="3335"/>
      <c r="I348" s="3335"/>
      <c r="J348" s="3335"/>
      <c r="K348" s="3335"/>
      <c r="L348" s="3335"/>
      <c r="M348" s="3335"/>
    </row>
    <row r="349" spans="1:38" ht="17.25" customHeight="1" thickBot="1">
      <c r="A349" s="662"/>
      <c r="B349" s="3327"/>
      <c r="C349" s="3281"/>
      <c r="D349" s="3284"/>
      <c r="E349" s="3284"/>
      <c r="F349" s="3332" t="s">
        <v>264</v>
      </c>
      <c r="G349" s="3333"/>
      <c r="H349" s="3333"/>
      <c r="I349" s="3334"/>
      <c r="J349" s="3335" t="s">
        <v>336</v>
      </c>
      <c r="K349" s="3335"/>
      <c r="L349" s="3335"/>
      <c r="M349" s="3335"/>
    </row>
    <row r="350" spans="1:38" ht="70.150000000000006" customHeight="1" thickBot="1">
      <c r="A350" s="662"/>
      <c r="B350" s="3327"/>
      <c r="C350" s="3281"/>
      <c r="D350" s="3285"/>
      <c r="E350" s="3285"/>
      <c r="F350" s="2963" t="s">
        <v>267</v>
      </c>
      <c r="G350" s="2963" t="s">
        <v>268</v>
      </c>
      <c r="H350" s="2963" t="s">
        <v>269</v>
      </c>
      <c r="I350" s="2963" t="s">
        <v>160</v>
      </c>
      <c r="J350" s="2964" t="s">
        <v>337</v>
      </c>
      <c r="K350" s="2964" t="s">
        <v>271</v>
      </c>
      <c r="L350" s="2964" t="s">
        <v>338</v>
      </c>
      <c r="M350" s="2964" t="s">
        <v>160</v>
      </c>
    </row>
    <row r="351" spans="1:38" ht="17.25" customHeight="1" thickBot="1">
      <c r="A351" s="662"/>
      <c r="B351" s="3327"/>
      <c r="C351" s="3281"/>
      <c r="D351" s="2972">
        <v>1</v>
      </c>
      <c r="E351" s="3283">
        <v>2</v>
      </c>
      <c r="F351" s="3283">
        <v>3</v>
      </c>
      <c r="G351" s="3283">
        <v>4</v>
      </c>
      <c r="H351" s="3283"/>
      <c r="I351" s="2972">
        <v>6</v>
      </c>
      <c r="J351" s="3283">
        <v>7</v>
      </c>
      <c r="K351" s="3283">
        <v>8</v>
      </c>
      <c r="L351" s="3283">
        <v>9</v>
      </c>
      <c r="M351" s="2972">
        <v>10</v>
      </c>
    </row>
    <row r="352" spans="1:38" ht="15" thickBot="1">
      <c r="A352" s="662"/>
      <c r="B352" s="3328"/>
      <c r="C352" s="3282"/>
      <c r="D352" s="1327" t="s">
        <v>339</v>
      </c>
      <c r="E352" s="3285"/>
      <c r="F352" s="3285"/>
      <c r="G352" s="3285"/>
      <c r="H352" s="3285">
        <v>5</v>
      </c>
      <c r="I352" s="1327" t="s">
        <v>340</v>
      </c>
      <c r="J352" s="3285"/>
      <c r="K352" s="3285"/>
      <c r="L352" s="3285"/>
      <c r="M352" s="1327" t="s">
        <v>341</v>
      </c>
    </row>
    <row r="353" spans="1:38">
      <c r="A353" s="662"/>
      <c r="B353" s="1328" t="s">
        <v>342</v>
      </c>
      <c r="C353" s="907"/>
      <c r="D353" s="1329">
        <f t="shared" ref="D353:D392" si="31">E353+I353+M353</f>
        <v>1114508</v>
      </c>
      <c r="E353" s="904">
        <v>0</v>
      </c>
      <c r="F353" s="886">
        <v>240048</v>
      </c>
      <c r="G353" s="904">
        <v>874460</v>
      </c>
      <c r="H353" s="886">
        <v>0</v>
      </c>
      <c r="I353" s="1368">
        <f t="shared" ref="I353:I392" si="32">F353+G353+H353</f>
        <v>1114508</v>
      </c>
      <c r="J353" s="886"/>
      <c r="K353" s="904"/>
      <c r="L353" s="886"/>
      <c r="M353" s="1369">
        <f t="shared" ref="M353:M366" si="33">L353+K353+J353</f>
        <v>0</v>
      </c>
    </row>
    <row r="354" spans="1:38">
      <c r="A354" s="662"/>
      <c r="B354" s="2103"/>
      <c r="C354" s="2141"/>
      <c r="D354" s="2124">
        <f t="shared" si="31"/>
        <v>0</v>
      </c>
      <c r="E354" s="1926"/>
      <c r="F354" s="2114"/>
      <c r="G354" s="1926"/>
      <c r="H354" s="2114"/>
      <c r="I354" s="2142">
        <f t="shared" si="32"/>
        <v>0</v>
      </c>
      <c r="J354" s="2114"/>
      <c r="K354" s="1926"/>
      <c r="L354" s="2114"/>
      <c r="M354" s="2143">
        <f t="shared" si="33"/>
        <v>0</v>
      </c>
    </row>
    <row r="355" spans="1:38">
      <c r="A355" s="662"/>
      <c r="B355" s="2105" t="s">
        <v>343</v>
      </c>
      <c r="C355" s="2141"/>
      <c r="D355" s="2124">
        <f t="shared" si="31"/>
        <v>44744</v>
      </c>
      <c r="E355" s="1926">
        <v>0</v>
      </c>
      <c r="F355" s="2114">
        <v>1817</v>
      </c>
      <c r="G355" s="1926">
        <v>42927</v>
      </c>
      <c r="H355" s="2114"/>
      <c r="I355" s="2142">
        <f t="shared" si="32"/>
        <v>44744</v>
      </c>
      <c r="J355" s="2114"/>
      <c r="K355" s="1926"/>
      <c r="L355" s="2114"/>
      <c r="M355" s="2143">
        <f t="shared" si="33"/>
        <v>0</v>
      </c>
    </row>
    <row r="356" spans="1:38">
      <c r="A356" s="662"/>
      <c r="B356" s="2105"/>
      <c r="C356" s="2141"/>
      <c r="D356" s="2124">
        <f t="shared" si="31"/>
        <v>0</v>
      </c>
      <c r="E356" s="1926"/>
      <c r="F356" s="2114"/>
      <c r="G356" s="1926"/>
      <c r="H356" s="2114"/>
      <c r="I356" s="2142">
        <f t="shared" si="32"/>
        <v>0</v>
      </c>
      <c r="J356" s="2114"/>
      <c r="K356" s="1926"/>
      <c r="L356" s="2114"/>
      <c r="M356" s="2143">
        <f t="shared" si="33"/>
        <v>0</v>
      </c>
    </row>
    <row r="357" spans="1:38" ht="14.25" customHeight="1">
      <c r="A357" s="662"/>
      <c r="B357" s="2106" t="s">
        <v>344</v>
      </c>
      <c r="C357" s="2141"/>
      <c r="D357" s="2124">
        <f t="shared" si="31"/>
        <v>0</v>
      </c>
      <c r="E357" s="1926">
        <v>0</v>
      </c>
      <c r="F357" s="2114"/>
      <c r="G357" s="1926"/>
      <c r="H357" s="2114"/>
      <c r="I357" s="2142">
        <f t="shared" si="32"/>
        <v>0</v>
      </c>
      <c r="J357" s="2114"/>
      <c r="K357" s="1926"/>
      <c r="L357" s="2114"/>
      <c r="M357" s="2143">
        <f t="shared" si="33"/>
        <v>0</v>
      </c>
    </row>
    <row r="358" spans="1:38">
      <c r="A358" s="662"/>
      <c r="B358" s="2103"/>
      <c r="C358" s="2141"/>
      <c r="D358" s="2124">
        <f t="shared" si="31"/>
        <v>0</v>
      </c>
      <c r="E358" s="1926"/>
      <c r="F358" s="2114"/>
      <c r="G358" s="1926"/>
      <c r="H358" s="2114"/>
      <c r="I358" s="2142">
        <f t="shared" si="32"/>
        <v>0</v>
      </c>
      <c r="J358" s="2114"/>
      <c r="K358" s="1926"/>
      <c r="L358" s="2114"/>
      <c r="M358" s="2143">
        <f t="shared" si="33"/>
        <v>0</v>
      </c>
    </row>
    <row r="359" spans="1:38" s="870" customFormat="1">
      <c r="A359" s="662"/>
      <c r="B359" s="2107" t="s">
        <v>345</v>
      </c>
      <c r="C359" s="2144"/>
      <c r="D359" s="2124">
        <f t="shared" si="31"/>
        <v>1069764</v>
      </c>
      <c r="E359" s="1926">
        <f>E353-E355+E357</f>
        <v>0</v>
      </c>
      <c r="F359" s="2114">
        <f>F353-F355+F357</f>
        <v>238231</v>
      </c>
      <c r="G359" s="1926">
        <f>G353-G355+G357</f>
        <v>831533</v>
      </c>
      <c r="H359" s="2114">
        <f>H353-H355+H357</f>
        <v>0</v>
      </c>
      <c r="I359" s="2142">
        <f t="shared" si="32"/>
        <v>1069764</v>
      </c>
      <c r="J359" s="2114">
        <f>J353-J355+J357</f>
        <v>0</v>
      </c>
      <c r="K359" s="1926">
        <f>K353-K355+K357</f>
        <v>0</v>
      </c>
      <c r="L359" s="2114">
        <f>L353-L355+L357</f>
        <v>0</v>
      </c>
      <c r="M359" s="2143">
        <f t="shared" si="33"/>
        <v>0</v>
      </c>
      <c r="N359"/>
      <c r="O359"/>
      <c r="P359"/>
      <c r="Q359"/>
      <c r="R359"/>
      <c r="S359"/>
      <c r="T359"/>
      <c r="U359"/>
      <c r="V359"/>
      <c r="W359"/>
      <c r="X359"/>
      <c r="Y359"/>
      <c r="Z359"/>
      <c r="AA359"/>
      <c r="AB359" s="2976"/>
      <c r="AC359" s="2976"/>
      <c r="AD359" s="2976"/>
      <c r="AE359" s="2976"/>
      <c r="AF359" s="2976"/>
      <c r="AG359" s="2976"/>
      <c r="AH359" s="2976"/>
      <c r="AI359" s="2976"/>
      <c r="AJ359" s="2976"/>
      <c r="AK359" s="2976"/>
      <c r="AL359" s="2976"/>
    </row>
    <row r="360" spans="1:38">
      <c r="A360" s="662"/>
      <c r="B360" s="2107"/>
      <c r="C360" s="2144"/>
      <c r="D360" s="2124">
        <f t="shared" si="31"/>
        <v>0</v>
      </c>
      <c r="E360" s="1926"/>
      <c r="F360" s="2114"/>
      <c r="G360" s="1926"/>
      <c r="H360" s="2114"/>
      <c r="I360" s="2142">
        <f t="shared" si="32"/>
        <v>0</v>
      </c>
      <c r="J360" s="2114"/>
      <c r="K360" s="1926"/>
      <c r="L360" s="2114"/>
      <c r="M360" s="2143">
        <f t="shared" si="33"/>
        <v>0</v>
      </c>
    </row>
    <row r="361" spans="1:38" s="870" customFormat="1">
      <c r="A361" s="662"/>
      <c r="B361" s="2107" t="s">
        <v>346</v>
      </c>
      <c r="C361" s="2144"/>
      <c r="D361" s="2124">
        <f>E361+I361+M361</f>
        <v>420104</v>
      </c>
      <c r="E361" s="1926">
        <f>SUM(E362:E366)</f>
        <v>106473</v>
      </c>
      <c r="F361" s="2114">
        <f>SUM(F362:F366)</f>
        <v>208590</v>
      </c>
      <c r="G361" s="1926">
        <f>SUM(G362:G366)</f>
        <v>105041</v>
      </c>
      <c r="H361" s="2114">
        <f>SUM(H362:H366)</f>
        <v>0</v>
      </c>
      <c r="I361" s="2142">
        <f t="shared" si="32"/>
        <v>313631</v>
      </c>
      <c r="J361" s="2114">
        <f>SUM(J362:J366)</f>
        <v>0</v>
      </c>
      <c r="K361" s="1926">
        <f>SUM(K362:K366)</f>
        <v>0</v>
      </c>
      <c r="L361" s="2114">
        <f>SUM(L362:L366)</f>
        <v>0</v>
      </c>
      <c r="M361" s="2143">
        <f t="shared" si="33"/>
        <v>0</v>
      </c>
      <c r="N361"/>
      <c r="O361"/>
      <c r="P361"/>
      <c r="Q361"/>
      <c r="R361"/>
      <c r="S361"/>
      <c r="T361"/>
      <c r="U361"/>
      <c r="V361"/>
      <c r="W361"/>
      <c r="X361"/>
      <c r="Y361"/>
      <c r="Z361"/>
      <c r="AA361"/>
      <c r="AB361" s="2976"/>
      <c r="AC361" s="2976"/>
      <c r="AD361" s="2976"/>
      <c r="AE361" s="2976"/>
      <c r="AF361" s="2976"/>
      <c r="AG361" s="2976"/>
      <c r="AH361" s="2976"/>
      <c r="AI361" s="2976"/>
      <c r="AJ361" s="2976"/>
      <c r="AK361" s="2976"/>
      <c r="AL361" s="2976"/>
    </row>
    <row r="362" spans="1:38">
      <c r="A362" s="662"/>
      <c r="B362" s="2103" t="s">
        <v>347</v>
      </c>
      <c r="C362" s="2141">
        <v>1</v>
      </c>
      <c r="D362" s="2124">
        <f t="shared" si="31"/>
        <v>414857</v>
      </c>
      <c r="E362" s="1926">
        <v>101140</v>
      </c>
      <c r="F362" s="2114">
        <v>208772</v>
      </c>
      <c r="G362" s="1926">
        <v>104945</v>
      </c>
      <c r="H362" s="2114"/>
      <c r="I362" s="2142">
        <f t="shared" si="32"/>
        <v>313717</v>
      </c>
      <c r="J362" s="2114"/>
      <c r="K362" s="1926"/>
      <c r="L362" s="2114"/>
      <c r="M362" s="2143">
        <f t="shared" si="33"/>
        <v>0</v>
      </c>
    </row>
    <row r="363" spans="1:38">
      <c r="A363" s="662"/>
      <c r="B363" s="2103" t="s">
        <v>348</v>
      </c>
      <c r="C363" s="2141">
        <v>2</v>
      </c>
      <c r="D363" s="2124">
        <f t="shared" si="31"/>
        <v>0</v>
      </c>
      <c r="E363" s="1926"/>
      <c r="F363" s="2114"/>
      <c r="G363" s="1926"/>
      <c r="H363" s="2114"/>
      <c r="I363" s="2142">
        <f t="shared" si="32"/>
        <v>0</v>
      </c>
      <c r="J363" s="2114"/>
      <c r="K363" s="1926"/>
      <c r="L363" s="2114"/>
      <c r="M363" s="2143">
        <f t="shared" si="33"/>
        <v>0</v>
      </c>
    </row>
    <row r="364" spans="1:38">
      <c r="A364" s="662"/>
      <c r="B364" s="2103" t="s">
        <v>349</v>
      </c>
      <c r="C364" s="2141"/>
      <c r="D364" s="2124">
        <f t="shared" si="31"/>
        <v>0</v>
      </c>
      <c r="E364" s="1926"/>
      <c r="F364" s="2114"/>
      <c r="G364" s="1926"/>
      <c r="H364" s="2114"/>
      <c r="I364" s="2142">
        <f t="shared" si="32"/>
        <v>0</v>
      </c>
      <c r="J364" s="2114"/>
      <c r="K364" s="1926"/>
      <c r="L364" s="2114"/>
      <c r="M364" s="2143">
        <f t="shared" si="33"/>
        <v>0</v>
      </c>
    </row>
    <row r="365" spans="1:38">
      <c r="A365" s="662"/>
      <c r="B365" s="2103" t="s">
        <v>350</v>
      </c>
      <c r="C365" s="2141"/>
      <c r="D365" s="2124">
        <f t="shared" si="31"/>
        <v>-812</v>
      </c>
      <c r="E365" s="1926">
        <v>0</v>
      </c>
      <c r="F365" s="2114">
        <v>-812</v>
      </c>
      <c r="G365" s="1926">
        <v>0</v>
      </c>
      <c r="H365" s="2114"/>
      <c r="I365" s="2142">
        <f t="shared" si="32"/>
        <v>-812</v>
      </c>
      <c r="J365" s="2114"/>
      <c r="K365" s="1926"/>
      <c r="L365" s="2114"/>
      <c r="M365" s="2143">
        <f t="shared" si="33"/>
        <v>0</v>
      </c>
    </row>
    <row r="366" spans="1:38">
      <c r="A366" s="662"/>
      <c r="B366" s="2103" t="s">
        <v>351</v>
      </c>
      <c r="C366" s="2141">
        <v>3</v>
      </c>
      <c r="D366" s="2124">
        <f>E366+I366+M366</f>
        <v>6059</v>
      </c>
      <c r="E366" s="1926">
        <f>SUM(E367:E370)</f>
        <v>5333</v>
      </c>
      <c r="F366" s="2114">
        <f>SUM(F367:F370)</f>
        <v>630</v>
      </c>
      <c r="G366" s="1926">
        <f>SUM(G367:G370)</f>
        <v>96</v>
      </c>
      <c r="H366" s="2114">
        <f>SUM(H367:H370)</f>
        <v>0</v>
      </c>
      <c r="I366" s="2142">
        <f t="shared" si="32"/>
        <v>726</v>
      </c>
      <c r="J366" s="2114"/>
      <c r="K366" s="1926"/>
      <c r="L366" s="2114"/>
      <c r="M366" s="2143">
        <f t="shared" si="33"/>
        <v>0</v>
      </c>
    </row>
    <row r="367" spans="1:38">
      <c r="A367" s="662"/>
      <c r="B367" s="2145" t="s">
        <v>377</v>
      </c>
      <c r="C367" s="2141"/>
      <c r="D367" s="2124">
        <f t="shared" si="31"/>
        <v>5931</v>
      </c>
      <c r="E367" s="1926">
        <v>5333</v>
      </c>
      <c r="F367" s="2114">
        <v>598</v>
      </c>
      <c r="G367" s="1926">
        <v>0</v>
      </c>
      <c r="H367" s="2114"/>
      <c r="I367" s="2142">
        <f t="shared" si="32"/>
        <v>598</v>
      </c>
      <c r="J367" s="2114"/>
      <c r="K367" s="1926"/>
      <c r="L367" s="2114"/>
      <c r="M367" s="2143"/>
    </row>
    <row r="368" spans="1:38">
      <c r="A368" s="662"/>
      <c r="B368" s="2145" t="s">
        <v>378</v>
      </c>
      <c r="C368" s="2141"/>
      <c r="D368" s="2124">
        <f t="shared" si="31"/>
        <v>128</v>
      </c>
      <c r="E368" s="1926">
        <v>0</v>
      </c>
      <c r="F368" s="2114">
        <v>32</v>
      </c>
      <c r="G368" s="1926">
        <v>96</v>
      </c>
      <c r="H368" s="2114"/>
      <c r="I368" s="2142">
        <f>F368+G368+H368</f>
        <v>128</v>
      </c>
      <c r="J368" s="2114"/>
      <c r="K368" s="1926"/>
      <c r="L368" s="2114"/>
      <c r="M368" s="2143"/>
    </row>
    <row r="369" spans="1:38">
      <c r="A369" s="662"/>
      <c r="B369" s="2145" t="s">
        <v>379</v>
      </c>
      <c r="C369" s="2141"/>
      <c r="D369" s="2124">
        <f t="shared" si="31"/>
        <v>0</v>
      </c>
      <c r="E369" s="1926"/>
      <c r="F369" s="2114"/>
      <c r="G369" s="1926"/>
      <c r="H369" s="2114"/>
      <c r="I369" s="2142">
        <f t="shared" si="32"/>
        <v>0</v>
      </c>
      <c r="J369" s="2114"/>
      <c r="K369" s="1926"/>
      <c r="L369" s="2114"/>
      <c r="M369" s="2143">
        <f>L369+K369+J369</f>
        <v>0</v>
      </c>
    </row>
    <row r="370" spans="1:38">
      <c r="A370" s="662"/>
      <c r="B370" s="2103" t="s">
        <v>353</v>
      </c>
      <c r="C370" s="2141"/>
      <c r="D370" s="2124">
        <f t="shared" si="31"/>
        <v>0</v>
      </c>
      <c r="E370" s="1926"/>
      <c r="F370" s="2114"/>
      <c r="G370" s="1926"/>
      <c r="H370" s="2114"/>
      <c r="I370" s="2142">
        <f t="shared" si="32"/>
        <v>0</v>
      </c>
      <c r="J370" s="2114"/>
      <c r="K370" s="1926"/>
      <c r="L370" s="2114"/>
      <c r="M370" s="2143">
        <f>L370+K370+J370</f>
        <v>0</v>
      </c>
    </row>
    <row r="371" spans="1:38">
      <c r="A371" s="662"/>
      <c r="B371" s="2103"/>
      <c r="C371" s="2141"/>
      <c r="D371" s="2124">
        <f t="shared" si="31"/>
        <v>0</v>
      </c>
      <c r="E371" s="1926"/>
      <c r="F371" s="2114"/>
      <c r="G371" s="1926"/>
      <c r="H371" s="2114"/>
      <c r="I371" s="2142">
        <f t="shared" si="32"/>
        <v>0</v>
      </c>
      <c r="J371" s="2114"/>
      <c r="K371" s="1926"/>
      <c r="L371" s="2114"/>
      <c r="M371" s="2143">
        <f>L371+K371+J371</f>
        <v>0</v>
      </c>
    </row>
    <row r="372" spans="1:38" s="870" customFormat="1">
      <c r="A372" s="662"/>
      <c r="B372" s="2109" t="s">
        <v>354</v>
      </c>
      <c r="C372" s="2144"/>
      <c r="D372" s="2124">
        <f t="shared" si="31"/>
        <v>1489868</v>
      </c>
      <c r="E372" s="1926">
        <f>E359+E361</f>
        <v>106473</v>
      </c>
      <c r="F372" s="2114">
        <f>F359+F361</f>
        <v>446821</v>
      </c>
      <c r="G372" s="1926">
        <f>G359+G361</f>
        <v>936574</v>
      </c>
      <c r="H372" s="2114">
        <f>H359+H361</f>
        <v>0</v>
      </c>
      <c r="I372" s="2142">
        <f t="shared" si="32"/>
        <v>1383395</v>
      </c>
      <c r="J372" s="2114">
        <f>J359+J361</f>
        <v>0</v>
      </c>
      <c r="K372" s="1926">
        <f>K359+K361</f>
        <v>0</v>
      </c>
      <c r="L372" s="2114">
        <f>L359+L361</f>
        <v>0</v>
      </c>
      <c r="M372" s="2143">
        <f>L372+K372+J372</f>
        <v>0</v>
      </c>
      <c r="N372"/>
      <c r="O372"/>
      <c r="P372"/>
      <c r="Q372"/>
      <c r="R372"/>
      <c r="S372"/>
      <c r="T372"/>
      <c r="U372"/>
      <c r="V372"/>
      <c r="W372"/>
      <c r="X372"/>
      <c r="Y372"/>
      <c r="Z372"/>
      <c r="AA372"/>
      <c r="AB372" s="2976"/>
      <c r="AC372" s="2976"/>
      <c r="AD372" s="2976"/>
      <c r="AE372" s="2976"/>
      <c r="AF372" s="2976"/>
      <c r="AG372" s="2976"/>
      <c r="AH372" s="2976"/>
      <c r="AI372" s="2976"/>
      <c r="AJ372" s="2976"/>
      <c r="AK372" s="2976"/>
      <c r="AL372" s="2976"/>
    </row>
    <row r="373" spans="1:38">
      <c r="A373" s="662"/>
      <c r="B373" s="2109"/>
      <c r="C373" s="2144"/>
      <c r="D373" s="2124">
        <f t="shared" si="31"/>
        <v>0</v>
      </c>
      <c r="E373" s="1926"/>
      <c r="F373" s="2114"/>
      <c r="G373" s="1926"/>
      <c r="H373" s="2114"/>
      <c r="I373" s="2142">
        <f t="shared" si="32"/>
        <v>0</v>
      </c>
      <c r="J373" s="2114"/>
      <c r="K373" s="1926"/>
      <c r="L373" s="2114"/>
      <c r="M373" s="2143"/>
    </row>
    <row r="374" spans="1:38">
      <c r="A374" s="662"/>
      <c r="B374" s="2103" t="s">
        <v>355</v>
      </c>
      <c r="C374" s="2141"/>
      <c r="D374" s="2124">
        <f t="shared" si="31"/>
        <v>386947</v>
      </c>
      <c r="E374" s="1926">
        <v>0</v>
      </c>
      <c r="F374" s="2114">
        <v>122450</v>
      </c>
      <c r="G374" s="1926">
        <v>264497</v>
      </c>
      <c r="H374" s="2114">
        <v>0</v>
      </c>
      <c r="I374" s="2142">
        <f t="shared" si="32"/>
        <v>386947</v>
      </c>
      <c r="J374" s="2114"/>
      <c r="K374" s="1926"/>
      <c r="L374" s="2114"/>
      <c r="M374" s="2143">
        <f t="shared" ref="M374:M392" si="34">L374+K374+J374</f>
        <v>0</v>
      </c>
    </row>
    <row r="375" spans="1:38">
      <c r="A375" s="662"/>
      <c r="B375" s="2103" t="s">
        <v>356</v>
      </c>
      <c r="C375" s="2141"/>
      <c r="D375" s="2124">
        <f t="shared" si="31"/>
        <v>-26666</v>
      </c>
      <c r="E375" s="1926">
        <v>0</v>
      </c>
      <c r="F375" s="2114">
        <v>-2613</v>
      </c>
      <c r="G375" s="1926">
        <v>-24053</v>
      </c>
      <c r="H375" s="2114">
        <v>0</v>
      </c>
      <c r="I375" s="2142">
        <f t="shared" si="32"/>
        <v>-26666</v>
      </c>
      <c r="J375" s="2114"/>
      <c r="K375" s="1926"/>
      <c r="L375" s="2114"/>
      <c r="M375" s="2143">
        <f t="shared" si="34"/>
        <v>0</v>
      </c>
    </row>
    <row r="376" spans="1:38">
      <c r="A376" s="662"/>
      <c r="B376" s="2103" t="s">
        <v>357</v>
      </c>
      <c r="C376" s="2141"/>
      <c r="D376" s="2124">
        <f t="shared" si="31"/>
        <v>0</v>
      </c>
      <c r="E376" s="1926">
        <v>0</v>
      </c>
      <c r="F376" s="2114">
        <v>0</v>
      </c>
      <c r="G376" s="1926">
        <v>0</v>
      </c>
      <c r="H376" s="2114">
        <v>0</v>
      </c>
      <c r="I376" s="2142">
        <f t="shared" si="32"/>
        <v>0</v>
      </c>
      <c r="J376" s="2114"/>
      <c r="K376" s="1926"/>
      <c r="L376" s="2114"/>
      <c r="M376" s="2143">
        <f t="shared" si="34"/>
        <v>0</v>
      </c>
    </row>
    <row r="377" spans="1:38" ht="13.5" customHeight="1">
      <c r="A377" s="662"/>
      <c r="B377" s="2110" t="s">
        <v>358</v>
      </c>
      <c r="C377" s="2141"/>
      <c r="D377" s="2124">
        <f t="shared" si="31"/>
        <v>0</v>
      </c>
      <c r="E377" s="1926">
        <v>0</v>
      </c>
      <c r="F377" s="2114">
        <v>0</v>
      </c>
      <c r="G377" s="1926">
        <v>0</v>
      </c>
      <c r="H377" s="2114">
        <v>0</v>
      </c>
      <c r="I377" s="2142">
        <f t="shared" si="32"/>
        <v>0</v>
      </c>
      <c r="J377" s="2114"/>
      <c r="K377" s="1926"/>
      <c r="L377" s="2114"/>
      <c r="M377" s="2143">
        <f t="shared" si="34"/>
        <v>0</v>
      </c>
    </row>
    <row r="378" spans="1:38">
      <c r="A378" s="662"/>
      <c r="B378" s="2103" t="s">
        <v>359</v>
      </c>
      <c r="C378" s="2141"/>
      <c r="D378" s="2124">
        <f t="shared" si="31"/>
        <v>542302</v>
      </c>
      <c r="E378" s="1926">
        <v>0</v>
      </c>
      <c r="F378" s="2114">
        <v>220770</v>
      </c>
      <c r="G378" s="1926">
        <v>321532</v>
      </c>
      <c r="H378" s="2114">
        <v>0</v>
      </c>
      <c r="I378" s="2142">
        <f t="shared" si="32"/>
        <v>542302</v>
      </c>
      <c r="J378" s="2114"/>
      <c r="K378" s="1926"/>
      <c r="L378" s="2114"/>
      <c r="M378" s="2143">
        <f t="shared" si="34"/>
        <v>0</v>
      </c>
    </row>
    <row r="379" spans="1:38">
      <c r="A379" s="662"/>
      <c r="B379" s="2103" t="s">
        <v>360</v>
      </c>
      <c r="C379" s="2141"/>
      <c r="D379" s="2124">
        <f t="shared" si="31"/>
        <v>0</v>
      </c>
      <c r="E379" s="1926"/>
      <c r="F379" s="2114"/>
      <c r="G379" s="1926"/>
      <c r="H379" s="2114"/>
      <c r="I379" s="2142">
        <f t="shared" si="32"/>
        <v>0</v>
      </c>
      <c r="J379" s="2114"/>
      <c r="K379" s="1926"/>
      <c r="L379" s="2114"/>
      <c r="M379" s="2143">
        <f t="shared" si="34"/>
        <v>0</v>
      </c>
    </row>
    <row r="380" spans="1:38" s="870" customFormat="1">
      <c r="A380" s="662"/>
      <c r="B380" s="2109" t="s">
        <v>361</v>
      </c>
      <c r="C380" s="2144"/>
      <c r="D380" s="2124">
        <f t="shared" si="31"/>
        <v>902583</v>
      </c>
      <c r="E380" s="1926">
        <f>SUM(E374:E379)</f>
        <v>0</v>
      </c>
      <c r="F380" s="2114">
        <f>SUM(F374:F379)</f>
        <v>340607</v>
      </c>
      <c r="G380" s="1926">
        <f>SUM(G374:G379)</f>
        <v>561976</v>
      </c>
      <c r="H380" s="2114">
        <f>SUM(H374:H379)</f>
        <v>0</v>
      </c>
      <c r="I380" s="2142">
        <f t="shared" si="32"/>
        <v>902583</v>
      </c>
      <c r="J380" s="2114">
        <f>SUM(J374:J379)</f>
        <v>0</v>
      </c>
      <c r="K380" s="1926">
        <f>SUM(K374:K379)</f>
        <v>0</v>
      </c>
      <c r="L380" s="2114">
        <f>SUM(L374:L379)</f>
        <v>0</v>
      </c>
      <c r="M380" s="2143">
        <f t="shared" si="34"/>
        <v>0</v>
      </c>
      <c r="N380"/>
      <c r="O380"/>
      <c r="P380"/>
      <c r="Q380"/>
      <c r="R380"/>
      <c r="S380"/>
      <c r="T380"/>
      <c r="U380"/>
      <c r="V380"/>
      <c r="W380"/>
      <c r="X380"/>
      <c r="Y380"/>
      <c r="Z380"/>
      <c r="AA380"/>
      <c r="AB380" s="2976"/>
      <c r="AC380" s="2976"/>
      <c r="AD380" s="2976"/>
      <c r="AE380" s="2976"/>
      <c r="AF380" s="2976"/>
      <c r="AG380" s="2976"/>
      <c r="AH380" s="2976"/>
      <c r="AI380" s="2976"/>
      <c r="AJ380" s="2976"/>
      <c r="AK380" s="2976"/>
      <c r="AL380" s="2976"/>
    </row>
    <row r="381" spans="1:38">
      <c r="A381" s="662"/>
      <c r="B381" s="2103"/>
      <c r="C381" s="2141"/>
      <c r="D381" s="2124">
        <f t="shared" si="31"/>
        <v>0</v>
      </c>
      <c r="E381" s="1926"/>
      <c r="F381" s="2114"/>
      <c r="G381" s="1926"/>
      <c r="H381" s="2114"/>
      <c r="I381" s="2142">
        <f t="shared" si="32"/>
        <v>0</v>
      </c>
      <c r="J381" s="2114"/>
      <c r="K381" s="1926"/>
      <c r="L381" s="2114"/>
      <c r="M381" s="2143">
        <f t="shared" si="34"/>
        <v>0</v>
      </c>
    </row>
    <row r="382" spans="1:38" ht="26.45">
      <c r="A382" s="662"/>
      <c r="B382" s="2110" t="s">
        <v>362</v>
      </c>
      <c r="C382" s="2141"/>
      <c r="D382" s="2124">
        <f t="shared" si="31"/>
        <v>156349</v>
      </c>
      <c r="E382" s="1926">
        <v>0</v>
      </c>
      <c r="F382" s="2114">
        <v>22901</v>
      </c>
      <c r="G382" s="1926">
        <v>133448</v>
      </c>
      <c r="H382" s="2114">
        <v>0</v>
      </c>
      <c r="I382" s="2142">
        <f t="shared" si="32"/>
        <v>156349</v>
      </c>
      <c r="J382" s="2114"/>
      <c r="K382" s="1926"/>
      <c r="L382" s="2114"/>
      <c r="M382" s="2143">
        <f t="shared" si="34"/>
        <v>0</v>
      </c>
    </row>
    <row r="383" spans="1:38">
      <c r="A383" s="662"/>
      <c r="B383" s="2103"/>
      <c r="C383" s="2141"/>
      <c r="D383" s="2124">
        <f t="shared" si="31"/>
        <v>0</v>
      </c>
      <c r="E383" s="1926"/>
      <c r="F383" s="2114"/>
      <c r="G383" s="1926"/>
      <c r="H383" s="2114"/>
      <c r="I383" s="2142">
        <f t="shared" si="32"/>
        <v>0</v>
      </c>
      <c r="J383" s="2114"/>
      <c r="K383" s="1926"/>
      <c r="L383" s="2114"/>
      <c r="M383" s="2143">
        <f t="shared" si="34"/>
        <v>0</v>
      </c>
    </row>
    <row r="384" spans="1:38" ht="15.75" customHeight="1">
      <c r="A384" s="662"/>
      <c r="B384" s="2110" t="s">
        <v>363</v>
      </c>
      <c r="C384" s="2141">
        <v>4</v>
      </c>
      <c r="D384" s="2124">
        <f t="shared" si="31"/>
        <v>0</v>
      </c>
      <c r="E384" s="1926"/>
      <c r="F384" s="2114"/>
      <c r="G384" s="1926"/>
      <c r="H384" s="2114"/>
      <c r="I384" s="2142">
        <f t="shared" si="32"/>
        <v>0</v>
      </c>
      <c r="J384" s="2114"/>
      <c r="K384" s="1926"/>
      <c r="L384" s="2114"/>
      <c r="M384" s="2143">
        <f t="shared" si="34"/>
        <v>0</v>
      </c>
    </row>
    <row r="385" spans="1:38">
      <c r="A385" s="662"/>
      <c r="B385" s="2103" t="s">
        <v>364</v>
      </c>
      <c r="C385" s="2141"/>
      <c r="D385" s="2124">
        <f t="shared" si="31"/>
        <v>319064</v>
      </c>
      <c r="E385" s="1926">
        <v>5758</v>
      </c>
      <c r="F385" s="2114">
        <v>79687</v>
      </c>
      <c r="G385" s="1926">
        <v>233619</v>
      </c>
      <c r="H385" s="2114"/>
      <c r="I385" s="2142">
        <f t="shared" si="32"/>
        <v>313306</v>
      </c>
      <c r="J385" s="2114"/>
      <c r="K385" s="1926"/>
      <c r="L385" s="2114"/>
      <c r="M385" s="2143">
        <f t="shared" si="34"/>
        <v>0</v>
      </c>
    </row>
    <row r="386" spans="1:38">
      <c r="A386" s="662"/>
      <c r="B386" s="2103" t="s">
        <v>365</v>
      </c>
      <c r="C386" s="2141"/>
      <c r="D386" s="2124">
        <f t="shared" si="31"/>
        <v>11157</v>
      </c>
      <c r="E386" s="1926">
        <v>0</v>
      </c>
      <c r="F386" s="2114">
        <v>3626</v>
      </c>
      <c r="G386" s="1926">
        <v>7531</v>
      </c>
      <c r="H386" s="2114"/>
      <c r="I386" s="2142">
        <f t="shared" si="32"/>
        <v>11157</v>
      </c>
      <c r="J386" s="2114"/>
      <c r="K386" s="1926"/>
      <c r="L386" s="2114"/>
      <c r="M386" s="2143">
        <f t="shared" si="34"/>
        <v>0</v>
      </c>
    </row>
    <row r="387" spans="1:38" s="870" customFormat="1">
      <c r="A387" s="662"/>
      <c r="B387" s="2109" t="s">
        <v>366</v>
      </c>
      <c r="C387" s="2144"/>
      <c r="D387" s="2124">
        <f t="shared" si="31"/>
        <v>330221</v>
      </c>
      <c r="E387" s="1926">
        <f>SUM(E384:E386)</f>
        <v>5758</v>
      </c>
      <c r="F387" s="2114">
        <f>SUM(F384:F386)</f>
        <v>83313</v>
      </c>
      <c r="G387" s="1926">
        <f>SUM(G384:G386)</f>
        <v>241150</v>
      </c>
      <c r="H387" s="2114">
        <f>SUM(H384:H386)</f>
        <v>0</v>
      </c>
      <c r="I387" s="2142">
        <f t="shared" si="32"/>
        <v>324463</v>
      </c>
      <c r="J387" s="2114">
        <f>SUM(J384:J386)</f>
        <v>0</v>
      </c>
      <c r="K387" s="1926">
        <f>SUM(K384:K386)</f>
        <v>0</v>
      </c>
      <c r="L387" s="2114">
        <f>SUM(L384:L386)</f>
        <v>0</v>
      </c>
      <c r="M387" s="2143">
        <f t="shared" si="34"/>
        <v>0</v>
      </c>
      <c r="N387"/>
      <c r="O387"/>
      <c r="P387"/>
      <c r="Q387"/>
      <c r="R387"/>
      <c r="S387"/>
      <c r="T387"/>
      <c r="U387"/>
      <c r="V387"/>
      <c r="W387"/>
      <c r="X387"/>
      <c r="Y387"/>
      <c r="Z387"/>
      <c r="AA387"/>
      <c r="AB387" s="2976"/>
      <c r="AC387" s="2976"/>
      <c r="AD387" s="2976"/>
      <c r="AE387" s="2976"/>
      <c r="AF387" s="2976"/>
      <c r="AG387" s="2976"/>
      <c r="AH387" s="2976"/>
      <c r="AI387" s="2976"/>
      <c r="AJ387" s="2976"/>
      <c r="AK387" s="2976"/>
      <c r="AL387" s="2976"/>
    </row>
    <row r="388" spans="1:38">
      <c r="A388" s="662"/>
      <c r="B388" s="2109"/>
      <c r="C388" s="2144"/>
      <c r="D388" s="2124">
        <f t="shared" si="31"/>
        <v>0</v>
      </c>
      <c r="E388" s="1926"/>
      <c r="F388" s="2114"/>
      <c r="G388" s="1926"/>
      <c r="H388" s="2114"/>
      <c r="I388" s="2142">
        <f t="shared" si="32"/>
        <v>0</v>
      </c>
      <c r="J388" s="2114"/>
      <c r="K388" s="1926"/>
      <c r="L388" s="2114"/>
      <c r="M388" s="2143">
        <f t="shared" si="34"/>
        <v>0</v>
      </c>
    </row>
    <row r="389" spans="1:38" s="870" customFormat="1">
      <c r="A389" s="662"/>
      <c r="B389" s="2109" t="s">
        <v>367</v>
      </c>
      <c r="C389" s="2144"/>
      <c r="D389" s="2124">
        <f t="shared" si="31"/>
        <v>100715</v>
      </c>
      <c r="E389" s="1926">
        <f>E372-E380-E382-E387</f>
        <v>100715</v>
      </c>
      <c r="F389" s="2114">
        <f>F372-F380-F382-F387</f>
        <v>0</v>
      </c>
      <c r="G389" s="1926">
        <f>G372-G380-G382-G387</f>
        <v>0</v>
      </c>
      <c r="H389" s="2114">
        <f>H372-H380-H382-H387</f>
        <v>0</v>
      </c>
      <c r="I389" s="2142">
        <f t="shared" si="32"/>
        <v>0</v>
      </c>
      <c r="J389" s="2114">
        <f>J372-J380-J382-J387</f>
        <v>0</v>
      </c>
      <c r="K389" s="1926">
        <f>K372-K380-K382-K387</f>
        <v>0</v>
      </c>
      <c r="L389" s="2114">
        <f>L372-L380-L382-L387</f>
        <v>0</v>
      </c>
      <c r="M389" s="2143">
        <f t="shared" si="34"/>
        <v>0</v>
      </c>
      <c r="N389"/>
      <c r="O389"/>
      <c r="P389"/>
      <c r="Q389"/>
      <c r="R389"/>
      <c r="S389"/>
      <c r="T389"/>
      <c r="U389"/>
      <c r="V389"/>
      <c r="W389"/>
      <c r="X389"/>
      <c r="Y389"/>
      <c r="Z389"/>
      <c r="AA389"/>
      <c r="AB389" s="2976"/>
      <c r="AC389" s="2976"/>
      <c r="AD389" s="2976"/>
      <c r="AE389" s="2976"/>
      <c r="AF389" s="2976"/>
      <c r="AG389" s="2976"/>
      <c r="AH389" s="2976"/>
      <c r="AI389" s="2976"/>
      <c r="AJ389" s="2976"/>
      <c r="AK389" s="2976"/>
      <c r="AL389" s="2976"/>
    </row>
    <row r="390" spans="1:38">
      <c r="A390" s="662"/>
      <c r="B390" s="2103" t="s">
        <v>368</v>
      </c>
      <c r="C390" s="2141"/>
      <c r="D390" s="2124">
        <f t="shared" si="31"/>
        <v>24172</v>
      </c>
      <c r="E390" s="1926">
        <v>24172</v>
      </c>
      <c r="F390" s="2114"/>
      <c r="G390" s="1926"/>
      <c r="H390" s="2114"/>
      <c r="I390" s="2142">
        <f t="shared" si="32"/>
        <v>0</v>
      </c>
      <c r="J390" s="2114"/>
      <c r="K390" s="1926"/>
      <c r="L390" s="2114"/>
      <c r="M390" s="2143">
        <f t="shared" si="34"/>
        <v>0</v>
      </c>
    </row>
    <row r="391" spans="1:38">
      <c r="A391" s="662"/>
      <c r="B391" s="2103"/>
      <c r="C391" s="2141"/>
      <c r="D391" s="2124">
        <f t="shared" si="31"/>
        <v>0</v>
      </c>
      <c r="E391" s="1926"/>
      <c r="F391" s="2114"/>
      <c r="G391" s="1926"/>
      <c r="H391" s="2114"/>
      <c r="I391" s="2142">
        <f t="shared" si="32"/>
        <v>0</v>
      </c>
      <c r="J391" s="2114"/>
      <c r="K391" s="1926"/>
      <c r="L391" s="2114"/>
      <c r="M391" s="2143">
        <f t="shared" si="34"/>
        <v>0</v>
      </c>
    </row>
    <row r="392" spans="1:38" s="870" customFormat="1" ht="15" thickBot="1">
      <c r="A392" s="662"/>
      <c r="B392" s="1338" t="s">
        <v>369</v>
      </c>
      <c r="C392" s="1370"/>
      <c r="D392" s="1350">
        <f t="shared" si="31"/>
        <v>76543</v>
      </c>
      <c r="E392" s="1360">
        <f>E389-E390</f>
        <v>76543</v>
      </c>
      <c r="F392" s="1350">
        <f>F389-F390</f>
        <v>0</v>
      </c>
      <c r="G392" s="1360">
        <f>G389-G390</f>
        <v>0</v>
      </c>
      <c r="H392" s="1350">
        <f>H389-H390</f>
        <v>0</v>
      </c>
      <c r="I392" s="1360">
        <f t="shared" si="32"/>
        <v>0</v>
      </c>
      <c r="J392" s="1350">
        <f>J389-J390</f>
        <v>0</v>
      </c>
      <c r="K392" s="1360">
        <f>K389-K390</f>
        <v>0</v>
      </c>
      <c r="L392" s="1350">
        <f>L389-L390</f>
        <v>0</v>
      </c>
      <c r="M392" s="1371">
        <f t="shared" si="34"/>
        <v>0</v>
      </c>
      <c r="N392"/>
      <c r="O392"/>
      <c r="P392"/>
      <c r="Q392"/>
      <c r="R392"/>
      <c r="S392"/>
      <c r="T392"/>
      <c r="U392"/>
      <c r="V392"/>
      <c r="W392"/>
      <c r="X392"/>
      <c r="Y392"/>
      <c r="Z392"/>
      <c r="AA392"/>
      <c r="AB392" s="2976"/>
      <c r="AC392" s="2976"/>
      <c r="AD392" s="2976"/>
      <c r="AE392" s="2976"/>
      <c r="AF392" s="2976"/>
      <c r="AG392" s="2976"/>
      <c r="AH392" s="2976"/>
      <c r="AI392" s="2976"/>
      <c r="AJ392" s="2976"/>
      <c r="AK392" s="2976"/>
      <c r="AL392" s="2976"/>
    </row>
    <row r="393" spans="1:38">
      <c r="A393" s="662"/>
      <c r="B393" s="870"/>
      <c r="C393" s="871"/>
      <c r="D393" s="179"/>
      <c r="E393" s="179"/>
      <c r="F393" s="179"/>
      <c r="G393" s="179"/>
      <c r="H393" s="179"/>
      <c r="I393" s="179"/>
      <c r="J393" s="179"/>
      <c r="K393" s="179"/>
      <c r="L393" s="179"/>
      <c r="M393" s="179"/>
    </row>
    <row r="394" spans="1:38">
      <c r="A394" s="662"/>
      <c r="B394" s="662"/>
      <c r="C394" s="662"/>
      <c r="D394" s="662"/>
      <c r="E394" s="662"/>
      <c r="F394" s="662"/>
      <c r="G394" s="662"/>
      <c r="H394" s="662"/>
      <c r="I394" s="662"/>
      <c r="J394" s="662"/>
      <c r="K394" s="662"/>
      <c r="L394" s="662"/>
      <c r="M394" s="662"/>
    </row>
    <row r="396" spans="1:38" ht="15" thickBot="1"/>
    <row r="397" spans="1:38" ht="17.25" customHeight="1" thickBot="1">
      <c r="A397" s="1153" t="s">
        <v>132</v>
      </c>
      <c r="B397" s="1366" t="s">
        <v>103</v>
      </c>
      <c r="D397" s="662"/>
      <c r="E397" s="662"/>
      <c r="F397" s="662"/>
      <c r="G397" s="662"/>
      <c r="H397" s="662"/>
      <c r="I397" s="662"/>
      <c r="J397" s="662"/>
      <c r="K397" s="662"/>
      <c r="L397" s="3292"/>
      <c r="M397" s="3292" t="s">
        <v>257</v>
      </c>
    </row>
    <row r="398" spans="1:38" ht="17.25" customHeight="1" thickBot="1">
      <c r="A398" s="662"/>
      <c r="B398" s="3331" t="s">
        <v>103</v>
      </c>
      <c r="C398" s="3280" t="s">
        <v>334</v>
      </c>
      <c r="D398" s="3283" t="s">
        <v>260</v>
      </c>
      <c r="E398" s="3283" t="s">
        <v>335</v>
      </c>
      <c r="F398" s="3335" t="s">
        <v>263</v>
      </c>
      <c r="G398" s="3335"/>
      <c r="H398" s="3335"/>
      <c r="I398" s="3335"/>
      <c r="J398" s="3335"/>
      <c r="K398" s="3335"/>
      <c r="L398" s="3335"/>
      <c r="M398" s="3335"/>
    </row>
    <row r="399" spans="1:38" ht="17.25" customHeight="1" thickBot="1">
      <c r="A399" s="662"/>
      <c r="B399" s="3327"/>
      <c r="C399" s="3281"/>
      <c r="D399" s="3284"/>
      <c r="E399" s="3284"/>
      <c r="F399" s="3332" t="s">
        <v>264</v>
      </c>
      <c r="G399" s="3333"/>
      <c r="H399" s="3333"/>
      <c r="I399" s="3334"/>
      <c r="J399" s="3335" t="s">
        <v>336</v>
      </c>
      <c r="K399" s="3335"/>
      <c r="L399" s="3335"/>
      <c r="M399" s="3335"/>
    </row>
    <row r="400" spans="1:38" ht="63.6" customHeight="1" thickBot="1">
      <c r="A400" s="662"/>
      <c r="B400" s="3327"/>
      <c r="C400" s="3281"/>
      <c r="D400" s="3285"/>
      <c r="E400" s="3285"/>
      <c r="F400" s="2963" t="s">
        <v>267</v>
      </c>
      <c r="G400" s="2963" t="s">
        <v>268</v>
      </c>
      <c r="H400" s="2963" t="s">
        <v>269</v>
      </c>
      <c r="I400" s="2963" t="s">
        <v>160</v>
      </c>
      <c r="J400" s="2964" t="s">
        <v>337</v>
      </c>
      <c r="K400" s="2964" t="s">
        <v>271</v>
      </c>
      <c r="L400" s="2964" t="s">
        <v>338</v>
      </c>
      <c r="M400" s="2964" t="s">
        <v>160</v>
      </c>
    </row>
    <row r="401" spans="1:38" ht="17.25" customHeight="1" thickBot="1">
      <c r="A401" s="662"/>
      <c r="B401" s="3327"/>
      <c r="C401" s="3281"/>
      <c r="D401" s="2972">
        <v>1</v>
      </c>
      <c r="E401" s="3283">
        <v>2</v>
      </c>
      <c r="F401" s="3283">
        <v>3</v>
      </c>
      <c r="G401" s="3283">
        <v>4</v>
      </c>
      <c r="H401" s="3283"/>
      <c r="I401" s="2972">
        <v>6</v>
      </c>
      <c r="J401" s="3283">
        <v>7</v>
      </c>
      <c r="K401" s="3283">
        <v>8</v>
      </c>
      <c r="L401" s="3283">
        <v>9</v>
      </c>
      <c r="M401" s="2972">
        <v>10</v>
      </c>
    </row>
    <row r="402" spans="1:38" ht="15" thickBot="1">
      <c r="A402" s="662"/>
      <c r="B402" s="3328"/>
      <c r="C402" s="3282"/>
      <c r="D402" s="1327" t="s">
        <v>339</v>
      </c>
      <c r="E402" s="3285"/>
      <c r="F402" s="3285"/>
      <c r="G402" s="3285"/>
      <c r="H402" s="3285">
        <v>5</v>
      </c>
      <c r="I402" s="1327" t="s">
        <v>340</v>
      </c>
      <c r="J402" s="3285"/>
      <c r="K402" s="3285"/>
      <c r="L402" s="3285"/>
      <c r="M402" s="1327" t="s">
        <v>341</v>
      </c>
    </row>
    <row r="403" spans="1:38">
      <c r="A403" s="662"/>
      <c r="B403" s="1374" t="s">
        <v>342</v>
      </c>
      <c r="C403" s="908"/>
      <c r="D403" s="1375">
        <f t="shared" ref="D403:D440" si="35">E403+I403+M403</f>
        <v>8911460</v>
      </c>
      <c r="E403" s="899">
        <v>0</v>
      </c>
      <c r="F403" s="876">
        <v>349316</v>
      </c>
      <c r="G403" s="899">
        <v>2797850</v>
      </c>
      <c r="H403" s="876">
        <v>5764294</v>
      </c>
      <c r="I403" s="1376">
        <f t="shared" ref="I403:I440" si="36">F403+G403+H403</f>
        <v>8911460</v>
      </c>
      <c r="J403" s="876"/>
      <c r="K403" s="899"/>
      <c r="L403" s="876"/>
      <c r="M403" s="1377">
        <f t="shared" ref="M403:M420" si="37">L403+K403+J403</f>
        <v>0</v>
      </c>
    </row>
    <row r="404" spans="1:38">
      <c r="A404" s="662"/>
      <c r="B404" s="2146"/>
      <c r="C404" s="2147"/>
      <c r="D404" s="2148">
        <f t="shared" si="35"/>
        <v>0</v>
      </c>
      <c r="E404" s="2149"/>
      <c r="F404" s="2150"/>
      <c r="G404" s="2149"/>
      <c r="H404" s="2150"/>
      <c r="I404" s="2151">
        <f t="shared" si="36"/>
        <v>0</v>
      </c>
      <c r="J404" s="2150"/>
      <c r="K404" s="2149"/>
      <c r="L404" s="2150"/>
      <c r="M404" s="2152">
        <f t="shared" si="37"/>
        <v>0</v>
      </c>
    </row>
    <row r="405" spans="1:38">
      <c r="A405" s="662"/>
      <c r="B405" s="2153" t="s">
        <v>343</v>
      </c>
      <c r="C405" s="2147"/>
      <c r="D405" s="2148">
        <f t="shared" si="35"/>
        <v>473012</v>
      </c>
      <c r="E405" s="2149">
        <v>0</v>
      </c>
      <c r="F405" s="2150">
        <v>2674</v>
      </c>
      <c r="G405" s="2149">
        <v>449390</v>
      </c>
      <c r="H405" s="2150">
        <v>20948</v>
      </c>
      <c r="I405" s="2151">
        <f t="shared" si="36"/>
        <v>473012</v>
      </c>
      <c r="J405" s="2150"/>
      <c r="K405" s="2149"/>
      <c r="L405" s="2150"/>
      <c r="M405" s="2152">
        <f t="shared" si="37"/>
        <v>0</v>
      </c>
    </row>
    <row r="406" spans="1:38">
      <c r="A406" s="662"/>
      <c r="B406" s="2153"/>
      <c r="C406" s="2147"/>
      <c r="D406" s="2148">
        <f t="shared" si="35"/>
        <v>0</v>
      </c>
      <c r="E406" s="2149"/>
      <c r="F406" s="2150"/>
      <c r="G406" s="2149"/>
      <c r="H406" s="2150"/>
      <c r="I406" s="2151">
        <f t="shared" si="36"/>
        <v>0</v>
      </c>
      <c r="J406" s="2150"/>
      <c r="K406" s="2149"/>
      <c r="L406" s="2150"/>
      <c r="M406" s="2152">
        <f t="shared" si="37"/>
        <v>0</v>
      </c>
    </row>
    <row r="407" spans="1:38" ht="14.25" customHeight="1">
      <c r="A407" s="662"/>
      <c r="B407" s="2154" t="s">
        <v>344</v>
      </c>
      <c r="C407" s="2147"/>
      <c r="D407" s="2148">
        <f t="shared" si="35"/>
        <v>0</v>
      </c>
      <c r="E407" s="2149">
        <v>0</v>
      </c>
      <c r="F407" s="2150">
        <v>0</v>
      </c>
      <c r="G407" s="2149">
        <v>0</v>
      </c>
      <c r="H407" s="2150">
        <v>0</v>
      </c>
      <c r="I407" s="2151">
        <f t="shared" si="36"/>
        <v>0</v>
      </c>
      <c r="J407" s="2150"/>
      <c r="K407" s="2149"/>
      <c r="L407" s="2150"/>
      <c r="M407" s="2152">
        <f t="shared" si="37"/>
        <v>0</v>
      </c>
    </row>
    <row r="408" spans="1:38">
      <c r="A408" s="662"/>
      <c r="B408" s="2146"/>
      <c r="C408" s="2147"/>
      <c r="D408" s="2148">
        <f t="shared" si="35"/>
        <v>0</v>
      </c>
      <c r="E408" s="2149"/>
      <c r="F408" s="2150"/>
      <c r="G408" s="2149"/>
      <c r="H408" s="2150"/>
      <c r="I408" s="2151">
        <f t="shared" si="36"/>
        <v>0</v>
      </c>
      <c r="J408" s="2150"/>
      <c r="K408" s="2149"/>
      <c r="L408" s="2150"/>
      <c r="M408" s="2152">
        <f t="shared" si="37"/>
        <v>0</v>
      </c>
    </row>
    <row r="409" spans="1:38" s="870" customFormat="1">
      <c r="A409" s="662"/>
      <c r="B409" s="2155" t="s">
        <v>345</v>
      </c>
      <c r="C409" s="2156"/>
      <c r="D409" s="2148">
        <f t="shared" si="35"/>
        <v>8438448</v>
      </c>
      <c r="E409" s="2149">
        <f>E403-E405+E407</f>
        <v>0</v>
      </c>
      <c r="F409" s="2150">
        <f>F403-F405+F407</f>
        <v>346642</v>
      </c>
      <c r="G409" s="2149">
        <f>G403-G405+G407</f>
        <v>2348460</v>
      </c>
      <c r="H409" s="2150">
        <f>H403-H405+H407</f>
        <v>5743346</v>
      </c>
      <c r="I409" s="2151">
        <f t="shared" si="36"/>
        <v>8438448</v>
      </c>
      <c r="J409" s="2150">
        <f>J403-J405+J407</f>
        <v>0</v>
      </c>
      <c r="K409" s="2149">
        <f>K403-K405+K407</f>
        <v>0</v>
      </c>
      <c r="L409" s="2150">
        <f>L403-L405+L407</f>
        <v>0</v>
      </c>
      <c r="M409" s="2152">
        <f t="shared" si="37"/>
        <v>0</v>
      </c>
      <c r="N409"/>
      <c r="O409"/>
      <c r="P409"/>
      <c r="Q409"/>
      <c r="R409"/>
      <c r="S409"/>
      <c r="T409"/>
      <c r="U409"/>
      <c r="V409"/>
      <c r="W409"/>
      <c r="X409"/>
      <c r="Y409"/>
      <c r="Z409"/>
      <c r="AA409"/>
      <c r="AB409" s="2976"/>
      <c r="AC409" s="2976"/>
      <c r="AD409" s="2976"/>
      <c r="AE409" s="2976"/>
      <c r="AF409" s="2976"/>
      <c r="AG409" s="2976"/>
      <c r="AH409" s="2976"/>
      <c r="AI409" s="2976"/>
      <c r="AJ409" s="2976"/>
      <c r="AK409" s="2976"/>
      <c r="AL409" s="2976"/>
    </row>
    <row r="410" spans="1:38">
      <c r="A410" s="662"/>
      <c r="B410" s="2155"/>
      <c r="C410" s="2156"/>
      <c r="D410" s="2148">
        <f t="shared" si="35"/>
        <v>0</v>
      </c>
      <c r="E410" s="2149"/>
      <c r="F410" s="2150"/>
      <c r="G410" s="2149"/>
      <c r="H410" s="2150"/>
      <c r="I410" s="2151">
        <f t="shared" si="36"/>
        <v>0</v>
      </c>
      <c r="J410" s="2150"/>
      <c r="K410" s="2149"/>
      <c r="L410" s="2150"/>
      <c r="M410" s="2152">
        <f t="shared" si="37"/>
        <v>0</v>
      </c>
    </row>
    <row r="411" spans="1:38" s="870" customFormat="1">
      <c r="A411" s="662"/>
      <c r="B411" s="2155" t="s">
        <v>346</v>
      </c>
      <c r="C411" s="2156"/>
      <c r="D411" s="2148">
        <f t="shared" si="35"/>
        <v>4096966</v>
      </c>
      <c r="E411" s="2149">
        <f>SUM(E412:E416)</f>
        <v>731241</v>
      </c>
      <c r="F411" s="2150">
        <f>SUM(F412:F416)</f>
        <v>574573</v>
      </c>
      <c r="G411" s="2149">
        <f>SUM(G412:G416)</f>
        <v>589622</v>
      </c>
      <c r="H411" s="2150">
        <f>SUM(H412:H416)</f>
        <v>2201530</v>
      </c>
      <c r="I411" s="2151">
        <f t="shared" si="36"/>
        <v>3365725</v>
      </c>
      <c r="J411" s="2150">
        <f>SUM(J412:J416)</f>
        <v>0</v>
      </c>
      <c r="K411" s="2149">
        <f>SUM(K412:K416)</f>
        <v>0</v>
      </c>
      <c r="L411" s="2150">
        <f>SUM(L412:L416)</f>
        <v>0</v>
      </c>
      <c r="M411" s="2152">
        <f t="shared" si="37"/>
        <v>0</v>
      </c>
      <c r="N411"/>
      <c r="O411"/>
      <c r="P411"/>
      <c r="Q411"/>
      <c r="R411"/>
      <c r="S411"/>
      <c r="T411"/>
      <c r="U411"/>
      <c r="V411"/>
      <c r="W411"/>
      <c r="X411"/>
      <c r="Y411"/>
      <c r="Z411"/>
      <c r="AA411"/>
      <c r="AB411" s="2976"/>
      <c r="AC411" s="2976"/>
      <c r="AD411" s="2976"/>
      <c r="AE411" s="2976"/>
      <c r="AF411" s="2976"/>
      <c r="AG411" s="2976"/>
      <c r="AH411" s="2976"/>
      <c r="AI411" s="2976"/>
      <c r="AJ411" s="2976"/>
      <c r="AK411" s="2976"/>
      <c r="AL411" s="2976"/>
    </row>
    <row r="412" spans="1:38">
      <c r="A412" s="662"/>
      <c r="B412" s="2146" t="s">
        <v>347</v>
      </c>
      <c r="C412" s="2147">
        <v>1</v>
      </c>
      <c r="D412" s="2148">
        <f t="shared" si="35"/>
        <v>3972636</v>
      </c>
      <c r="E412" s="2157">
        <v>714370</v>
      </c>
      <c r="F412" s="2158">
        <v>625147</v>
      </c>
      <c r="G412" s="2157">
        <v>464423</v>
      </c>
      <c r="H412" s="2158">
        <v>2168696</v>
      </c>
      <c r="I412" s="2151">
        <f t="shared" si="36"/>
        <v>3258266</v>
      </c>
      <c r="J412" s="2150"/>
      <c r="K412" s="2149"/>
      <c r="L412" s="2150"/>
      <c r="M412" s="2152">
        <f t="shared" si="37"/>
        <v>0</v>
      </c>
    </row>
    <row r="413" spans="1:38">
      <c r="A413" s="662"/>
      <c r="B413" s="2146" t="s">
        <v>348</v>
      </c>
      <c r="C413" s="2147">
        <v>2</v>
      </c>
      <c r="D413" s="2148">
        <f t="shared" si="35"/>
        <v>54394</v>
      </c>
      <c r="E413" s="2157">
        <v>14692</v>
      </c>
      <c r="F413" s="2158">
        <v>741</v>
      </c>
      <c r="G413" s="2157">
        <v>21495</v>
      </c>
      <c r="H413" s="2158">
        <v>17466</v>
      </c>
      <c r="I413" s="2151">
        <f t="shared" si="36"/>
        <v>39702</v>
      </c>
      <c r="J413" s="2150"/>
      <c r="K413" s="2149"/>
      <c r="L413" s="2150"/>
      <c r="M413" s="2152">
        <f t="shared" si="37"/>
        <v>0</v>
      </c>
    </row>
    <row r="414" spans="1:38">
      <c r="A414" s="662"/>
      <c r="B414" s="2146" t="s">
        <v>349</v>
      </c>
      <c r="C414" s="2147"/>
      <c r="D414" s="2148">
        <f t="shared" si="35"/>
        <v>105376</v>
      </c>
      <c r="E414" s="2157">
        <v>0</v>
      </c>
      <c r="F414" s="2158">
        <v>0</v>
      </c>
      <c r="G414" s="2157">
        <v>105376</v>
      </c>
      <c r="H414" s="2158">
        <v>0</v>
      </c>
      <c r="I414" s="2151">
        <f t="shared" si="36"/>
        <v>105376</v>
      </c>
      <c r="J414" s="2150"/>
      <c r="K414" s="2149"/>
      <c r="L414" s="2150"/>
      <c r="M414" s="2152">
        <f t="shared" si="37"/>
        <v>0</v>
      </c>
    </row>
    <row r="415" spans="1:38">
      <c r="A415" s="662"/>
      <c r="B415" s="2146" t="s">
        <v>350</v>
      </c>
      <c r="C415" s="2147"/>
      <c r="D415" s="2148">
        <f t="shared" si="35"/>
        <v>-68663</v>
      </c>
      <c r="E415" s="2157">
        <v>0</v>
      </c>
      <c r="F415" s="2158">
        <v>-53148</v>
      </c>
      <c r="G415" s="2157">
        <v>-9683</v>
      </c>
      <c r="H415" s="2158">
        <v>-5832</v>
      </c>
      <c r="I415" s="2151">
        <f t="shared" si="36"/>
        <v>-68663</v>
      </c>
      <c r="J415" s="2150"/>
      <c r="K415" s="2149"/>
      <c r="L415" s="2150"/>
      <c r="M415" s="2152">
        <f t="shared" si="37"/>
        <v>0</v>
      </c>
    </row>
    <row r="416" spans="1:38">
      <c r="A416" s="662"/>
      <c r="B416" s="2146" t="s">
        <v>351</v>
      </c>
      <c r="C416" s="2147">
        <v>3</v>
      </c>
      <c r="D416" s="2148">
        <f t="shared" si="35"/>
        <v>33223</v>
      </c>
      <c r="E416" s="2157">
        <v>2179</v>
      </c>
      <c r="F416" s="2158">
        <v>1833</v>
      </c>
      <c r="G416" s="2157">
        <v>8011</v>
      </c>
      <c r="H416" s="2158">
        <v>21200</v>
      </c>
      <c r="I416" s="2151">
        <f t="shared" si="36"/>
        <v>31044</v>
      </c>
      <c r="J416" s="2150"/>
      <c r="K416" s="2149"/>
      <c r="L416" s="2150"/>
      <c r="M416" s="2152">
        <f t="shared" si="37"/>
        <v>0</v>
      </c>
    </row>
    <row r="417" spans="1:38">
      <c r="A417" s="662"/>
      <c r="B417" s="2146" t="s">
        <v>353</v>
      </c>
      <c r="C417" s="2147"/>
      <c r="D417" s="2148">
        <f t="shared" si="35"/>
        <v>0</v>
      </c>
      <c r="E417" s="2149"/>
      <c r="F417" s="2150"/>
      <c r="G417" s="2149"/>
      <c r="H417" s="2150"/>
      <c r="I417" s="2151">
        <f t="shared" si="36"/>
        <v>0</v>
      </c>
      <c r="J417" s="2150"/>
      <c r="K417" s="2149"/>
      <c r="L417" s="2150"/>
      <c r="M417" s="2152">
        <f t="shared" si="37"/>
        <v>0</v>
      </c>
    </row>
    <row r="418" spans="1:38">
      <c r="A418" s="662"/>
      <c r="B418" s="2146" t="s">
        <v>353</v>
      </c>
      <c r="C418" s="2147"/>
      <c r="D418" s="2148">
        <f t="shared" si="35"/>
        <v>0</v>
      </c>
      <c r="E418" s="2149"/>
      <c r="F418" s="2150"/>
      <c r="G418" s="2149"/>
      <c r="H418" s="2150"/>
      <c r="I418" s="2151">
        <f t="shared" si="36"/>
        <v>0</v>
      </c>
      <c r="J418" s="2150"/>
      <c r="K418" s="2149"/>
      <c r="L418" s="2150"/>
      <c r="M418" s="2152">
        <f t="shared" si="37"/>
        <v>0</v>
      </c>
    </row>
    <row r="419" spans="1:38">
      <c r="A419" s="662"/>
      <c r="B419" s="2146"/>
      <c r="C419" s="2147"/>
      <c r="D419" s="2148">
        <f t="shared" si="35"/>
        <v>0</v>
      </c>
      <c r="E419" s="2149"/>
      <c r="F419" s="2150"/>
      <c r="G419" s="2149"/>
      <c r="H419" s="2150"/>
      <c r="I419" s="2151">
        <f t="shared" si="36"/>
        <v>0</v>
      </c>
      <c r="J419" s="2150"/>
      <c r="K419" s="2149"/>
      <c r="L419" s="2150"/>
      <c r="M419" s="2152">
        <f t="shared" si="37"/>
        <v>0</v>
      </c>
    </row>
    <row r="420" spans="1:38" s="870" customFormat="1">
      <c r="A420" s="662"/>
      <c r="B420" s="2159" t="s">
        <v>354</v>
      </c>
      <c r="C420" s="2156"/>
      <c r="D420" s="2148">
        <f t="shared" si="35"/>
        <v>12535414</v>
      </c>
      <c r="E420" s="2149">
        <f>E409+E411</f>
        <v>731241</v>
      </c>
      <c r="F420" s="2150">
        <f>F409+F411</f>
        <v>921215</v>
      </c>
      <c r="G420" s="2149">
        <f>G409+G411</f>
        <v>2938082</v>
      </c>
      <c r="H420" s="2150">
        <f>H409+H411</f>
        <v>7944876</v>
      </c>
      <c r="I420" s="2151">
        <f t="shared" si="36"/>
        <v>11804173</v>
      </c>
      <c r="J420" s="2150">
        <f>J409+J411</f>
        <v>0</v>
      </c>
      <c r="K420" s="2149">
        <f>K409+K411</f>
        <v>0</v>
      </c>
      <c r="L420" s="2150">
        <f>L409+L411</f>
        <v>0</v>
      </c>
      <c r="M420" s="2152">
        <f t="shared" si="37"/>
        <v>0</v>
      </c>
      <c r="N420"/>
      <c r="O420"/>
      <c r="P420"/>
      <c r="Q420"/>
      <c r="R420"/>
      <c r="S420"/>
      <c r="T420"/>
      <c r="U420"/>
      <c r="V420"/>
      <c r="W420"/>
      <c r="X420"/>
      <c r="Y420"/>
      <c r="Z420"/>
      <c r="AA420"/>
      <c r="AB420" s="2976"/>
      <c r="AC420" s="2976"/>
      <c r="AD420" s="2976"/>
      <c r="AE420" s="2976"/>
      <c r="AF420" s="2976"/>
      <c r="AG420" s="2976"/>
      <c r="AH420" s="2976"/>
      <c r="AI420" s="2976"/>
      <c r="AJ420" s="2976"/>
      <c r="AK420" s="2976"/>
      <c r="AL420" s="2976"/>
    </row>
    <row r="421" spans="1:38">
      <c r="A421" s="662"/>
      <c r="B421" s="2159"/>
      <c r="C421" s="2156"/>
      <c r="D421" s="2148">
        <f t="shared" si="35"/>
        <v>0</v>
      </c>
      <c r="E421" s="2149"/>
      <c r="F421" s="2150"/>
      <c r="G421" s="2149"/>
      <c r="H421" s="2150"/>
      <c r="I421" s="2151">
        <f t="shared" si="36"/>
        <v>0</v>
      </c>
      <c r="J421" s="2150"/>
      <c r="K421" s="2149"/>
      <c r="L421" s="2150"/>
      <c r="M421" s="2152"/>
    </row>
    <row r="422" spans="1:38">
      <c r="A422" s="662"/>
      <c r="B422" s="2146" t="s">
        <v>355</v>
      </c>
      <c r="C422" s="2147"/>
      <c r="D422" s="2148">
        <f t="shared" si="35"/>
        <v>2435291</v>
      </c>
      <c r="E422" s="2149">
        <v>0</v>
      </c>
      <c r="F422" s="2150">
        <v>923583</v>
      </c>
      <c r="G422" s="2149">
        <v>951063</v>
      </c>
      <c r="H422" s="2150">
        <v>560645</v>
      </c>
      <c r="I422" s="2151">
        <f t="shared" si="36"/>
        <v>2435291</v>
      </c>
      <c r="J422" s="2150"/>
      <c r="K422" s="2149"/>
      <c r="L422" s="2150"/>
      <c r="M422" s="2152">
        <f t="shared" ref="M422:M440" si="38">L422+K422+J422</f>
        <v>0</v>
      </c>
    </row>
    <row r="423" spans="1:38">
      <c r="A423" s="662"/>
      <c r="B423" s="2146" t="s">
        <v>356</v>
      </c>
      <c r="C423" s="2147"/>
      <c r="D423" s="2148">
        <f t="shared" si="35"/>
        <v>-210879</v>
      </c>
      <c r="E423" s="2149">
        <v>0</v>
      </c>
      <c r="F423" s="2150">
        <v>-2643</v>
      </c>
      <c r="G423" s="2149">
        <v>-204257</v>
      </c>
      <c r="H423" s="2150">
        <v>-3979</v>
      </c>
      <c r="I423" s="2151">
        <f t="shared" si="36"/>
        <v>-210879</v>
      </c>
      <c r="J423" s="2150"/>
      <c r="K423" s="2149"/>
      <c r="L423" s="2150"/>
      <c r="M423" s="2152">
        <f t="shared" si="38"/>
        <v>0</v>
      </c>
    </row>
    <row r="424" spans="1:38">
      <c r="A424" s="662"/>
      <c r="B424" s="2146" t="s">
        <v>357</v>
      </c>
      <c r="C424" s="2147"/>
      <c r="D424" s="2148">
        <f t="shared" si="35"/>
        <v>-61211</v>
      </c>
      <c r="E424" s="2149"/>
      <c r="F424" s="2150">
        <v>-33617</v>
      </c>
      <c r="G424" s="2149">
        <v>-21645</v>
      </c>
      <c r="H424" s="2150">
        <v>-5949</v>
      </c>
      <c r="I424" s="2151">
        <f t="shared" si="36"/>
        <v>-61211</v>
      </c>
      <c r="J424" s="2150"/>
      <c r="K424" s="2149"/>
      <c r="L424" s="2150"/>
      <c r="M424" s="2152">
        <f t="shared" si="38"/>
        <v>0</v>
      </c>
    </row>
    <row r="425" spans="1:38" ht="13.5" customHeight="1">
      <c r="A425" s="662"/>
      <c r="B425" s="2160" t="s">
        <v>358</v>
      </c>
      <c r="C425" s="2147"/>
      <c r="D425" s="2148">
        <f t="shared" si="35"/>
        <v>6326</v>
      </c>
      <c r="E425" s="2149">
        <v>0</v>
      </c>
      <c r="F425" s="2150">
        <v>1954</v>
      </c>
      <c r="G425" s="2149">
        <v>944</v>
      </c>
      <c r="H425" s="2150">
        <v>3428</v>
      </c>
      <c r="I425" s="2151">
        <f t="shared" si="36"/>
        <v>6326</v>
      </c>
      <c r="J425" s="2150"/>
      <c r="K425" s="2149"/>
      <c r="L425" s="2150"/>
      <c r="M425" s="2152">
        <f t="shared" si="38"/>
        <v>0</v>
      </c>
    </row>
    <row r="426" spans="1:38">
      <c r="A426" s="662"/>
      <c r="B426" s="2146" t="s">
        <v>359</v>
      </c>
      <c r="C426" s="2147"/>
      <c r="D426" s="2148">
        <f t="shared" si="35"/>
        <v>4340103</v>
      </c>
      <c r="E426" s="2149">
        <v>0</v>
      </c>
      <c r="F426" s="2150">
        <v>-150063</v>
      </c>
      <c r="G426" s="2149">
        <v>566805</v>
      </c>
      <c r="H426" s="2150">
        <v>3923361</v>
      </c>
      <c r="I426" s="2151">
        <f t="shared" si="36"/>
        <v>4340103</v>
      </c>
      <c r="J426" s="2150"/>
      <c r="K426" s="2149"/>
      <c r="L426" s="2150"/>
      <c r="M426" s="2152">
        <f t="shared" si="38"/>
        <v>0</v>
      </c>
    </row>
    <row r="427" spans="1:38">
      <c r="A427" s="662"/>
      <c r="B427" s="2146" t="s">
        <v>360</v>
      </c>
      <c r="C427" s="2147"/>
      <c r="D427" s="2148">
        <f t="shared" si="35"/>
        <v>0</v>
      </c>
      <c r="E427" s="2149">
        <v>0</v>
      </c>
      <c r="F427" s="2150">
        <v>0</v>
      </c>
      <c r="G427" s="2149">
        <v>0</v>
      </c>
      <c r="H427" s="2150">
        <v>0</v>
      </c>
      <c r="I427" s="2151">
        <f t="shared" si="36"/>
        <v>0</v>
      </c>
      <c r="J427" s="2150"/>
      <c r="K427" s="2149"/>
      <c r="L427" s="2150"/>
      <c r="M427" s="2152">
        <f t="shared" si="38"/>
        <v>0</v>
      </c>
    </row>
    <row r="428" spans="1:38" s="870" customFormat="1">
      <c r="A428" s="662"/>
      <c r="B428" s="2159" t="s">
        <v>361</v>
      </c>
      <c r="C428" s="2156"/>
      <c r="D428" s="2148">
        <f t="shared" si="35"/>
        <v>6509630</v>
      </c>
      <c r="E428" s="2149">
        <f>SUM(E422:E427)</f>
        <v>0</v>
      </c>
      <c r="F428" s="2150">
        <f>SUM(F422:F427)</f>
        <v>739214</v>
      </c>
      <c r="G428" s="2149">
        <f>SUM(G422:G427)</f>
        <v>1292910</v>
      </c>
      <c r="H428" s="2150">
        <f>SUM(H422:H427)</f>
        <v>4477506</v>
      </c>
      <c r="I428" s="2151">
        <f t="shared" si="36"/>
        <v>6509630</v>
      </c>
      <c r="J428" s="2150">
        <f>SUM(J422:J427)</f>
        <v>0</v>
      </c>
      <c r="K428" s="2149">
        <f>SUM(K422:K427)</f>
        <v>0</v>
      </c>
      <c r="L428" s="2150">
        <f>SUM(L422:L427)</f>
        <v>0</v>
      </c>
      <c r="M428" s="2152">
        <f t="shared" si="38"/>
        <v>0</v>
      </c>
      <c r="N428"/>
      <c r="O428"/>
      <c r="P428"/>
      <c r="Q428"/>
      <c r="R428"/>
      <c r="S428"/>
      <c r="T428"/>
      <c r="U428"/>
      <c r="V428"/>
      <c r="W428"/>
      <c r="X428"/>
      <c r="Y428"/>
      <c r="Z428"/>
      <c r="AA428"/>
      <c r="AB428" s="2976"/>
      <c r="AC428" s="2976"/>
      <c r="AD428" s="2976"/>
      <c r="AE428" s="2976"/>
      <c r="AF428" s="2976"/>
      <c r="AG428" s="2976"/>
      <c r="AH428" s="2976"/>
      <c r="AI428" s="2976"/>
      <c r="AJ428" s="2976"/>
      <c r="AK428" s="2976"/>
      <c r="AL428" s="2976"/>
    </row>
    <row r="429" spans="1:38">
      <c r="A429" s="662"/>
      <c r="B429" s="2146"/>
      <c r="C429" s="2147"/>
      <c r="D429" s="2148">
        <f t="shared" si="35"/>
        <v>0</v>
      </c>
      <c r="E429" s="2149"/>
      <c r="F429" s="2150"/>
      <c r="G429" s="2149"/>
      <c r="H429" s="2150"/>
      <c r="I429" s="2151">
        <f t="shared" si="36"/>
        <v>0</v>
      </c>
      <c r="J429" s="2150"/>
      <c r="K429" s="2149"/>
      <c r="L429" s="2150"/>
      <c r="M429" s="2152">
        <f t="shared" si="38"/>
        <v>0</v>
      </c>
    </row>
    <row r="430" spans="1:38" ht="27">
      <c r="A430" s="662"/>
      <c r="B430" s="2160" t="s">
        <v>362</v>
      </c>
      <c r="C430" s="2147"/>
      <c r="D430" s="2148">
        <f t="shared" si="35"/>
        <v>1437045</v>
      </c>
      <c r="E430" s="2149">
        <v>0</v>
      </c>
      <c r="F430" s="2150">
        <v>41225</v>
      </c>
      <c r="G430" s="2149">
        <v>311133</v>
      </c>
      <c r="H430" s="2150">
        <v>1084687</v>
      </c>
      <c r="I430" s="2151">
        <f t="shared" si="36"/>
        <v>1437045</v>
      </c>
      <c r="J430" s="2150"/>
      <c r="K430" s="2149"/>
      <c r="L430" s="2150"/>
      <c r="M430" s="2152">
        <f t="shared" si="38"/>
        <v>0</v>
      </c>
    </row>
    <row r="431" spans="1:38">
      <c r="A431" s="662"/>
      <c r="B431" s="2146"/>
      <c r="C431" s="2147"/>
      <c r="D431" s="2148">
        <f t="shared" si="35"/>
        <v>0</v>
      </c>
      <c r="E431" s="2149"/>
      <c r="F431" s="2150"/>
      <c r="G431" s="2149"/>
      <c r="H431" s="2150"/>
      <c r="I431" s="2151">
        <f t="shared" si="36"/>
        <v>0</v>
      </c>
      <c r="J431" s="2150"/>
      <c r="K431" s="2149"/>
      <c r="L431" s="2150"/>
      <c r="M431" s="2152">
        <f t="shared" si="38"/>
        <v>0</v>
      </c>
    </row>
    <row r="432" spans="1:38" ht="15.75" customHeight="1">
      <c r="A432" s="662"/>
      <c r="B432" s="2160" t="s">
        <v>363</v>
      </c>
      <c r="C432" s="2147">
        <v>4</v>
      </c>
      <c r="D432" s="2148">
        <f t="shared" si="35"/>
        <v>2483649</v>
      </c>
      <c r="E432" s="2149">
        <v>12469</v>
      </c>
      <c r="F432" s="2150">
        <v>131010</v>
      </c>
      <c r="G432" s="2149">
        <v>685126</v>
      </c>
      <c r="H432" s="2150">
        <v>1655044</v>
      </c>
      <c r="I432" s="2151">
        <f t="shared" si="36"/>
        <v>2471180</v>
      </c>
      <c r="J432" s="2150"/>
      <c r="K432" s="2149"/>
      <c r="L432" s="2150"/>
      <c r="M432" s="2152">
        <f t="shared" si="38"/>
        <v>0</v>
      </c>
    </row>
    <row r="433" spans="1:38">
      <c r="A433" s="662"/>
      <c r="B433" s="2146" t="s">
        <v>364</v>
      </c>
      <c r="C433" s="2147"/>
      <c r="D433" s="2148">
        <f t="shared" si="35"/>
        <v>0</v>
      </c>
      <c r="E433" s="2149"/>
      <c r="F433" s="2150"/>
      <c r="G433" s="2149"/>
      <c r="H433" s="2150"/>
      <c r="I433" s="2151">
        <f t="shared" si="36"/>
        <v>0</v>
      </c>
      <c r="J433" s="2150"/>
      <c r="K433" s="2149"/>
      <c r="L433" s="2150"/>
      <c r="M433" s="2152">
        <f t="shared" si="38"/>
        <v>0</v>
      </c>
    </row>
    <row r="434" spans="1:38">
      <c r="A434" s="662"/>
      <c r="B434" s="2146" t="s">
        <v>365</v>
      </c>
      <c r="C434" s="2147"/>
      <c r="D434" s="2148">
        <f t="shared" si="35"/>
        <v>111424</v>
      </c>
      <c r="E434" s="2149">
        <v>5106</v>
      </c>
      <c r="F434" s="2150">
        <v>3454</v>
      </c>
      <c r="G434" s="2149">
        <v>47523</v>
      </c>
      <c r="H434" s="2150">
        <v>55341</v>
      </c>
      <c r="I434" s="2151">
        <f t="shared" si="36"/>
        <v>106318</v>
      </c>
      <c r="J434" s="2150"/>
      <c r="K434" s="2149"/>
      <c r="L434" s="2150"/>
      <c r="M434" s="2152">
        <f t="shared" si="38"/>
        <v>0</v>
      </c>
    </row>
    <row r="435" spans="1:38" s="870" customFormat="1">
      <c r="A435" s="662"/>
      <c r="B435" s="2159" t="s">
        <v>366</v>
      </c>
      <c r="C435" s="2156"/>
      <c r="D435" s="2148">
        <f t="shared" si="35"/>
        <v>2595073</v>
      </c>
      <c r="E435" s="2149">
        <f>SUM(E432:E434)</f>
        <v>17575</v>
      </c>
      <c r="F435" s="2150">
        <f>SUM(F432:F434)</f>
        <v>134464</v>
      </c>
      <c r="G435" s="2149">
        <f>SUM(G432:G434)</f>
        <v>732649</v>
      </c>
      <c r="H435" s="2150">
        <f>SUM(H432:H434)</f>
        <v>1710385</v>
      </c>
      <c r="I435" s="2151">
        <f t="shared" si="36"/>
        <v>2577498</v>
      </c>
      <c r="J435" s="2150">
        <f>SUM(J432:J434)</f>
        <v>0</v>
      </c>
      <c r="K435" s="2149">
        <f>SUM(K432:K434)</f>
        <v>0</v>
      </c>
      <c r="L435" s="2150">
        <f>SUM(L432:L434)</f>
        <v>0</v>
      </c>
      <c r="M435" s="2152">
        <f t="shared" si="38"/>
        <v>0</v>
      </c>
      <c r="N435"/>
      <c r="O435"/>
      <c r="P435"/>
      <c r="Q435"/>
      <c r="R435"/>
      <c r="S435"/>
      <c r="T435"/>
      <c r="U435"/>
      <c r="V435"/>
      <c r="W435"/>
      <c r="X435"/>
      <c r="Y435"/>
      <c r="Z435"/>
      <c r="AA435"/>
      <c r="AB435" s="2976"/>
      <c r="AC435" s="2976"/>
      <c r="AD435" s="2976"/>
      <c r="AE435" s="2976"/>
      <c r="AF435" s="2976"/>
      <c r="AG435" s="2976"/>
      <c r="AH435" s="2976"/>
      <c r="AI435" s="2976"/>
      <c r="AJ435" s="2976"/>
      <c r="AK435" s="2976"/>
      <c r="AL435" s="2976"/>
    </row>
    <row r="436" spans="1:38">
      <c r="A436" s="662"/>
      <c r="B436" s="2159"/>
      <c r="C436" s="2156"/>
      <c r="D436" s="2148">
        <f t="shared" si="35"/>
        <v>0</v>
      </c>
      <c r="E436" s="2149"/>
      <c r="F436" s="2150"/>
      <c r="G436" s="2149"/>
      <c r="H436" s="2150"/>
      <c r="I436" s="2151">
        <f t="shared" si="36"/>
        <v>0</v>
      </c>
      <c r="J436" s="2150"/>
      <c r="K436" s="2149"/>
      <c r="L436" s="2150"/>
      <c r="M436" s="2152">
        <f t="shared" si="38"/>
        <v>0</v>
      </c>
    </row>
    <row r="437" spans="1:38" s="870" customFormat="1">
      <c r="A437" s="662"/>
      <c r="B437" s="2159" t="s">
        <v>367</v>
      </c>
      <c r="C437" s="2156"/>
      <c r="D437" s="2148">
        <f t="shared" si="35"/>
        <v>1993666</v>
      </c>
      <c r="E437" s="2149">
        <f>E420-E428-E430-E435</f>
        <v>713666</v>
      </c>
      <c r="F437" s="2150">
        <f>F420-F428-F430-F435</f>
        <v>6312</v>
      </c>
      <c r="G437" s="2149">
        <f>G420-G428-G430-G435</f>
        <v>601390</v>
      </c>
      <c r="H437" s="2150">
        <f>H420-H428-H430-H435</f>
        <v>672298</v>
      </c>
      <c r="I437" s="2151">
        <f t="shared" si="36"/>
        <v>1280000</v>
      </c>
      <c r="J437" s="2150">
        <f>J420-J428-J430-J435</f>
        <v>0</v>
      </c>
      <c r="K437" s="2149">
        <f>K420-K428-K430-K435</f>
        <v>0</v>
      </c>
      <c r="L437" s="2150">
        <f>L420-L428-L430-L435</f>
        <v>0</v>
      </c>
      <c r="M437" s="2152">
        <f t="shared" si="38"/>
        <v>0</v>
      </c>
      <c r="N437"/>
      <c r="O437"/>
      <c r="P437"/>
      <c r="Q437"/>
      <c r="R437"/>
      <c r="S437"/>
      <c r="T437"/>
      <c r="U437"/>
      <c r="V437"/>
      <c r="W437"/>
      <c r="X437"/>
      <c r="Y437"/>
      <c r="Z437"/>
      <c r="AA437"/>
      <c r="AB437" s="2976"/>
      <c r="AC437" s="2976"/>
      <c r="AD437" s="2976"/>
      <c r="AE437" s="2976"/>
      <c r="AF437" s="2976"/>
      <c r="AG437" s="2976"/>
      <c r="AH437" s="2976"/>
      <c r="AI437" s="2976"/>
      <c r="AJ437" s="2976"/>
      <c r="AK437" s="2976"/>
      <c r="AL437" s="2976"/>
    </row>
    <row r="438" spans="1:38">
      <c r="A438" s="662"/>
      <c r="B438" s="2146" t="s">
        <v>368</v>
      </c>
      <c r="C438" s="2147"/>
      <c r="D438" s="2148">
        <f t="shared" si="35"/>
        <v>510046</v>
      </c>
      <c r="E438" s="2157">
        <v>510046</v>
      </c>
      <c r="F438" s="2150"/>
      <c r="G438" s="2149"/>
      <c r="H438" s="2150"/>
      <c r="I438" s="2151">
        <f t="shared" si="36"/>
        <v>0</v>
      </c>
      <c r="J438" s="2150"/>
      <c r="K438" s="2149"/>
      <c r="L438" s="2150"/>
      <c r="M438" s="2152">
        <f t="shared" si="38"/>
        <v>0</v>
      </c>
    </row>
    <row r="439" spans="1:38">
      <c r="A439" s="662"/>
      <c r="B439" s="2146"/>
      <c r="C439" s="2147"/>
      <c r="D439" s="2148">
        <f t="shared" si="35"/>
        <v>0</v>
      </c>
      <c r="E439" s="2149"/>
      <c r="F439" s="2150"/>
      <c r="G439" s="2149"/>
      <c r="H439" s="2150"/>
      <c r="I439" s="2151">
        <f t="shared" si="36"/>
        <v>0</v>
      </c>
      <c r="J439" s="2150"/>
      <c r="K439" s="2149"/>
      <c r="L439" s="2150"/>
      <c r="M439" s="2152">
        <f t="shared" si="38"/>
        <v>0</v>
      </c>
    </row>
    <row r="440" spans="1:38" s="870" customFormat="1" ht="15" thickBot="1">
      <c r="A440" s="662"/>
      <c r="B440" s="1378" t="s">
        <v>369</v>
      </c>
      <c r="C440" s="1379"/>
      <c r="D440" s="1380">
        <f t="shared" si="35"/>
        <v>1483620</v>
      </c>
      <c r="E440" s="1381">
        <f>E437-E438</f>
        <v>203620</v>
      </c>
      <c r="F440" s="1380">
        <f>F437-F438</f>
        <v>6312</v>
      </c>
      <c r="G440" s="1381">
        <f>G437-G438</f>
        <v>601390</v>
      </c>
      <c r="H440" s="1380">
        <f>H437-H438</f>
        <v>672298</v>
      </c>
      <c r="I440" s="1381">
        <f t="shared" si="36"/>
        <v>1280000</v>
      </c>
      <c r="J440" s="1380">
        <f>J437-J438</f>
        <v>0</v>
      </c>
      <c r="K440" s="1381">
        <f>K437-K438</f>
        <v>0</v>
      </c>
      <c r="L440" s="1380">
        <f>L437-L438</f>
        <v>0</v>
      </c>
      <c r="M440" s="1382">
        <f t="shared" si="38"/>
        <v>0</v>
      </c>
      <c r="N440"/>
      <c r="O440"/>
      <c r="P440"/>
      <c r="Q440"/>
      <c r="R440"/>
      <c r="S440"/>
      <c r="T440"/>
      <c r="U440"/>
      <c r="V440"/>
      <c r="W440"/>
      <c r="X440"/>
      <c r="Y440"/>
      <c r="Z440"/>
      <c r="AA440"/>
      <c r="AB440" s="2976"/>
      <c r="AC440" s="2976"/>
      <c r="AD440" s="2976"/>
      <c r="AE440" s="2976"/>
      <c r="AF440" s="2976"/>
      <c r="AG440" s="2976"/>
      <c r="AH440" s="2976"/>
      <c r="AI440" s="2976"/>
      <c r="AJ440" s="2976"/>
      <c r="AK440" s="2976"/>
      <c r="AL440" s="2976"/>
    </row>
    <row r="441" spans="1:38">
      <c r="A441" s="662"/>
      <c r="B441" s="662"/>
      <c r="C441" s="662"/>
      <c r="D441" s="662"/>
      <c r="E441" s="662"/>
      <c r="F441" s="662"/>
      <c r="G441" s="662"/>
      <c r="H441" s="662"/>
      <c r="I441" s="662"/>
      <c r="J441" s="662"/>
      <c r="K441" s="662"/>
      <c r="L441" s="662"/>
      <c r="M441" s="662"/>
    </row>
    <row r="442" spans="1:38">
      <c r="A442" s="662"/>
      <c r="B442" s="662"/>
      <c r="C442" s="662"/>
      <c r="D442" s="670"/>
      <c r="E442" s="670"/>
      <c r="F442" s="670"/>
      <c r="G442" s="670"/>
      <c r="H442" s="670"/>
      <c r="I442" s="670"/>
      <c r="J442" s="662"/>
      <c r="K442" s="662"/>
      <c r="L442" s="662"/>
      <c r="M442" s="662"/>
    </row>
    <row r="444" spans="1:38" ht="15" thickBot="1"/>
    <row r="445" spans="1:38" ht="17.25" customHeight="1" thickBot="1">
      <c r="A445" s="1361" t="s">
        <v>189</v>
      </c>
      <c r="B445" s="1153" t="s">
        <v>133</v>
      </c>
      <c r="D445" s="662"/>
      <c r="E445" s="662"/>
      <c r="F445" s="662"/>
      <c r="G445" s="662"/>
      <c r="H445" s="662"/>
      <c r="I445" s="662"/>
      <c r="J445" s="662"/>
      <c r="K445" s="662"/>
      <c r="L445" s="3292"/>
      <c r="M445" s="3292" t="s">
        <v>257</v>
      </c>
    </row>
    <row r="446" spans="1:38" ht="17.25" customHeight="1" thickBot="1">
      <c r="A446" s="662"/>
      <c r="B446" s="3331" t="s">
        <v>133</v>
      </c>
      <c r="C446" s="3280" t="s">
        <v>334</v>
      </c>
      <c r="D446" s="3283" t="s">
        <v>260</v>
      </c>
      <c r="E446" s="3283" t="s">
        <v>335</v>
      </c>
      <c r="F446" s="3335" t="s">
        <v>263</v>
      </c>
      <c r="G446" s="3335"/>
      <c r="H446" s="3335"/>
      <c r="I446" s="3335"/>
      <c r="J446" s="3335"/>
      <c r="K446" s="3335"/>
      <c r="L446" s="3335"/>
      <c r="M446" s="3335"/>
    </row>
    <row r="447" spans="1:38" ht="17.25" customHeight="1" thickBot="1">
      <c r="A447" s="662"/>
      <c r="B447" s="3327"/>
      <c r="C447" s="3281"/>
      <c r="D447" s="3284"/>
      <c r="E447" s="3284"/>
      <c r="F447" s="3332" t="s">
        <v>264</v>
      </c>
      <c r="G447" s="3333"/>
      <c r="H447" s="3333"/>
      <c r="I447" s="3334"/>
      <c r="J447" s="3335" t="s">
        <v>336</v>
      </c>
      <c r="K447" s="3335"/>
      <c r="L447" s="3335"/>
      <c r="M447" s="3335"/>
    </row>
    <row r="448" spans="1:38" ht="66" customHeight="1" thickBot="1">
      <c r="A448" s="662"/>
      <c r="B448" s="3327"/>
      <c r="C448" s="3281"/>
      <c r="D448" s="3285"/>
      <c r="E448" s="3285"/>
      <c r="F448" s="2963" t="s">
        <v>267</v>
      </c>
      <c r="G448" s="2963" t="s">
        <v>268</v>
      </c>
      <c r="H448" s="2963" t="s">
        <v>269</v>
      </c>
      <c r="I448" s="2963" t="s">
        <v>160</v>
      </c>
      <c r="J448" s="2964" t="s">
        <v>337</v>
      </c>
      <c r="K448" s="2964" t="s">
        <v>271</v>
      </c>
      <c r="L448" s="2964" t="s">
        <v>338</v>
      </c>
      <c r="M448" s="2964" t="s">
        <v>160</v>
      </c>
    </row>
    <row r="449" spans="1:38" ht="17.25" customHeight="1" thickBot="1">
      <c r="A449" s="662"/>
      <c r="B449" s="3327"/>
      <c r="C449" s="3281"/>
      <c r="D449" s="2972">
        <v>1</v>
      </c>
      <c r="E449" s="3283">
        <v>2</v>
      </c>
      <c r="F449" s="3283">
        <v>3</v>
      </c>
      <c r="G449" s="3283">
        <v>4</v>
      </c>
      <c r="H449" s="3283"/>
      <c r="I449" s="2972">
        <v>6</v>
      </c>
      <c r="J449" s="3283">
        <v>7</v>
      </c>
      <c r="K449" s="3283">
        <v>8</v>
      </c>
      <c r="L449" s="3283">
        <v>9</v>
      </c>
      <c r="M449" s="2972">
        <v>10</v>
      </c>
    </row>
    <row r="450" spans="1:38" ht="15" thickBot="1">
      <c r="A450" s="662"/>
      <c r="B450" s="3328"/>
      <c r="C450" s="3282"/>
      <c r="D450" s="1327" t="s">
        <v>339</v>
      </c>
      <c r="E450" s="3285"/>
      <c r="F450" s="3285"/>
      <c r="G450" s="3285"/>
      <c r="H450" s="3285">
        <v>5</v>
      </c>
      <c r="I450" s="1327" t="s">
        <v>340</v>
      </c>
      <c r="J450" s="3285"/>
      <c r="K450" s="3285"/>
      <c r="L450" s="3285"/>
      <c r="M450" s="1327" t="s">
        <v>341</v>
      </c>
    </row>
    <row r="451" spans="1:38">
      <c r="A451" s="662"/>
      <c r="B451" s="1328" t="s">
        <v>342</v>
      </c>
      <c r="C451" s="907"/>
      <c r="D451" s="1329">
        <f t="shared" ref="D451:D488" si="39">E451+I451+M451</f>
        <v>4810987.6670300001</v>
      </c>
      <c r="E451" s="904"/>
      <c r="F451" s="886">
        <v>57792.294999999998</v>
      </c>
      <c r="G451" s="904">
        <v>2797884.0090300003</v>
      </c>
      <c r="H451" s="886">
        <v>1955311.3629999999</v>
      </c>
      <c r="I451" s="1368">
        <f>F451+G451+H451</f>
        <v>4810987.6670300001</v>
      </c>
      <c r="J451" s="886"/>
      <c r="K451" s="904"/>
      <c r="L451" s="886"/>
      <c r="M451" s="1369">
        <f t="shared" ref="M451:M468" si="40">L451+K451+J451</f>
        <v>0</v>
      </c>
    </row>
    <row r="452" spans="1:38">
      <c r="A452" s="662"/>
      <c r="B452" s="2103"/>
      <c r="C452" s="2141"/>
      <c r="D452" s="2124">
        <f t="shared" si="39"/>
        <v>0</v>
      </c>
      <c r="E452" s="1926"/>
      <c r="F452" s="2114"/>
      <c r="G452" s="1926"/>
      <c r="H452" s="2114"/>
      <c r="I452" s="2142">
        <f t="shared" ref="I452:I488" si="41">F452+G452+H452</f>
        <v>0</v>
      </c>
      <c r="J452" s="2114"/>
      <c r="K452" s="1926"/>
      <c r="L452" s="2114"/>
      <c r="M452" s="2143">
        <f t="shared" si="40"/>
        <v>0</v>
      </c>
    </row>
    <row r="453" spans="1:38">
      <c r="A453" s="662"/>
      <c r="B453" s="2105" t="s">
        <v>343</v>
      </c>
      <c r="C453" s="2141"/>
      <c r="D453" s="2124">
        <f t="shared" si="39"/>
        <v>251292.69407</v>
      </c>
      <c r="E453" s="1926"/>
      <c r="F453" s="2114">
        <v>1162.68247</v>
      </c>
      <c r="G453" s="1926">
        <v>187917.04512</v>
      </c>
      <c r="H453" s="2114">
        <v>62212.966480000003</v>
      </c>
      <c r="I453" s="2142">
        <f t="shared" si="41"/>
        <v>251292.69407</v>
      </c>
      <c r="J453" s="2114"/>
      <c r="K453" s="1926"/>
      <c r="L453" s="2114"/>
      <c r="M453" s="2143">
        <f t="shared" si="40"/>
        <v>0</v>
      </c>
    </row>
    <row r="454" spans="1:38">
      <c r="A454" s="662"/>
      <c r="B454" s="2105"/>
      <c r="C454" s="2141"/>
      <c r="D454" s="2124">
        <f t="shared" si="39"/>
        <v>0</v>
      </c>
      <c r="E454" s="1926"/>
      <c r="F454" s="2114"/>
      <c r="G454" s="1926"/>
      <c r="H454" s="2114"/>
      <c r="I454" s="2142">
        <f t="shared" si="41"/>
        <v>0</v>
      </c>
      <c r="J454" s="2114"/>
      <c r="K454" s="1926"/>
      <c r="L454" s="2114"/>
      <c r="M454" s="2143">
        <f t="shared" si="40"/>
        <v>0</v>
      </c>
    </row>
    <row r="455" spans="1:38" ht="14.25" customHeight="1">
      <c r="A455" s="662"/>
      <c r="B455" s="2106" t="s">
        <v>344</v>
      </c>
      <c r="C455" s="2141"/>
      <c r="D455" s="2124">
        <f t="shared" si="39"/>
        <v>0</v>
      </c>
      <c r="E455" s="1926"/>
      <c r="F455" s="2114"/>
      <c r="G455" s="1926"/>
      <c r="H455" s="2114"/>
      <c r="I455" s="2142">
        <f t="shared" si="41"/>
        <v>0</v>
      </c>
      <c r="J455" s="2114"/>
      <c r="K455" s="1926"/>
      <c r="L455" s="2114"/>
      <c r="M455" s="2143">
        <f t="shared" si="40"/>
        <v>0</v>
      </c>
    </row>
    <row r="456" spans="1:38">
      <c r="A456" s="662"/>
      <c r="B456" s="2103"/>
      <c r="C456" s="2141"/>
      <c r="D456" s="2124">
        <f t="shared" si="39"/>
        <v>0</v>
      </c>
      <c r="E456" s="1926"/>
      <c r="F456" s="2114"/>
      <c r="G456" s="1926"/>
      <c r="H456" s="2114"/>
      <c r="I456" s="2142">
        <f t="shared" si="41"/>
        <v>0</v>
      </c>
      <c r="J456" s="2114"/>
      <c r="K456" s="1926"/>
      <c r="L456" s="2114"/>
      <c r="M456" s="2143">
        <f t="shared" si="40"/>
        <v>0</v>
      </c>
    </row>
    <row r="457" spans="1:38" s="870" customFormat="1">
      <c r="A457" s="662"/>
      <c r="B457" s="2107" t="s">
        <v>345</v>
      </c>
      <c r="C457" s="2144"/>
      <c r="D457" s="2124">
        <f t="shared" si="39"/>
        <v>4559694.9729600009</v>
      </c>
      <c r="E457" s="1926">
        <f>E451-E453+E455</f>
        <v>0</v>
      </c>
      <c r="F457" s="2114">
        <f>F451-F453+F455</f>
        <v>56629.612529999999</v>
      </c>
      <c r="G457" s="1926">
        <f>G451-G453+G455</f>
        <v>2609966.9639100004</v>
      </c>
      <c r="H457" s="2114">
        <f>H451-H453+H455</f>
        <v>1893098.39652</v>
      </c>
      <c r="I457" s="2142">
        <f t="shared" si="41"/>
        <v>4559694.9729600009</v>
      </c>
      <c r="J457" s="2114">
        <f>J451-J453+J455</f>
        <v>0</v>
      </c>
      <c r="K457" s="1926">
        <f>K451-K453+K455</f>
        <v>0</v>
      </c>
      <c r="L457" s="2114">
        <f>L451-L453+L455</f>
        <v>0</v>
      </c>
      <c r="M457" s="2143">
        <f t="shared" si="40"/>
        <v>0</v>
      </c>
      <c r="N457"/>
      <c r="O457"/>
      <c r="P457"/>
      <c r="Q457"/>
      <c r="R457"/>
      <c r="S457"/>
      <c r="T457"/>
      <c r="U457"/>
      <c r="V457"/>
      <c r="W457"/>
      <c r="X457"/>
      <c r="Y457"/>
      <c r="Z457"/>
      <c r="AA457"/>
      <c r="AB457" s="2976"/>
      <c r="AC457" s="2976"/>
      <c r="AD457" s="2976"/>
      <c r="AE457" s="2976"/>
      <c r="AF457" s="2976"/>
      <c r="AG457" s="2976"/>
      <c r="AH457" s="2976"/>
      <c r="AI457" s="2976"/>
      <c r="AJ457" s="2976"/>
      <c r="AK457" s="2976"/>
      <c r="AL457" s="2976"/>
    </row>
    <row r="458" spans="1:38">
      <c r="A458" s="662"/>
      <c r="B458" s="2107"/>
      <c r="C458" s="2144"/>
      <c r="D458" s="2124">
        <f t="shared" si="39"/>
        <v>0</v>
      </c>
      <c r="E458" s="1926"/>
      <c r="F458" s="2114"/>
      <c r="G458" s="1926"/>
      <c r="H458" s="2114"/>
      <c r="I458" s="2142">
        <f t="shared" si="41"/>
        <v>0</v>
      </c>
      <c r="J458" s="2114"/>
      <c r="K458" s="1926"/>
      <c r="L458" s="2114"/>
      <c r="M458" s="2143">
        <f t="shared" si="40"/>
        <v>0</v>
      </c>
    </row>
    <row r="459" spans="1:38" s="870" customFormat="1">
      <c r="A459" s="662"/>
      <c r="B459" s="2107" t="s">
        <v>346</v>
      </c>
      <c r="C459" s="2144"/>
      <c r="D459" s="2124">
        <f t="shared" si="39"/>
        <v>2602528.6492099999</v>
      </c>
      <c r="E459" s="1926">
        <f>SUM(E460:E464)</f>
        <v>1114387.21475</v>
      </c>
      <c r="F459" s="2114">
        <f>SUM(F460:F464)</f>
        <v>-384586.18909</v>
      </c>
      <c r="G459" s="1926">
        <f>SUM(G460:G464)</f>
        <v>957001.67845000001</v>
      </c>
      <c r="H459" s="2114">
        <f>SUM(H460:H464)</f>
        <v>915725.9450999999</v>
      </c>
      <c r="I459" s="2142">
        <f t="shared" si="41"/>
        <v>1488141.4344599999</v>
      </c>
      <c r="J459" s="2114">
        <f>SUM(J460:J464)</f>
        <v>0</v>
      </c>
      <c r="K459" s="1926">
        <f>SUM(K460:K464)</f>
        <v>0</v>
      </c>
      <c r="L459" s="2114">
        <f>SUM(L460:L464)</f>
        <v>0</v>
      </c>
      <c r="M459" s="2143">
        <f t="shared" si="40"/>
        <v>0</v>
      </c>
      <c r="N459"/>
      <c r="O459"/>
      <c r="P459"/>
      <c r="Q459"/>
      <c r="R459"/>
      <c r="S459"/>
      <c r="T459"/>
      <c r="U459"/>
      <c r="V459"/>
      <c r="W459"/>
      <c r="X459"/>
      <c r="Y459"/>
      <c r="Z459"/>
      <c r="AA459"/>
      <c r="AB459" s="2976"/>
      <c r="AC459" s="2976"/>
      <c r="AD459" s="2976"/>
      <c r="AE459" s="2976"/>
      <c r="AF459" s="2976"/>
      <c r="AG459" s="2976"/>
      <c r="AH459" s="2976"/>
      <c r="AI459" s="2976"/>
      <c r="AJ459" s="2976"/>
      <c r="AK459" s="2976"/>
      <c r="AL459" s="2976"/>
    </row>
    <row r="460" spans="1:38">
      <c r="A460" s="662"/>
      <c r="B460" s="2103" t="s">
        <v>347</v>
      </c>
      <c r="C460" s="2141">
        <v>1</v>
      </c>
      <c r="D460" s="2124">
        <f t="shared" si="39"/>
        <v>2823329.6639799997</v>
      </c>
      <c r="E460" s="1926">
        <v>806357.34980000008</v>
      </c>
      <c r="F460" s="2114">
        <v>165118.96442</v>
      </c>
      <c r="G460" s="1926">
        <v>772573.66709000012</v>
      </c>
      <c r="H460" s="2114">
        <v>1079279.6826699998</v>
      </c>
      <c r="I460" s="2142">
        <f t="shared" si="41"/>
        <v>2016972.3141799998</v>
      </c>
      <c r="J460" s="2114"/>
      <c r="K460" s="1926"/>
      <c r="L460" s="2114"/>
      <c r="M460" s="2143">
        <f t="shared" si="40"/>
        <v>0</v>
      </c>
    </row>
    <row r="461" spans="1:38">
      <c r="A461" s="662"/>
      <c r="B461" s="2103" t="s">
        <v>348</v>
      </c>
      <c r="C461" s="2141">
        <v>2</v>
      </c>
      <c r="D461" s="2124">
        <f t="shared" si="39"/>
        <v>57373.220560000002</v>
      </c>
      <c r="E461" s="1926">
        <v>0</v>
      </c>
      <c r="F461" s="2114">
        <v>238.19499999999999</v>
      </c>
      <c r="G461" s="1926">
        <v>43331.26556</v>
      </c>
      <c r="H461" s="2114">
        <v>13803.76</v>
      </c>
      <c r="I461" s="2142">
        <f t="shared" si="41"/>
        <v>57373.220560000002</v>
      </c>
      <c r="J461" s="2114"/>
      <c r="K461" s="1926"/>
      <c r="L461" s="2114"/>
      <c r="M461" s="2143">
        <f t="shared" si="40"/>
        <v>0</v>
      </c>
    </row>
    <row r="462" spans="1:38">
      <c r="A462" s="662"/>
      <c r="B462" s="2103" t="s">
        <v>349</v>
      </c>
      <c r="C462" s="2141"/>
      <c r="D462" s="2124">
        <f t="shared" si="39"/>
        <v>41322.39789</v>
      </c>
      <c r="E462" s="1926">
        <v>26656.160390000001</v>
      </c>
      <c r="F462" s="2114">
        <v>3756.25</v>
      </c>
      <c r="G462" s="1926">
        <v>3471.7532699999992</v>
      </c>
      <c r="H462" s="2114">
        <v>7438.23423</v>
      </c>
      <c r="I462" s="2142">
        <f t="shared" si="41"/>
        <v>14666.237499999999</v>
      </c>
      <c r="J462" s="2114"/>
      <c r="K462" s="1926"/>
      <c r="L462" s="2114"/>
      <c r="M462" s="2143">
        <f t="shared" si="40"/>
        <v>0</v>
      </c>
    </row>
    <row r="463" spans="1:38">
      <c r="A463" s="662"/>
      <c r="B463" s="2103" t="s">
        <v>350</v>
      </c>
      <c r="C463" s="2141"/>
      <c r="D463" s="2124">
        <f t="shared" si="39"/>
        <v>-836845.11483000009</v>
      </c>
      <c r="E463" s="1926">
        <v>-13967.362590000033</v>
      </c>
      <c r="F463" s="2114">
        <v>-554187.21296000003</v>
      </c>
      <c r="G463" s="1926">
        <v>-74652.635660000029</v>
      </c>
      <c r="H463" s="2114">
        <v>-194037.90362</v>
      </c>
      <c r="I463" s="2142">
        <f t="shared" si="41"/>
        <v>-822877.75224000006</v>
      </c>
      <c r="J463" s="2114"/>
      <c r="K463" s="1926"/>
      <c r="L463" s="2114"/>
      <c r="M463" s="2143">
        <f t="shared" si="40"/>
        <v>0</v>
      </c>
    </row>
    <row r="464" spans="1:38">
      <c r="A464" s="662"/>
      <c r="B464" s="2103" t="s">
        <v>351</v>
      </c>
      <c r="C464" s="2141">
        <v>3</v>
      </c>
      <c r="D464" s="2124">
        <f t="shared" si="39"/>
        <v>517348.48161000002</v>
      </c>
      <c r="E464" s="1926">
        <v>295341.06715000002</v>
      </c>
      <c r="F464" s="2114">
        <v>487.61444999999998</v>
      </c>
      <c r="G464" s="1926">
        <v>212277.62819000002</v>
      </c>
      <c r="H464" s="2114">
        <v>9242.1718199999996</v>
      </c>
      <c r="I464" s="2142">
        <f t="shared" si="41"/>
        <v>222007.41446</v>
      </c>
      <c r="J464" s="2114"/>
      <c r="K464" s="1926"/>
      <c r="L464" s="2114"/>
      <c r="M464" s="2143">
        <f t="shared" si="40"/>
        <v>0</v>
      </c>
    </row>
    <row r="465" spans="1:38">
      <c r="A465" s="662"/>
      <c r="B465" s="2103" t="s">
        <v>353</v>
      </c>
      <c r="C465" s="2141"/>
      <c r="D465" s="2124">
        <f t="shared" si="39"/>
        <v>0</v>
      </c>
      <c r="E465" s="1926"/>
      <c r="F465" s="2114"/>
      <c r="G465" s="1926"/>
      <c r="H465" s="2114"/>
      <c r="I465" s="2142">
        <f t="shared" si="41"/>
        <v>0</v>
      </c>
      <c r="J465" s="2114"/>
      <c r="K465" s="1926"/>
      <c r="L465" s="2114"/>
      <c r="M465" s="2143">
        <f t="shared" si="40"/>
        <v>0</v>
      </c>
    </row>
    <row r="466" spans="1:38">
      <c r="A466" s="662"/>
      <c r="B466" s="2103" t="s">
        <v>353</v>
      </c>
      <c r="C466" s="2141"/>
      <c r="D466" s="2124">
        <f t="shared" si="39"/>
        <v>0</v>
      </c>
      <c r="E466" s="1926"/>
      <c r="F466" s="2114"/>
      <c r="G466" s="1926"/>
      <c r="H466" s="2114"/>
      <c r="I466" s="2142">
        <f t="shared" si="41"/>
        <v>0</v>
      </c>
      <c r="J466" s="2114"/>
      <c r="K466" s="1926"/>
      <c r="L466" s="2114"/>
      <c r="M466" s="2143">
        <f t="shared" si="40"/>
        <v>0</v>
      </c>
    </row>
    <row r="467" spans="1:38">
      <c r="A467" s="662"/>
      <c r="B467" s="2103"/>
      <c r="C467" s="2141"/>
      <c r="D467" s="2124">
        <f t="shared" si="39"/>
        <v>0</v>
      </c>
      <c r="E467" s="1926"/>
      <c r="F467" s="2114"/>
      <c r="G467" s="1926"/>
      <c r="H467" s="2114"/>
      <c r="I467" s="2142">
        <f t="shared" si="41"/>
        <v>0</v>
      </c>
      <c r="J467" s="2114"/>
      <c r="K467" s="1926"/>
      <c r="L467" s="2114"/>
      <c r="M467" s="2143">
        <f t="shared" si="40"/>
        <v>0</v>
      </c>
    </row>
    <row r="468" spans="1:38" s="870" customFormat="1">
      <c r="A468" s="662"/>
      <c r="B468" s="2109" t="s">
        <v>354</v>
      </c>
      <c r="C468" s="2144"/>
      <c r="D468" s="2124">
        <f t="shared" si="39"/>
        <v>7162223.6221700003</v>
      </c>
      <c r="E468" s="1926">
        <f>E457+E459</f>
        <v>1114387.21475</v>
      </c>
      <c r="F468" s="2114">
        <f>F457+F459</f>
        <v>-327956.57656000002</v>
      </c>
      <c r="G468" s="1926">
        <f>G457+G459</f>
        <v>3566968.6423600004</v>
      </c>
      <c r="H468" s="2114">
        <f>H457+H459</f>
        <v>2808824.3416200001</v>
      </c>
      <c r="I468" s="2142">
        <f t="shared" si="41"/>
        <v>6047836.4074200001</v>
      </c>
      <c r="J468" s="2114">
        <f>J457+J459</f>
        <v>0</v>
      </c>
      <c r="K468" s="1926">
        <f>K457+K459</f>
        <v>0</v>
      </c>
      <c r="L468" s="2114">
        <f>L457+L459</f>
        <v>0</v>
      </c>
      <c r="M468" s="2143">
        <f t="shared" si="40"/>
        <v>0</v>
      </c>
      <c r="N468"/>
      <c r="O468"/>
      <c r="P468"/>
      <c r="Q468"/>
      <c r="R468"/>
      <c r="S468"/>
      <c r="T468"/>
      <c r="U468"/>
      <c r="V468"/>
      <c r="W468"/>
      <c r="X468"/>
      <c r="Y468"/>
      <c r="Z468"/>
      <c r="AA468"/>
      <c r="AB468" s="2976"/>
      <c r="AC468" s="2976"/>
      <c r="AD468" s="2976"/>
      <c r="AE468" s="2976"/>
      <c r="AF468" s="2976"/>
      <c r="AG468" s="2976"/>
      <c r="AH468" s="2976"/>
      <c r="AI468" s="2976"/>
      <c r="AJ468" s="2976"/>
      <c r="AK468" s="2976"/>
      <c r="AL468" s="2976"/>
    </row>
    <row r="469" spans="1:38">
      <c r="A469" s="662"/>
      <c r="B469" s="2109"/>
      <c r="C469" s="2144"/>
      <c r="D469" s="2124">
        <f t="shared" si="39"/>
        <v>0</v>
      </c>
      <c r="E469" s="1926"/>
      <c r="F469" s="2114"/>
      <c r="G469" s="1926"/>
      <c r="H469" s="2114"/>
      <c r="I469" s="2142">
        <f t="shared" si="41"/>
        <v>0</v>
      </c>
      <c r="J469" s="2114"/>
      <c r="K469" s="1926"/>
      <c r="L469" s="2114"/>
      <c r="M469" s="2143"/>
    </row>
    <row r="470" spans="1:38">
      <c r="A470" s="662"/>
      <c r="B470" s="2103" t="s">
        <v>355</v>
      </c>
      <c r="C470" s="2141"/>
      <c r="D470" s="2124">
        <f t="shared" si="39"/>
        <v>3155365.3097100006</v>
      </c>
      <c r="E470" s="1926"/>
      <c r="F470" s="2114">
        <v>245724.55320000002</v>
      </c>
      <c r="G470" s="1926">
        <v>1995283.2596600002</v>
      </c>
      <c r="H470" s="2114">
        <v>914357.49685</v>
      </c>
      <c r="I470" s="2142">
        <f t="shared" si="41"/>
        <v>3155365.3097100006</v>
      </c>
      <c r="J470" s="2114"/>
      <c r="K470" s="1926"/>
      <c r="L470" s="2114"/>
      <c r="M470" s="2143">
        <f t="shared" ref="M470:M488" si="42">L470+K470+J470</f>
        <v>0</v>
      </c>
    </row>
    <row r="471" spans="1:38">
      <c r="A471" s="662"/>
      <c r="B471" s="2103" t="s">
        <v>356</v>
      </c>
      <c r="C471" s="2141"/>
      <c r="D471" s="2124">
        <f t="shared" si="39"/>
        <v>-365554.98507</v>
      </c>
      <c r="E471" s="1926"/>
      <c r="F471" s="2114"/>
      <c r="G471" s="1926">
        <v>-365554.98507</v>
      </c>
      <c r="H471" s="2114">
        <v>0</v>
      </c>
      <c r="I471" s="2142">
        <f t="shared" si="41"/>
        <v>-365554.98507</v>
      </c>
      <c r="J471" s="2114"/>
      <c r="K471" s="1926"/>
      <c r="L471" s="2114"/>
      <c r="M471" s="2143">
        <f t="shared" si="42"/>
        <v>0</v>
      </c>
    </row>
    <row r="472" spans="1:38">
      <c r="A472" s="662"/>
      <c r="B472" s="2103" t="s">
        <v>357</v>
      </c>
      <c r="C472" s="2141"/>
      <c r="D472" s="2124">
        <f t="shared" si="39"/>
        <v>0</v>
      </c>
      <c r="E472" s="1926"/>
      <c r="F472" s="2114"/>
      <c r="G472" s="1926"/>
      <c r="H472" s="2114"/>
      <c r="I472" s="2142">
        <f t="shared" si="41"/>
        <v>0</v>
      </c>
      <c r="J472" s="2114"/>
      <c r="K472" s="1926"/>
      <c r="L472" s="2114"/>
      <c r="M472" s="2143">
        <f t="shared" si="42"/>
        <v>0</v>
      </c>
    </row>
    <row r="473" spans="1:38" ht="13.5" customHeight="1">
      <c r="A473" s="662"/>
      <c r="B473" s="2110" t="s">
        <v>358</v>
      </c>
      <c r="C473" s="2141"/>
      <c r="D473" s="2124">
        <f t="shared" si="39"/>
        <v>0</v>
      </c>
      <c r="E473" s="1926"/>
      <c r="F473" s="2114"/>
      <c r="G473" s="1926"/>
      <c r="H473" s="2114"/>
      <c r="I473" s="2142">
        <f t="shared" si="41"/>
        <v>0</v>
      </c>
      <c r="J473" s="2114"/>
      <c r="K473" s="1926"/>
      <c r="L473" s="2114"/>
      <c r="M473" s="2143">
        <f t="shared" si="42"/>
        <v>0</v>
      </c>
    </row>
    <row r="474" spans="1:38">
      <c r="A474" s="662"/>
      <c r="B474" s="2103" t="s">
        <v>359</v>
      </c>
      <c r="C474" s="2141"/>
      <c r="D474" s="2124">
        <f t="shared" si="39"/>
        <v>138767.17949000001</v>
      </c>
      <c r="E474" s="1926"/>
      <c r="F474" s="2114">
        <v>-639461.39904916193</v>
      </c>
      <c r="G474" s="1926">
        <v>218870.70785859844</v>
      </c>
      <c r="H474" s="2114">
        <v>559357.8706805635</v>
      </c>
      <c r="I474" s="2142">
        <f t="shared" si="41"/>
        <v>138767.17949000001</v>
      </c>
      <c r="J474" s="2114"/>
      <c r="K474" s="1926"/>
      <c r="L474" s="2114"/>
      <c r="M474" s="2143">
        <f t="shared" si="42"/>
        <v>0</v>
      </c>
    </row>
    <row r="475" spans="1:38" ht="26.45">
      <c r="A475" s="662"/>
      <c r="B475" s="2110" t="s">
        <v>360</v>
      </c>
      <c r="C475" s="2141"/>
      <c r="D475" s="2124">
        <f t="shared" si="39"/>
        <v>0</v>
      </c>
      <c r="E475" s="1926"/>
      <c r="F475" s="2114"/>
      <c r="G475" s="1926"/>
      <c r="H475" s="2114"/>
      <c r="I475" s="2142">
        <f t="shared" si="41"/>
        <v>0</v>
      </c>
      <c r="J475" s="2114"/>
      <c r="K475" s="1926"/>
      <c r="L475" s="2114"/>
      <c r="M475" s="2143">
        <f t="shared" si="42"/>
        <v>0</v>
      </c>
    </row>
    <row r="476" spans="1:38" s="870" customFormat="1">
      <c r="A476" s="662"/>
      <c r="B476" s="2109" t="s">
        <v>361</v>
      </c>
      <c r="C476" s="2144"/>
      <c r="D476" s="2124">
        <f t="shared" si="39"/>
        <v>2928577.5041300002</v>
      </c>
      <c r="E476" s="1926">
        <f>SUM(E470:E475)</f>
        <v>0</v>
      </c>
      <c r="F476" s="2114">
        <f>SUM(F470:F475)</f>
        <v>-393736.84584916191</v>
      </c>
      <c r="G476" s="1926">
        <f>SUM(G470:G475)</f>
        <v>1848598.9824485988</v>
      </c>
      <c r="H476" s="2114">
        <f>SUM(H470:H475)</f>
        <v>1473715.3675305634</v>
      </c>
      <c r="I476" s="2142">
        <f t="shared" si="41"/>
        <v>2928577.5041300002</v>
      </c>
      <c r="J476" s="2114">
        <f>SUM(J470:J475)</f>
        <v>0</v>
      </c>
      <c r="K476" s="1926">
        <f>SUM(K470:K475)</f>
        <v>0</v>
      </c>
      <c r="L476" s="2114">
        <f>SUM(L470:L475)</f>
        <v>0</v>
      </c>
      <c r="M476" s="2143">
        <f t="shared" si="42"/>
        <v>0</v>
      </c>
      <c r="N476"/>
      <c r="O476"/>
      <c r="P476"/>
      <c r="Q476"/>
      <c r="R476"/>
      <c r="S476"/>
      <c r="T476"/>
      <c r="U476"/>
      <c r="V476"/>
      <c r="W476"/>
      <c r="X476"/>
      <c r="Y476"/>
      <c r="Z476"/>
      <c r="AA476"/>
      <c r="AB476" s="2976"/>
      <c r="AC476" s="2976"/>
      <c r="AD476" s="2976"/>
      <c r="AE476" s="2976"/>
      <c r="AF476" s="2976"/>
      <c r="AG476" s="2976"/>
      <c r="AH476" s="2976"/>
      <c r="AI476" s="2976"/>
      <c r="AJ476" s="2976"/>
      <c r="AK476" s="2976"/>
      <c r="AL476" s="2976"/>
    </row>
    <row r="477" spans="1:38">
      <c r="A477" s="662"/>
      <c r="B477" s="2103"/>
      <c r="C477" s="2141"/>
      <c r="D477" s="2124">
        <f t="shared" si="39"/>
        <v>0</v>
      </c>
      <c r="E477" s="1926"/>
      <c r="F477" s="2114"/>
      <c r="G477" s="1926"/>
      <c r="H477" s="2114"/>
      <c r="I477" s="2142">
        <f t="shared" si="41"/>
        <v>0</v>
      </c>
      <c r="J477" s="2114"/>
      <c r="K477" s="1926"/>
      <c r="L477" s="2114"/>
      <c r="M477" s="2143">
        <f t="shared" si="42"/>
        <v>0</v>
      </c>
    </row>
    <row r="478" spans="1:38" ht="26.45">
      <c r="A478" s="662"/>
      <c r="B478" s="2110" t="s">
        <v>362</v>
      </c>
      <c r="C478" s="2141"/>
      <c r="D478" s="2124">
        <f t="shared" si="39"/>
        <v>1684465.23594</v>
      </c>
      <c r="E478" s="1926"/>
      <c r="F478" s="2114">
        <v>385.55809999999997</v>
      </c>
      <c r="G478" s="1926">
        <v>821539.30820819992</v>
      </c>
      <c r="H478" s="2114">
        <v>862540.3696318001</v>
      </c>
      <c r="I478" s="2142">
        <f t="shared" si="41"/>
        <v>1684465.23594</v>
      </c>
      <c r="J478" s="2114"/>
      <c r="K478" s="1926"/>
      <c r="L478" s="2114"/>
      <c r="M478" s="2143">
        <f t="shared" si="42"/>
        <v>0</v>
      </c>
    </row>
    <row r="479" spans="1:38">
      <c r="A479" s="662"/>
      <c r="B479" s="2103"/>
      <c r="C479" s="2141"/>
      <c r="D479" s="2124">
        <f t="shared" si="39"/>
        <v>0</v>
      </c>
      <c r="E479" s="1926"/>
      <c r="F479" s="2114"/>
      <c r="G479" s="1926"/>
      <c r="H479" s="2114"/>
      <c r="I479" s="2142">
        <f t="shared" si="41"/>
        <v>0</v>
      </c>
      <c r="J479" s="2114"/>
      <c r="K479" s="1926"/>
      <c r="L479" s="2114"/>
      <c r="M479" s="2143">
        <f t="shared" si="42"/>
        <v>0</v>
      </c>
    </row>
    <row r="480" spans="1:38" ht="15.75" customHeight="1">
      <c r="A480" s="662"/>
      <c r="B480" s="2110" t="s">
        <v>363</v>
      </c>
      <c r="C480" s="2141">
        <v>4</v>
      </c>
      <c r="D480" s="2124">
        <f t="shared" si="39"/>
        <v>1716735.587599996</v>
      </c>
      <c r="E480" s="1926">
        <v>359936.50881000003</v>
      </c>
      <c r="F480" s="2114">
        <v>61848.742969285981</v>
      </c>
      <c r="G480" s="1926">
        <v>848123.90107821766</v>
      </c>
      <c r="H480" s="2114">
        <v>446826.43474249239</v>
      </c>
      <c r="I480" s="2142">
        <f t="shared" si="41"/>
        <v>1356799.078789996</v>
      </c>
      <c r="J480" s="2114"/>
      <c r="K480" s="1926"/>
      <c r="L480" s="2114"/>
      <c r="M480" s="2143">
        <f t="shared" si="42"/>
        <v>0</v>
      </c>
    </row>
    <row r="481" spans="1:38">
      <c r="A481" s="662"/>
      <c r="B481" s="2103" t="s">
        <v>364</v>
      </c>
      <c r="C481" s="2141"/>
      <c r="D481" s="2124">
        <f t="shared" si="39"/>
        <v>0</v>
      </c>
      <c r="E481" s="1926"/>
      <c r="F481" s="2114"/>
      <c r="G481" s="1926"/>
      <c r="H481" s="2114"/>
      <c r="I481" s="2142">
        <f t="shared" si="41"/>
        <v>0</v>
      </c>
      <c r="J481" s="2114"/>
      <c r="K481" s="1926"/>
      <c r="L481" s="2114"/>
      <c r="M481" s="2143">
        <f t="shared" si="42"/>
        <v>0</v>
      </c>
    </row>
    <row r="482" spans="1:38">
      <c r="A482" s="662"/>
      <c r="B482" s="2103" t="s">
        <v>365</v>
      </c>
      <c r="C482" s="2141"/>
      <c r="D482" s="2124">
        <f t="shared" si="39"/>
        <v>89565.71011999996</v>
      </c>
      <c r="E482" s="1926">
        <v>11571.121560000001</v>
      </c>
      <c r="F482" s="2114">
        <v>3545.9682198759556</v>
      </c>
      <c r="G482" s="1926">
        <v>48706.450624980171</v>
      </c>
      <c r="H482" s="2114">
        <v>25742.169715143835</v>
      </c>
      <c r="I482" s="2142">
        <f t="shared" si="41"/>
        <v>77994.58855999996</v>
      </c>
      <c r="J482" s="2114"/>
      <c r="K482" s="1926"/>
      <c r="L482" s="2114"/>
      <c r="M482" s="2143">
        <f t="shared" si="42"/>
        <v>0</v>
      </c>
    </row>
    <row r="483" spans="1:38" s="870" customFormat="1">
      <c r="A483" s="662"/>
      <c r="B483" s="2109" t="s">
        <v>366</v>
      </c>
      <c r="C483" s="2144"/>
      <c r="D483" s="2124">
        <f t="shared" si="39"/>
        <v>1806301.297719996</v>
      </c>
      <c r="E483" s="1926">
        <f>SUM(E480:E482)</f>
        <v>371507.63037000003</v>
      </c>
      <c r="F483" s="2114">
        <f>SUM(F480:F482)</f>
        <v>65394.711189161935</v>
      </c>
      <c r="G483" s="1926">
        <f>SUM(G480:G482)</f>
        <v>896830.35170319781</v>
      </c>
      <c r="H483" s="2114">
        <f>SUM(H480:H482)</f>
        <v>472568.60445763625</v>
      </c>
      <c r="I483" s="2142">
        <f t="shared" si="41"/>
        <v>1434793.667349996</v>
      </c>
      <c r="J483" s="2114">
        <f>SUM(J480:J482)</f>
        <v>0</v>
      </c>
      <c r="K483" s="1926">
        <f>SUM(K480:K482)</f>
        <v>0</v>
      </c>
      <c r="L483" s="2114">
        <f>SUM(L480:L482)</f>
        <v>0</v>
      </c>
      <c r="M483" s="2143">
        <f t="shared" si="42"/>
        <v>0</v>
      </c>
      <c r="N483"/>
      <c r="O483"/>
      <c r="P483"/>
      <c r="Q483"/>
      <c r="R483"/>
      <c r="S483"/>
      <c r="T483"/>
      <c r="U483"/>
      <c r="V483"/>
      <c r="W483"/>
      <c r="X483"/>
      <c r="Y483"/>
      <c r="Z483"/>
      <c r="AA483"/>
      <c r="AB483" s="2976"/>
      <c r="AC483" s="2976"/>
      <c r="AD483" s="2976"/>
      <c r="AE483" s="2976"/>
      <c r="AF483" s="2976"/>
      <c r="AG483" s="2976"/>
      <c r="AH483" s="2976"/>
      <c r="AI483" s="2976"/>
      <c r="AJ483" s="2976"/>
      <c r="AK483" s="2976"/>
      <c r="AL483" s="2976"/>
    </row>
    <row r="484" spans="1:38">
      <c r="A484" s="662"/>
      <c r="B484" s="2109"/>
      <c r="C484" s="2144"/>
      <c r="D484" s="2124">
        <f t="shared" si="39"/>
        <v>0</v>
      </c>
      <c r="E484" s="1926"/>
      <c r="F484" s="2114"/>
      <c r="G484" s="1926"/>
      <c r="H484" s="2114"/>
      <c r="I484" s="2142">
        <f t="shared" si="41"/>
        <v>0</v>
      </c>
      <c r="J484" s="2114"/>
      <c r="K484" s="1926"/>
      <c r="L484" s="2114"/>
      <c r="M484" s="2143">
        <f t="shared" si="42"/>
        <v>0</v>
      </c>
    </row>
    <row r="485" spans="1:38">
      <c r="A485" s="662"/>
      <c r="B485" s="2109" t="s">
        <v>367</v>
      </c>
      <c r="C485" s="2144"/>
      <c r="D485" s="2124">
        <f t="shared" si="39"/>
        <v>742879.58438000386</v>
      </c>
      <c r="E485" s="1926">
        <f>E468-E476-E478-E483</f>
        <v>742879.58438000001</v>
      </c>
      <c r="F485" s="2114">
        <f>F468-F476-F478-F483</f>
        <v>0</v>
      </c>
      <c r="G485" s="1926">
        <f>G468-G476-G478-G483</f>
        <v>3.8417056202888489E-9</v>
      </c>
      <c r="H485" s="2114">
        <f>H468-H476-H478-H483</f>
        <v>0</v>
      </c>
      <c r="I485" s="2142">
        <f t="shared" si="41"/>
        <v>3.8417056202888489E-9</v>
      </c>
      <c r="J485" s="2114">
        <f>J468-J476-J478-J483</f>
        <v>0</v>
      </c>
      <c r="K485" s="1926">
        <f>K468-K476-K478-K483</f>
        <v>0</v>
      </c>
      <c r="L485" s="2114">
        <f>L468-L476-L478-L483</f>
        <v>0</v>
      </c>
      <c r="M485" s="2143">
        <f t="shared" si="42"/>
        <v>0</v>
      </c>
    </row>
    <row r="486" spans="1:38">
      <c r="A486" s="662"/>
      <c r="B486" s="2103" t="s">
        <v>368</v>
      </c>
      <c r="C486" s="2141"/>
      <c r="D486" s="2124">
        <f t="shared" si="39"/>
        <v>164689.04415999999</v>
      </c>
      <c r="E486" s="1926">
        <v>164689.04415999999</v>
      </c>
      <c r="F486" s="2114"/>
      <c r="G486" s="1926"/>
      <c r="H486" s="2114"/>
      <c r="I486" s="2142">
        <f t="shared" si="41"/>
        <v>0</v>
      </c>
      <c r="J486" s="2114"/>
      <c r="K486" s="1926"/>
      <c r="L486" s="2114"/>
      <c r="M486" s="2143">
        <f t="shared" si="42"/>
        <v>0</v>
      </c>
    </row>
    <row r="487" spans="1:38">
      <c r="A487" s="662"/>
      <c r="B487" s="2103"/>
      <c r="C487" s="2141"/>
      <c r="D487" s="2124">
        <f t="shared" si="39"/>
        <v>0</v>
      </c>
      <c r="E487" s="1926"/>
      <c r="F487" s="2114"/>
      <c r="G487" s="1926"/>
      <c r="H487" s="2114"/>
      <c r="I487" s="2142">
        <f t="shared" si="41"/>
        <v>0</v>
      </c>
      <c r="J487" s="2114"/>
      <c r="K487" s="1926"/>
      <c r="L487" s="2114"/>
      <c r="M487" s="2143">
        <f t="shared" si="42"/>
        <v>0</v>
      </c>
    </row>
    <row r="488" spans="1:38" ht="15" thickBot="1">
      <c r="A488" s="662"/>
      <c r="B488" s="1338" t="s">
        <v>369</v>
      </c>
      <c r="C488" s="1370"/>
      <c r="D488" s="1350">
        <f t="shared" si="39"/>
        <v>578190.54022000392</v>
      </c>
      <c r="E488" s="1360">
        <f>E485-E486</f>
        <v>578190.54022000008</v>
      </c>
      <c r="F488" s="1350">
        <f>F485-F486</f>
        <v>0</v>
      </c>
      <c r="G488" s="1360">
        <f>G485-G486</f>
        <v>3.8417056202888489E-9</v>
      </c>
      <c r="H488" s="1350">
        <f>H485-H486</f>
        <v>0</v>
      </c>
      <c r="I488" s="1360">
        <f t="shared" si="41"/>
        <v>3.8417056202888489E-9</v>
      </c>
      <c r="J488" s="1350">
        <f>J485-J486</f>
        <v>0</v>
      </c>
      <c r="K488" s="1360">
        <f>K485-K486</f>
        <v>0</v>
      </c>
      <c r="L488" s="1350">
        <f>L485-L486</f>
        <v>0</v>
      </c>
      <c r="M488" s="1371">
        <f t="shared" si="42"/>
        <v>0</v>
      </c>
    </row>
    <row r="489" spans="1:38">
      <c r="A489" s="662"/>
      <c r="B489" s="662"/>
      <c r="C489" s="662"/>
      <c r="D489" s="670"/>
      <c r="E489" s="670"/>
      <c r="F489" s="662"/>
      <c r="G489" s="662"/>
      <c r="H489" s="662"/>
      <c r="I489" s="662"/>
      <c r="J489" s="662"/>
      <c r="K489" s="662"/>
      <c r="L489" s="662"/>
      <c r="M489" s="662"/>
    </row>
    <row r="490" spans="1:38">
      <c r="A490" s="662"/>
      <c r="B490" s="662"/>
      <c r="C490" s="662"/>
      <c r="D490" s="662"/>
      <c r="E490" s="662"/>
      <c r="F490" s="662"/>
      <c r="G490" s="662"/>
      <c r="H490" s="662"/>
      <c r="I490" s="662"/>
      <c r="J490" s="662"/>
      <c r="K490" s="662"/>
      <c r="L490" s="662"/>
      <c r="M490" s="662"/>
    </row>
    <row r="492" spans="1:38" ht="15" thickBot="1"/>
    <row r="493" spans="1:38" ht="17.25" customHeight="1" thickBot="1">
      <c r="A493" s="1361" t="s">
        <v>190</v>
      </c>
      <c r="B493" s="1153" t="s">
        <v>106</v>
      </c>
      <c r="D493" s="662"/>
      <c r="E493" s="662"/>
      <c r="F493" s="662"/>
      <c r="G493" s="662"/>
      <c r="H493" s="662"/>
      <c r="I493" s="662"/>
      <c r="J493" s="662"/>
      <c r="K493" s="662"/>
      <c r="L493" s="3292"/>
      <c r="M493" s="3292" t="s">
        <v>257</v>
      </c>
    </row>
    <row r="494" spans="1:38" ht="17.25" customHeight="1" thickBot="1">
      <c r="A494" s="662"/>
      <c r="B494" s="3331" t="s">
        <v>106</v>
      </c>
      <c r="C494" s="3280" t="s">
        <v>334</v>
      </c>
      <c r="D494" s="3283" t="s">
        <v>260</v>
      </c>
      <c r="E494" s="3283" t="s">
        <v>335</v>
      </c>
      <c r="F494" s="3335" t="s">
        <v>263</v>
      </c>
      <c r="G494" s="3335"/>
      <c r="H494" s="3335"/>
      <c r="I494" s="3335"/>
      <c r="J494" s="3335"/>
      <c r="K494" s="3335"/>
      <c r="L494" s="3335"/>
      <c r="M494" s="3335"/>
    </row>
    <row r="495" spans="1:38" ht="17.25" customHeight="1" thickBot="1">
      <c r="A495" s="662"/>
      <c r="B495" s="3327"/>
      <c r="C495" s="3281"/>
      <c r="D495" s="3284"/>
      <c r="E495" s="3284"/>
      <c r="F495" s="3332" t="s">
        <v>264</v>
      </c>
      <c r="G495" s="3333"/>
      <c r="H495" s="3333"/>
      <c r="I495" s="3334"/>
      <c r="J495" s="3335" t="s">
        <v>336</v>
      </c>
      <c r="K495" s="3335"/>
      <c r="L495" s="3335"/>
      <c r="M495" s="3335"/>
    </row>
    <row r="496" spans="1:38" ht="56.45" customHeight="1" thickBot="1">
      <c r="A496" s="662"/>
      <c r="B496" s="3327"/>
      <c r="C496" s="3281"/>
      <c r="D496" s="3285"/>
      <c r="E496" s="3285"/>
      <c r="F496" s="2963" t="s">
        <v>267</v>
      </c>
      <c r="G496" s="2963" t="s">
        <v>268</v>
      </c>
      <c r="H496" s="2963" t="s">
        <v>269</v>
      </c>
      <c r="I496" s="2963" t="s">
        <v>160</v>
      </c>
      <c r="J496" s="2964" t="s">
        <v>337</v>
      </c>
      <c r="K496" s="2964" t="s">
        <v>271</v>
      </c>
      <c r="L496" s="2964" t="s">
        <v>338</v>
      </c>
      <c r="M496" s="2964" t="s">
        <v>160</v>
      </c>
    </row>
    <row r="497" spans="1:38" ht="17.25" customHeight="1" thickBot="1">
      <c r="A497" s="662"/>
      <c r="B497" s="3327"/>
      <c r="C497" s="3281"/>
      <c r="D497" s="2972">
        <v>1</v>
      </c>
      <c r="E497" s="3283">
        <v>2</v>
      </c>
      <c r="F497" s="3283">
        <v>3</v>
      </c>
      <c r="G497" s="3283">
        <v>4</v>
      </c>
      <c r="H497" s="3283"/>
      <c r="I497" s="2972">
        <v>6</v>
      </c>
      <c r="J497" s="3283">
        <v>7</v>
      </c>
      <c r="K497" s="3283">
        <v>8</v>
      </c>
      <c r="L497" s="3283">
        <v>9</v>
      </c>
      <c r="M497" s="2972">
        <v>10</v>
      </c>
    </row>
    <row r="498" spans="1:38" ht="15" thickBot="1">
      <c r="A498" s="662"/>
      <c r="B498" s="3328"/>
      <c r="C498" s="3282"/>
      <c r="D498" s="1327" t="s">
        <v>339</v>
      </c>
      <c r="E498" s="3285"/>
      <c r="F498" s="3285"/>
      <c r="G498" s="3285"/>
      <c r="H498" s="3285">
        <v>5</v>
      </c>
      <c r="I498" s="1327" t="s">
        <v>340</v>
      </c>
      <c r="J498" s="3285"/>
      <c r="K498" s="3285"/>
      <c r="L498" s="3285"/>
      <c r="M498" s="1327" t="s">
        <v>341</v>
      </c>
    </row>
    <row r="499" spans="1:38">
      <c r="A499" s="662"/>
      <c r="B499" s="1367" t="s">
        <v>342</v>
      </c>
      <c r="C499" s="906"/>
      <c r="D499" s="1329">
        <f t="shared" ref="D499:D536" si="43">E499+I499+M499</f>
        <v>753996.95799999987</v>
      </c>
      <c r="E499" s="904"/>
      <c r="F499" s="886">
        <v>396920.82199999999</v>
      </c>
      <c r="G499" s="904">
        <v>357076.13599999994</v>
      </c>
      <c r="H499" s="886"/>
      <c r="I499" s="1368">
        <f t="shared" ref="I499:I536" si="44">F499+G499+H499</f>
        <v>753996.95799999987</v>
      </c>
      <c r="J499" s="886"/>
      <c r="K499" s="904"/>
      <c r="L499" s="886"/>
      <c r="M499" s="1369">
        <f t="shared" ref="M499:M516" si="45">L499+K499+J499</f>
        <v>0</v>
      </c>
    </row>
    <row r="500" spans="1:38">
      <c r="A500" s="662"/>
      <c r="B500" s="2103"/>
      <c r="C500" s="2141"/>
      <c r="D500" s="2124">
        <f t="shared" si="43"/>
        <v>0</v>
      </c>
      <c r="E500" s="1926"/>
      <c r="F500" s="2114"/>
      <c r="G500" s="1926"/>
      <c r="H500" s="2114"/>
      <c r="I500" s="2142">
        <f t="shared" si="44"/>
        <v>0</v>
      </c>
      <c r="J500" s="2114"/>
      <c r="K500" s="1926"/>
      <c r="L500" s="2114"/>
      <c r="M500" s="2143">
        <f t="shared" si="45"/>
        <v>0</v>
      </c>
    </row>
    <row r="501" spans="1:38">
      <c r="A501" s="662"/>
      <c r="B501" s="2105" t="s">
        <v>343</v>
      </c>
      <c r="C501" s="2141"/>
      <c r="D501" s="2124">
        <f t="shared" si="43"/>
        <v>3500</v>
      </c>
      <c r="E501" s="1926"/>
      <c r="F501" s="2114">
        <v>2372.1</v>
      </c>
      <c r="G501" s="1926">
        <v>1127.9000000000001</v>
      </c>
      <c r="H501" s="2114"/>
      <c r="I501" s="2142">
        <f t="shared" si="44"/>
        <v>3500</v>
      </c>
      <c r="J501" s="2114"/>
      <c r="K501" s="1926"/>
      <c r="L501" s="2114"/>
      <c r="M501" s="2143">
        <f t="shared" si="45"/>
        <v>0</v>
      </c>
    </row>
    <row r="502" spans="1:38">
      <c r="A502" s="662"/>
      <c r="B502" s="2105"/>
      <c r="C502" s="2141"/>
      <c r="D502" s="2124">
        <f t="shared" si="43"/>
        <v>0</v>
      </c>
      <c r="E502" s="1926"/>
      <c r="F502" s="2114"/>
      <c r="G502" s="1926"/>
      <c r="H502" s="2114"/>
      <c r="I502" s="2142">
        <f t="shared" si="44"/>
        <v>0</v>
      </c>
      <c r="J502" s="2114"/>
      <c r="K502" s="1926"/>
      <c r="L502" s="2114"/>
      <c r="M502" s="2143">
        <f t="shared" si="45"/>
        <v>0</v>
      </c>
    </row>
    <row r="503" spans="1:38" ht="14.25" customHeight="1">
      <c r="A503" s="662"/>
      <c r="B503" s="2106" t="s">
        <v>344</v>
      </c>
      <c r="C503" s="2141"/>
      <c r="D503" s="2124">
        <f t="shared" si="43"/>
        <v>0</v>
      </c>
      <c r="E503" s="1926"/>
      <c r="F503" s="2114"/>
      <c r="G503" s="1926"/>
      <c r="H503" s="2114"/>
      <c r="I503" s="2142">
        <f t="shared" si="44"/>
        <v>0</v>
      </c>
      <c r="J503" s="2114"/>
      <c r="K503" s="1926"/>
      <c r="L503" s="2114"/>
      <c r="M503" s="2143">
        <f t="shared" si="45"/>
        <v>0</v>
      </c>
    </row>
    <row r="504" spans="1:38">
      <c r="A504" s="662"/>
      <c r="B504" s="2103"/>
      <c r="C504" s="2141"/>
      <c r="D504" s="2124">
        <f t="shared" si="43"/>
        <v>0</v>
      </c>
      <c r="E504" s="1926"/>
      <c r="F504" s="2114"/>
      <c r="G504" s="1926"/>
      <c r="H504" s="2114"/>
      <c r="I504" s="2142">
        <f t="shared" si="44"/>
        <v>0</v>
      </c>
      <c r="J504" s="2114"/>
      <c r="K504" s="1926"/>
      <c r="L504" s="2114"/>
      <c r="M504" s="2143">
        <f t="shared" si="45"/>
        <v>0</v>
      </c>
    </row>
    <row r="505" spans="1:38" s="870" customFormat="1">
      <c r="A505" s="662"/>
      <c r="B505" s="2107" t="s">
        <v>345</v>
      </c>
      <c r="C505" s="2144"/>
      <c r="D505" s="2124">
        <f t="shared" si="43"/>
        <v>750496.95799999987</v>
      </c>
      <c r="E505" s="1926">
        <f>E499-E501+E503</f>
        <v>0</v>
      </c>
      <c r="F505" s="2114">
        <f>F499-F501+F503</f>
        <v>394548.72200000001</v>
      </c>
      <c r="G505" s="1926">
        <f>G499-G501+G503</f>
        <v>355948.23599999992</v>
      </c>
      <c r="H505" s="2114">
        <f>H499-H501+H503</f>
        <v>0</v>
      </c>
      <c r="I505" s="2142">
        <f t="shared" si="44"/>
        <v>750496.95799999987</v>
      </c>
      <c r="J505" s="2114">
        <f>J499-J501+J503</f>
        <v>0</v>
      </c>
      <c r="K505" s="1926">
        <f>K499-K501+K503</f>
        <v>0</v>
      </c>
      <c r="L505" s="2114">
        <f>L499-L501+L503</f>
        <v>0</v>
      </c>
      <c r="M505" s="2143">
        <f t="shared" si="45"/>
        <v>0</v>
      </c>
      <c r="N505"/>
      <c r="O505"/>
      <c r="P505"/>
      <c r="Q505"/>
      <c r="R505"/>
      <c r="S505"/>
      <c r="T505"/>
      <c r="U505"/>
      <c r="V505"/>
      <c r="W505"/>
      <c r="X505"/>
      <c r="Y505"/>
      <c r="Z505"/>
      <c r="AA505"/>
      <c r="AB505" s="2976"/>
      <c r="AC505" s="2976"/>
      <c r="AD505" s="2976"/>
      <c r="AE505" s="2976"/>
      <c r="AF505" s="2976"/>
      <c r="AG505" s="2976"/>
      <c r="AH505" s="2976"/>
      <c r="AI505" s="2976"/>
      <c r="AJ505" s="2976"/>
      <c r="AK505" s="2976"/>
      <c r="AL505" s="2976"/>
    </row>
    <row r="506" spans="1:38">
      <c r="A506" s="662"/>
      <c r="B506" s="2107"/>
      <c r="C506" s="2144"/>
      <c r="D506" s="2124">
        <f t="shared" si="43"/>
        <v>0</v>
      </c>
      <c r="E506" s="1926"/>
      <c r="F506" s="2114"/>
      <c r="G506" s="1926"/>
      <c r="H506" s="2114"/>
      <c r="I506" s="2142">
        <f t="shared" si="44"/>
        <v>0</v>
      </c>
      <c r="J506" s="2114"/>
      <c r="K506" s="1926"/>
      <c r="L506" s="2114"/>
      <c r="M506" s="2143">
        <f t="shared" si="45"/>
        <v>0</v>
      </c>
    </row>
    <row r="507" spans="1:38" s="870" customFormat="1">
      <c r="A507" s="662"/>
      <c r="B507" s="2107" t="s">
        <v>346</v>
      </c>
      <c r="C507" s="2144"/>
      <c r="D507" s="2124">
        <f t="shared" si="43"/>
        <v>232561.79030635933</v>
      </c>
      <c r="E507" s="1926">
        <f>SUM(E508:E512)</f>
        <v>-68959.135852803447</v>
      </c>
      <c r="F507" s="2114">
        <f>SUM(F508:F512)</f>
        <v>214411.11768106982</v>
      </c>
      <c r="G507" s="1926">
        <f>SUM(G508:G512)</f>
        <v>87109.808478092978</v>
      </c>
      <c r="H507" s="2114">
        <f>SUM(H508:H512)</f>
        <v>0</v>
      </c>
      <c r="I507" s="2142">
        <f t="shared" si="44"/>
        <v>301520.92615916277</v>
      </c>
      <c r="J507" s="2114">
        <f>SUM(J508:J512)</f>
        <v>0</v>
      </c>
      <c r="K507" s="1926">
        <f>SUM(K508:K512)</f>
        <v>0</v>
      </c>
      <c r="L507" s="2114">
        <f>SUM(L508:L512)</f>
        <v>0</v>
      </c>
      <c r="M507" s="2143">
        <f t="shared" si="45"/>
        <v>0</v>
      </c>
      <c r="N507"/>
      <c r="O507"/>
      <c r="P507"/>
      <c r="Q507"/>
      <c r="R507"/>
      <c r="S507"/>
      <c r="T507"/>
      <c r="U507"/>
      <c r="V507"/>
      <c r="W507"/>
      <c r="X507"/>
      <c r="Y507"/>
      <c r="Z507"/>
      <c r="AA507"/>
      <c r="AB507" s="2976"/>
      <c r="AC507" s="2976"/>
      <c r="AD507" s="2976"/>
      <c r="AE507" s="2976"/>
      <c r="AF507" s="2976"/>
      <c r="AG507" s="2976"/>
      <c r="AH507" s="2976"/>
      <c r="AI507" s="2976"/>
      <c r="AJ507" s="2976"/>
      <c r="AK507" s="2976"/>
      <c r="AL507" s="2976"/>
    </row>
    <row r="508" spans="1:38">
      <c r="A508" s="662"/>
      <c r="B508" s="2103" t="s">
        <v>347</v>
      </c>
      <c r="C508" s="2141">
        <v>1</v>
      </c>
      <c r="D508" s="2124">
        <f t="shared" si="43"/>
        <v>378045.49028258194</v>
      </c>
      <c r="E508" s="1926">
        <v>23518.275025270646</v>
      </c>
      <c r="F508" s="2114">
        <v>209438.21038606981</v>
      </c>
      <c r="G508" s="1926">
        <v>145089.00487124149</v>
      </c>
      <c r="H508" s="2114"/>
      <c r="I508" s="2142">
        <f t="shared" si="44"/>
        <v>354527.2152573113</v>
      </c>
      <c r="J508" s="2114"/>
      <c r="K508" s="1926"/>
      <c r="L508" s="2114"/>
      <c r="M508" s="2143">
        <f t="shared" si="45"/>
        <v>0</v>
      </c>
    </row>
    <row r="509" spans="1:38">
      <c r="A509" s="662"/>
      <c r="B509" s="2103" t="s">
        <v>348</v>
      </c>
      <c r="C509" s="2141">
        <v>2</v>
      </c>
      <c r="D509" s="2124">
        <f t="shared" si="43"/>
        <v>0</v>
      </c>
      <c r="E509" s="1926"/>
      <c r="F509" s="2114"/>
      <c r="G509" s="1926"/>
      <c r="H509" s="2114"/>
      <c r="I509" s="2142">
        <f t="shared" si="44"/>
        <v>0</v>
      </c>
      <c r="J509" s="2114"/>
      <c r="K509" s="1926"/>
      <c r="L509" s="2114"/>
      <c r="M509" s="2143">
        <f t="shared" si="45"/>
        <v>0</v>
      </c>
    </row>
    <row r="510" spans="1:38">
      <c r="A510" s="662"/>
      <c r="B510" s="2103" t="s">
        <v>349</v>
      </c>
      <c r="C510" s="2141"/>
      <c r="D510" s="2124">
        <f t="shared" si="43"/>
        <v>21399.702999999998</v>
      </c>
      <c r="E510" s="1926">
        <v>13673.569364548312</v>
      </c>
      <c r="F510" s="2114">
        <v>0</v>
      </c>
      <c r="G510" s="1926">
        <v>7726.133635451687</v>
      </c>
      <c r="H510" s="2114"/>
      <c r="I510" s="2142">
        <f t="shared" si="44"/>
        <v>7726.133635451687</v>
      </c>
      <c r="J510" s="2114"/>
      <c r="K510" s="1926"/>
      <c r="L510" s="2114"/>
      <c r="M510" s="2143">
        <f t="shared" si="45"/>
        <v>0</v>
      </c>
    </row>
    <row r="511" spans="1:38">
      <c r="A511" s="662"/>
      <c r="B511" s="2103" t="s">
        <v>350</v>
      </c>
      <c r="C511" s="2141"/>
      <c r="D511" s="2124">
        <f t="shared" si="43"/>
        <v>-174524.33727622259</v>
      </c>
      <c r="E511" s="1926">
        <v>-106150.98024262241</v>
      </c>
      <c r="F511" s="2114">
        <v>0</v>
      </c>
      <c r="G511" s="1926">
        <v>-68373.357033600201</v>
      </c>
      <c r="H511" s="2114"/>
      <c r="I511" s="2142">
        <f t="shared" si="44"/>
        <v>-68373.357033600201</v>
      </c>
      <c r="J511" s="2114"/>
      <c r="K511" s="1926"/>
      <c r="L511" s="2114"/>
      <c r="M511" s="2143">
        <f t="shared" si="45"/>
        <v>0</v>
      </c>
    </row>
    <row r="512" spans="1:38">
      <c r="A512" s="662"/>
      <c r="B512" s="2103" t="s">
        <v>351</v>
      </c>
      <c r="C512" s="2141">
        <v>3</v>
      </c>
      <c r="D512" s="2124">
        <f t="shared" si="43"/>
        <v>7640.9342999999999</v>
      </c>
      <c r="E512" s="1926">
        <v>0</v>
      </c>
      <c r="F512" s="2114">
        <v>4972.907295</v>
      </c>
      <c r="G512" s="1926">
        <v>2668.0270049999999</v>
      </c>
      <c r="H512" s="2114"/>
      <c r="I512" s="2142">
        <f t="shared" si="44"/>
        <v>7640.9342999999999</v>
      </c>
      <c r="J512" s="2114"/>
      <c r="K512" s="1926"/>
      <c r="L512" s="2114"/>
      <c r="M512" s="2143">
        <f t="shared" si="45"/>
        <v>0</v>
      </c>
    </row>
    <row r="513" spans="1:38">
      <c r="A513" s="662"/>
      <c r="B513" s="2103" t="s">
        <v>380</v>
      </c>
      <c r="C513" s="2141"/>
      <c r="D513" s="2124">
        <f t="shared" si="43"/>
        <v>0</v>
      </c>
      <c r="E513" s="1926"/>
      <c r="F513" s="2114"/>
      <c r="G513" s="1926"/>
      <c r="H513" s="2114"/>
      <c r="I513" s="2142">
        <f t="shared" si="44"/>
        <v>0</v>
      </c>
      <c r="J513" s="2114"/>
      <c r="K513" s="1926"/>
      <c r="L513" s="2114"/>
      <c r="M513" s="2143">
        <f t="shared" si="45"/>
        <v>0</v>
      </c>
    </row>
    <row r="514" spans="1:38">
      <c r="A514" s="662"/>
      <c r="B514" s="2103" t="s">
        <v>381</v>
      </c>
      <c r="C514" s="2141"/>
      <c r="D514" s="2124">
        <f t="shared" si="43"/>
        <v>0</v>
      </c>
      <c r="E514" s="1926"/>
      <c r="F514" s="2114"/>
      <c r="G514" s="1926"/>
      <c r="H514" s="2114"/>
      <c r="I514" s="2142">
        <f t="shared" si="44"/>
        <v>0</v>
      </c>
      <c r="J514" s="2114"/>
      <c r="K514" s="1926"/>
      <c r="L514" s="2114"/>
      <c r="M514" s="2143">
        <f t="shared" si="45"/>
        <v>0</v>
      </c>
    </row>
    <row r="515" spans="1:38">
      <c r="A515" s="662"/>
      <c r="B515" s="2103"/>
      <c r="C515" s="2141"/>
      <c r="D515" s="2124">
        <f t="shared" si="43"/>
        <v>0</v>
      </c>
      <c r="E515" s="1926"/>
      <c r="F515" s="2114"/>
      <c r="G515" s="1926"/>
      <c r="H515" s="2114"/>
      <c r="I515" s="2142">
        <f t="shared" si="44"/>
        <v>0</v>
      </c>
      <c r="J515" s="2114"/>
      <c r="K515" s="1926"/>
      <c r="L515" s="2114"/>
      <c r="M515" s="2143">
        <f t="shared" si="45"/>
        <v>0</v>
      </c>
    </row>
    <row r="516" spans="1:38" s="870" customFormat="1">
      <c r="A516" s="662"/>
      <c r="B516" s="2109" t="s">
        <v>354</v>
      </c>
      <c r="C516" s="2144"/>
      <c r="D516" s="2124">
        <f>E516+I516+M516</f>
        <v>983058.74830635916</v>
      </c>
      <c r="E516" s="1926">
        <f>E505+E507</f>
        <v>-68959.135852803447</v>
      </c>
      <c r="F516" s="2114">
        <f>F505+F507</f>
        <v>608959.83968106983</v>
      </c>
      <c r="G516" s="1926">
        <f>G505+G507</f>
        <v>443058.04447809292</v>
      </c>
      <c r="H516" s="2114">
        <f>H505+H507</f>
        <v>0</v>
      </c>
      <c r="I516" s="2142">
        <f t="shared" si="44"/>
        <v>1052017.8841591626</v>
      </c>
      <c r="J516" s="2114">
        <f>J505+J507</f>
        <v>0</v>
      </c>
      <c r="K516" s="1926">
        <f>K505+K507</f>
        <v>0</v>
      </c>
      <c r="L516" s="2114">
        <f>L505+L507</f>
        <v>0</v>
      </c>
      <c r="M516" s="2143">
        <f t="shared" si="45"/>
        <v>0</v>
      </c>
      <c r="N516"/>
      <c r="O516"/>
      <c r="P516"/>
      <c r="Q516"/>
      <c r="R516"/>
      <c r="S516"/>
      <c r="T516"/>
      <c r="U516"/>
      <c r="V516"/>
      <c r="W516"/>
      <c r="X516"/>
      <c r="Y516"/>
      <c r="Z516"/>
      <c r="AA516"/>
      <c r="AB516" s="2976"/>
      <c r="AC516" s="2976"/>
      <c r="AD516" s="2976"/>
      <c r="AE516" s="2976"/>
      <c r="AF516" s="2976"/>
      <c r="AG516" s="2976"/>
      <c r="AH516" s="2976"/>
      <c r="AI516" s="2976"/>
      <c r="AJ516" s="2976"/>
      <c r="AK516" s="2976"/>
      <c r="AL516" s="2976"/>
    </row>
    <row r="517" spans="1:38">
      <c r="A517" s="662"/>
      <c r="B517" s="2109"/>
      <c r="C517" s="2144"/>
      <c r="D517" s="2124">
        <f t="shared" si="43"/>
        <v>0</v>
      </c>
      <c r="E517" s="1926"/>
      <c r="F517" s="2114"/>
      <c r="G517" s="1926"/>
      <c r="H517" s="2114"/>
      <c r="I517" s="2142">
        <f t="shared" si="44"/>
        <v>0</v>
      </c>
      <c r="J517" s="2114"/>
      <c r="K517" s="1926"/>
      <c r="L517" s="2114"/>
      <c r="M517" s="2143"/>
    </row>
    <row r="518" spans="1:38">
      <c r="A518" s="662"/>
      <c r="B518" s="2103" t="s">
        <v>355</v>
      </c>
      <c r="C518" s="2141"/>
      <c r="D518" s="2124">
        <f t="shared" si="43"/>
        <v>858353.67296000011</v>
      </c>
      <c r="E518" s="1926"/>
      <c r="F518" s="2114">
        <v>338099.10154003103</v>
      </c>
      <c r="G518" s="1926">
        <v>520254.57141996903</v>
      </c>
      <c r="H518" s="2114"/>
      <c r="I518" s="2142">
        <f t="shared" si="44"/>
        <v>858353.67296000011</v>
      </c>
      <c r="J518" s="2114"/>
      <c r="K518" s="1926"/>
      <c r="L518" s="2114"/>
      <c r="M518" s="2143">
        <f t="shared" ref="M518:M536" si="46">L518+K518+J518</f>
        <v>0</v>
      </c>
    </row>
    <row r="519" spans="1:38">
      <c r="A519" s="662"/>
      <c r="B519" s="2103" t="s">
        <v>356</v>
      </c>
      <c r="C519" s="2141"/>
      <c r="D519" s="2124">
        <f t="shared" si="43"/>
        <v>0</v>
      </c>
      <c r="E519" s="1926"/>
      <c r="F519" s="2114"/>
      <c r="G519" s="1926"/>
      <c r="H519" s="2114"/>
      <c r="I519" s="2142">
        <f t="shared" si="44"/>
        <v>0</v>
      </c>
      <c r="J519" s="2114"/>
      <c r="K519" s="1926"/>
      <c r="L519" s="2114"/>
      <c r="M519" s="2143">
        <f t="shared" si="46"/>
        <v>0</v>
      </c>
    </row>
    <row r="520" spans="1:38">
      <c r="A520" s="662"/>
      <c r="B520" s="2103" t="s">
        <v>357</v>
      </c>
      <c r="C520" s="2141"/>
      <c r="D520" s="2124">
        <f t="shared" si="43"/>
        <v>0</v>
      </c>
      <c r="E520" s="1926"/>
      <c r="F520" s="2114"/>
      <c r="G520" s="1926"/>
      <c r="H520" s="2114"/>
      <c r="I520" s="2142">
        <f t="shared" si="44"/>
        <v>0</v>
      </c>
      <c r="J520" s="2114"/>
      <c r="K520" s="1926"/>
      <c r="L520" s="2114"/>
      <c r="M520" s="2143">
        <f t="shared" si="46"/>
        <v>0</v>
      </c>
    </row>
    <row r="521" spans="1:38" ht="13.5" customHeight="1">
      <c r="A521" s="662"/>
      <c r="B521" s="2110" t="s">
        <v>358</v>
      </c>
      <c r="C521" s="2141"/>
      <c r="D521" s="2124">
        <f t="shared" si="43"/>
        <v>0</v>
      </c>
      <c r="E521" s="1926"/>
      <c r="F521" s="2114"/>
      <c r="G521" s="1926"/>
      <c r="H521" s="2114"/>
      <c r="I521" s="2142">
        <f t="shared" si="44"/>
        <v>0</v>
      </c>
      <c r="J521" s="2114"/>
      <c r="K521" s="1926"/>
      <c r="L521" s="2114"/>
      <c r="M521" s="2143">
        <f t="shared" si="46"/>
        <v>0</v>
      </c>
    </row>
    <row r="522" spans="1:38">
      <c r="A522" s="662"/>
      <c r="B522" s="2103" t="s">
        <v>359</v>
      </c>
      <c r="C522" s="2141"/>
      <c r="D522" s="2124">
        <f t="shared" si="43"/>
        <v>-320438.69408314163</v>
      </c>
      <c r="E522" s="1926"/>
      <c r="F522" s="2114">
        <v>84534.043358209397</v>
      </c>
      <c r="G522" s="1926">
        <v>-404972.737441351</v>
      </c>
      <c r="H522" s="2114"/>
      <c r="I522" s="2142">
        <f t="shared" si="44"/>
        <v>-320438.69408314163</v>
      </c>
      <c r="J522" s="2114"/>
      <c r="K522" s="1926"/>
      <c r="L522" s="2114"/>
      <c r="M522" s="2143">
        <f t="shared" si="46"/>
        <v>0</v>
      </c>
    </row>
    <row r="523" spans="1:38">
      <c r="A523" s="662"/>
      <c r="B523" s="2103" t="s">
        <v>360</v>
      </c>
      <c r="C523" s="2141"/>
      <c r="D523" s="2124">
        <f t="shared" si="43"/>
        <v>0</v>
      </c>
      <c r="E523" s="1926"/>
      <c r="F523" s="2114"/>
      <c r="G523" s="1926"/>
      <c r="H523" s="2114"/>
      <c r="I523" s="2142">
        <f t="shared" si="44"/>
        <v>0</v>
      </c>
      <c r="J523" s="2114"/>
      <c r="K523" s="1926"/>
      <c r="L523" s="2114"/>
      <c r="M523" s="2143">
        <f t="shared" si="46"/>
        <v>0</v>
      </c>
    </row>
    <row r="524" spans="1:38" s="870" customFormat="1">
      <c r="A524" s="662"/>
      <c r="B524" s="2109" t="s">
        <v>361</v>
      </c>
      <c r="C524" s="2144"/>
      <c r="D524" s="2124">
        <f t="shared" si="43"/>
        <v>537914.97887685848</v>
      </c>
      <c r="E524" s="1926">
        <f>SUM(E518:E523)</f>
        <v>0</v>
      </c>
      <c r="F524" s="2114">
        <f>SUM(F518:F523)</f>
        <v>422633.14489824045</v>
      </c>
      <c r="G524" s="1926">
        <f>SUM(G518:G523)</f>
        <v>115281.83397861803</v>
      </c>
      <c r="H524" s="2114">
        <f>SUM(H518:H523)</f>
        <v>0</v>
      </c>
      <c r="I524" s="2142">
        <f t="shared" si="44"/>
        <v>537914.97887685848</v>
      </c>
      <c r="J524" s="2114">
        <f>SUM(J518:J523)</f>
        <v>0</v>
      </c>
      <c r="K524" s="1926">
        <f>SUM(K518:K523)</f>
        <v>0</v>
      </c>
      <c r="L524" s="2114">
        <f>SUM(L518:L523)</f>
        <v>0</v>
      </c>
      <c r="M524" s="2143">
        <f t="shared" si="46"/>
        <v>0</v>
      </c>
      <c r="N524"/>
      <c r="O524"/>
      <c r="P524"/>
      <c r="Q524"/>
      <c r="R524"/>
      <c r="S524"/>
      <c r="T524"/>
      <c r="U524"/>
      <c r="V524"/>
      <c r="W524"/>
      <c r="X524"/>
      <c r="Y524"/>
      <c r="Z524"/>
      <c r="AA524"/>
      <c r="AB524" s="2976"/>
      <c r="AC524" s="2976"/>
      <c r="AD524" s="2976"/>
      <c r="AE524" s="2976"/>
      <c r="AF524" s="2976"/>
      <c r="AG524" s="2976"/>
      <c r="AH524" s="2976"/>
      <c r="AI524" s="2976"/>
      <c r="AJ524" s="2976"/>
      <c r="AK524" s="2976"/>
      <c r="AL524" s="2976"/>
    </row>
    <row r="525" spans="1:38">
      <c r="A525" s="662"/>
      <c r="B525" s="2103"/>
      <c r="C525" s="2141"/>
      <c r="D525" s="2124">
        <f t="shared" si="43"/>
        <v>0</v>
      </c>
      <c r="E525" s="1926"/>
      <c r="F525" s="2114"/>
      <c r="G525" s="1926"/>
      <c r="H525" s="2114"/>
      <c r="I525" s="2142">
        <f t="shared" si="44"/>
        <v>0</v>
      </c>
      <c r="J525" s="2114"/>
      <c r="K525" s="1926"/>
      <c r="L525" s="2114"/>
      <c r="M525" s="2143">
        <f t="shared" si="46"/>
        <v>0</v>
      </c>
    </row>
    <row r="526" spans="1:38" ht="26.45">
      <c r="A526" s="662"/>
      <c r="B526" s="2110" t="s">
        <v>362</v>
      </c>
      <c r="C526" s="2141"/>
      <c r="D526" s="2124">
        <f t="shared" si="43"/>
        <v>64206.572469999985</v>
      </c>
      <c r="E526" s="1926"/>
      <c r="F526" s="2114">
        <v>58912.083185828298</v>
      </c>
      <c r="G526" s="1926">
        <v>5294.4892841716901</v>
      </c>
      <c r="H526" s="2114"/>
      <c r="I526" s="2142">
        <f t="shared" si="44"/>
        <v>64206.572469999985</v>
      </c>
      <c r="J526" s="2114"/>
      <c r="K526" s="1926"/>
      <c r="L526" s="2114"/>
      <c r="M526" s="2143">
        <f t="shared" si="46"/>
        <v>0</v>
      </c>
    </row>
    <row r="527" spans="1:38">
      <c r="A527" s="662"/>
      <c r="B527" s="2103"/>
      <c r="C527" s="2141"/>
      <c r="D527" s="2124">
        <f t="shared" si="43"/>
        <v>0</v>
      </c>
      <c r="E527" s="1926"/>
      <c r="F527" s="2114"/>
      <c r="G527" s="1926"/>
      <c r="H527" s="2114"/>
      <c r="I527" s="2142">
        <f t="shared" si="44"/>
        <v>0</v>
      </c>
      <c r="J527" s="2114"/>
      <c r="K527" s="1926"/>
      <c r="L527" s="2114"/>
      <c r="M527" s="2143">
        <f t="shared" si="46"/>
        <v>0</v>
      </c>
    </row>
    <row r="528" spans="1:38" ht="15.75" customHeight="1">
      <c r="A528" s="662"/>
      <c r="B528" s="2110" t="s">
        <v>363</v>
      </c>
      <c r="C528" s="2141">
        <v>4</v>
      </c>
      <c r="D528" s="2124">
        <f t="shared" si="43"/>
        <v>347579.84860999993</v>
      </c>
      <c r="E528" s="1926">
        <v>55100.871000000006</v>
      </c>
      <c r="F528" s="2114">
        <v>190344.33544649999</v>
      </c>
      <c r="G528" s="1926">
        <v>102134.64216349999</v>
      </c>
      <c r="H528" s="2114"/>
      <c r="I528" s="2142">
        <f t="shared" si="44"/>
        <v>292478.97760999994</v>
      </c>
      <c r="J528" s="2114"/>
      <c r="K528" s="1926"/>
      <c r="L528" s="2114"/>
      <c r="M528" s="2143">
        <f t="shared" si="46"/>
        <v>0</v>
      </c>
    </row>
    <row r="529" spans="1:38">
      <c r="A529" s="662"/>
      <c r="B529" s="2103" t="s">
        <v>364</v>
      </c>
      <c r="C529" s="2141"/>
      <c r="D529" s="2124">
        <f t="shared" si="43"/>
        <v>0</v>
      </c>
      <c r="E529" s="1926"/>
      <c r="F529" s="2114"/>
      <c r="G529" s="1926"/>
      <c r="H529" s="2114"/>
      <c r="I529" s="2142">
        <f t="shared" si="44"/>
        <v>0</v>
      </c>
      <c r="J529" s="2114"/>
      <c r="K529" s="1926"/>
      <c r="L529" s="2114"/>
      <c r="M529" s="2143">
        <f t="shared" si="46"/>
        <v>0</v>
      </c>
    </row>
    <row r="530" spans="1:38">
      <c r="A530" s="662"/>
      <c r="B530" s="2103" t="s">
        <v>365</v>
      </c>
      <c r="C530" s="2141"/>
      <c r="D530" s="2124">
        <f t="shared" si="43"/>
        <v>38478.025410000002</v>
      </c>
      <c r="E530" s="1926">
        <v>2767</v>
      </c>
      <c r="F530" s="2114">
        <v>656.92497000000003</v>
      </c>
      <c r="G530" s="1926">
        <v>35054.100440000002</v>
      </c>
      <c r="H530" s="2114"/>
      <c r="I530" s="2142">
        <f t="shared" si="44"/>
        <v>35711.025410000002</v>
      </c>
      <c r="J530" s="2114"/>
      <c r="K530" s="1926"/>
      <c r="L530" s="2114"/>
      <c r="M530" s="2143">
        <f t="shared" si="46"/>
        <v>0</v>
      </c>
    </row>
    <row r="531" spans="1:38" s="870" customFormat="1">
      <c r="A531" s="662"/>
      <c r="B531" s="2109" t="s">
        <v>366</v>
      </c>
      <c r="C531" s="2144"/>
      <c r="D531" s="2124">
        <f t="shared" si="43"/>
        <v>386057.87401999993</v>
      </c>
      <c r="E531" s="1926">
        <f>SUM(E528:E530)</f>
        <v>57867.871000000006</v>
      </c>
      <c r="F531" s="2114">
        <f>SUM(F528:F530)</f>
        <v>191001.26041649998</v>
      </c>
      <c r="G531" s="1926">
        <f>SUM(G528:G530)</f>
        <v>137188.7426035</v>
      </c>
      <c r="H531" s="2114">
        <f>SUM(H528:H530)</f>
        <v>0</v>
      </c>
      <c r="I531" s="2142">
        <f t="shared" si="44"/>
        <v>328190.00301999995</v>
      </c>
      <c r="J531" s="2114">
        <f>SUM(J528:J530)</f>
        <v>0</v>
      </c>
      <c r="K531" s="1926">
        <f>SUM(K528:K530)</f>
        <v>0</v>
      </c>
      <c r="L531" s="2114">
        <f>SUM(L528:L530)</f>
        <v>0</v>
      </c>
      <c r="M531" s="2143">
        <f t="shared" si="46"/>
        <v>0</v>
      </c>
      <c r="N531"/>
      <c r="O531"/>
      <c r="P531"/>
      <c r="Q531"/>
      <c r="R531"/>
      <c r="S531"/>
      <c r="T531"/>
      <c r="U531"/>
      <c r="V531"/>
      <c r="W531"/>
      <c r="X531"/>
      <c r="Y531"/>
      <c r="Z531"/>
      <c r="AA531"/>
      <c r="AB531" s="2976"/>
      <c r="AC531" s="2976"/>
      <c r="AD531" s="2976"/>
      <c r="AE531" s="2976"/>
      <c r="AF531" s="2976"/>
      <c r="AG531" s="2976"/>
      <c r="AH531" s="2976"/>
      <c r="AI531" s="2976"/>
      <c r="AJ531" s="2976"/>
      <c r="AK531" s="2976"/>
      <c r="AL531" s="2976"/>
    </row>
    <row r="532" spans="1:38">
      <c r="A532" s="662"/>
      <c r="B532" s="2109"/>
      <c r="C532" s="2144"/>
      <c r="D532" s="2124">
        <f t="shared" si="43"/>
        <v>0</v>
      </c>
      <c r="E532" s="1926"/>
      <c r="F532" s="2114"/>
      <c r="G532" s="1926"/>
      <c r="H532" s="2114"/>
      <c r="I532" s="2142">
        <f t="shared" si="44"/>
        <v>0</v>
      </c>
      <c r="J532" s="2114"/>
      <c r="K532" s="1926"/>
      <c r="L532" s="2114"/>
      <c r="M532" s="2143">
        <f t="shared" si="46"/>
        <v>0</v>
      </c>
    </row>
    <row r="533" spans="1:38" s="870" customFormat="1">
      <c r="A533" s="662"/>
      <c r="B533" s="2109" t="s">
        <v>367</v>
      </c>
      <c r="C533" s="2144"/>
      <c r="D533" s="2124">
        <f t="shared" si="43"/>
        <v>-5120.6770604991179</v>
      </c>
      <c r="E533" s="1926">
        <f>E516-E524-E526-E531</f>
        <v>-126827.00685280346</v>
      </c>
      <c r="F533" s="2114">
        <f>F516-F524-F526-F531</f>
        <v>-63586.648819498892</v>
      </c>
      <c r="G533" s="1926">
        <f>G516-G524-G526-G531</f>
        <v>185292.97861180324</v>
      </c>
      <c r="H533" s="2114">
        <f>H516-H524-H526-H531</f>
        <v>0</v>
      </c>
      <c r="I533" s="2142">
        <f t="shared" si="44"/>
        <v>121706.32979230434</v>
      </c>
      <c r="J533" s="2114">
        <f>J516-J524-J526-J531</f>
        <v>0</v>
      </c>
      <c r="K533" s="1926">
        <f>K516-K524-K526-K531</f>
        <v>0</v>
      </c>
      <c r="L533" s="2114">
        <f>L516-L524-L526-L531</f>
        <v>0</v>
      </c>
      <c r="M533" s="2143">
        <f t="shared" si="46"/>
        <v>0</v>
      </c>
      <c r="N533"/>
      <c r="O533"/>
      <c r="P533"/>
      <c r="Q533"/>
      <c r="R533"/>
      <c r="S533"/>
      <c r="T533"/>
      <c r="U533"/>
      <c r="V533"/>
      <c r="W533"/>
      <c r="X533"/>
      <c r="Y533"/>
      <c r="Z533"/>
      <c r="AA533"/>
      <c r="AB533" s="2976"/>
      <c r="AC533" s="2976"/>
      <c r="AD533" s="2976"/>
      <c r="AE533" s="2976"/>
      <c r="AF533" s="2976"/>
      <c r="AG533" s="2976"/>
      <c r="AH533" s="2976"/>
      <c r="AI533" s="2976"/>
      <c r="AJ533" s="2976"/>
      <c r="AK533" s="2976"/>
      <c r="AL533" s="2976"/>
    </row>
    <row r="534" spans="1:38">
      <c r="A534" s="662"/>
      <c r="B534" s="2103" t="s">
        <v>368</v>
      </c>
      <c r="C534" s="2141"/>
      <c r="D534" s="2124">
        <f t="shared" si="43"/>
        <v>0</v>
      </c>
      <c r="E534" s="1926"/>
      <c r="F534" s="2114"/>
      <c r="G534" s="1926"/>
      <c r="H534" s="2114"/>
      <c r="I534" s="2142">
        <f t="shared" si="44"/>
        <v>0</v>
      </c>
      <c r="J534" s="2114"/>
      <c r="K534" s="1926"/>
      <c r="L534" s="2114"/>
      <c r="M534" s="2143">
        <f t="shared" si="46"/>
        <v>0</v>
      </c>
    </row>
    <row r="535" spans="1:38">
      <c r="A535" s="662"/>
      <c r="B535" s="2103"/>
      <c r="C535" s="2141"/>
      <c r="D535" s="2124">
        <f t="shared" si="43"/>
        <v>0</v>
      </c>
      <c r="E535" s="1926"/>
      <c r="F535" s="2114"/>
      <c r="G535" s="1926"/>
      <c r="H535" s="2114"/>
      <c r="I535" s="2142">
        <f t="shared" si="44"/>
        <v>0</v>
      </c>
      <c r="J535" s="2114"/>
      <c r="K535" s="1926"/>
      <c r="L535" s="2114"/>
      <c r="M535" s="2143">
        <f t="shared" si="46"/>
        <v>0</v>
      </c>
    </row>
    <row r="536" spans="1:38" s="870" customFormat="1" ht="15" thickBot="1">
      <c r="A536" s="662"/>
      <c r="B536" s="1338" t="s">
        <v>369</v>
      </c>
      <c r="C536" s="1370"/>
      <c r="D536" s="1350">
        <f t="shared" si="43"/>
        <v>-5120.6770604991179</v>
      </c>
      <c r="E536" s="1360">
        <f>E533-E534</f>
        <v>-126827.00685280346</v>
      </c>
      <c r="F536" s="1350">
        <f>F533-F534</f>
        <v>-63586.648819498892</v>
      </c>
      <c r="G536" s="1360">
        <f>G533-G534</f>
        <v>185292.97861180324</v>
      </c>
      <c r="H536" s="1350">
        <f>H533-H534</f>
        <v>0</v>
      </c>
      <c r="I536" s="1360">
        <f t="shared" si="44"/>
        <v>121706.32979230434</v>
      </c>
      <c r="J536" s="1350">
        <f>J533-J534</f>
        <v>0</v>
      </c>
      <c r="K536" s="1360">
        <f>K533-K534</f>
        <v>0</v>
      </c>
      <c r="L536" s="1350">
        <f>L533-L534</f>
        <v>0</v>
      </c>
      <c r="M536" s="1371">
        <f t="shared" si="46"/>
        <v>0</v>
      </c>
      <c r="N536"/>
      <c r="O536"/>
      <c r="P536"/>
      <c r="Q536"/>
      <c r="R536"/>
      <c r="S536"/>
      <c r="T536"/>
      <c r="U536"/>
      <c r="V536"/>
      <c r="W536"/>
      <c r="X536"/>
      <c r="Y536"/>
      <c r="Z536"/>
      <c r="AA536"/>
      <c r="AB536" s="2976"/>
      <c r="AC536" s="2976"/>
      <c r="AD536" s="2976"/>
      <c r="AE536" s="2976"/>
      <c r="AF536" s="2976"/>
      <c r="AG536" s="2976"/>
      <c r="AH536" s="2976"/>
      <c r="AI536" s="2976"/>
      <c r="AJ536" s="2976"/>
      <c r="AK536" s="2976"/>
      <c r="AL536" s="2976"/>
    </row>
    <row r="537" spans="1:38">
      <c r="A537" s="662"/>
      <c r="B537" s="662"/>
      <c r="C537" s="662"/>
      <c r="D537" s="662"/>
      <c r="E537" s="662"/>
      <c r="F537" s="662"/>
      <c r="G537" s="662"/>
      <c r="H537" s="662"/>
      <c r="I537" s="662"/>
      <c r="J537" s="662"/>
      <c r="K537" s="662"/>
      <c r="L537" s="662"/>
      <c r="M537" s="662"/>
    </row>
    <row r="538" spans="1:38">
      <c r="A538" s="662"/>
      <c r="B538" s="662"/>
      <c r="C538" s="662"/>
      <c r="D538" s="662"/>
      <c r="E538" s="662"/>
      <c r="F538" s="662"/>
      <c r="G538" s="662"/>
      <c r="H538" s="662"/>
      <c r="I538" s="662"/>
      <c r="J538" s="662"/>
      <c r="K538" s="662"/>
      <c r="L538" s="662"/>
      <c r="M538" s="662"/>
    </row>
    <row r="539" spans="1:38">
      <c r="B539"/>
      <c r="C539"/>
      <c r="D539"/>
      <c r="E539"/>
      <c r="F539"/>
      <c r="G539"/>
      <c r="H539"/>
      <c r="I539"/>
      <c r="J539"/>
      <c r="K539"/>
      <c r="L539"/>
      <c r="M539"/>
    </row>
    <row r="540" spans="1:38" ht="15" thickBot="1"/>
    <row r="541" spans="1:38" ht="17.25" customHeight="1" thickBot="1">
      <c r="A541" s="1153" t="s">
        <v>134</v>
      </c>
      <c r="B541" s="1153" t="s">
        <v>107</v>
      </c>
      <c r="D541" s="662">
        <v>-2013</v>
      </c>
      <c r="E541" s="662"/>
      <c r="F541" s="662"/>
      <c r="G541" s="662"/>
      <c r="H541" s="662"/>
      <c r="I541" s="662"/>
      <c r="J541" s="662"/>
      <c r="K541" s="662"/>
      <c r="L541" s="3292"/>
      <c r="M541" s="3292" t="s">
        <v>257</v>
      </c>
    </row>
    <row r="542" spans="1:38" ht="17.25" customHeight="1" thickBot="1">
      <c r="A542" s="662"/>
      <c r="B542" s="3331" t="s">
        <v>107</v>
      </c>
      <c r="C542" s="3280" t="s">
        <v>334</v>
      </c>
      <c r="D542" s="3283" t="s">
        <v>260</v>
      </c>
      <c r="E542" s="3283" t="s">
        <v>335</v>
      </c>
      <c r="F542" s="3335" t="s">
        <v>263</v>
      </c>
      <c r="G542" s="3335"/>
      <c r="H542" s="3335"/>
      <c r="I542" s="3335"/>
      <c r="J542" s="3335"/>
      <c r="K542" s="3335"/>
      <c r="L542" s="3335"/>
      <c r="M542" s="3335"/>
    </row>
    <row r="543" spans="1:38" ht="17.25" customHeight="1" thickBot="1">
      <c r="A543" s="662"/>
      <c r="B543" s="3327"/>
      <c r="C543" s="3281"/>
      <c r="D543" s="3284"/>
      <c r="E543" s="3284"/>
      <c r="F543" s="3332" t="s">
        <v>264</v>
      </c>
      <c r="G543" s="3333"/>
      <c r="H543" s="3333"/>
      <c r="I543" s="3334"/>
      <c r="J543" s="3335" t="s">
        <v>336</v>
      </c>
      <c r="K543" s="3335"/>
      <c r="L543" s="3335"/>
      <c r="M543" s="3335"/>
    </row>
    <row r="544" spans="1:38" ht="66.599999999999994" customHeight="1" thickBot="1">
      <c r="A544" s="662"/>
      <c r="B544" s="3327"/>
      <c r="C544" s="3281"/>
      <c r="D544" s="3285"/>
      <c r="E544" s="3285"/>
      <c r="F544" s="2963" t="s">
        <v>267</v>
      </c>
      <c r="G544" s="2963" t="s">
        <v>268</v>
      </c>
      <c r="H544" s="2963" t="s">
        <v>269</v>
      </c>
      <c r="I544" s="2963" t="s">
        <v>160</v>
      </c>
      <c r="J544" s="2964" t="s">
        <v>337</v>
      </c>
      <c r="K544" s="2964" t="s">
        <v>271</v>
      </c>
      <c r="L544" s="2964" t="s">
        <v>338</v>
      </c>
      <c r="M544" s="2964" t="s">
        <v>160</v>
      </c>
    </row>
    <row r="545" spans="1:38" ht="17.25" customHeight="1" thickBot="1">
      <c r="A545" s="662"/>
      <c r="B545" s="3327"/>
      <c r="C545" s="3281"/>
      <c r="D545" s="2972">
        <v>1</v>
      </c>
      <c r="E545" s="3296">
        <v>2</v>
      </c>
      <c r="F545" s="3283">
        <v>3</v>
      </c>
      <c r="G545" s="3336">
        <v>4</v>
      </c>
      <c r="H545" s="3283"/>
      <c r="I545" s="2965">
        <v>6</v>
      </c>
      <c r="J545" s="3283">
        <v>7</v>
      </c>
      <c r="K545" s="3336">
        <v>8</v>
      </c>
      <c r="L545" s="3283">
        <v>9</v>
      </c>
      <c r="M545" s="2972">
        <v>10</v>
      </c>
    </row>
    <row r="546" spans="1:38" ht="15" thickBot="1">
      <c r="A546" s="662"/>
      <c r="B546" s="3328"/>
      <c r="C546" s="3282"/>
      <c r="D546" s="1327" t="s">
        <v>339</v>
      </c>
      <c r="E546" s="3297"/>
      <c r="F546" s="3285"/>
      <c r="G546" s="3337"/>
      <c r="H546" s="3285">
        <v>5</v>
      </c>
      <c r="I546" s="2967" t="s">
        <v>340</v>
      </c>
      <c r="J546" s="3285"/>
      <c r="K546" s="3337"/>
      <c r="L546" s="3285"/>
      <c r="M546" s="1327" t="s">
        <v>341</v>
      </c>
    </row>
    <row r="547" spans="1:38">
      <c r="A547" s="662"/>
      <c r="B547" s="1328" t="s">
        <v>342</v>
      </c>
      <c r="C547" s="907"/>
      <c r="D547" s="1329">
        <f t="shared" ref="D547:D554" si="47">E547+I547+M547</f>
        <v>4961325.5269299997</v>
      </c>
      <c r="E547" s="904"/>
      <c r="F547" s="886">
        <v>25937.873520000001</v>
      </c>
      <c r="G547" s="904">
        <v>2243621.8489999999</v>
      </c>
      <c r="H547" s="886">
        <v>2691765.8044099999</v>
      </c>
      <c r="I547" s="1368">
        <f t="shared" ref="I547:I584" si="48">F547+G547+H547</f>
        <v>4961325.5269299997</v>
      </c>
      <c r="J547" s="886"/>
      <c r="K547" s="904"/>
      <c r="L547" s="886"/>
      <c r="M547" s="1369">
        <f t="shared" ref="M547:M564" si="49">L547+K547+J547</f>
        <v>0</v>
      </c>
      <c r="AB547" s="2975" t="b">
        <f>B547='[4]Sheet 6 Income St.- 19 &amp; 18- LI'!B94</f>
        <v>1</v>
      </c>
      <c r="AC547" s="2977">
        <f>D547-'[4]Sheet 6 Income St.- 19 &amp; 18- LI'!C94</f>
        <v>2350540.7911299993</v>
      </c>
      <c r="AD547" s="2977">
        <f>E547-'[4]Sheet 6 Income St.- 19 &amp; 18- LI'!D94</f>
        <v>0</v>
      </c>
      <c r="AE547" s="2977">
        <f>F547-'[4]Sheet 6 Income St.- 19 &amp; 18- LI'!E94</f>
        <v>-43402.982649999998</v>
      </c>
      <c r="AF547" s="2977">
        <f>G547-'[4]Sheet 6 Income St.- 19 &amp; 18- LI'!F94</f>
        <v>-297822.0306300004</v>
      </c>
      <c r="AG547" s="2977">
        <f>H547-'[4]Sheet 6 Income St.- 19 &amp; 18- LI'!G94</f>
        <v>2691765.8044099999</v>
      </c>
      <c r="AH547" s="2977">
        <f>I547-'[4]Sheet 6 Income St.- 19 &amp; 18- LI'!H94</f>
        <v>2350540.7911299993</v>
      </c>
      <c r="AI547" s="2977">
        <f>J547-'[4]Sheet 6 Income St.- 19 &amp; 18- LI'!I94</f>
        <v>0</v>
      </c>
      <c r="AJ547" s="2977">
        <f>K547-'[4]Sheet 6 Income St.- 19 &amp; 18- LI'!J94</f>
        <v>0</v>
      </c>
      <c r="AK547" s="2977">
        <f>L547-'[4]Sheet 6 Income St.- 19 &amp; 18- LI'!K94</f>
        <v>0</v>
      </c>
      <c r="AL547" s="2977">
        <f>M547-'[4]Sheet 6 Income St.- 19 &amp; 18- LI'!L94</f>
        <v>0</v>
      </c>
    </row>
    <row r="548" spans="1:38">
      <c r="A548" s="662"/>
      <c r="B548" s="2103"/>
      <c r="C548" s="2141"/>
      <c r="D548" s="2124">
        <f t="shared" si="47"/>
        <v>0</v>
      </c>
      <c r="E548" s="1926"/>
      <c r="F548" s="2114"/>
      <c r="G548" s="1926"/>
      <c r="H548" s="2114"/>
      <c r="I548" s="2142">
        <f t="shared" si="48"/>
        <v>0</v>
      </c>
      <c r="J548" s="2114"/>
      <c r="K548" s="1926"/>
      <c r="L548" s="2114"/>
      <c r="M548" s="2143">
        <f t="shared" si="49"/>
        <v>0</v>
      </c>
      <c r="AB548" s="2975" t="b">
        <f>B548='[4]Sheet 6 Income St.- 19 &amp; 18- LI'!B95</f>
        <v>1</v>
      </c>
      <c r="AC548" s="2977">
        <f>D548-'[4]Sheet 6 Income St.- 19 &amp; 18- LI'!C95</f>
        <v>0</v>
      </c>
      <c r="AD548" s="2977">
        <f>E548-'[4]Sheet 6 Income St.- 19 &amp; 18- LI'!D95</f>
        <v>0</v>
      </c>
      <c r="AE548" s="2977">
        <f>F548-'[4]Sheet 6 Income St.- 19 &amp; 18- LI'!E95</f>
        <v>0</v>
      </c>
      <c r="AF548" s="2977">
        <f>G548-'[4]Sheet 6 Income St.- 19 &amp; 18- LI'!F95</f>
        <v>0</v>
      </c>
      <c r="AG548" s="2977">
        <f>H548-'[4]Sheet 6 Income St.- 19 &amp; 18- LI'!G95</f>
        <v>0</v>
      </c>
      <c r="AH548" s="2977">
        <f>I548-'[4]Sheet 6 Income St.- 19 &amp; 18- LI'!H95</f>
        <v>0</v>
      </c>
      <c r="AI548" s="2977">
        <f>J548-'[4]Sheet 6 Income St.- 19 &amp; 18- LI'!I95</f>
        <v>0</v>
      </c>
      <c r="AJ548" s="2977">
        <f>K548-'[4]Sheet 6 Income St.- 19 &amp; 18- LI'!J95</f>
        <v>0</v>
      </c>
      <c r="AK548" s="2977">
        <f>L548-'[4]Sheet 6 Income St.- 19 &amp; 18- LI'!K95</f>
        <v>0</v>
      </c>
      <c r="AL548" s="2977">
        <f>M548-'[4]Sheet 6 Income St.- 19 &amp; 18- LI'!L95</f>
        <v>0</v>
      </c>
    </row>
    <row r="549" spans="1:38">
      <c r="A549" s="662"/>
      <c r="B549" s="2105" t="s">
        <v>343</v>
      </c>
      <c r="C549" s="2141"/>
      <c r="D549" s="2124">
        <f t="shared" si="47"/>
        <v>275448.61153000116</v>
      </c>
      <c r="E549" s="1926"/>
      <c r="F549" s="2114">
        <v>1605.05899</v>
      </c>
      <c r="G549" s="1926">
        <v>181202.37729999999</v>
      </c>
      <c r="H549" s="2114">
        <v>92641.175240001205</v>
      </c>
      <c r="I549" s="2142">
        <f t="shared" si="48"/>
        <v>275448.61153000116</v>
      </c>
      <c r="J549" s="2114"/>
      <c r="K549" s="1926"/>
      <c r="L549" s="2114"/>
      <c r="M549" s="2143">
        <f t="shared" si="49"/>
        <v>0</v>
      </c>
      <c r="AB549" s="2975" t="b">
        <f>B549='[4]Sheet 6 Income St.- 19 &amp; 18- LI'!B96</f>
        <v>1</v>
      </c>
      <c r="AC549" s="2977">
        <f>D549-'[4]Sheet 6 Income St.- 19 &amp; 18- LI'!C96</f>
        <v>493240.20621000114</v>
      </c>
      <c r="AD549" s="2977">
        <f>E549-'[4]Sheet 6 Income St.- 19 &amp; 18- LI'!D96</f>
        <v>0</v>
      </c>
      <c r="AE549" s="2977">
        <f>F549-'[4]Sheet 6 Income St.- 19 &amp; 18- LI'!E96</f>
        <v>4027.2822200000001</v>
      </c>
      <c r="AF549" s="2977">
        <f>G549-'[4]Sheet 6 Income St.- 19 &amp; 18- LI'!F96</f>
        <v>396571.74875000003</v>
      </c>
      <c r="AG549" s="2977">
        <f>H549-'[4]Sheet 6 Income St.- 19 &amp; 18- LI'!G96</f>
        <v>92641.175240001205</v>
      </c>
      <c r="AH549" s="2977">
        <f>I549-'[4]Sheet 6 Income St.- 19 &amp; 18- LI'!H96</f>
        <v>493240.20621000114</v>
      </c>
      <c r="AI549" s="2977">
        <f>J549-'[4]Sheet 6 Income St.- 19 &amp; 18- LI'!I96</f>
        <v>0</v>
      </c>
      <c r="AJ549" s="2977">
        <f>K549-'[4]Sheet 6 Income St.- 19 &amp; 18- LI'!J96</f>
        <v>0</v>
      </c>
      <c r="AK549" s="2977">
        <f>L549-'[4]Sheet 6 Income St.- 19 &amp; 18- LI'!K96</f>
        <v>0</v>
      </c>
      <c r="AL549" s="2977">
        <f>M549-'[4]Sheet 6 Income St.- 19 &amp; 18- LI'!L96</f>
        <v>0</v>
      </c>
    </row>
    <row r="550" spans="1:38">
      <c r="A550" s="662"/>
      <c r="B550" s="2105"/>
      <c r="C550" s="2141"/>
      <c r="D550" s="2124">
        <f t="shared" si="47"/>
        <v>0</v>
      </c>
      <c r="E550" s="1926"/>
      <c r="F550" s="2114"/>
      <c r="G550" s="1926"/>
      <c r="H550" s="2114"/>
      <c r="I550" s="2142">
        <f t="shared" si="48"/>
        <v>0</v>
      </c>
      <c r="J550" s="2114"/>
      <c r="K550" s="1926"/>
      <c r="L550" s="2114"/>
      <c r="M550" s="2143">
        <f t="shared" si="49"/>
        <v>0</v>
      </c>
      <c r="AB550" s="2975" t="b">
        <f>B550='[4]Sheet 6 Income St.- 19 &amp; 18- LI'!B97</f>
        <v>1</v>
      </c>
      <c r="AC550" s="2977">
        <f>D550-'[4]Sheet 6 Income St.- 19 &amp; 18- LI'!C97</f>
        <v>0</v>
      </c>
      <c r="AD550" s="2977">
        <f>E550-'[4]Sheet 6 Income St.- 19 &amp; 18- LI'!D97</f>
        <v>0</v>
      </c>
      <c r="AE550" s="2977">
        <f>F550-'[4]Sheet 6 Income St.- 19 &amp; 18- LI'!E97</f>
        <v>0</v>
      </c>
      <c r="AF550" s="2977">
        <f>G550-'[4]Sheet 6 Income St.- 19 &amp; 18- LI'!F97</f>
        <v>0</v>
      </c>
      <c r="AG550" s="2977">
        <f>H550-'[4]Sheet 6 Income St.- 19 &amp; 18- LI'!G97</f>
        <v>0</v>
      </c>
      <c r="AH550" s="2977">
        <f>I550-'[4]Sheet 6 Income St.- 19 &amp; 18- LI'!H97</f>
        <v>0</v>
      </c>
      <c r="AI550" s="2977">
        <f>J550-'[4]Sheet 6 Income St.- 19 &amp; 18- LI'!I97</f>
        <v>0</v>
      </c>
      <c r="AJ550" s="2977">
        <f>K550-'[4]Sheet 6 Income St.- 19 &amp; 18- LI'!J97</f>
        <v>0</v>
      </c>
      <c r="AK550" s="2977">
        <f>L550-'[4]Sheet 6 Income St.- 19 &amp; 18- LI'!K97</f>
        <v>0</v>
      </c>
      <c r="AL550" s="2977">
        <f>M550-'[4]Sheet 6 Income St.- 19 &amp; 18- LI'!L97</f>
        <v>0</v>
      </c>
    </row>
    <row r="551" spans="1:38" ht="14.25" customHeight="1">
      <c r="A551" s="662"/>
      <c r="B551" s="2106" t="s">
        <v>344</v>
      </c>
      <c r="C551" s="2141"/>
      <c r="D551" s="2124">
        <f t="shared" si="47"/>
        <v>0</v>
      </c>
      <c r="E551" s="1926"/>
      <c r="F551" s="2114"/>
      <c r="G551" s="1926"/>
      <c r="H551" s="2114"/>
      <c r="I551" s="2142">
        <f t="shared" si="48"/>
        <v>0</v>
      </c>
      <c r="J551" s="2114"/>
      <c r="K551" s="1926"/>
      <c r="L551" s="2114"/>
      <c r="M551" s="2143">
        <f t="shared" si="49"/>
        <v>0</v>
      </c>
      <c r="AB551" s="2975" t="b">
        <f>B551='[4]Sheet 6 Income St.- 19 &amp; 18- LI'!B98</f>
        <v>1</v>
      </c>
      <c r="AC551" s="2977">
        <f>D551-'[4]Sheet 6 Income St.- 19 &amp; 18- LI'!C98</f>
        <v>0</v>
      </c>
      <c r="AD551" s="2977">
        <f>E551-'[4]Sheet 6 Income St.- 19 &amp; 18- LI'!D98</f>
        <v>0</v>
      </c>
      <c r="AE551" s="2977">
        <f>F551-'[4]Sheet 6 Income St.- 19 &amp; 18- LI'!E98</f>
        <v>0</v>
      </c>
      <c r="AF551" s="2977">
        <f>G551-'[4]Sheet 6 Income St.- 19 &amp; 18- LI'!F98</f>
        <v>0</v>
      </c>
      <c r="AG551" s="2977">
        <f>H551-'[4]Sheet 6 Income St.- 19 &amp; 18- LI'!G98</f>
        <v>0</v>
      </c>
      <c r="AH551" s="2977">
        <f>I551-'[4]Sheet 6 Income St.- 19 &amp; 18- LI'!H98</f>
        <v>0</v>
      </c>
      <c r="AI551" s="2977">
        <f>J551-'[4]Sheet 6 Income St.- 19 &amp; 18- LI'!I98</f>
        <v>0</v>
      </c>
      <c r="AJ551" s="2977">
        <f>K551-'[4]Sheet 6 Income St.- 19 &amp; 18- LI'!J98</f>
        <v>0</v>
      </c>
      <c r="AK551" s="2977">
        <f>L551-'[4]Sheet 6 Income St.- 19 &amp; 18- LI'!K98</f>
        <v>0</v>
      </c>
      <c r="AL551" s="2977">
        <f>M551-'[4]Sheet 6 Income St.- 19 &amp; 18- LI'!L98</f>
        <v>0</v>
      </c>
    </row>
    <row r="552" spans="1:38">
      <c r="A552" s="662"/>
      <c r="B552" s="2103"/>
      <c r="C552" s="2141"/>
      <c r="D552" s="2124">
        <f t="shared" si="47"/>
        <v>0</v>
      </c>
      <c r="E552" s="1926"/>
      <c r="F552" s="2114"/>
      <c r="G552" s="1926"/>
      <c r="H552" s="2114"/>
      <c r="I552" s="2142">
        <f t="shared" si="48"/>
        <v>0</v>
      </c>
      <c r="J552" s="2114"/>
      <c r="K552" s="1926"/>
      <c r="L552" s="2114"/>
      <c r="M552" s="2143">
        <f t="shared" si="49"/>
        <v>0</v>
      </c>
      <c r="AB552" s="2975" t="b">
        <f>B552='[4]Sheet 6 Income St.- 19 &amp; 18- LI'!B99</f>
        <v>1</v>
      </c>
      <c r="AC552" s="2977">
        <f>D552-'[4]Sheet 6 Income St.- 19 &amp; 18- LI'!C99</f>
        <v>0</v>
      </c>
      <c r="AD552" s="2977">
        <f>E552-'[4]Sheet 6 Income St.- 19 &amp; 18- LI'!D99</f>
        <v>0</v>
      </c>
      <c r="AE552" s="2977">
        <f>F552-'[4]Sheet 6 Income St.- 19 &amp; 18- LI'!E99</f>
        <v>0</v>
      </c>
      <c r="AF552" s="2977">
        <f>G552-'[4]Sheet 6 Income St.- 19 &amp; 18- LI'!F99</f>
        <v>0</v>
      </c>
      <c r="AG552" s="2977">
        <f>H552-'[4]Sheet 6 Income St.- 19 &amp; 18- LI'!G99</f>
        <v>0</v>
      </c>
      <c r="AH552" s="2977">
        <f>I552-'[4]Sheet 6 Income St.- 19 &amp; 18- LI'!H99</f>
        <v>0</v>
      </c>
      <c r="AI552" s="2977">
        <f>J552-'[4]Sheet 6 Income St.- 19 &amp; 18- LI'!I99</f>
        <v>0</v>
      </c>
      <c r="AJ552" s="2977">
        <f>K552-'[4]Sheet 6 Income St.- 19 &amp; 18- LI'!J99</f>
        <v>0</v>
      </c>
      <c r="AK552" s="2977">
        <f>L552-'[4]Sheet 6 Income St.- 19 &amp; 18- LI'!K99</f>
        <v>0</v>
      </c>
      <c r="AL552" s="2977">
        <f>M552-'[4]Sheet 6 Income St.- 19 &amp; 18- LI'!L99</f>
        <v>0</v>
      </c>
    </row>
    <row r="553" spans="1:38" s="870" customFormat="1">
      <c r="A553" s="662"/>
      <c r="B553" s="2107" t="s">
        <v>345</v>
      </c>
      <c r="C553" s="2144"/>
      <c r="D553" s="2124">
        <f>E553+I553+M553</f>
        <v>4685876.9153999984</v>
      </c>
      <c r="E553" s="1926">
        <f>E547-E549+E551</f>
        <v>0</v>
      </c>
      <c r="F553" s="2114">
        <f>F547-F549+F551</f>
        <v>24332.81453</v>
      </c>
      <c r="G553" s="1926">
        <f>G547-G549+G551</f>
        <v>2062419.4716999999</v>
      </c>
      <c r="H553" s="2114">
        <f>H547-H549+H551</f>
        <v>2599124.6291699987</v>
      </c>
      <c r="I553" s="2142">
        <f t="shared" si="48"/>
        <v>4685876.9153999984</v>
      </c>
      <c r="J553" s="2114">
        <f>J547-J549+J551</f>
        <v>0</v>
      </c>
      <c r="K553" s="1926">
        <f>K547-K549+K551</f>
        <v>0</v>
      </c>
      <c r="L553" s="2114">
        <f>L547-L549+L551</f>
        <v>0</v>
      </c>
      <c r="M553" s="2143">
        <f t="shared" si="49"/>
        <v>0</v>
      </c>
      <c r="N553"/>
      <c r="O553"/>
      <c r="P553"/>
      <c r="Q553"/>
      <c r="R553"/>
      <c r="S553"/>
      <c r="T553"/>
      <c r="U553"/>
      <c r="V553"/>
      <c r="W553"/>
      <c r="X553"/>
      <c r="Y553"/>
      <c r="Z553"/>
      <c r="AA553"/>
      <c r="AB553" s="2976" t="b">
        <f>B553='[4]Sheet 6 Income St.- 19 &amp; 18- LI'!B100</f>
        <v>0</v>
      </c>
      <c r="AC553" s="2978">
        <f>D553-'[4]Sheet 6 Income St.- 19 &amp; 18- LI'!C100</f>
        <v>2292883.7742799981</v>
      </c>
      <c r="AD553" s="2978">
        <f>E553-'[4]Sheet 6 Income St.- 19 &amp; 18- LI'!D100</f>
        <v>0</v>
      </c>
      <c r="AE553" s="2978">
        <f>F553-'[4]Sheet 6 Income St.- 19 &amp; 18- LI'!E100</f>
        <v>-42585.818409999993</v>
      </c>
      <c r="AF553" s="2978">
        <f>G553-'[4]Sheet 6 Income St.- 19 &amp; 18- LI'!F100</f>
        <v>-263655.03648000048</v>
      </c>
      <c r="AG553" s="2978">
        <f>H553-'[4]Sheet 6 Income St.- 19 &amp; 18- LI'!G100</f>
        <v>2599124.6291699987</v>
      </c>
      <c r="AH553" s="2978">
        <f>I553-'[4]Sheet 6 Income St.- 19 &amp; 18- LI'!H100</f>
        <v>2292883.7742799981</v>
      </c>
      <c r="AI553" s="2978">
        <f>J553-'[4]Sheet 6 Income St.- 19 &amp; 18- LI'!I100</f>
        <v>0</v>
      </c>
      <c r="AJ553" s="2978">
        <f>K553-'[4]Sheet 6 Income St.- 19 &amp; 18- LI'!J100</f>
        <v>0</v>
      </c>
      <c r="AK553" s="2978">
        <f>L553-'[4]Sheet 6 Income St.- 19 &amp; 18- LI'!K100</f>
        <v>0</v>
      </c>
      <c r="AL553" s="2978">
        <f>M553-'[4]Sheet 6 Income St.- 19 &amp; 18- LI'!L100</f>
        <v>0</v>
      </c>
    </row>
    <row r="554" spans="1:38">
      <c r="A554" s="662"/>
      <c r="B554" s="2107"/>
      <c r="C554" s="2144"/>
      <c r="D554" s="2124">
        <f t="shared" si="47"/>
        <v>0</v>
      </c>
      <c r="E554" s="1926"/>
      <c r="F554" s="2114"/>
      <c r="G554" s="1926"/>
      <c r="H554" s="2114"/>
      <c r="I554" s="2142">
        <f t="shared" si="48"/>
        <v>0</v>
      </c>
      <c r="J554" s="2114"/>
      <c r="K554" s="1926"/>
      <c r="L554" s="2114"/>
      <c r="M554" s="2143">
        <f t="shared" si="49"/>
        <v>0</v>
      </c>
      <c r="AB554" s="2975" t="b">
        <f>B554='[4]Sheet 6 Income St.- 19 &amp; 18- LI'!B101</f>
        <v>1</v>
      </c>
      <c r="AC554" s="2977">
        <f>D554-'[4]Sheet 6 Income St.- 19 &amp; 18- LI'!C101</f>
        <v>0</v>
      </c>
      <c r="AD554" s="2977">
        <f>E554-'[4]Sheet 6 Income St.- 19 &amp; 18- LI'!D101</f>
        <v>0</v>
      </c>
      <c r="AE554" s="2977">
        <f>F554-'[4]Sheet 6 Income St.- 19 &amp; 18- LI'!E101</f>
        <v>0</v>
      </c>
      <c r="AF554" s="2977">
        <f>G554-'[4]Sheet 6 Income St.- 19 &amp; 18- LI'!F101</f>
        <v>0</v>
      </c>
      <c r="AG554" s="2977">
        <f>H554-'[4]Sheet 6 Income St.- 19 &amp; 18- LI'!G101</f>
        <v>0</v>
      </c>
      <c r="AH554" s="2977">
        <f>I554-'[4]Sheet 6 Income St.- 19 &amp; 18- LI'!H101</f>
        <v>0</v>
      </c>
      <c r="AI554" s="2977">
        <f>J554-'[4]Sheet 6 Income St.- 19 &amp; 18- LI'!I101</f>
        <v>0</v>
      </c>
      <c r="AJ554" s="2977">
        <f>K554-'[4]Sheet 6 Income St.- 19 &amp; 18- LI'!J101</f>
        <v>0</v>
      </c>
      <c r="AK554" s="2977">
        <f>L554-'[4]Sheet 6 Income St.- 19 &amp; 18- LI'!K101</f>
        <v>0</v>
      </c>
      <c r="AL554" s="2977">
        <f>M554-'[4]Sheet 6 Income St.- 19 &amp; 18- LI'!L101</f>
        <v>0</v>
      </c>
    </row>
    <row r="555" spans="1:38" s="870" customFormat="1">
      <c r="A555" s="662"/>
      <c r="B555" s="2107" t="s">
        <v>346</v>
      </c>
      <c r="C555" s="2144"/>
      <c r="D555" s="2124">
        <f>SUM(D556:D560)</f>
        <v>1184998.87048</v>
      </c>
      <c r="E555" s="1926">
        <f>SUM(E556:E560)</f>
        <v>289024.35331999999</v>
      </c>
      <c r="F555" s="2114">
        <f>SUM(F556:F560)</f>
        <v>36928.436643914967</v>
      </c>
      <c r="G555" s="1926">
        <f>SUM(G556:G560)</f>
        <v>515997.02863014728</v>
      </c>
      <c r="H555" s="2114">
        <f>SUM(H556:H560)</f>
        <v>369154.7141759377</v>
      </c>
      <c r="I555" s="2142">
        <f t="shared" si="48"/>
        <v>922080.17944999994</v>
      </c>
      <c r="J555" s="2114">
        <f>SUM(J556:J560)</f>
        <v>0</v>
      </c>
      <c r="K555" s="1926">
        <f>SUM(K556:K560)</f>
        <v>0</v>
      </c>
      <c r="L555" s="2114">
        <f>SUM(L556:L560)</f>
        <v>0</v>
      </c>
      <c r="M555" s="2143">
        <f t="shared" si="49"/>
        <v>0</v>
      </c>
      <c r="N555"/>
      <c r="O555"/>
      <c r="P555"/>
      <c r="Q555"/>
      <c r="R555"/>
      <c r="S555"/>
      <c r="T555"/>
      <c r="U555"/>
      <c r="V555"/>
      <c r="W555"/>
      <c r="X555"/>
      <c r="Y555"/>
      <c r="Z555"/>
      <c r="AA555"/>
      <c r="AB555" s="2976" t="b">
        <f>B555='[4]Sheet 6 Income St.- 19 &amp; 18- LI'!B102</f>
        <v>1</v>
      </c>
      <c r="AC555" s="2978">
        <f>D555-'[4]Sheet 6 Income St.- 19 &amp; 18- LI'!C102</f>
        <v>738912.88677999959</v>
      </c>
      <c r="AD555" s="2978">
        <f>E555-'[4]Sheet 6 Income St.- 19 &amp; 18- LI'!D102</f>
        <v>185804.73398999998</v>
      </c>
      <c r="AE555" s="2978">
        <f>F555-'[4]Sheet 6 Income St.- 19 &amp; 18- LI'!E102</f>
        <v>148.93591729956097</v>
      </c>
      <c r="AF555" s="2978">
        <f>G555-'[4]Sheet 6 Income St.- 19 &amp; 18- LI'!F102</f>
        <v>209910.16498676222</v>
      </c>
      <c r="AG555" s="2978">
        <f>H555-'[4]Sheet 6 Income St.- 19 &amp; 18- LI'!G102</f>
        <v>369154.7141759377</v>
      </c>
      <c r="AH555" s="2978">
        <f>I555-'[4]Sheet 6 Income St.- 19 &amp; 18- LI'!H102</f>
        <v>579213.81507999939</v>
      </c>
      <c r="AI555" s="2978">
        <f>J555-'[4]Sheet 6 Income St.- 19 &amp; 18- LI'!I102</f>
        <v>0</v>
      </c>
      <c r="AJ555" s="2978">
        <f>K555-'[4]Sheet 6 Income St.- 19 &amp; 18- LI'!J102</f>
        <v>0</v>
      </c>
      <c r="AK555" s="2978">
        <f>L555-'[4]Sheet 6 Income St.- 19 &amp; 18- LI'!K102</f>
        <v>0</v>
      </c>
      <c r="AL555" s="2978">
        <f>M555-'[4]Sheet 6 Income St.- 19 &amp; 18- LI'!L102</f>
        <v>0</v>
      </c>
    </row>
    <row r="556" spans="1:38">
      <c r="A556" s="662"/>
      <c r="B556" s="2103" t="s">
        <v>347</v>
      </c>
      <c r="C556" s="2141">
        <v>1</v>
      </c>
      <c r="D556" s="2124">
        <f>E556+I556+M556</f>
        <v>1213865.5342000001</v>
      </c>
      <c r="E556" s="1926">
        <v>325658.73187999998</v>
      </c>
      <c r="F556" s="2114">
        <v>35639.654745164007</v>
      </c>
      <c r="G556" s="1926">
        <v>508851.05208056996</v>
      </c>
      <c r="H556" s="2114">
        <v>343716.09549426602</v>
      </c>
      <c r="I556" s="2142">
        <f>F556+G556+H556</f>
        <v>888206.80232000002</v>
      </c>
      <c r="J556" s="2114"/>
      <c r="K556" s="1926"/>
      <c r="L556" s="2114"/>
      <c r="M556" s="2143">
        <f t="shared" si="49"/>
        <v>0</v>
      </c>
      <c r="AB556" s="2975" t="b">
        <f>B556='[4]Sheet 6 Income St.- 19 &amp; 18- LI'!B103</f>
        <v>1</v>
      </c>
      <c r="AC556" s="2977">
        <f>D556-'[4]Sheet 6 Income St.- 19 &amp; 18- LI'!C103</f>
        <v>811679.33021999965</v>
      </c>
      <c r="AD556" s="2977">
        <f>E556-'[4]Sheet 6 Income St.- 19 &amp; 18- LI'!D103</f>
        <v>252862.69813999996</v>
      </c>
      <c r="AE556" s="2977">
        <f>F556-'[4]Sheet 6 Income St.- 19 &amp; 18- LI'!E103</f>
        <v>397.19394306355389</v>
      </c>
      <c r="AF556" s="2977">
        <f>G556-'[4]Sheet 6 Income St.- 19 &amp; 18- LI'!F103</f>
        <v>214703.34264266997</v>
      </c>
      <c r="AG556" s="2977">
        <f>H556-'[4]Sheet 6 Income St.- 19 &amp; 18- LI'!G103</f>
        <v>343716.09549426602</v>
      </c>
      <c r="AH556" s="2977">
        <f>I556-'[4]Sheet 6 Income St.- 19 &amp; 18- LI'!H103</f>
        <v>558816.63207999954</v>
      </c>
      <c r="AI556" s="2977">
        <f>J556-'[4]Sheet 6 Income St.- 19 &amp; 18- LI'!I103</f>
        <v>0</v>
      </c>
      <c r="AJ556" s="2977">
        <f>K556-'[4]Sheet 6 Income St.- 19 &amp; 18- LI'!J103</f>
        <v>0</v>
      </c>
      <c r="AK556" s="2977">
        <f>L556-'[4]Sheet 6 Income St.- 19 &amp; 18- LI'!K103</f>
        <v>0</v>
      </c>
      <c r="AL556" s="2977">
        <f>M556-'[4]Sheet 6 Income St.- 19 &amp; 18- LI'!L103</f>
        <v>0</v>
      </c>
    </row>
    <row r="557" spans="1:38">
      <c r="A557" s="662"/>
      <c r="B557" s="2103" t="s">
        <v>348</v>
      </c>
      <c r="C557" s="2141">
        <v>2</v>
      </c>
      <c r="D557" s="2124"/>
      <c r="E557" s="1926">
        <v>19612.593239999998</v>
      </c>
      <c r="F557" s="2114"/>
      <c r="G557" s="1926"/>
      <c r="H557" s="2114"/>
      <c r="I557" s="2142">
        <f t="shared" si="48"/>
        <v>0</v>
      </c>
      <c r="J557" s="2114"/>
      <c r="K557" s="1926"/>
      <c r="L557" s="2114"/>
      <c r="M557" s="2143">
        <f t="shared" si="49"/>
        <v>0</v>
      </c>
      <c r="AB557" s="2975" t="b">
        <f>B557='[4]Sheet 6 Income St.- 19 &amp; 18- LI'!B104</f>
        <v>1</v>
      </c>
      <c r="AC557" s="2977">
        <f>D557-'[4]Sheet 6 Income St.- 19 &amp; 18- LI'!C104</f>
        <v>-27931.87528</v>
      </c>
      <c r="AD557" s="2977">
        <f>E557-'[4]Sheet 6 Income St.- 19 &amp; 18- LI'!D104</f>
        <v>-8319.2820400000019</v>
      </c>
      <c r="AE557" s="2977">
        <f>F557-'[4]Sheet 6 Income St.- 19 &amp; 18- LI'!E104</f>
        <v>0</v>
      </c>
      <c r="AF557" s="2977">
        <f>G557-'[4]Sheet 6 Income St.- 19 &amp; 18- LI'!F104</f>
        <v>0</v>
      </c>
      <c r="AG557" s="2977">
        <f>H557-'[4]Sheet 6 Income St.- 19 &amp; 18- LI'!G104</f>
        <v>0</v>
      </c>
      <c r="AH557" s="2977">
        <f>I557-'[4]Sheet 6 Income St.- 19 &amp; 18- LI'!H104</f>
        <v>0</v>
      </c>
      <c r="AI557" s="2977">
        <f>J557-'[4]Sheet 6 Income St.- 19 &amp; 18- LI'!I104</f>
        <v>0</v>
      </c>
      <c r="AJ557" s="2977">
        <f>K557-'[4]Sheet 6 Income St.- 19 &amp; 18- LI'!J104</f>
        <v>0</v>
      </c>
      <c r="AK557" s="2977">
        <f>L557-'[4]Sheet 6 Income St.- 19 &amp; 18- LI'!K104</f>
        <v>0</v>
      </c>
      <c r="AL557" s="2977">
        <f>M557-'[4]Sheet 6 Income St.- 19 &amp; 18- LI'!L104</f>
        <v>0</v>
      </c>
    </row>
    <row r="558" spans="1:38">
      <c r="A558" s="662"/>
      <c r="B558" s="2103" t="s">
        <v>349</v>
      </c>
      <c r="C558" s="2141"/>
      <c r="D558" s="2124">
        <f t="shared" ref="D558:D563" si="50">E558+I558+M558</f>
        <v>212.80876000000001</v>
      </c>
      <c r="E558" s="1926"/>
      <c r="F558" s="2114"/>
      <c r="G558" s="1926"/>
      <c r="H558" s="2114">
        <v>212.80876000000001</v>
      </c>
      <c r="I558" s="2142">
        <f t="shared" si="48"/>
        <v>212.80876000000001</v>
      </c>
      <c r="J558" s="2114"/>
      <c r="K558" s="1926"/>
      <c r="L558" s="2114"/>
      <c r="M558" s="2143">
        <f t="shared" si="49"/>
        <v>0</v>
      </c>
      <c r="AB558" s="2975" t="b">
        <f>B558='[4]Sheet 6 Income St.- 19 &amp; 18- LI'!B105</f>
        <v>1</v>
      </c>
      <c r="AC558" s="2977">
        <f>D558-'[4]Sheet 6 Income St.- 19 &amp; 18- LI'!C105</f>
        <v>-1359.3773799999999</v>
      </c>
      <c r="AD558" s="2977">
        <f>E558-'[4]Sheet 6 Income St.- 19 &amp; 18- LI'!D105</f>
        <v>100.9</v>
      </c>
      <c r="AE558" s="2977">
        <f>F558-'[4]Sheet 6 Income St.- 19 &amp; 18- LI'!E105</f>
        <v>0</v>
      </c>
      <c r="AF558" s="2977">
        <f>G558-'[4]Sheet 6 Income St.- 19 &amp; 18- LI'!F105</f>
        <v>-1673.0861400000001</v>
      </c>
      <c r="AG558" s="2977">
        <f>H558-'[4]Sheet 6 Income St.- 19 &amp; 18- LI'!G105</f>
        <v>212.80876000000001</v>
      </c>
      <c r="AH558" s="2977">
        <f>I558-'[4]Sheet 6 Income St.- 19 &amp; 18- LI'!H105</f>
        <v>-1460.27738</v>
      </c>
      <c r="AI558" s="2977">
        <f>J558-'[4]Sheet 6 Income St.- 19 &amp; 18- LI'!I105</f>
        <v>0</v>
      </c>
      <c r="AJ558" s="2977">
        <f>K558-'[4]Sheet 6 Income St.- 19 &amp; 18- LI'!J105</f>
        <v>0</v>
      </c>
      <c r="AK558" s="2977">
        <f>L558-'[4]Sheet 6 Income St.- 19 &amp; 18- LI'!K105</f>
        <v>0</v>
      </c>
      <c r="AL558" s="2977">
        <f>M558-'[4]Sheet 6 Income St.- 19 &amp; 18- LI'!L105</f>
        <v>0</v>
      </c>
    </row>
    <row r="559" spans="1:38">
      <c r="A559" s="662"/>
      <c r="B559" s="2103" t="s">
        <v>350</v>
      </c>
      <c r="C559" s="2141"/>
      <c r="D559" s="2124">
        <f t="shared" si="50"/>
        <v>0</v>
      </c>
      <c r="E559" s="1926"/>
      <c r="F559" s="2114"/>
      <c r="G559" s="1926"/>
      <c r="H559" s="2114"/>
      <c r="I559" s="2142">
        <f t="shared" si="48"/>
        <v>0</v>
      </c>
      <c r="J559" s="2114"/>
      <c r="K559" s="1926"/>
      <c r="L559" s="2114"/>
      <c r="M559" s="2143">
        <f t="shared" si="49"/>
        <v>0</v>
      </c>
      <c r="AB559" s="2975" t="b">
        <f>B559='[4]Sheet 6 Income St.- 19 &amp; 18- LI'!B106</f>
        <v>1</v>
      </c>
      <c r="AC559" s="2977">
        <f>D559-'[4]Sheet 6 Income St.- 19 &amp; 18- LI'!C106</f>
        <v>0</v>
      </c>
      <c r="AD559" s="2977">
        <f>E559-'[4]Sheet 6 Income St.- 19 &amp; 18- LI'!D106</f>
        <v>0</v>
      </c>
      <c r="AE559" s="2977">
        <f>F559-'[4]Sheet 6 Income St.- 19 &amp; 18- LI'!E106</f>
        <v>0</v>
      </c>
      <c r="AF559" s="2977">
        <f>G559-'[4]Sheet 6 Income St.- 19 &amp; 18- LI'!F106</f>
        <v>0</v>
      </c>
      <c r="AG559" s="2977">
        <f>H559-'[4]Sheet 6 Income St.- 19 &amp; 18- LI'!G106</f>
        <v>0</v>
      </c>
      <c r="AH559" s="2977">
        <f>I559-'[4]Sheet 6 Income St.- 19 &amp; 18- LI'!H106</f>
        <v>0</v>
      </c>
      <c r="AI559" s="2977">
        <f>J559-'[4]Sheet 6 Income St.- 19 &amp; 18- LI'!I106</f>
        <v>0</v>
      </c>
      <c r="AJ559" s="2977">
        <f>K559-'[4]Sheet 6 Income St.- 19 &amp; 18- LI'!J106</f>
        <v>0</v>
      </c>
      <c r="AK559" s="2977">
        <f>L559-'[4]Sheet 6 Income St.- 19 &amp; 18- LI'!K106</f>
        <v>0</v>
      </c>
      <c r="AL559" s="2977">
        <f>M559-'[4]Sheet 6 Income St.- 19 &amp; 18- LI'!L106</f>
        <v>0</v>
      </c>
    </row>
    <row r="560" spans="1:38">
      <c r="A560" s="662"/>
      <c r="B560" s="2103" t="s">
        <v>351</v>
      </c>
      <c r="C560" s="2141">
        <v>3</v>
      </c>
      <c r="D560" s="2124">
        <f>E560+I560+M560-6493.06905</f>
        <v>-29079.472480000019</v>
      </c>
      <c r="E560" s="1926">
        <v>-56246.971799999999</v>
      </c>
      <c r="F560" s="2114">
        <v>1288.78189875096</v>
      </c>
      <c r="G560" s="1926">
        <v>7145.9765495773199</v>
      </c>
      <c r="H560" s="2114">
        <v>25225.809921671698</v>
      </c>
      <c r="I560" s="2142">
        <f>F560+G560+H560</f>
        <v>33660.568369999979</v>
      </c>
      <c r="J560" s="2114"/>
      <c r="K560" s="1926"/>
      <c r="L560" s="2114"/>
      <c r="M560" s="2143">
        <f t="shared" si="49"/>
        <v>0</v>
      </c>
      <c r="AB560" s="2975" t="b">
        <f>B560='[4]Sheet 6 Income St.- 19 &amp; 18- LI'!B107</f>
        <v>1</v>
      </c>
      <c r="AC560" s="2977">
        <f>D560-'[4]Sheet 6 Income St.- 19 &amp; 18- LI'!C107</f>
        <v>-43475.190780000019</v>
      </c>
      <c r="AD560" s="2977">
        <f>E560-'[4]Sheet 6 Income St.- 19 &amp; 18- LI'!D107</f>
        <v>-58839.582110000003</v>
      </c>
      <c r="AE560" s="2977">
        <f>F560-'[4]Sheet 6 Income St.- 19 &amp; 18- LI'!E107</f>
        <v>-248.25802576398996</v>
      </c>
      <c r="AF560" s="2977">
        <f>G560-'[4]Sheet 6 Income St.- 19 &amp; 18- LI'!F107</f>
        <v>-3120.0915159077313</v>
      </c>
      <c r="AG560" s="2977">
        <f>H560-'[4]Sheet 6 Income St.- 19 &amp; 18- LI'!G107</f>
        <v>25225.809921671698</v>
      </c>
      <c r="AH560" s="2977">
        <f>I560-'[4]Sheet 6 Income St.- 19 &amp; 18- LI'!H107</f>
        <v>21857.460379999979</v>
      </c>
      <c r="AI560" s="2977">
        <f>J560-'[4]Sheet 6 Income St.- 19 &amp; 18- LI'!I107</f>
        <v>0</v>
      </c>
      <c r="AJ560" s="2977">
        <f>K560-'[4]Sheet 6 Income St.- 19 &amp; 18- LI'!J107</f>
        <v>0</v>
      </c>
      <c r="AK560" s="2977">
        <f>L560-'[4]Sheet 6 Income St.- 19 &amp; 18- LI'!K107</f>
        <v>0</v>
      </c>
      <c r="AL560" s="2977">
        <f>M560-'[4]Sheet 6 Income St.- 19 &amp; 18- LI'!L107</f>
        <v>0</v>
      </c>
    </row>
    <row r="561" spans="1:38">
      <c r="A561" s="662"/>
      <c r="B561" s="2103" t="s">
        <v>353</v>
      </c>
      <c r="C561" s="2141"/>
      <c r="D561" s="2124">
        <f t="shared" si="50"/>
        <v>0</v>
      </c>
      <c r="E561" s="1926"/>
      <c r="F561" s="2114"/>
      <c r="G561" s="1926"/>
      <c r="H561" s="2114"/>
      <c r="I561" s="2142">
        <f t="shared" si="48"/>
        <v>0</v>
      </c>
      <c r="J561" s="2114"/>
      <c r="K561" s="1926"/>
      <c r="L561" s="2114"/>
      <c r="M561" s="2143">
        <f t="shared" si="49"/>
        <v>0</v>
      </c>
      <c r="AB561" s="2975" t="b">
        <f>B561='[4]Sheet 6 Income St.- 19 &amp; 18- LI'!B108</f>
        <v>1</v>
      </c>
      <c r="AC561" s="2977">
        <f>D561-'[4]Sheet 6 Income St.- 19 &amp; 18- LI'!C108</f>
        <v>0</v>
      </c>
      <c r="AD561" s="2977">
        <f>E561-'[4]Sheet 6 Income St.- 19 &amp; 18- LI'!D108</f>
        <v>0</v>
      </c>
      <c r="AE561" s="2977">
        <f>F561-'[4]Sheet 6 Income St.- 19 &amp; 18- LI'!E108</f>
        <v>0</v>
      </c>
      <c r="AF561" s="2977">
        <f>G561-'[4]Sheet 6 Income St.- 19 &amp; 18- LI'!F108</f>
        <v>0</v>
      </c>
      <c r="AG561" s="2977">
        <f>H561-'[4]Sheet 6 Income St.- 19 &amp; 18- LI'!G108</f>
        <v>0</v>
      </c>
      <c r="AH561" s="2977">
        <f>I561-'[4]Sheet 6 Income St.- 19 &amp; 18- LI'!H108</f>
        <v>0</v>
      </c>
      <c r="AI561" s="2977">
        <f>J561-'[4]Sheet 6 Income St.- 19 &amp; 18- LI'!I108</f>
        <v>0</v>
      </c>
      <c r="AJ561" s="2977">
        <f>K561-'[4]Sheet 6 Income St.- 19 &amp; 18- LI'!J108</f>
        <v>0</v>
      </c>
      <c r="AK561" s="2977">
        <f>L561-'[4]Sheet 6 Income St.- 19 &amp; 18- LI'!K108</f>
        <v>0</v>
      </c>
      <c r="AL561" s="2977">
        <f>M561-'[4]Sheet 6 Income St.- 19 &amp; 18- LI'!L108</f>
        <v>0</v>
      </c>
    </row>
    <row r="562" spans="1:38">
      <c r="A562" s="662"/>
      <c r="B562" s="2103" t="s">
        <v>353</v>
      </c>
      <c r="C562" s="2141"/>
      <c r="D562" s="2124">
        <f t="shared" si="50"/>
        <v>0</v>
      </c>
      <c r="E562" s="1926"/>
      <c r="F562" s="2114"/>
      <c r="G562" s="1926"/>
      <c r="H562" s="2114"/>
      <c r="I562" s="2142">
        <f t="shared" si="48"/>
        <v>0</v>
      </c>
      <c r="J562" s="2114"/>
      <c r="K562" s="1926"/>
      <c r="L562" s="2114"/>
      <c r="M562" s="2143">
        <f t="shared" si="49"/>
        <v>0</v>
      </c>
      <c r="AB562" s="2975" t="b">
        <f>B562='[4]Sheet 6 Income St.- 19 &amp; 18- LI'!B109</f>
        <v>1</v>
      </c>
      <c r="AC562" s="2977">
        <f>D562-'[4]Sheet 6 Income St.- 19 &amp; 18- LI'!C109</f>
        <v>0</v>
      </c>
      <c r="AD562" s="2977">
        <f>E562-'[4]Sheet 6 Income St.- 19 &amp; 18- LI'!D109</f>
        <v>0</v>
      </c>
      <c r="AE562" s="2977">
        <f>F562-'[4]Sheet 6 Income St.- 19 &amp; 18- LI'!E109</f>
        <v>0</v>
      </c>
      <c r="AF562" s="2977">
        <f>G562-'[4]Sheet 6 Income St.- 19 &amp; 18- LI'!F109</f>
        <v>0</v>
      </c>
      <c r="AG562" s="2977">
        <f>H562-'[4]Sheet 6 Income St.- 19 &amp; 18- LI'!G109</f>
        <v>0</v>
      </c>
      <c r="AH562" s="2977">
        <f>I562-'[4]Sheet 6 Income St.- 19 &amp; 18- LI'!H109</f>
        <v>0</v>
      </c>
      <c r="AI562" s="2977">
        <f>J562-'[4]Sheet 6 Income St.- 19 &amp; 18- LI'!I109</f>
        <v>0</v>
      </c>
      <c r="AJ562" s="2977">
        <f>K562-'[4]Sheet 6 Income St.- 19 &amp; 18- LI'!J109</f>
        <v>0</v>
      </c>
      <c r="AK562" s="2977">
        <f>L562-'[4]Sheet 6 Income St.- 19 &amp; 18- LI'!K109</f>
        <v>0</v>
      </c>
      <c r="AL562" s="2977">
        <f>M562-'[4]Sheet 6 Income St.- 19 &amp; 18- LI'!L109</f>
        <v>0</v>
      </c>
    </row>
    <row r="563" spans="1:38">
      <c r="A563" s="662"/>
      <c r="B563" s="2103"/>
      <c r="C563" s="2141"/>
      <c r="D563" s="2124">
        <f t="shared" si="50"/>
        <v>0</v>
      </c>
      <c r="E563" s="1926"/>
      <c r="F563" s="2114"/>
      <c r="G563" s="1926"/>
      <c r="H563" s="2114"/>
      <c r="I563" s="2142">
        <f t="shared" si="48"/>
        <v>0</v>
      </c>
      <c r="J563" s="2114"/>
      <c r="K563" s="1926"/>
      <c r="L563" s="2114"/>
      <c r="M563" s="2143">
        <f t="shared" si="49"/>
        <v>0</v>
      </c>
      <c r="AB563" s="2975" t="b">
        <f>B563='[4]Sheet 6 Income St.- 19 &amp; 18- LI'!B110</f>
        <v>1</v>
      </c>
      <c r="AC563" s="2977">
        <f>D563-'[4]Sheet 6 Income St.- 19 &amp; 18- LI'!C110</f>
        <v>0</v>
      </c>
      <c r="AD563" s="2977">
        <f>E563-'[4]Sheet 6 Income St.- 19 &amp; 18- LI'!D110</f>
        <v>0</v>
      </c>
      <c r="AE563" s="2977">
        <f>F563-'[4]Sheet 6 Income St.- 19 &amp; 18- LI'!E110</f>
        <v>0</v>
      </c>
      <c r="AF563" s="2977">
        <f>G563-'[4]Sheet 6 Income St.- 19 &amp; 18- LI'!F110</f>
        <v>0</v>
      </c>
      <c r="AG563" s="2977">
        <f>H563-'[4]Sheet 6 Income St.- 19 &amp; 18- LI'!G110</f>
        <v>0</v>
      </c>
      <c r="AH563" s="2977">
        <f>I563-'[4]Sheet 6 Income St.- 19 &amp; 18- LI'!H110</f>
        <v>0</v>
      </c>
      <c r="AI563" s="2977">
        <f>J563-'[4]Sheet 6 Income St.- 19 &amp; 18- LI'!I110</f>
        <v>0</v>
      </c>
      <c r="AJ563" s="2977">
        <f>K563-'[4]Sheet 6 Income St.- 19 &amp; 18- LI'!J110</f>
        <v>0</v>
      </c>
      <c r="AK563" s="2977">
        <f>L563-'[4]Sheet 6 Income St.- 19 &amp; 18- LI'!K110</f>
        <v>0</v>
      </c>
      <c r="AL563" s="2977">
        <f>M563-'[4]Sheet 6 Income St.- 19 &amp; 18- LI'!L110</f>
        <v>0</v>
      </c>
    </row>
    <row r="564" spans="1:38" s="870" customFormat="1">
      <c r="A564" s="662"/>
      <c r="B564" s="2109" t="s">
        <v>354</v>
      </c>
      <c r="C564" s="2144"/>
      <c r="D564" s="2124">
        <f>D553+D555</f>
        <v>5870875.7858799985</v>
      </c>
      <c r="E564" s="1926">
        <f>E553+E555</f>
        <v>289024.35331999999</v>
      </c>
      <c r="F564" s="2114">
        <f>F553+F555</f>
        <v>61261.251173914963</v>
      </c>
      <c r="G564" s="1926">
        <f>G553+G555</f>
        <v>2578416.5003301473</v>
      </c>
      <c r="H564" s="2114">
        <f>H553+H555</f>
        <v>2968279.3433459364</v>
      </c>
      <c r="I564" s="2142">
        <f t="shared" si="48"/>
        <v>5607957.0948499981</v>
      </c>
      <c r="J564" s="2114">
        <f>J553+J555</f>
        <v>0</v>
      </c>
      <c r="K564" s="1926">
        <f>K553+K555</f>
        <v>0</v>
      </c>
      <c r="L564" s="2114">
        <f>L553+L555</f>
        <v>0</v>
      </c>
      <c r="M564" s="2143">
        <f t="shared" si="49"/>
        <v>0</v>
      </c>
      <c r="N564"/>
      <c r="O564"/>
      <c r="P564"/>
      <c r="Q564"/>
      <c r="R564"/>
      <c r="S564"/>
      <c r="T564"/>
      <c r="U564"/>
      <c r="V564"/>
      <c r="W564"/>
      <c r="X564"/>
      <c r="Y564"/>
      <c r="Z564"/>
      <c r="AA564"/>
      <c r="AB564" s="2976" t="b">
        <f>B564='[4]Sheet 6 Income St.- 19 &amp; 18- LI'!B111</f>
        <v>1</v>
      </c>
      <c r="AC564" s="2978">
        <f>D564-'[4]Sheet 6 Income St.- 19 &amp; 18- LI'!C111</f>
        <v>3031796.6610599975</v>
      </c>
      <c r="AD564" s="2978">
        <f>E564-'[4]Sheet 6 Income St.- 19 &amp; 18- LI'!D111</f>
        <v>185804.73398999998</v>
      </c>
      <c r="AE564" s="2978">
        <f>F564-'[4]Sheet 6 Income St.- 19 &amp; 18- LI'!E111</f>
        <v>-42436.882492700446</v>
      </c>
      <c r="AF564" s="2978">
        <f>G564-'[4]Sheet 6 Income St.- 19 &amp; 18- LI'!F111</f>
        <v>-53744.871493238024</v>
      </c>
      <c r="AG564" s="2978">
        <f>H564-'[4]Sheet 6 Income St.- 19 &amp; 18- LI'!G111</f>
        <v>2968279.3433459364</v>
      </c>
      <c r="AH564" s="2978">
        <f>I564-'[4]Sheet 6 Income St.- 19 &amp; 18- LI'!H111</f>
        <v>2872097.5893599973</v>
      </c>
      <c r="AI564" s="2978">
        <f>J564-'[4]Sheet 6 Income St.- 19 &amp; 18- LI'!I111</f>
        <v>0</v>
      </c>
      <c r="AJ564" s="2978">
        <f>K564-'[4]Sheet 6 Income St.- 19 &amp; 18- LI'!J111</f>
        <v>0</v>
      </c>
      <c r="AK564" s="2978">
        <f>L564-'[4]Sheet 6 Income St.- 19 &amp; 18- LI'!K111</f>
        <v>0</v>
      </c>
      <c r="AL564" s="2978">
        <f>M564-'[4]Sheet 6 Income St.- 19 &amp; 18- LI'!L111</f>
        <v>0</v>
      </c>
    </row>
    <row r="565" spans="1:38">
      <c r="A565" s="662"/>
      <c r="B565" s="2109"/>
      <c r="C565" s="2144"/>
      <c r="D565" s="2124">
        <f t="shared" ref="D565:D575" si="51">E565+I565+M565</f>
        <v>0</v>
      </c>
      <c r="E565" s="1926"/>
      <c r="F565" s="2114"/>
      <c r="G565" s="1926"/>
      <c r="H565" s="2114"/>
      <c r="I565" s="2142">
        <f t="shared" si="48"/>
        <v>0</v>
      </c>
      <c r="J565" s="2114"/>
      <c r="K565" s="1926"/>
      <c r="L565" s="2114"/>
      <c r="M565" s="2143"/>
      <c r="AB565" s="2975" t="b">
        <f>B565='[4]Sheet 6 Income St.- 19 &amp; 18- LI'!B112</f>
        <v>1</v>
      </c>
      <c r="AC565" s="2977">
        <f>D565-'[4]Sheet 6 Income St.- 19 &amp; 18- LI'!C112</f>
        <v>0</v>
      </c>
      <c r="AD565" s="2977">
        <f>E565-'[4]Sheet 6 Income St.- 19 &amp; 18- LI'!D112</f>
        <v>0</v>
      </c>
      <c r="AE565" s="2977">
        <f>F565-'[4]Sheet 6 Income St.- 19 &amp; 18- LI'!E112</f>
        <v>0</v>
      </c>
      <c r="AF565" s="2977">
        <f>G565-'[4]Sheet 6 Income St.- 19 &amp; 18- LI'!F112</f>
        <v>0</v>
      </c>
      <c r="AG565" s="2977">
        <f>H565-'[4]Sheet 6 Income St.- 19 &amp; 18- LI'!G112</f>
        <v>0</v>
      </c>
      <c r="AH565" s="2977">
        <f>I565-'[4]Sheet 6 Income St.- 19 &amp; 18- LI'!H112</f>
        <v>0</v>
      </c>
      <c r="AI565" s="2977">
        <f>J565-'[4]Sheet 6 Income St.- 19 &amp; 18- LI'!I112</f>
        <v>0</v>
      </c>
      <c r="AJ565" s="2977">
        <f>K565-'[4]Sheet 6 Income St.- 19 &amp; 18- LI'!J112</f>
        <v>0</v>
      </c>
      <c r="AK565" s="2977">
        <f>L565-'[4]Sheet 6 Income St.- 19 &amp; 18- LI'!K112</f>
        <v>0</v>
      </c>
      <c r="AL565" s="2977">
        <f>M565-'[4]Sheet 6 Income St.- 19 &amp; 18- LI'!L112</f>
        <v>0</v>
      </c>
    </row>
    <row r="566" spans="1:38">
      <c r="A566" s="662"/>
      <c r="B566" s="2103" t="s">
        <v>355</v>
      </c>
      <c r="C566" s="2141"/>
      <c r="D566" s="2124">
        <f t="shared" si="51"/>
        <v>1681005.6736199998</v>
      </c>
      <c r="E566" s="1926"/>
      <c r="F566" s="2114">
        <v>11013.59389</v>
      </c>
      <c r="G566" s="1926">
        <v>1273257.9052899999</v>
      </c>
      <c r="H566" s="2114">
        <v>396734.17443999997</v>
      </c>
      <c r="I566" s="2142">
        <f t="shared" si="48"/>
        <v>1681005.6736199998</v>
      </c>
      <c r="J566" s="2114"/>
      <c r="K566" s="1926"/>
      <c r="L566" s="2114"/>
      <c r="M566" s="2143">
        <f t="shared" ref="M566:M584" si="52">L566+K566+J566</f>
        <v>0</v>
      </c>
      <c r="AB566" s="2975" t="b">
        <f>B566='[4]Sheet 6 Income St.- 19 &amp; 18- LI'!B113</f>
        <v>1</v>
      </c>
      <c r="AC566" s="2977">
        <f>D566+'[4]Sheet 6 Income St.- 19 &amp; 18- LI'!C113</f>
        <v>1104602.8213199996</v>
      </c>
      <c r="AD566" s="2977">
        <f>E566+'[4]Sheet 6 Income St.- 19 &amp; 18- LI'!D113</f>
        <v>0</v>
      </c>
      <c r="AE566" s="2977">
        <f>F566+'[4]Sheet 6 Income St.- 19 &amp; 18- LI'!E113</f>
        <v>-83292.29445999999</v>
      </c>
      <c r="AF566" s="2977">
        <f>G566+'[4]Sheet 6 Income St.- 19 &amp; 18- LI'!F113</f>
        <v>791160.9413399999</v>
      </c>
      <c r="AG566" s="2977">
        <f>H566+'[4]Sheet 6 Income St.- 19 &amp; 18- LI'!G113</f>
        <v>396734.17443999997</v>
      </c>
      <c r="AH566" s="2977">
        <f>I566+'[4]Sheet 6 Income St.- 19 &amp; 18- LI'!H113</f>
        <v>1104602.8213199996</v>
      </c>
      <c r="AI566" s="2977">
        <f>J566+'[4]Sheet 6 Income St.- 19 &amp; 18- LI'!I113</f>
        <v>0</v>
      </c>
      <c r="AJ566" s="2977">
        <f>K566+'[4]Sheet 6 Income St.- 19 &amp; 18- LI'!J113</f>
        <v>0</v>
      </c>
      <c r="AK566" s="2977">
        <f>L566+'[4]Sheet 6 Income St.- 19 &amp; 18- LI'!K113</f>
        <v>0</v>
      </c>
      <c r="AL566" s="2977">
        <f>M566+'[4]Sheet 6 Income St.- 19 &amp; 18- LI'!L113</f>
        <v>0</v>
      </c>
    </row>
    <row r="567" spans="1:38">
      <c r="A567" s="662"/>
      <c r="B567" s="2103" t="s">
        <v>356</v>
      </c>
      <c r="C567" s="2141"/>
      <c r="D567" s="2124">
        <f t="shared" si="51"/>
        <v>-125846.27301</v>
      </c>
      <c r="E567" s="1926"/>
      <c r="F567" s="2114">
        <v>-1677.75</v>
      </c>
      <c r="G567" s="1926">
        <v>-89920.217000000004</v>
      </c>
      <c r="H567" s="2114">
        <v>-34248.30601</v>
      </c>
      <c r="I567" s="2142">
        <f t="shared" si="48"/>
        <v>-125846.27301</v>
      </c>
      <c r="J567" s="2114"/>
      <c r="K567" s="1926"/>
      <c r="L567" s="2114"/>
      <c r="M567" s="2143">
        <f t="shared" si="52"/>
        <v>0</v>
      </c>
      <c r="AB567" s="2975" t="b">
        <f>B567='[4]Sheet 6 Income St.- 19 &amp; 18- LI'!B114</f>
        <v>1</v>
      </c>
      <c r="AC567" s="2977">
        <f>D567+'[4]Sheet 6 Income St.- 19 &amp; 18- LI'!C114</f>
        <v>-26484.756009999997</v>
      </c>
      <c r="AD567" s="2977">
        <f>E567+'[4]Sheet 6 Income St.- 19 &amp; 18- LI'!D114</f>
        <v>0</v>
      </c>
      <c r="AE567" s="2977">
        <f>F567+'[4]Sheet 6 Income St.- 19 &amp; 18- LI'!E114</f>
        <v>1738.9180000000001</v>
      </c>
      <c r="AF567" s="2977">
        <f>G567+'[4]Sheet 6 Income St.- 19 &amp; 18- LI'!F114</f>
        <v>6024.6319999999978</v>
      </c>
      <c r="AG567" s="2977">
        <f>H567+'[4]Sheet 6 Income St.- 19 &amp; 18- LI'!G114</f>
        <v>-34248.30601</v>
      </c>
      <c r="AH567" s="2977">
        <f>I567+'[4]Sheet 6 Income St.- 19 &amp; 18- LI'!H114</f>
        <v>-26484.756009999997</v>
      </c>
      <c r="AI567" s="2977">
        <f>J567+'[4]Sheet 6 Income St.- 19 &amp; 18- LI'!I114</f>
        <v>0</v>
      </c>
      <c r="AJ567" s="2977">
        <f>K567+'[4]Sheet 6 Income St.- 19 &amp; 18- LI'!J114</f>
        <v>0</v>
      </c>
      <c r="AK567" s="2977">
        <f>L567+'[4]Sheet 6 Income St.- 19 &amp; 18- LI'!K114</f>
        <v>0</v>
      </c>
      <c r="AL567" s="2977">
        <f>M567+'[4]Sheet 6 Income St.- 19 &amp; 18- LI'!L114</f>
        <v>0</v>
      </c>
    </row>
    <row r="568" spans="1:38">
      <c r="A568" s="662"/>
      <c r="B568" s="2103" t="s">
        <v>357</v>
      </c>
      <c r="C568" s="2141"/>
      <c r="D568" s="2124">
        <f t="shared" si="51"/>
        <v>0</v>
      </c>
      <c r="E568" s="1926"/>
      <c r="F568" s="2114"/>
      <c r="G568" s="1926"/>
      <c r="H568" s="2114"/>
      <c r="I568" s="2142">
        <f t="shared" si="48"/>
        <v>0</v>
      </c>
      <c r="J568" s="2114"/>
      <c r="K568" s="1926"/>
      <c r="L568" s="2114"/>
      <c r="M568" s="2143">
        <f t="shared" si="52"/>
        <v>0</v>
      </c>
      <c r="AB568" s="2975" t="b">
        <f>B568='[4]Sheet 6 Income St.- 19 &amp; 18- LI'!B115</f>
        <v>1</v>
      </c>
      <c r="AC568" s="2977">
        <f>D568+'[4]Sheet 6 Income St.- 19 &amp; 18- LI'!C115</f>
        <v>0</v>
      </c>
      <c r="AD568" s="2977">
        <f>E568+'[4]Sheet 6 Income St.- 19 &amp; 18- LI'!D115</f>
        <v>0</v>
      </c>
      <c r="AE568" s="2977">
        <f>F568+'[4]Sheet 6 Income St.- 19 &amp; 18- LI'!E115</f>
        <v>0</v>
      </c>
      <c r="AF568" s="2977">
        <f>G568+'[4]Sheet 6 Income St.- 19 &amp; 18- LI'!F115</f>
        <v>0</v>
      </c>
      <c r="AG568" s="2977">
        <f>H568+'[4]Sheet 6 Income St.- 19 &amp; 18- LI'!G115</f>
        <v>0</v>
      </c>
      <c r="AH568" s="2977">
        <f>I568+'[4]Sheet 6 Income St.- 19 &amp; 18- LI'!H115</f>
        <v>0</v>
      </c>
      <c r="AI568" s="2977">
        <f>J568+'[4]Sheet 6 Income St.- 19 &amp; 18- LI'!I115</f>
        <v>0</v>
      </c>
      <c r="AJ568" s="2977">
        <f>K568+'[4]Sheet 6 Income St.- 19 &amp; 18- LI'!J115</f>
        <v>0</v>
      </c>
      <c r="AK568" s="2977">
        <f>L568+'[4]Sheet 6 Income St.- 19 &amp; 18- LI'!K115</f>
        <v>0</v>
      </c>
      <c r="AL568" s="2977">
        <f>M568+'[4]Sheet 6 Income St.- 19 &amp; 18- LI'!L115</f>
        <v>0</v>
      </c>
    </row>
    <row r="569" spans="1:38" ht="13.5" customHeight="1">
      <c r="A569" s="662"/>
      <c r="B569" s="2110" t="s">
        <v>358</v>
      </c>
      <c r="C569" s="2141"/>
      <c r="D569" s="2124">
        <f t="shared" si="51"/>
        <v>0</v>
      </c>
      <c r="E569" s="1926"/>
      <c r="F569" s="2114"/>
      <c r="G569" s="1926"/>
      <c r="H569" s="2114"/>
      <c r="I569" s="2142">
        <f t="shared" si="48"/>
        <v>0</v>
      </c>
      <c r="J569" s="2114"/>
      <c r="K569" s="1926"/>
      <c r="L569" s="2114"/>
      <c r="M569" s="2143">
        <f t="shared" si="52"/>
        <v>0</v>
      </c>
      <c r="AB569" s="2975" t="b">
        <f>B569='[4]Sheet 6 Income St.- 19 &amp; 18- LI'!B116</f>
        <v>1</v>
      </c>
      <c r="AC569" s="2977">
        <f>D569+'[4]Sheet 6 Income St.- 19 &amp; 18- LI'!C116</f>
        <v>0</v>
      </c>
      <c r="AD569" s="2977">
        <f>E569+'[4]Sheet 6 Income St.- 19 &amp; 18- LI'!D116</f>
        <v>0</v>
      </c>
      <c r="AE569" s="2977">
        <f>F569+'[4]Sheet 6 Income St.- 19 &amp; 18- LI'!E116</f>
        <v>0</v>
      </c>
      <c r="AF569" s="2977">
        <f>G569+'[4]Sheet 6 Income St.- 19 &amp; 18- LI'!F116</f>
        <v>0</v>
      </c>
      <c r="AG569" s="2977">
        <f>H569+'[4]Sheet 6 Income St.- 19 &amp; 18- LI'!G116</f>
        <v>0</v>
      </c>
      <c r="AH569" s="2977">
        <f>I569+'[4]Sheet 6 Income St.- 19 &amp; 18- LI'!H116</f>
        <v>0</v>
      </c>
      <c r="AI569" s="2977">
        <f>J569+'[4]Sheet 6 Income St.- 19 &amp; 18- LI'!I116</f>
        <v>0</v>
      </c>
      <c r="AJ569" s="2977">
        <f>K569+'[4]Sheet 6 Income St.- 19 &amp; 18- LI'!J116</f>
        <v>0</v>
      </c>
      <c r="AK569" s="2977">
        <f>L569+'[4]Sheet 6 Income St.- 19 &amp; 18- LI'!K116</f>
        <v>0</v>
      </c>
      <c r="AL569" s="2977">
        <f>M569+'[4]Sheet 6 Income St.- 19 &amp; 18- LI'!L116</f>
        <v>0</v>
      </c>
    </row>
    <row r="570" spans="1:38">
      <c r="A570" s="662"/>
      <c r="B570" s="2103" t="s">
        <v>359</v>
      </c>
      <c r="C570" s="2141"/>
      <c r="D570" s="2124">
        <f t="shared" si="51"/>
        <v>1343329.4187491986</v>
      </c>
      <c r="E570" s="1926"/>
      <c r="F570" s="2114">
        <v>47323.699109903602</v>
      </c>
      <c r="G570" s="1926">
        <v>435966.29972012201</v>
      </c>
      <c r="H570" s="2114">
        <v>860039.419919173</v>
      </c>
      <c r="I570" s="2142">
        <f t="shared" si="48"/>
        <v>1343329.4187491986</v>
      </c>
      <c r="J570" s="2114"/>
      <c r="K570" s="1926"/>
      <c r="L570" s="2114"/>
      <c r="M570" s="2143">
        <f t="shared" si="52"/>
        <v>0</v>
      </c>
      <c r="AB570" s="2975" t="b">
        <f>B570='[4]Sheet 6 Income St.- 19 &amp; 18- LI'!B117</f>
        <v>1</v>
      </c>
      <c r="AC570" s="2977">
        <f>D570+'[4]Sheet 6 Income St.- 19 &amp; 18- LI'!C117</f>
        <v>527770.11591847963</v>
      </c>
      <c r="AD570" s="2977">
        <f>E570+'[4]Sheet 6 Income St.- 19 &amp; 18- LI'!D117</f>
        <v>0</v>
      </c>
      <c r="AE570" s="2977">
        <f>F570+'[4]Sheet 6 Income St.- 19 &amp; 18- LI'!E117</f>
        <v>70262.150978681704</v>
      </c>
      <c r="AF570" s="2977">
        <f>G570+'[4]Sheet 6 Income St.- 19 &amp; 18- LI'!F117</f>
        <v>-402531.454979375</v>
      </c>
      <c r="AG570" s="2977">
        <f>H570+'[4]Sheet 6 Income St.- 19 &amp; 18- LI'!G117</f>
        <v>860039.419919173</v>
      </c>
      <c r="AH570" s="2977">
        <f>I570+'[4]Sheet 6 Income St.- 19 &amp; 18- LI'!H117</f>
        <v>527770.11591847963</v>
      </c>
      <c r="AI570" s="2977">
        <f>J570+'[4]Sheet 6 Income St.- 19 &amp; 18- LI'!I117</f>
        <v>0</v>
      </c>
      <c r="AJ570" s="2977">
        <f>K570+'[4]Sheet 6 Income St.- 19 &amp; 18- LI'!J117</f>
        <v>0</v>
      </c>
      <c r="AK570" s="2977">
        <f>L570+'[4]Sheet 6 Income St.- 19 &amp; 18- LI'!K117</f>
        <v>0</v>
      </c>
      <c r="AL570" s="2977">
        <f>M570+'[4]Sheet 6 Income St.- 19 &amp; 18- LI'!L117</f>
        <v>0</v>
      </c>
    </row>
    <row r="571" spans="1:38" ht="26.45">
      <c r="A571" s="662"/>
      <c r="B571" s="2110" t="s">
        <v>360</v>
      </c>
      <c r="C571" s="2141"/>
      <c r="D571" s="2124">
        <f t="shared" si="51"/>
        <v>0</v>
      </c>
      <c r="E571" s="1926"/>
      <c r="F571" s="2114"/>
      <c r="G571" s="1926"/>
      <c r="H571" s="2114"/>
      <c r="I571" s="2142">
        <f t="shared" si="48"/>
        <v>0</v>
      </c>
      <c r="J571" s="2114"/>
      <c r="K571" s="1926"/>
      <c r="L571" s="2114"/>
      <c r="M571" s="2143">
        <f t="shared" si="52"/>
        <v>0</v>
      </c>
      <c r="AB571" s="2975" t="b">
        <f>B571='[4]Sheet 6 Income St.- 19 &amp; 18- LI'!B118</f>
        <v>0</v>
      </c>
      <c r="AC571" s="2977">
        <f>D571+'[4]Sheet 6 Income St.- 19 &amp; 18- LI'!C118</f>
        <v>0</v>
      </c>
      <c r="AD571" s="2977">
        <f>E571+'[4]Sheet 6 Income St.- 19 &amp; 18- LI'!D118</f>
        <v>0</v>
      </c>
      <c r="AE571" s="2977">
        <f>F571+'[4]Sheet 6 Income St.- 19 &amp; 18- LI'!E118</f>
        <v>0</v>
      </c>
      <c r="AF571" s="2977">
        <f>G571+'[4]Sheet 6 Income St.- 19 &amp; 18- LI'!F118</f>
        <v>0</v>
      </c>
      <c r="AG571" s="2977">
        <f>H571+'[4]Sheet 6 Income St.- 19 &amp; 18- LI'!G118</f>
        <v>0</v>
      </c>
      <c r="AH571" s="2977">
        <f>I571+'[4]Sheet 6 Income St.- 19 &amp; 18- LI'!H118</f>
        <v>0</v>
      </c>
      <c r="AI571" s="2977">
        <f>J571+'[4]Sheet 6 Income St.- 19 &amp; 18- LI'!I118</f>
        <v>0</v>
      </c>
      <c r="AJ571" s="2977">
        <f>K571+'[4]Sheet 6 Income St.- 19 &amp; 18- LI'!J118</f>
        <v>0</v>
      </c>
      <c r="AK571" s="2977">
        <f>L571+'[4]Sheet 6 Income St.- 19 &amp; 18- LI'!K118</f>
        <v>0</v>
      </c>
      <c r="AL571" s="2977">
        <f>M571+'[4]Sheet 6 Income St.- 19 &amp; 18- LI'!L118</f>
        <v>0</v>
      </c>
    </row>
    <row r="572" spans="1:38" s="870" customFormat="1">
      <c r="A572" s="662"/>
      <c r="B572" s="2109" t="s">
        <v>361</v>
      </c>
      <c r="C572" s="2144"/>
      <c r="D572" s="2124">
        <f t="shared" si="51"/>
        <v>2898488.8193591987</v>
      </c>
      <c r="E572" s="1926">
        <f>SUM(E566:E571)</f>
        <v>0</v>
      </c>
      <c r="F572" s="2114">
        <f>SUM(F566:F571)</f>
        <v>56659.542999903599</v>
      </c>
      <c r="G572" s="1926">
        <f>SUM(G566:G571)</f>
        <v>1619303.988010122</v>
      </c>
      <c r="H572" s="2114">
        <f>SUM(H566:H571)</f>
        <v>1222525.288349173</v>
      </c>
      <c r="I572" s="2142">
        <f t="shared" si="48"/>
        <v>2898488.8193591987</v>
      </c>
      <c r="J572" s="2114">
        <f>SUM(J566:J571)</f>
        <v>0</v>
      </c>
      <c r="K572" s="1926">
        <f>SUM(K566:K571)</f>
        <v>0</v>
      </c>
      <c r="L572" s="2114">
        <f>SUM(L566:L571)</f>
        <v>0</v>
      </c>
      <c r="M572" s="2143">
        <f t="shared" si="52"/>
        <v>0</v>
      </c>
      <c r="N572"/>
      <c r="O572"/>
      <c r="P572"/>
      <c r="Q572"/>
      <c r="R572"/>
      <c r="S572"/>
      <c r="T572"/>
      <c r="U572"/>
      <c r="V572"/>
      <c r="W572"/>
      <c r="X572"/>
      <c r="Y572"/>
      <c r="Z572"/>
      <c r="AA572"/>
      <c r="AB572" s="2976" t="b">
        <f>B572='[4]Sheet 6 Income St.- 19 &amp; 18- LI'!B119</f>
        <v>0</v>
      </c>
      <c r="AC572" s="2978">
        <f>D572+'[4]Sheet 6 Income St.- 19 &amp; 18- LI'!C119</f>
        <v>1605888.1812284796</v>
      </c>
      <c r="AD572" s="2978">
        <f>E572+'[4]Sheet 6 Income St.- 19 &amp; 18- LI'!D119</f>
        <v>0</v>
      </c>
      <c r="AE572" s="2978">
        <f>F572+'[4]Sheet 6 Income St.- 19 &amp; 18- LI'!E119</f>
        <v>-11291.225481318295</v>
      </c>
      <c r="AF572" s="2978">
        <f>G572+'[4]Sheet 6 Income St.- 19 &amp; 18- LI'!F119</f>
        <v>394654.11836062488</v>
      </c>
      <c r="AG572" s="2978">
        <f>H572+'[4]Sheet 6 Income St.- 19 &amp; 18- LI'!G119</f>
        <v>1222525.288349173</v>
      </c>
      <c r="AH572" s="2978">
        <f>I572+'[4]Sheet 6 Income St.- 19 &amp; 18- LI'!H119</f>
        <v>1605888.1812284796</v>
      </c>
      <c r="AI572" s="2978">
        <f>J572+'[4]Sheet 6 Income St.- 19 &amp; 18- LI'!I119</f>
        <v>0</v>
      </c>
      <c r="AJ572" s="2978">
        <f>K572+'[4]Sheet 6 Income St.- 19 &amp; 18- LI'!J119</f>
        <v>0</v>
      </c>
      <c r="AK572" s="2978">
        <f>L572+'[4]Sheet 6 Income St.- 19 &amp; 18- LI'!K119</f>
        <v>0</v>
      </c>
      <c r="AL572" s="2978">
        <f>M572+'[4]Sheet 6 Income St.- 19 &amp; 18- LI'!L119</f>
        <v>0</v>
      </c>
    </row>
    <row r="573" spans="1:38">
      <c r="A573" s="662"/>
      <c r="B573" s="2103"/>
      <c r="C573" s="2141"/>
      <c r="D573" s="2124">
        <f t="shared" si="51"/>
        <v>0</v>
      </c>
      <c r="E573" s="1926"/>
      <c r="F573" s="2114"/>
      <c r="G573" s="1926"/>
      <c r="H573" s="2114"/>
      <c r="I573" s="2142">
        <f t="shared" si="48"/>
        <v>0</v>
      </c>
      <c r="J573" s="2114"/>
      <c r="K573" s="1926"/>
      <c r="L573" s="2114"/>
      <c r="M573" s="2143">
        <f t="shared" si="52"/>
        <v>0</v>
      </c>
      <c r="AB573" s="2975" t="b">
        <f>B573='[4]Sheet 6 Income St.- 19 &amp; 18- LI'!B120</f>
        <v>1</v>
      </c>
      <c r="AC573" s="2977">
        <f>D573+'[4]Sheet 6 Income St.- 19 &amp; 18- LI'!C120</f>
        <v>0</v>
      </c>
      <c r="AD573" s="2977">
        <f>E573+'[4]Sheet 6 Income St.- 19 &amp; 18- LI'!D120</f>
        <v>0</v>
      </c>
      <c r="AE573" s="2977">
        <f>F573+'[4]Sheet 6 Income St.- 19 &amp; 18- LI'!E120</f>
        <v>0</v>
      </c>
      <c r="AF573" s="2977">
        <f>G573+'[4]Sheet 6 Income St.- 19 &amp; 18- LI'!F120</f>
        <v>0</v>
      </c>
      <c r="AG573" s="2977">
        <f>H573+'[4]Sheet 6 Income St.- 19 &amp; 18- LI'!G120</f>
        <v>0</v>
      </c>
      <c r="AH573" s="2977">
        <f>I573+'[4]Sheet 6 Income St.- 19 &amp; 18- LI'!H120</f>
        <v>0</v>
      </c>
      <c r="AI573" s="2977">
        <f>J573+'[4]Sheet 6 Income St.- 19 &amp; 18- LI'!I120</f>
        <v>0</v>
      </c>
      <c r="AJ573" s="2977">
        <f>K573+'[4]Sheet 6 Income St.- 19 &amp; 18- LI'!J120</f>
        <v>0</v>
      </c>
      <c r="AK573" s="2977">
        <f>L573+'[4]Sheet 6 Income St.- 19 &amp; 18- LI'!K120</f>
        <v>0</v>
      </c>
      <c r="AL573" s="2977">
        <f>M573+'[4]Sheet 6 Income St.- 19 &amp; 18- LI'!L120</f>
        <v>0</v>
      </c>
    </row>
    <row r="574" spans="1:38" ht="26.45">
      <c r="A574" s="662"/>
      <c r="B574" s="2110" t="s">
        <v>362</v>
      </c>
      <c r="C574" s="2141"/>
      <c r="D574" s="2124">
        <f t="shared" si="51"/>
        <v>369171.79881000001</v>
      </c>
      <c r="E574" s="1926"/>
      <c r="F574" s="2114">
        <v>759.85041999999999</v>
      </c>
      <c r="G574" s="1926">
        <v>35428.04651</v>
      </c>
      <c r="H574" s="2114">
        <v>332983.90188000002</v>
      </c>
      <c r="I574" s="2142">
        <f t="shared" si="48"/>
        <v>369171.79881000001</v>
      </c>
      <c r="J574" s="2114"/>
      <c r="K574" s="1926"/>
      <c r="L574" s="2114"/>
      <c r="M574" s="2143">
        <f t="shared" si="52"/>
        <v>0</v>
      </c>
      <c r="AB574" s="2975" t="b">
        <f>B574='[4]Sheet 6 Income St.- 19 &amp; 18- LI'!B121</f>
        <v>1</v>
      </c>
      <c r="AC574" s="2977">
        <f>D574+'[4]Sheet 6 Income St.- 19 &amp; 18- LI'!C121</f>
        <v>173519.82564000002</v>
      </c>
      <c r="AD574" s="2977">
        <f>E574+'[4]Sheet 6 Income St.- 19 &amp; 18- LI'!D121</f>
        <v>0</v>
      </c>
      <c r="AE574" s="2977">
        <f>F574+'[4]Sheet 6 Income St.- 19 &amp; 18- LI'!E121</f>
        <v>-2197.4258</v>
      </c>
      <c r="AF574" s="2977">
        <f>G574+'[4]Sheet 6 Income St.- 19 &amp; 18- LI'!F121</f>
        <v>-157266.65044</v>
      </c>
      <c r="AG574" s="2977">
        <f>H574+'[4]Sheet 6 Income St.- 19 &amp; 18- LI'!G121</f>
        <v>332983.90188000002</v>
      </c>
      <c r="AH574" s="2977">
        <f>I574+'[4]Sheet 6 Income St.- 19 &amp; 18- LI'!H121</f>
        <v>173519.82564000002</v>
      </c>
      <c r="AI574" s="2977">
        <f>J574+'[4]Sheet 6 Income St.- 19 &amp; 18- LI'!I121</f>
        <v>0</v>
      </c>
      <c r="AJ574" s="2977">
        <f>K574+'[4]Sheet 6 Income St.- 19 &amp; 18- LI'!J121</f>
        <v>0</v>
      </c>
      <c r="AK574" s="2977">
        <f>L574+'[4]Sheet 6 Income St.- 19 &amp; 18- LI'!K121</f>
        <v>0</v>
      </c>
      <c r="AL574" s="2977">
        <f>M574+'[4]Sheet 6 Income St.- 19 &amp; 18- LI'!L121</f>
        <v>0</v>
      </c>
    </row>
    <row r="575" spans="1:38">
      <c r="A575" s="662"/>
      <c r="B575" s="2103"/>
      <c r="C575" s="2141"/>
      <c r="D575" s="2124">
        <f t="shared" si="51"/>
        <v>0</v>
      </c>
      <c r="E575" s="1926"/>
      <c r="F575" s="2114"/>
      <c r="G575" s="1926"/>
      <c r="H575" s="2114"/>
      <c r="I575" s="2142">
        <f t="shared" si="48"/>
        <v>0</v>
      </c>
      <c r="J575" s="2114"/>
      <c r="K575" s="1926"/>
      <c r="L575" s="2114"/>
      <c r="M575" s="2143">
        <f t="shared" si="52"/>
        <v>0</v>
      </c>
      <c r="AB575" s="2975" t="b">
        <f>B575='[4]Sheet 6 Income St.- 19 &amp; 18- LI'!B122</f>
        <v>0</v>
      </c>
      <c r="AC575" s="2977">
        <f>D575+'[4]Sheet 6 Income St.- 19 &amp; 18- LI'!C122</f>
        <v>-98962.253799999991</v>
      </c>
      <c r="AD575" s="2977">
        <f>E575+'[4]Sheet 6 Income St.- 19 &amp; 18- LI'!D122</f>
        <v>-10002.8812</v>
      </c>
      <c r="AE575" s="2977">
        <f>F575+'[4]Sheet 6 Income St.- 19 &amp; 18- LI'!E122</f>
        <v>0</v>
      </c>
      <c r="AF575" s="2977">
        <f>G575+'[4]Sheet 6 Income St.- 19 &amp; 18- LI'!F122</f>
        <v>-88959.372599999988</v>
      </c>
      <c r="AG575" s="2977">
        <f>H575+'[4]Sheet 6 Income St.- 19 &amp; 18- LI'!G122</f>
        <v>0</v>
      </c>
      <c r="AH575" s="2977">
        <f>I575+'[4]Sheet 6 Income St.- 19 &amp; 18- LI'!H122</f>
        <v>-88959.372599999988</v>
      </c>
      <c r="AI575" s="2977">
        <f>J575+'[4]Sheet 6 Income St.- 19 &amp; 18- LI'!I122</f>
        <v>0</v>
      </c>
      <c r="AJ575" s="2977">
        <f>K575+'[4]Sheet 6 Income St.- 19 &amp; 18- LI'!J122</f>
        <v>0</v>
      </c>
      <c r="AK575" s="2977">
        <f>L575+'[4]Sheet 6 Income St.- 19 &amp; 18- LI'!K122</f>
        <v>0</v>
      </c>
      <c r="AL575" s="2977">
        <f>M575+'[4]Sheet 6 Income St.- 19 &amp; 18- LI'!L122</f>
        <v>0</v>
      </c>
    </row>
    <row r="576" spans="1:38" ht="15.75" customHeight="1">
      <c r="A576" s="896"/>
      <c r="B576" s="2110" t="s">
        <v>363</v>
      </c>
      <c r="C576" s="2141">
        <v>4</v>
      </c>
      <c r="D576" s="2124">
        <f>E576+I576+M576-6493.06905-19612.59324</f>
        <v>1584148.9410107965</v>
      </c>
      <c r="E576" s="1926">
        <v>19958.126619999999</v>
      </c>
      <c r="F576" s="2114">
        <v>3841.8577540114102</v>
      </c>
      <c r="G576" s="1926">
        <v>478684.46581002499</v>
      </c>
      <c r="H576" s="2114">
        <v>1107770.1531167601</v>
      </c>
      <c r="I576" s="2142">
        <f t="shared" si="48"/>
        <v>1590296.4766807966</v>
      </c>
      <c r="J576" s="2114"/>
      <c r="K576" s="1926"/>
      <c r="L576" s="2114"/>
      <c r="M576" s="2143">
        <f t="shared" si="52"/>
        <v>0</v>
      </c>
      <c r="AB576" s="2975" t="b">
        <f>B576='[4]Sheet 6 Income St.- 19 &amp; 18- LI'!B123</f>
        <v>1</v>
      </c>
      <c r="AC576" s="2977">
        <f>D576+'[4]Sheet 6 Income St.- 19 &amp; 18- LI'!C123</f>
        <v>99023.969018917764</v>
      </c>
      <c r="AD576" s="2977">
        <f>E576+'[4]Sheet 6 Income St.- 19 &amp; 18- LI'!D123</f>
        <v>2051.5865699999995</v>
      </c>
      <c r="AE576" s="2977">
        <f>F576+'[4]Sheet 6 Income St.- 19 &amp; 18- LI'!E123</f>
        <v>-28532.615645599431</v>
      </c>
      <c r="AF576" s="2977">
        <f>G576+'[4]Sheet 6 Income St.- 19 &amp; 18- LI'!F123</f>
        <v>-986040.7540022427</v>
      </c>
      <c r="AG576" s="2977">
        <f>H576+'[4]Sheet 6 Income St.- 19 &amp; 18- LI'!G123</f>
        <v>1107770.1531167601</v>
      </c>
      <c r="AH576" s="2977">
        <f>I576+'[4]Sheet 6 Income St.- 19 &amp; 18- LI'!H123</f>
        <v>93196.783468917944</v>
      </c>
      <c r="AI576" s="2977">
        <f>J576+'[4]Sheet 6 Income St.- 19 &amp; 18- LI'!I123</f>
        <v>0</v>
      </c>
      <c r="AJ576" s="2977">
        <f>K576+'[4]Sheet 6 Income St.- 19 &amp; 18- LI'!J123</f>
        <v>0</v>
      </c>
      <c r="AK576" s="2977">
        <f>L576+'[4]Sheet 6 Income St.- 19 &amp; 18- LI'!K123</f>
        <v>0</v>
      </c>
      <c r="AL576" s="2977">
        <f>M576+'[4]Sheet 6 Income St.- 19 &amp; 18- LI'!L123</f>
        <v>0</v>
      </c>
    </row>
    <row r="577" spans="1:38">
      <c r="A577" s="896"/>
      <c r="B577" s="2103" t="s">
        <v>364</v>
      </c>
      <c r="C577" s="2141"/>
      <c r="D577" s="2124">
        <f>E577+I577+M577</f>
        <v>0</v>
      </c>
      <c r="E577" s="1926"/>
      <c r="F577" s="2114"/>
      <c r="G577" s="1926"/>
      <c r="H577" s="2114"/>
      <c r="I577" s="2142">
        <f t="shared" si="48"/>
        <v>0</v>
      </c>
      <c r="J577" s="2114"/>
      <c r="K577" s="1926"/>
      <c r="L577" s="2114"/>
      <c r="M577" s="2143">
        <f t="shared" si="52"/>
        <v>0</v>
      </c>
      <c r="AB577" s="2975" t="b">
        <f>B577='[4]Sheet 6 Income St.- 19 &amp; 18- LI'!B124</f>
        <v>1</v>
      </c>
      <c r="AC577" s="2977">
        <f>D577+'[4]Sheet 6 Income St.- 19 &amp; 18- LI'!C124</f>
        <v>0</v>
      </c>
      <c r="AD577" s="2977">
        <f>E577+'[4]Sheet 6 Income St.- 19 &amp; 18- LI'!D124</f>
        <v>0</v>
      </c>
      <c r="AE577" s="2977">
        <f>F577+'[4]Sheet 6 Income St.- 19 &amp; 18- LI'!E124</f>
        <v>0</v>
      </c>
      <c r="AF577" s="2977">
        <f>G577+'[4]Sheet 6 Income St.- 19 &amp; 18- LI'!F124</f>
        <v>0</v>
      </c>
      <c r="AG577" s="2977">
        <f>H577+'[4]Sheet 6 Income St.- 19 &amp; 18- LI'!G124</f>
        <v>0</v>
      </c>
      <c r="AH577" s="2977">
        <f>I577+'[4]Sheet 6 Income St.- 19 &amp; 18- LI'!H124</f>
        <v>0</v>
      </c>
      <c r="AI577" s="2977">
        <f>J577+'[4]Sheet 6 Income St.- 19 &amp; 18- LI'!I124</f>
        <v>0</v>
      </c>
      <c r="AJ577" s="2977">
        <f>K577+'[4]Sheet 6 Income St.- 19 &amp; 18- LI'!J124</f>
        <v>0</v>
      </c>
      <c r="AK577" s="2977">
        <f>L577+'[4]Sheet 6 Income St.- 19 &amp; 18- LI'!K124</f>
        <v>0</v>
      </c>
      <c r="AL577" s="2977">
        <f>M577+'[4]Sheet 6 Income St.- 19 &amp; 18- LI'!L124</f>
        <v>0</v>
      </c>
    </row>
    <row r="578" spans="1:38">
      <c r="A578" s="662"/>
      <c r="B578" s="2103" t="s">
        <v>365</v>
      </c>
      <c r="C578" s="2141"/>
      <c r="D578" s="2124">
        <f>E578+I578+M578</f>
        <v>0</v>
      </c>
      <c r="E578" s="1926"/>
      <c r="F578" s="2114"/>
      <c r="G578" s="1926"/>
      <c r="H578" s="2114"/>
      <c r="I578" s="2142">
        <f t="shared" si="48"/>
        <v>0</v>
      </c>
      <c r="J578" s="2114"/>
      <c r="K578" s="1926"/>
      <c r="L578" s="2114"/>
      <c r="M578" s="2143">
        <f t="shared" si="52"/>
        <v>0</v>
      </c>
      <c r="AB578" s="2975" t="b">
        <f>B578='[4]Sheet 6 Income St.- 19 &amp; 18- LI'!B125</f>
        <v>1</v>
      </c>
      <c r="AC578" s="2977">
        <f>D578+'[4]Sheet 6 Income St.- 19 &amp; 18- LI'!C125</f>
        <v>0</v>
      </c>
      <c r="AD578" s="2977">
        <f>E578+'[4]Sheet 6 Income St.- 19 &amp; 18- LI'!D125</f>
        <v>0</v>
      </c>
      <c r="AE578" s="2977">
        <f>F578+'[4]Sheet 6 Income St.- 19 &amp; 18- LI'!E125</f>
        <v>0</v>
      </c>
      <c r="AF578" s="2977">
        <f>G578+'[4]Sheet 6 Income St.- 19 &amp; 18- LI'!F125</f>
        <v>0</v>
      </c>
      <c r="AG578" s="2977">
        <f>H578+'[4]Sheet 6 Income St.- 19 &amp; 18- LI'!G125</f>
        <v>0</v>
      </c>
      <c r="AH578" s="2977">
        <f>I578+'[4]Sheet 6 Income St.- 19 &amp; 18- LI'!H125</f>
        <v>0</v>
      </c>
      <c r="AI578" s="2977">
        <f>J578+'[4]Sheet 6 Income St.- 19 &amp; 18- LI'!I125</f>
        <v>0</v>
      </c>
      <c r="AJ578" s="2977">
        <f>K578+'[4]Sheet 6 Income St.- 19 &amp; 18- LI'!J125</f>
        <v>0</v>
      </c>
      <c r="AK578" s="2977">
        <f>L578+'[4]Sheet 6 Income St.- 19 &amp; 18- LI'!K125</f>
        <v>0</v>
      </c>
      <c r="AL578" s="2977">
        <f>M578+'[4]Sheet 6 Income St.- 19 &amp; 18- LI'!L125</f>
        <v>0</v>
      </c>
    </row>
    <row r="579" spans="1:38" s="870" customFormat="1">
      <c r="A579" s="662"/>
      <c r="B579" s="2109" t="s">
        <v>366</v>
      </c>
      <c r="C579" s="2144"/>
      <c r="D579" s="2124">
        <f>SUM(D576:D578)</f>
        <v>1584148.9410107965</v>
      </c>
      <c r="E579" s="1926">
        <f>SUM(E576:E578)</f>
        <v>19958.126619999999</v>
      </c>
      <c r="F579" s="2114">
        <f>SUM(F576:F578)</f>
        <v>3841.8577540114102</v>
      </c>
      <c r="G579" s="1926">
        <f>SUM(G576:G578)</f>
        <v>478684.46581002499</v>
      </c>
      <c r="H579" s="2114">
        <f>SUM(H576:H578)</f>
        <v>1107770.1531167601</v>
      </c>
      <c r="I579" s="2142">
        <f t="shared" si="48"/>
        <v>1590296.4766807966</v>
      </c>
      <c r="J579" s="2114">
        <f>SUM(J576:J578)</f>
        <v>0</v>
      </c>
      <c r="K579" s="1926">
        <f>SUM(K576:K578)</f>
        <v>0</v>
      </c>
      <c r="L579" s="2114">
        <f>SUM(L576:L578)</f>
        <v>0</v>
      </c>
      <c r="M579" s="2143">
        <f t="shared" si="52"/>
        <v>0</v>
      </c>
      <c r="N579"/>
      <c r="O579"/>
      <c r="P579"/>
      <c r="Q579"/>
      <c r="R579"/>
      <c r="S579"/>
      <c r="T579"/>
      <c r="U579"/>
      <c r="V579"/>
      <c r="W579"/>
      <c r="X579"/>
      <c r="Y579"/>
      <c r="Z579"/>
      <c r="AA579"/>
      <c r="AB579" s="2976" t="b">
        <f>B579='[4]Sheet 6 Income St.- 19 &amp; 18- LI'!B126</f>
        <v>1</v>
      </c>
      <c r="AC579" s="2978">
        <f>D579+'[4]Sheet 6 Income St.- 19 &amp; 18- LI'!C126</f>
        <v>69142.707748917863</v>
      </c>
      <c r="AD579" s="2978">
        <f>E579+'[4]Sheet 6 Income St.- 19 &amp; 18- LI'!D126</f>
        <v>2051.5865699999995</v>
      </c>
      <c r="AE579" s="2978">
        <f>F579+'[4]Sheet 6 Income St.- 19 &amp; 18- LI'!E126</f>
        <v>-28532.615645599431</v>
      </c>
      <c r="AF579" s="2978">
        <f>G579+'[4]Sheet 6 Income St.- 19 &amp; 18- LI'!F126</f>
        <v>-986040.7540022427</v>
      </c>
      <c r="AG579" s="2978">
        <f>H579+'[4]Sheet 6 Income St.- 19 &amp; 18- LI'!G126</f>
        <v>1107770.1531167601</v>
      </c>
      <c r="AH579" s="2978">
        <f>I579+'[4]Sheet 6 Income St.- 19 &amp; 18- LI'!H126</f>
        <v>93196.783468917944</v>
      </c>
      <c r="AI579" s="2978">
        <f>J579+'[4]Sheet 6 Income St.- 19 &amp; 18- LI'!I126</f>
        <v>0</v>
      </c>
      <c r="AJ579" s="2978">
        <f>K579+'[4]Sheet 6 Income St.- 19 &amp; 18- LI'!J126</f>
        <v>0</v>
      </c>
      <c r="AK579" s="2978">
        <f>L579+'[4]Sheet 6 Income St.- 19 &amp; 18- LI'!K126</f>
        <v>0</v>
      </c>
      <c r="AL579" s="2978">
        <f>M579+'[4]Sheet 6 Income St.- 19 &amp; 18- LI'!L126</f>
        <v>0</v>
      </c>
    </row>
    <row r="580" spans="1:38">
      <c r="A580" s="662"/>
      <c r="B580" s="2109"/>
      <c r="C580" s="2144"/>
      <c r="D580" s="2124">
        <f>E580+I580+M580</f>
        <v>0</v>
      </c>
      <c r="E580" s="1926"/>
      <c r="F580" s="2114"/>
      <c r="G580" s="1926"/>
      <c r="H580" s="2114"/>
      <c r="I580" s="2142">
        <f t="shared" si="48"/>
        <v>0</v>
      </c>
      <c r="J580" s="2114"/>
      <c r="K580" s="1926"/>
      <c r="L580" s="2114"/>
      <c r="M580" s="2143">
        <f t="shared" si="52"/>
        <v>0</v>
      </c>
      <c r="AB580" s="2975" t="b">
        <f>B580='[4]Sheet 6 Income St.- 19 &amp; 18- LI'!B127</f>
        <v>1</v>
      </c>
      <c r="AC580" s="2977">
        <f>D580-'[4]Sheet 6 Income St.- 19 &amp; 18- LI'!C127</f>
        <v>0</v>
      </c>
      <c r="AD580" s="2977">
        <f>E580-'[4]Sheet 6 Income St.- 19 &amp; 18- LI'!D127</f>
        <v>0</v>
      </c>
      <c r="AE580" s="2977">
        <f>F580-'[4]Sheet 6 Income St.- 19 &amp; 18- LI'!E127</f>
        <v>0</v>
      </c>
      <c r="AF580" s="2977">
        <f>G580-'[4]Sheet 6 Income St.- 19 &amp; 18- LI'!F127</f>
        <v>0</v>
      </c>
      <c r="AG580" s="2977">
        <f>H580-'[4]Sheet 6 Income St.- 19 &amp; 18- LI'!G127</f>
        <v>0</v>
      </c>
      <c r="AH580" s="2977">
        <f>I580-'[4]Sheet 6 Income St.- 19 &amp; 18- LI'!H127</f>
        <v>0</v>
      </c>
      <c r="AI580" s="2977">
        <f>J580-'[4]Sheet 6 Income St.- 19 &amp; 18- LI'!I127</f>
        <v>0</v>
      </c>
      <c r="AJ580" s="2977">
        <f>K580-'[4]Sheet 6 Income St.- 19 &amp; 18- LI'!J127</f>
        <v>0</v>
      </c>
      <c r="AK580" s="2977">
        <f>L580-'[4]Sheet 6 Income St.- 19 &amp; 18- LI'!K127</f>
        <v>0</v>
      </c>
      <c r="AL580" s="2977">
        <f>M580-'[4]Sheet 6 Income St.- 19 &amp; 18- LI'!L127</f>
        <v>0</v>
      </c>
    </row>
    <row r="581" spans="1:38" s="870" customFormat="1">
      <c r="A581" s="666"/>
      <c r="B581" s="2109" t="s">
        <v>367</v>
      </c>
      <c r="C581" s="2144"/>
      <c r="D581" s="2124">
        <f>E581+I581+M581</f>
        <v>1019066.2267000035</v>
      </c>
      <c r="E581" s="1926">
        <f>E564-E572-E574-E579</f>
        <v>269066.2267</v>
      </c>
      <c r="F581" s="2114">
        <f>F564-F572-F574-F579</f>
        <v>-4.5474735088646412E-11</v>
      </c>
      <c r="G581" s="1926">
        <f>G564-G572-G574-G579</f>
        <v>445000.00000000035</v>
      </c>
      <c r="H581" s="2114">
        <f>H564-H572-H574-H579</f>
        <v>305000.00000000326</v>
      </c>
      <c r="I581" s="2142">
        <f t="shared" si="48"/>
        <v>750000.00000000349</v>
      </c>
      <c r="J581" s="2114">
        <f>J564-J572-J574-J579</f>
        <v>0</v>
      </c>
      <c r="K581" s="1926">
        <f>K564-K572-K574-K579</f>
        <v>0</v>
      </c>
      <c r="L581" s="2114">
        <f>L564-L572-L574-L579</f>
        <v>0</v>
      </c>
      <c r="M581" s="2143">
        <f t="shared" si="52"/>
        <v>0</v>
      </c>
      <c r="N581"/>
      <c r="O581"/>
      <c r="P581"/>
      <c r="Q581"/>
      <c r="R581"/>
      <c r="S581"/>
      <c r="T581"/>
      <c r="U581"/>
      <c r="V581"/>
      <c r="W581"/>
      <c r="X581"/>
      <c r="Y581"/>
      <c r="Z581"/>
      <c r="AA581"/>
      <c r="AB581" s="2976" t="b">
        <f>B581='[4]Sheet 6 Income St.- 19 &amp; 18- LI'!B128</f>
        <v>0</v>
      </c>
      <c r="AC581" s="2978">
        <f>D581-'[4]Sheet 6 Income St.- 19 &amp; 18- LI'!C128</f>
        <v>1282208.2002426004</v>
      </c>
      <c r="AD581" s="2978">
        <f>E581-'[4]Sheet 6 Income St.- 19 &amp; 18- LI'!D128</f>
        <v>193756.02861999997</v>
      </c>
      <c r="AE581" s="2978">
        <f>F581-'[4]Sheet 6 Income St.- 19 &amp; 18- LI'!E128</f>
        <v>-415.6155657827203</v>
      </c>
      <c r="AF581" s="2978">
        <f>G581-'[4]Sheet 6 Income St.- 19 &amp; 18- LI'!F128</f>
        <v>783867.78718837979</v>
      </c>
      <c r="AG581" s="2978">
        <f>H581-'[4]Sheet 6 Income St.- 19 &amp; 18- LI'!G128</f>
        <v>305000.00000000326</v>
      </c>
      <c r="AH581" s="2978">
        <f>I581-'[4]Sheet 6 Income St.- 19 &amp; 18- LI'!H128</f>
        <v>1088452.1716226004</v>
      </c>
      <c r="AI581" s="2978">
        <f>J581-'[4]Sheet 6 Income St.- 19 &amp; 18- LI'!I128</f>
        <v>0</v>
      </c>
      <c r="AJ581" s="2978">
        <f>K581-'[4]Sheet 6 Income St.- 19 &amp; 18- LI'!J128</f>
        <v>0</v>
      </c>
      <c r="AK581" s="2978">
        <f>L581-'[4]Sheet 6 Income St.- 19 &amp; 18- LI'!K128</f>
        <v>0</v>
      </c>
      <c r="AL581" s="2978">
        <f>M581-'[4]Sheet 6 Income St.- 19 &amp; 18- LI'!L128</f>
        <v>0</v>
      </c>
    </row>
    <row r="582" spans="1:38">
      <c r="A582" s="662"/>
      <c r="B582" s="2103" t="s">
        <v>368</v>
      </c>
      <c r="C582" s="2141"/>
      <c r="D582" s="2124">
        <f>E582+I582+M582</f>
        <v>0</v>
      </c>
      <c r="E582" s="1926"/>
      <c r="F582" s="2114"/>
      <c r="G582" s="1926"/>
      <c r="H582" s="2114"/>
      <c r="I582" s="2142">
        <f t="shared" si="48"/>
        <v>0</v>
      </c>
      <c r="J582" s="2114"/>
      <c r="K582" s="1926"/>
      <c r="L582" s="2114"/>
      <c r="M582" s="2143">
        <f t="shared" si="52"/>
        <v>0</v>
      </c>
      <c r="AB582" s="2975" t="b">
        <f>B582='[4]Sheet 6 Income St.- 19 &amp; 18- LI'!B129</f>
        <v>1</v>
      </c>
      <c r="AC582" s="2977">
        <f>D582-'[4]Sheet 6 Income St.- 19 &amp; 18- LI'!C129</f>
        <v>0</v>
      </c>
      <c r="AD582" s="2977">
        <f>E582-'[4]Sheet 6 Income St.- 19 &amp; 18- LI'!D129</f>
        <v>0</v>
      </c>
      <c r="AE582" s="2977">
        <f>F582-'[4]Sheet 6 Income St.- 19 &amp; 18- LI'!E129</f>
        <v>0</v>
      </c>
      <c r="AF582" s="2977">
        <f>G582-'[4]Sheet 6 Income St.- 19 &amp; 18- LI'!F129</f>
        <v>0</v>
      </c>
      <c r="AG582" s="2977">
        <f>H582-'[4]Sheet 6 Income St.- 19 &amp; 18- LI'!G129</f>
        <v>0</v>
      </c>
      <c r="AH582" s="2977">
        <f>I582-'[4]Sheet 6 Income St.- 19 &amp; 18- LI'!H129</f>
        <v>0</v>
      </c>
      <c r="AI582" s="2977">
        <f>J582-'[4]Sheet 6 Income St.- 19 &amp; 18- LI'!I129</f>
        <v>0</v>
      </c>
      <c r="AJ582" s="2977">
        <f>K582-'[4]Sheet 6 Income St.- 19 &amp; 18- LI'!J129</f>
        <v>0</v>
      </c>
      <c r="AK582" s="2977">
        <f>L582-'[4]Sheet 6 Income St.- 19 &amp; 18- LI'!K129</f>
        <v>0</v>
      </c>
      <c r="AL582" s="2977">
        <f>M582-'[4]Sheet 6 Income St.- 19 &amp; 18- LI'!L129</f>
        <v>0</v>
      </c>
    </row>
    <row r="583" spans="1:38">
      <c r="A583" s="662"/>
      <c r="B583" s="2103"/>
      <c r="C583" s="2141"/>
      <c r="D583" s="2124">
        <f>E583+I583+M583</f>
        <v>0</v>
      </c>
      <c r="E583" s="1926"/>
      <c r="F583" s="2114"/>
      <c r="G583" s="1926"/>
      <c r="H583" s="2114"/>
      <c r="I583" s="2142">
        <f t="shared" si="48"/>
        <v>0</v>
      </c>
      <c r="J583" s="2114"/>
      <c r="K583" s="1926"/>
      <c r="L583" s="2114"/>
      <c r="M583" s="2143">
        <f t="shared" si="52"/>
        <v>0</v>
      </c>
      <c r="AB583" s="2975" t="b">
        <f>B583='[4]Sheet 6 Income St.- 19 &amp; 18- LI'!B130</f>
        <v>1</v>
      </c>
      <c r="AC583" s="2977">
        <f>D583-'[4]Sheet 6 Income St.- 19 &amp; 18- LI'!C130</f>
        <v>0</v>
      </c>
      <c r="AD583" s="2977">
        <f>E583-'[4]Sheet 6 Income St.- 19 &amp; 18- LI'!D130</f>
        <v>0</v>
      </c>
      <c r="AE583" s="2977">
        <f>F583-'[4]Sheet 6 Income St.- 19 &amp; 18- LI'!E130</f>
        <v>0</v>
      </c>
      <c r="AF583" s="2977">
        <f>G583-'[4]Sheet 6 Income St.- 19 &amp; 18- LI'!F130</f>
        <v>0</v>
      </c>
      <c r="AG583" s="2977">
        <f>H583-'[4]Sheet 6 Income St.- 19 &amp; 18- LI'!G130</f>
        <v>0</v>
      </c>
      <c r="AH583" s="2977">
        <f>I583-'[4]Sheet 6 Income St.- 19 &amp; 18- LI'!H130</f>
        <v>0</v>
      </c>
      <c r="AI583" s="2977">
        <f>J583-'[4]Sheet 6 Income St.- 19 &amp; 18- LI'!I130</f>
        <v>0</v>
      </c>
      <c r="AJ583" s="2977">
        <f>K583-'[4]Sheet 6 Income St.- 19 &amp; 18- LI'!J130</f>
        <v>0</v>
      </c>
      <c r="AK583" s="2977">
        <f>L583-'[4]Sheet 6 Income St.- 19 &amp; 18- LI'!K130</f>
        <v>0</v>
      </c>
      <c r="AL583" s="2977">
        <f>M583-'[4]Sheet 6 Income St.- 19 &amp; 18- LI'!L130</f>
        <v>0</v>
      </c>
    </row>
    <row r="584" spans="1:38" s="870" customFormat="1" ht="15" thickBot="1">
      <c r="A584" s="662"/>
      <c r="B584" s="1338" t="s">
        <v>369</v>
      </c>
      <c r="C584" s="1370"/>
      <c r="D584" s="1350">
        <f>E584+I584+M584</f>
        <v>1019066.2267000035</v>
      </c>
      <c r="E584" s="1360">
        <f>E581-E582</f>
        <v>269066.2267</v>
      </c>
      <c r="F584" s="1350">
        <f>F581-F582</f>
        <v>-4.5474735088646412E-11</v>
      </c>
      <c r="G584" s="1360">
        <f>G581-G582</f>
        <v>445000.00000000035</v>
      </c>
      <c r="H584" s="1350">
        <f>H581-H582</f>
        <v>305000.00000000326</v>
      </c>
      <c r="I584" s="1360">
        <f t="shared" si="48"/>
        <v>750000.00000000349</v>
      </c>
      <c r="J584" s="1350">
        <f>J581-J582</f>
        <v>0</v>
      </c>
      <c r="K584" s="1360">
        <f>K581-K582</f>
        <v>0</v>
      </c>
      <c r="L584" s="1350">
        <f>L581-L582</f>
        <v>0</v>
      </c>
      <c r="M584" s="1371">
        <f t="shared" si="52"/>
        <v>0</v>
      </c>
      <c r="N584"/>
      <c r="O584"/>
      <c r="P584"/>
      <c r="Q584"/>
      <c r="R584"/>
      <c r="S584"/>
      <c r="T584"/>
      <c r="U584"/>
      <c r="V584"/>
      <c r="W584"/>
      <c r="X584"/>
      <c r="Y584"/>
      <c r="Z584"/>
      <c r="AA584"/>
      <c r="AB584" s="2976" t="b">
        <f>B584='[4]Sheet 6 Income St.- 19 &amp; 18- LI'!B131</f>
        <v>1</v>
      </c>
      <c r="AC584" s="2978">
        <f>D584-'[4]Sheet 6 Income St.- 19 &amp; 18- LI'!C131</f>
        <v>1282208.2002426004</v>
      </c>
      <c r="AD584" s="2978">
        <f>E584-'[4]Sheet 6 Income St.- 19 &amp; 18- LI'!D131</f>
        <v>193756.02861999997</v>
      </c>
      <c r="AE584" s="2978">
        <f>F584-'[4]Sheet 6 Income St.- 19 &amp; 18- LI'!E131</f>
        <v>-415.6155657827203</v>
      </c>
      <c r="AF584" s="2978">
        <f>G584-'[4]Sheet 6 Income St.- 19 &amp; 18- LI'!F131</f>
        <v>783867.78718837979</v>
      </c>
      <c r="AG584" s="2978">
        <f>H584-'[4]Sheet 6 Income St.- 19 &amp; 18- LI'!G131</f>
        <v>305000.00000000326</v>
      </c>
      <c r="AH584" s="2978">
        <f>I584-'[4]Sheet 6 Income St.- 19 &amp; 18- LI'!H131</f>
        <v>1088452.1716226004</v>
      </c>
      <c r="AI584" s="2978">
        <f>J584-'[4]Sheet 6 Income St.- 19 &amp; 18- LI'!I131</f>
        <v>0</v>
      </c>
      <c r="AJ584" s="2978">
        <f>K584-'[4]Sheet 6 Income St.- 19 &amp; 18- LI'!J131</f>
        <v>0</v>
      </c>
      <c r="AK584" s="2978">
        <f>L584-'[4]Sheet 6 Income St.- 19 &amp; 18- LI'!K131</f>
        <v>0</v>
      </c>
      <c r="AL584" s="2978">
        <f>M584-'[4]Sheet 6 Income St.- 19 &amp; 18- LI'!L131</f>
        <v>0</v>
      </c>
    </row>
    <row r="585" spans="1:38">
      <c r="A585" s="662"/>
      <c r="B585" s="662"/>
      <c r="C585" s="662"/>
      <c r="D585" s="662"/>
      <c r="E585" s="662"/>
      <c r="F585" s="662"/>
      <c r="G585" s="662"/>
      <c r="H585" s="662"/>
      <c r="I585" s="662"/>
      <c r="J585" s="662"/>
      <c r="K585" s="662"/>
      <c r="L585" s="662"/>
      <c r="M585" s="662"/>
    </row>
    <row r="586" spans="1:38">
      <c r="A586" s="662"/>
      <c r="B586" s="662"/>
      <c r="C586" s="662"/>
      <c r="D586" s="666"/>
      <c r="E586" s="666"/>
      <c r="F586" s="666"/>
      <c r="G586" s="666"/>
      <c r="H586" s="666"/>
      <c r="I586" s="666"/>
      <c r="J586" s="662"/>
      <c r="K586" s="662"/>
      <c r="L586" s="662"/>
      <c r="M586" s="662"/>
    </row>
    <row r="587" spans="1:38">
      <c r="B587"/>
      <c r="C587"/>
      <c r="D587"/>
      <c r="E587"/>
      <c r="F587"/>
      <c r="G587"/>
      <c r="H587"/>
      <c r="I587"/>
      <c r="J587"/>
      <c r="K587"/>
      <c r="L587"/>
      <c r="M587"/>
    </row>
    <row r="588" spans="1:38" ht="15" thickBot="1"/>
    <row r="589" spans="1:38" ht="17.25" customHeight="1" thickBot="1">
      <c r="A589" s="1343" t="s">
        <v>109</v>
      </c>
      <c r="B589" s="1344" t="s">
        <v>109</v>
      </c>
      <c r="D589" s="662"/>
      <c r="E589" s="662"/>
      <c r="F589" s="662"/>
      <c r="G589" s="662"/>
      <c r="H589" s="662"/>
      <c r="I589" s="662"/>
      <c r="J589" s="662"/>
      <c r="K589" s="662"/>
      <c r="L589" s="3292"/>
      <c r="M589" s="3292" t="s">
        <v>257</v>
      </c>
    </row>
    <row r="590" spans="1:38" ht="17.25" customHeight="1" thickBot="1">
      <c r="A590" s="662"/>
      <c r="B590" s="3331" t="s">
        <v>109</v>
      </c>
      <c r="C590" s="3280" t="s">
        <v>334</v>
      </c>
      <c r="D590" s="3283" t="s">
        <v>260</v>
      </c>
      <c r="E590" s="3283" t="s">
        <v>335</v>
      </c>
      <c r="F590" s="3335" t="s">
        <v>263</v>
      </c>
      <c r="G590" s="3335"/>
      <c r="H590" s="3335"/>
      <c r="I590" s="3335"/>
      <c r="J590" s="3335"/>
      <c r="K590" s="3335"/>
      <c r="L590" s="3335"/>
      <c r="M590" s="3335"/>
    </row>
    <row r="591" spans="1:38" ht="17.25" customHeight="1" thickBot="1">
      <c r="A591" s="662"/>
      <c r="B591" s="3327"/>
      <c r="C591" s="3281"/>
      <c r="D591" s="3284"/>
      <c r="E591" s="3284"/>
      <c r="F591" s="3332" t="s">
        <v>264</v>
      </c>
      <c r="G591" s="3333"/>
      <c r="H591" s="3333"/>
      <c r="I591" s="3334"/>
      <c r="J591" s="3335" t="s">
        <v>336</v>
      </c>
      <c r="K591" s="3335"/>
      <c r="L591" s="3335"/>
      <c r="M591" s="3335"/>
    </row>
    <row r="592" spans="1:38" ht="60.6" customHeight="1" thickBot="1">
      <c r="A592" s="662"/>
      <c r="B592" s="3327"/>
      <c r="C592" s="3281"/>
      <c r="D592" s="3285"/>
      <c r="E592" s="3285"/>
      <c r="F592" s="2963" t="s">
        <v>267</v>
      </c>
      <c r="G592" s="2963" t="s">
        <v>268</v>
      </c>
      <c r="H592" s="2963" t="s">
        <v>269</v>
      </c>
      <c r="I592" s="2963" t="s">
        <v>160</v>
      </c>
      <c r="J592" s="2964" t="s">
        <v>337</v>
      </c>
      <c r="K592" s="2964" t="s">
        <v>271</v>
      </c>
      <c r="L592" s="2964" t="s">
        <v>338</v>
      </c>
      <c r="M592" s="2964" t="s">
        <v>160</v>
      </c>
    </row>
    <row r="593" spans="1:38" ht="17.25" customHeight="1" thickBot="1">
      <c r="A593" s="662"/>
      <c r="B593" s="3327"/>
      <c r="C593" s="3281"/>
      <c r="D593" s="2972">
        <v>1</v>
      </c>
      <c r="E593" s="3283">
        <v>2</v>
      </c>
      <c r="F593" s="3283">
        <v>3</v>
      </c>
      <c r="G593" s="3283">
        <v>4</v>
      </c>
      <c r="H593" s="3283"/>
      <c r="I593" s="2972">
        <v>6</v>
      </c>
      <c r="J593" s="3283">
        <v>7</v>
      </c>
      <c r="K593" s="3283">
        <v>8</v>
      </c>
      <c r="L593" s="3283">
        <v>9</v>
      </c>
      <c r="M593" s="2972">
        <v>10</v>
      </c>
    </row>
    <row r="594" spans="1:38" ht="15" thickBot="1">
      <c r="A594" s="662"/>
      <c r="B594" s="3327"/>
      <c r="C594" s="3282"/>
      <c r="D594" s="1327" t="s">
        <v>339</v>
      </c>
      <c r="E594" s="3285"/>
      <c r="F594" s="3285"/>
      <c r="G594" s="3285"/>
      <c r="H594" s="3285">
        <v>5</v>
      </c>
      <c r="I594" s="1327" t="s">
        <v>340</v>
      </c>
      <c r="J594" s="3285"/>
      <c r="K594" s="3285"/>
      <c r="L594" s="3285"/>
      <c r="M594" s="1327" t="s">
        <v>341</v>
      </c>
    </row>
    <row r="595" spans="1:38">
      <c r="A595" s="662"/>
      <c r="B595" s="1345" t="s">
        <v>342</v>
      </c>
      <c r="C595" s="909"/>
      <c r="D595" s="1329">
        <f t="shared" ref="D595:D629" si="53">E595+I595+M595</f>
        <v>36849.434659999992</v>
      </c>
      <c r="E595" s="524"/>
      <c r="F595" s="485">
        <v>477.24700000000001</v>
      </c>
      <c r="G595" s="524">
        <v>36372.187659999989</v>
      </c>
      <c r="H595" s="485"/>
      <c r="I595" s="1368">
        <f t="shared" ref="I595:I632" si="54">F595+G595+H595</f>
        <v>36849.434659999992</v>
      </c>
      <c r="J595" s="886"/>
      <c r="K595" s="904"/>
      <c r="L595" s="886"/>
      <c r="M595" s="1369">
        <f t="shared" ref="M595:M612" si="55">L595+K595+J595</f>
        <v>0</v>
      </c>
    </row>
    <row r="596" spans="1:38">
      <c r="A596" s="662"/>
      <c r="B596" s="2111"/>
      <c r="C596" s="2161"/>
      <c r="D596" s="2124">
        <f t="shared" si="53"/>
        <v>0</v>
      </c>
      <c r="E596" s="1865"/>
      <c r="F596" s="1866"/>
      <c r="G596" s="1865"/>
      <c r="H596" s="1866"/>
      <c r="I596" s="2142">
        <f t="shared" si="54"/>
        <v>0</v>
      </c>
      <c r="J596" s="2114"/>
      <c r="K596" s="1926"/>
      <c r="L596" s="2114"/>
      <c r="M596" s="2143">
        <f t="shared" si="55"/>
        <v>0</v>
      </c>
    </row>
    <row r="597" spans="1:38">
      <c r="A597" s="662"/>
      <c r="B597" s="2116" t="s">
        <v>343</v>
      </c>
      <c r="C597" s="2161"/>
      <c r="D597" s="2124">
        <f t="shared" si="53"/>
        <v>9132.1931399999994</v>
      </c>
      <c r="E597" s="1865"/>
      <c r="F597" s="1866">
        <v>149.80104999999998</v>
      </c>
      <c r="G597" s="1865">
        <v>8982.3920899999994</v>
      </c>
      <c r="H597" s="1866"/>
      <c r="I597" s="2142">
        <f t="shared" si="54"/>
        <v>9132.1931399999994</v>
      </c>
      <c r="J597" s="2114"/>
      <c r="K597" s="1926"/>
      <c r="L597" s="2114"/>
      <c r="M597" s="2143">
        <f t="shared" si="55"/>
        <v>0</v>
      </c>
    </row>
    <row r="598" spans="1:38">
      <c r="A598" s="662"/>
      <c r="B598" s="2116"/>
      <c r="C598" s="2161"/>
      <c r="D598" s="2124">
        <f t="shared" si="53"/>
        <v>0</v>
      </c>
      <c r="E598" s="1865"/>
      <c r="F598" s="1866"/>
      <c r="G598" s="1865"/>
      <c r="H598" s="1866"/>
      <c r="I598" s="2142">
        <f t="shared" si="54"/>
        <v>0</v>
      </c>
      <c r="J598" s="2114"/>
      <c r="K598" s="1926"/>
      <c r="L598" s="2114"/>
      <c r="M598" s="2143">
        <f t="shared" si="55"/>
        <v>0</v>
      </c>
    </row>
    <row r="599" spans="1:38" ht="14.25" customHeight="1">
      <c r="A599" s="662"/>
      <c r="B599" s="2117" t="s">
        <v>344</v>
      </c>
      <c r="C599" s="2161"/>
      <c r="D599" s="2124">
        <f t="shared" si="53"/>
        <v>0</v>
      </c>
      <c r="E599" s="1865"/>
      <c r="F599" s="1866"/>
      <c r="G599" s="1865"/>
      <c r="H599" s="1866"/>
      <c r="I599" s="2142">
        <f t="shared" si="54"/>
        <v>0</v>
      </c>
      <c r="J599" s="2114"/>
      <c r="K599" s="1926"/>
      <c r="L599" s="2114"/>
      <c r="M599" s="2143">
        <f t="shared" si="55"/>
        <v>0</v>
      </c>
    </row>
    <row r="600" spans="1:38">
      <c r="A600" s="662"/>
      <c r="B600" s="2111"/>
      <c r="C600" s="2161"/>
      <c r="D600" s="2124">
        <f t="shared" si="53"/>
        <v>0</v>
      </c>
      <c r="E600" s="1926"/>
      <c r="F600" s="2114"/>
      <c r="G600" s="1926"/>
      <c r="H600" s="2114"/>
      <c r="I600" s="2142">
        <f t="shared" si="54"/>
        <v>0</v>
      </c>
      <c r="J600" s="2114"/>
      <c r="K600" s="1926"/>
      <c r="L600" s="2114"/>
      <c r="M600" s="2143">
        <f t="shared" si="55"/>
        <v>0</v>
      </c>
    </row>
    <row r="601" spans="1:38" s="870" customFormat="1">
      <c r="A601" s="662"/>
      <c r="B601" s="2993" t="s">
        <v>382</v>
      </c>
      <c r="C601" s="2162"/>
      <c r="D601" s="2124">
        <f t="shared" si="53"/>
        <v>27717.241519999989</v>
      </c>
      <c r="E601" s="1926">
        <f>E595-E597+E599</f>
        <v>0</v>
      </c>
      <c r="F601" s="2114">
        <f>F595-F597+F599</f>
        <v>327.44595000000004</v>
      </c>
      <c r="G601" s="1926">
        <f>G595-G597+G599</f>
        <v>27389.795569999987</v>
      </c>
      <c r="H601" s="2114">
        <f>H595-H597+H599</f>
        <v>0</v>
      </c>
      <c r="I601" s="2142">
        <f t="shared" si="54"/>
        <v>27717.241519999989</v>
      </c>
      <c r="J601" s="2114">
        <f>J595-J597+J599</f>
        <v>0</v>
      </c>
      <c r="K601" s="1926">
        <f>K595-K597+K599</f>
        <v>0</v>
      </c>
      <c r="L601" s="2114">
        <f>L595-L597+L599</f>
        <v>0</v>
      </c>
      <c r="M601" s="2143">
        <f t="shared" si="55"/>
        <v>0</v>
      </c>
      <c r="N601"/>
      <c r="O601"/>
      <c r="P601"/>
      <c r="Q601"/>
      <c r="R601"/>
      <c r="S601"/>
      <c r="T601"/>
      <c r="U601"/>
      <c r="V601"/>
      <c r="W601"/>
      <c r="X601"/>
      <c r="Y601"/>
      <c r="Z601"/>
      <c r="AA601"/>
      <c r="AB601" s="2976"/>
      <c r="AC601" s="2976"/>
      <c r="AD601" s="2976"/>
      <c r="AE601" s="2976"/>
      <c r="AF601" s="2976"/>
      <c r="AG601" s="2976"/>
      <c r="AH601" s="2976"/>
      <c r="AI601" s="2976"/>
      <c r="AJ601" s="2976"/>
      <c r="AK601" s="2976"/>
      <c r="AL601" s="2976"/>
    </row>
    <row r="602" spans="1:38">
      <c r="A602" s="662"/>
      <c r="B602" s="2118"/>
      <c r="C602" s="2162"/>
      <c r="D602" s="2124">
        <f t="shared" si="53"/>
        <v>0</v>
      </c>
      <c r="E602" s="1926"/>
      <c r="F602" s="2114"/>
      <c r="G602" s="1926"/>
      <c r="H602" s="2114"/>
      <c r="I602" s="2142">
        <f t="shared" si="54"/>
        <v>0</v>
      </c>
      <c r="J602" s="2114"/>
      <c r="K602" s="1926"/>
      <c r="L602" s="2114"/>
      <c r="M602" s="2143">
        <f t="shared" si="55"/>
        <v>0</v>
      </c>
    </row>
    <row r="603" spans="1:38" s="870" customFormat="1">
      <c r="A603" s="662"/>
      <c r="B603" s="2118" t="s">
        <v>346</v>
      </c>
      <c r="C603" s="2162"/>
      <c r="D603" s="2124">
        <f t="shared" si="53"/>
        <v>150022.27969</v>
      </c>
      <c r="E603" s="1926">
        <f>SUM(E604:E608)</f>
        <v>87354.214319999999</v>
      </c>
      <c r="F603" s="2114">
        <f>SUM(F604:F608)</f>
        <v>7192.8713499999994</v>
      </c>
      <c r="G603" s="1926">
        <f>SUM(G604:G608)</f>
        <v>55475.194020000003</v>
      </c>
      <c r="H603" s="2114">
        <f>SUM(H604:H608)</f>
        <v>0</v>
      </c>
      <c r="I603" s="2142">
        <f t="shared" si="54"/>
        <v>62668.065370000004</v>
      </c>
      <c r="J603" s="2114">
        <f>SUM(J604:J608)</f>
        <v>0</v>
      </c>
      <c r="K603" s="1926">
        <f>SUM(K604:K608)</f>
        <v>0</v>
      </c>
      <c r="L603" s="2114">
        <f>SUM(L604:L608)</f>
        <v>0</v>
      </c>
      <c r="M603" s="2143">
        <f t="shared" si="55"/>
        <v>0</v>
      </c>
      <c r="N603"/>
      <c r="O603"/>
      <c r="P603"/>
      <c r="Q603"/>
      <c r="R603"/>
      <c r="S603"/>
      <c r="T603"/>
      <c r="U603"/>
      <c r="V603"/>
      <c r="W603"/>
      <c r="X603"/>
      <c r="Y603"/>
      <c r="Z603"/>
      <c r="AA603"/>
      <c r="AB603" s="2976"/>
      <c r="AC603" s="2976"/>
      <c r="AD603" s="2976"/>
      <c r="AE603" s="2976"/>
      <c r="AF603" s="2976"/>
      <c r="AG603" s="2976"/>
      <c r="AH603" s="2976"/>
      <c r="AI603" s="2976"/>
      <c r="AJ603" s="2976"/>
      <c r="AK603" s="2976"/>
      <c r="AL603" s="2976"/>
    </row>
    <row r="604" spans="1:38">
      <c r="A604" s="662"/>
      <c r="B604" s="2111" t="s">
        <v>347</v>
      </c>
      <c r="C604" s="2161">
        <v>1</v>
      </c>
      <c r="D604" s="2124">
        <f t="shared" si="53"/>
        <v>149549.33249</v>
      </c>
      <c r="E604" s="1865">
        <v>87354.214319999999</v>
      </c>
      <c r="F604" s="1866">
        <v>7192.8713499999994</v>
      </c>
      <c r="G604" s="1865">
        <v>55002.24682</v>
      </c>
      <c r="H604" s="1866"/>
      <c r="I604" s="2142">
        <f t="shared" si="54"/>
        <v>62195.118170000002</v>
      </c>
      <c r="J604" s="2114"/>
      <c r="K604" s="1926"/>
      <c r="L604" s="2114"/>
      <c r="M604" s="2143">
        <f t="shared" si="55"/>
        <v>0</v>
      </c>
    </row>
    <row r="605" spans="1:38">
      <c r="A605" s="662"/>
      <c r="B605" s="2111" t="s">
        <v>348</v>
      </c>
      <c r="C605" s="2161">
        <v>2</v>
      </c>
      <c r="D605" s="2124">
        <f t="shared" si="53"/>
        <v>472.94720000000001</v>
      </c>
      <c r="E605" s="1865"/>
      <c r="F605" s="1866">
        <v>0</v>
      </c>
      <c r="G605" s="1865">
        <v>472.94720000000001</v>
      </c>
      <c r="H605" s="1866"/>
      <c r="I605" s="2142">
        <f t="shared" si="54"/>
        <v>472.94720000000001</v>
      </c>
      <c r="J605" s="2114"/>
      <c r="K605" s="1926"/>
      <c r="L605" s="2114"/>
      <c r="M605" s="2143">
        <f t="shared" si="55"/>
        <v>0</v>
      </c>
    </row>
    <row r="606" spans="1:38">
      <c r="A606" s="662"/>
      <c r="B606" s="2111" t="s">
        <v>349</v>
      </c>
      <c r="C606" s="2161"/>
      <c r="D606" s="2124">
        <f t="shared" si="53"/>
        <v>0</v>
      </c>
      <c r="E606" s="1865"/>
      <c r="F606" s="1866"/>
      <c r="G606" s="1865"/>
      <c r="H606" s="1866"/>
      <c r="I606" s="2142">
        <f t="shared" si="54"/>
        <v>0</v>
      </c>
      <c r="J606" s="2114"/>
      <c r="K606" s="1926"/>
      <c r="L606" s="2114"/>
      <c r="M606" s="2143">
        <f t="shared" si="55"/>
        <v>0</v>
      </c>
    </row>
    <row r="607" spans="1:38">
      <c r="A607" s="662"/>
      <c r="B607" s="2111" t="s">
        <v>350</v>
      </c>
      <c r="C607" s="2161"/>
      <c r="D607" s="2124">
        <f t="shared" si="53"/>
        <v>0</v>
      </c>
      <c r="E607" s="1865"/>
      <c r="F607" s="1866"/>
      <c r="G607" s="1865"/>
      <c r="H607" s="1866"/>
      <c r="I607" s="2142">
        <f t="shared" si="54"/>
        <v>0</v>
      </c>
      <c r="J607" s="2114"/>
      <c r="K607" s="1926"/>
      <c r="L607" s="2114"/>
      <c r="M607" s="2143">
        <f t="shared" si="55"/>
        <v>0</v>
      </c>
    </row>
    <row r="608" spans="1:38">
      <c r="A608" s="662"/>
      <c r="B608" s="2111" t="s">
        <v>351</v>
      </c>
      <c r="C608" s="2161">
        <v>3</v>
      </c>
      <c r="D608" s="2124">
        <f t="shared" si="53"/>
        <v>0</v>
      </c>
      <c r="E608" s="1865"/>
      <c r="F608" s="1866"/>
      <c r="G608" s="1865"/>
      <c r="H608" s="1866"/>
      <c r="I608" s="2142">
        <f t="shared" si="54"/>
        <v>0</v>
      </c>
      <c r="J608" s="2114"/>
      <c r="K608" s="1926"/>
      <c r="L608" s="2114"/>
      <c r="M608" s="2143">
        <f t="shared" si="55"/>
        <v>0</v>
      </c>
    </row>
    <row r="609" spans="1:38">
      <c r="A609" s="662"/>
      <c r="B609" s="2111" t="s">
        <v>353</v>
      </c>
      <c r="C609" s="2161"/>
      <c r="D609" s="2124">
        <f t="shared" si="53"/>
        <v>0</v>
      </c>
      <c r="E609" s="1926"/>
      <c r="F609" s="2114"/>
      <c r="G609" s="1926"/>
      <c r="H609" s="2114"/>
      <c r="I609" s="2142">
        <f t="shared" si="54"/>
        <v>0</v>
      </c>
      <c r="J609" s="2114"/>
      <c r="K609" s="1926"/>
      <c r="L609" s="2114"/>
      <c r="M609" s="2143">
        <f t="shared" si="55"/>
        <v>0</v>
      </c>
    </row>
    <row r="610" spans="1:38">
      <c r="A610" s="662"/>
      <c r="B610" s="2111" t="s">
        <v>353</v>
      </c>
      <c r="C610" s="2161"/>
      <c r="D610" s="2124">
        <f t="shared" si="53"/>
        <v>0</v>
      </c>
      <c r="E610" s="1926"/>
      <c r="F610" s="2114"/>
      <c r="G610" s="1926"/>
      <c r="H610" s="2114"/>
      <c r="I610" s="2142">
        <f t="shared" si="54"/>
        <v>0</v>
      </c>
      <c r="J610" s="2114"/>
      <c r="K610" s="1926"/>
      <c r="L610" s="2114"/>
      <c r="M610" s="2143">
        <f t="shared" si="55"/>
        <v>0</v>
      </c>
    </row>
    <row r="611" spans="1:38">
      <c r="A611" s="662"/>
      <c r="B611" s="2111"/>
      <c r="C611" s="2161"/>
      <c r="D611" s="2124">
        <f t="shared" si="53"/>
        <v>0</v>
      </c>
      <c r="E611" s="1926"/>
      <c r="F611" s="2114"/>
      <c r="G611" s="1926"/>
      <c r="H611" s="2114"/>
      <c r="I611" s="2142">
        <f t="shared" si="54"/>
        <v>0</v>
      </c>
      <c r="J611" s="2114"/>
      <c r="K611" s="1926"/>
      <c r="L611" s="2114"/>
      <c r="M611" s="2143">
        <f t="shared" si="55"/>
        <v>0</v>
      </c>
    </row>
    <row r="612" spans="1:38" s="870" customFormat="1">
      <c r="A612" s="662"/>
      <c r="B612" s="2121" t="s">
        <v>354</v>
      </c>
      <c r="C612" s="2162"/>
      <c r="D612" s="2124">
        <f t="shared" si="53"/>
        <v>177739.52120999998</v>
      </c>
      <c r="E612" s="1926">
        <f>E601+E603</f>
        <v>87354.214319999999</v>
      </c>
      <c r="F612" s="2114">
        <f>F601+F603</f>
        <v>7520.3172999999997</v>
      </c>
      <c r="G612" s="1926">
        <f>G601+G603</f>
        <v>82864.989589999983</v>
      </c>
      <c r="H612" s="2114">
        <f>H601+H603</f>
        <v>0</v>
      </c>
      <c r="I612" s="2142">
        <f t="shared" si="54"/>
        <v>90385.306889999978</v>
      </c>
      <c r="J612" s="2114">
        <f>J601+J603</f>
        <v>0</v>
      </c>
      <c r="K612" s="1926">
        <f>K601+K603</f>
        <v>0</v>
      </c>
      <c r="L612" s="2114">
        <f>L601+L603</f>
        <v>0</v>
      </c>
      <c r="M612" s="2143">
        <f t="shared" si="55"/>
        <v>0</v>
      </c>
      <c r="N612"/>
      <c r="O612"/>
      <c r="P612"/>
      <c r="Q612"/>
      <c r="R612"/>
      <c r="S612"/>
      <c r="T612"/>
      <c r="U612"/>
      <c r="V612"/>
      <c r="W612"/>
      <c r="X612"/>
      <c r="Y612"/>
      <c r="Z612"/>
      <c r="AA612"/>
      <c r="AB612" s="2976"/>
      <c r="AC612" s="2976"/>
      <c r="AD612" s="2976"/>
      <c r="AE612" s="2976"/>
      <c r="AF612" s="2976"/>
      <c r="AG612" s="2976"/>
      <c r="AH612" s="2976"/>
      <c r="AI612" s="2976"/>
      <c r="AJ612" s="2976"/>
      <c r="AK612" s="2976"/>
      <c r="AL612" s="2976"/>
    </row>
    <row r="613" spans="1:38">
      <c r="A613" s="662"/>
      <c r="B613" s="2121"/>
      <c r="C613" s="2162"/>
      <c r="D613" s="2124">
        <f t="shared" si="53"/>
        <v>0</v>
      </c>
      <c r="E613" s="1926"/>
      <c r="F613" s="2114"/>
      <c r="G613" s="1926"/>
      <c r="H613" s="2114"/>
      <c r="I613" s="2142">
        <f t="shared" si="54"/>
        <v>0</v>
      </c>
      <c r="J613" s="2114"/>
      <c r="K613" s="1926"/>
      <c r="L613" s="2114"/>
      <c r="M613" s="2143"/>
    </row>
    <row r="614" spans="1:38">
      <c r="A614" s="662"/>
      <c r="B614" s="2111" t="s">
        <v>355</v>
      </c>
      <c r="C614" s="2161"/>
      <c r="D614" s="2124">
        <f t="shared" si="53"/>
        <v>47734.183510000003</v>
      </c>
      <c r="E614" s="1865"/>
      <c r="F614" s="1866">
        <v>1091.7670000000001</v>
      </c>
      <c r="G614" s="1865">
        <v>46642.416510000003</v>
      </c>
      <c r="H614" s="1866"/>
      <c r="I614" s="2142">
        <f t="shared" si="54"/>
        <v>47734.183510000003</v>
      </c>
      <c r="J614" s="2114"/>
      <c r="K614" s="1926"/>
      <c r="L614" s="2114"/>
      <c r="M614" s="2143">
        <f t="shared" ref="M614:M632" si="56">L614+K614+J614</f>
        <v>0</v>
      </c>
    </row>
    <row r="615" spans="1:38">
      <c r="A615" s="662"/>
      <c r="B615" s="2111" t="s">
        <v>356</v>
      </c>
      <c r="C615" s="2161"/>
      <c r="D615" s="2124">
        <f t="shared" si="53"/>
        <v>-502.98200000000003</v>
      </c>
      <c r="E615" s="1865"/>
      <c r="F615" s="1866">
        <v>0</v>
      </c>
      <c r="G615" s="1865">
        <v>-502.98200000000003</v>
      </c>
      <c r="H615" s="1866"/>
      <c r="I615" s="2142">
        <f t="shared" si="54"/>
        <v>-502.98200000000003</v>
      </c>
      <c r="J615" s="2114"/>
      <c r="K615" s="1926"/>
      <c r="L615" s="2114"/>
      <c r="M615" s="2143">
        <f t="shared" si="56"/>
        <v>0</v>
      </c>
    </row>
    <row r="616" spans="1:38">
      <c r="A616" s="662"/>
      <c r="B616" s="2111" t="s">
        <v>357</v>
      </c>
      <c r="C616" s="2161"/>
      <c r="D616" s="2124">
        <f t="shared" si="53"/>
        <v>14776.423270000001</v>
      </c>
      <c r="E616" s="1865"/>
      <c r="F616" s="1866">
        <v>2804.3139999999999</v>
      </c>
      <c r="G616" s="1865">
        <v>11972.109270000001</v>
      </c>
      <c r="H616" s="1866"/>
      <c r="I616" s="2142">
        <f t="shared" si="54"/>
        <v>14776.423270000001</v>
      </c>
      <c r="J616" s="2114"/>
      <c r="K616" s="1926"/>
      <c r="L616" s="2114"/>
      <c r="M616" s="2143">
        <f t="shared" si="56"/>
        <v>0</v>
      </c>
    </row>
    <row r="617" spans="1:38" ht="13.5" customHeight="1">
      <c r="A617" s="662"/>
      <c r="B617" s="2122" t="s">
        <v>358</v>
      </c>
      <c r="C617" s="2161"/>
      <c r="D617" s="2124">
        <f t="shared" si="53"/>
        <v>121.99265</v>
      </c>
      <c r="E617" s="1865"/>
      <c r="F617" s="1866">
        <v>0</v>
      </c>
      <c r="G617" s="1865">
        <v>121.99265</v>
      </c>
      <c r="H617" s="1866"/>
      <c r="I617" s="2142">
        <f t="shared" si="54"/>
        <v>121.99265</v>
      </c>
      <c r="J617" s="2114"/>
      <c r="K617" s="1926"/>
      <c r="L617" s="2114"/>
      <c r="M617" s="2143">
        <f t="shared" si="56"/>
        <v>0</v>
      </c>
    </row>
    <row r="618" spans="1:38">
      <c r="A618" s="662"/>
      <c r="B618" s="2111" t="s">
        <v>359</v>
      </c>
      <c r="C618" s="2161"/>
      <c r="D618" s="2124">
        <f t="shared" si="53"/>
        <v>-85137.895899999989</v>
      </c>
      <c r="E618" s="1865"/>
      <c r="F618" s="1866">
        <v>2133.8730083657201</v>
      </c>
      <c r="G618" s="1865">
        <v>-87271.768908365702</v>
      </c>
      <c r="H618" s="1866"/>
      <c r="I618" s="2142">
        <f t="shared" si="54"/>
        <v>-85137.895899999989</v>
      </c>
      <c r="J618" s="2114"/>
      <c r="K618" s="1926"/>
      <c r="L618" s="2114"/>
      <c r="M618" s="2143">
        <f t="shared" si="56"/>
        <v>0</v>
      </c>
    </row>
    <row r="619" spans="1:38" ht="26.45">
      <c r="A619" s="662"/>
      <c r="B619" s="2122" t="s">
        <v>360</v>
      </c>
      <c r="C619" s="2161"/>
      <c r="D619" s="2124">
        <f t="shared" si="53"/>
        <v>0</v>
      </c>
      <c r="E619" s="1865"/>
      <c r="F619" s="1866"/>
      <c r="G619" s="1865"/>
      <c r="H619" s="1866"/>
      <c r="I619" s="2142">
        <f t="shared" si="54"/>
        <v>0</v>
      </c>
      <c r="J619" s="2114"/>
      <c r="K619" s="1926"/>
      <c r="L619" s="2114"/>
      <c r="M619" s="2143">
        <f t="shared" si="56"/>
        <v>0</v>
      </c>
    </row>
    <row r="620" spans="1:38" s="870" customFormat="1">
      <c r="A620" s="662"/>
      <c r="B620" s="2121" t="s">
        <v>361</v>
      </c>
      <c r="C620" s="2162"/>
      <c r="D620" s="2124">
        <f t="shared" si="53"/>
        <v>-23008.278469999983</v>
      </c>
      <c r="E620" s="1926">
        <f>SUM(E614:E619)</f>
        <v>0</v>
      </c>
      <c r="F620" s="2114">
        <f>SUM(F614:F619)</f>
        <v>6029.9540083657203</v>
      </c>
      <c r="G620" s="1926">
        <f>SUM(G614:G619)</f>
        <v>-29038.232478365702</v>
      </c>
      <c r="H620" s="2114">
        <f>SUM(H614:H619)</f>
        <v>0</v>
      </c>
      <c r="I620" s="2142">
        <f t="shared" si="54"/>
        <v>-23008.278469999983</v>
      </c>
      <c r="J620" s="2114">
        <f>SUM(J614:J619)</f>
        <v>0</v>
      </c>
      <c r="K620" s="1926">
        <f>SUM(K614:K619)</f>
        <v>0</v>
      </c>
      <c r="L620" s="2114">
        <f>SUM(L614:L619)</f>
        <v>0</v>
      </c>
      <c r="M620" s="2143">
        <f t="shared" si="56"/>
        <v>0</v>
      </c>
      <c r="N620"/>
      <c r="O620"/>
      <c r="P620"/>
      <c r="Q620"/>
      <c r="R620"/>
      <c r="S620"/>
      <c r="T620"/>
      <c r="U620"/>
      <c r="V620"/>
      <c r="W620"/>
      <c r="X620"/>
      <c r="Y620"/>
      <c r="Z620"/>
      <c r="AA620"/>
      <c r="AB620" s="2976"/>
      <c r="AC620" s="2976"/>
      <c r="AD620" s="2976"/>
      <c r="AE620" s="2976"/>
      <c r="AF620" s="2976"/>
      <c r="AG620" s="2976"/>
      <c r="AH620" s="2976"/>
      <c r="AI620" s="2976"/>
      <c r="AJ620" s="2976"/>
      <c r="AK620" s="2976"/>
      <c r="AL620" s="2976"/>
    </row>
    <row r="621" spans="1:38">
      <c r="A621" s="662"/>
      <c r="B621" s="2111"/>
      <c r="C621" s="2161"/>
      <c r="D621" s="2124">
        <f t="shared" si="53"/>
        <v>0</v>
      </c>
      <c r="E621" s="1926"/>
      <c r="F621" s="2114"/>
      <c r="G621" s="1926"/>
      <c r="H621" s="2114"/>
      <c r="I621" s="2142">
        <f t="shared" si="54"/>
        <v>0</v>
      </c>
      <c r="J621" s="2114"/>
      <c r="K621" s="1926"/>
      <c r="L621" s="2114"/>
      <c r="M621" s="2143">
        <f t="shared" si="56"/>
        <v>0</v>
      </c>
    </row>
    <row r="622" spans="1:38" ht="26.45">
      <c r="A622" s="662"/>
      <c r="B622" s="2122" t="s">
        <v>362</v>
      </c>
      <c r="C622" s="2161"/>
      <c r="D622" s="2124">
        <f t="shared" si="53"/>
        <v>1245.9161700000002</v>
      </c>
      <c r="E622" s="1865"/>
      <c r="F622" s="1866">
        <v>37.908479999999997</v>
      </c>
      <c r="G622" s="1865">
        <v>1208.0076900000001</v>
      </c>
      <c r="H622" s="1866"/>
      <c r="I622" s="2142">
        <f t="shared" si="54"/>
        <v>1245.9161700000002</v>
      </c>
      <c r="J622" s="2114"/>
      <c r="K622" s="1926"/>
      <c r="L622" s="2114"/>
      <c r="M622" s="2143">
        <f t="shared" si="56"/>
        <v>0</v>
      </c>
    </row>
    <row r="623" spans="1:38" ht="16.149999999999999" customHeight="1">
      <c r="A623" s="662"/>
      <c r="B623" s="2111"/>
      <c r="C623" s="2161"/>
      <c r="D623" s="2124">
        <f t="shared" si="53"/>
        <v>0</v>
      </c>
      <c r="E623" s="1865"/>
      <c r="F623" s="1866"/>
      <c r="G623" s="1865"/>
      <c r="H623" s="1866"/>
      <c r="I623" s="2142">
        <f t="shared" si="54"/>
        <v>0</v>
      </c>
      <c r="J623" s="2114"/>
      <c r="K623" s="1926"/>
      <c r="L623" s="2114"/>
      <c r="M623" s="2143">
        <f t="shared" si="56"/>
        <v>0</v>
      </c>
    </row>
    <row r="624" spans="1:38" ht="27.6" customHeight="1">
      <c r="A624" s="662"/>
      <c r="B624" s="2122" t="s">
        <v>363</v>
      </c>
      <c r="C624" s="2161">
        <v>4</v>
      </c>
      <c r="D624" s="2124">
        <f t="shared" si="53"/>
        <v>111696.51543999997</v>
      </c>
      <c r="E624" s="1865"/>
      <c r="F624" s="1866">
        <v>1446.6117973326241</v>
      </c>
      <c r="G624" s="1865">
        <v>110249.90364266736</v>
      </c>
      <c r="H624" s="1866"/>
      <c r="I624" s="2142">
        <f t="shared" si="54"/>
        <v>111696.51543999997</v>
      </c>
      <c r="J624" s="2114"/>
      <c r="K624" s="1926"/>
      <c r="L624" s="2114"/>
      <c r="M624" s="2143">
        <f t="shared" si="56"/>
        <v>0</v>
      </c>
    </row>
    <row r="625" spans="1:38">
      <c r="A625" s="662"/>
      <c r="B625" s="2111" t="s">
        <v>364</v>
      </c>
      <c r="C625" s="2161"/>
      <c r="D625" s="2124">
        <f t="shared" si="53"/>
        <v>0</v>
      </c>
      <c r="E625" s="1865"/>
      <c r="F625" s="1866"/>
      <c r="G625" s="1865"/>
      <c r="H625" s="1866"/>
      <c r="I625" s="2142">
        <f t="shared" si="54"/>
        <v>0</v>
      </c>
      <c r="J625" s="2114"/>
      <c r="K625" s="1926"/>
      <c r="L625" s="2114"/>
      <c r="M625" s="2143">
        <f t="shared" si="56"/>
        <v>0</v>
      </c>
    </row>
    <row r="626" spans="1:38">
      <c r="A626" s="662"/>
      <c r="B626" s="2111" t="s">
        <v>365</v>
      </c>
      <c r="C626" s="2161"/>
      <c r="D626" s="2124">
        <f t="shared" si="53"/>
        <v>451.15374999999995</v>
      </c>
      <c r="E626" s="1865"/>
      <c r="F626" s="1866">
        <v>5.843014301654148</v>
      </c>
      <c r="G626" s="1865">
        <v>445.31073569834581</v>
      </c>
      <c r="H626" s="1866"/>
      <c r="I626" s="2142">
        <f t="shared" si="54"/>
        <v>451.15374999999995</v>
      </c>
      <c r="J626" s="2114"/>
      <c r="K626" s="1926"/>
      <c r="L626" s="2114"/>
      <c r="M626" s="2143">
        <f t="shared" si="56"/>
        <v>0</v>
      </c>
    </row>
    <row r="627" spans="1:38" s="870" customFormat="1">
      <c r="A627" s="662"/>
      <c r="B627" s="2121" t="s">
        <v>366</v>
      </c>
      <c r="C627" s="2162"/>
      <c r="D627" s="2124">
        <f t="shared" si="53"/>
        <v>112147.66918999999</v>
      </c>
      <c r="E627" s="1926">
        <f>SUM(E624:E626)</f>
        <v>0</v>
      </c>
      <c r="F627" s="2114">
        <f>SUM(F624:F626)</f>
        <v>1452.4548116342783</v>
      </c>
      <c r="G627" s="1926">
        <f>SUM(G624:G626)</f>
        <v>110695.21437836571</v>
      </c>
      <c r="H627" s="2114">
        <f>SUM(H624:H626)</f>
        <v>0</v>
      </c>
      <c r="I627" s="2142">
        <f t="shared" si="54"/>
        <v>112147.66918999999</v>
      </c>
      <c r="J627" s="2114">
        <f>SUM(J624:J626)</f>
        <v>0</v>
      </c>
      <c r="K627" s="1926">
        <f>SUM(K624:K626)</f>
        <v>0</v>
      </c>
      <c r="L627" s="2114">
        <f>SUM(L624:L626)</f>
        <v>0</v>
      </c>
      <c r="M627" s="2143">
        <f t="shared" si="56"/>
        <v>0</v>
      </c>
      <c r="N627"/>
      <c r="O627"/>
      <c r="P627"/>
      <c r="Q627"/>
      <c r="R627"/>
      <c r="S627"/>
      <c r="T627"/>
      <c r="U627"/>
      <c r="V627"/>
      <c r="W627"/>
      <c r="X627"/>
      <c r="Y627"/>
      <c r="Z627"/>
      <c r="AA627"/>
      <c r="AB627" s="2976"/>
      <c r="AC627" s="2976"/>
      <c r="AD627" s="2976"/>
      <c r="AE627" s="2976"/>
      <c r="AF627" s="2976"/>
      <c r="AG627" s="2976"/>
      <c r="AH627" s="2976"/>
      <c r="AI627" s="2976"/>
      <c r="AJ627" s="2976"/>
      <c r="AK627" s="2976"/>
      <c r="AL627" s="2976"/>
    </row>
    <row r="628" spans="1:38">
      <c r="A628" s="662"/>
      <c r="B628" s="2121"/>
      <c r="C628" s="2162"/>
      <c r="D628" s="2124">
        <f t="shared" si="53"/>
        <v>0</v>
      </c>
      <c r="E628" s="1926"/>
      <c r="F628" s="2114"/>
      <c r="G628" s="1926"/>
      <c r="H628" s="2114"/>
      <c r="I628" s="2142">
        <f t="shared" si="54"/>
        <v>0</v>
      </c>
      <c r="J628" s="2114"/>
      <c r="K628" s="1926"/>
      <c r="L628" s="2114"/>
      <c r="M628" s="2143">
        <f t="shared" si="56"/>
        <v>0</v>
      </c>
    </row>
    <row r="629" spans="1:38" s="870" customFormat="1">
      <c r="A629" s="662"/>
      <c r="B629" s="2121" t="s">
        <v>367</v>
      </c>
      <c r="C629" s="2162"/>
      <c r="D629" s="2124">
        <f t="shared" si="53"/>
        <v>87354.214319999999</v>
      </c>
      <c r="E629" s="1926">
        <f>E612-E620-E622-E627</f>
        <v>87354.214319999999</v>
      </c>
      <c r="F629" s="2114">
        <f>F612-F620-F622-F627</f>
        <v>0</v>
      </c>
      <c r="G629" s="1926">
        <f>G612-G620-G622-G627</f>
        <v>0</v>
      </c>
      <c r="H629" s="2114">
        <f>H612-H620-H622-H627</f>
        <v>0</v>
      </c>
      <c r="I629" s="2142">
        <f t="shared" si="54"/>
        <v>0</v>
      </c>
      <c r="J629" s="2114">
        <f>J612-J620-J622-J627</f>
        <v>0</v>
      </c>
      <c r="K629" s="1926">
        <f>K612-K620-K622-K627</f>
        <v>0</v>
      </c>
      <c r="L629" s="2114">
        <f>L612-L620-L622-L627</f>
        <v>0</v>
      </c>
      <c r="M629" s="2143">
        <f t="shared" si="56"/>
        <v>0</v>
      </c>
      <c r="N629"/>
      <c r="O629"/>
      <c r="P629"/>
      <c r="Q629"/>
      <c r="R629"/>
      <c r="S629"/>
      <c r="T629"/>
      <c r="U629"/>
      <c r="V629"/>
      <c r="W629"/>
      <c r="X629"/>
      <c r="Y629"/>
      <c r="Z629"/>
      <c r="AA629"/>
      <c r="AB629" s="2976"/>
      <c r="AC629" s="2976"/>
      <c r="AD629" s="2976"/>
      <c r="AE629" s="2976"/>
      <c r="AF629" s="2976"/>
      <c r="AG629" s="2976"/>
      <c r="AH629" s="2976"/>
      <c r="AI629" s="2976"/>
      <c r="AJ629" s="2976"/>
      <c r="AK629" s="2976"/>
      <c r="AL629" s="2976"/>
    </row>
    <row r="630" spans="1:38">
      <c r="A630" s="662"/>
      <c r="B630" s="2111" t="s">
        <v>368</v>
      </c>
      <c r="C630" s="2161"/>
      <c r="D630" s="2124"/>
      <c r="E630" s="1865"/>
      <c r="F630" s="2114"/>
      <c r="G630" s="1926"/>
      <c r="H630" s="2114"/>
      <c r="I630" s="2142">
        <f t="shared" si="54"/>
        <v>0</v>
      </c>
      <c r="J630" s="2114"/>
      <c r="K630" s="1926"/>
      <c r="L630" s="2114"/>
      <c r="M630" s="2143">
        <f t="shared" si="56"/>
        <v>0</v>
      </c>
    </row>
    <row r="631" spans="1:38">
      <c r="A631" s="662"/>
      <c r="B631" s="2111"/>
      <c r="C631" s="2161"/>
      <c r="D631" s="2124">
        <f>E631+I631+M631</f>
        <v>0</v>
      </c>
      <c r="E631" s="1926"/>
      <c r="F631" s="2114"/>
      <c r="G631" s="1926"/>
      <c r="H631" s="2114"/>
      <c r="I631" s="2142">
        <f t="shared" si="54"/>
        <v>0</v>
      </c>
      <c r="J631" s="2114"/>
      <c r="K631" s="1926"/>
      <c r="L631" s="2114"/>
      <c r="M631" s="2143">
        <f t="shared" si="56"/>
        <v>0</v>
      </c>
    </row>
    <row r="632" spans="1:38" s="870" customFormat="1" ht="15" thickBot="1">
      <c r="A632" s="662"/>
      <c r="B632" s="2163" t="s">
        <v>369</v>
      </c>
      <c r="C632" s="1383"/>
      <c r="D632" s="2164">
        <f>E632+I632+M632</f>
        <v>87354.214319999999</v>
      </c>
      <c r="E632" s="2165">
        <f>E629-E630</f>
        <v>87354.214319999999</v>
      </c>
      <c r="F632" s="2164">
        <f>F629-F630</f>
        <v>0</v>
      </c>
      <c r="G632" s="2165">
        <f>G629-G630</f>
        <v>0</v>
      </c>
      <c r="H632" s="2164">
        <f>H629-H630</f>
        <v>0</v>
      </c>
      <c r="I632" s="2165">
        <f t="shared" si="54"/>
        <v>0</v>
      </c>
      <c r="J632" s="2164">
        <f>J629-J630</f>
        <v>0</v>
      </c>
      <c r="K632" s="2165">
        <f>K629-K630</f>
        <v>0</v>
      </c>
      <c r="L632" s="2164">
        <f>L629-L630</f>
        <v>0</v>
      </c>
      <c r="M632" s="3143">
        <f t="shared" si="56"/>
        <v>0</v>
      </c>
      <c r="N632"/>
      <c r="O632"/>
      <c r="P632"/>
      <c r="Q632"/>
      <c r="R632"/>
      <c r="S632"/>
      <c r="T632"/>
      <c r="U632"/>
      <c r="V632"/>
      <c r="W632"/>
      <c r="X632"/>
      <c r="Y632"/>
      <c r="Z632"/>
      <c r="AA632"/>
      <c r="AB632" s="2976"/>
      <c r="AC632" s="2976"/>
      <c r="AD632" s="2976"/>
      <c r="AE632" s="2976"/>
      <c r="AF632" s="2976"/>
      <c r="AG632" s="2976"/>
      <c r="AH632" s="2976"/>
      <c r="AI632" s="2976"/>
      <c r="AJ632" s="2976"/>
      <c r="AK632" s="2976"/>
      <c r="AL632" s="2976"/>
    </row>
    <row r="633" spans="1:38" ht="15" thickBot="1">
      <c r="A633" s="662"/>
      <c r="B633" s="1384"/>
      <c r="C633" s="1385"/>
      <c r="D633" s="1386"/>
      <c r="E633" s="1385"/>
      <c r="F633" s="1386"/>
      <c r="G633" s="1385"/>
      <c r="H633" s="1386"/>
      <c r="I633" s="1385"/>
      <c r="J633" s="1386"/>
      <c r="K633" s="1385"/>
      <c r="L633" s="1386"/>
      <c r="M633" s="1387"/>
    </row>
    <row r="634" spans="1:38">
      <c r="A634" s="662"/>
      <c r="B634" s="662"/>
      <c r="C634" s="662"/>
      <c r="D634" s="670"/>
      <c r="E634" s="670"/>
      <c r="F634" s="670"/>
      <c r="G634" s="670"/>
      <c r="H634" s="670"/>
      <c r="I634" s="670"/>
      <c r="J634" s="662"/>
      <c r="K634" s="662"/>
      <c r="L634" s="662"/>
      <c r="M634" s="662"/>
    </row>
    <row r="637" spans="1:38" ht="15" thickBot="1"/>
    <row r="638" spans="1:38" ht="17.25" customHeight="1" thickBot="1">
      <c r="A638" s="1343" t="s">
        <v>115</v>
      </c>
      <c r="B638" s="1344" t="s">
        <v>328</v>
      </c>
      <c r="D638" s="662"/>
      <c r="E638" s="662"/>
      <c r="F638" s="662"/>
      <c r="G638" s="662"/>
      <c r="H638" s="662"/>
      <c r="I638" s="662"/>
      <c r="J638" s="662"/>
      <c r="K638" s="662"/>
      <c r="L638" s="3292"/>
      <c r="M638" s="3292" t="s">
        <v>257</v>
      </c>
    </row>
    <row r="639" spans="1:38" ht="17.25" customHeight="1" thickBot="1">
      <c r="A639" s="662"/>
      <c r="B639" s="3331" t="s">
        <v>328</v>
      </c>
      <c r="C639" s="3280" t="s">
        <v>334</v>
      </c>
      <c r="D639" s="3283" t="s">
        <v>260</v>
      </c>
      <c r="E639" s="3283" t="s">
        <v>335</v>
      </c>
      <c r="F639" s="3335" t="s">
        <v>263</v>
      </c>
      <c r="G639" s="3335"/>
      <c r="H639" s="3335"/>
      <c r="I639" s="3335"/>
      <c r="J639" s="3335"/>
      <c r="K639" s="3335"/>
      <c r="L639" s="3335"/>
      <c r="M639" s="3335"/>
    </row>
    <row r="640" spans="1:38" ht="17.25" customHeight="1" thickBot="1">
      <c r="A640" s="662"/>
      <c r="B640" s="3327"/>
      <c r="C640" s="3281"/>
      <c r="D640" s="3284"/>
      <c r="E640" s="3284"/>
      <c r="F640" s="3332" t="s">
        <v>264</v>
      </c>
      <c r="G640" s="3333"/>
      <c r="H640" s="3333"/>
      <c r="I640" s="3334"/>
      <c r="J640" s="3335" t="s">
        <v>336</v>
      </c>
      <c r="K640" s="3335"/>
      <c r="L640" s="3335"/>
      <c r="M640" s="3335"/>
    </row>
    <row r="641" spans="1:38" ht="60.6" customHeight="1" thickBot="1">
      <c r="A641" s="662"/>
      <c r="B641" s="3327"/>
      <c r="C641" s="3281"/>
      <c r="D641" s="3285"/>
      <c r="E641" s="3285"/>
      <c r="F641" s="2963" t="s">
        <v>267</v>
      </c>
      <c r="G641" s="2963" t="s">
        <v>268</v>
      </c>
      <c r="H641" s="2963" t="s">
        <v>269</v>
      </c>
      <c r="I641" s="2963" t="s">
        <v>160</v>
      </c>
      <c r="J641" s="2964" t="s">
        <v>337</v>
      </c>
      <c r="K641" s="2964" t="s">
        <v>271</v>
      </c>
      <c r="L641" s="2964" t="s">
        <v>338</v>
      </c>
      <c r="M641" s="2964" t="s">
        <v>160</v>
      </c>
    </row>
    <row r="642" spans="1:38" ht="17.25" customHeight="1" thickBot="1">
      <c r="A642" s="662"/>
      <c r="B642" s="3327"/>
      <c r="C642" s="3281"/>
      <c r="D642" s="2972">
        <v>1</v>
      </c>
      <c r="E642" s="3283">
        <v>2</v>
      </c>
      <c r="F642" s="3283">
        <v>3</v>
      </c>
      <c r="G642" s="3283">
        <v>4</v>
      </c>
      <c r="H642" s="3283"/>
      <c r="I642" s="2972">
        <v>6</v>
      </c>
      <c r="J642" s="3283">
        <v>7</v>
      </c>
      <c r="K642" s="3283">
        <v>8</v>
      </c>
      <c r="L642" s="3283">
        <v>9</v>
      </c>
      <c r="M642" s="2972">
        <v>10</v>
      </c>
    </row>
    <row r="643" spans="1:38" ht="15" thickBot="1">
      <c r="A643" s="662"/>
      <c r="B643" s="3328"/>
      <c r="C643" s="3282"/>
      <c r="D643" s="1327" t="s">
        <v>339</v>
      </c>
      <c r="E643" s="3285"/>
      <c r="F643" s="3285"/>
      <c r="G643" s="3285"/>
      <c r="H643" s="3284">
        <v>5</v>
      </c>
      <c r="I643" s="2964" t="s">
        <v>340</v>
      </c>
      <c r="J643" s="3285"/>
      <c r="K643" s="3285"/>
      <c r="L643" s="3285"/>
      <c r="M643" s="1327" t="s">
        <v>341</v>
      </c>
    </row>
    <row r="644" spans="1:38">
      <c r="A644" s="662"/>
      <c r="B644" s="1328" t="s">
        <v>342</v>
      </c>
      <c r="C644" s="907"/>
      <c r="D644" s="1329">
        <f t="shared" ref="D644:D681" si="57">E644+I644+M644</f>
        <v>20930125.200769998</v>
      </c>
      <c r="E644" s="904"/>
      <c r="F644" s="886">
        <v>12981243.370792076</v>
      </c>
      <c r="G644" s="904">
        <v>7948881.8299779231</v>
      </c>
      <c r="H644" s="886"/>
      <c r="I644" s="1207">
        <f t="shared" ref="I644:I681" si="58">F644+G644+H644</f>
        <v>20930125.200769998</v>
      </c>
      <c r="J644" s="904"/>
      <c r="K644" s="886"/>
      <c r="L644" s="904"/>
      <c r="M644" s="1207">
        <f t="shared" ref="M644:M661" si="59">L644+K644+J644</f>
        <v>0</v>
      </c>
    </row>
    <row r="645" spans="1:38">
      <c r="A645" s="662"/>
      <c r="B645" s="2103"/>
      <c r="C645" s="2141"/>
      <c r="D645" s="2124">
        <f t="shared" si="57"/>
        <v>0</v>
      </c>
      <c r="E645" s="1926"/>
      <c r="F645" s="2114"/>
      <c r="G645" s="1926"/>
      <c r="H645" s="2114"/>
      <c r="I645" s="1924">
        <f t="shared" si="58"/>
        <v>0</v>
      </c>
      <c r="J645" s="1926"/>
      <c r="K645" s="2114"/>
      <c r="L645" s="1926"/>
      <c r="M645" s="1924">
        <f t="shared" si="59"/>
        <v>0</v>
      </c>
    </row>
    <row r="646" spans="1:38">
      <c r="A646" s="662"/>
      <c r="B646" s="2105" t="s">
        <v>343</v>
      </c>
      <c r="C646" s="2141"/>
      <c r="D646" s="2124">
        <f t="shared" si="57"/>
        <v>563365.56837999995</v>
      </c>
      <c r="E646" s="1926"/>
      <c r="F646" s="2114">
        <v>64270.055600000007</v>
      </c>
      <c r="G646" s="1926">
        <v>499095.51277999999</v>
      </c>
      <c r="H646" s="2114"/>
      <c r="I646" s="1924">
        <f t="shared" si="58"/>
        <v>563365.56837999995</v>
      </c>
      <c r="J646" s="1926"/>
      <c r="K646" s="2114"/>
      <c r="L646" s="1926"/>
      <c r="M646" s="1924">
        <f t="shared" si="59"/>
        <v>0</v>
      </c>
    </row>
    <row r="647" spans="1:38">
      <c r="A647" s="662"/>
      <c r="B647" s="2105"/>
      <c r="C647" s="2141"/>
      <c r="D647" s="2124">
        <f t="shared" si="57"/>
        <v>0</v>
      </c>
      <c r="E647" s="1926"/>
      <c r="F647" s="2114"/>
      <c r="G647" s="1926"/>
      <c r="H647" s="2114"/>
      <c r="I647" s="1924">
        <f t="shared" si="58"/>
        <v>0</v>
      </c>
      <c r="J647" s="1926"/>
      <c r="K647" s="2114"/>
      <c r="L647" s="1926"/>
      <c r="M647" s="1924">
        <f t="shared" si="59"/>
        <v>0</v>
      </c>
    </row>
    <row r="648" spans="1:38" ht="14.25" customHeight="1">
      <c r="A648" s="662"/>
      <c r="B648" s="2106" t="s">
        <v>344</v>
      </c>
      <c r="C648" s="2141"/>
      <c r="D648" s="2124">
        <f t="shared" si="57"/>
        <v>0</v>
      </c>
      <c r="E648" s="1926"/>
      <c r="F648" s="2114"/>
      <c r="G648" s="1926"/>
      <c r="H648" s="2114"/>
      <c r="I648" s="1924">
        <f t="shared" si="58"/>
        <v>0</v>
      </c>
      <c r="J648" s="1926"/>
      <c r="K648" s="2114"/>
      <c r="L648" s="1926"/>
      <c r="M648" s="1924">
        <f t="shared" si="59"/>
        <v>0</v>
      </c>
    </row>
    <row r="649" spans="1:38">
      <c r="A649" s="662"/>
      <c r="B649" s="2103"/>
      <c r="C649" s="2141"/>
      <c r="D649" s="2124">
        <f t="shared" si="57"/>
        <v>0</v>
      </c>
      <c r="E649" s="1926">
        <v>0</v>
      </c>
      <c r="F649" s="2114">
        <v>0</v>
      </c>
      <c r="G649" s="1926">
        <v>0</v>
      </c>
      <c r="H649" s="2114"/>
      <c r="I649" s="1924">
        <f t="shared" si="58"/>
        <v>0</v>
      </c>
      <c r="J649" s="1926"/>
      <c r="K649" s="2114"/>
      <c r="L649" s="1926"/>
      <c r="M649" s="1924">
        <f t="shared" si="59"/>
        <v>0</v>
      </c>
    </row>
    <row r="650" spans="1:38" s="870" customFormat="1">
      <c r="A650" s="662"/>
      <c r="B650" s="2107" t="s">
        <v>345</v>
      </c>
      <c r="C650" s="2144"/>
      <c r="D650" s="2124">
        <f t="shared" si="57"/>
        <v>20366759.63239</v>
      </c>
      <c r="E650" s="1926">
        <f>E644-E646+E648</f>
        <v>0</v>
      </c>
      <c r="F650" s="2114">
        <f>F644-F646+F648</f>
        <v>12916973.315192075</v>
      </c>
      <c r="G650" s="1926">
        <f>G644-G646+G648</f>
        <v>7449786.3171979226</v>
      </c>
      <c r="H650" s="2114">
        <f>H644-H646+H648</f>
        <v>0</v>
      </c>
      <c r="I650" s="1924">
        <f t="shared" si="58"/>
        <v>20366759.63239</v>
      </c>
      <c r="J650" s="1926">
        <f>J644-J646+J648</f>
        <v>0</v>
      </c>
      <c r="K650" s="2114">
        <f>K644-K646+K648</f>
        <v>0</v>
      </c>
      <c r="L650" s="1926">
        <f>L644-L646+L648</f>
        <v>0</v>
      </c>
      <c r="M650" s="1924">
        <f t="shared" si="59"/>
        <v>0</v>
      </c>
      <c r="N650"/>
      <c r="O650"/>
      <c r="P650"/>
      <c r="Q650"/>
      <c r="R650"/>
      <c r="S650"/>
      <c r="T650"/>
      <c r="U650"/>
      <c r="V650"/>
      <c r="W650"/>
      <c r="X650"/>
      <c r="Y650"/>
      <c r="Z650"/>
      <c r="AA650"/>
      <c r="AB650" s="2976"/>
      <c r="AC650" s="2976"/>
      <c r="AD650" s="2976"/>
      <c r="AE650" s="2976"/>
      <c r="AF650" s="2976"/>
      <c r="AG650" s="2976"/>
      <c r="AH650" s="2976"/>
      <c r="AI650" s="2976"/>
      <c r="AJ650" s="2976"/>
      <c r="AK650" s="2976"/>
      <c r="AL650" s="2976"/>
    </row>
    <row r="651" spans="1:38">
      <c r="A651" s="662"/>
      <c r="B651" s="2107"/>
      <c r="C651" s="2144"/>
      <c r="D651" s="2124">
        <f t="shared" si="57"/>
        <v>0</v>
      </c>
      <c r="E651" s="1926"/>
      <c r="F651" s="2114"/>
      <c r="G651" s="1926"/>
      <c r="H651" s="2114"/>
      <c r="I651" s="1924">
        <f t="shared" si="58"/>
        <v>0</v>
      </c>
      <c r="J651" s="1926"/>
      <c r="K651" s="2114"/>
      <c r="L651" s="1926"/>
      <c r="M651" s="1924">
        <f t="shared" si="59"/>
        <v>0</v>
      </c>
    </row>
    <row r="652" spans="1:38" s="870" customFormat="1">
      <c r="A652" s="662"/>
      <c r="B652" s="2107" t="s">
        <v>346</v>
      </c>
      <c r="C652" s="2144"/>
      <c r="D652" s="2124">
        <f t="shared" si="57"/>
        <v>15477607.749618884</v>
      </c>
      <c r="E652" s="1926">
        <f>SUM(E653:E657)</f>
        <v>923335.22010565153</v>
      </c>
      <c r="F652" s="2114">
        <f>SUM(F653:F657)</f>
        <v>13315794.750150256</v>
      </c>
      <c r="G652" s="1926">
        <f>SUM(G653:G657)</f>
        <v>1238477.7793629756</v>
      </c>
      <c r="H652" s="2114">
        <f>SUM(H653:H657)</f>
        <v>0</v>
      </c>
      <c r="I652" s="1924">
        <f t="shared" si="58"/>
        <v>14554272.529513232</v>
      </c>
      <c r="J652" s="1926">
        <f>SUM(J653:J657)</f>
        <v>0</v>
      </c>
      <c r="K652" s="2114">
        <f>SUM(K653:K657)</f>
        <v>0</v>
      </c>
      <c r="L652" s="1926">
        <f>SUM(L653:L657)</f>
        <v>0</v>
      </c>
      <c r="M652" s="1924">
        <f t="shared" si="59"/>
        <v>0</v>
      </c>
      <c r="N652"/>
      <c r="O652"/>
      <c r="P652"/>
      <c r="Q652"/>
      <c r="R652"/>
      <c r="S652"/>
      <c r="T652"/>
      <c r="U652"/>
      <c r="V652"/>
      <c r="W652"/>
      <c r="X652"/>
      <c r="Y652"/>
      <c r="Z652"/>
      <c r="AA652"/>
      <c r="AB652" s="2976"/>
      <c r="AC652" s="2976"/>
      <c r="AD652" s="2976"/>
      <c r="AE652" s="2976"/>
      <c r="AF652" s="2976"/>
      <c r="AG652" s="2976"/>
      <c r="AH652" s="2976"/>
      <c r="AI652" s="2976"/>
      <c r="AJ652" s="2976"/>
      <c r="AK652" s="2976"/>
      <c r="AL652" s="2976"/>
    </row>
    <row r="653" spans="1:38">
      <c r="A653" s="662"/>
      <c r="B653" s="2103" t="s">
        <v>347</v>
      </c>
      <c r="C653" s="2141">
        <v>1</v>
      </c>
      <c r="D653" s="2124">
        <f t="shared" si="57"/>
        <v>17337069.784640003</v>
      </c>
      <c r="E653" s="1926">
        <v>1723651.4238856514</v>
      </c>
      <c r="F653" s="2114">
        <v>13873410.581433674</v>
      </c>
      <c r="G653" s="1926">
        <v>1740007.7793206763</v>
      </c>
      <c r="H653" s="2114"/>
      <c r="I653" s="1924">
        <f t="shared" si="58"/>
        <v>15613418.36075435</v>
      </c>
      <c r="J653" s="1926"/>
      <c r="K653" s="2114"/>
      <c r="L653" s="1926"/>
      <c r="M653" s="1924">
        <f t="shared" si="59"/>
        <v>0</v>
      </c>
    </row>
    <row r="654" spans="1:38">
      <c r="A654" s="662"/>
      <c r="B654" s="2103" t="s">
        <v>348</v>
      </c>
      <c r="C654" s="2141">
        <v>2</v>
      </c>
      <c r="D654" s="2124">
        <f t="shared" si="57"/>
        <v>50971.68737</v>
      </c>
      <c r="E654" s="1926">
        <v>0</v>
      </c>
      <c r="F654" s="2114">
        <v>31726.27074</v>
      </c>
      <c r="G654" s="1926">
        <v>19245.41663</v>
      </c>
      <c r="H654" s="2114"/>
      <c r="I654" s="1924">
        <f t="shared" si="58"/>
        <v>50971.68737</v>
      </c>
      <c r="J654" s="1926"/>
      <c r="K654" s="2114"/>
      <c r="L654" s="1926"/>
      <c r="M654" s="1924">
        <f t="shared" si="59"/>
        <v>0</v>
      </c>
    </row>
    <row r="655" spans="1:38">
      <c r="A655" s="662"/>
      <c r="B655" s="2103" t="s">
        <v>349</v>
      </c>
      <c r="C655" s="2141"/>
      <c r="D655" s="2124">
        <f t="shared" si="57"/>
        <v>215172.81531000003</v>
      </c>
      <c r="E655" s="1926">
        <v>19093.120860000025</v>
      </c>
      <c r="F655" s="2114">
        <v>110553.32343564708</v>
      </c>
      <c r="G655" s="1926">
        <v>85526.371014352917</v>
      </c>
      <c r="H655" s="2114"/>
      <c r="I655" s="1924">
        <f t="shared" si="58"/>
        <v>196079.69445000001</v>
      </c>
      <c r="J655" s="1926"/>
      <c r="K655" s="2114"/>
      <c r="L655" s="1926"/>
      <c r="M655" s="1924">
        <f t="shared" si="59"/>
        <v>0</v>
      </c>
    </row>
    <row r="656" spans="1:38">
      <c r="A656" s="662"/>
      <c r="B656" s="2103" t="s">
        <v>350</v>
      </c>
      <c r="C656" s="2141"/>
      <c r="D656" s="2124">
        <f t="shared" si="57"/>
        <v>-5502159.5149500007</v>
      </c>
      <c r="E656" s="1926">
        <v>-819409.32464000001</v>
      </c>
      <c r="F656" s="2114">
        <v>-4008121.7577378266</v>
      </c>
      <c r="G656" s="1926">
        <v>-674628.43257217354</v>
      </c>
      <c r="H656" s="2114">
        <v>0</v>
      </c>
      <c r="I656" s="1924">
        <f t="shared" si="58"/>
        <v>-4682750.1903100004</v>
      </c>
      <c r="J656" s="1926"/>
      <c r="K656" s="2114"/>
      <c r="L656" s="1926"/>
      <c r="M656" s="1924">
        <f t="shared" si="59"/>
        <v>0</v>
      </c>
    </row>
    <row r="657" spans="1:38">
      <c r="A657" s="662"/>
      <c r="B657" s="2103" t="s">
        <v>351</v>
      </c>
      <c r="C657" s="2141">
        <v>3</v>
      </c>
      <c r="D657" s="2124">
        <f t="shared" si="57"/>
        <v>3376552.9772488801</v>
      </c>
      <c r="E657" s="1926">
        <v>0</v>
      </c>
      <c r="F657" s="2114">
        <v>3308226.3322787602</v>
      </c>
      <c r="G657" s="1926">
        <v>68326.64497011996</v>
      </c>
      <c r="H657" s="2114"/>
      <c r="I657" s="1924">
        <f t="shared" si="58"/>
        <v>3376552.9772488801</v>
      </c>
      <c r="J657" s="1926"/>
      <c r="K657" s="2114"/>
      <c r="L657" s="1926"/>
      <c r="M657" s="1924">
        <f t="shared" si="59"/>
        <v>0</v>
      </c>
    </row>
    <row r="658" spans="1:38">
      <c r="A658" s="662"/>
      <c r="B658" s="2103" t="s">
        <v>353</v>
      </c>
      <c r="C658" s="2141"/>
      <c r="D658" s="2124">
        <f t="shared" si="57"/>
        <v>0</v>
      </c>
      <c r="E658" s="1926"/>
      <c r="F658" s="2114"/>
      <c r="G658" s="1926"/>
      <c r="H658" s="2114"/>
      <c r="I658" s="1924">
        <f t="shared" si="58"/>
        <v>0</v>
      </c>
      <c r="J658" s="1926"/>
      <c r="K658" s="2114"/>
      <c r="L658" s="1926"/>
      <c r="M658" s="1924">
        <f t="shared" si="59"/>
        <v>0</v>
      </c>
    </row>
    <row r="659" spans="1:38">
      <c r="A659" s="662"/>
      <c r="B659" s="2103" t="s">
        <v>353</v>
      </c>
      <c r="C659" s="2141"/>
      <c r="D659" s="2124">
        <f t="shared" si="57"/>
        <v>0</v>
      </c>
      <c r="E659" s="1926"/>
      <c r="F659" s="2114"/>
      <c r="G659" s="1926"/>
      <c r="H659" s="2114"/>
      <c r="I659" s="1924">
        <f t="shared" si="58"/>
        <v>0</v>
      </c>
      <c r="J659" s="1926"/>
      <c r="K659" s="2114"/>
      <c r="L659" s="1926"/>
      <c r="M659" s="1924">
        <f t="shared" si="59"/>
        <v>0</v>
      </c>
    </row>
    <row r="660" spans="1:38">
      <c r="A660" s="662"/>
      <c r="B660" s="2103"/>
      <c r="C660" s="2141"/>
      <c r="D660" s="2124">
        <f t="shared" si="57"/>
        <v>0</v>
      </c>
      <c r="E660" s="1926"/>
      <c r="F660" s="2114"/>
      <c r="G660" s="1926"/>
      <c r="H660" s="2114"/>
      <c r="I660" s="1924">
        <f t="shared" si="58"/>
        <v>0</v>
      </c>
      <c r="J660" s="1926"/>
      <c r="K660" s="2114"/>
      <c r="L660" s="1926"/>
      <c r="M660" s="1924">
        <f t="shared" si="59"/>
        <v>0</v>
      </c>
    </row>
    <row r="661" spans="1:38" s="870" customFormat="1">
      <c r="A661" s="662"/>
      <c r="B661" s="2109" t="s">
        <v>354</v>
      </c>
      <c r="C661" s="2144"/>
      <c r="D661" s="2124">
        <f t="shared" si="57"/>
        <v>35844367.38200888</v>
      </c>
      <c r="E661" s="1926">
        <f>E650+E652</f>
        <v>923335.22010565153</v>
      </c>
      <c r="F661" s="2114">
        <f>F650+F652</f>
        <v>26232768.065342329</v>
      </c>
      <c r="G661" s="1926">
        <f>G650+G652</f>
        <v>8688264.0965608992</v>
      </c>
      <c r="H661" s="2114">
        <f>H650+H652</f>
        <v>0</v>
      </c>
      <c r="I661" s="1924">
        <f t="shared" si="58"/>
        <v>34921032.161903232</v>
      </c>
      <c r="J661" s="1926">
        <f>J650+J652</f>
        <v>0</v>
      </c>
      <c r="K661" s="2114">
        <f>K650+K652</f>
        <v>0</v>
      </c>
      <c r="L661" s="1926">
        <f>L650+L652</f>
        <v>0</v>
      </c>
      <c r="M661" s="1924">
        <f t="shared" si="59"/>
        <v>0</v>
      </c>
      <c r="N661"/>
      <c r="O661"/>
      <c r="P661"/>
      <c r="Q661"/>
      <c r="R661"/>
      <c r="S661"/>
      <c r="T661"/>
      <c r="U661"/>
      <c r="V661"/>
      <c r="W661"/>
      <c r="X661"/>
      <c r="Y661"/>
      <c r="Z661"/>
      <c r="AA661"/>
      <c r="AB661" s="2976"/>
      <c r="AC661" s="2976"/>
      <c r="AD661" s="2976"/>
      <c r="AE661" s="2976"/>
      <c r="AF661" s="2976"/>
      <c r="AG661" s="2976"/>
      <c r="AH661" s="2976"/>
      <c r="AI661" s="2976"/>
      <c r="AJ661" s="2976"/>
      <c r="AK661" s="2976"/>
      <c r="AL661" s="2976"/>
    </row>
    <row r="662" spans="1:38">
      <c r="A662" s="662"/>
      <c r="B662" s="2109"/>
      <c r="C662" s="2144"/>
      <c r="D662" s="2124">
        <f t="shared" si="57"/>
        <v>0</v>
      </c>
      <c r="E662" s="1926"/>
      <c r="F662" s="2114"/>
      <c r="G662" s="1926"/>
      <c r="H662" s="2114"/>
      <c r="I662" s="1924">
        <f t="shared" si="58"/>
        <v>0</v>
      </c>
      <c r="J662" s="1926"/>
      <c r="K662" s="2114"/>
      <c r="L662" s="1926"/>
      <c r="M662" s="1924"/>
    </row>
    <row r="663" spans="1:38">
      <c r="A663" s="662"/>
      <c r="B663" s="2103" t="s">
        <v>355</v>
      </c>
      <c r="C663" s="2141"/>
      <c r="D663" s="2124">
        <f t="shared" si="57"/>
        <v>12060328.65873</v>
      </c>
      <c r="E663" s="1926">
        <v>0</v>
      </c>
      <c r="F663" s="2114">
        <v>7815317.7302898197</v>
      </c>
      <c r="G663" s="1926">
        <v>4245010.9284401797</v>
      </c>
      <c r="H663" s="2114"/>
      <c r="I663" s="1924">
        <f t="shared" si="58"/>
        <v>12060328.65873</v>
      </c>
      <c r="J663" s="1926"/>
      <c r="K663" s="2114"/>
      <c r="L663" s="1926"/>
      <c r="M663" s="1924">
        <f t="shared" ref="M663:M681" si="60">L663+K663+J663</f>
        <v>0</v>
      </c>
    </row>
    <row r="664" spans="1:38">
      <c r="A664" s="662"/>
      <c r="B664" s="2103" t="s">
        <v>356</v>
      </c>
      <c r="C664" s="2141"/>
      <c r="D664" s="2124">
        <f t="shared" si="57"/>
        <v>-366315.92130250006</v>
      </c>
      <c r="E664" s="1926">
        <v>0</v>
      </c>
      <c r="F664" s="2114">
        <v>-17645.544170000012</v>
      </c>
      <c r="G664" s="1926">
        <v>-348670.37713250006</v>
      </c>
      <c r="H664" s="2114"/>
      <c r="I664" s="1924">
        <f t="shared" si="58"/>
        <v>-366315.92130250006</v>
      </c>
      <c r="J664" s="1926"/>
      <c r="K664" s="2114"/>
      <c r="L664" s="1926"/>
      <c r="M664" s="1924">
        <f t="shared" si="60"/>
        <v>0</v>
      </c>
    </row>
    <row r="665" spans="1:38">
      <c r="A665" s="662"/>
      <c r="B665" s="2103" t="s">
        <v>357</v>
      </c>
      <c r="C665" s="2141"/>
      <c r="D665" s="2124">
        <f t="shared" si="57"/>
        <v>0</v>
      </c>
      <c r="E665" s="1926"/>
      <c r="F665" s="2114"/>
      <c r="G665" s="1926"/>
      <c r="H665" s="2114"/>
      <c r="I665" s="1924">
        <f t="shared" si="58"/>
        <v>0</v>
      </c>
      <c r="J665" s="1926"/>
      <c r="K665" s="2114"/>
      <c r="L665" s="1926"/>
      <c r="M665" s="1924">
        <f t="shared" si="60"/>
        <v>0</v>
      </c>
    </row>
    <row r="666" spans="1:38" ht="13.5" customHeight="1">
      <c r="A666" s="662"/>
      <c r="B666" s="2110" t="s">
        <v>358</v>
      </c>
      <c r="C666" s="2141"/>
      <c r="D666" s="2124">
        <f t="shared" si="57"/>
        <v>0</v>
      </c>
      <c r="E666" s="1926"/>
      <c r="F666" s="2114"/>
      <c r="G666" s="1926"/>
      <c r="H666" s="2114"/>
      <c r="I666" s="1924">
        <f t="shared" si="58"/>
        <v>0</v>
      </c>
      <c r="J666" s="1926"/>
      <c r="K666" s="2114"/>
      <c r="L666" s="1926"/>
      <c r="M666" s="1924">
        <f t="shared" si="60"/>
        <v>0</v>
      </c>
    </row>
    <row r="667" spans="1:38">
      <c r="A667" s="662"/>
      <c r="B667" s="2103" t="s">
        <v>359</v>
      </c>
      <c r="C667" s="2141"/>
      <c r="D667" s="2124">
        <f t="shared" si="57"/>
        <v>14135885.96478207</v>
      </c>
      <c r="E667" s="1926">
        <v>0</v>
      </c>
      <c r="F667" s="2114">
        <v>12612684.518985678</v>
      </c>
      <c r="G667" s="1926">
        <v>1523201.4457963919</v>
      </c>
      <c r="H667" s="2114"/>
      <c r="I667" s="1924">
        <f t="shared" si="58"/>
        <v>14135885.96478207</v>
      </c>
      <c r="J667" s="1926"/>
      <c r="K667" s="2114"/>
      <c r="L667" s="1926"/>
      <c r="M667" s="1924">
        <f t="shared" si="60"/>
        <v>0</v>
      </c>
    </row>
    <row r="668" spans="1:38" ht="26.45">
      <c r="A668" s="662"/>
      <c r="B668" s="2110" t="s">
        <v>360</v>
      </c>
      <c r="C668" s="2141"/>
      <c r="D668" s="2124">
        <f t="shared" si="57"/>
        <v>0</v>
      </c>
      <c r="E668" s="1926"/>
      <c r="F668" s="2114"/>
      <c r="G668" s="1926"/>
      <c r="H668" s="2114"/>
      <c r="I668" s="1924">
        <f t="shared" si="58"/>
        <v>0</v>
      </c>
      <c r="J668" s="1926"/>
      <c r="K668" s="2114"/>
      <c r="L668" s="1926"/>
      <c r="M668" s="1924">
        <f t="shared" si="60"/>
        <v>0</v>
      </c>
    </row>
    <row r="669" spans="1:38" s="870" customFormat="1">
      <c r="A669" s="662"/>
      <c r="B669" s="2109" t="s">
        <v>361</v>
      </c>
      <c r="C669" s="2144"/>
      <c r="D669" s="2124">
        <f t="shared" si="57"/>
        <v>25829898.70220957</v>
      </c>
      <c r="E669" s="1926">
        <f>SUM(E663:E668)</f>
        <v>0</v>
      </c>
      <c r="F669" s="2114">
        <f>SUM(F663:F668)</f>
        <v>20410356.705105498</v>
      </c>
      <c r="G669" s="1926">
        <f>SUM(G663:G668)</f>
        <v>5419541.9971040711</v>
      </c>
      <c r="H669" s="2114">
        <f>SUM(H663:H668)</f>
        <v>0</v>
      </c>
      <c r="I669" s="1924">
        <f t="shared" si="58"/>
        <v>25829898.70220957</v>
      </c>
      <c r="J669" s="1926">
        <f>SUM(J663:J668)</f>
        <v>0</v>
      </c>
      <c r="K669" s="2114">
        <f>SUM(K663:K668)</f>
        <v>0</v>
      </c>
      <c r="L669" s="1926">
        <f>SUM(L663:L668)</f>
        <v>0</v>
      </c>
      <c r="M669" s="1924">
        <f t="shared" si="60"/>
        <v>0</v>
      </c>
      <c r="N669"/>
      <c r="O669"/>
      <c r="P669"/>
      <c r="Q669"/>
      <c r="R669"/>
      <c r="S669"/>
      <c r="T669"/>
      <c r="U669"/>
      <c r="V669"/>
      <c r="W669"/>
      <c r="X669"/>
      <c r="Y669"/>
      <c r="Z669"/>
      <c r="AA669"/>
      <c r="AB669" s="2976"/>
      <c r="AC669" s="2976"/>
      <c r="AD669" s="2976"/>
      <c r="AE669" s="2976"/>
      <c r="AF669" s="2976"/>
      <c r="AG669" s="2976"/>
      <c r="AH669" s="2976"/>
      <c r="AI669" s="2976"/>
      <c r="AJ669" s="2976"/>
      <c r="AK669" s="2976"/>
      <c r="AL669" s="2976"/>
    </row>
    <row r="670" spans="1:38">
      <c r="A670" s="662"/>
      <c r="B670" s="2103"/>
      <c r="C670" s="2141"/>
      <c r="D670" s="2124">
        <f t="shared" si="57"/>
        <v>0</v>
      </c>
      <c r="E670" s="1926"/>
      <c r="F670" s="2114"/>
      <c r="G670" s="1926"/>
      <c r="H670" s="2114"/>
      <c r="I670" s="1924">
        <f t="shared" si="58"/>
        <v>0</v>
      </c>
      <c r="J670" s="1926"/>
      <c r="K670" s="2114"/>
      <c r="L670" s="1926"/>
      <c r="M670" s="1924">
        <f t="shared" si="60"/>
        <v>0</v>
      </c>
    </row>
    <row r="671" spans="1:38" ht="26.45">
      <c r="A671" s="662"/>
      <c r="B671" s="2110" t="s">
        <v>362</v>
      </c>
      <c r="C671" s="2141"/>
      <c r="D671" s="2124">
        <f t="shared" si="57"/>
        <v>2605252.3209199994</v>
      </c>
      <c r="E671" s="1926">
        <v>0</v>
      </c>
      <c r="F671" s="2114">
        <v>1711246.9315537761</v>
      </c>
      <c r="G671" s="1926">
        <v>894005.38936622324</v>
      </c>
      <c r="H671" s="2114"/>
      <c r="I671" s="1924">
        <f t="shared" si="58"/>
        <v>2605252.3209199994</v>
      </c>
      <c r="J671" s="1926"/>
      <c r="K671" s="2114"/>
      <c r="L671" s="1926"/>
      <c r="M671" s="1924">
        <f t="shared" si="60"/>
        <v>0</v>
      </c>
    </row>
    <row r="672" spans="1:38">
      <c r="A672" s="662"/>
      <c r="B672" s="2103"/>
      <c r="C672" s="2141"/>
      <c r="D672" s="2124">
        <f t="shared" si="57"/>
        <v>0</v>
      </c>
      <c r="E672" s="1926"/>
      <c r="F672" s="2114"/>
      <c r="G672" s="1926"/>
      <c r="H672" s="2114"/>
      <c r="I672" s="1924">
        <f t="shared" si="58"/>
        <v>0</v>
      </c>
      <c r="J672" s="1926"/>
      <c r="K672" s="2114"/>
      <c r="L672" s="1926"/>
      <c r="M672" s="1924">
        <f t="shared" si="60"/>
        <v>0</v>
      </c>
    </row>
    <row r="673" spans="1:38" ht="15.75" customHeight="1">
      <c r="A673" s="662"/>
      <c r="B673" s="2110" t="s">
        <v>363</v>
      </c>
      <c r="C673" s="2141">
        <v>4</v>
      </c>
      <c r="D673" s="2124">
        <f t="shared" si="57"/>
        <v>5578676.8799384041</v>
      </c>
      <c r="E673" s="1926">
        <v>2270.5234405875999</v>
      </c>
      <c r="F673" s="2114">
        <v>3915556.3312562355</v>
      </c>
      <c r="G673" s="1926">
        <v>1660850.0252415808</v>
      </c>
      <c r="H673" s="2114"/>
      <c r="I673" s="1924">
        <f t="shared" si="58"/>
        <v>5576406.3564978167</v>
      </c>
      <c r="J673" s="1926"/>
      <c r="K673" s="2114"/>
      <c r="L673" s="1926"/>
      <c r="M673" s="1924">
        <f t="shared" si="60"/>
        <v>0</v>
      </c>
    </row>
    <row r="674" spans="1:38">
      <c r="A674" s="662"/>
      <c r="B674" s="2103" t="s">
        <v>364</v>
      </c>
      <c r="C674" s="2141"/>
      <c r="D674" s="2124">
        <f t="shared" si="57"/>
        <v>0</v>
      </c>
      <c r="E674" s="1926"/>
      <c r="F674" s="2114"/>
      <c r="G674" s="1926"/>
      <c r="H674" s="2114"/>
      <c r="I674" s="1924">
        <f t="shared" si="58"/>
        <v>0</v>
      </c>
      <c r="J674" s="1926"/>
      <c r="K674" s="2114"/>
      <c r="L674" s="1926"/>
      <c r="M674" s="1924">
        <f t="shared" si="60"/>
        <v>0</v>
      </c>
    </row>
    <row r="675" spans="1:38">
      <c r="A675" s="662"/>
      <c r="B675" s="2103" t="s">
        <v>365</v>
      </c>
      <c r="C675" s="2141"/>
      <c r="D675" s="2124">
        <f t="shared" si="57"/>
        <v>0</v>
      </c>
      <c r="E675" s="1926"/>
      <c r="F675" s="2114"/>
      <c r="G675" s="1926"/>
      <c r="H675" s="2114"/>
      <c r="I675" s="1924">
        <f t="shared" si="58"/>
        <v>0</v>
      </c>
      <c r="J675" s="1926"/>
      <c r="K675" s="2114"/>
      <c r="L675" s="1926"/>
      <c r="M675" s="1924">
        <f t="shared" si="60"/>
        <v>0</v>
      </c>
    </row>
    <row r="676" spans="1:38" s="870" customFormat="1">
      <c r="A676" s="662"/>
      <c r="B676" s="2109" t="s">
        <v>366</v>
      </c>
      <c r="C676" s="2144"/>
      <c r="D676" s="2124">
        <f t="shared" si="57"/>
        <v>5578676.8799384041</v>
      </c>
      <c r="E676" s="1926">
        <f>SUM(E673:E675)</f>
        <v>2270.5234405875999</v>
      </c>
      <c r="F676" s="2114">
        <f>SUM(F673:F675)</f>
        <v>3915556.3312562355</v>
      </c>
      <c r="G676" s="1926">
        <f>SUM(G673:G675)</f>
        <v>1660850.0252415808</v>
      </c>
      <c r="H676" s="2114">
        <f>SUM(H673:H675)</f>
        <v>0</v>
      </c>
      <c r="I676" s="1924">
        <f t="shared" si="58"/>
        <v>5576406.3564978167</v>
      </c>
      <c r="J676" s="1926">
        <f>SUM(J673:J675)</f>
        <v>0</v>
      </c>
      <c r="K676" s="2114">
        <f>SUM(K673:K675)</f>
        <v>0</v>
      </c>
      <c r="L676" s="1926">
        <f>SUM(L673:L675)</f>
        <v>0</v>
      </c>
      <c r="M676" s="1924">
        <f t="shared" si="60"/>
        <v>0</v>
      </c>
      <c r="N676"/>
      <c r="O676"/>
      <c r="P676"/>
      <c r="Q676"/>
      <c r="R676"/>
      <c r="S676"/>
      <c r="T676"/>
      <c r="U676"/>
      <c r="V676"/>
      <c r="W676"/>
      <c r="X676"/>
      <c r="Y676"/>
      <c r="Z676"/>
      <c r="AA676"/>
      <c r="AB676" s="2976"/>
      <c r="AC676" s="2976"/>
      <c r="AD676" s="2976"/>
      <c r="AE676" s="2976"/>
      <c r="AF676" s="2976"/>
      <c r="AG676" s="2976"/>
      <c r="AH676" s="2976"/>
      <c r="AI676" s="2976"/>
      <c r="AJ676" s="2976"/>
      <c r="AK676" s="2976"/>
      <c r="AL676" s="2976"/>
    </row>
    <row r="677" spans="1:38">
      <c r="A677" s="662"/>
      <c r="B677" s="2109"/>
      <c r="C677" s="2144"/>
      <c r="D677" s="2124">
        <f t="shared" si="57"/>
        <v>0</v>
      </c>
      <c r="E677" s="1926"/>
      <c r="F677" s="2114"/>
      <c r="G677" s="1926"/>
      <c r="H677" s="2114"/>
      <c r="I677" s="1924">
        <f t="shared" si="58"/>
        <v>0</v>
      </c>
      <c r="J677" s="1926"/>
      <c r="K677" s="2114"/>
      <c r="L677" s="1926"/>
      <c r="M677" s="1924">
        <f t="shared" si="60"/>
        <v>0</v>
      </c>
    </row>
    <row r="678" spans="1:38" s="870" customFormat="1">
      <c r="A678" s="662"/>
      <c r="B678" s="2109" t="s">
        <v>367</v>
      </c>
      <c r="C678" s="2144"/>
      <c r="D678" s="2124">
        <f t="shared" si="57"/>
        <v>1830539.4789409069</v>
      </c>
      <c r="E678" s="1926">
        <f>E661-E669-E671-E676</f>
        <v>921064.69666506397</v>
      </c>
      <c r="F678" s="2114">
        <f>F661-F669-F671-F676</f>
        <v>195608.09742681915</v>
      </c>
      <c r="G678" s="1926">
        <f>G661-G669-G671-G676</f>
        <v>713866.68484902382</v>
      </c>
      <c r="H678" s="2114">
        <f>H661-H669-H671-H676</f>
        <v>0</v>
      </c>
      <c r="I678" s="1924">
        <f t="shared" si="58"/>
        <v>909474.78227584297</v>
      </c>
      <c r="J678" s="1926">
        <f>J661-J669-J671-J676</f>
        <v>0</v>
      </c>
      <c r="K678" s="2114">
        <f>K661-K669-K671-K676</f>
        <v>0</v>
      </c>
      <c r="L678" s="1926">
        <f>L661-L669-L671-L676</f>
        <v>0</v>
      </c>
      <c r="M678" s="1924">
        <f t="shared" si="60"/>
        <v>0</v>
      </c>
      <c r="N678"/>
      <c r="O678"/>
      <c r="P678"/>
      <c r="Q678"/>
      <c r="R678"/>
      <c r="S678"/>
      <c r="T678"/>
      <c r="U678"/>
      <c r="V678"/>
      <c r="W678"/>
      <c r="X678"/>
      <c r="Y678"/>
      <c r="Z678"/>
      <c r="AA678"/>
      <c r="AB678" s="2976"/>
      <c r="AC678" s="2976"/>
      <c r="AD678" s="2976"/>
      <c r="AE678" s="2976"/>
      <c r="AF678" s="2976"/>
      <c r="AG678" s="2976"/>
      <c r="AH678" s="2976"/>
      <c r="AI678" s="2976"/>
      <c r="AJ678" s="2976"/>
      <c r="AK678" s="2976"/>
      <c r="AL678" s="2976"/>
    </row>
    <row r="679" spans="1:38">
      <c r="A679" s="662"/>
      <c r="B679" s="2103" t="s">
        <v>368</v>
      </c>
      <c r="C679" s="2141"/>
      <c r="D679" s="2124">
        <f t="shared" si="57"/>
        <v>1045903.3404272019</v>
      </c>
      <c r="E679" s="1926">
        <v>432685.66177763703</v>
      </c>
      <c r="F679" s="2114">
        <v>277121.91323935398</v>
      </c>
      <c r="G679" s="1926">
        <v>336095.765410211</v>
      </c>
      <c r="H679" s="2114"/>
      <c r="I679" s="1924">
        <f t="shared" si="58"/>
        <v>613217.67864956497</v>
      </c>
      <c r="J679" s="1926"/>
      <c r="K679" s="2114"/>
      <c r="L679" s="1926"/>
      <c r="M679" s="1924">
        <f t="shared" si="60"/>
        <v>0</v>
      </c>
    </row>
    <row r="680" spans="1:38">
      <c r="A680" s="662"/>
      <c r="B680" s="2103"/>
      <c r="C680" s="2141"/>
      <c r="D680" s="2124">
        <f t="shared" si="57"/>
        <v>0</v>
      </c>
      <c r="E680" s="1926"/>
      <c r="F680" s="2114"/>
      <c r="G680" s="1926"/>
      <c r="H680" s="2114"/>
      <c r="I680" s="1924">
        <f t="shared" si="58"/>
        <v>0</v>
      </c>
      <c r="J680" s="1926"/>
      <c r="K680" s="2114"/>
      <c r="L680" s="1926"/>
      <c r="M680" s="1924">
        <f t="shared" si="60"/>
        <v>0</v>
      </c>
    </row>
    <row r="681" spans="1:38" s="870" customFormat="1" ht="15" thickBot="1">
      <c r="A681" s="662"/>
      <c r="B681" s="1338" t="s">
        <v>369</v>
      </c>
      <c r="C681" s="1370"/>
      <c r="D681" s="1350">
        <f t="shared" si="57"/>
        <v>784636.13851370499</v>
      </c>
      <c r="E681" s="1360">
        <f>E678-E679</f>
        <v>488379.03488742694</v>
      </c>
      <c r="F681" s="1350">
        <f>F678-F679</f>
        <v>-81513.815812534827</v>
      </c>
      <c r="G681" s="1360">
        <f>G678-G679</f>
        <v>377770.91943881282</v>
      </c>
      <c r="H681" s="1350">
        <f>H678-H679</f>
        <v>0</v>
      </c>
      <c r="I681" s="1350">
        <f t="shared" si="58"/>
        <v>296257.103626278</v>
      </c>
      <c r="J681" s="1360">
        <f>J678-J679</f>
        <v>0</v>
      </c>
      <c r="K681" s="1350">
        <f>K678-K679</f>
        <v>0</v>
      </c>
      <c r="L681" s="1360">
        <f>L678-L679</f>
        <v>0</v>
      </c>
      <c r="M681" s="1350">
        <f t="shared" si="60"/>
        <v>0</v>
      </c>
      <c r="N681"/>
      <c r="O681"/>
      <c r="P681"/>
      <c r="Q681"/>
      <c r="R681"/>
      <c r="S681"/>
      <c r="T681"/>
      <c r="U681"/>
      <c r="V681"/>
      <c r="W681"/>
      <c r="X681"/>
      <c r="Y681"/>
      <c r="Z681"/>
      <c r="AA681"/>
      <c r="AB681" s="2976"/>
      <c r="AC681" s="2976"/>
      <c r="AD681" s="2976"/>
      <c r="AE681" s="2976"/>
      <c r="AF681" s="2976"/>
      <c r="AG681" s="2976"/>
      <c r="AH681" s="2976"/>
      <c r="AI681" s="2976"/>
      <c r="AJ681" s="2976"/>
      <c r="AK681" s="2976"/>
      <c r="AL681" s="2976"/>
    </row>
    <row r="682" spans="1:38">
      <c r="A682" s="662"/>
      <c r="B682" s="662"/>
      <c r="C682" s="662"/>
      <c r="D682" s="689"/>
      <c r="E682" s="689"/>
      <c r="F682" s="689"/>
      <c r="G682" s="689"/>
      <c r="H682" s="689"/>
      <c r="I682" s="689"/>
      <c r="J682" s="662"/>
      <c r="K682" s="662"/>
      <c r="L682" s="662"/>
      <c r="M682" s="662"/>
    </row>
    <row r="683" spans="1:38">
      <c r="A683" s="662"/>
      <c r="B683" s="662"/>
      <c r="C683" s="662"/>
      <c r="D683" s="689"/>
      <c r="E683" s="689"/>
      <c r="F683" s="689"/>
      <c r="G683" s="689"/>
      <c r="H683" s="689"/>
      <c r="I683" s="689"/>
      <c r="J683" s="662"/>
      <c r="K683" s="662"/>
      <c r="L683" s="662"/>
      <c r="M683" s="662"/>
    </row>
    <row r="684" spans="1:38" ht="15" thickBot="1"/>
    <row r="685" spans="1:38" ht="15" thickBot="1">
      <c r="A685" s="1361" t="s">
        <v>196</v>
      </c>
      <c r="B685" s="1153" t="s">
        <v>135</v>
      </c>
      <c r="C685" s="662"/>
      <c r="D685" s="662"/>
      <c r="E685" s="662"/>
      <c r="F685" s="662"/>
      <c r="G685" s="662"/>
      <c r="H685" s="662"/>
      <c r="I685" s="662"/>
      <c r="J685" s="662"/>
      <c r="K685" s="662"/>
      <c r="L685" s="3292"/>
      <c r="M685" s="3292"/>
    </row>
    <row r="686" spans="1:38" ht="17.25" customHeight="1" thickBot="1">
      <c r="A686" s="662"/>
      <c r="B686" s="3331" t="s">
        <v>135</v>
      </c>
      <c r="C686" s="3280" t="s">
        <v>334</v>
      </c>
      <c r="D686" s="3283" t="s">
        <v>260</v>
      </c>
      <c r="E686" s="3283" t="s">
        <v>335</v>
      </c>
      <c r="F686" s="3335" t="s">
        <v>263</v>
      </c>
      <c r="G686" s="3335"/>
      <c r="H686" s="3335"/>
      <c r="I686" s="3335"/>
      <c r="J686" s="3335"/>
      <c r="K686" s="3335"/>
      <c r="L686" s="3335"/>
      <c r="M686" s="3335"/>
    </row>
    <row r="687" spans="1:38" ht="27" customHeight="1" thickBot="1">
      <c r="A687" s="662"/>
      <c r="B687" s="3327"/>
      <c r="C687" s="3281"/>
      <c r="D687" s="3284"/>
      <c r="E687" s="3284"/>
      <c r="F687" s="3332" t="s">
        <v>264</v>
      </c>
      <c r="G687" s="3333"/>
      <c r="H687" s="3333"/>
      <c r="I687" s="3334"/>
      <c r="J687" s="3335" t="s">
        <v>336</v>
      </c>
      <c r="K687" s="3335"/>
      <c r="L687" s="3335"/>
      <c r="M687" s="3335"/>
    </row>
    <row r="688" spans="1:38" ht="64.900000000000006" customHeight="1" thickBot="1">
      <c r="A688" s="662"/>
      <c r="B688" s="3327"/>
      <c r="C688" s="3281"/>
      <c r="D688" s="3285"/>
      <c r="E688" s="3285"/>
      <c r="F688" s="2963" t="s">
        <v>267</v>
      </c>
      <c r="G688" s="2963" t="s">
        <v>268</v>
      </c>
      <c r="H688" s="2963" t="s">
        <v>269</v>
      </c>
      <c r="I688" s="2963" t="s">
        <v>160</v>
      </c>
      <c r="J688" s="2964" t="s">
        <v>337</v>
      </c>
      <c r="K688" s="2964" t="s">
        <v>271</v>
      </c>
      <c r="L688" s="2964" t="s">
        <v>338</v>
      </c>
      <c r="M688" s="2964" t="s">
        <v>160</v>
      </c>
    </row>
    <row r="689" spans="1:38" ht="17.25" customHeight="1" thickBot="1">
      <c r="A689" s="662"/>
      <c r="B689" s="3327"/>
      <c r="C689" s="3281"/>
      <c r="D689" s="2972">
        <v>1</v>
      </c>
      <c r="E689" s="3283">
        <v>2</v>
      </c>
      <c r="F689" s="3283">
        <v>3</v>
      </c>
      <c r="G689" s="3283">
        <v>4</v>
      </c>
      <c r="H689" s="3283"/>
      <c r="I689" s="2972">
        <v>6</v>
      </c>
      <c r="J689" s="3283">
        <v>7</v>
      </c>
      <c r="K689" s="3283">
        <v>8</v>
      </c>
      <c r="L689" s="3283">
        <v>9</v>
      </c>
      <c r="M689" s="2972">
        <v>10</v>
      </c>
    </row>
    <row r="690" spans="1:38" ht="15" thickBot="1">
      <c r="A690" s="662"/>
      <c r="B690" s="3328"/>
      <c r="C690" s="3282"/>
      <c r="D690" s="1327" t="s">
        <v>339</v>
      </c>
      <c r="E690" s="3285"/>
      <c r="F690" s="3285"/>
      <c r="G690" s="3285"/>
      <c r="H690" s="3285">
        <v>5</v>
      </c>
      <c r="I690" s="1327" t="s">
        <v>340</v>
      </c>
      <c r="J690" s="3285"/>
      <c r="K690" s="3285"/>
      <c r="L690" s="3285"/>
      <c r="M690" s="1327" t="s">
        <v>341</v>
      </c>
    </row>
    <row r="691" spans="1:38">
      <c r="A691" s="662"/>
      <c r="B691" s="1328" t="s">
        <v>342</v>
      </c>
      <c r="C691" s="907"/>
      <c r="D691" s="1329">
        <f t="shared" ref="D691:D728" si="61">E691+I691+M691</f>
        <v>2568558</v>
      </c>
      <c r="E691" s="524"/>
      <c r="F691" s="485">
        <v>33361</v>
      </c>
      <c r="G691" s="524">
        <v>1970631</v>
      </c>
      <c r="H691" s="485">
        <v>564566</v>
      </c>
      <c r="I691" s="1368">
        <f t="shared" ref="I691:I728" si="62">F691+G691+H691</f>
        <v>2568558</v>
      </c>
      <c r="J691" s="886"/>
      <c r="K691" s="904"/>
      <c r="L691" s="886"/>
      <c r="M691" s="1369">
        <f t="shared" ref="M691:M708" si="63">L691+K691+J691</f>
        <v>0</v>
      </c>
    </row>
    <row r="692" spans="1:38">
      <c r="A692" s="662"/>
      <c r="B692" s="2103"/>
      <c r="C692" s="2141"/>
      <c r="D692" s="2124">
        <f t="shared" si="61"/>
        <v>0</v>
      </c>
      <c r="E692" s="1865"/>
      <c r="F692" s="1866"/>
      <c r="G692" s="1865"/>
      <c r="H692" s="1866"/>
      <c r="I692" s="2142">
        <f t="shared" si="62"/>
        <v>0</v>
      </c>
      <c r="J692" s="2114"/>
      <c r="K692" s="1926"/>
      <c r="L692" s="2114"/>
      <c r="M692" s="2143">
        <f t="shared" si="63"/>
        <v>0</v>
      </c>
    </row>
    <row r="693" spans="1:38">
      <c r="A693" s="662"/>
      <c r="B693" s="2105" t="s">
        <v>343</v>
      </c>
      <c r="C693" s="2141"/>
      <c r="D693" s="2124">
        <f t="shared" si="61"/>
        <v>39770.907927104199</v>
      </c>
      <c r="E693" s="1865"/>
      <c r="F693" s="1866">
        <v>490.68334038</v>
      </c>
      <c r="G693" s="1865">
        <v>20528.0055120705</v>
      </c>
      <c r="H693" s="1866">
        <v>18752.219074653702</v>
      </c>
      <c r="I693" s="2142">
        <f t="shared" si="62"/>
        <v>39770.907927104199</v>
      </c>
      <c r="J693" s="2114"/>
      <c r="K693" s="1926"/>
      <c r="L693" s="2114"/>
      <c r="M693" s="2143">
        <f t="shared" si="63"/>
        <v>0</v>
      </c>
    </row>
    <row r="694" spans="1:38">
      <c r="A694" s="662"/>
      <c r="B694" s="2105"/>
      <c r="C694" s="2141"/>
      <c r="D694" s="2124">
        <f t="shared" si="61"/>
        <v>0</v>
      </c>
      <c r="E694" s="1865"/>
      <c r="F694" s="1866"/>
      <c r="G694" s="1865"/>
      <c r="H694" s="1866"/>
      <c r="I694" s="2142">
        <f t="shared" si="62"/>
        <v>0</v>
      </c>
      <c r="J694" s="2114"/>
      <c r="K694" s="1926"/>
      <c r="L694" s="2114"/>
      <c r="M694" s="2143">
        <f t="shared" si="63"/>
        <v>0</v>
      </c>
    </row>
    <row r="695" spans="1:38" ht="14.25" customHeight="1">
      <c r="A695" s="662"/>
      <c r="B695" s="2106" t="s">
        <v>344</v>
      </c>
      <c r="C695" s="2141"/>
      <c r="D695" s="2124">
        <f t="shared" si="61"/>
        <v>0</v>
      </c>
      <c r="E695" s="1865"/>
      <c r="F695" s="1866">
        <v>0</v>
      </c>
      <c r="G695" s="1865">
        <v>0</v>
      </c>
      <c r="H695" s="1866">
        <v>0</v>
      </c>
      <c r="I695" s="2142">
        <f t="shared" si="62"/>
        <v>0</v>
      </c>
      <c r="J695" s="2114"/>
      <c r="K695" s="1926"/>
      <c r="L695" s="2114"/>
      <c r="M695" s="2143">
        <f t="shared" si="63"/>
        <v>0</v>
      </c>
    </row>
    <row r="696" spans="1:38">
      <c r="A696" s="662"/>
      <c r="B696" s="2103"/>
      <c r="C696" s="2141"/>
      <c r="D696" s="2124">
        <f t="shared" si="61"/>
        <v>0</v>
      </c>
      <c r="E696" s="1926"/>
      <c r="F696" s="2114"/>
      <c r="G696" s="1926"/>
      <c r="H696" s="2114"/>
      <c r="I696" s="2142">
        <f t="shared" si="62"/>
        <v>0</v>
      </c>
      <c r="J696" s="2114"/>
      <c r="K696" s="1926"/>
      <c r="L696" s="2114"/>
      <c r="M696" s="2143">
        <f t="shared" si="63"/>
        <v>0</v>
      </c>
    </row>
    <row r="697" spans="1:38" s="870" customFormat="1">
      <c r="A697" s="662"/>
      <c r="B697" s="2107" t="s">
        <v>345</v>
      </c>
      <c r="C697" s="2144"/>
      <c r="D697" s="2124">
        <f t="shared" si="61"/>
        <v>2528787.0920728957</v>
      </c>
      <c r="E697" s="1926">
        <f>E691-E693+E695</f>
        <v>0</v>
      </c>
      <c r="F697" s="2114">
        <f>F691-F693+F695</f>
        <v>32870.316659620003</v>
      </c>
      <c r="G697" s="1926">
        <f>G691-G693+G695</f>
        <v>1950102.9944879294</v>
      </c>
      <c r="H697" s="2114">
        <f>H691-H693+H695</f>
        <v>545813.78092534631</v>
      </c>
      <c r="I697" s="2142">
        <f t="shared" si="62"/>
        <v>2528787.0920728957</v>
      </c>
      <c r="J697" s="2114">
        <f>J691-J693+J695</f>
        <v>0</v>
      </c>
      <c r="K697" s="1926">
        <f>K691-K693+K695</f>
        <v>0</v>
      </c>
      <c r="L697" s="2114">
        <f>L691-L693+L695</f>
        <v>0</v>
      </c>
      <c r="M697" s="2143">
        <f t="shared" si="63"/>
        <v>0</v>
      </c>
      <c r="N697"/>
      <c r="O697"/>
      <c r="P697"/>
      <c r="Q697"/>
      <c r="R697"/>
      <c r="S697"/>
      <c r="T697"/>
      <c r="U697"/>
      <c r="V697"/>
      <c r="W697"/>
      <c r="X697"/>
      <c r="Y697"/>
      <c r="Z697"/>
      <c r="AA697"/>
      <c r="AB697" s="2976"/>
      <c r="AC697" s="2976"/>
      <c r="AD697" s="2976"/>
      <c r="AE697" s="2976"/>
      <c r="AF697" s="2976"/>
      <c r="AG697" s="2976"/>
      <c r="AH697" s="2976"/>
      <c r="AI697" s="2976"/>
      <c r="AJ697" s="2976"/>
      <c r="AK697" s="2976"/>
      <c r="AL697" s="2976"/>
    </row>
    <row r="698" spans="1:38">
      <c r="A698" s="662"/>
      <c r="B698" s="2107"/>
      <c r="C698" s="2144"/>
      <c r="D698" s="2124">
        <f t="shared" si="61"/>
        <v>0</v>
      </c>
      <c r="E698" s="1926"/>
      <c r="F698" s="2114"/>
      <c r="G698" s="1926"/>
      <c r="H698" s="2114"/>
      <c r="I698" s="2142">
        <f t="shared" si="62"/>
        <v>0</v>
      </c>
      <c r="J698" s="2114"/>
      <c r="K698" s="1926"/>
      <c r="L698" s="2114"/>
      <c r="M698" s="2143">
        <f t="shared" si="63"/>
        <v>0</v>
      </c>
    </row>
    <row r="699" spans="1:38" s="870" customFormat="1">
      <c r="A699" s="662"/>
      <c r="B699" s="2107" t="s">
        <v>346</v>
      </c>
      <c r="C699" s="2144"/>
      <c r="D699" s="2124">
        <f t="shared" si="61"/>
        <v>166766.74892999989</v>
      </c>
      <c r="E699" s="1926">
        <f>SUM(E700:E704)</f>
        <v>-62731.007700428556</v>
      </c>
      <c r="F699" s="2114">
        <f>SUM(F700:F704)</f>
        <v>8291.2540930362666</v>
      </c>
      <c r="G699" s="1926">
        <f>SUM(G700:G704)</f>
        <v>185929.42463435169</v>
      </c>
      <c r="H699" s="2114">
        <f>SUM(H700:H704)</f>
        <v>35277.07790304051</v>
      </c>
      <c r="I699" s="2142">
        <f t="shared" si="62"/>
        <v>229497.75663042846</v>
      </c>
      <c r="J699" s="2114">
        <f>SUM(J700:J704)</f>
        <v>0</v>
      </c>
      <c r="K699" s="1926">
        <f>SUM(K700:K704)</f>
        <v>0</v>
      </c>
      <c r="L699" s="2114">
        <f>SUM(L700:L704)</f>
        <v>0</v>
      </c>
      <c r="M699" s="2143">
        <f t="shared" si="63"/>
        <v>0</v>
      </c>
      <c r="N699"/>
      <c r="O699"/>
      <c r="P699"/>
      <c r="Q699"/>
      <c r="R699"/>
      <c r="S699"/>
      <c r="T699"/>
      <c r="U699"/>
      <c r="V699"/>
      <c r="W699"/>
      <c r="X699"/>
      <c r="Y699"/>
      <c r="Z699"/>
      <c r="AA699"/>
      <c r="AB699" s="2976"/>
      <c r="AC699" s="2976"/>
      <c r="AD699" s="2976"/>
      <c r="AE699" s="2976"/>
      <c r="AF699" s="2976"/>
      <c r="AG699" s="2976"/>
      <c r="AH699" s="2976"/>
      <c r="AI699" s="2976"/>
      <c r="AJ699" s="2976"/>
      <c r="AK699" s="2976"/>
      <c r="AL699" s="2976"/>
    </row>
    <row r="700" spans="1:38">
      <c r="A700" s="662"/>
      <c r="B700" s="2103" t="s">
        <v>347</v>
      </c>
      <c r="C700" s="2141">
        <v>1</v>
      </c>
      <c r="D700" s="2124">
        <f t="shared" si="61"/>
        <v>234845.55779999995</v>
      </c>
      <c r="E700" s="1865">
        <v>58040.382448182776</v>
      </c>
      <c r="F700" s="1866">
        <v>10911.146437876514</v>
      </c>
      <c r="G700" s="1865">
        <v>152709.14157169271</v>
      </c>
      <c r="H700" s="1866">
        <v>13184.887342247977</v>
      </c>
      <c r="I700" s="2142">
        <f t="shared" si="62"/>
        <v>176805.17535181719</v>
      </c>
      <c r="J700" s="2114"/>
      <c r="K700" s="1926"/>
      <c r="L700" s="2114"/>
      <c r="M700" s="2143">
        <f t="shared" si="63"/>
        <v>0</v>
      </c>
    </row>
    <row r="701" spans="1:38">
      <c r="A701" s="662"/>
      <c r="B701" s="2103" t="s">
        <v>348</v>
      </c>
      <c r="C701" s="2141">
        <v>2</v>
      </c>
      <c r="D701" s="2124">
        <f t="shared" si="61"/>
        <v>123185.81473999996</v>
      </c>
      <c r="E701" s="1926">
        <v>3514.5615064317085</v>
      </c>
      <c r="F701" s="2114">
        <v>2322.6349051597517</v>
      </c>
      <c r="G701" s="1926">
        <v>95256.427767615969</v>
      </c>
      <c r="H701" s="2114">
        <v>22092.190560792529</v>
      </c>
      <c r="I701" s="2142">
        <f t="shared" si="62"/>
        <v>119671.25323356825</v>
      </c>
      <c r="J701" s="2114"/>
      <c r="K701" s="1926"/>
      <c r="L701" s="2114"/>
      <c r="M701" s="2143">
        <f t="shared" si="63"/>
        <v>0</v>
      </c>
    </row>
    <row r="702" spans="1:38">
      <c r="A702" s="662"/>
      <c r="B702" s="2103" t="s">
        <v>349</v>
      </c>
      <c r="C702" s="2141"/>
      <c r="D702" s="2124">
        <f t="shared" si="61"/>
        <v>0</v>
      </c>
      <c r="E702" s="1865"/>
      <c r="F702" s="1866"/>
      <c r="G702" s="1865"/>
      <c r="H702" s="1866"/>
      <c r="I702" s="2142">
        <f t="shared" si="62"/>
        <v>0</v>
      </c>
      <c r="J702" s="2114"/>
      <c r="K702" s="1926"/>
      <c r="L702" s="2114"/>
      <c r="M702" s="2143">
        <f t="shared" si="63"/>
        <v>0</v>
      </c>
    </row>
    <row r="703" spans="1:38">
      <c r="A703" s="662"/>
      <c r="B703" s="2103" t="s">
        <v>350</v>
      </c>
      <c r="C703" s="2141"/>
      <c r="D703" s="2124">
        <f t="shared" si="61"/>
        <v>-191264.62361000004</v>
      </c>
      <c r="E703" s="1865">
        <v>-124285.95165504304</v>
      </c>
      <c r="F703" s="1866">
        <v>-4942.5272500000001</v>
      </c>
      <c r="G703" s="1865">
        <v>-62036.144704956998</v>
      </c>
      <c r="H703" s="1866">
        <v>0</v>
      </c>
      <c r="I703" s="2142">
        <f t="shared" si="62"/>
        <v>-66978.671954956997</v>
      </c>
      <c r="J703" s="2114"/>
      <c r="K703" s="1926"/>
      <c r="L703" s="2114"/>
      <c r="M703" s="2143">
        <f t="shared" si="63"/>
        <v>0</v>
      </c>
    </row>
    <row r="704" spans="1:38">
      <c r="A704" s="662"/>
      <c r="B704" s="2103" t="s">
        <v>351</v>
      </c>
      <c r="C704" s="2141">
        <v>3</v>
      </c>
      <c r="D704" s="2124">
        <f t="shared" si="61"/>
        <v>0</v>
      </c>
      <c r="E704" s="1865"/>
      <c r="F704" s="1866"/>
      <c r="G704" s="1865"/>
      <c r="H704" s="1866"/>
      <c r="I704" s="2142">
        <f t="shared" si="62"/>
        <v>0</v>
      </c>
      <c r="J704" s="2114"/>
      <c r="K704" s="1926"/>
      <c r="L704" s="2114"/>
      <c r="M704" s="2143">
        <f t="shared" si="63"/>
        <v>0</v>
      </c>
    </row>
    <row r="705" spans="1:38">
      <c r="A705" s="662"/>
      <c r="B705" s="2103" t="s">
        <v>353</v>
      </c>
      <c r="C705" s="2141"/>
      <c r="D705" s="2124">
        <f t="shared" si="61"/>
        <v>0</v>
      </c>
      <c r="E705" s="1926"/>
      <c r="F705" s="2114"/>
      <c r="G705" s="1926"/>
      <c r="H705" s="2114"/>
      <c r="I705" s="2142">
        <f t="shared" si="62"/>
        <v>0</v>
      </c>
      <c r="J705" s="2114"/>
      <c r="K705" s="1926"/>
      <c r="L705" s="2114"/>
      <c r="M705" s="2143">
        <f t="shared" si="63"/>
        <v>0</v>
      </c>
    </row>
    <row r="706" spans="1:38">
      <c r="A706" s="662"/>
      <c r="B706" s="2103" t="s">
        <v>353</v>
      </c>
      <c r="C706" s="2141"/>
      <c r="D706" s="2124">
        <f t="shared" si="61"/>
        <v>0</v>
      </c>
      <c r="E706" s="1926"/>
      <c r="F706" s="2114"/>
      <c r="G706" s="1926"/>
      <c r="H706" s="2114"/>
      <c r="I706" s="2142">
        <f t="shared" si="62"/>
        <v>0</v>
      </c>
      <c r="J706" s="2114"/>
      <c r="K706" s="1926"/>
      <c r="L706" s="2114"/>
      <c r="M706" s="2143">
        <f t="shared" si="63"/>
        <v>0</v>
      </c>
    </row>
    <row r="707" spans="1:38">
      <c r="A707" s="662"/>
      <c r="B707" s="2103"/>
      <c r="C707" s="2141"/>
      <c r="D707" s="2124">
        <f t="shared" si="61"/>
        <v>0</v>
      </c>
      <c r="E707" s="1926"/>
      <c r="F707" s="2114"/>
      <c r="G707" s="1926"/>
      <c r="H707" s="2114"/>
      <c r="I707" s="2142">
        <f t="shared" si="62"/>
        <v>0</v>
      </c>
      <c r="J707" s="2114"/>
      <c r="K707" s="1926"/>
      <c r="L707" s="2114"/>
      <c r="M707" s="2143">
        <f t="shared" si="63"/>
        <v>0</v>
      </c>
    </row>
    <row r="708" spans="1:38" s="870" customFormat="1">
      <c r="A708" s="662"/>
      <c r="B708" s="2109" t="s">
        <v>354</v>
      </c>
      <c r="C708" s="2144"/>
      <c r="D708" s="2124">
        <f t="shared" si="61"/>
        <v>2695553.8410028955</v>
      </c>
      <c r="E708" s="1926">
        <f>E697+E699</f>
        <v>-62731.007700428556</v>
      </c>
      <c r="F708" s="2114">
        <f>F697+F699</f>
        <v>41161.570752656269</v>
      </c>
      <c r="G708" s="1926">
        <f>G697+G699</f>
        <v>2136032.419122281</v>
      </c>
      <c r="H708" s="2114">
        <f>H697+H699</f>
        <v>581090.85882838676</v>
      </c>
      <c r="I708" s="2142">
        <f t="shared" si="62"/>
        <v>2758284.8487033239</v>
      </c>
      <c r="J708" s="2114">
        <f>J697+J699</f>
        <v>0</v>
      </c>
      <c r="K708" s="1926">
        <f>K697+K699</f>
        <v>0</v>
      </c>
      <c r="L708" s="2114">
        <f>L697+L699</f>
        <v>0</v>
      </c>
      <c r="M708" s="2143">
        <f t="shared" si="63"/>
        <v>0</v>
      </c>
      <c r="N708"/>
      <c r="O708"/>
      <c r="P708"/>
      <c r="Q708"/>
      <c r="R708"/>
      <c r="S708"/>
      <c r="T708"/>
      <c r="U708"/>
      <c r="V708"/>
      <c r="W708"/>
      <c r="X708"/>
      <c r="Y708"/>
      <c r="Z708"/>
      <c r="AA708"/>
      <c r="AB708" s="2976"/>
      <c r="AC708" s="2976"/>
      <c r="AD708" s="2976"/>
      <c r="AE708" s="2976"/>
      <c r="AF708" s="2976"/>
      <c r="AG708" s="2976"/>
      <c r="AH708" s="2976"/>
      <c r="AI708" s="2976"/>
      <c r="AJ708" s="2976"/>
      <c r="AK708" s="2976"/>
      <c r="AL708" s="2976"/>
    </row>
    <row r="709" spans="1:38">
      <c r="A709" s="662"/>
      <c r="B709" s="2109"/>
      <c r="C709" s="2144"/>
      <c r="D709" s="2124">
        <f t="shared" si="61"/>
        <v>0</v>
      </c>
      <c r="E709" s="1926"/>
      <c r="F709" s="2114"/>
      <c r="G709" s="1926"/>
      <c r="H709" s="2114"/>
      <c r="I709" s="2142">
        <f t="shared" si="62"/>
        <v>0</v>
      </c>
      <c r="J709" s="2114"/>
      <c r="K709" s="1926"/>
      <c r="L709" s="2114"/>
      <c r="M709" s="2143"/>
    </row>
    <row r="710" spans="1:38">
      <c r="A710" s="662"/>
      <c r="B710" s="2103" t="s">
        <v>355</v>
      </c>
      <c r="C710" s="2141"/>
      <c r="D710" s="2124">
        <f t="shared" si="61"/>
        <v>1314686.4678400001</v>
      </c>
      <c r="E710" s="1926">
        <v>0</v>
      </c>
      <c r="F710" s="2114">
        <v>36077.428720000011</v>
      </c>
      <c r="G710" s="1926">
        <v>1188368.9503599999</v>
      </c>
      <c r="H710" s="2114">
        <v>90240.088760000086</v>
      </c>
      <c r="I710" s="2142">
        <f t="shared" si="62"/>
        <v>1314686.4678400001</v>
      </c>
      <c r="J710" s="2114"/>
      <c r="K710" s="1926"/>
      <c r="L710" s="2114"/>
      <c r="M710" s="2143">
        <f t="shared" ref="M710:M728" si="64">L710+K710+J710</f>
        <v>0</v>
      </c>
    </row>
    <row r="711" spans="1:38">
      <c r="A711" s="662"/>
      <c r="B711" s="2103" t="s">
        <v>356</v>
      </c>
      <c r="C711" s="2141"/>
      <c r="D711" s="2124">
        <f t="shared" si="61"/>
        <v>-14731.972690000001</v>
      </c>
      <c r="E711" s="1926"/>
      <c r="F711" s="2132">
        <v>-411.99200000000002</v>
      </c>
      <c r="G711" s="905">
        <v>-2681.4549999999999</v>
      </c>
      <c r="H711" s="2132">
        <v>-11638.52569</v>
      </c>
      <c r="I711" s="2142">
        <f t="shared" si="62"/>
        <v>-14731.972690000001</v>
      </c>
      <c r="J711" s="2114"/>
      <c r="K711" s="1926"/>
      <c r="L711" s="2114"/>
      <c r="M711" s="2143">
        <f t="shared" si="64"/>
        <v>0</v>
      </c>
    </row>
    <row r="712" spans="1:38">
      <c r="A712" s="662"/>
      <c r="B712" s="2103" t="s">
        <v>357</v>
      </c>
      <c r="C712" s="2141"/>
      <c r="D712" s="2124">
        <f t="shared" si="61"/>
        <v>0</v>
      </c>
      <c r="E712" s="1926"/>
      <c r="F712" s="883"/>
      <c r="G712" s="884"/>
      <c r="H712" s="883"/>
      <c r="I712" s="2142">
        <f t="shared" si="62"/>
        <v>0</v>
      </c>
      <c r="J712" s="2114"/>
      <c r="K712" s="1926"/>
      <c r="L712" s="2114"/>
      <c r="M712" s="2143">
        <f t="shared" si="64"/>
        <v>0</v>
      </c>
    </row>
    <row r="713" spans="1:38" ht="13.5" customHeight="1">
      <c r="A713" s="662"/>
      <c r="B713" s="2110" t="s">
        <v>358</v>
      </c>
      <c r="C713" s="2141"/>
      <c r="D713" s="2124">
        <f t="shared" si="61"/>
        <v>0</v>
      </c>
      <c r="E713" s="1926"/>
      <c r="F713" s="868"/>
      <c r="G713" s="869"/>
      <c r="H713" s="868"/>
      <c r="I713" s="2142">
        <f t="shared" si="62"/>
        <v>0</v>
      </c>
      <c r="J713" s="2114"/>
      <c r="K713" s="1926"/>
      <c r="L713" s="2114"/>
      <c r="M713" s="2143">
        <f t="shared" si="64"/>
        <v>0</v>
      </c>
    </row>
    <row r="714" spans="1:38">
      <c r="A714" s="662"/>
      <c r="B714" s="2103" t="s">
        <v>359</v>
      </c>
      <c r="C714" s="2141"/>
      <c r="D714" s="2124">
        <f t="shared" si="61"/>
        <v>213412.3072539267</v>
      </c>
      <c r="E714" s="1926">
        <v>0</v>
      </c>
      <c r="F714" s="2114">
        <v>-57506.676765237098</v>
      </c>
      <c r="G714" s="1926">
        <v>-239244.86294999719</v>
      </c>
      <c r="H714" s="2114">
        <v>510163.84696916101</v>
      </c>
      <c r="I714" s="2142">
        <f t="shared" si="62"/>
        <v>213412.3072539267</v>
      </c>
      <c r="J714" s="2114"/>
      <c r="K714" s="1926"/>
      <c r="L714" s="2114"/>
      <c r="M714" s="2143">
        <f t="shared" si="64"/>
        <v>0</v>
      </c>
    </row>
    <row r="715" spans="1:38" ht="26.45">
      <c r="A715" s="662"/>
      <c r="B715" s="2110" t="s">
        <v>360</v>
      </c>
      <c r="C715" s="2141"/>
      <c r="D715" s="2124">
        <f t="shared" si="61"/>
        <v>0</v>
      </c>
      <c r="E715" s="1926"/>
      <c r="F715" s="2114"/>
      <c r="G715" s="1926"/>
      <c r="H715" s="2114"/>
      <c r="I715" s="2142">
        <f t="shared" si="62"/>
        <v>0</v>
      </c>
      <c r="J715" s="2114"/>
      <c r="K715" s="1926"/>
      <c r="L715" s="2114"/>
      <c r="M715" s="2143">
        <f t="shared" si="64"/>
        <v>0</v>
      </c>
    </row>
    <row r="716" spans="1:38" s="870" customFormat="1">
      <c r="A716" s="662"/>
      <c r="B716" s="2109" t="s">
        <v>361</v>
      </c>
      <c r="C716" s="2144"/>
      <c r="D716" s="2124">
        <f t="shared" si="61"/>
        <v>1513366.8024039266</v>
      </c>
      <c r="E716" s="1926">
        <f>SUM(E710:E715)</f>
        <v>0</v>
      </c>
      <c r="F716" s="2114">
        <f>SUM(F710:F715)</f>
        <v>-21841.240045237086</v>
      </c>
      <c r="G716" s="1926">
        <f>SUM(G710:G715)</f>
        <v>946442.63241000264</v>
      </c>
      <c r="H716" s="2114">
        <f>SUM(H710:H715)</f>
        <v>588765.4100391611</v>
      </c>
      <c r="I716" s="2142">
        <f t="shared" si="62"/>
        <v>1513366.8024039266</v>
      </c>
      <c r="J716" s="2114">
        <f>SUM(J710:J715)</f>
        <v>0</v>
      </c>
      <c r="K716" s="1926">
        <f>SUM(K710:K715)</f>
        <v>0</v>
      </c>
      <c r="L716" s="2114">
        <f>SUM(L710:L715)</f>
        <v>0</v>
      </c>
      <c r="M716" s="2143">
        <f t="shared" si="64"/>
        <v>0</v>
      </c>
      <c r="N716"/>
      <c r="O716"/>
      <c r="P716"/>
      <c r="Q716"/>
      <c r="R716"/>
      <c r="S716"/>
      <c r="T716"/>
      <c r="U716"/>
      <c r="V716"/>
      <c r="W716"/>
      <c r="X716"/>
      <c r="Y716"/>
      <c r="Z716"/>
      <c r="AA716"/>
      <c r="AB716" s="2976"/>
      <c r="AC716" s="2976"/>
      <c r="AD716" s="2976"/>
      <c r="AE716" s="2976"/>
      <c r="AF716" s="2976"/>
      <c r="AG716" s="2976"/>
      <c r="AH716" s="2976"/>
      <c r="AI716" s="2976"/>
      <c r="AJ716" s="2976"/>
      <c r="AK716" s="2976"/>
      <c r="AL716" s="2976"/>
    </row>
    <row r="717" spans="1:38">
      <c r="A717" s="662"/>
      <c r="B717" s="2103"/>
      <c r="C717" s="2141"/>
      <c r="D717" s="2124">
        <f t="shared" si="61"/>
        <v>0</v>
      </c>
      <c r="E717" s="1926"/>
      <c r="F717" s="2114"/>
      <c r="G717" s="1926"/>
      <c r="H717" s="2114"/>
      <c r="I717" s="2142">
        <f t="shared" si="62"/>
        <v>0</v>
      </c>
      <c r="J717" s="2114"/>
      <c r="K717" s="1926"/>
      <c r="L717" s="2114"/>
      <c r="M717" s="2143">
        <f t="shared" si="64"/>
        <v>0</v>
      </c>
    </row>
    <row r="718" spans="1:38" ht="26.45">
      <c r="A718" s="662"/>
      <c r="B718" s="2110" t="s">
        <v>383</v>
      </c>
      <c r="C718" s="2141"/>
      <c r="D718" s="2124">
        <f t="shared" si="61"/>
        <v>127011.55216000001</v>
      </c>
      <c r="E718" s="1926">
        <v>0</v>
      </c>
      <c r="F718" s="2114">
        <v>1284.8458819201924</v>
      </c>
      <c r="G718" s="1926">
        <v>91470.616308687808</v>
      </c>
      <c r="H718" s="2114">
        <v>34256.089969392007</v>
      </c>
      <c r="I718" s="2142">
        <f t="shared" si="62"/>
        <v>127011.55216000001</v>
      </c>
      <c r="J718" s="2114"/>
      <c r="K718" s="1926"/>
      <c r="L718" s="2114"/>
      <c r="M718" s="2143">
        <f t="shared" si="64"/>
        <v>0</v>
      </c>
    </row>
    <row r="719" spans="1:38">
      <c r="A719" s="662"/>
      <c r="B719" s="2103"/>
      <c r="C719" s="2141"/>
      <c r="D719" s="2124">
        <f t="shared" si="61"/>
        <v>0</v>
      </c>
      <c r="E719" s="1926"/>
      <c r="F719" s="2114"/>
      <c r="G719" s="1926"/>
      <c r="H719" s="2114"/>
      <c r="I719" s="2142">
        <f t="shared" si="62"/>
        <v>0</v>
      </c>
      <c r="J719" s="2114"/>
      <c r="K719" s="1926"/>
      <c r="L719" s="2114"/>
      <c r="M719" s="2143">
        <f t="shared" si="64"/>
        <v>0</v>
      </c>
    </row>
    <row r="720" spans="1:38" ht="15.75" customHeight="1">
      <c r="A720" s="662"/>
      <c r="B720" s="2110" t="s">
        <v>363</v>
      </c>
      <c r="C720" s="2141">
        <v>4</v>
      </c>
      <c r="D720" s="2124">
        <f t="shared" si="61"/>
        <v>883527.41735000035</v>
      </c>
      <c r="E720" s="1926">
        <v>30180.642749999999</v>
      </c>
      <c r="F720" s="2114">
        <v>23739.156353107748</v>
      </c>
      <c r="G720" s="1926">
        <v>336047.54426161654</v>
      </c>
      <c r="H720" s="2114">
        <v>493560.0739852761</v>
      </c>
      <c r="I720" s="2142">
        <f t="shared" si="62"/>
        <v>853346.77460000035</v>
      </c>
      <c r="J720" s="2114"/>
      <c r="K720" s="1926"/>
      <c r="L720" s="2114"/>
      <c r="M720" s="2143">
        <f t="shared" si="64"/>
        <v>0</v>
      </c>
    </row>
    <row r="721" spans="1:38">
      <c r="A721" s="662"/>
      <c r="B721" s="2103" t="s">
        <v>364</v>
      </c>
      <c r="C721" s="2141"/>
      <c r="D721" s="2124">
        <f t="shared" si="61"/>
        <v>0</v>
      </c>
      <c r="E721" s="1926"/>
      <c r="F721" s="2114"/>
      <c r="G721" s="1926"/>
      <c r="H721" s="2114"/>
      <c r="I721" s="2142">
        <f t="shared" si="62"/>
        <v>0</v>
      </c>
      <c r="J721" s="2114"/>
      <c r="K721" s="1926"/>
      <c r="L721" s="2114"/>
      <c r="M721" s="2143">
        <f t="shared" si="64"/>
        <v>0</v>
      </c>
    </row>
    <row r="722" spans="1:38">
      <c r="A722" s="662"/>
      <c r="B722" s="2103" t="s">
        <v>365</v>
      </c>
      <c r="C722" s="2141"/>
      <c r="D722" s="2124">
        <f t="shared" si="61"/>
        <v>70532.179680000001</v>
      </c>
      <c r="E722" s="1926">
        <v>45875.097670000003</v>
      </c>
      <c r="F722" s="2114">
        <v>1066.6532487956506</v>
      </c>
      <c r="G722" s="1926">
        <v>9676.5988532034789</v>
      </c>
      <c r="H722" s="2114">
        <v>13913.829908000869</v>
      </c>
      <c r="I722" s="2142">
        <f t="shared" si="62"/>
        <v>24657.082009999998</v>
      </c>
      <c r="J722" s="2114"/>
      <c r="K722" s="1926"/>
      <c r="L722" s="2114"/>
      <c r="M722" s="2143">
        <f t="shared" si="64"/>
        <v>0</v>
      </c>
    </row>
    <row r="723" spans="1:38" s="870" customFormat="1">
      <c r="A723" s="662"/>
      <c r="B723" s="2109" t="s">
        <v>366</v>
      </c>
      <c r="C723" s="2144"/>
      <c r="D723" s="2124">
        <f t="shared" si="61"/>
        <v>954059.59703000041</v>
      </c>
      <c r="E723" s="1926">
        <f>SUM(E720:E722)</f>
        <v>76055.740420000002</v>
      </c>
      <c r="F723" s="2114">
        <f>SUM(F720:F722)</f>
        <v>24805.809601903398</v>
      </c>
      <c r="G723" s="1926">
        <f>SUM(G720:G722)</f>
        <v>345724.14311482001</v>
      </c>
      <c r="H723" s="2114">
        <f>SUM(H720:H722)</f>
        <v>507473.90389327699</v>
      </c>
      <c r="I723" s="2142">
        <f t="shared" si="62"/>
        <v>878003.85661000037</v>
      </c>
      <c r="J723" s="2114">
        <f>SUM(J720:J722)</f>
        <v>0</v>
      </c>
      <c r="K723" s="1926">
        <f>SUM(K720:K722)</f>
        <v>0</v>
      </c>
      <c r="L723" s="2114">
        <f>SUM(L720:L722)</f>
        <v>0</v>
      </c>
      <c r="M723" s="2143">
        <f t="shared" si="64"/>
        <v>0</v>
      </c>
      <c r="N723"/>
      <c r="O723"/>
      <c r="P723"/>
      <c r="Q723"/>
      <c r="R723"/>
      <c r="S723"/>
      <c r="T723"/>
      <c r="U723"/>
      <c r="V723"/>
      <c r="W723"/>
      <c r="X723"/>
      <c r="Y723"/>
      <c r="Z723"/>
      <c r="AA723"/>
      <c r="AB723" s="2976"/>
      <c r="AC723" s="2976"/>
      <c r="AD723" s="2976"/>
      <c r="AE723" s="2976"/>
      <c r="AF723" s="2976"/>
      <c r="AG723" s="2976"/>
      <c r="AH723" s="2976"/>
      <c r="AI723" s="2976"/>
      <c r="AJ723" s="2976"/>
      <c r="AK723" s="2976"/>
      <c r="AL723" s="2976"/>
    </row>
    <row r="724" spans="1:38">
      <c r="A724" s="662"/>
      <c r="B724" s="2109"/>
      <c r="C724" s="2144"/>
      <c r="D724" s="2124">
        <f t="shared" si="61"/>
        <v>0</v>
      </c>
      <c r="E724" s="1926"/>
      <c r="F724" s="2114"/>
      <c r="G724" s="1926"/>
      <c r="H724" s="2114"/>
      <c r="I724" s="2142">
        <f t="shared" si="62"/>
        <v>0</v>
      </c>
      <c r="J724" s="2114"/>
      <c r="K724" s="1926"/>
      <c r="L724" s="2114"/>
      <c r="M724" s="2143">
        <f t="shared" si="64"/>
        <v>0</v>
      </c>
    </row>
    <row r="725" spans="1:38" s="870" customFormat="1">
      <c r="A725" s="662"/>
      <c r="B725" s="2109" t="s">
        <v>372</v>
      </c>
      <c r="C725" s="2144"/>
      <c r="D725" s="2124">
        <f t="shared" si="61"/>
        <v>101115.88940896859</v>
      </c>
      <c r="E725" s="1926">
        <f>E708-E716-E718-E723</f>
        <v>-138786.74812042856</v>
      </c>
      <c r="F725" s="2114">
        <f>F708-F716-F718-F723</f>
        <v>36912.155314069765</v>
      </c>
      <c r="G725" s="1926">
        <f>G708-G716-G718-G723</f>
        <v>752395.02728877065</v>
      </c>
      <c r="H725" s="2114">
        <f>H708-H716-H718-H723</f>
        <v>-549404.54507344333</v>
      </c>
      <c r="I725" s="2142">
        <f t="shared" si="62"/>
        <v>239902.63752939715</v>
      </c>
      <c r="J725" s="2114">
        <f>J708-J716-J718-J723</f>
        <v>0</v>
      </c>
      <c r="K725" s="1926">
        <f>K708-K716-K718-K723</f>
        <v>0</v>
      </c>
      <c r="L725" s="2114">
        <f>L708-L716-L718-L723</f>
        <v>0</v>
      </c>
      <c r="M725" s="2143">
        <f t="shared" si="64"/>
        <v>0</v>
      </c>
      <c r="N725"/>
      <c r="O725"/>
      <c r="P725"/>
      <c r="Q725"/>
      <c r="R725"/>
      <c r="S725"/>
      <c r="T725"/>
      <c r="U725"/>
      <c r="V725"/>
      <c r="W725"/>
      <c r="X725"/>
      <c r="Y725"/>
      <c r="Z725"/>
      <c r="AA725"/>
      <c r="AB725" s="2976"/>
      <c r="AC725" s="2976"/>
      <c r="AD725" s="2976"/>
      <c r="AE725" s="2976"/>
      <c r="AF725" s="2976"/>
      <c r="AG725" s="2976"/>
      <c r="AH725" s="2976"/>
      <c r="AI725" s="2976"/>
      <c r="AJ725" s="2976"/>
      <c r="AK725" s="2976"/>
      <c r="AL725" s="2976"/>
    </row>
    <row r="726" spans="1:38">
      <c r="A726" s="662"/>
      <c r="B726" s="2103" t="s">
        <v>368</v>
      </c>
      <c r="C726" s="2141"/>
      <c r="D726" s="2124">
        <f t="shared" si="61"/>
        <v>24000</v>
      </c>
      <c r="E726" s="1926">
        <v>24000</v>
      </c>
      <c r="F726" s="2114"/>
      <c r="G726" s="1926"/>
      <c r="H726" s="2114"/>
      <c r="I726" s="2142">
        <f t="shared" si="62"/>
        <v>0</v>
      </c>
      <c r="J726" s="2114"/>
      <c r="K726" s="1926"/>
      <c r="L726" s="2114"/>
      <c r="M726" s="2143">
        <f t="shared" si="64"/>
        <v>0</v>
      </c>
    </row>
    <row r="727" spans="1:38">
      <c r="A727" s="662"/>
      <c r="B727" s="2103"/>
      <c r="C727" s="2141"/>
      <c r="D727" s="2124">
        <f t="shared" si="61"/>
        <v>0</v>
      </c>
      <c r="E727" s="1926"/>
      <c r="F727" s="2114"/>
      <c r="G727" s="1926"/>
      <c r="H727" s="2114"/>
      <c r="I727" s="2142">
        <f t="shared" si="62"/>
        <v>0</v>
      </c>
      <c r="J727" s="2114"/>
      <c r="K727" s="1926"/>
      <c r="L727" s="2114"/>
      <c r="M727" s="2143">
        <f t="shared" si="64"/>
        <v>0</v>
      </c>
    </row>
    <row r="728" spans="1:38" s="870" customFormat="1" ht="15" thickBot="1">
      <c r="A728" s="662"/>
      <c r="B728" s="1338" t="s">
        <v>369</v>
      </c>
      <c r="C728" s="1370"/>
      <c r="D728" s="1350">
        <f t="shared" si="61"/>
        <v>77115.889408968593</v>
      </c>
      <c r="E728" s="1360">
        <f>E725-E726</f>
        <v>-162786.74812042856</v>
      </c>
      <c r="F728" s="1350">
        <f>F725-F726</f>
        <v>36912.155314069765</v>
      </c>
      <c r="G728" s="1360">
        <f>G725-G726</f>
        <v>752395.02728877065</v>
      </c>
      <c r="H728" s="1350">
        <f>H725-H726</f>
        <v>-549404.54507344333</v>
      </c>
      <c r="I728" s="1360">
        <f t="shared" si="62"/>
        <v>239902.63752939715</v>
      </c>
      <c r="J728" s="1350">
        <f>J725-J726</f>
        <v>0</v>
      </c>
      <c r="K728" s="1360">
        <f>K725-K726</f>
        <v>0</v>
      </c>
      <c r="L728" s="1350">
        <f>L725-L726</f>
        <v>0</v>
      </c>
      <c r="M728" s="1371">
        <f t="shared" si="64"/>
        <v>0</v>
      </c>
      <c r="N728"/>
      <c r="O728"/>
      <c r="P728"/>
      <c r="Q728"/>
      <c r="R728"/>
      <c r="S728"/>
      <c r="T728"/>
      <c r="U728"/>
      <c r="V728"/>
      <c r="W728"/>
      <c r="X728"/>
      <c r="Y728"/>
      <c r="Z728"/>
      <c r="AA728"/>
      <c r="AB728" s="2976"/>
      <c r="AC728" s="2976"/>
      <c r="AD728" s="2976"/>
      <c r="AE728" s="2976"/>
      <c r="AF728" s="2976"/>
      <c r="AG728" s="2976"/>
      <c r="AH728" s="2976"/>
      <c r="AI728" s="2976"/>
      <c r="AJ728" s="2976"/>
      <c r="AK728" s="2976"/>
      <c r="AL728" s="2976"/>
    </row>
    <row r="729" spans="1:38">
      <c r="A729" s="662"/>
      <c r="B729" s="662"/>
      <c r="C729" s="662"/>
      <c r="D729" s="662"/>
      <c r="E729" s="662"/>
      <c r="F729" s="662"/>
      <c r="G729" s="662"/>
      <c r="H729" s="662"/>
      <c r="I729" s="662"/>
      <c r="J729" s="662"/>
      <c r="K729" s="662"/>
      <c r="L729" s="662"/>
      <c r="M729" s="662"/>
    </row>
    <row r="730" spans="1:38">
      <c r="A730" s="662"/>
      <c r="B730" s="662"/>
      <c r="C730" s="662"/>
      <c r="D730" s="670"/>
      <c r="E730" s="670"/>
      <c r="F730" s="670"/>
      <c r="G730" s="670"/>
      <c r="H730" s="670"/>
      <c r="I730" s="670"/>
      <c r="J730" s="662"/>
      <c r="K730" s="662"/>
      <c r="L730" s="662"/>
      <c r="M730" s="662"/>
    </row>
    <row r="732" spans="1:38" ht="15" thickBot="1"/>
    <row r="733" spans="1:38" ht="15" thickBot="1">
      <c r="A733" s="1361" t="s">
        <v>197</v>
      </c>
      <c r="B733" s="1153" t="s">
        <v>117</v>
      </c>
      <c r="C733" s="662"/>
      <c r="D733" s="662"/>
      <c r="E733" s="662"/>
      <c r="F733" s="662"/>
      <c r="G733" s="662"/>
      <c r="H733" s="662"/>
      <c r="I733" s="662"/>
      <c r="J733" s="662"/>
      <c r="K733" s="662"/>
      <c r="L733" s="3292"/>
      <c r="M733" s="3292"/>
    </row>
    <row r="734" spans="1:38" ht="17.25" customHeight="1" thickBot="1">
      <c r="A734" s="662"/>
      <c r="B734" s="3331" t="s">
        <v>117</v>
      </c>
      <c r="C734" s="3280" t="s">
        <v>334</v>
      </c>
      <c r="D734" s="3283" t="s">
        <v>260</v>
      </c>
      <c r="E734" s="3283" t="s">
        <v>335</v>
      </c>
      <c r="F734" s="3335" t="s">
        <v>263</v>
      </c>
      <c r="G734" s="3335"/>
      <c r="H734" s="3335"/>
      <c r="I734" s="3335"/>
      <c r="J734" s="3335"/>
      <c r="K734" s="3335"/>
      <c r="L734" s="3335"/>
      <c r="M734" s="3335"/>
    </row>
    <row r="735" spans="1:38" ht="17.25" customHeight="1" thickBot="1">
      <c r="A735" s="662"/>
      <c r="B735" s="3327"/>
      <c r="C735" s="3281"/>
      <c r="D735" s="3284"/>
      <c r="E735" s="3284"/>
      <c r="F735" s="3332" t="s">
        <v>264</v>
      </c>
      <c r="G735" s="3333"/>
      <c r="H735" s="3333"/>
      <c r="I735" s="3334"/>
      <c r="J735" s="3335" t="s">
        <v>336</v>
      </c>
      <c r="K735" s="3335"/>
      <c r="L735" s="3335"/>
      <c r="M735" s="3335"/>
    </row>
    <row r="736" spans="1:38" ht="66" customHeight="1" thickBot="1">
      <c r="A736" s="662"/>
      <c r="B736" s="3327"/>
      <c r="C736" s="3281"/>
      <c r="D736" s="3285"/>
      <c r="E736" s="3285"/>
      <c r="F736" s="2963" t="s">
        <v>267</v>
      </c>
      <c r="G736" s="2963" t="s">
        <v>268</v>
      </c>
      <c r="H736" s="2963" t="s">
        <v>269</v>
      </c>
      <c r="I736" s="2963" t="s">
        <v>160</v>
      </c>
      <c r="J736" s="2964" t="s">
        <v>337</v>
      </c>
      <c r="K736" s="2964" t="s">
        <v>271</v>
      </c>
      <c r="L736" s="2964" t="s">
        <v>338</v>
      </c>
      <c r="M736" s="2964" t="s">
        <v>160</v>
      </c>
    </row>
    <row r="737" spans="1:38" ht="17.25" customHeight="1" thickBot="1">
      <c r="A737" s="662"/>
      <c r="B737" s="3327"/>
      <c r="C737" s="3281"/>
      <c r="D737" s="2972">
        <v>1</v>
      </c>
      <c r="E737" s="3283">
        <v>2</v>
      </c>
      <c r="F737" s="3283">
        <v>3</v>
      </c>
      <c r="G737" s="3283">
        <v>4</v>
      </c>
      <c r="H737" s="3283"/>
      <c r="I737" s="2972">
        <v>6</v>
      </c>
      <c r="J737" s="3283">
        <v>7</v>
      </c>
      <c r="K737" s="3283">
        <v>8</v>
      </c>
      <c r="L737" s="3283">
        <v>9</v>
      </c>
      <c r="M737" s="2972">
        <v>10</v>
      </c>
    </row>
    <row r="738" spans="1:38" ht="15" thickBot="1">
      <c r="A738" s="662"/>
      <c r="B738" s="3328"/>
      <c r="C738" s="3282"/>
      <c r="D738" s="1327" t="s">
        <v>339</v>
      </c>
      <c r="E738" s="3285"/>
      <c r="F738" s="3285"/>
      <c r="G738" s="3285"/>
      <c r="H738" s="3285">
        <v>5</v>
      </c>
      <c r="I738" s="1327" t="s">
        <v>340</v>
      </c>
      <c r="J738" s="3285"/>
      <c r="K738" s="3285"/>
      <c r="L738" s="3285"/>
      <c r="M738" s="1327" t="s">
        <v>341</v>
      </c>
    </row>
    <row r="739" spans="1:38">
      <c r="A739" s="662"/>
      <c r="B739" s="1328" t="s">
        <v>342</v>
      </c>
      <c r="C739" s="907"/>
      <c r="D739" s="1329">
        <f t="shared" ref="D739:D776" si="65">E739+I739+M739</f>
        <v>16675053</v>
      </c>
      <c r="E739" s="524">
        <v>0</v>
      </c>
      <c r="F739" s="485">
        <v>233569</v>
      </c>
      <c r="G739" s="524">
        <v>3777252</v>
      </c>
      <c r="H739" s="485">
        <v>12658195</v>
      </c>
      <c r="I739" s="1368">
        <f>F739+G739+H739</f>
        <v>16669016</v>
      </c>
      <c r="J739" s="886">
        <v>6037</v>
      </c>
      <c r="K739" s="904"/>
      <c r="L739" s="886"/>
      <c r="M739" s="1369">
        <f t="shared" ref="M739:M756" si="66">L739+K739+J739</f>
        <v>6037</v>
      </c>
    </row>
    <row r="740" spans="1:38">
      <c r="A740" s="662"/>
      <c r="B740" s="2103"/>
      <c r="C740" s="2141"/>
      <c r="D740" s="2124">
        <f t="shared" si="65"/>
        <v>0</v>
      </c>
      <c r="E740" s="1865"/>
      <c r="F740" s="1866"/>
      <c r="G740" s="1865"/>
      <c r="H740" s="1866"/>
      <c r="I740" s="2142">
        <f t="shared" ref="I740:I776" si="67">F740+G740+H740</f>
        <v>0</v>
      </c>
      <c r="J740" s="2114"/>
      <c r="K740" s="1926"/>
      <c r="L740" s="2114"/>
      <c r="M740" s="2143">
        <f t="shared" si="66"/>
        <v>0</v>
      </c>
    </row>
    <row r="741" spans="1:38">
      <c r="A741" s="662"/>
      <c r="B741" s="2105" t="s">
        <v>343</v>
      </c>
      <c r="C741" s="2141"/>
      <c r="D741" s="2124">
        <f t="shared" si="65"/>
        <v>887546</v>
      </c>
      <c r="E741" s="1865">
        <v>0</v>
      </c>
      <c r="F741" s="1866">
        <v>10968</v>
      </c>
      <c r="G741" s="1865">
        <v>825773</v>
      </c>
      <c r="H741" s="1866">
        <v>49972</v>
      </c>
      <c r="I741" s="2142">
        <f t="shared" si="67"/>
        <v>886713</v>
      </c>
      <c r="J741" s="2114">
        <v>833</v>
      </c>
      <c r="K741" s="1926"/>
      <c r="L741" s="2114"/>
      <c r="M741" s="2143">
        <f t="shared" si="66"/>
        <v>833</v>
      </c>
    </row>
    <row r="742" spans="1:38">
      <c r="A742" s="662"/>
      <c r="B742" s="2105"/>
      <c r="C742" s="2141"/>
      <c r="D742" s="2124">
        <f t="shared" si="65"/>
        <v>0</v>
      </c>
      <c r="E742" s="1865"/>
      <c r="F742" s="1866"/>
      <c r="G742" s="1865"/>
      <c r="H742" s="1866"/>
      <c r="I742" s="2142">
        <f t="shared" si="67"/>
        <v>0</v>
      </c>
      <c r="J742" s="2114"/>
      <c r="K742" s="1926"/>
      <c r="L742" s="2114"/>
      <c r="M742" s="2143">
        <f t="shared" si="66"/>
        <v>0</v>
      </c>
    </row>
    <row r="743" spans="1:38" ht="14.25" customHeight="1">
      <c r="A743" s="662"/>
      <c r="B743" s="2106" t="s">
        <v>344</v>
      </c>
      <c r="C743" s="2141"/>
      <c r="D743" s="2124">
        <f t="shared" si="65"/>
        <v>0</v>
      </c>
      <c r="E743" s="1865"/>
      <c r="F743" s="1866"/>
      <c r="G743" s="1865"/>
      <c r="H743" s="1866"/>
      <c r="I743" s="2142">
        <f t="shared" si="67"/>
        <v>0</v>
      </c>
      <c r="J743" s="2114"/>
      <c r="K743" s="1926"/>
      <c r="L743" s="2114"/>
      <c r="M743" s="2143">
        <f t="shared" si="66"/>
        <v>0</v>
      </c>
    </row>
    <row r="744" spans="1:38">
      <c r="A744" s="662"/>
      <c r="B744" s="2103"/>
      <c r="C744" s="2141"/>
      <c r="D744" s="2124">
        <f t="shared" si="65"/>
        <v>0</v>
      </c>
      <c r="E744" s="1926"/>
      <c r="F744" s="2114"/>
      <c r="G744" s="1926"/>
      <c r="H744" s="2114"/>
      <c r="I744" s="2142">
        <f t="shared" si="67"/>
        <v>0</v>
      </c>
      <c r="J744" s="2114"/>
      <c r="K744" s="1926"/>
      <c r="L744" s="2114"/>
      <c r="M744" s="2143">
        <f t="shared" si="66"/>
        <v>0</v>
      </c>
    </row>
    <row r="745" spans="1:38" s="870" customFormat="1">
      <c r="A745" s="662"/>
      <c r="B745" s="2107" t="s">
        <v>345</v>
      </c>
      <c r="C745" s="2144"/>
      <c r="D745" s="2124">
        <f t="shared" si="65"/>
        <v>15787507</v>
      </c>
      <c r="E745" s="1926">
        <f>E739-E741+E743</f>
        <v>0</v>
      </c>
      <c r="F745" s="2114">
        <f>F739-F741+F743</f>
        <v>222601</v>
      </c>
      <c r="G745" s="1926">
        <f>G739-G741+G743</f>
        <v>2951479</v>
      </c>
      <c r="H745" s="2114">
        <f>H739-H741+H743</f>
        <v>12608223</v>
      </c>
      <c r="I745" s="2142">
        <f t="shared" si="67"/>
        <v>15782303</v>
      </c>
      <c r="J745" s="2114">
        <f>J739-J741+J743</f>
        <v>5204</v>
      </c>
      <c r="K745" s="1926">
        <f>K739-K741+K743</f>
        <v>0</v>
      </c>
      <c r="L745" s="2114">
        <f>L739-L741+L743</f>
        <v>0</v>
      </c>
      <c r="M745" s="2143">
        <f t="shared" si="66"/>
        <v>5204</v>
      </c>
      <c r="N745"/>
      <c r="O745"/>
      <c r="P745"/>
      <c r="Q745"/>
      <c r="R745"/>
      <c r="S745"/>
      <c r="T745"/>
      <c r="U745"/>
      <c r="V745"/>
      <c r="W745"/>
      <c r="X745"/>
      <c r="Y745"/>
      <c r="Z745"/>
      <c r="AA745"/>
      <c r="AB745" s="2976"/>
      <c r="AC745" s="2976"/>
      <c r="AD745" s="2976"/>
      <c r="AE745" s="2976"/>
      <c r="AF745" s="2976"/>
      <c r="AG745" s="2976"/>
      <c r="AH745" s="2976"/>
      <c r="AI745" s="2976"/>
      <c r="AJ745" s="2976"/>
      <c r="AK745" s="2976"/>
      <c r="AL745" s="2976"/>
    </row>
    <row r="746" spans="1:38">
      <c r="A746" s="662"/>
      <c r="B746" s="2107"/>
      <c r="C746" s="2144"/>
      <c r="D746" s="2124">
        <f t="shared" si="65"/>
        <v>0</v>
      </c>
      <c r="E746" s="1926"/>
      <c r="F746" s="2114"/>
      <c r="G746" s="1926"/>
      <c r="H746" s="2114"/>
      <c r="I746" s="2142">
        <f t="shared" si="67"/>
        <v>0</v>
      </c>
      <c r="J746" s="2114"/>
      <c r="K746" s="1926"/>
      <c r="L746" s="2114"/>
      <c r="M746" s="2143">
        <f t="shared" si="66"/>
        <v>0</v>
      </c>
    </row>
    <row r="747" spans="1:38" s="870" customFormat="1">
      <c r="A747" s="662"/>
      <c r="B747" s="2107" t="s">
        <v>346</v>
      </c>
      <c r="C747" s="2144"/>
      <c r="D747" s="2124">
        <f t="shared" si="65"/>
        <v>7798533</v>
      </c>
      <c r="E747" s="1926">
        <f>SUM(E748:E752)</f>
        <v>1521149</v>
      </c>
      <c r="F747" s="2114">
        <f>SUM(F748:F752)</f>
        <v>905796</v>
      </c>
      <c r="G747" s="1926">
        <f>SUM(G748:G752)</f>
        <v>786064</v>
      </c>
      <c r="H747" s="2114">
        <f>SUM(H748:H752)</f>
        <v>4525269</v>
      </c>
      <c r="I747" s="2142">
        <f t="shared" si="67"/>
        <v>6217129</v>
      </c>
      <c r="J747" s="2114">
        <f>SUM(J748:J752)</f>
        <v>64407</v>
      </c>
      <c r="K747" s="1926">
        <f>SUM(K748:K752)</f>
        <v>0</v>
      </c>
      <c r="L747" s="2114">
        <f>SUM(L748:L752)</f>
        <v>-4152</v>
      </c>
      <c r="M747" s="2143">
        <f t="shared" si="66"/>
        <v>60255</v>
      </c>
      <c r="N747"/>
      <c r="O747"/>
      <c r="P747"/>
      <c r="Q747"/>
      <c r="R747"/>
      <c r="S747"/>
      <c r="T747"/>
      <c r="U747"/>
      <c r="V747"/>
      <c r="W747"/>
      <c r="X747"/>
      <c r="Y747"/>
      <c r="Z747"/>
      <c r="AA747"/>
      <c r="AB747" s="2976"/>
      <c r="AC747" s="2976"/>
      <c r="AD747" s="2976"/>
      <c r="AE747" s="2976"/>
      <c r="AF747" s="2976"/>
      <c r="AG747" s="2976"/>
      <c r="AH747" s="2976"/>
      <c r="AI747" s="2976"/>
      <c r="AJ747" s="2976"/>
      <c r="AK747" s="2976"/>
      <c r="AL747" s="2976"/>
    </row>
    <row r="748" spans="1:38">
      <c r="A748" s="662"/>
      <c r="B748" s="2103" t="s">
        <v>347</v>
      </c>
      <c r="C748" s="2141">
        <v>1</v>
      </c>
      <c r="D748" s="2124">
        <f t="shared" si="65"/>
        <v>7181573</v>
      </c>
      <c r="E748" s="1865">
        <v>1223297</v>
      </c>
      <c r="F748" s="1866">
        <v>893031</v>
      </c>
      <c r="G748" s="1865">
        <v>791735</v>
      </c>
      <c r="H748" s="1866">
        <v>4184820</v>
      </c>
      <c r="I748" s="2142">
        <f t="shared" si="67"/>
        <v>5869586</v>
      </c>
      <c r="J748" s="2114">
        <v>38135</v>
      </c>
      <c r="K748" s="1926">
        <v>0</v>
      </c>
      <c r="L748" s="2114">
        <v>50555</v>
      </c>
      <c r="M748" s="2143">
        <f t="shared" si="66"/>
        <v>88690</v>
      </c>
    </row>
    <row r="749" spans="1:38">
      <c r="A749" s="662"/>
      <c r="B749" s="2103" t="s">
        <v>348</v>
      </c>
      <c r="C749" s="2141">
        <v>2</v>
      </c>
      <c r="D749" s="2124">
        <f t="shared" si="65"/>
        <v>0</v>
      </c>
      <c r="E749" s="1926">
        <v>0</v>
      </c>
      <c r="F749" s="2114">
        <v>0</v>
      </c>
      <c r="G749" s="1926">
        <v>0</v>
      </c>
      <c r="H749" s="2114">
        <v>0</v>
      </c>
      <c r="I749" s="2142">
        <f t="shared" si="67"/>
        <v>0</v>
      </c>
      <c r="J749" s="2114">
        <v>0</v>
      </c>
      <c r="K749" s="1926">
        <v>0</v>
      </c>
      <c r="L749" s="2114">
        <v>0</v>
      </c>
      <c r="M749" s="2143">
        <f t="shared" si="66"/>
        <v>0</v>
      </c>
    </row>
    <row r="750" spans="1:38">
      <c r="A750" s="662"/>
      <c r="B750" s="2103" t="s">
        <v>349</v>
      </c>
      <c r="C750" s="2141"/>
      <c r="D750" s="2124">
        <f t="shared" si="65"/>
        <v>265576</v>
      </c>
      <c r="E750" s="1865">
        <v>28059</v>
      </c>
      <c r="F750" s="1866">
        <v>56288</v>
      </c>
      <c r="G750" s="1865">
        <v>-9502</v>
      </c>
      <c r="H750" s="1866">
        <v>187313</v>
      </c>
      <c r="I750" s="2142">
        <f t="shared" si="67"/>
        <v>234099</v>
      </c>
      <c r="J750" s="2114">
        <v>-264</v>
      </c>
      <c r="K750" s="1926">
        <v>0</v>
      </c>
      <c r="L750" s="2114">
        <v>3682</v>
      </c>
      <c r="M750" s="2143">
        <f t="shared" si="66"/>
        <v>3418</v>
      </c>
    </row>
    <row r="751" spans="1:38">
      <c r="A751" s="662"/>
      <c r="B751" s="2103" t="s">
        <v>350</v>
      </c>
      <c r="C751" s="2141"/>
      <c r="D751" s="2124">
        <f t="shared" si="65"/>
        <v>-303862</v>
      </c>
      <c r="E751" s="1865">
        <v>0</v>
      </c>
      <c r="F751" s="1866">
        <v>-63050</v>
      </c>
      <c r="G751" s="1865">
        <v>-29180</v>
      </c>
      <c r="H751" s="1866">
        <v>-153243</v>
      </c>
      <c r="I751" s="2142">
        <f t="shared" si="67"/>
        <v>-245473</v>
      </c>
      <c r="J751" s="2114">
        <v>0</v>
      </c>
      <c r="K751" s="1926">
        <v>0</v>
      </c>
      <c r="L751" s="2114">
        <v>-58389</v>
      </c>
      <c r="M751" s="2143">
        <f t="shared" si="66"/>
        <v>-58389</v>
      </c>
    </row>
    <row r="752" spans="1:38">
      <c r="A752" s="662"/>
      <c r="B752" s="2103" t="s">
        <v>351</v>
      </c>
      <c r="C752" s="2141">
        <v>3</v>
      </c>
      <c r="D752" s="2124">
        <f t="shared" si="65"/>
        <v>655246</v>
      </c>
      <c r="E752" s="1865">
        <v>269793</v>
      </c>
      <c r="F752" s="1866">
        <v>19527</v>
      </c>
      <c r="G752" s="1865">
        <v>33011</v>
      </c>
      <c r="H752" s="1866">
        <v>306379</v>
      </c>
      <c r="I752" s="2142">
        <f t="shared" si="67"/>
        <v>358917</v>
      </c>
      <c r="J752" s="2114">
        <v>26536</v>
      </c>
      <c r="K752" s="1926">
        <v>0</v>
      </c>
      <c r="L752" s="2114">
        <v>0</v>
      </c>
      <c r="M752" s="2143">
        <f t="shared" si="66"/>
        <v>26536</v>
      </c>
    </row>
    <row r="753" spans="1:38">
      <c r="A753" s="662"/>
      <c r="B753" s="2103" t="s">
        <v>353</v>
      </c>
      <c r="C753" s="2141"/>
      <c r="D753" s="2124">
        <f t="shared" si="65"/>
        <v>0</v>
      </c>
      <c r="E753" s="1926"/>
      <c r="F753" s="2114"/>
      <c r="G753" s="1926"/>
      <c r="H753" s="2114"/>
      <c r="I753" s="2142">
        <f t="shared" si="67"/>
        <v>0</v>
      </c>
      <c r="J753" s="2114"/>
      <c r="K753" s="1926"/>
      <c r="L753" s="2114"/>
      <c r="M753" s="2143">
        <f t="shared" si="66"/>
        <v>0</v>
      </c>
    </row>
    <row r="754" spans="1:38">
      <c r="A754" s="662"/>
      <c r="B754" s="2103" t="s">
        <v>353</v>
      </c>
      <c r="C754" s="2141"/>
      <c r="D754" s="2124">
        <f t="shared" si="65"/>
        <v>0</v>
      </c>
      <c r="E754" s="1926"/>
      <c r="F754" s="2114"/>
      <c r="G754" s="1926"/>
      <c r="H754" s="2114"/>
      <c r="I754" s="2142">
        <f t="shared" si="67"/>
        <v>0</v>
      </c>
      <c r="J754" s="2114"/>
      <c r="K754" s="1926"/>
      <c r="L754" s="2114"/>
      <c r="M754" s="2143">
        <f t="shared" si="66"/>
        <v>0</v>
      </c>
    </row>
    <row r="755" spans="1:38">
      <c r="A755" s="662"/>
      <c r="B755" s="2103"/>
      <c r="C755" s="2141"/>
      <c r="D755" s="2124">
        <f t="shared" si="65"/>
        <v>0</v>
      </c>
      <c r="E755" s="1926"/>
      <c r="F755" s="2114"/>
      <c r="G755" s="1926"/>
      <c r="H755" s="2114"/>
      <c r="I755" s="2142">
        <f t="shared" si="67"/>
        <v>0</v>
      </c>
      <c r="J755" s="2114"/>
      <c r="K755" s="1926"/>
      <c r="L755" s="2114"/>
      <c r="M755" s="2143">
        <f t="shared" si="66"/>
        <v>0</v>
      </c>
    </row>
    <row r="756" spans="1:38" s="870" customFormat="1">
      <c r="A756" s="662"/>
      <c r="B756" s="2109" t="s">
        <v>354</v>
      </c>
      <c r="C756" s="2144"/>
      <c r="D756" s="2124">
        <f t="shared" si="65"/>
        <v>23586040</v>
      </c>
      <c r="E756" s="1926">
        <f>E745+E747</f>
        <v>1521149</v>
      </c>
      <c r="F756" s="2114">
        <f>F745+F747</f>
        <v>1128397</v>
      </c>
      <c r="G756" s="1926">
        <f>G745+G747</f>
        <v>3737543</v>
      </c>
      <c r="H756" s="2114">
        <f>H745+H747</f>
        <v>17133492</v>
      </c>
      <c r="I756" s="2142">
        <f t="shared" si="67"/>
        <v>21999432</v>
      </c>
      <c r="J756" s="2114">
        <f>J745+J747</f>
        <v>69611</v>
      </c>
      <c r="K756" s="1926">
        <f>K745+K747</f>
        <v>0</v>
      </c>
      <c r="L756" s="2114">
        <f>L745+L747</f>
        <v>-4152</v>
      </c>
      <c r="M756" s="2143">
        <f t="shared" si="66"/>
        <v>65459</v>
      </c>
      <c r="N756"/>
      <c r="O756"/>
      <c r="P756"/>
      <c r="Q756"/>
      <c r="R756"/>
      <c r="S756"/>
      <c r="T756"/>
      <c r="U756"/>
      <c r="V756"/>
      <c r="W756"/>
      <c r="X756"/>
      <c r="Y756"/>
      <c r="Z756"/>
      <c r="AA756"/>
      <c r="AB756" s="2976"/>
      <c r="AC756" s="2976"/>
      <c r="AD756" s="2976"/>
      <c r="AE756" s="2976"/>
      <c r="AF756" s="2976"/>
      <c r="AG756" s="2976"/>
      <c r="AH756" s="2976"/>
      <c r="AI756" s="2976"/>
      <c r="AJ756" s="2976"/>
      <c r="AK756" s="2976"/>
      <c r="AL756" s="2976"/>
    </row>
    <row r="757" spans="1:38">
      <c r="A757" s="662"/>
      <c r="B757" s="2109"/>
      <c r="C757" s="2144"/>
      <c r="D757" s="2124">
        <f t="shared" si="65"/>
        <v>0</v>
      </c>
      <c r="E757" s="1926"/>
      <c r="F757" s="2114"/>
      <c r="G757" s="1926"/>
      <c r="H757" s="2114"/>
      <c r="I757" s="2142">
        <f t="shared" si="67"/>
        <v>0</v>
      </c>
      <c r="J757" s="2114"/>
      <c r="K757" s="1926"/>
      <c r="L757" s="2114"/>
      <c r="M757" s="2143"/>
    </row>
    <row r="758" spans="1:38">
      <c r="A758" s="662"/>
      <c r="B758" s="2103" t="s">
        <v>355</v>
      </c>
      <c r="C758" s="2141"/>
      <c r="D758" s="2124">
        <f t="shared" si="65"/>
        <v>6309728</v>
      </c>
      <c r="E758" s="1926">
        <v>0</v>
      </c>
      <c r="F758" s="2114">
        <v>1532912</v>
      </c>
      <c r="G758" s="1926">
        <v>1418259</v>
      </c>
      <c r="H758" s="2114">
        <v>3391374</v>
      </c>
      <c r="I758" s="2142">
        <f t="shared" si="67"/>
        <v>6342545</v>
      </c>
      <c r="J758" s="2114">
        <v>-32817</v>
      </c>
      <c r="K758" s="1926">
        <v>0</v>
      </c>
      <c r="L758" s="2114">
        <v>0</v>
      </c>
      <c r="M758" s="2143">
        <f t="shared" ref="M758:M776" si="68">L758+K758+J758</f>
        <v>-32817</v>
      </c>
    </row>
    <row r="759" spans="1:38">
      <c r="A759" s="662"/>
      <c r="B759" s="2103" t="s">
        <v>356</v>
      </c>
      <c r="C759" s="2141"/>
      <c r="D759" s="2124">
        <f t="shared" si="65"/>
        <v>-1110460</v>
      </c>
      <c r="E759" s="1926">
        <v>0</v>
      </c>
      <c r="F759" s="2132">
        <v>-30400</v>
      </c>
      <c r="G759" s="905">
        <v>-890684</v>
      </c>
      <c r="H759" s="2132">
        <v>-188785</v>
      </c>
      <c r="I759" s="2142">
        <f t="shared" si="67"/>
        <v>-1109869</v>
      </c>
      <c r="J759" s="2114">
        <v>-591</v>
      </c>
      <c r="K759" s="1926">
        <v>0</v>
      </c>
      <c r="L759" s="2114">
        <v>0</v>
      </c>
      <c r="M759" s="2143">
        <f t="shared" si="68"/>
        <v>-591</v>
      </c>
    </row>
    <row r="760" spans="1:38">
      <c r="A760" s="662"/>
      <c r="B760" s="2103" t="s">
        <v>357</v>
      </c>
      <c r="C760" s="2141"/>
      <c r="D760" s="2124">
        <f t="shared" si="65"/>
        <v>86929</v>
      </c>
      <c r="E760" s="1926">
        <v>0</v>
      </c>
      <c r="F760" s="883">
        <v>17907</v>
      </c>
      <c r="G760" s="884">
        <v>756552</v>
      </c>
      <c r="H760" s="883">
        <v>-720631</v>
      </c>
      <c r="I760" s="2142">
        <f t="shared" si="67"/>
        <v>53828</v>
      </c>
      <c r="J760" s="2114">
        <v>33101</v>
      </c>
      <c r="K760" s="1926">
        <v>0</v>
      </c>
      <c r="L760" s="2114">
        <v>0</v>
      </c>
      <c r="M760" s="2143">
        <f t="shared" si="68"/>
        <v>33101</v>
      </c>
    </row>
    <row r="761" spans="1:38" ht="13.5" customHeight="1">
      <c r="A761" s="662"/>
      <c r="B761" s="2110" t="s">
        <v>358</v>
      </c>
      <c r="C761" s="2141"/>
      <c r="D761" s="2124">
        <f t="shared" si="65"/>
        <v>412460</v>
      </c>
      <c r="E761" s="1926">
        <v>0</v>
      </c>
      <c r="F761" s="868">
        <v>26965</v>
      </c>
      <c r="G761" s="869">
        <v>208304</v>
      </c>
      <c r="H761" s="868">
        <v>176600</v>
      </c>
      <c r="I761" s="2142">
        <f t="shared" si="67"/>
        <v>411869</v>
      </c>
      <c r="J761" s="2114">
        <v>591</v>
      </c>
      <c r="K761" s="1926">
        <v>0</v>
      </c>
      <c r="L761" s="2114">
        <v>0</v>
      </c>
      <c r="M761" s="2143">
        <f t="shared" si="68"/>
        <v>591</v>
      </c>
    </row>
    <row r="762" spans="1:38">
      <c r="A762" s="662"/>
      <c r="B762" s="2103" t="s">
        <v>359</v>
      </c>
      <c r="C762" s="2141"/>
      <c r="D762" s="2124">
        <f t="shared" si="65"/>
        <v>6473178</v>
      </c>
      <c r="E762" s="1926">
        <v>-2300000</v>
      </c>
      <c r="F762" s="2114">
        <v>-525229</v>
      </c>
      <c r="G762" s="1926">
        <v>276269</v>
      </c>
      <c r="H762" s="2114">
        <v>8971905</v>
      </c>
      <c r="I762" s="2142">
        <f t="shared" si="67"/>
        <v>8722945</v>
      </c>
      <c r="J762" s="2114">
        <v>54385</v>
      </c>
      <c r="K762" s="1926">
        <v>0</v>
      </c>
      <c r="L762" s="2114">
        <v>-4152</v>
      </c>
      <c r="M762" s="2143">
        <f t="shared" si="68"/>
        <v>50233</v>
      </c>
    </row>
    <row r="763" spans="1:38" ht="26.45">
      <c r="A763" s="662"/>
      <c r="B763" s="2110" t="s">
        <v>360</v>
      </c>
      <c r="C763" s="2141"/>
      <c r="D763" s="2124">
        <f t="shared" si="65"/>
        <v>0</v>
      </c>
      <c r="E763" s="1926">
        <v>0</v>
      </c>
      <c r="F763" s="2114">
        <v>0</v>
      </c>
      <c r="G763" s="1926">
        <v>0</v>
      </c>
      <c r="H763" s="2114">
        <v>0</v>
      </c>
      <c r="I763" s="2142">
        <f t="shared" si="67"/>
        <v>0</v>
      </c>
      <c r="J763" s="2114">
        <v>0</v>
      </c>
      <c r="K763" s="1926">
        <v>0</v>
      </c>
      <c r="L763" s="2114">
        <v>0</v>
      </c>
      <c r="M763" s="2143">
        <f t="shared" si="68"/>
        <v>0</v>
      </c>
    </row>
    <row r="764" spans="1:38" s="870" customFormat="1">
      <c r="A764" s="662"/>
      <c r="B764" s="2109" t="s">
        <v>361</v>
      </c>
      <c r="C764" s="2144"/>
      <c r="D764" s="2124">
        <f t="shared" si="65"/>
        <v>12171835</v>
      </c>
      <c r="E764" s="1926">
        <f>SUM(E758:E763)</f>
        <v>-2300000</v>
      </c>
      <c r="F764" s="2114">
        <f>SUM(F758:F763)</f>
        <v>1022155</v>
      </c>
      <c r="G764" s="1926">
        <f>SUM(G758:G763)</f>
        <v>1768700</v>
      </c>
      <c r="H764" s="2114">
        <f>SUM(H758:H763)</f>
        <v>11630463</v>
      </c>
      <c r="I764" s="2142">
        <f t="shared" si="67"/>
        <v>14421318</v>
      </c>
      <c r="J764" s="2114">
        <f>SUM(J758:J763)</f>
        <v>54669</v>
      </c>
      <c r="K764" s="1926">
        <f>SUM(K758:K763)</f>
        <v>0</v>
      </c>
      <c r="L764" s="2114">
        <f>SUM(L758:L763)</f>
        <v>-4152</v>
      </c>
      <c r="M764" s="2143">
        <f t="shared" si="68"/>
        <v>50517</v>
      </c>
      <c r="N764"/>
      <c r="O764"/>
      <c r="P764"/>
      <c r="Q764"/>
      <c r="R764"/>
      <c r="S764"/>
      <c r="T764"/>
      <c r="U764"/>
      <c r="V764"/>
      <c r="W764"/>
      <c r="X764"/>
      <c r="Y764"/>
      <c r="Z764"/>
      <c r="AA764"/>
      <c r="AB764" s="2976"/>
      <c r="AC764" s="2976"/>
      <c r="AD764" s="2976"/>
      <c r="AE764" s="2976"/>
      <c r="AF764" s="2976"/>
      <c r="AG764" s="2976"/>
      <c r="AH764" s="2976"/>
      <c r="AI764" s="2976"/>
      <c r="AJ764" s="2976"/>
      <c r="AK764" s="2976"/>
      <c r="AL764" s="2976"/>
    </row>
    <row r="765" spans="1:38">
      <c r="A765" s="662"/>
      <c r="B765" s="2103"/>
      <c r="C765" s="2141"/>
      <c r="D765" s="2124">
        <f t="shared" si="65"/>
        <v>0</v>
      </c>
      <c r="E765" s="1926"/>
      <c r="F765" s="2114"/>
      <c r="G765" s="1926"/>
      <c r="H765" s="2114"/>
      <c r="I765" s="2142">
        <f t="shared" si="67"/>
        <v>0</v>
      </c>
      <c r="J765" s="2114"/>
      <c r="K765" s="1926"/>
      <c r="L765" s="2114"/>
      <c r="M765" s="2143">
        <f t="shared" si="68"/>
        <v>0</v>
      </c>
    </row>
    <row r="766" spans="1:38" ht="26.45">
      <c r="A766" s="662"/>
      <c r="B766" s="2110" t="s">
        <v>362</v>
      </c>
      <c r="C766" s="2141"/>
      <c r="D766" s="2124">
        <f>E766+I766+M766</f>
        <v>3152291</v>
      </c>
      <c r="E766" s="1926">
        <v>0</v>
      </c>
      <c r="F766" s="2114">
        <v>14724</v>
      </c>
      <c r="G766" s="1926">
        <v>848433</v>
      </c>
      <c r="H766" s="2114">
        <v>2288689</v>
      </c>
      <c r="I766" s="2142">
        <f t="shared" si="67"/>
        <v>3151846</v>
      </c>
      <c r="J766" s="2114">
        <v>445</v>
      </c>
      <c r="K766" s="1926"/>
      <c r="L766" s="2114">
        <v>0</v>
      </c>
      <c r="M766" s="2143">
        <f t="shared" si="68"/>
        <v>445</v>
      </c>
    </row>
    <row r="767" spans="1:38">
      <c r="A767" s="662"/>
      <c r="B767" s="2103"/>
      <c r="C767" s="2141"/>
      <c r="D767" s="2124">
        <f t="shared" si="65"/>
        <v>0</v>
      </c>
      <c r="E767" s="1926"/>
      <c r="F767" s="2114"/>
      <c r="G767" s="1926"/>
      <c r="H767" s="2114"/>
      <c r="I767" s="2142">
        <f t="shared" si="67"/>
        <v>0</v>
      </c>
      <c r="J767" s="2114"/>
      <c r="K767" s="1926"/>
      <c r="L767" s="2114"/>
      <c r="M767" s="2143">
        <f t="shared" si="68"/>
        <v>0</v>
      </c>
    </row>
    <row r="768" spans="1:38" ht="30" customHeight="1">
      <c r="A768" s="662"/>
      <c r="B768" s="2110" t="s">
        <v>363</v>
      </c>
      <c r="C768" s="2141">
        <v>4</v>
      </c>
      <c r="D768" s="2124">
        <f t="shared" si="65"/>
        <v>4541955</v>
      </c>
      <c r="E768" s="1926">
        <v>101190</v>
      </c>
      <c r="F768" s="2114">
        <v>91518</v>
      </c>
      <c r="G768" s="1926">
        <v>1120410</v>
      </c>
      <c r="H768" s="2114">
        <v>3214340</v>
      </c>
      <c r="I768" s="2142">
        <f t="shared" si="67"/>
        <v>4426268</v>
      </c>
      <c r="J768" s="2114">
        <v>14497</v>
      </c>
      <c r="K768" s="1926"/>
      <c r="L768" s="2114">
        <v>0</v>
      </c>
      <c r="M768" s="2143">
        <f t="shared" si="68"/>
        <v>14497</v>
      </c>
    </row>
    <row r="769" spans="1:38">
      <c r="A769" s="662"/>
      <c r="B769" s="2103" t="s">
        <v>364</v>
      </c>
      <c r="C769" s="2141"/>
      <c r="D769" s="2124">
        <f t="shared" si="65"/>
        <v>0</v>
      </c>
      <c r="E769" s="1926"/>
      <c r="F769" s="2114"/>
      <c r="G769" s="1926"/>
      <c r="H769" s="2114"/>
      <c r="I769" s="2142">
        <f t="shared" si="67"/>
        <v>0</v>
      </c>
      <c r="J769" s="2114"/>
      <c r="K769" s="1926"/>
      <c r="L769" s="2114"/>
      <c r="M769" s="2143">
        <f t="shared" si="68"/>
        <v>0</v>
      </c>
    </row>
    <row r="770" spans="1:38">
      <c r="A770" s="662"/>
      <c r="B770" s="2103" t="s">
        <v>365</v>
      </c>
      <c r="C770" s="2141"/>
      <c r="D770" s="2124">
        <f t="shared" si="65"/>
        <v>0</v>
      </c>
      <c r="E770" s="1926"/>
      <c r="F770" s="2114"/>
      <c r="G770" s="1926"/>
      <c r="H770" s="2114"/>
      <c r="I770" s="2142">
        <f t="shared" si="67"/>
        <v>0</v>
      </c>
      <c r="J770" s="2114"/>
      <c r="K770" s="1926"/>
      <c r="L770" s="2114"/>
      <c r="M770" s="2143">
        <f t="shared" si="68"/>
        <v>0</v>
      </c>
    </row>
    <row r="771" spans="1:38" s="870" customFormat="1">
      <c r="A771" s="662"/>
      <c r="B771" s="2109" t="s">
        <v>366</v>
      </c>
      <c r="C771" s="2144"/>
      <c r="D771" s="2124">
        <f>E771+I771+M771</f>
        <v>4541955</v>
      </c>
      <c r="E771" s="1926">
        <f>SUM(E768:E770)</f>
        <v>101190</v>
      </c>
      <c r="F771" s="2114">
        <f>SUM(F768:F770)</f>
        <v>91518</v>
      </c>
      <c r="G771" s="1926">
        <f>SUM(G768:G770)</f>
        <v>1120410</v>
      </c>
      <c r="H771" s="2114">
        <f>SUM(H768:H770)</f>
        <v>3214340</v>
      </c>
      <c r="I771" s="2142">
        <f t="shared" si="67"/>
        <v>4426268</v>
      </c>
      <c r="J771" s="2114">
        <f>SUM(J768:J770)</f>
        <v>14497</v>
      </c>
      <c r="K771" s="1926">
        <f>SUM(K768:K770)</f>
        <v>0</v>
      </c>
      <c r="L771" s="2114">
        <f>SUM(L768:L770)</f>
        <v>0</v>
      </c>
      <c r="M771" s="2143">
        <f t="shared" si="68"/>
        <v>14497</v>
      </c>
      <c r="N771"/>
      <c r="O771"/>
      <c r="P771"/>
      <c r="Q771"/>
      <c r="R771"/>
      <c r="S771"/>
      <c r="T771"/>
      <c r="U771"/>
      <c r="V771"/>
      <c r="W771"/>
      <c r="X771"/>
      <c r="Y771"/>
      <c r="Z771"/>
      <c r="AA771"/>
      <c r="AB771" s="2976"/>
      <c r="AC771" s="2976"/>
      <c r="AD771" s="2976"/>
      <c r="AE771" s="2976"/>
      <c r="AF771" s="2976"/>
      <c r="AG771" s="2976"/>
      <c r="AH771" s="2976"/>
      <c r="AI771" s="2976"/>
      <c r="AJ771" s="2976"/>
      <c r="AK771" s="2976"/>
      <c r="AL771" s="2976"/>
    </row>
    <row r="772" spans="1:38">
      <c r="A772" s="662"/>
      <c r="B772" s="2109"/>
      <c r="C772" s="2144"/>
      <c r="D772" s="2124">
        <f t="shared" si="65"/>
        <v>0</v>
      </c>
      <c r="E772" s="1926"/>
      <c r="F772" s="2114"/>
      <c r="G772" s="1926"/>
      <c r="H772" s="2114"/>
      <c r="I772" s="2142">
        <f t="shared" si="67"/>
        <v>0</v>
      </c>
      <c r="J772" s="2114"/>
      <c r="K772" s="1926"/>
      <c r="L772" s="2114"/>
      <c r="M772" s="2143">
        <f t="shared" si="68"/>
        <v>0</v>
      </c>
    </row>
    <row r="773" spans="1:38">
      <c r="A773" s="662"/>
      <c r="B773" s="2109" t="s">
        <v>367</v>
      </c>
      <c r="C773" s="2144"/>
      <c r="D773" s="2124">
        <f>E773+I773+M773</f>
        <v>3719959</v>
      </c>
      <c r="E773" s="1926">
        <f>E756-E764-E766-E771</f>
        <v>3719959</v>
      </c>
      <c r="F773" s="2114">
        <f>F756-F764-F766-F771</f>
        <v>0</v>
      </c>
      <c r="G773" s="1926">
        <f>G756-G764-G766-G771</f>
        <v>0</v>
      </c>
      <c r="H773" s="2114">
        <f>H756-H764-H766-H771</f>
        <v>0</v>
      </c>
      <c r="I773" s="2142">
        <f t="shared" si="67"/>
        <v>0</v>
      </c>
      <c r="J773" s="2114">
        <f>J756-J764-J766-J771</f>
        <v>0</v>
      </c>
      <c r="K773" s="1926">
        <f>K756-K764-K766-K771</f>
        <v>0</v>
      </c>
      <c r="L773" s="2114">
        <f>L756-L764-L766-L771</f>
        <v>0</v>
      </c>
      <c r="M773" s="2143">
        <f t="shared" si="68"/>
        <v>0</v>
      </c>
    </row>
    <row r="774" spans="1:38">
      <c r="A774" s="662"/>
      <c r="B774" s="2103" t="s">
        <v>368</v>
      </c>
      <c r="C774" s="2141"/>
      <c r="D774" s="2124">
        <f t="shared" si="65"/>
        <v>972854</v>
      </c>
      <c r="E774" s="1926">
        <v>972854</v>
      </c>
      <c r="F774" s="2114"/>
      <c r="G774" s="1926"/>
      <c r="H774" s="2114"/>
      <c r="I774" s="2142">
        <f t="shared" si="67"/>
        <v>0</v>
      </c>
      <c r="J774" s="2114"/>
      <c r="K774" s="1926"/>
      <c r="L774" s="2114"/>
      <c r="M774" s="2143">
        <f t="shared" si="68"/>
        <v>0</v>
      </c>
    </row>
    <row r="775" spans="1:38">
      <c r="A775" s="662"/>
      <c r="B775" s="2103"/>
      <c r="C775" s="2141"/>
      <c r="D775" s="2124">
        <f t="shared" si="65"/>
        <v>0</v>
      </c>
      <c r="E775" s="1926"/>
      <c r="F775" s="2114"/>
      <c r="G775" s="1926"/>
      <c r="H775" s="2114"/>
      <c r="I775" s="2142">
        <f t="shared" si="67"/>
        <v>0</v>
      </c>
      <c r="J775" s="2114"/>
      <c r="K775" s="1926"/>
      <c r="L775" s="2114"/>
      <c r="M775" s="2143">
        <f t="shared" si="68"/>
        <v>0</v>
      </c>
    </row>
    <row r="776" spans="1:38" ht="15" thickBot="1">
      <c r="A776" s="662"/>
      <c r="B776" s="1338" t="s">
        <v>369</v>
      </c>
      <c r="C776" s="1370"/>
      <c r="D776" s="1350">
        <f t="shared" si="65"/>
        <v>2747105</v>
      </c>
      <c r="E776" s="1360">
        <f>E773-E774</f>
        <v>2747105</v>
      </c>
      <c r="F776" s="1350">
        <f>F773-F774</f>
        <v>0</v>
      </c>
      <c r="G776" s="1360">
        <f>G773-G774</f>
        <v>0</v>
      </c>
      <c r="H776" s="1350">
        <f>H773-H774</f>
        <v>0</v>
      </c>
      <c r="I776" s="1360">
        <f t="shared" si="67"/>
        <v>0</v>
      </c>
      <c r="J776" s="1350">
        <f>J773-J774</f>
        <v>0</v>
      </c>
      <c r="K776" s="1360">
        <f>K773-K774</f>
        <v>0</v>
      </c>
      <c r="L776" s="1350">
        <f>L773-L774</f>
        <v>0</v>
      </c>
      <c r="M776" s="1371">
        <f t="shared" si="68"/>
        <v>0</v>
      </c>
    </row>
    <row r="777" spans="1:38">
      <c r="A777" s="662"/>
      <c r="B777" s="662"/>
      <c r="C777" s="662"/>
      <c r="D777" s="662"/>
      <c r="E777" s="662"/>
      <c r="F777" s="662"/>
      <c r="G777" s="662"/>
      <c r="H777" s="662"/>
      <c r="I777" s="662"/>
      <c r="J777" s="662"/>
      <c r="K777" s="662"/>
      <c r="L777" s="662"/>
      <c r="M777" s="662"/>
    </row>
    <row r="778" spans="1:38">
      <c r="A778" s="662"/>
      <c r="B778" s="662"/>
      <c r="C778" s="662"/>
      <c r="D778" s="670"/>
      <c r="E778" s="670"/>
      <c r="F778" s="670"/>
      <c r="G778" s="670"/>
      <c r="H778" s="670"/>
      <c r="I778" s="670"/>
      <c r="J778" s="662"/>
      <c r="K778" s="662"/>
      <c r="L778" s="662"/>
      <c r="M778" s="662"/>
    </row>
    <row r="779" spans="1:38">
      <c r="D779" s="2992"/>
      <c r="E779" s="2992"/>
      <c r="F779" s="2992"/>
      <c r="G779" s="2992"/>
      <c r="H779" s="2992"/>
      <c r="I779" s="2992"/>
      <c r="J779" s="2992"/>
      <c r="K779" s="2992"/>
      <c r="L779" s="2992"/>
      <c r="M779" s="2992"/>
    </row>
    <row r="780" spans="1:38" ht="15" thickBot="1"/>
    <row r="781" spans="1:38" ht="15" thickBot="1">
      <c r="A781" s="1361" t="s">
        <v>326</v>
      </c>
      <c r="B781" s="1153" t="s">
        <v>384</v>
      </c>
      <c r="C781" s="662"/>
      <c r="D781" s="662"/>
      <c r="E781" s="662"/>
      <c r="F781" s="662"/>
      <c r="G781" s="662"/>
      <c r="H781" s="662"/>
      <c r="I781" s="662"/>
      <c r="J781" s="662"/>
      <c r="K781" s="662"/>
      <c r="L781" s="3292"/>
      <c r="M781" s="3292"/>
    </row>
    <row r="782" spans="1:38" ht="17.25" customHeight="1" thickBot="1">
      <c r="A782" s="662"/>
      <c r="B782" s="3331" t="s">
        <v>384</v>
      </c>
      <c r="C782" s="3280" t="s">
        <v>334</v>
      </c>
      <c r="D782" s="3283" t="s">
        <v>260</v>
      </c>
      <c r="E782" s="3283" t="s">
        <v>335</v>
      </c>
      <c r="F782" s="3335" t="s">
        <v>263</v>
      </c>
      <c r="G782" s="3335"/>
      <c r="H782" s="3335"/>
      <c r="I782" s="3335"/>
      <c r="J782" s="3335"/>
      <c r="K782" s="3335"/>
      <c r="L782" s="3335"/>
      <c r="M782" s="3335"/>
    </row>
    <row r="783" spans="1:38" ht="17.25" customHeight="1" thickBot="1">
      <c r="A783" s="662"/>
      <c r="B783" s="3327"/>
      <c r="C783" s="3281"/>
      <c r="D783" s="3284"/>
      <c r="E783" s="3284"/>
      <c r="F783" s="3332" t="s">
        <v>264</v>
      </c>
      <c r="G783" s="3333"/>
      <c r="H783" s="3333"/>
      <c r="I783" s="3334"/>
      <c r="J783" s="3335" t="s">
        <v>336</v>
      </c>
      <c r="K783" s="3335"/>
      <c r="L783" s="3335"/>
      <c r="M783" s="3335"/>
    </row>
    <row r="784" spans="1:38" ht="63.6" customHeight="1" thickBot="1">
      <c r="A784" s="662"/>
      <c r="B784" s="3327"/>
      <c r="C784" s="3281"/>
      <c r="D784" s="3285"/>
      <c r="E784" s="3285"/>
      <c r="F784" s="2963" t="s">
        <v>267</v>
      </c>
      <c r="G784" s="2963" t="s">
        <v>268</v>
      </c>
      <c r="H784" s="2963" t="s">
        <v>269</v>
      </c>
      <c r="I784" s="2963" t="s">
        <v>160</v>
      </c>
      <c r="J784" s="2964" t="s">
        <v>337</v>
      </c>
      <c r="K784" s="2964" t="s">
        <v>271</v>
      </c>
      <c r="L784" s="2964" t="s">
        <v>338</v>
      </c>
      <c r="M784" s="2964" t="s">
        <v>160</v>
      </c>
    </row>
    <row r="785" spans="1:13" ht="17.25" customHeight="1" thickBot="1">
      <c r="A785" s="662"/>
      <c r="B785" s="3327"/>
      <c r="C785" s="3281"/>
      <c r="D785" s="2972">
        <v>1</v>
      </c>
      <c r="E785" s="3283">
        <v>2</v>
      </c>
      <c r="F785" s="3283">
        <v>3</v>
      </c>
      <c r="G785" s="3283">
        <v>4</v>
      </c>
      <c r="H785" s="3283"/>
      <c r="I785" s="2972">
        <v>6</v>
      </c>
      <c r="J785" s="3283">
        <v>7</v>
      </c>
      <c r="K785" s="3283">
        <v>8</v>
      </c>
      <c r="L785" s="3283">
        <v>9</v>
      </c>
      <c r="M785" s="2972">
        <v>10</v>
      </c>
    </row>
    <row r="786" spans="1:13" ht="15" thickBot="1">
      <c r="A786" s="662"/>
      <c r="B786" s="3328"/>
      <c r="C786" s="3282"/>
      <c r="D786" s="1327" t="s">
        <v>339</v>
      </c>
      <c r="E786" s="3285"/>
      <c r="F786" s="3285"/>
      <c r="G786" s="3285"/>
      <c r="H786" s="3285">
        <v>5</v>
      </c>
      <c r="I786" s="1327" t="s">
        <v>340</v>
      </c>
      <c r="J786" s="3285"/>
      <c r="K786" s="3285"/>
      <c r="L786" s="3285"/>
      <c r="M786" s="1327" t="s">
        <v>341</v>
      </c>
    </row>
    <row r="787" spans="1:13">
      <c r="A787" s="662"/>
      <c r="B787" s="1328" t="s">
        <v>342</v>
      </c>
      <c r="C787" s="907"/>
      <c r="D787" s="1329">
        <f t="shared" ref="D787:D824" si="69">E787+I787+M787</f>
        <v>426.46100000000001</v>
      </c>
      <c r="E787" s="524"/>
      <c r="F787" s="485">
        <v>373.99799999999999</v>
      </c>
      <c r="G787" s="524">
        <v>52.463000000000001</v>
      </c>
      <c r="H787" s="485"/>
      <c r="I787" s="1368">
        <f t="shared" ref="I787:I824" si="70">F787+G787+H787</f>
        <v>426.46100000000001</v>
      </c>
      <c r="J787" s="886"/>
      <c r="K787" s="904"/>
      <c r="L787" s="886"/>
      <c r="M787" s="1369">
        <f t="shared" ref="M787:M804" si="71">L787+K787+J787</f>
        <v>0</v>
      </c>
    </row>
    <row r="788" spans="1:13">
      <c r="A788" s="662"/>
      <c r="B788" s="2103"/>
      <c r="C788" s="2141"/>
      <c r="D788" s="2124">
        <f t="shared" si="69"/>
        <v>0</v>
      </c>
      <c r="E788" s="1865"/>
      <c r="F788" s="1866"/>
      <c r="G788" s="1865"/>
      <c r="H788" s="1866"/>
      <c r="I788" s="2142">
        <f t="shared" si="70"/>
        <v>0</v>
      </c>
      <c r="J788" s="2114"/>
      <c r="K788" s="1926"/>
      <c r="L788" s="2114"/>
      <c r="M788" s="2143">
        <f t="shared" si="71"/>
        <v>0</v>
      </c>
    </row>
    <row r="789" spans="1:13">
      <c r="A789" s="662"/>
      <c r="B789" s="2105" t="s">
        <v>343</v>
      </c>
      <c r="C789" s="2141"/>
      <c r="D789" s="2124">
        <f t="shared" si="69"/>
        <v>0</v>
      </c>
      <c r="E789" s="1865"/>
      <c r="F789" s="1866"/>
      <c r="G789" s="1865"/>
      <c r="H789" s="1866"/>
      <c r="I789" s="2142">
        <f t="shared" si="70"/>
        <v>0</v>
      </c>
      <c r="J789" s="2114"/>
      <c r="K789" s="1926"/>
      <c r="L789" s="2114"/>
      <c r="M789" s="2143">
        <f t="shared" si="71"/>
        <v>0</v>
      </c>
    </row>
    <row r="790" spans="1:13">
      <c r="A790" s="662"/>
      <c r="B790" s="2105"/>
      <c r="C790" s="2141"/>
      <c r="D790" s="2124">
        <f t="shared" si="69"/>
        <v>0</v>
      </c>
      <c r="E790" s="1865"/>
      <c r="F790" s="1866"/>
      <c r="G790" s="1865"/>
      <c r="H790" s="1866"/>
      <c r="I790" s="2142">
        <f t="shared" si="70"/>
        <v>0</v>
      </c>
      <c r="J790" s="2114"/>
      <c r="K790" s="1926"/>
      <c r="L790" s="2114"/>
      <c r="M790" s="2143">
        <f t="shared" si="71"/>
        <v>0</v>
      </c>
    </row>
    <row r="791" spans="1:13" ht="14.25" customHeight="1">
      <c r="A791" s="662"/>
      <c r="B791" s="2106" t="s">
        <v>344</v>
      </c>
      <c r="C791" s="2141"/>
      <c r="D791" s="2124">
        <f t="shared" si="69"/>
        <v>0</v>
      </c>
      <c r="E791" s="1865"/>
      <c r="F791" s="1866"/>
      <c r="G791" s="1865"/>
      <c r="H791" s="1866"/>
      <c r="I791" s="2142">
        <f t="shared" si="70"/>
        <v>0</v>
      </c>
      <c r="J791" s="2114"/>
      <c r="K791" s="1926"/>
      <c r="L791" s="2114"/>
      <c r="M791" s="2143">
        <f t="shared" si="71"/>
        <v>0</v>
      </c>
    </row>
    <row r="792" spans="1:13">
      <c r="A792" s="662"/>
      <c r="B792" s="2103"/>
      <c r="C792" s="2141"/>
      <c r="D792" s="2124">
        <f t="shared" si="69"/>
        <v>0</v>
      </c>
      <c r="E792" s="1926"/>
      <c r="F792" s="2114"/>
      <c r="G792" s="1926"/>
      <c r="H792" s="2114"/>
      <c r="I792" s="2142">
        <f t="shared" si="70"/>
        <v>0</v>
      </c>
      <c r="J792" s="2114"/>
      <c r="K792" s="1926"/>
      <c r="L792" s="2114"/>
      <c r="M792" s="2143">
        <f t="shared" si="71"/>
        <v>0</v>
      </c>
    </row>
    <row r="793" spans="1:13">
      <c r="A793" s="662"/>
      <c r="B793" s="2107" t="s">
        <v>345</v>
      </c>
      <c r="C793" s="2144"/>
      <c r="D793" s="2124">
        <f t="shared" si="69"/>
        <v>426.46100000000001</v>
      </c>
      <c r="E793" s="1926">
        <f>E787-E789+E791</f>
        <v>0</v>
      </c>
      <c r="F793" s="2114">
        <f>F787-F789+F791</f>
        <v>373.99799999999999</v>
      </c>
      <c r="G793" s="1926">
        <f>G787-G789+G791</f>
        <v>52.463000000000001</v>
      </c>
      <c r="H793" s="2114">
        <f>H787-H789+H791</f>
        <v>0</v>
      </c>
      <c r="I793" s="2142">
        <f t="shared" si="70"/>
        <v>426.46100000000001</v>
      </c>
      <c r="J793" s="2114">
        <f>J787-J789+J791</f>
        <v>0</v>
      </c>
      <c r="K793" s="1926">
        <f>K787-K789+K791</f>
        <v>0</v>
      </c>
      <c r="L793" s="2114">
        <f>L787-L789+L791</f>
        <v>0</v>
      </c>
      <c r="M793" s="2143">
        <f t="shared" si="71"/>
        <v>0</v>
      </c>
    </row>
    <row r="794" spans="1:13">
      <c r="A794" s="662"/>
      <c r="B794" s="2107"/>
      <c r="C794" s="2144"/>
      <c r="D794" s="2124">
        <f t="shared" si="69"/>
        <v>0</v>
      </c>
      <c r="E794" s="1926"/>
      <c r="F794" s="2114"/>
      <c r="G794" s="1926"/>
      <c r="H794" s="2114"/>
      <c r="I794" s="2142">
        <f t="shared" si="70"/>
        <v>0</v>
      </c>
      <c r="J794" s="2114"/>
      <c r="K794" s="1926"/>
      <c r="L794" s="2114"/>
      <c r="M794" s="2143">
        <f t="shared" si="71"/>
        <v>0</v>
      </c>
    </row>
    <row r="795" spans="1:13">
      <c r="A795" s="662"/>
      <c r="B795" s="2107" t="s">
        <v>346</v>
      </c>
      <c r="C795" s="2144"/>
      <c r="D795" s="2124">
        <f t="shared" si="69"/>
        <v>19204.145519999998</v>
      </c>
      <c r="E795" s="1926">
        <f>SUM(E796:E800)</f>
        <v>0</v>
      </c>
      <c r="F795" s="2114">
        <f>SUM(F796:F800)</f>
        <v>6403.4234500000002</v>
      </c>
      <c r="G795" s="1926">
        <f>SUM(G796:G800)</f>
        <v>12800.72207</v>
      </c>
      <c r="H795" s="2114">
        <f>SUM(H796:H800)</f>
        <v>0</v>
      </c>
      <c r="I795" s="2142">
        <f t="shared" si="70"/>
        <v>19204.145519999998</v>
      </c>
      <c r="J795" s="2114">
        <f>SUM(J796:J800)</f>
        <v>0</v>
      </c>
      <c r="K795" s="1926">
        <f>SUM(K796:K800)</f>
        <v>0</v>
      </c>
      <c r="L795" s="2114">
        <f>SUM(L796:L800)</f>
        <v>0</v>
      </c>
      <c r="M795" s="2143">
        <f t="shared" si="71"/>
        <v>0</v>
      </c>
    </row>
    <row r="796" spans="1:13">
      <c r="A796" s="662"/>
      <c r="B796" s="2103" t="s">
        <v>347</v>
      </c>
      <c r="C796" s="2141">
        <v>1</v>
      </c>
      <c r="D796" s="2124">
        <f t="shared" si="69"/>
        <v>18056.66777</v>
      </c>
      <c r="E796" s="1865"/>
      <c r="F796" s="1866">
        <v>6028.98398</v>
      </c>
      <c r="G796" s="1865">
        <v>12027.683789999999</v>
      </c>
      <c r="H796" s="1866"/>
      <c r="I796" s="2142">
        <f t="shared" si="70"/>
        <v>18056.66777</v>
      </c>
      <c r="J796" s="2114"/>
      <c r="K796" s="1926"/>
      <c r="L796" s="2114"/>
      <c r="M796" s="2143">
        <f t="shared" si="71"/>
        <v>0</v>
      </c>
    </row>
    <row r="797" spans="1:13">
      <c r="A797" s="662"/>
      <c r="B797" s="2103" t="s">
        <v>348</v>
      </c>
      <c r="C797" s="2141">
        <v>2</v>
      </c>
      <c r="D797" s="2124">
        <f t="shared" si="69"/>
        <v>0</v>
      </c>
      <c r="E797" s="1926"/>
      <c r="F797" s="2114"/>
      <c r="G797" s="1926"/>
      <c r="H797" s="2114"/>
      <c r="I797" s="2142">
        <f t="shared" si="70"/>
        <v>0</v>
      </c>
      <c r="J797" s="2114"/>
      <c r="K797" s="1926"/>
      <c r="L797" s="2114"/>
      <c r="M797" s="2143">
        <f t="shared" si="71"/>
        <v>0</v>
      </c>
    </row>
    <row r="798" spans="1:13">
      <c r="A798" s="662"/>
      <c r="B798" s="2103" t="s">
        <v>349</v>
      </c>
      <c r="C798" s="2141"/>
      <c r="D798" s="2124">
        <f t="shared" si="69"/>
        <v>14.190530000000001</v>
      </c>
      <c r="E798" s="1865"/>
      <c r="F798" s="1866"/>
      <c r="G798" s="1865">
        <v>14.190530000000001</v>
      </c>
      <c r="H798" s="1866"/>
      <c r="I798" s="2142">
        <f t="shared" si="70"/>
        <v>14.190530000000001</v>
      </c>
      <c r="J798" s="2114"/>
      <c r="K798" s="1926"/>
      <c r="L798" s="2114"/>
      <c r="M798" s="2143">
        <f t="shared" si="71"/>
        <v>0</v>
      </c>
    </row>
    <row r="799" spans="1:13">
      <c r="A799" s="662"/>
      <c r="B799" s="2103" t="s">
        <v>350</v>
      </c>
      <c r="C799" s="2141"/>
      <c r="D799" s="2124">
        <f t="shared" si="69"/>
        <v>1174.00793</v>
      </c>
      <c r="E799" s="1865"/>
      <c r="F799" s="1866">
        <v>415.17318999999998</v>
      </c>
      <c r="G799" s="1865">
        <v>758.83474000000001</v>
      </c>
      <c r="H799" s="1866"/>
      <c r="I799" s="2142">
        <f t="shared" si="70"/>
        <v>1174.00793</v>
      </c>
      <c r="J799" s="2114"/>
      <c r="K799" s="1926"/>
      <c r="L799" s="2114"/>
      <c r="M799" s="2143">
        <f t="shared" si="71"/>
        <v>0</v>
      </c>
    </row>
    <row r="800" spans="1:13">
      <c r="A800" s="662"/>
      <c r="B800" s="2103" t="s">
        <v>351</v>
      </c>
      <c r="C800" s="2141">
        <v>3</v>
      </c>
      <c r="D800" s="2124">
        <f t="shared" si="69"/>
        <v>-40.720709999999997</v>
      </c>
      <c r="E800" s="1865"/>
      <c r="F800" s="1866">
        <v>-40.733719999999998</v>
      </c>
      <c r="G800" s="1865">
        <v>1.3009999999999999E-2</v>
      </c>
      <c r="H800" s="1866"/>
      <c r="I800" s="2142">
        <f t="shared" si="70"/>
        <v>-40.720709999999997</v>
      </c>
      <c r="J800" s="2114"/>
      <c r="K800" s="1926"/>
      <c r="L800" s="2114"/>
      <c r="M800" s="2143">
        <f t="shared" si="71"/>
        <v>0</v>
      </c>
    </row>
    <row r="801" spans="1:13">
      <c r="A801" s="662"/>
      <c r="B801" s="2103" t="s">
        <v>353</v>
      </c>
      <c r="C801" s="2141"/>
      <c r="D801" s="2124">
        <f t="shared" si="69"/>
        <v>0</v>
      </c>
      <c r="E801" s="1926"/>
      <c r="F801" s="2114"/>
      <c r="G801" s="1926"/>
      <c r="H801" s="2114"/>
      <c r="I801" s="2142">
        <f t="shared" si="70"/>
        <v>0</v>
      </c>
      <c r="J801" s="2114"/>
      <c r="K801" s="1926"/>
      <c r="L801" s="2114"/>
      <c r="M801" s="2143">
        <f t="shared" si="71"/>
        <v>0</v>
      </c>
    </row>
    <row r="802" spans="1:13">
      <c r="A802" s="662"/>
      <c r="B802" s="2103" t="s">
        <v>353</v>
      </c>
      <c r="C802" s="2141"/>
      <c r="D802" s="2124">
        <f t="shared" si="69"/>
        <v>0</v>
      </c>
      <c r="E802" s="1926"/>
      <c r="F802" s="2114"/>
      <c r="G802" s="1926"/>
      <c r="H802" s="2114"/>
      <c r="I802" s="2142">
        <f t="shared" si="70"/>
        <v>0</v>
      </c>
      <c r="J802" s="2114"/>
      <c r="K802" s="1926"/>
      <c r="L802" s="2114"/>
      <c r="M802" s="2143">
        <f t="shared" si="71"/>
        <v>0</v>
      </c>
    </row>
    <row r="803" spans="1:13">
      <c r="A803" s="662"/>
      <c r="B803" s="2103"/>
      <c r="C803" s="2141"/>
      <c r="D803" s="2124">
        <f t="shared" si="69"/>
        <v>0</v>
      </c>
      <c r="E803" s="1926"/>
      <c r="F803" s="2114"/>
      <c r="G803" s="1926"/>
      <c r="H803" s="2114"/>
      <c r="I803" s="2142">
        <f t="shared" si="70"/>
        <v>0</v>
      </c>
      <c r="J803" s="2114"/>
      <c r="K803" s="1926"/>
      <c r="L803" s="2114"/>
      <c r="M803" s="2143">
        <f t="shared" si="71"/>
        <v>0</v>
      </c>
    </row>
    <row r="804" spans="1:13">
      <c r="A804" s="662"/>
      <c r="B804" s="2109" t="s">
        <v>354</v>
      </c>
      <c r="C804" s="2144"/>
      <c r="D804" s="2124">
        <f t="shared" si="69"/>
        <v>19630.606520000001</v>
      </c>
      <c r="E804" s="1926">
        <f>E793+E795</f>
        <v>0</v>
      </c>
      <c r="F804" s="2114">
        <f>F793+F795</f>
        <v>6777.4214499999998</v>
      </c>
      <c r="G804" s="1926">
        <f>G793+G795</f>
        <v>12853.18507</v>
      </c>
      <c r="H804" s="2114">
        <f>H793+H795</f>
        <v>0</v>
      </c>
      <c r="I804" s="2142">
        <f t="shared" si="70"/>
        <v>19630.606520000001</v>
      </c>
      <c r="J804" s="2114">
        <f>J793+J795</f>
        <v>0</v>
      </c>
      <c r="K804" s="1926">
        <f>K793+K795</f>
        <v>0</v>
      </c>
      <c r="L804" s="2114">
        <f>L793+L795</f>
        <v>0</v>
      </c>
      <c r="M804" s="2143">
        <f t="shared" si="71"/>
        <v>0</v>
      </c>
    </row>
    <row r="805" spans="1:13">
      <c r="A805" s="662"/>
      <c r="B805" s="2109"/>
      <c r="C805" s="2144"/>
      <c r="D805" s="2124">
        <f t="shared" si="69"/>
        <v>0</v>
      </c>
      <c r="E805" s="1926"/>
      <c r="F805" s="2114"/>
      <c r="G805" s="1926"/>
      <c r="H805" s="2114"/>
      <c r="I805" s="2142">
        <f t="shared" si="70"/>
        <v>0</v>
      </c>
      <c r="J805" s="2114"/>
      <c r="K805" s="1926"/>
      <c r="L805" s="2114"/>
      <c r="M805" s="2143"/>
    </row>
    <row r="806" spans="1:13">
      <c r="A806" s="662"/>
      <c r="B806" s="2103" t="s">
        <v>355</v>
      </c>
      <c r="C806" s="2141"/>
      <c r="D806" s="2124">
        <f t="shared" si="69"/>
        <v>14331.32021</v>
      </c>
      <c r="E806" s="1926"/>
      <c r="F806" s="2114">
        <v>10710.72271</v>
      </c>
      <c r="G806" s="1926">
        <v>3620.5974999999999</v>
      </c>
      <c r="H806" s="2114"/>
      <c r="I806" s="2142">
        <f t="shared" si="70"/>
        <v>14331.32021</v>
      </c>
      <c r="J806" s="2114"/>
      <c r="K806" s="1926"/>
      <c r="L806" s="2114"/>
      <c r="M806" s="2143">
        <f t="shared" ref="M806:M824" si="72">L806+K806+J806</f>
        <v>0</v>
      </c>
    </row>
    <row r="807" spans="1:13">
      <c r="A807" s="662"/>
      <c r="B807" s="2103" t="s">
        <v>356</v>
      </c>
      <c r="C807" s="2141"/>
      <c r="D807" s="2124">
        <f t="shared" si="69"/>
        <v>0</v>
      </c>
      <c r="E807" s="1926"/>
      <c r="F807" s="2132"/>
      <c r="G807" s="905"/>
      <c r="H807" s="2132"/>
      <c r="I807" s="2142">
        <f t="shared" si="70"/>
        <v>0</v>
      </c>
      <c r="J807" s="2114"/>
      <c r="K807" s="1926"/>
      <c r="L807" s="2114"/>
      <c r="M807" s="2143">
        <f t="shared" si="72"/>
        <v>0</v>
      </c>
    </row>
    <row r="808" spans="1:13">
      <c r="A808" s="662"/>
      <c r="B808" s="2103" t="s">
        <v>357</v>
      </c>
      <c r="C808" s="2141"/>
      <c r="D808" s="2124">
        <f t="shared" si="69"/>
        <v>0</v>
      </c>
      <c r="E808" s="1926"/>
      <c r="F808" s="883"/>
      <c r="G808" s="884"/>
      <c r="H808" s="883"/>
      <c r="I808" s="2142">
        <f t="shared" si="70"/>
        <v>0</v>
      </c>
      <c r="J808" s="2114"/>
      <c r="K808" s="1926"/>
      <c r="L808" s="2114"/>
      <c r="M808" s="2143">
        <f t="shared" si="72"/>
        <v>0</v>
      </c>
    </row>
    <row r="809" spans="1:13" ht="13.5" customHeight="1">
      <c r="A809" s="662"/>
      <c r="B809" s="2110" t="s">
        <v>358</v>
      </c>
      <c r="C809" s="2141"/>
      <c r="D809" s="2124">
        <f t="shared" si="69"/>
        <v>0</v>
      </c>
      <c r="E809" s="1926"/>
      <c r="F809" s="868"/>
      <c r="G809" s="869"/>
      <c r="H809" s="868"/>
      <c r="I809" s="2142">
        <f t="shared" si="70"/>
        <v>0</v>
      </c>
      <c r="J809" s="2114"/>
      <c r="K809" s="1926"/>
      <c r="L809" s="2114"/>
      <c r="M809" s="2143">
        <f t="shared" si="72"/>
        <v>0</v>
      </c>
    </row>
    <row r="810" spans="1:13">
      <c r="A810" s="662"/>
      <c r="B810" s="2103" t="s">
        <v>359</v>
      </c>
      <c r="C810" s="2141"/>
      <c r="D810" s="2124">
        <f t="shared" si="69"/>
        <v>-1279.74683</v>
      </c>
      <c r="E810" s="1926"/>
      <c r="F810" s="2114">
        <v>-9702.9853255856451</v>
      </c>
      <c r="G810" s="1926">
        <v>8423.2384955856451</v>
      </c>
      <c r="H810" s="2114"/>
      <c r="I810" s="2142">
        <f t="shared" si="70"/>
        <v>-1279.74683</v>
      </c>
      <c r="J810" s="2114"/>
      <c r="K810" s="1926"/>
      <c r="L810" s="2114"/>
      <c r="M810" s="2143">
        <f t="shared" si="72"/>
        <v>0</v>
      </c>
    </row>
    <row r="811" spans="1:13" ht="26.45">
      <c r="A811" s="662"/>
      <c r="B811" s="2110" t="s">
        <v>360</v>
      </c>
      <c r="C811" s="2141"/>
      <c r="D811" s="2124">
        <f t="shared" si="69"/>
        <v>0</v>
      </c>
      <c r="E811" s="1926"/>
      <c r="F811" s="2114"/>
      <c r="G811" s="1926"/>
      <c r="H811" s="2114"/>
      <c r="I811" s="2142">
        <f t="shared" si="70"/>
        <v>0</v>
      </c>
      <c r="J811" s="2114"/>
      <c r="K811" s="1926"/>
      <c r="L811" s="2114"/>
      <c r="M811" s="2143">
        <f t="shared" si="72"/>
        <v>0</v>
      </c>
    </row>
    <row r="812" spans="1:13">
      <c r="A812" s="662"/>
      <c r="B812" s="2109" t="s">
        <v>361</v>
      </c>
      <c r="C812" s="2144"/>
      <c r="D812" s="2124">
        <f t="shared" si="69"/>
        <v>13051.57338</v>
      </c>
      <c r="E812" s="1926">
        <f>SUM(E806:E811)</f>
        <v>0</v>
      </c>
      <c r="F812" s="2114">
        <f>SUM(F806:F811)</f>
        <v>1007.7373844143549</v>
      </c>
      <c r="G812" s="1926">
        <f>SUM(G806:G811)</f>
        <v>12043.835995585645</v>
      </c>
      <c r="H812" s="2114">
        <f>SUM(H806:H811)</f>
        <v>0</v>
      </c>
      <c r="I812" s="2142">
        <f t="shared" si="70"/>
        <v>13051.57338</v>
      </c>
      <c r="J812" s="2114">
        <f>SUM(J806:J811)</f>
        <v>0</v>
      </c>
      <c r="K812" s="1926">
        <f>SUM(K806:K811)</f>
        <v>0</v>
      </c>
      <c r="L812" s="2114">
        <f>SUM(L806:L811)</f>
        <v>0</v>
      </c>
      <c r="M812" s="2143">
        <f t="shared" si="72"/>
        <v>0</v>
      </c>
    </row>
    <row r="813" spans="1:13">
      <c r="A813" s="662"/>
      <c r="B813" s="2103"/>
      <c r="C813" s="2141"/>
      <c r="D813" s="2124">
        <f t="shared" si="69"/>
        <v>0</v>
      </c>
      <c r="E813" s="1926"/>
      <c r="F813" s="2114"/>
      <c r="G813" s="1926"/>
      <c r="H813" s="2114"/>
      <c r="I813" s="2142">
        <f t="shared" si="70"/>
        <v>0</v>
      </c>
      <c r="J813" s="2114"/>
      <c r="K813" s="1926"/>
      <c r="L813" s="2114"/>
      <c r="M813" s="2143">
        <f t="shared" si="72"/>
        <v>0</v>
      </c>
    </row>
    <row r="814" spans="1:13" ht="26.45">
      <c r="A814" s="662"/>
      <c r="B814" s="2110" t="s">
        <v>362</v>
      </c>
      <c r="C814" s="2141"/>
      <c r="D814" s="2124">
        <f t="shared" si="69"/>
        <v>0</v>
      </c>
      <c r="E814" s="1926"/>
      <c r="F814" s="2114"/>
      <c r="G814" s="1926"/>
      <c r="H814" s="2114"/>
      <c r="I814" s="2142">
        <f t="shared" si="70"/>
        <v>0</v>
      </c>
      <c r="J814" s="2114"/>
      <c r="K814" s="1926"/>
      <c r="L814" s="2114"/>
      <c r="M814" s="2143">
        <f t="shared" si="72"/>
        <v>0</v>
      </c>
    </row>
    <row r="815" spans="1:13" ht="11.45" customHeight="1">
      <c r="A815" s="662"/>
      <c r="B815" s="2103"/>
      <c r="C815" s="2141"/>
      <c r="D815" s="2124">
        <f t="shared" si="69"/>
        <v>0</v>
      </c>
      <c r="E815" s="1926"/>
      <c r="F815" s="2114"/>
      <c r="G815" s="1926"/>
      <c r="H815" s="2114"/>
      <c r="I815" s="2142">
        <f t="shared" si="70"/>
        <v>0</v>
      </c>
      <c r="J815" s="2114"/>
      <c r="K815" s="1926"/>
      <c r="L815" s="2114"/>
      <c r="M815" s="2143">
        <f t="shared" si="72"/>
        <v>0</v>
      </c>
    </row>
    <row r="816" spans="1:13" ht="33.6" customHeight="1">
      <c r="A816" s="662"/>
      <c r="B816" s="2110" t="s">
        <v>363</v>
      </c>
      <c r="C816" s="2141">
        <v>4</v>
      </c>
      <c r="D816" s="2124">
        <f t="shared" si="69"/>
        <v>6579.0331399999995</v>
      </c>
      <c r="E816" s="1926"/>
      <c r="F816" s="2114">
        <v>5769.6840655856449</v>
      </c>
      <c r="G816" s="1926">
        <v>809.34907441435462</v>
      </c>
      <c r="H816" s="2114"/>
      <c r="I816" s="2142">
        <f t="shared" si="70"/>
        <v>6579.0331399999995</v>
      </c>
      <c r="J816" s="2114"/>
      <c r="K816" s="1926"/>
      <c r="L816" s="2114"/>
      <c r="M816" s="2143">
        <f t="shared" si="72"/>
        <v>0</v>
      </c>
    </row>
    <row r="817" spans="1:13">
      <c r="A817" s="662"/>
      <c r="B817" s="2103" t="s">
        <v>364</v>
      </c>
      <c r="C817" s="2141"/>
      <c r="D817" s="2124">
        <f t="shared" si="69"/>
        <v>0</v>
      </c>
      <c r="E817" s="1926"/>
      <c r="F817" s="2114"/>
      <c r="G817" s="1926"/>
      <c r="H817" s="2114"/>
      <c r="I817" s="2142">
        <f t="shared" si="70"/>
        <v>0</v>
      </c>
      <c r="J817" s="2114"/>
      <c r="K817" s="1926"/>
      <c r="L817" s="2114"/>
      <c r="M817" s="2143">
        <f t="shared" si="72"/>
        <v>0</v>
      </c>
    </row>
    <row r="818" spans="1:13">
      <c r="A818" s="662"/>
      <c r="B818" s="2103" t="s">
        <v>365</v>
      </c>
      <c r="C818" s="2141"/>
      <c r="D818" s="2124">
        <f t="shared" si="69"/>
        <v>0</v>
      </c>
      <c r="E818" s="1926"/>
      <c r="F818" s="2114"/>
      <c r="G818" s="1926"/>
      <c r="H818" s="2114"/>
      <c r="I818" s="2142">
        <f t="shared" si="70"/>
        <v>0</v>
      </c>
      <c r="J818" s="2114"/>
      <c r="K818" s="1926"/>
      <c r="L818" s="2114"/>
      <c r="M818" s="2143">
        <f t="shared" si="72"/>
        <v>0</v>
      </c>
    </row>
    <row r="819" spans="1:13">
      <c r="A819" s="662"/>
      <c r="B819" s="2109" t="s">
        <v>366</v>
      </c>
      <c r="C819" s="2144"/>
      <c r="D819" s="2124">
        <f t="shared" si="69"/>
        <v>6579.0331399999995</v>
      </c>
      <c r="E819" s="1926">
        <f>SUM(E816:E818)</f>
        <v>0</v>
      </c>
      <c r="F819" s="2114">
        <f>SUM(F816:F818)</f>
        <v>5769.6840655856449</v>
      </c>
      <c r="G819" s="1926">
        <f>SUM(G816:G818)</f>
        <v>809.34907441435462</v>
      </c>
      <c r="H819" s="2114">
        <f>SUM(H816:H818)</f>
        <v>0</v>
      </c>
      <c r="I819" s="2142">
        <f t="shared" si="70"/>
        <v>6579.0331399999995</v>
      </c>
      <c r="J819" s="2114">
        <f>SUM(J816:J818)</f>
        <v>0</v>
      </c>
      <c r="K819" s="1926">
        <f>SUM(K816:K818)</f>
        <v>0</v>
      </c>
      <c r="L819" s="2114">
        <f>SUM(L816:L818)</f>
        <v>0</v>
      </c>
      <c r="M819" s="2143">
        <f t="shared" si="72"/>
        <v>0</v>
      </c>
    </row>
    <row r="820" spans="1:13">
      <c r="A820" s="662"/>
      <c r="B820" s="2109"/>
      <c r="C820" s="2144"/>
      <c r="D820" s="2124">
        <f t="shared" si="69"/>
        <v>0</v>
      </c>
      <c r="E820" s="1926"/>
      <c r="F820" s="2114"/>
      <c r="G820" s="1926"/>
      <c r="H820" s="2114"/>
      <c r="I820" s="2142">
        <f t="shared" si="70"/>
        <v>0</v>
      </c>
      <c r="J820" s="2114"/>
      <c r="K820" s="1926"/>
      <c r="L820" s="2114"/>
      <c r="M820" s="2143">
        <f t="shared" si="72"/>
        <v>0</v>
      </c>
    </row>
    <row r="821" spans="1:13">
      <c r="A821" s="662"/>
      <c r="B821" s="2109" t="s">
        <v>367</v>
      </c>
      <c r="C821" s="2144"/>
      <c r="D821" s="2124">
        <f t="shared" si="69"/>
        <v>0</v>
      </c>
      <c r="E821" s="1926">
        <f>E804-E812-E814-E819</f>
        <v>0</v>
      </c>
      <c r="F821" s="2114">
        <f>F804-F812-F814-F819</f>
        <v>0</v>
      </c>
      <c r="G821" s="1926">
        <f>G804-G812-G814-G819</f>
        <v>0</v>
      </c>
      <c r="H821" s="2114">
        <f>H804-H812-H814-H819</f>
        <v>0</v>
      </c>
      <c r="I821" s="2142">
        <f t="shared" si="70"/>
        <v>0</v>
      </c>
      <c r="J821" s="2114">
        <f>J804-J812-J814-J819</f>
        <v>0</v>
      </c>
      <c r="K821" s="1926">
        <f>K804-K812-K814-K819</f>
        <v>0</v>
      </c>
      <c r="L821" s="2114">
        <f>L804-L812-L814-L819</f>
        <v>0</v>
      </c>
      <c r="M821" s="2143">
        <f t="shared" si="72"/>
        <v>0</v>
      </c>
    </row>
    <row r="822" spans="1:13">
      <c r="A822" s="662"/>
      <c r="B822" s="2103" t="s">
        <v>368</v>
      </c>
      <c r="C822" s="2141"/>
      <c r="D822" s="2124">
        <f t="shared" si="69"/>
        <v>0</v>
      </c>
      <c r="E822" s="1926"/>
      <c r="F822" s="2114"/>
      <c r="G822" s="1926"/>
      <c r="H822" s="2114"/>
      <c r="I822" s="2142">
        <f t="shared" si="70"/>
        <v>0</v>
      </c>
      <c r="J822" s="2114"/>
      <c r="K822" s="1926"/>
      <c r="L822" s="2114"/>
      <c r="M822" s="2143">
        <f t="shared" si="72"/>
        <v>0</v>
      </c>
    </row>
    <row r="823" spans="1:13">
      <c r="A823" s="662"/>
      <c r="B823" s="2103"/>
      <c r="C823" s="2141"/>
      <c r="D823" s="2124">
        <f t="shared" si="69"/>
        <v>0</v>
      </c>
      <c r="E823" s="1926"/>
      <c r="F823" s="2114"/>
      <c r="G823" s="1926"/>
      <c r="H823" s="2114"/>
      <c r="I823" s="2142">
        <f t="shared" si="70"/>
        <v>0</v>
      </c>
      <c r="J823" s="2114"/>
      <c r="K823" s="1926"/>
      <c r="L823" s="2114"/>
      <c r="M823" s="2143">
        <f t="shared" si="72"/>
        <v>0</v>
      </c>
    </row>
    <row r="824" spans="1:13" ht="15" thickBot="1">
      <c r="A824" s="662"/>
      <c r="B824" s="1338" t="s">
        <v>369</v>
      </c>
      <c r="C824" s="1370"/>
      <c r="D824" s="1350">
        <f t="shared" si="69"/>
        <v>0</v>
      </c>
      <c r="E824" s="1360">
        <f>E821-E822</f>
        <v>0</v>
      </c>
      <c r="F824" s="1350">
        <f>F821-F822</f>
        <v>0</v>
      </c>
      <c r="G824" s="1360">
        <f>G821-G822</f>
        <v>0</v>
      </c>
      <c r="H824" s="1350">
        <f>H821-H822</f>
        <v>0</v>
      </c>
      <c r="I824" s="1360">
        <f t="shared" si="70"/>
        <v>0</v>
      </c>
      <c r="J824" s="1350">
        <f>J821-J822</f>
        <v>0</v>
      </c>
      <c r="K824" s="1360">
        <f>K821-K822</f>
        <v>0</v>
      </c>
      <c r="L824" s="1350">
        <f>L821-L822</f>
        <v>0</v>
      </c>
      <c r="M824" s="1371">
        <f t="shared" si="72"/>
        <v>0</v>
      </c>
    </row>
    <row r="825" spans="1:13">
      <c r="A825" s="662"/>
      <c r="B825" s="662"/>
      <c r="C825" s="662"/>
      <c r="D825" s="662"/>
      <c r="E825" s="662"/>
      <c r="F825" s="662"/>
      <c r="G825" s="662"/>
      <c r="H825" s="662"/>
      <c r="I825" s="662"/>
      <c r="J825" s="662"/>
      <c r="K825" s="662"/>
      <c r="L825" s="662"/>
      <c r="M825" s="662"/>
    </row>
    <row r="826" spans="1:13">
      <c r="A826" s="662"/>
      <c r="B826" s="662"/>
      <c r="C826" s="662"/>
      <c r="D826" s="670"/>
      <c r="E826" s="670"/>
      <c r="F826" s="670"/>
      <c r="G826" s="670"/>
      <c r="H826" s="670"/>
      <c r="I826" s="670"/>
      <c r="J826" s="662"/>
      <c r="K826" s="662"/>
      <c r="L826" s="662"/>
      <c r="M826" s="662"/>
    </row>
    <row r="827" spans="1:13">
      <c r="B827"/>
      <c r="C827"/>
      <c r="D827"/>
      <c r="E827"/>
      <c r="F827"/>
      <c r="G827"/>
      <c r="H827"/>
      <c r="I827"/>
      <c r="J827"/>
      <c r="K827"/>
      <c r="L827"/>
      <c r="M827"/>
    </row>
    <row r="828" spans="1:13" ht="15" thickBot="1"/>
    <row r="829" spans="1:13" ht="15" thickBot="1">
      <c r="A829" s="1361"/>
      <c r="B829" s="1153" t="s">
        <v>99</v>
      </c>
      <c r="C829" s="662"/>
      <c r="D829" s="662"/>
      <c r="E829" s="662"/>
      <c r="F829" s="662"/>
      <c r="G829" s="662"/>
      <c r="H829" s="662"/>
      <c r="I829" s="662"/>
      <c r="J829" s="662"/>
      <c r="K829" s="662"/>
      <c r="L829" s="3292"/>
      <c r="M829" s="3292"/>
    </row>
    <row r="830" spans="1:13" ht="17.25" customHeight="1" thickBot="1">
      <c r="A830" s="662"/>
      <c r="B830" s="3331" t="s">
        <v>384</v>
      </c>
      <c r="C830" s="3280" t="s">
        <v>334</v>
      </c>
      <c r="D830" s="3283" t="s">
        <v>260</v>
      </c>
      <c r="E830" s="3283" t="s">
        <v>335</v>
      </c>
      <c r="F830" s="3335" t="s">
        <v>263</v>
      </c>
      <c r="G830" s="3335"/>
      <c r="H830" s="3335"/>
      <c r="I830" s="3335"/>
      <c r="J830" s="3335"/>
      <c r="K830" s="3335"/>
      <c r="L830" s="3335"/>
      <c r="M830" s="3335"/>
    </row>
    <row r="831" spans="1:13" ht="17.25" customHeight="1" thickBot="1">
      <c r="A831" s="662"/>
      <c r="B831" s="3327"/>
      <c r="C831" s="3281"/>
      <c r="D831" s="3284"/>
      <c r="E831" s="3284"/>
      <c r="F831" s="3332" t="s">
        <v>264</v>
      </c>
      <c r="G831" s="3333"/>
      <c r="H831" s="3333"/>
      <c r="I831" s="3334"/>
      <c r="J831" s="3335" t="s">
        <v>336</v>
      </c>
      <c r="K831" s="3335"/>
      <c r="L831" s="3335"/>
      <c r="M831" s="3335"/>
    </row>
    <row r="832" spans="1:13" ht="52.9" customHeight="1" thickBot="1">
      <c r="A832" s="662"/>
      <c r="B832" s="3327"/>
      <c r="C832" s="3281"/>
      <c r="D832" s="3285"/>
      <c r="E832" s="3285"/>
      <c r="F832" s="2963" t="s">
        <v>267</v>
      </c>
      <c r="G832" s="2963" t="s">
        <v>268</v>
      </c>
      <c r="H832" s="2963" t="s">
        <v>269</v>
      </c>
      <c r="I832" s="2963" t="s">
        <v>160</v>
      </c>
      <c r="J832" s="2964" t="s">
        <v>337</v>
      </c>
      <c r="K832" s="2964" t="s">
        <v>271</v>
      </c>
      <c r="L832" s="2964" t="s">
        <v>338</v>
      </c>
      <c r="M832" s="2964" t="s">
        <v>160</v>
      </c>
    </row>
    <row r="833" spans="1:38" ht="17.25" customHeight="1" thickBot="1">
      <c r="A833" s="662"/>
      <c r="B833" s="3327"/>
      <c r="C833" s="3281"/>
      <c r="D833" s="2972">
        <v>1</v>
      </c>
      <c r="E833" s="3283">
        <v>2</v>
      </c>
      <c r="F833" s="3283">
        <v>3</v>
      </c>
      <c r="G833" s="3283">
        <v>4</v>
      </c>
      <c r="H833" s="3283"/>
      <c r="I833" s="2972">
        <v>6</v>
      </c>
      <c r="J833" s="3283">
        <v>7</v>
      </c>
      <c r="K833" s="3283">
        <v>8</v>
      </c>
      <c r="L833" s="3283">
        <v>9</v>
      </c>
      <c r="M833" s="2972">
        <v>10</v>
      </c>
    </row>
    <row r="834" spans="1:38" ht="15" thickBot="1">
      <c r="A834" s="662"/>
      <c r="B834" s="3328"/>
      <c r="C834" s="3282"/>
      <c r="D834" s="1327" t="s">
        <v>339</v>
      </c>
      <c r="E834" s="3285"/>
      <c r="F834" s="3285"/>
      <c r="G834" s="3285"/>
      <c r="H834" s="3285">
        <v>5</v>
      </c>
      <c r="I834" s="1327" t="s">
        <v>340</v>
      </c>
      <c r="J834" s="3285"/>
      <c r="K834" s="3285"/>
      <c r="L834" s="3285"/>
      <c r="M834" s="1327" t="s">
        <v>341</v>
      </c>
    </row>
    <row r="835" spans="1:38">
      <c r="A835" s="662"/>
      <c r="B835" s="1328" t="s">
        <v>342</v>
      </c>
      <c r="C835" s="907"/>
      <c r="D835" s="1329">
        <f t="shared" ref="D835:D872" si="73">E835+I835+M835</f>
        <v>10331.803</v>
      </c>
      <c r="E835" s="524">
        <v>0</v>
      </c>
      <c r="F835" s="485">
        <v>0</v>
      </c>
      <c r="G835" s="524">
        <v>10331.803</v>
      </c>
      <c r="H835" s="485"/>
      <c r="I835" s="1368">
        <f t="shared" ref="I835:I872" si="74">F835+G835+H835</f>
        <v>10331.803</v>
      </c>
      <c r="J835" s="886"/>
      <c r="K835" s="904"/>
      <c r="L835" s="886"/>
      <c r="M835" s="1369">
        <f t="shared" ref="M835:M852" si="75">L835+K835+J835</f>
        <v>0</v>
      </c>
    </row>
    <row r="836" spans="1:38">
      <c r="A836" s="662"/>
      <c r="B836" s="2103"/>
      <c r="C836" s="2141"/>
      <c r="D836" s="2124">
        <f t="shared" si="73"/>
        <v>0</v>
      </c>
      <c r="E836" s="1865"/>
      <c r="F836" s="1866"/>
      <c r="G836" s="1865"/>
      <c r="H836" s="1866"/>
      <c r="I836" s="2142">
        <f t="shared" si="74"/>
        <v>0</v>
      </c>
      <c r="J836" s="2114"/>
      <c r="K836" s="1926"/>
      <c r="L836" s="2114"/>
      <c r="M836" s="2143">
        <f t="shared" si="75"/>
        <v>0</v>
      </c>
    </row>
    <row r="837" spans="1:38">
      <c r="A837" s="662"/>
      <c r="B837" s="2105" t="s">
        <v>343</v>
      </c>
      <c r="C837" s="2141"/>
      <c r="D837" s="2124">
        <f t="shared" si="73"/>
        <v>6523.7551250000652</v>
      </c>
      <c r="E837" s="1865">
        <v>0</v>
      </c>
      <c r="F837" s="1866">
        <v>0</v>
      </c>
      <c r="G837" s="1865">
        <v>6523.7551250000652</v>
      </c>
      <c r="H837" s="1866"/>
      <c r="I837" s="2142">
        <f t="shared" si="74"/>
        <v>6523.7551250000652</v>
      </c>
      <c r="J837" s="2114"/>
      <c r="K837" s="1926"/>
      <c r="L837" s="2114"/>
      <c r="M837" s="2143">
        <f t="shared" si="75"/>
        <v>0</v>
      </c>
    </row>
    <row r="838" spans="1:38">
      <c r="A838" s="662"/>
      <c r="B838" s="2105"/>
      <c r="C838" s="2141"/>
      <c r="D838" s="2124">
        <f t="shared" si="73"/>
        <v>0</v>
      </c>
      <c r="E838" s="1865"/>
      <c r="F838" s="1866"/>
      <c r="G838" s="1865"/>
      <c r="H838" s="1866"/>
      <c r="I838" s="2142">
        <f t="shared" si="74"/>
        <v>0</v>
      </c>
      <c r="J838" s="2114"/>
      <c r="K838" s="1926"/>
      <c r="L838" s="2114"/>
      <c r="M838" s="2143">
        <f t="shared" si="75"/>
        <v>0</v>
      </c>
    </row>
    <row r="839" spans="1:38" ht="14.25" customHeight="1">
      <c r="A839" s="662"/>
      <c r="B839" s="2106" t="s">
        <v>344</v>
      </c>
      <c r="C839" s="2141"/>
      <c r="D839" s="2124">
        <f t="shared" si="73"/>
        <v>0</v>
      </c>
      <c r="E839" s="1865">
        <v>0</v>
      </c>
      <c r="F839" s="1866">
        <v>0</v>
      </c>
      <c r="G839" s="1865">
        <v>0</v>
      </c>
      <c r="H839" s="1866"/>
      <c r="I839" s="2142">
        <f t="shared" si="74"/>
        <v>0</v>
      </c>
      <c r="J839" s="2114"/>
      <c r="K839" s="1926"/>
      <c r="L839" s="2114"/>
      <c r="M839" s="2143">
        <f t="shared" si="75"/>
        <v>0</v>
      </c>
    </row>
    <row r="840" spans="1:38">
      <c r="A840" s="662"/>
      <c r="B840" s="2103"/>
      <c r="C840" s="2141"/>
      <c r="D840" s="2124">
        <f t="shared" si="73"/>
        <v>0</v>
      </c>
      <c r="E840" s="1926"/>
      <c r="F840" s="2114"/>
      <c r="G840" s="1926"/>
      <c r="H840" s="2114"/>
      <c r="I840" s="2142">
        <f t="shared" si="74"/>
        <v>0</v>
      </c>
      <c r="J840" s="2114"/>
      <c r="K840" s="1926"/>
      <c r="L840" s="2114"/>
      <c r="M840" s="2143">
        <f t="shared" si="75"/>
        <v>0</v>
      </c>
    </row>
    <row r="841" spans="1:38" s="870" customFormat="1">
      <c r="A841" s="662"/>
      <c r="B841" s="2107" t="s">
        <v>345</v>
      </c>
      <c r="C841" s="2144"/>
      <c r="D841" s="2124">
        <f t="shared" si="73"/>
        <v>3808.0478749999347</v>
      </c>
      <c r="E841" s="1926">
        <f>E835-E837+E839</f>
        <v>0</v>
      </c>
      <c r="F841" s="2114">
        <f>F835-F837+F839</f>
        <v>0</v>
      </c>
      <c r="G841" s="1926">
        <f>G835-G837+G839</f>
        <v>3808.0478749999347</v>
      </c>
      <c r="H841" s="2114">
        <f>H835-H837+H839</f>
        <v>0</v>
      </c>
      <c r="I841" s="2142">
        <f t="shared" si="74"/>
        <v>3808.0478749999347</v>
      </c>
      <c r="J841" s="2114">
        <f>J835-J837+J839</f>
        <v>0</v>
      </c>
      <c r="K841" s="1926">
        <f>K835-K837+K839</f>
        <v>0</v>
      </c>
      <c r="L841" s="2114">
        <f>L835-L837+L839</f>
        <v>0</v>
      </c>
      <c r="M841" s="2143">
        <f t="shared" si="75"/>
        <v>0</v>
      </c>
      <c r="N841"/>
      <c r="O841"/>
      <c r="P841"/>
      <c r="Q841"/>
      <c r="R841"/>
      <c r="S841"/>
      <c r="T841"/>
      <c r="U841"/>
      <c r="V841"/>
      <c r="W841"/>
      <c r="X841"/>
      <c r="Y841"/>
      <c r="Z841"/>
      <c r="AA841"/>
      <c r="AB841" s="2976"/>
      <c r="AC841" s="2976"/>
      <c r="AD841" s="2976"/>
      <c r="AE841" s="2976"/>
      <c r="AF841" s="2976"/>
      <c r="AG841" s="2976"/>
      <c r="AH841" s="2976"/>
      <c r="AI841" s="2976"/>
      <c r="AJ841" s="2976"/>
      <c r="AK841" s="2976"/>
      <c r="AL841" s="2976"/>
    </row>
    <row r="842" spans="1:38">
      <c r="A842" s="662"/>
      <c r="B842" s="2107"/>
      <c r="C842" s="2144"/>
      <c r="D842" s="2124">
        <f t="shared" si="73"/>
        <v>0</v>
      </c>
      <c r="E842" s="1926"/>
      <c r="F842" s="2114"/>
      <c r="G842" s="1926"/>
      <c r="H842" s="2114"/>
      <c r="I842" s="2142">
        <f t="shared" si="74"/>
        <v>0</v>
      </c>
      <c r="J842" s="2114"/>
      <c r="K842" s="1926"/>
      <c r="L842" s="2114"/>
      <c r="M842" s="2143">
        <f t="shared" si="75"/>
        <v>0</v>
      </c>
    </row>
    <row r="843" spans="1:38" s="870" customFormat="1">
      <c r="A843" s="662"/>
      <c r="B843" s="2107" t="s">
        <v>346</v>
      </c>
      <c r="C843" s="2144"/>
      <c r="D843" s="2124">
        <f t="shared" si="73"/>
        <v>61913.163783956188</v>
      </c>
      <c r="E843" s="1926">
        <f>SUM(E844:E848)</f>
        <v>59676.919278461675</v>
      </c>
      <c r="F843" s="2114">
        <f>SUM(F844:F848)</f>
        <v>0</v>
      </c>
      <c r="G843" s="1926">
        <f>SUM(G844:G848)</f>
        <v>2236.2445054945097</v>
      </c>
      <c r="H843" s="2114">
        <f>SUM(H844:H848)</f>
        <v>0</v>
      </c>
      <c r="I843" s="2142">
        <f t="shared" si="74"/>
        <v>2236.2445054945097</v>
      </c>
      <c r="J843" s="2114">
        <f>SUM(J844:J848)</f>
        <v>0</v>
      </c>
      <c r="K843" s="1926">
        <f>SUM(K844:K848)</f>
        <v>0</v>
      </c>
      <c r="L843" s="2114">
        <f>SUM(L844:L848)</f>
        <v>0</v>
      </c>
      <c r="M843" s="2143">
        <f t="shared" si="75"/>
        <v>0</v>
      </c>
      <c r="N843"/>
      <c r="O843"/>
      <c r="P843"/>
      <c r="Q843"/>
      <c r="R843"/>
      <c r="S843"/>
      <c r="T843"/>
      <c r="U843"/>
      <c r="V843"/>
      <c r="W843"/>
      <c r="X843"/>
      <c r="Y843"/>
      <c r="Z843"/>
      <c r="AA843"/>
      <c r="AB843" s="2976"/>
      <c r="AC843" s="2976"/>
      <c r="AD843" s="2976"/>
      <c r="AE843" s="2976"/>
      <c r="AF843" s="2976"/>
      <c r="AG843" s="2976"/>
      <c r="AH843" s="2976"/>
      <c r="AI843" s="2976"/>
      <c r="AJ843" s="2976"/>
      <c r="AK843" s="2976"/>
      <c r="AL843" s="2976"/>
    </row>
    <row r="844" spans="1:38">
      <c r="A844" s="662"/>
      <c r="B844" s="2103" t="s">
        <v>347</v>
      </c>
      <c r="C844" s="2141">
        <v>1</v>
      </c>
      <c r="D844" s="2124">
        <f t="shared" si="73"/>
        <v>61913.163783956188</v>
      </c>
      <c r="E844" s="1865">
        <v>59676.919278461675</v>
      </c>
      <c r="F844" s="1866"/>
      <c r="G844" s="1865">
        <v>2236.2445054945097</v>
      </c>
      <c r="H844" s="1866"/>
      <c r="I844" s="2142">
        <f t="shared" si="74"/>
        <v>2236.2445054945097</v>
      </c>
      <c r="J844" s="2114"/>
      <c r="K844" s="1926"/>
      <c r="L844" s="2114"/>
      <c r="M844" s="2143">
        <f t="shared" si="75"/>
        <v>0</v>
      </c>
    </row>
    <row r="845" spans="1:38">
      <c r="A845" s="662"/>
      <c r="B845" s="2103" t="s">
        <v>348</v>
      </c>
      <c r="C845" s="2141">
        <v>2</v>
      </c>
      <c r="D845" s="2124">
        <f t="shared" si="73"/>
        <v>0</v>
      </c>
      <c r="E845" s="1926"/>
      <c r="F845" s="2114"/>
      <c r="G845" s="1926"/>
      <c r="H845" s="2114"/>
      <c r="I845" s="2142">
        <f t="shared" si="74"/>
        <v>0</v>
      </c>
      <c r="J845" s="2114"/>
      <c r="K845" s="1926"/>
      <c r="L845" s="2114"/>
      <c r="M845" s="2143">
        <f t="shared" si="75"/>
        <v>0</v>
      </c>
    </row>
    <row r="846" spans="1:38">
      <c r="A846" s="662"/>
      <c r="B846" s="2103" t="s">
        <v>349</v>
      </c>
      <c r="C846" s="2141"/>
      <c r="D846" s="2124">
        <f t="shared" si="73"/>
        <v>0</v>
      </c>
      <c r="E846" s="1865"/>
      <c r="F846" s="1866"/>
      <c r="G846" s="1865"/>
      <c r="H846" s="1866"/>
      <c r="I846" s="2142">
        <f t="shared" si="74"/>
        <v>0</v>
      </c>
      <c r="J846" s="2114"/>
      <c r="K846" s="1926"/>
      <c r="L846" s="2114"/>
      <c r="M846" s="2143">
        <f t="shared" si="75"/>
        <v>0</v>
      </c>
    </row>
    <row r="847" spans="1:38">
      <c r="A847" s="662"/>
      <c r="B847" s="2103" t="s">
        <v>350</v>
      </c>
      <c r="C847" s="2141"/>
      <c r="D847" s="2124">
        <f t="shared" si="73"/>
        <v>0</v>
      </c>
      <c r="E847" s="1865"/>
      <c r="F847" s="1866"/>
      <c r="G847" s="1865"/>
      <c r="H847" s="1866"/>
      <c r="I847" s="2142">
        <f t="shared" si="74"/>
        <v>0</v>
      </c>
      <c r="J847" s="2114"/>
      <c r="K847" s="1926"/>
      <c r="L847" s="2114"/>
      <c r="M847" s="2143">
        <f t="shared" si="75"/>
        <v>0</v>
      </c>
    </row>
    <row r="848" spans="1:38">
      <c r="A848" s="662"/>
      <c r="B848" s="2103" t="s">
        <v>351</v>
      </c>
      <c r="C848" s="2141">
        <v>3</v>
      </c>
      <c r="D848" s="2124">
        <f t="shared" si="73"/>
        <v>0</v>
      </c>
      <c r="E848" s="1865"/>
      <c r="F848" s="1866"/>
      <c r="G848" s="1865"/>
      <c r="H848" s="1866"/>
      <c r="I848" s="2142">
        <f t="shared" si="74"/>
        <v>0</v>
      </c>
      <c r="J848" s="2114"/>
      <c r="K848" s="1926"/>
      <c r="L848" s="2114"/>
      <c r="M848" s="2143">
        <f t="shared" si="75"/>
        <v>0</v>
      </c>
    </row>
    <row r="849" spans="1:38">
      <c r="A849" s="662"/>
      <c r="B849" s="2103" t="s">
        <v>353</v>
      </c>
      <c r="C849" s="2141"/>
      <c r="D849" s="2124">
        <f t="shared" si="73"/>
        <v>0</v>
      </c>
      <c r="E849" s="1926"/>
      <c r="F849" s="2114"/>
      <c r="G849" s="1926"/>
      <c r="H849" s="2114"/>
      <c r="I849" s="2142">
        <f t="shared" si="74"/>
        <v>0</v>
      </c>
      <c r="J849" s="2114"/>
      <c r="K849" s="1926"/>
      <c r="L849" s="2114"/>
      <c r="M849" s="2143">
        <f t="shared" si="75"/>
        <v>0</v>
      </c>
    </row>
    <row r="850" spans="1:38">
      <c r="A850" s="662"/>
      <c r="B850" s="2103" t="s">
        <v>353</v>
      </c>
      <c r="C850" s="2141"/>
      <c r="D850" s="2124">
        <f t="shared" si="73"/>
        <v>0</v>
      </c>
      <c r="E850" s="1926"/>
      <c r="F850" s="2114"/>
      <c r="G850" s="1926"/>
      <c r="H850" s="2114"/>
      <c r="I850" s="2142">
        <f t="shared" si="74"/>
        <v>0</v>
      </c>
      <c r="J850" s="2114"/>
      <c r="K850" s="1926"/>
      <c r="L850" s="2114"/>
      <c r="M850" s="2143">
        <f t="shared" si="75"/>
        <v>0</v>
      </c>
    </row>
    <row r="851" spans="1:38">
      <c r="A851" s="662"/>
      <c r="B851" s="2103"/>
      <c r="C851" s="2141"/>
      <c r="D851" s="2124">
        <f t="shared" si="73"/>
        <v>0</v>
      </c>
      <c r="E851" s="1926"/>
      <c r="F851" s="2114"/>
      <c r="G851" s="1926"/>
      <c r="H851" s="2114"/>
      <c r="I851" s="2142">
        <f t="shared" si="74"/>
        <v>0</v>
      </c>
      <c r="J851" s="2114"/>
      <c r="K851" s="1926"/>
      <c r="L851" s="2114"/>
      <c r="M851" s="2143">
        <f t="shared" si="75"/>
        <v>0</v>
      </c>
    </row>
    <row r="852" spans="1:38" s="870" customFormat="1">
      <c r="A852" s="662"/>
      <c r="B852" s="2109" t="s">
        <v>354</v>
      </c>
      <c r="C852" s="2144"/>
      <c r="D852" s="2124">
        <f t="shared" si="73"/>
        <v>65721.211658956119</v>
      </c>
      <c r="E852" s="1926">
        <f>E841+E843</f>
        <v>59676.919278461675</v>
      </c>
      <c r="F852" s="2114">
        <f>F841+F843</f>
        <v>0</v>
      </c>
      <c r="G852" s="1926">
        <f>G841+G843</f>
        <v>6044.2923804944439</v>
      </c>
      <c r="H852" s="2114">
        <f>H841+H843</f>
        <v>0</v>
      </c>
      <c r="I852" s="2142">
        <f t="shared" si="74"/>
        <v>6044.2923804944439</v>
      </c>
      <c r="J852" s="2114">
        <f>J841+J843</f>
        <v>0</v>
      </c>
      <c r="K852" s="1926">
        <f>K841+K843</f>
        <v>0</v>
      </c>
      <c r="L852" s="2114">
        <f>L841+L843</f>
        <v>0</v>
      </c>
      <c r="M852" s="2143">
        <f t="shared" si="75"/>
        <v>0</v>
      </c>
      <c r="N852"/>
      <c r="O852"/>
      <c r="P852"/>
      <c r="Q852"/>
      <c r="R852"/>
      <c r="S852"/>
      <c r="T852"/>
      <c r="U852"/>
      <c r="V852"/>
      <c r="W852"/>
      <c r="X852"/>
      <c r="Y852"/>
      <c r="Z852"/>
      <c r="AA852"/>
      <c r="AB852" s="2976"/>
      <c r="AC852" s="2976"/>
      <c r="AD852" s="2976"/>
      <c r="AE852" s="2976"/>
      <c r="AF852" s="2976"/>
      <c r="AG852" s="2976"/>
      <c r="AH852" s="2976"/>
      <c r="AI852" s="2976"/>
      <c r="AJ852" s="2976"/>
      <c r="AK852" s="2976"/>
      <c r="AL852" s="2976"/>
    </row>
    <row r="853" spans="1:38">
      <c r="A853" s="662"/>
      <c r="B853" s="2109"/>
      <c r="C853" s="2144"/>
      <c r="D853" s="2124">
        <f t="shared" si="73"/>
        <v>0</v>
      </c>
      <c r="E853" s="1926"/>
      <c r="F853" s="2114"/>
      <c r="G853" s="1926"/>
      <c r="H853" s="2114"/>
      <c r="I853" s="2142">
        <f t="shared" si="74"/>
        <v>0</v>
      </c>
      <c r="J853" s="2114"/>
      <c r="K853" s="1926"/>
      <c r="L853" s="2114"/>
      <c r="M853" s="2143"/>
    </row>
    <row r="854" spans="1:38">
      <c r="A854" s="662"/>
      <c r="B854" s="2103" t="s">
        <v>355</v>
      </c>
      <c r="C854" s="2141"/>
      <c r="D854" s="2124">
        <f t="shared" si="73"/>
        <v>0</v>
      </c>
      <c r="E854" s="1926"/>
      <c r="F854" s="2114"/>
      <c r="G854" s="1926"/>
      <c r="H854" s="2114"/>
      <c r="I854" s="2142">
        <f t="shared" si="74"/>
        <v>0</v>
      </c>
      <c r="J854" s="2114"/>
      <c r="K854" s="1926"/>
      <c r="L854" s="2114"/>
      <c r="M854" s="2143">
        <f t="shared" ref="M854:M872" si="76">L854+K854+J854</f>
        <v>0</v>
      </c>
    </row>
    <row r="855" spans="1:38">
      <c r="A855" s="662"/>
      <c r="B855" s="2103" t="s">
        <v>356</v>
      </c>
      <c r="C855" s="2141"/>
      <c r="D855" s="2124">
        <f t="shared" si="73"/>
        <v>0</v>
      </c>
      <c r="E855" s="1926"/>
      <c r="F855" s="2132"/>
      <c r="G855" s="905"/>
      <c r="H855" s="2132"/>
      <c r="I855" s="2142">
        <f t="shared" si="74"/>
        <v>0</v>
      </c>
      <c r="J855" s="2114"/>
      <c r="K855" s="1926"/>
      <c r="L855" s="2114"/>
      <c r="M855" s="2143">
        <f t="shared" si="76"/>
        <v>0</v>
      </c>
    </row>
    <row r="856" spans="1:38">
      <c r="A856" s="662"/>
      <c r="B856" s="2103" t="s">
        <v>357</v>
      </c>
      <c r="C856" s="2141"/>
      <c r="D856" s="2124">
        <f t="shared" si="73"/>
        <v>9210.8619999999992</v>
      </c>
      <c r="E856" s="1926"/>
      <c r="F856" s="883"/>
      <c r="G856" s="884">
        <v>9210.8619999999992</v>
      </c>
      <c r="H856" s="883"/>
      <c r="I856" s="2142">
        <f t="shared" si="74"/>
        <v>9210.8619999999992</v>
      </c>
      <c r="J856" s="2114"/>
      <c r="K856" s="1926"/>
      <c r="L856" s="2114"/>
      <c r="M856" s="2143">
        <f t="shared" si="76"/>
        <v>0</v>
      </c>
    </row>
    <row r="857" spans="1:38" ht="13.5" customHeight="1">
      <c r="A857" s="662"/>
      <c r="B857" s="2110" t="s">
        <v>358</v>
      </c>
      <c r="C857" s="2141"/>
      <c r="D857" s="2124">
        <f t="shared" si="73"/>
        <v>0</v>
      </c>
      <c r="E857" s="1926"/>
      <c r="F857" s="868"/>
      <c r="G857" s="869"/>
      <c r="H857" s="868"/>
      <c r="I857" s="2142">
        <f t="shared" si="74"/>
        <v>0</v>
      </c>
      <c r="J857" s="2114"/>
      <c r="K857" s="1926"/>
      <c r="L857" s="2114"/>
      <c r="M857" s="2143">
        <f t="shared" si="76"/>
        <v>0</v>
      </c>
    </row>
    <row r="858" spans="1:38">
      <c r="A858" s="662"/>
      <c r="B858" s="2103" t="s">
        <v>359</v>
      </c>
      <c r="C858" s="2141"/>
      <c r="D858" s="2124">
        <f t="shared" si="73"/>
        <v>0</v>
      </c>
      <c r="E858" s="1926"/>
      <c r="F858" s="2114"/>
      <c r="G858" s="1926"/>
      <c r="H858" s="2114"/>
      <c r="I858" s="2142">
        <f t="shared" si="74"/>
        <v>0</v>
      </c>
      <c r="J858" s="2114"/>
      <c r="K858" s="1926"/>
      <c r="L858" s="2114"/>
      <c r="M858" s="2143">
        <f t="shared" si="76"/>
        <v>0</v>
      </c>
    </row>
    <row r="859" spans="1:38" ht="26.45">
      <c r="A859" s="662"/>
      <c r="B859" s="2110" t="s">
        <v>360</v>
      </c>
      <c r="C859" s="2141"/>
      <c r="D859" s="2124">
        <f t="shared" si="73"/>
        <v>0</v>
      </c>
      <c r="E859" s="1926"/>
      <c r="F859" s="2114"/>
      <c r="G859" s="1926"/>
      <c r="H859" s="2114"/>
      <c r="I859" s="2142">
        <f t="shared" si="74"/>
        <v>0</v>
      </c>
      <c r="J859" s="2114"/>
      <c r="K859" s="1926"/>
      <c r="L859" s="2114"/>
      <c r="M859" s="2143">
        <f t="shared" si="76"/>
        <v>0</v>
      </c>
    </row>
    <row r="860" spans="1:38" s="870" customFormat="1">
      <c r="A860" s="662"/>
      <c r="B860" s="2109" t="s">
        <v>361</v>
      </c>
      <c r="C860" s="2144"/>
      <c r="D860" s="2124">
        <f t="shared" si="73"/>
        <v>9210.8619999999992</v>
      </c>
      <c r="E860" s="1926">
        <f>SUM(E854:E859)</f>
        <v>0</v>
      </c>
      <c r="F860" s="2114">
        <f>SUM(F854:F859)</f>
        <v>0</v>
      </c>
      <c r="G860" s="1926">
        <f>SUM(G854:G859)</f>
        <v>9210.8619999999992</v>
      </c>
      <c r="H860" s="2114">
        <f>SUM(H854:H859)</f>
        <v>0</v>
      </c>
      <c r="I860" s="2142">
        <f t="shared" si="74"/>
        <v>9210.8619999999992</v>
      </c>
      <c r="J860" s="2114">
        <f>SUM(J854:J859)</f>
        <v>0</v>
      </c>
      <c r="K860" s="1926">
        <f>SUM(K854:K859)</f>
        <v>0</v>
      </c>
      <c r="L860" s="2114">
        <f>SUM(L854:L859)</f>
        <v>0</v>
      </c>
      <c r="M860" s="2143">
        <f t="shared" si="76"/>
        <v>0</v>
      </c>
      <c r="N860"/>
      <c r="O860"/>
      <c r="P860"/>
      <c r="Q860"/>
      <c r="R860"/>
      <c r="S860"/>
      <c r="T860"/>
      <c r="U860"/>
      <c r="V860"/>
      <c r="W860"/>
      <c r="X860"/>
      <c r="Y860"/>
      <c r="Z860"/>
      <c r="AA860"/>
      <c r="AB860" s="2976"/>
      <c r="AC860" s="2976"/>
      <c r="AD860" s="2976"/>
      <c r="AE860" s="2976"/>
      <c r="AF860" s="2976"/>
      <c r="AG860" s="2976"/>
      <c r="AH860" s="2976"/>
      <c r="AI860" s="2976"/>
      <c r="AJ860" s="2976"/>
      <c r="AK860" s="2976"/>
      <c r="AL860" s="2976"/>
    </row>
    <row r="861" spans="1:38">
      <c r="A861" s="662"/>
      <c r="B861" s="2103"/>
      <c r="C861" s="2141"/>
      <c r="D861" s="2124">
        <f t="shared" si="73"/>
        <v>0</v>
      </c>
      <c r="E861" s="1926"/>
      <c r="F861" s="2114"/>
      <c r="G861" s="1926"/>
      <c r="H861" s="2114"/>
      <c r="I861" s="2142">
        <f t="shared" si="74"/>
        <v>0</v>
      </c>
      <c r="J861" s="2114"/>
      <c r="K861" s="1926"/>
      <c r="L861" s="2114"/>
      <c r="M861" s="2143">
        <f t="shared" si="76"/>
        <v>0</v>
      </c>
    </row>
    <row r="862" spans="1:38" ht="26.45">
      <c r="A862" s="662"/>
      <c r="B862" s="2110" t="s">
        <v>362</v>
      </c>
      <c r="C862" s="2141"/>
      <c r="D862" s="2124">
        <f t="shared" si="73"/>
        <v>1031.0858000000001</v>
      </c>
      <c r="E862" s="1926"/>
      <c r="F862" s="2114"/>
      <c r="G862" s="1926">
        <v>1031.0858000000001</v>
      </c>
      <c r="H862" s="2114"/>
      <c r="I862" s="2142">
        <f t="shared" si="74"/>
        <v>1031.0858000000001</v>
      </c>
      <c r="J862" s="2114"/>
      <c r="K862" s="1926"/>
      <c r="L862" s="2114"/>
      <c r="M862" s="2143">
        <f t="shared" si="76"/>
        <v>0</v>
      </c>
    </row>
    <row r="863" spans="1:38">
      <c r="A863" s="662"/>
      <c r="B863" s="2103"/>
      <c r="C863" s="2141"/>
      <c r="D863" s="2124">
        <f t="shared" si="73"/>
        <v>0</v>
      </c>
      <c r="E863" s="1926"/>
      <c r="F863" s="2114"/>
      <c r="G863" s="1926"/>
      <c r="H863" s="2114"/>
      <c r="I863" s="2142">
        <f t="shared" si="74"/>
        <v>0</v>
      </c>
      <c r="J863" s="2114"/>
      <c r="K863" s="1926"/>
      <c r="L863" s="2114"/>
      <c r="M863" s="2143">
        <f t="shared" si="76"/>
        <v>0</v>
      </c>
    </row>
    <row r="864" spans="1:38" ht="15.75" customHeight="1">
      <c r="A864" s="662"/>
      <c r="B864" s="2110" t="s">
        <v>363</v>
      </c>
      <c r="C864" s="2141">
        <v>4</v>
      </c>
      <c r="D864" s="2124">
        <f t="shared" si="73"/>
        <v>12314.564826</v>
      </c>
      <c r="E864" s="1926">
        <v>3958.1155099999996</v>
      </c>
      <c r="F864" s="2114"/>
      <c r="G864" s="1926">
        <v>8356.4493160000002</v>
      </c>
      <c r="H864" s="2114"/>
      <c r="I864" s="2142">
        <f t="shared" si="74"/>
        <v>8356.4493160000002</v>
      </c>
      <c r="J864" s="2114"/>
      <c r="K864" s="1926"/>
      <c r="L864" s="2114"/>
      <c r="M864" s="2143">
        <f t="shared" si="76"/>
        <v>0</v>
      </c>
    </row>
    <row r="865" spans="1:38">
      <c r="A865" s="662"/>
      <c r="B865" s="2103" t="s">
        <v>364</v>
      </c>
      <c r="C865" s="2141"/>
      <c r="D865" s="2124">
        <f t="shared" si="73"/>
        <v>0</v>
      </c>
      <c r="E865" s="1926"/>
      <c r="F865" s="2114"/>
      <c r="G865" s="1926"/>
      <c r="H865" s="2114"/>
      <c r="I865" s="2142">
        <f t="shared" si="74"/>
        <v>0</v>
      </c>
      <c r="J865" s="2114"/>
      <c r="K865" s="1926"/>
      <c r="L865" s="2114"/>
      <c r="M865" s="2143">
        <f t="shared" si="76"/>
        <v>0</v>
      </c>
    </row>
    <row r="866" spans="1:38">
      <c r="A866" s="662"/>
      <c r="B866" s="2103" t="s">
        <v>365</v>
      </c>
      <c r="C866" s="2141"/>
      <c r="D866" s="2124">
        <f t="shared" si="73"/>
        <v>0</v>
      </c>
      <c r="E866" s="1926"/>
      <c r="F866" s="2114"/>
      <c r="G866" s="1926"/>
      <c r="H866" s="2114"/>
      <c r="I866" s="2142">
        <f t="shared" si="74"/>
        <v>0</v>
      </c>
      <c r="J866" s="2114"/>
      <c r="K866" s="1926"/>
      <c r="L866" s="2114"/>
      <c r="M866" s="2143">
        <f t="shared" si="76"/>
        <v>0</v>
      </c>
    </row>
    <row r="867" spans="1:38" s="870" customFormat="1">
      <c r="A867" s="662"/>
      <c r="B867" s="2109" t="s">
        <v>366</v>
      </c>
      <c r="C867" s="2144"/>
      <c r="D867" s="2124">
        <f t="shared" si="73"/>
        <v>12314.564826</v>
      </c>
      <c r="E867" s="1926">
        <f>SUM(E864:E866)</f>
        <v>3958.1155099999996</v>
      </c>
      <c r="F867" s="2114">
        <f>SUM(F864:F866)</f>
        <v>0</v>
      </c>
      <c r="G867" s="1926">
        <f>SUM(G864:G866)</f>
        <v>8356.4493160000002</v>
      </c>
      <c r="H867" s="2114">
        <f>SUM(H864:H866)</f>
        <v>0</v>
      </c>
      <c r="I867" s="2142">
        <f t="shared" si="74"/>
        <v>8356.4493160000002</v>
      </c>
      <c r="J867" s="2114">
        <f>SUM(J864:J866)</f>
        <v>0</v>
      </c>
      <c r="K867" s="1926">
        <f>SUM(K864:K866)</f>
        <v>0</v>
      </c>
      <c r="L867" s="2114">
        <f>SUM(L864:L866)</f>
        <v>0</v>
      </c>
      <c r="M867" s="2143">
        <f t="shared" si="76"/>
        <v>0</v>
      </c>
      <c r="N867"/>
      <c r="O867"/>
      <c r="P867"/>
      <c r="Q867"/>
      <c r="R867"/>
      <c r="S867"/>
      <c r="T867"/>
      <c r="U867"/>
      <c r="V867"/>
      <c r="W867"/>
      <c r="X867"/>
      <c r="Y867"/>
      <c r="Z867"/>
      <c r="AA867"/>
      <c r="AB867" s="2976"/>
      <c r="AC867" s="2976"/>
      <c r="AD867" s="2976"/>
      <c r="AE867" s="2976"/>
      <c r="AF867" s="2976"/>
      <c r="AG867" s="2976"/>
      <c r="AH867" s="2976"/>
      <c r="AI867" s="2976"/>
      <c r="AJ867" s="2976"/>
      <c r="AK867" s="2976"/>
      <c r="AL867" s="2976"/>
    </row>
    <row r="868" spans="1:38">
      <c r="A868" s="662"/>
      <c r="B868" s="2109"/>
      <c r="C868" s="2144"/>
      <c r="D868" s="2124">
        <f t="shared" si="73"/>
        <v>0</v>
      </c>
      <c r="E868" s="1926"/>
      <c r="F868" s="2114"/>
      <c r="G868" s="1926"/>
      <c r="H868" s="2114"/>
      <c r="I868" s="2142">
        <f t="shared" si="74"/>
        <v>0</v>
      </c>
      <c r="J868" s="2114"/>
      <c r="K868" s="1926"/>
      <c r="L868" s="2114"/>
      <c r="M868" s="2143">
        <f t="shared" si="76"/>
        <v>0</v>
      </c>
    </row>
    <row r="869" spans="1:38" s="870" customFormat="1">
      <c r="A869" s="662"/>
      <c r="B869" s="2109" t="s">
        <v>367</v>
      </c>
      <c r="C869" s="2144"/>
      <c r="D869" s="2124">
        <f t="shared" si="73"/>
        <v>43164.699032956116</v>
      </c>
      <c r="E869" s="1926">
        <f>E852-E860-E862-E867</f>
        <v>55718.803768461672</v>
      </c>
      <c r="F869" s="2114">
        <f>F852-F860-F862-F867</f>
        <v>0</v>
      </c>
      <c r="G869" s="1926">
        <f>G852-G860-G862-G867</f>
        <v>-12554.104735505556</v>
      </c>
      <c r="H869" s="2114">
        <f>H852-H860-H862-H867</f>
        <v>0</v>
      </c>
      <c r="I869" s="2142">
        <f t="shared" si="74"/>
        <v>-12554.104735505556</v>
      </c>
      <c r="J869" s="2114">
        <f>J852-J860-J862-J867</f>
        <v>0</v>
      </c>
      <c r="K869" s="1926">
        <f>K852-K860-K862-K867</f>
        <v>0</v>
      </c>
      <c r="L869" s="2114">
        <f>L852-L860-L862-L867</f>
        <v>0</v>
      </c>
      <c r="M869" s="2143">
        <f t="shared" si="76"/>
        <v>0</v>
      </c>
      <c r="N869"/>
      <c r="O869"/>
      <c r="P869"/>
      <c r="Q869"/>
      <c r="R869"/>
      <c r="S869"/>
      <c r="T869"/>
      <c r="U869"/>
      <c r="V869"/>
      <c r="W869"/>
      <c r="X869"/>
      <c r="Y869"/>
      <c r="Z869"/>
      <c r="AA869"/>
      <c r="AB869" s="2976"/>
      <c r="AC869" s="2976"/>
      <c r="AD869" s="2976"/>
      <c r="AE869" s="2976"/>
      <c r="AF869" s="2976"/>
      <c r="AG869" s="2976"/>
      <c r="AH869" s="2976"/>
      <c r="AI869" s="2976"/>
      <c r="AJ869" s="2976"/>
      <c r="AK869" s="2976"/>
      <c r="AL869" s="2976"/>
    </row>
    <row r="870" spans="1:38">
      <c r="A870" s="662"/>
      <c r="B870" s="2103" t="s">
        <v>368</v>
      </c>
      <c r="C870" s="2141"/>
      <c r="D870" s="2124">
        <f t="shared" si="73"/>
        <v>15507.55776742164</v>
      </c>
      <c r="E870" s="1926">
        <v>15507.55776742164</v>
      </c>
      <c r="F870" s="2114"/>
      <c r="G870" s="1926"/>
      <c r="H870" s="2114"/>
      <c r="I870" s="2142">
        <f t="shared" si="74"/>
        <v>0</v>
      </c>
      <c r="J870" s="2114"/>
      <c r="K870" s="1926"/>
      <c r="L870" s="2114"/>
      <c r="M870" s="2143">
        <f t="shared" si="76"/>
        <v>0</v>
      </c>
    </row>
    <row r="871" spans="1:38">
      <c r="A871" s="662"/>
      <c r="B871" s="2103"/>
      <c r="C871" s="2141"/>
      <c r="D871" s="2124">
        <f t="shared" si="73"/>
        <v>0</v>
      </c>
      <c r="E871" s="1926"/>
      <c r="F871" s="2114"/>
      <c r="G871" s="1926"/>
      <c r="H871" s="2114"/>
      <c r="I871" s="2142">
        <f t="shared" si="74"/>
        <v>0</v>
      </c>
      <c r="J871" s="2114"/>
      <c r="K871" s="1926"/>
      <c r="L871" s="2114"/>
      <c r="M871" s="2143">
        <f t="shared" si="76"/>
        <v>0</v>
      </c>
    </row>
    <row r="872" spans="1:38" s="870" customFormat="1" ht="15" thickBot="1">
      <c r="A872" s="662"/>
      <c r="B872" s="1338" t="s">
        <v>369</v>
      </c>
      <c r="C872" s="1370"/>
      <c r="D872" s="1350">
        <f t="shared" si="73"/>
        <v>27657.141265534476</v>
      </c>
      <c r="E872" s="1360">
        <f>E869-E870</f>
        <v>40211.246001040032</v>
      </c>
      <c r="F872" s="1350">
        <f>F869-F870</f>
        <v>0</v>
      </c>
      <c r="G872" s="1360">
        <f>G869-G870</f>
        <v>-12554.104735505556</v>
      </c>
      <c r="H872" s="1350">
        <f>H869-H870</f>
        <v>0</v>
      </c>
      <c r="I872" s="1360">
        <f t="shared" si="74"/>
        <v>-12554.104735505556</v>
      </c>
      <c r="J872" s="1350">
        <f>J869-J870</f>
        <v>0</v>
      </c>
      <c r="K872" s="1360">
        <f>K869-K870</f>
        <v>0</v>
      </c>
      <c r="L872" s="1350">
        <f>L869-L870</f>
        <v>0</v>
      </c>
      <c r="M872" s="1371">
        <f t="shared" si="76"/>
        <v>0</v>
      </c>
      <c r="N872"/>
      <c r="O872"/>
      <c r="P872"/>
      <c r="Q872"/>
      <c r="R872"/>
      <c r="S872"/>
      <c r="T872"/>
      <c r="U872"/>
      <c r="V872"/>
      <c r="W872"/>
      <c r="X872"/>
      <c r="Y872"/>
      <c r="Z872"/>
      <c r="AA872"/>
      <c r="AB872" s="2976"/>
      <c r="AC872" s="2976"/>
      <c r="AD872" s="2976"/>
      <c r="AE872" s="2976"/>
      <c r="AF872" s="2976"/>
      <c r="AG872" s="2976"/>
      <c r="AH872" s="2976"/>
      <c r="AI872" s="2976"/>
      <c r="AJ872" s="2976"/>
      <c r="AK872" s="2976"/>
      <c r="AL872" s="2976"/>
    </row>
    <row r="873" spans="1:38">
      <c r="A873" s="662"/>
      <c r="B873" s="662"/>
      <c r="C873" s="662"/>
      <c r="D873" s="662"/>
      <c r="E873" s="662"/>
      <c r="F873" s="662"/>
      <c r="G873" s="662"/>
      <c r="H873" s="662"/>
      <c r="I873" s="662"/>
      <c r="J873" s="662"/>
      <c r="K873" s="662"/>
      <c r="L873" s="662"/>
      <c r="M873" s="662"/>
    </row>
    <row r="874" spans="1:38">
      <c r="A874" s="662"/>
      <c r="B874" s="662"/>
      <c r="C874" s="662"/>
      <c r="D874" s="670"/>
      <c r="E874" s="670"/>
      <c r="F874" s="670"/>
      <c r="G874" s="670"/>
      <c r="H874" s="670"/>
      <c r="I874" s="670"/>
      <c r="J874" s="662"/>
      <c r="K874" s="662"/>
      <c r="L874" s="662"/>
      <c r="M874" s="662"/>
    </row>
    <row r="875" spans="1:38">
      <c r="B875"/>
      <c r="C875"/>
      <c r="D875"/>
      <c r="E875"/>
      <c r="F875"/>
      <c r="G875"/>
      <c r="H875"/>
      <c r="I875"/>
      <c r="J875"/>
      <c r="K875"/>
      <c r="L875"/>
      <c r="M875"/>
    </row>
  </sheetData>
  <mergeCells count="264">
    <mergeCell ref="L829:M829"/>
    <mergeCell ref="B830:B834"/>
    <mergeCell ref="C830:C834"/>
    <mergeCell ref="D830:D832"/>
    <mergeCell ref="E830:E832"/>
    <mergeCell ref="F830:M830"/>
    <mergeCell ref="F831:I831"/>
    <mergeCell ref="J831:M831"/>
    <mergeCell ref="E833:E834"/>
    <mergeCell ref="F833:F834"/>
    <mergeCell ref="G833:G834"/>
    <mergeCell ref="H833:H834"/>
    <mergeCell ref="J833:J834"/>
    <mergeCell ref="K833:K834"/>
    <mergeCell ref="L833:L834"/>
    <mergeCell ref="E737:E738"/>
    <mergeCell ref="F737:F738"/>
    <mergeCell ref="G737:G738"/>
    <mergeCell ref="H737:H738"/>
    <mergeCell ref="J737:J738"/>
    <mergeCell ref="K737:K738"/>
    <mergeCell ref="L737:L738"/>
    <mergeCell ref="L781:M781"/>
    <mergeCell ref="B782:B786"/>
    <mergeCell ref="C782:C786"/>
    <mergeCell ref="D782:D784"/>
    <mergeCell ref="E782:E784"/>
    <mergeCell ref="F782:M782"/>
    <mergeCell ref="F783:I783"/>
    <mergeCell ref="J783:M783"/>
    <mergeCell ref="E785:E786"/>
    <mergeCell ref="F785:F786"/>
    <mergeCell ref="G785:G786"/>
    <mergeCell ref="H785:H786"/>
    <mergeCell ref="J785:J786"/>
    <mergeCell ref="K785:K786"/>
    <mergeCell ref="L785:L786"/>
    <mergeCell ref="J642:J643"/>
    <mergeCell ref="K642:K643"/>
    <mergeCell ref="L642:L643"/>
    <mergeCell ref="L685:M685"/>
    <mergeCell ref="B686:B690"/>
    <mergeCell ref="C686:C690"/>
    <mergeCell ref="D686:D688"/>
    <mergeCell ref="E686:E688"/>
    <mergeCell ref="F686:M686"/>
    <mergeCell ref="F687:I687"/>
    <mergeCell ref="J687:M687"/>
    <mergeCell ref="E689:E690"/>
    <mergeCell ref="F689:F690"/>
    <mergeCell ref="G689:G690"/>
    <mergeCell ref="H689:H690"/>
    <mergeCell ref="J689:J690"/>
    <mergeCell ref="K689:K690"/>
    <mergeCell ref="L689:L690"/>
    <mergeCell ref="H642:H643"/>
    <mergeCell ref="J545:J546"/>
    <mergeCell ref="K545:K546"/>
    <mergeCell ref="L545:L546"/>
    <mergeCell ref="L589:M589"/>
    <mergeCell ref="B590:B594"/>
    <mergeCell ref="C590:C594"/>
    <mergeCell ref="D590:D592"/>
    <mergeCell ref="E590:E592"/>
    <mergeCell ref="F590:M590"/>
    <mergeCell ref="F591:I591"/>
    <mergeCell ref="J591:M591"/>
    <mergeCell ref="E593:E594"/>
    <mergeCell ref="F593:F594"/>
    <mergeCell ref="G593:G594"/>
    <mergeCell ref="H593:H594"/>
    <mergeCell ref="J593:J594"/>
    <mergeCell ref="K593:K594"/>
    <mergeCell ref="L593:L594"/>
    <mergeCell ref="C542:C546"/>
    <mergeCell ref="D542:D544"/>
    <mergeCell ref="E542:E544"/>
    <mergeCell ref="F542:M542"/>
    <mergeCell ref="F543:I543"/>
    <mergeCell ref="J543:M543"/>
    <mergeCell ref="F494:M494"/>
    <mergeCell ref="F495:I495"/>
    <mergeCell ref="J495:M495"/>
    <mergeCell ref="E497:E498"/>
    <mergeCell ref="F497:F498"/>
    <mergeCell ref="G497:G498"/>
    <mergeCell ref="H497:H498"/>
    <mergeCell ref="J497:J498"/>
    <mergeCell ref="K497:K498"/>
    <mergeCell ref="L497:L498"/>
    <mergeCell ref="L397:M397"/>
    <mergeCell ref="B398:B402"/>
    <mergeCell ref="C398:C402"/>
    <mergeCell ref="D398:D400"/>
    <mergeCell ref="E398:E400"/>
    <mergeCell ref="F398:M398"/>
    <mergeCell ref="F399:I399"/>
    <mergeCell ref="J399:M399"/>
    <mergeCell ref="E401:E402"/>
    <mergeCell ref="F401:F402"/>
    <mergeCell ref="G401:G402"/>
    <mergeCell ref="H401:H402"/>
    <mergeCell ref="J401:J402"/>
    <mergeCell ref="K401:K402"/>
    <mergeCell ref="L401:L402"/>
    <mergeCell ref="L298:M298"/>
    <mergeCell ref="B299:B303"/>
    <mergeCell ref="C299:C303"/>
    <mergeCell ref="D299:D301"/>
    <mergeCell ref="E299:E301"/>
    <mergeCell ref="F299:M299"/>
    <mergeCell ref="F300:I300"/>
    <mergeCell ref="J300:M300"/>
    <mergeCell ref="E302:E303"/>
    <mergeCell ref="F302:F303"/>
    <mergeCell ref="G302:G303"/>
    <mergeCell ref="H302:H303"/>
    <mergeCell ref="J302:J303"/>
    <mergeCell ref="K302:K303"/>
    <mergeCell ref="L302:L303"/>
    <mergeCell ref="L198:M198"/>
    <mergeCell ref="B199:B203"/>
    <mergeCell ref="C199:C203"/>
    <mergeCell ref="D199:D201"/>
    <mergeCell ref="E199:E201"/>
    <mergeCell ref="F199:M199"/>
    <mergeCell ref="F200:I200"/>
    <mergeCell ref="J200:M200"/>
    <mergeCell ref="E202:E203"/>
    <mergeCell ref="F202:F203"/>
    <mergeCell ref="G202:G203"/>
    <mergeCell ref="J202:J203"/>
    <mergeCell ref="K202:K203"/>
    <mergeCell ref="L202:L203"/>
    <mergeCell ref="B7:B11"/>
    <mergeCell ref="C7:C11"/>
    <mergeCell ref="D7:D9"/>
    <mergeCell ref="E7:E9"/>
    <mergeCell ref="F7:M7"/>
    <mergeCell ref="F8:I8"/>
    <mergeCell ref="J8:M8"/>
    <mergeCell ref="E10:E11"/>
    <mergeCell ref="F10:F11"/>
    <mergeCell ref="G10:G11"/>
    <mergeCell ref="H10:H11"/>
    <mergeCell ref="J10:J11"/>
    <mergeCell ref="K10:K11"/>
    <mergeCell ref="L10:L11"/>
    <mergeCell ref="L53:M53"/>
    <mergeCell ref="L101:M101"/>
    <mergeCell ref="L105:L106"/>
    <mergeCell ref="L733:M733"/>
    <mergeCell ref="B734:B738"/>
    <mergeCell ref="C734:C738"/>
    <mergeCell ref="D734:D736"/>
    <mergeCell ref="E734:E736"/>
    <mergeCell ref="F734:M734"/>
    <mergeCell ref="F735:I735"/>
    <mergeCell ref="J735:M735"/>
    <mergeCell ref="L638:M638"/>
    <mergeCell ref="B639:B643"/>
    <mergeCell ref="C639:C643"/>
    <mergeCell ref="D639:D641"/>
    <mergeCell ref="E639:E641"/>
    <mergeCell ref="F639:M639"/>
    <mergeCell ref="F640:I640"/>
    <mergeCell ref="J640:M640"/>
    <mergeCell ref="E642:E643"/>
    <mergeCell ref="F642:F643"/>
    <mergeCell ref="G642:G643"/>
    <mergeCell ref="L541:M541"/>
    <mergeCell ref="B542:B546"/>
    <mergeCell ref="E545:E546"/>
    <mergeCell ref="F545:F546"/>
    <mergeCell ref="G545:G546"/>
    <mergeCell ref="L445:M445"/>
    <mergeCell ref="B446:B450"/>
    <mergeCell ref="C446:C450"/>
    <mergeCell ref="D446:D448"/>
    <mergeCell ref="E446:E448"/>
    <mergeCell ref="F446:M446"/>
    <mergeCell ref="F447:I447"/>
    <mergeCell ref="J447:M447"/>
    <mergeCell ref="E449:E450"/>
    <mergeCell ref="F449:F450"/>
    <mergeCell ref="G449:G450"/>
    <mergeCell ref="H449:H450"/>
    <mergeCell ref="H545:H546"/>
    <mergeCell ref="J449:J450"/>
    <mergeCell ref="K449:K450"/>
    <mergeCell ref="L449:L450"/>
    <mergeCell ref="L493:M493"/>
    <mergeCell ref="B494:B498"/>
    <mergeCell ref="C494:C498"/>
    <mergeCell ref="D494:D496"/>
    <mergeCell ref="E494:E496"/>
    <mergeCell ref="L347:M347"/>
    <mergeCell ref="B348:B352"/>
    <mergeCell ref="C348:C352"/>
    <mergeCell ref="D348:D350"/>
    <mergeCell ref="E348:E350"/>
    <mergeCell ref="F348:M348"/>
    <mergeCell ref="F349:I349"/>
    <mergeCell ref="J349:M349"/>
    <mergeCell ref="E351:E352"/>
    <mergeCell ref="F351:F352"/>
    <mergeCell ref="G351:G352"/>
    <mergeCell ref="H351:H352"/>
    <mergeCell ref="J351:J352"/>
    <mergeCell ref="K351:K352"/>
    <mergeCell ref="L351:L352"/>
    <mergeCell ref="L248:M248"/>
    <mergeCell ref="B249:B253"/>
    <mergeCell ref="C249:C253"/>
    <mergeCell ref="D249:D251"/>
    <mergeCell ref="E249:E251"/>
    <mergeCell ref="F249:M249"/>
    <mergeCell ref="F250:I250"/>
    <mergeCell ref="J250:M250"/>
    <mergeCell ref="E252:E253"/>
    <mergeCell ref="F252:F253"/>
    <mergeCell ref="G252:G253"/>
    <mergeCell ref="J252:J253"/>
    <mergeCell ref="K252:K253"/>
    <mergeCell ref="L252:L253"/>
    <mergeCell ref="L150:M150"/>
    <mergeCell ref="B151:B155"/>
    <mergeCell ref="C151:C155"/>
    <mergeCell ref="D151:D153"/>
    <mergeCell ref="E151:E153"/>
    <mergeCell ref="F151:M151"/>
    <mergeCell ref="F152:I152"/>
    <mergeCell ref="J152:M152"/>
    <mergeCell ref="E154:E155"/>
    <mergeCell ref="F154:F155"/>
    <mergeCell ref="G154:G155"/>
    <mergeCell ref="J154:J155"/>
    <mergeCell ref="K154:K155"/>
    <mergeCell ref="L154:L155"/>
    <mergeCell ref="B54:B58"/>
    <mergeCell ref="C54:C58"/>
    <mergeCell ref="D54:D56"/>
    <mergeCell ref="E54:E56"/>
    <mergeCell ref="F54:M54"/>
    <mergeCell ref="J55:M55"/>
    <mergeCell ref="E57:E58"/>
    <mergeCell ref="F57:F58"/>
    <mergeCell ref="G57:G58"/>
    <mergeCell ref="J57:J58"/>
    <mergeCell ref="K57:K58"/>
    <mergeCell ref="L57:L58"/>
    <mergeCell ref="F55:I55"/>
    <mergeCell ref="B102:B106"/>
    <mergeCell ref="C102:C106"/>
    <mergeCell ref="D102:D104"/>
    <mergeCell ref="E102:E104"/>
    <mergeCell ref="F102:M102"/>
    <mergeCell ref="F103:I103"/>
    <mergeCell ref="J103:M103"/>
    <mergeCell ref="E105:E106"/>
    <mergeCell ref="F105:F106"/>
    <mergeCell ref="G105:G106"/>
    <mergeCell ref="J105:J106"/>
    <mergeCell ref="K105:K106"/>
  </mergeCells>
  <pageMargins left="0.36" right="0.34" top="0.6" bottom="0.75" header="0.3" footer="0.3"/>
  <pageSetup paperSize="9" scale="59" orientation="landscape" r:id="rId1"/>
  <rowBreaks count="17" manualBreakCount="17">
    <brk id="50" max="12" man="1"/>
    <brk id="98" max="12" man="1"/>
    <brk id="146" max="12" man="1"/>
    <brk id="194" max="12" man="1"/>
    <brk id="244" max="12" man="1"/>
    <brk id="294" max="12" man="1"/>
    <brk id="343" max="12" man="1"/>
    <brk id="394" max="12" man="1"/>
    <brk id="442" max="12" man="1"/>
    <brk id="490" max="12" man="1"/>
    <brk id="538" max="12" man="1"/>
    <brk id="586" max="12" man="1"/>
    <brk id="635" max="12" man="1"/>
    <brk id="682" max="12" man="1"/>
    <brk id="730" max="12" man="1"/>
    <brk id="778" max="12" man="1"/>
    <brk id="826" max="12"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C19"/>
  <sheetViews>
    <sheetView view="pageBreakPreview" zoomScaleNormal="100" zoomScaleSheetLayoutView="100" workbookViewId="0">
      <selection activeCell="C8" sqref="C8"/>
    </sheetView>
  </sheetViews>
  <sheetFormatPr defaultColWidth="9.140625" defaultRowHeight="15"/>
  <cols>
    <col min="1" max="1" width="7.85546875" style="505" customWidth="1"/>
    <col min="2" max="2" width="5.85546875" style="509" customWidth="1"/>
    <col min="3" max="3" width="111.140625" style="505" customWidth="1"/>
    <col min="4" max="4" width="10.140625" style="505" customWidth="1"/>
    <col min="5" max="16384" width="9.140625" style="505"/>
  </cols>
  <sheetData>
    <row r="2" spans="1:3">
      <c r="B2" s="508" t="s">
        <v>4</v>
      </c>
    </row>
    <row r="4" spans="1:3" ht="30">
      <c r="B4" s="521" t="s">
        <v>5</v>
      </c>
      <c r="C4" s="506" t="s">
        <v>6</v>
      </c>
    </row>
    <row r="5" spans="1:3" ht="30">
      <c r="B5" s="521" t="s">
        <v>7</v>
      </c>
      <c r="C5" s="506" t="s">
        <v>8</v>
      </c>
    </row>
    <row r="6" spans="1:3" ht="30">
      <c r="B6" s="521" t="s">
        <v>9</v>
      </c>
      <c r="C6" s="506" t="s">
        <v>10</v>
      </c>
    </row>
    <row r="7" spans="1:3" ht="30">
      <c r="B7" s="521" t="s">
        <v>11</v>
      </c>
      <c r="C7" s="1663" t="s">
        <v>12</v>
      </c>
    </row>
    <row r="8" spans="1:3" ht="30">
      <c r="B8" s="521" t="s">
        <v>13</v>
      </c>
      <c r="C8" s="506" t="s">
        <v>14</v>
      </c>
    </row>
    <row r="9" spans="1:3">
      <c r="B9" s="521" t="s">
        <v>15</v>
      </c>
      <c r="C9" s="506" t="s">
        <v>16</v>
      </c>
    </row>
    <row r="10" spans="1:3">
      <c r="B10" s="521" t="s">
        <v>17</v>
      </c>
      <c r="C10" s="506" t="s">
        <v>18</v>
      </c>
    </row>
    <row r="11" spans="1:3">
      <c r="B11" s="521">
        <v>8</v>
      </c>
      <c r="C11" s="506" t="s">
        <v>19</v>
      </c>
    </row>
    <row r="12" spans="1:3">
      <c r="C12" s="520" t="s">
        <v>20</v>
      </c>
    </row>
    <row r="13" spans="1:3">
      <c r="C13" s="520" t="s">
        <v>21</v>
      </c>
    </row>
    <row r="14" spans="1:3">
      <c r="C14" s="520" t="s">
        <v>22</v>
      </c>
    </row>
    <row r="15" spans="1:3">
      <c r="A15" s="3196" t="s">
        <v>23</v>
      </c>
      <c r="B15" s="3196"/>
      <c r="C15" s="3196"/>
    </row>
    <row r="19" spans="3:3">
      <c r="C19" s="522"/>
    </row>
  </sheetData>
  <mergeCells count="1">
    <mergeCell ref="A15:C15"/>
  </mergeCells>
  <pageMargins left="0.7" right="0.7" top="0.75" bottom="0.75" header="0.3" footer="0.3"/>
  <pageSetup paperSize="9" scale="71" orientation="landscape" r:id="rId1"/>
  <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92D050"/>
  </sheetPr>
  <dimension ref="A2:AM828"/>
  <sheetViews>
    <sheetView showGridLines="0" view="pageBreakPreview" zoomScale="80" zoomScaleNormal="80" zoomScaleSheetLayoutView="80" workbookViewId="0">
      <selection activeCell="N63" sqref="N63"/>
    </sheetView>
  </sheetViews>
  <sheetFormatPr defaultColWidth="9.140625" defaultRowHeight="14.45"/>
  <cols>
    <col min="1" max="1" width="14.140625" style="856" customWidth="1"/>
    <col min="2" max="2" width="42" style="856" customWidth="1"/>
    <col min="3" max="3" width="0.140625" style="856" customWidth="1"/>
    <col min="4" max="4" width="19" style="856" customWidth="1"/>
    <col min="5" max="5" width="14.28515625" style="856" customWidth="1"/>
    <col min="6" max="6" width="15.42578125" style="856" customWidth="1"/>
    <col min="7" max="7" width="14.140625" style="856" customWidth="1"/>
    <col min="8" max="8" width="14" style="856" bestFit="1" customWidth="1"/>
    <col min="9" max="9" width="14.140625" style="856" bestFit="1" customWidth="1"/>
    <col min="10" max="10" width="11.7109375" style="856" customWidth="1"/>
    <col min="11" max="11" width="11.28515625" style="856" customWidth="1"/>
    <col min="12" max="12" width="11.140625" style="856" customWidth="1"/>
    <col min="13" max="13" width="11.85546875" style="856" customWidth="1"/>
    <col min="14" max="14" width="16.28515625" bestFit="1" customWidth="1"/>
    <col min="15" max="15" width="11.28515625" bestFit="1" customWidth="1"/>
    <col min="16" max="16" width="16.42578125" customWidth="1"/>
    <col min="17" max="17" width="13.85546875" customWidth="1"/>
    <col min="18" max="18" width="14.5703125" bestFit="1" customWidth="1"/>
    <col min="19" max="19" width="13.5703125" bestFit="1" customWidth="1"/>
    <col min="20" max="20" width="8.28515625" bestFit="1" customWidth="1"/>
    <col min="21" max="21" width="13.5703125" bestFit="1" customWidth="1"/>
    <col min="22" max="22" width="8.140625" customWidth="1"/>
    <col min="23" max="23" width="14" bestFit="1" customWidth="1"/>
    <col min="24" max="26" width="8.140625" customWidth="1"/>
    <col min="27" max="27" width="16.28515625" bestFit="1" customWidth="1"/>
    <col min="28" max="28" width="11.28515625" bestFit="1" customWidth="1"/>
    <col min="29" max="29" width="16.42578125" customWidth="1"/>
    <col min="30" max="30" width="13.85546875" customWidth="1"/>
    <col min="31" max="31" width="14.5703125" bestFit="1" customWidth="1"/>
    <col min="32" max="32" width="13.5703125" bestFit="1" customWidth="1"/>
    <col min="33" max="33" width="8.28515625" bestFit="1" customWidth="1"/>
    <col min="34" max="34" width="13.5703125" bestFit="1" customWidth="1"/>
    <col min="35" max="35" width="8.140625" customWidth="1"/>
    <col min="36" max="36" width="14" bestFit="1" customWidth="1"/>
    <col min="37" max="39" width="8.140625" customWidth="1"/>
    <col min="40" max="16384" width="9.140625" style="856"/>
  </cols>
  <sheetData>
    <row r="2" spans="2:14">
      <c r="B2" s="857" t="s">
        <v>385</v>
      </c>
      <c r="C2" s="662"/>
      <c r="D2" s="662"/>
      <c r="E2" s="662"/>
      <c r="F2" s="662"/>
      <c r="G2" s="662"/>
      <c r="H2" s="662"/>
      <c r="I2" s="662"/>
      <c r="J2" s="662"/>
      <c r="K2" s="662"/>
      <c r="L2" s="662"/>
      <c r="M2" s="662"/>
    </row>
    <row r="3" spans="2:14">
      <c r="B3" s="857"/>
      <c r="C3" s="662"/>
      <c r="D3" s="662"/>
      <c r="E3" s="662"/>
      <c r="F3" s="662"/>
      <c r="G3" s="662"/>
      <c r="H3" s="662"/>
      <c r="I3" s="662"/>
      <c r="J3" s="662"/>
      <c r="K3" s="662"/>
      <c r="L3" s="662"/>
      <c r="M3" s="662"/>
    </row>
    <row r="4" spans="2:14">
      <c r="B4" s="857"/>
      <c r="C4" s="662"/>
      <c r="D4" s="662"/>
      <c r="E4" s="662"/>
      <c r="F4" s="662"/>
      <c r="G4" s="662"/>
      <c r="H4" s="662"/>
      <c r="I4" s="662"/>
      <c r="J4" s="662"/>
      <c r="K4" s="662"/>
      <c r="L4" s="662"/>
      <c r="M4" s="662"/>
    </row>
    <row r="5" spans="2:14">
      <c r="B5" s="857" t="s">
        <v>386</v>
      </c>
      <c r="C5" s="662"/>
      <c r="D5" s="662"/>
      <c r="E5" s="662"/>
      <c r="F5" s="662"/>
      <c r="G5" s="662"/>
      <c r="H5" s="662"/>
      <c r="I5" s="662"/>
      <c r="J5" s="662"/>
      <c r="K5" s="662"/>
      <c r="L5" s="662"/>
      <c r="M5" s="662"/>
    </row>
    <row r="6" spans="2:14" ht="17.25" customHeight="1" thickBot="1">
      <c r="B6" s="2984"/>
      <c r="C6" s="2985"/>
      <c r="D6" s="873"/>
      <c r="E6" s="873"/>
      <c r="F6" s="873"/>
      <c r="G6" s="2980"/>
      <c r="H6" s="2980"/>
      <c r="I6" s="2980"/>
      <c r="J6" s="2980"/>
      <c r="K6" s="2980"/>
      <c r="L6" s="2980"/>
      <c r="M6" s="2986" t="s">
        <v>257</v>
      </c>
    </row>
    <row r="7" spans="2:14" ht="51" customHeight="1" thickBot="1">
      <c r="B7" s="3280" t="s">
        <v>266</v>
      </c>
      <c r="C7" s="3280" t="s">
        <v>334</v>
      </c>
      <c r="D7" s="3283" t="s">
        <v>260</v>
      </c>
      <c r="E7" s="3283" t="s">
        <v>335</v>
      </c>
      <c r="F7" s="3335" t="s">
        <v>263</v>
      </c>
      <c r="G7" s="3335"/>
      <c r="H7" s="3335"/>
      <c r="I7" s="3335"/>
      <c r="J7" s="3335"/>
      <c r="K7" s="3335"/>
      <c r="L7" s="3335"/>
      <c r="M7" s="3335"/>
    </row>
    <row r="8" spans="2:14" ht="26.45" customHeight="1" thickBot="1">
      <c r="B8" s="3281"/>
      <c r="C8" s="3281"/>
      <c r="D8" s="3284"/>
      <c r="E8" s="3284"/>
      <c r="F8" s="3332" t="s">
        <v>264</v>
      </c>
      <c r="G8" s="3333"/>
      <c r="H8" s="3333"/>
      <c r="I8" s="3334"/>
      <c r="J8" s="3335" t="s">
        <v>336</v>
      </c>
      <c r="K8" s="3335"/>
      <c r="L8" s="3335"/>
      <c r="M8" s="3335"/>
    </row>
    <row r="9" spans="2:14" ht="39.75" customHeight="1" thickBot="1">
      <c r="B9" s="3281"/>
      <c r="C9" s="3281"/>
      <c r="D9" s="3285"/>
      <c r="E9" s="3285"/>
      <c r="F9" s="2963" t="s">
        <v>267</v>
      </c>
      <c r="G9" s="2963" t="s">
        <v>268</v>
      </c>
      <c r="H9" s="2963" t="s">
        <v>269</v>
      </c>
      <c r="I9" s="2963" t="s">
        <v>160</v>
      </c>
      <c r="J9" s="2964" t="s">
        <v>337</v>
      </c>
      <c r="K9" s="2964" t="s">
        <v>271</v>
      </c>
      <c r="L9" s="2964" t="s">
        <v>338</v>
      </c>
      <c r="M9" s="2964" t="s">
        <v>160</v>
      </c>
    </row>
    <row r="10" spans="2:14" ht="17.25" customHeight="1" thickBot="1">
      <c r="B10" s="3281"/>
      <c r="C10" s="3281"/>
      <c r="D10" s="2972">
        <v>1</v>
      </c>
      <c r="E10" s="3283">
        <v>2</v>
      </c>
      <c r="F10" s="3283">
        <v>3</v>
      </c>
      <c r="G10" s="3283">
        <v>4</v>
      </c>
      <c r="H10" s="3283"/>
      <c r="I10" s="2972">
        <v>6</v>
      </c>
      <c r="J10" s="3283">
        <v>7</v>
      </c>
      <c r="K10" s="3283">
        <v>8</v>
      </c>
      <c r="L10" s="3283">
        <v>9</v>
      </c>
      <c r="M10" s="2972">
        <v>10</v>
      </c>
    </row>
    <row r="11" spans="2:14" ht="28.5" customHeight="1" thickBot="1">
      <c r="B11" s="3281"/>
      <c r="C11" s="3282"/>
      <c r="D11" s="1327" t="s">
        <v>339</v>
      </c>
      <c r="E11" s="3285"/>
      <c r="F11" s="3285"/>
      <c r="G11" s="3285"/>
      <c r="H11" s="3285">
        <v>5</v>
      </c>
      <c r="I11" s="2964" t="s">
        <v>340</v>
      </c>
      <c r="J11" s="3285"/>
      <c r="K11" s="3285"/>
      <c r="L11" s="3285"/>
      <c r="M11" s="1327" t="s">
        <v>341</v>
      </c>
    </row>
    <row r="12" spans="2:14">
      <c r="B12" s="1345" t="s">
        <v>342</v>
      </c>
      <c r="C12" s="861"/>
      <c r="D12" s="1329">
        <f t="shared" ref="D12:M25" si="0">+D59+D107+D156+D204+D254+D304+D353+D405+D453+D501+D549+D597+D646+D693+D741+D789</f>
        <v>124616007.31912261</v>
      </c>
      <c r="E12" s="862">
        <f t="shared" si="0"/>
        <v>0</v>
      </c>
      <c r="F12" s="863">
        <f t="shared" si="0"/>
        <v>24177731.088378005</v>
      </c>
      <c r="G12" s="862">
        <f t="shared" si="0"/>
        <v>52426743.059853241</v>
      </c>
      <c r="H12" s="863">
        <f t="shared" si="0"/>
        <v>46224154.718771361</v>
      </c>
      <c r="I12" s="1207">
        <f t="shared" si="0"/>
        <v>122828628.86700261</v>
      </c>
      <c r="J12" s="863">
        <f t="shared" si="0"/>
        <v>922877.02620999992</v>
      </c>
      <c r="K12" s="862">
        <f t="shared" si="0"/>
        <v>0</v>
      </c>
      <c r="L12" s="863">
        <f t="shared" si="0"/>
        <v>864501.42590999999</v>
      </c>
      <c r="M12" s="1207">
        <f t="shared" si="0"/>
        <v>1787378.4521199998</v>
      </c>
      <c r="N12" s="14"/>
    </row>
    <row r="13" spans="2:14">
      <c r="B13" s="2111"/>
      <c r="C13" s="2166"/>
      <c r="D13" s="1330">
        <f t="shared" si="0"/>
        <v>0</v>
      </c>
      <c r="E13" s="864">
        <f t="shared" si="0"/>
        <v>0</v>
      </c>
      <c r="F13" s="865">
        <f t="shared" si="0"/>
        <v>0</v>
      </c>
      <c r="G13" s="864">
        <f t="shared" si="0"/>
        <v>0</v>
      </c>
      <c r="H13" s="865">
        <f t="shared" si="0"/>
        <v>0</v>
      </c>
      <c r="I13" s="1924">
        <f t="shared" si="0"/>
        <v>0</v>
      </c>
      <c r="J13" s="865">
        <f t="shared" si="0"/>
        <v>0</v>
      </c>
      <c r="K13" s="864">
        <f t="shared" si="0"/>
        <v>0</v>
      </c>
      <c r="L13" s="865">
        <f t="shared" si="0"/>
        <v>0</v>
      </c>
      <c r="M13" s="1151">
        <f t="shared" si="0"/>
        <v>0</v>
      </c>
    </row>
    <row r="14" spans="2:14">
      <c r="B14" s="2116" t="s">
        <v>343</v>
      </c>
      <c r="C14" s="2166"/>
      <c r="D14" s="1330">
        <f t="shared" si="0"/>
        <v>5025556.2438193038</v>
      </c>
      <c r="E14" s="864">
        <f t="shared" si="0"/>
        <v>0</v>
      </c>
      <c r="F14" s="865">
        <f t="shared" si="0"/>
        <v>146996.32343524744</v>
      </c>
      <c r="G14" s="864">
        <f t="shared" si="0"/>
        <v>4112539.1442272807</v>
      </c>
      <c r="H14" s="865">
        <f t="shared" si="0"/>
        <v>673178.26404677588</v>
      </c>
      <c r="I14" s="1924">
        <f t="shared" si="0"/>
        <v>4932713.7317093043</v>
      </c>
      <c r="J14" s="865">
        <f t="shared" si="0"/>
        <v>78046.838510000001</v>
      </c>
      <c r="K14" s="864">
        <f t="shared" si="0"/>
        <v>0</v>
      </c>
      <c r="L14" s="865">
        <f t="shared" si="0"/>
        <v>14795.673600000011</v>
      </c>
      <c r="M14" s="1151">
        <f t="shared" si="0"/>
        <v>92842.512110000011</v>
      </c>
    </row>
    <row r="15" spans="2:14">
      <c r="B15" s="2116"/>
      <c r="C15" s="2166"/>
      <c r="D15" s="1330">
        <f t="shared" si="0"/>
        <v>0</v>
      </c>
      <c r="E15" s="864">
        <f t="shared" si="0"/>
        <v>0</v>
      </c>
      <c r="F15" s="865">
        <f t="shared" si="0"/>
        <v>0</v>
      </c>
      <c r="G15" s="864">
        <f t="shared" si="0"/>
        <v>0</v>
      </c>
      <c r="H15" s="865">
        <f t="shared" si="0"/>
        <v>0</v>
      </c>
      <c r="I15" s="1924">
        <f t="shared" si="0"/>
        <v>0</v>
      </c>
      <c r="J15" s="865">
        <f t="shared" si="0"/>
        <v>0</v>
      </c>
      <c r="K15" s="864">
        <f t="shared" si="0"/>
        <v>0</v>
      </c>
      <c r="L15" s="865">
        <f t="shared" si="0"/>
        <v>0</v>
      </c>
      <c r="M15" s="1151">
        <f t="shared" si="0"/>
        <v>0</v>
      </c>
    </row>
    <row r="16" spans="2:14" ht="14.25" customHeight="1">
      <c r="B16" s="2117" t="s">
        <v>344</v>
      </c>
      <c r="C16" s="2166"/>
      <c r="D16" s="1330">
        <f t="shared" si="0"/>
        <v>-2836.0859999999998</v>
      </c>
      <c r="E16" s="864">
        <f t="shared" si="0"/>
        <v>0</v>
      </c>
      <c r="F16" s="865">
        <f t="shared" si="0"/>
        <v>0</v>
      </c>
      <c r="G16" s="864">
        <f t="shared" si="0"/>
        <v>-2836.0859999999998</v>
      </c>
      <c r="H16" s="865">
        <f t="shared" si="0"/>
        <v>0</v>
      </c>
      <c r="I16" s="1924">
        <f t="shared" si="0"/>
        <v>-2836.0859999999998</v>
      </c>
      <c r="J16" s="865">
        <f t="shared" si="0"/>
        <v>0</v>
      </c>
      <c r="K16" s="864">
        <f t="shared" si="0"/>
        <v>0</v>
      </c>
      <c r="L16" s="865">
        <f t="shared" si="0"/>
        <v>0</v>
      </c>
      <c r="M16" s="1151">
        <f t="shared" si="0"/>
        <v>0</v>
      </c>
    </row>
    <row r="17" spans="2:13">
      <c r="B17" s="2111"/>
      <c r="C17" s="2166"/>
      <c r="D17" s="1330">
        <f t="shared" si="0"/>
        <v>0</v>
      </c>
      <c r="E17" s="864">
        <f t="shared" si="0"/>
        <v>0</v>
      </c>
      <c r="F17" s="865">
        <f t="shared" si="0"/>
        <v>0</v>
      </c>
      <c r="G17" s="864">
        <f t="shared" si="0"/>
        <v>0</v>
      </c>
      <c r="H17" s="865">
        <f t="shared" si="0"/>
        <v>0</v>
      </c>
      <c r="I17" s="1924">
        <f t="shared" si="0"/>
        <v>0</v>
      </c>
      <c r="J17" s="865">
        <f t="shared" si="0"/>
        <v>0</v>
      </c>
      <c r="K17" s="864">
        <f t="shared" si="0"/>
        <v>0</v>
      </c>
      <c r="L17" s="865">
        <f t="shared" si="0"/>
        <v>0</v>
      </c>
      <c r="M17" s="1151">
        <f t="shared" si="0"/>
        <v>0</v>
      </c>
    </row>
    <row r="18" spans="2:13">
      <c r="B18" s="2118" t="s">
        <v>345</v>
      </c>
      <c r="C18" s="2167"/>
      <c r="D18" s="1330">
        <f t="shared" si="0"/>
        <v>119587614.98930331</v>
      </c>
      <c r="E18" s="864">
        <f t="shared" si="0"/>
        <v>0</v>
      </c>
      <c r="F18" s="865">
        <f t="shared" si="0"/>
        <v>24030734.764942758</v>
      </c>
      <c r="G18" s="864">
        <f t="shared" si="0"/>
        <v>48311367.829625949</v>
      </c>
      <c r="H18" s="865">
        <f t="shared" si="0"/>
        <v>45550976.45472458</v>
      </c>
      <c r="I18" s="1924">
        <f t="shared" si="0"/>
        <v>117893079.04929331</v>
      </c>
      <c r="J18" s="865">
        <f t="shared" si="0"/>
        <v>844830.18769999989</v>
      </c>
      <c r="K18" s="864">
        <f t="shared" si="0"/>
        <v>0</v>
      </c>
      <c r="L18" s="865">
        <f t="shared" si="0"/>
        <v>849705.75230999989</v>
      </c>
      <c r="M18" s="1151">
        <f t="shared" si="0"/>
        <v>1694535.94001</v>
      </c>
    </row>
    <row r="19" spans="2:13">
      <c r="B19" s="2118"/>
      <c r="C19" s="2167"/>
      <c r="D19" s="1330">
        <f t="shared" si="0"/>
        <v>0</v>
      </c>
      <c r="E19" s="864">
        <f t="shared" si="0"/>
        <v>0</v>
      </c>
      <c r="F19" s="865">
        <f t="shared" si="0"/>
        <v>0</v>
      </c>
      <c r="G19" s="864">
        <f t="shared" si="0"/>
        <v>0</v>
      </c>
      <c r="H19" s="865">
        <f t="shared" si="0"/>
        <v>0</v>
      </c>
      <c r="I19" s="1924">
        <f t="shared" si="0"/>
        <v>0</v>
      </c>
      <c r="J19" s="865">
        <f t="shared" si="0"/>
        <v>0</v>
      </c>
      <c r="K19" s="864">
        <f t="shared" si="0"/>
        <v>0</v>
      </c>
      <c r="L19" s="865">
        <f t="shared" si="0"/>
        <v>0</v>
      </c>
      <c r="M19" s="1151">
        <f t="shared" si="0"/>
        <v>0</v>
      </c>
    </row>
    <row r="20" spans="2:13">
      <c r="B20" s="2118" t="s">
        <v>346</v>
      </c>
      <c r="C20" s="2167"/>
      <c r="D20" s="1330">
        <f t="shared" si="0"/>
        <v>59688102.161717229</v>
      </c>
      <c r="E20" s="864">
        <f t="shared" si="0"/>
        <v>10896321.934477463</v>
      </c>
      <c r="F20" s="865">
        <f t="shared" si="0"/>
        <v>26119222.577934053</v>
      </c>
      <c r="G20" s="864">
        <f t="shared" si="0"/>
        <v>8388843.8654637691</v>
      </c>
      <c r="H20" s="865">
        <f t="shared" si="0"/>
        <v>13613283.524411937</v>
      </c>
      <c r="I20" s="1924">
        <f>+I67+I115+I164+I212+I262+I312+I361+I413+I461+I509+I557+I605+I654+I701+I749+I797</f>
        <v>48121349.967809759</v>
      </c>
      <c r="J20" s="865">
        <f t="shared" si="0"/>
        <v>62288.559150000001</v>
      </c>
      <c r="K20" s="864">
        <f t="shared" si="0"/>
        <v>4743.3999999999996</v>
      </c>
      <c r="L20" s="865">
        <f t="shared" si="0"/>
        <v>639051.44973999995</v>
      </c>
      <c r="M20" s="1151">
        <f t="shared" si="0"/>
        <v>706083.40888999996</v>
      </c>
    </row>
    <row r="21" spans="2:13">
      <c r="B21" s="2111" t="s">
        <v>347</v>
      </c>
      <c r="C21" s="2166"/>
      <c r="D21" s="1330">
        <f t="shared" si="0"/>
        <v>47928061.686861917</v>
      </c>
      <c r="E21" s="864">
        <f t="shared" si="0"/>
        <v>8523138.614099009</v>
      </c>
      <c r="F21" s="865">
        <f t="shared" si="0"/>
        <v>20426284.328896407</v>
      </c>
      <c r="G21" s="864">
        <f t="shared" si="0"/>
        <v>6591000.3585400507</v>
      </c>
      <c r="H21" s="865">
        <f t="shared" si="0"/>
        <v>11875746.966226444</v>
      </c>
      <c r="I21" s="1924">
        <f t="shared" si="0"/>
        <v>38893031.653662905</v>
      </c>
      <c r="J21" s="865">
        <f t="shared" si="0"/>
        <v>34077.386100000003</v>
      </c>
      <c r="K21" s="864">
        <f t="shared" si="0"/>
        <v>4743.3999999999996</v>
      </c>
      <c r="L21" s="865">
        <f t="shared" si="0"/>
        <v>473070.63300000003</v>
      </c>
      <c r="M21" s="1151">
        <f t="shared" si="0"/>
        <v>511891.4191</v>
      </c>
    </row>
    <row r="22" spans="2:13">
      <c r="B22" s="2111" t="s">
        <v>348</v>
      </c>
      <c r="C22" s="2166"/>
      <c r="D22" s="1330">
        <f t="shared" si="0"/>
        <v>1635507.9946499998</v>
      </c>
      <c r="E22" s="864">
        <f>+E69+E117+E166+E214+E264+E314+E363+E415+E463+E511+E559+E607+E656+E703+E751+E799</f>
        <v>451481.69241921435</v>
      </c>
      <c r="F22" s="865">
        <f t="shared" si="0"/>
        <v>65327.550269044499</v>
      </c>
      <c r="G22" s="864">
        <f t="shared" si="0"/>
        <v>362751.82289237657</v>
      </c>
      <c r="H22" s="865">
        <f t="shared" si="0"/>
        <v>1097085.7029893645</v>
      </c>
      <c r="I22" s="1924">
        <f t="shared" si="0"/>
        <v>1525165.0761507857</v>
      </c>
      <c r="J22" s="865">
        <f t="shared" si="0"/>
        <v>-28553.740680000003</v>
      </c>
      <c r="K22" s="864">
        <f t="shared" si="0"/>
        <v>0</v>
      </c>
      <c r="L22" s="865">
        <f t="shared" si="0"/>
        <v>-278945.14799999999</v>
      </c>
      <c r="M22" s="1151">
        <f t="shared" si="0"/>
        <v>-307498.88867999997</v>
      </c>
    </row>
    <row r="23" spans="2:13">
      <c r="B23" s="2111" t="s">
        <v>349</v>
      </c>
      <c r="C23" s="2166"/>
      <c r="D23" s="1330">
        <f t="shared" si="0"/>
        <v>1251544.1888966893</v>
      </c>
      <c r="E23" s="864">
        <f t="shared" si="0"/>
        <v>392588.27241924161</v>
      </c>
      <c r="F23" s="865">
        <f t="shared" si="0"/>
        <v>213306.12305389467</v>
      </c>
      <c r="G23" s="864">
        <f t="shared" si="0"/>
        <v>236109.360063553</v>
      </c>
      <c r="H23" s="865">
        <f t="shared" si="0"/>
        <v>294701.43336000002</v>
      </c>
      <c r="I23" s="1924">
        <f t="shared" si="0"/>
        <v>744116.91647744772</v>
      </c>
      <c r="J23" s="865">
        <f t="shared" si="0"/>
        <v>26154</v>
      </c>
      <c r="K23" s="864">
        <f t="shared" si="0"/>
        <v>0</v>
      </c>
      <c r="L23" s="865">
        <f t="shared" si="0"/>
        <v>88685</v>
      </c>
      <c r="M23" s="1151">
        <f t="shared" si="0"/>
        <v>114839</v>
      </c>
    </row>
    <row r="24" spans="2:13">
      <c r="B24" s="2111" t="s">
        <v>350</v>
      </c>
      <c r="C24" s="2166"/>
      <c r="D24" s="1330">
        <f t="shared" si="0"/>
        <v>6877133.5481099999</v>
      </c>
      <c r="E24" s="864">
        <f t="shared" si="0"/>
        <v>848433.57516000001</v>
      </c>
      <c r="F24" s="865">
        <f t="shared" si="0"/>
        <v>4415325.7690048283</v>
      </c>
      <c r="G24" s="864">
        <f t="shared" si="0"/>
        <v>1209081.6701251722</v>
      </c>
      <c r="H24" s="865">
        <f t="shared" si="0"/>
        <v>50434.533820000011</v>
      </c>
      <c r="I24" s="1924">
        <f t="shared" si="0"/>
        <v>5674841.9729500012</v>
      </c>
      <c r="J24" s="865">
        <f t="shared" si="0"/>
        <v>-529</v>
      </c>
      <c r="K24" s="864">
        <f t="shared" si="0"/>
        <v>0</v>
      </c>
      <c r="L24" s="865">
        <f t="shared" si="0"/>
        <v>354387</v>
      </c>
      <c r="M24" s="1151">
        <f t="shared" si="0"/>
        <v>353858</v>
      </c>
    </row>
    <row r="25" spans="2:13">
      <c r="B25" s="2111" t="s">
        <v>351</v>
      </c>
      <c r="C25" s="2166"/>
      <c r="D25" s="1330">
        <f>+D72+D120+D169+D217+D267+D317+D366+D418+D466+D514+D562+D610+D659+D706+D754+D802</f>
        <v>1995854.7431986202</v>
      </c>
      <c r="E25" s="864">
        <f>+E72+E120+E169+E217+E267+E317+E366+E418+E466+E514+E562+E610+E659+E706+E754+E802</f>
        <v>530679.78037999989</v>
      </c>
      <c r="F25" s="865">
        <f t="shared" si="0"/>
        <v>1000621.8067098764</v>
      </c>
      <c r="G25" s="864">
        <f t="shared" si="0"/>
        <v>138257.65384261438</v>
      </c>
      <c r="H25" s="865">
        <f t="shared" si="0"/>
        <v>295314.88801612961</v>
      </c>
      <c r="I25" s="1924">
        <f t="shared" si="0"/>
        <v>1434194.3485686204</v>
      </c>
      <c r="J25" s="865">
        <f t="shared" si="0"/>
        <v>31139.91373</v>
      </c>
      <c r="K25" s="864">
        <f t="shared" si="0"/>
        <v>0</v>
      </c>
      <c r="L25" s="865">
        <f t="shared" si="0"/>
        <v>1853.9647399999999</v>
      </c>
      <c r="M25" s="1151">
        <f t="shared" si="0"/>
        <v>32993.878470000003</v>
      </c>
    </row>
    <row r="26" spans="2:13">
      <c r="B26" s="2111" t="s">
        <v>387</v>
      </c>
      <c r="C26" s="2166"/>
      <c r="D26" s="1330">
        <f t="shared" ref="D26:I26" si="1">+D73+D121+D170+D221+D268+D318+D368+D419+D467+D515+D563+D611+D660+D707+D755+D803</f>
        <v>22236.868640000004</v>
      </c>
      <c r="E26" s="864">
        <f t="shared" si="1"/>
        <v>6701.9823299999989</v>
      </c>
      <c r="F26" s="865">
        <f t="shared" si="1"/>
        <v>183.41136</v>
      </c>
      <c r="G26" s="864">
        <f t="shared" si="1"/>
        <v>14436.12981</v>
      </c>
      <c r="H26" s="865">
        <f t="shared" si="1"/>
        <v>915.34514000000001</v>
      </c>
      <c r="I26" s="1924">
        <f t="shared" si="1"/>
        <v>15534.88631</v>
      </c>
      <c r="J26" s="865">
        <f>+J73+J121+J170+J220+J268+J318+J371+J419+J467+J515+J563+J611+J660+J707+J755+J803</f>
        <v>0</v>
      </c>
      <c r="K26" s="864">
        <f>+K73+K121+K170+K220+K268+K318+K371+K419+K467+K515+K563+K611+K660+K707+K755+K803</f>
        <v>0</v>
      </c>
      <c r="L26" s="865">
        <f>+L73+L121+L170+L220+L268+L318+L371+L419+L467+L515+L563+L611+L660+L707+L755+L803</f>
        <v>0</v>
      </c>
      <c r="M26" s="1151">
        <f>+M73+M121+M170+M220+M268+M318+M371+M419+M467+M515+M563+M611+M660+M707+M755+M803</f>
        <v>0</v>
      </c>
    </row>
    <row r="27" spans="2:13">
      <c r="B27" s="2111" t="s">
        <v>353</v>
      </c>
      <c r="C27" s="2166"/>
      <c r="D27" s="1330">
        <f>+D74+D122+D171+D269+D319+D372+D420+D468+D516+D564+D612+D661+D708+D756+D804</f>
        <v>0</v>
      </c>
      <c r="E27" s="864">
        <f t="shared" ref="E27:M27" si="2">+E74+E122+E171+E221+E269+E319+E372+E420+E468+E516+E564+E612+E661+E708+E756+E804</f>
        <v>0</v>
      </c>
      <c r="F27" s="865">
        <f t="shared" si="2"/>
        <v>0</v>
      </c>
      <c r="G27" s="864">
        <f t="shared" si="2"/>
        <v>0</v>
      </c>
      <c r="H27" s="865">
        <f>+H74+H122+H171+H269+H319+H372+H420+H468+H516+H564+H612+H661+H708+H756+H804</f>
        <v>0</v>
      </c>
      <c r="I27" s="1924">
        <f>+I74+I122+I171+I269+I319+I372+I420+I468+I516+I564+I612+I661+I708+I756+I804</f>
        <v>0</v>
      </c>
      <c r="J27" s="865">
        <f t="shared" si="2"/>
        <v>0</v>
      </c>
      <c r="K27" s="864">
        <f t="shared" si="2"/>
        <v>0</v>
      </c>
      <c r="L27" s="865">
        <f t="shared" si="2"/>
        <v>0</v>
      </c>
      <c r="M27" s="1151">
        <f t="shared" si="2"/>
        <v>0</v>
      </c>
    </row>
    <row r="28" spans="2:13">
      <c r="B28" s="2111"/>
      <c r="C28" s="2166"/>
      <c r="D28" s="1330">
        <f t="shared" ref="D28:M43" si="3">+D75+D123+D172+D222+D270+D320+D373+D421+D469+D517+D565+D613+D662+D709+D757+D805</f>
        <v>0</v>
      </c>
      <c r="E28" s="864">
        <f t="shared" si="3"/>
        <v>0</v>
      </c>
      <c r="F28" s="865">
        <f t="shared" si="3"/>
        <v>0</v>
      </c>
      <c r="G28" s="864">
        <f t="shared" si="3"/>
        <v>0</v>
      </c>
      <c r="H28" s="865">
        <f t="shared" si="3"/>
        <v>0</v>
      </c>
      <c r="I28" s="1924">
        <f t="shared" si="3"/>
        <v>0</v>
      </c>
      <c r="J28" s="865">
        <f t="shared" si="3"/>
        <v>0</v>
      </c>
      <c r="K28" s="864">
        <f t="shared" si="3"/>
        <v>0</v>
      </c>
      <c r="L28" s="865">
        <f t="shared" si="3"/>
        <v>0</v>
      </c>
      <c r="M28" s="1151">
        <f t="shared" si="3"/>
        <v>0</v>
      </c>
    </row>
    <row r="29" spans="2:13">
      <c r="B29" s="2121" t="s">
        <v>354</v>
      </c>
      <c r="C29" s="2167"/>
      <c r="D29" s="1330">
        <f t="shared" si="3"/>
        <v>179275717.15102053</v>
      </c>
      <c r="E29" s="864">
        <f t="shared" si="3"/>
        <v>10896321.934477463</v>
      </c>
      <c r="F29" s="865">
        <f t="shared" si="3"/>
        <v>50149957.342876814</v>
      </c>
      <c r="G29" s="864">
        <f t="shared" si="3"/>
        <v>56700211.695089728</v>
      </c>
      <c r="H29" s="865">
        <f t="shared" si="3"/>
        <v>59164259.979136527</v>
      </c>
      <c r="I29" s="1924">
        <f t="shared" si="3"/>
        <v>166014429.01710305</v>
      </c>
      <c r="J29" s="865">
        <f t="shared" si="3"/>
        <v>907118.74684999988</v>
      </c>
      <c r="K29" s="864">
        <f t="shared" si="3"/>
        <v>4743.3999999999996</v>
      </c>
      <c r="L29" s="865">
        <f t="shared" si="3"/>
        <v>1488757.20205</v>
      </c>
      <c r="M29" s="1151">
        <f t="shared" si="3"/>
        <v>2400619.3488999996</v>
      </c>
    </row>
    <row r="30" spans="2:13">
      <c r="B30" s="2121"/>
      <c r="C30" s="2167"/>
      <c r="D30" s="1330">
        <f t="shared" si="3"/>
        <v>0</v>
      </c>
      <c r="E30" s="864">
        <f t="shared" si="3"/>
        <v>0</v>
      </c>
      <c r="F30" s="865">
        <f t="shared" si="3"/>
        <v>0</v>
      </c>
      <c r="G30" s="864">
        <f t="shared" si="3"/>
        <v>0</v>
      </c>
      <c r="H30" s="865">
        <f t="shared" si="3"/>
        <v>0</v>
      </c>
      <c r="I30" s="1924">
        <f t="shared" si="3"/>
        <v>0</v>
      </c>
      <c r="J30" s="865">
        <f t="shared" si="3"/>
        <v>0</v>
      </c>
      <c r="K30" s="864">
        <f t="shared" si="3"/>
        <v>0</v>
      </c>
      <c r="L30" s="865">
        <f t="shared" si="3"/>
        <v>0</v>
      </c>
      <c r="M30" s="1151">
        <f t="shared" si="3"/>
        <v>0</v>
      </c>
    </row>
    <row r="31" spans="2:13">
      <c r="B31" s="2111" t="s">
        <v>355</v>
      </c>
      <c r="C31" s="2166"/>
      <c r="D31" s="1330">
        <f t="shared" si="3"/>
        <v>47902665.561533153</v>
      </c>
      <c r="E31" s="864">
        <f t="shared" si="3"/>
        <v>0</v>
      </c>
      <c r="F31" s="865">
        <f t="shared" si="3"/>
        <v>17534821.176111244</v>
      </c>
      <c r="G31" s="864">
        <f t="shared" si="3"/>
        <v>18092974.068692409</v>
      </c>
      <c r="H31" s="865">
        <f t="shared" si="3"/>
        <v>11011011.245469501</v>
      </c>
      <c r="I31" s="1924">
        <f t="shared" si="3"/>
        <v>46638806.490273155</v>
      </c>
      <c r="J31" s="865">
        <f t="shared" si="3"/>
        <v>905537.24699999997</v>
      </c>
      <c r="K31" s="864">
        <f t="shared" si="3"/>
        <v>0</v>
      </c>
      <c r="L31" s="865">
        <f t="shared" si="3"/>
        <v>358321.82426000002</v>
      </c>
      <c r="M31" s="1151">
        <f t="shared" si="3"/>
        <v>1263859.0712600001</v>
      </c>
    </row>
    <row r="32" spans="2:13">
      <c r="B32" s="2111" t="s">
        <v>356</v>
      </c>
      <c r="C32" s="2166"/>
      <c r="D32" s="1330">
        <f t="shared" si="3"/>
        <v>-1932697.1598525206</v>
      </c>
      <c r="E32" s="864">
        <f t="shared" si="3"/>
        <v>0</v>
      </c>
      <c r="F32" s="865">
        <f t="shared" si="3"/>
        <v>-86494.82262439304</v>
      </c>
      <c r="G32" s="864">
        <f t="shared" si="3"/>
        <v>-1360017.171301977</v>
      </c>
      <c r="H32" s="865">
        <f t="shared" si="3"/>
        <v>-411227.36282615119</v>
      </c>
      <c r="I32" s="1924">
        <f t="shared" si="3"/>
        <v>-1857739.3567525207</v>
      </c>
      <c r="J32" s="865">
        <f t="shared" si="3"/>
        <v>-50218.487999999998</v>
      </c>
      <c r="K32" s="864">
        <f t="shared" si="3"/>
        <v>0</v>
      </c>
      <c r="L32" s="865">
        <f t="shared" si="3"/>
        <v>-24739.3151</v>
      </c>
      <c r="M32" s="1151">
        <f t="shared" si="3"/>
        <v>-74957.803100000005</v>
      </c>
    </row>
    <row r="33" spans="1:13">
      <c r="B33" s="2111" t="s">
        <v>357</v>
      </c>
      <c r="C33" s="2166"/>
      <c r="D33" s="1330">
        <f t="shared" si="3"/>
        <v>6873983.1461577881</v>
      </c>
      <c r="E33" s="864">
        <f t="shared" si="3"/>
        <v>0</v>
      </c>
      <c r="F33" s="865">
        <f t="shared" si="3"/>
        <v>7442.0486400000045</v>
      </c>
      <c r="G33" s="864">
        <f t="shared" si="3"/>
        <v>552901.69033146871</v>
      </c>
      <c r="H33" s="865">
        <f t="shared" si="3"/>
        <v>6613257.4071863201</v>
      </c>
      <c r="I33" s="1924">
        <f t="shared" si="3"/>
        <v>7173601.1461577881</v>
      </c>
      <c r="J33" s="865">
        <f t="shared" si="3"/>
        <v>-299618</v>
      </c>
      <c r="K33" s="864">
        <f t="shared" si="3"/>
        <v>0</v>
      </c>
      <c r="L33" s="865">
        <f t="shared" si="3"/>
        <v>0</v>
      </c>
      <c r="M33" s="1151">
        <f t="shared" si="3"/>
        <v>-299618</v>
      </c>
    </row>
    <row r="34" spans="1:13" ht="13.5" customHeight="1">
      <c r="B34" s="2122" t="s">
        <v>358</v>
      </c>
      <c r="C34" s="2166"/>
      <c r="D34" s="1330">
        <f t="shared" si="3"/>
        <v>-538247.83719999995</v>
      </c>
      <c r="E34" s="864">
        <f t="shared" si="3"/>
        <v>0</v>
      </c>
      <c r="F34" s="865">
        <f t="shared" si="3"/>
        <v>-2556.3798999999999</v>
      </c>
      <c r="G34" s="864">
        <f t="shared" si="3"/>
        <v>-524514.35440163175</v>
      </c>
      <c r="H34" s="865">
        <f t="shared" si="3"/>
        <v>-10794.10289836823</v>
      </c>
      <c r="I34" s="1924">
        <f t="shared" si="3"/>
        <v>-537864.83719999995</v>
      </c>
      <c r="J34" s="865">
        <f t="shared" si="3"/>
        <v>-383</v>
      </c>
      <c r="K34" s="864">
        <f t="shared" si="3"/>
        <v>0</v>
      </c>
      <c r="L34" s="865">
        <f t="shared" si="3"/>
        <v>0</v>
      </c>
      <c r="M34" s="1151">
        <f t="shared" si="3"/>
        <v>-383</v>
      </c>
    </row>
    <row r="35" spans="1:13">
      <c r="B35" s="2111" t="s">
        <v>359</v>
      </c>
      <c r="C35" s="2166"/>
      <c r="D35" s="1330">
        <f t="shared" si="3"/>
        <v>48922030.170422412</v>
      </c>
      <c r="E35" s="864">
        <f t="shared" si="3"/>
        <v>-1397254.3251568109</v>
      </c>
      <c r="F35" s="865">
        <f t="shared" si="3"/>
        <v>19367826.108812254</v>
      </c>
      <c r="G35" s="864">
        <f t="shared" si="3"/>
        <v>12942541.424129909</v>
      </c>
      <c r="H35" s="865">
        <f t="shared" si="3"/>
        <v>17468878.087637067</v>
      </c>
      <c r="I35" s="1924">
        <f t="shared" si="3"/>
        <v>49779245.620579228</v>
      </c>
      <c r="J35" s="865">
        <f t="shared" si="3"/>
        <v>197542.41699999999</v>
      </c>
      <c r="K35" s="864">
        <f t="shared" si="3"/>
        <v>0</v>
      </c>
      <c r="L35" s="865">
        <f t="shared" si="3"/>
        <v>342496.45799999998</v>
      </c>
      <c r="M35" s="1151">
        <f t="shared" si="3"/>
        <v>540038.875</v>
      </c>
    </row>
    <row r="36" spans="1:13" ht="26.45">
      <c r="B36" s="2122" t="s">
        <v>360</v>
      </c>
      <c r="C36" s="2166"/>
      <c r="D36" s="1330">
        <f t="shared" si="3"/>
        <v>0</v>
      </c>
      <c r="E36" s="864">
        <f t="shared" si="3"/>
        <v>0</v>
      </c>
      <c r="F36" s="865">
        <f t="shared" si="3"/>
        <v>0</v>
      </c>
      <c r="G36" s="864">
        <f t="shared" si="3"/>
        <v>0</v>
      </c>
      <c r="H36" s="865">
        <f t="shared" si="3"/>
        <v>0</v>
      </c>
      <c r="I36" s="1924">
        <f t="shared" si="3"/>
        <v>0</v>
      </c>
      <c r="J36" s="865">
        <f t="shared" si="3"/>
        <v>0</v>
      </c>
      <c r="K36" s="864">
        <f t="shared" si="3"/>
        <v>0</v>
      </c>
      <c r="L36" s="865">
        <f t="shared" si="3"/>
        <v>0</v>
      </c>
      <c r="M36" s="1151">
        <f t="shared" si="3"/>
        <v>0</v>
      </c>
    </row>
    <row r="37" spans="1:13">
      <c r="B37" s="2121" t="s">
        <v>361</v>
      </c>
      <c r="C37" s="2167"/>
      <c r="D37" s="1330">
        <f t="shared" si="3"/>
        <v>101227733.88106082</v>
      </c>
      <c r="E37" s="864">
        <f t="shared" si="3"/>
        <v>-1397254.3251568109</v>
      </c>
      <c r="F37" s="865">
        <f t="shared" si="3"/>
        <v>36821038.131039098</v>
      </c>
      <c r="G37" s="864">
        <f t="shared" si="3"/>
        <v>29703885.657450177</v>
      </c>
      <c r="H37" s="865">
        <f t="shared" si="3"/>
        <v>34671125.274568364</v>
      </c>
      <c r="I37" s="1924">
        <f t="shared" si="3"/>
        <v>101196049.06305765</v>
      </c>
      <c r="J37" s="865">
        <f t="shared" si="3"/>
        <v>752860.17599999998</v>
      </c>
      <c r="K37" s="864">
        <f t="shared" si="3"/>
        <v>0</v>
      </c>
      <c r="L37" s="865">
        <f t="shared" si="3"/>
        <v>676078.96716</v>
      </c>
      <c r="M37" s="1151">
        <f t="shared" si="3"/>
        <v>1428939.14316</v>
      </c>
    </row>
    <row r="38" spans="1:13">
      <c r="B38" s="2111"/>
      <c r="C38" s="2166"/>
      <c r="D38" s="1330">
        <f t="shared" si="3"/>
        <v>0</v>
      </c>
      <c r="E38" s="864">
        <f t="shared" si="3"/>
        <v>0</v>
      </c>
      <c r="F38" s="865">
        <f t="shared" si="3"/>
        <v>0</v>
      </c>
      <c r="G38" s="864">
        <f t="shared" si="3"/>
        <v>0</v>
      </c>
      <c r="H38" s="865">
        <f t="shared" si="3"/>
        <v>0</v>
      </c>
      <c r="I38" s="1924">
        <f t="shared" si="3"/>
        <v>0</v>
      </c>
      <c r="J38" s="865">
        <f t="shared" si="3"/>
        <v>0</v>
      </c>
      <c r="K38" s="864">
        <f t="shared" si="3"/>
        <v>0</v>
      </c>
      <c r="L38" s="865">
        <f t="shared" si="3"/>
        <v>0</v>
      </c>
      <c r="M38" s="1151">
        <f t="shared" si="3"/>
        <v>0</v>
      </c>
    </row>
    <row r="39" spans="1:13" ht="26.45">
      <c r="B39" s="2110" t="s">
        <v>362</v>
      </c>
      <c r="C39" s="2166"/>
      <c r="D39" s="1330">
        <f t="shared" si="3"/>
        <v>18779004.251970001</v>
      </c>
      <c r="E39" s="864">
        <f t="shared" si="3"/>
        <v>135782.50382000001</v>
      </c>
      <c r="F39" s="865">
        <f t="shared" si="3"/>
        <v>3489412.9996363875</v>
      </c>
      <c r="G39" s="864">
        <f t="shared" si="3"/>
        <v>7223030.6376891145</v>
      </c>
      <c r="H39" s="865">
        <f t="shared" si="3"/>
        <v>7882701.432034499</v>
      </c>
      <c r="I39" s="1924">
        <f t="shared" si="3"/>
        <v>18595145.069360003</v>
      </c>
      <c r="J39" s="865">
        <f t="shared" si="3"/>
        <v>24129.20579</v>
      </c>
      <c r="K39" s="864">
        <f t="shared" si="3"/>
        <v>0</v>
      </c>
      <c r="L39" s="865">
        <f t="shared" si="3"/>
        <v>23947.472999999998</v>
      </c>
      <c r="M39" s="1151">
        <f t="shared" si="3"/>
        <v>48076.678789999998</v>
      </c>
    </row>
    <row r="40" spans="1:13">
      <c r="B40" s="2111"/>
      <c r="C40" s="2166"/>
      <c r="D40" s="1330">
        <f t="shared" si="3"/>
        <v>0</v>
      </c>
      <c r="E40" s="864">
        <f t="shared" si="3"/>
        <v>0</v>
      </c>
      <c r="F40" s="865">
        <f t="shared" si="3"/>
        <v>0</v>
      </c>
      <c r="G40" s="864">
        <f t="shared" si="3"/>
        <v>0</v>
      </c>
      <c r="H40" s="865">
        <f t="shared" si="3"/>
        <v>0</v>
      </c>
      <c r="I40" s="1924">
        <f t="shared" si="3"/>
        <v>0</v>
      </c>
      <c r="J40" s="865">
        <f t="shared" si="3"/>
        <v>0</v>
      </c>
      <c r="K40" s="864">
        <f t="shared" si="3"/>
        <v>0</v>
      </c>
      <c r="L40" s="865">
        <f t="shared" si="3"/>
        <v>0</v>
      </c>
      <c r="M40" s="1151">
        <f t="shared" si="3"/>
        <v>0</v>
      </c>
    </row>
    <row r="41" spans="1:13" ht="15.75" customHeight="1">
      <c r="B41" s="2122" t="s">
        <v>363</v>
      </c>
      <c r="C41" s="2166"/>
      <c r="D41" s="1330">
        <f t="shared" si="3"/>
        <v>30681437.676603176</v>
      </c>
      <c r="E41" s="864">
        <f t="shared" si="3"/>
        <v>1176731.7004072461</v>
      </c>
      <c r="F41" s="865">
        <f t="shared" si="3"/>
        <v>8482379.5527003985</v>
      </c>
      <c r="G41" s="864">
        <f t="shared" si="3"/>
        <v>7223489.5283110654</v>
      </c>
      <c r="H41" s="865">
        <f t="shared" si="3"/>
        <v>13541267.437631726</v>
      </c>
      <c r="I41" s="1924">
        <f t="shared" si="3"/>
        <v>29247136.518643189</v>
      </c>
      <c r="J41" s="865">
        <f t="shared" si="3"/>
        <v>130129.03200000001</v>
      </c>
      <c r="K41" s="864">
        <f t="shared" si="3"/>
        <v>1101</v>
      </c>
      <c r="L41" s="865">
        <f t="shared" si="3"/>
        <v>161992.57501273821</v>
      </c>
      <c r="M41" s="1151">
        <f t="shared" si="3"/>
        <v>293222.60701273818</v>
      </c>
    </row>
    <row r="42" spans="1:13">
      <c r="B42" s="2111" t="s">
        <v>364</v>
      </c>
      <c r="C42" s="2166"/>
      <c r="D42" s="1330">
        <f t="shared" si="3"/>
        <v>627193</v>
      </c>
      <c r="E42" s="864">
        <f t="shared" si="3"/>
        <v>0</v>
      </c>
      <c r="F42" s="865">
        <f t="shared" si="3"/>
        <v>0</v>
      </c>
      <c r="G42" s="864">
        <f t="shared" si="3"/>
        <v>0</v>
      </c>
      <c r="H42" s="865">
        <f t="shared" si="3"/>
        <v>0</v>
      </c>
      <c r="I42" s="1924">
        <f t="shared" si="3"/>
        <v>0</v>
      </c>
      <c r="J42" s="865">
        <f t="shared" si="3"/>
        <v>0</v>
      </c>
      <c r="K42" s="864">
        <f t="shared" si="3"/>
        <v>3642</v>
      </c>
      <c r="L42" s="865">
        <f t="shared" si="3"/>
        <v>623551</v>
      </c>
      <c r="M42" s="1151">
        <f t="shared" si="3"/>
        <v>627193</v>
      </c>
    </row>
    <row r="43" spans="1:13">
      <c r="B43" s="2111" t="s">
        <v>365</v>
      </c>
      <c r="C43" s="2166"/>
      <c r="D43" s="1330">
        <f t="shared" si="3"/>
        <v>599871.83173099987</v>
      </c>
      <c r="E43" s="864">
        <f t="shared" si="3"/>
        <v>264953.11709999997</v>
      </c>
      <c r="F43" s="865">
        <f t="shared" si="3"/>
        <v>156851.23687597242</v>
      </c>
      <c r="G43" s="864">
        <f t="shared" si="3"/>
        <v>-9325.8926883087552</v>
      </c>
      <c r="H43" s="865">
        <f t="shared" si="3"/>
        <v>187393.3704433362</v>
      </c>
      <c r="I43" s="1924">
        <f t="shared" si="3"/>
        <v>334918.71463099984</v>
      </c>
      <c r="J43" s="865">
        <f t="shared" si="3"/>
        <v>0</v>
      </c>
      <c r="K43" s="864">
        <f t="shared" si="3"/>
        <v>0</v>
      </c>
      <c r="L43" s="865">
        <f t="shared" si="3"/>
        <v>0</v>
      </c>
      <c r="M43" s="1151">
        <f t="shared" si="3"/>
        <v>0</v>
      </c>
    </row>
    <row r="44" spans="1:13">
      <c r="B44" s="2121" t="s">
        <v>366</v>
      </c>
      <c r="C44" s="2167"/>
      <c r="D44" s="1330">
        <f t="shared" ref="D44:M49" si="4">+D91+D139+D188+D238+D286+D336+D389+D437+D485+D533+D581+D629+D678+D725+D773+D821</f>
        <v>31908502.508334175</v>
      </c>
      <c r="E44" s="864">
        <f t="shared" si="4"/>
        <v>1441684.817507246</v>
      </c>
      <c r="F44" s="865">
        <f t="shared" si="4"/>
        <v>8639230.7895763703</v>
      </c>
      <c r="G44" s="864">
        <f t="shared" si="4"/>
        <v>7214163.6356227566</v>
      </c>
      <c r="H44" s="865">
        <f t="shared" si="4"/>
        <v>13728660.808075063</v>
      </c>
      <c r="I44" s="1924">
        <f t="shared" si="4"/>
        <v>29582055.233274192</v>
      </c>
      <c r="J44" s="865">
        <f t="shared" si="4"/>
        <v>130129.03200000001</v>
      </c>
      <c r="K44" s="864">
        <f t="shared" si="4"/>
        <v>4743</v>
      </c>
      <c r="L44" s="865">
        <f t="shared" si="4"/>
        <v>785543.57501273812</v>
      </c>
      <c r="M44" s="1151">
        <f t="shared" si="4"/>
        <v>920415.60701273812</v>
      </c>
    </row>
    <row r="45" spans="1:13">
      <c r="B45" s="2121"/>
      <c r="C45" s="2167"/>
      <c r="D45" s="1330">
        <f t="shared" si="4"/>
        <v>0</v>
      </c>
      <c r="E45" s="864">
        <f t="shared" si="4"/>
        <v>0</v>
      </c>
      <c r="F45" s="865">
        <f t="shared" si="4"/>
        <v>0</v>
      </c>
      <c r="G45" s="864">
        <f t="shared" si="4"/>
        <v>0</v>
      </c>
      <c r="H45" s="865">
        <f t="shared" si="4"/>
        <v>0</v>
      </c>
      <c r="I45" s="1924">
        <f t="shared" si="4"/>
        <v>0</v>
      </c>
      <c r="J45" s="865">
        <f t="shared" si="4"/>
        <v>0</v>
      </c>
      <c r="K45" s="864">
        <f t="shared" si="4"/>
        <v>0</v>
      </c>
      <c r="L45" s="865">
        <f t="shared" si="4"/>
        <v>0</v>
      </c>
      <c r="M45" s="1151">
        <f t="shared" si="4"/>
        <v>0</v>
      </c>
    </row>
    <row r="46" spans="1:13">
      <c r="B46" s="2109" t="s">
        <v>367</v>
      </c>
      <c r="C46" s="2162"/>
      <c r="D46" s="1331">
        <f t="shared" si="4"/>
        <v>27360476.509655505</v>
      </c>
      <c r="E46" s="866">
        <f t="shared" si="4"/>
        <v>10716108.938307028</v>
      </c>
      <c r="F46" s="867">
        <f t="shared" si="4"/>
        <v>1200275.4226249468</v>
      </c>
      <c r="G46" s="866">
        <f t="shared" si="4"/>
        <v>12559131.764327681</v>
      </c>
      <c r="H46" s="867">
        <f t="shared" si="4"/>
        <v>2881772.4644585894</v>
      </c>
      <c r="I46" s="2168">
        <f t="shared" si="4"/>
        <v>16641179.651411217</v>
      </c>
      <c r="J46" s="867">
        <f t="shared" si="4"/>
        <v>0.33305999986623647</v>
      </c>
      <c r="K46" s="866">
        <f t="shared" si="4"/>
        <v>0.3999999999996362</v>
      </c>
      <c r="L46" s="867">
        <f t="shared" si="4"/>
        <v>3187.1868772617599</v>
      </c>
      <c r="M46" s="1388">
        <f t="shared" si="4"/>
        <v>3187.9199372616258</v>
      </c>
    </row>
    <row r="47" spans="1:13">
      <c r="B47" s="2111" t="s">
        <v>368</v>
      </c>
      <c r="C47" s="2161"/>
      <c r="D47" s="1330">
        <f t="shared" si="4"/>
        <v>6553395.9341914942</v>
      </c>
      <c r="E47" s="868">
        <f t="shared" si="4"/>
        <v>4194553.1560617965</v>
      </c>
      <c r="F47" s="869">
        <f t="shared" si="4"/>
        <v>780255.53646574705</v>
      </c>
      <c r="G47" s="868">
        <f t="shared" si="4"/>
        <v>1324192.57076395</v>
      </c>
      <c r="H47" s="869">
        <f t="shared" si="4"/>
        <v>254394.6709</v>
      </c>
      <c r="I47" s="1924">
        <f t="shared" si="4"/>
        <v>2358842.7781296968</v>
      </c>
      <c r="J47" s="869">
        <f t="shared" si="4"/>
        <v>0</v>
      </c>
      <c r="K47" s="868">
        <f t="shared" si="4"/>
        <v>0</v>
      </c>
      <c r="L47" s="869">
        <f t="shared" si="4"/>
        <v>0</v>
      </c>
      <c r="M47" s="1151">
        <f t="shared" si="4"/>
        <v>0</v>
      </c>
    </row>
    <row r="48" spans="1:13">
      <c r="B48" s="2111"/>
      <c r="C48" s="2161"/>
      <c r="D48" s="1330">
        <f t="shared" si="4"/>
        <v>0</v>
      </c>
      <c r="E48" s="868">
        <f t="shared" si="4"/>
        <v>0</v>
      </c>
      <c r="F48" s="869">
        <f t="shared" si="4"/>
        <v>0</v>
      </c>
      <c r="G48" s="868">
        <f t="shared" si="4"/>
        <v>0</v>
      </c>
      <c r="H48" s="869">
        <f t="shared" si="4"/>
        <v>0</v>
      </c>
      <c r="I48" s="1924">
        <f t="shared" si="4"/>
        <v>0</v>
      </c>
      <c r="J48" s="869">
        <f t="shared" si="4"/>
        <v>0</v>
      </c>
      <c r="K48" s="868">
        <f t="shared" si="4"/>
        <v>0</v>
      </c>
      <c r="L48" s="869">
        <f t="shared" si="4"/>
        <v>0</v>
      </c>
      <c r="M48" s="1151">
        <f t="shared" si="4"/>
        <v>0</v>
      </c>
    </row>
    <row r="49" spans="1:13" ht="15" thickBot="1">
      <c r="B49" s="1378" t="s">
        <v>369</v>
      </c>
      <c r="C49" s="1383"/>
      <c r="D49" s="1340">
        <f t="shared" si="4"/>
        <v>20807080.575464014</v>
      </c>
      <c r="E49" s="1340">
        <f t="shared" si="4"/>
        <v>6521555.7822452318</v>
      </c>
      <c r="F49" s="1668">
        <f t="shared" si="4"/>
        <v>420019.88615919993</v>
      </c>
      <c r="G49" s="1340">
        <f t="shared" si="4"/>
        <v>11234939.193563731</v>
      </c>
      <c r="H49" s="1668">
        <f t="shared" si="4"/>
        <v>2627377.7935585892</v>
      </c>
      <c r="I49" s="1389">
        <f t="shared" si="4"/>
        <v>14282336.87328152</v>
      </c>
      <c r="J49" s="1668">
        <f t="shared" si="4"/>
        <v>0.33305999986623647</v>
      </c>
      <c r="K49" s="1340">
        <f t="shared" si="4"/>
        <v>0.3999999999996362</v>
      </c>
      <c r="L49" s="1668">
        <f t="shared" si="4"/>
        <v>3187.1868772617599</v>
      </c>
      <c r="M49" s="1340">
        <f t="shared" si="4"/>
        <v>3187.9199372616258</v>
      </c>
    </row>
    <row r="50" spans="1:13">
      <c r="B50" s="871"/>
      <c r="C50" s="871"/>
      <c r="D50" s="871"/>
      <c r="E50" s="871"/>
      <c r="F50" s="871"/>
      <c r="G50" s="871"/>
      <c r="H50" s="871"/>
      <c r="I50" s="871"/>
      <c r="J50" s="871"/>
      <c r="K50" s="871"/>
      <c r="L50" s="871"/>
      <c r="M50" s="871"/>
    </row>
    <row r="51" spans="1:13">
      <c r="B51" s="871"/>
      <c r="C51" s="871"/>
      <c r="D51" s="871"/>
      <c r="E51" s="871"/>
      <c r="F51" s="871"/>
      <c r="G51" s="871"/>
      <c r="H51" s="871"/>
      <c r="I51" s="871"/>
      <c r="J51" s="871"/>
      <c r="K51" s="871"/>
      <c r="L51" s="871"/>
      <c r="M51" s="871"/>
    </row>
    <row r="52" spans="1:13" ht="15" thickBot="1"/>
    <row r="53" spans="1:13" ht="17.25" customHeight="1" thickBot="1">
      <c r="A53" s="1343" t="s">
        <v>116</v>
      </c>
      <c r="B53" s="1344" t="s">
        <v>116</v>
      </c>
      <c r="C53" s="873"/>
      <c r="D53" s="662"/>
      <c r="E53" s="662"/>
      <c r="F53" s="662"/>
      <c r="G53" s="662"/>
      <c r="H53" s="662"/>
      <c r="I53" s="662"/>
      <c r="J53" s="662"/>
      <c r="K53" s="662"/>
      <c r="L53" s="3292"/>
      <c r="M53" s="3292" t="s">
        <v>257</v>
      </c>
    </row>
    <row r="54" spans="1:13" ht="17.25" customHeight="1" thickBot="1">
      <c r="A54" s="662"/>
      <c r="B54" s="3331" t="s">
        <v>116</v>
      </c>
      <c r="C54" s="3280" t="s">
        <v>334</v>
      </c>
      <c r="D54" s="3283" t="s">
        <v>260</v>
      </c>
      <c r="E54" s="3283" t="s">
        <v>335</v>
      </c>
      <c r="F54" s="3335" t="s">
        <v>263</v>
      </c>
      <c r="G54" s="3335"/>
      <c r="H54" s="3335"/>
      <c r="I54" s="3335"/>
      <c r="J54" s="3335"/>
      <c r="K54" s="3335"/>
      <c r="L54" s="3335"/>
      <c r="M54" s="3335"/>
    </row>
    <row r="55" spans="1:13" ht="17.25" customHeight="1" thickBot="1">
      <c r="A55" s="662"/>
      <c r="B55" s="3327"/>
      <c r="C55" s="3281"/>
      <c r="D55" s="3284"/>
      <c r="E55" s="3284"/>
      <c r="F55" s="3332" t="s">
        <v>264</v>
      </c>
      <c r="G55" s="3333"/>
      <c r="H55" s="3333"/>
      <c r="I55" s="3334"/>
      <c r="J55" s="3335" t="s">
        <v>336</v>
      </c>
      <c r="K55" s="3335"/>
      <c r="L55" s="3335"/>
      <c r="M55" s="3335"/>
    </row>
    <row r="56" spans="1:13" ht="49.9" customHeight="1" thickBot="1">
      <c r="A56" s="662"/>
      <c r="B56" s="3327"/>
      <c r="C56" s="3281"/>
      <c r="D56" s="3285"/>
      <c r="E56" s="3285"/>
      <c r="F56" s="2963" t="s">
        <v>267</v>
      </c>
      <c r="G56" s="2963" t="s">
        <v>268</v>
      </c>
      <c r="H56" s="2963" t="s">
        <v>269</v>
      </c>
      <c r="I56" s="2963" t="s">
        <v>160</v>
      </c>
      <c r="J56" s="2964" t="s">
        <v>337</v>
      </c>
      <c r="K56" s="2964" t="s">
        <v>271</v>
      </c>
      <c r="L56" s="2964" t="s">
        <v>338</v>
      </c>
      <c r="M56" s="2964" t="s">
        <v>160</v>
      </c>
    </row>
    <row r="57" spans="1:13" ht="18.600000000000001" customHeight="1" thickBot="1">
      <c r="A57" s="662"/>
      <c r="B57" s="3327"/>
      <c r="C57" s="3281"/>
      <c r="D57" s="2972">
        <v>1</v>
      </c>
      <c r="E57" s="3283">
        <v>2</v>
      </c>
      <c r="F57" s="3283">
        <v>3</v>
      </c>
      <c r="G57" s="3283">
        <v>4</v>
      </c>
      <c r="H57" s="3283"/>
      <c r="I57" s="2972">
        <v>6</v>
      </c>
      <c r="J57" s="3283">
        <v>7</v>
      </c>
      <c r="K57" s="3283">
        <v>8</v>
      </c>
      <c r="L57" s="3283">
        <v>9</v>
      </c>
      <c r="M57" s="2972">
        <v>10</v>
      </c>
    </row>
    <row r="58" spans="1:13" ht="15" thickBot="1">
      <c r="A58" s="662"/>
      <c r="B58" s="3328"/>
      <c r="C58" s="3282"/>
      <c r="D58" s="1327" t="s">
        <v>339</v>
      </c>
      <c r="E58" s="3285"/>
      <c r="F58" s="3285"/>
      <c r="G58" s="3285"/>
      <c r="H58" s="3285">
        <v>5</v>
      </c>
      <c r="I58" s="1327" t="s">
        <v>340</v>
      </c>
      <c r="J58" s="3285"/>
      <c r="K58" s="3285"/>
      <c r="L58" s="3285"/>
      <c r="M58" s="1327" t="s">
        <v>341</v>
      </c>
    </row>
    <row r="59" spans="1:13">
      <c r="A59" s="662"/>
      <c r="B59" s="1367" t="s">
        <v>342</v>
      </c>
      <c r="C59" s="894"/>
      <c r="D59" s="1329">
        <f t="shared" ref="D59:D96" si="5">E59+I59+M59</f>
        <v>20053301.699699998</v>
      </c>
      <c r="E59" s="878">
        <v>0</v>
      </c>
      <c r="F59" s="877">
        <v>4411793.4383300003</v>
      </c>
      <c r="G59" s="878">
        <v>14526894.261369999</v>
      </c>
      <c r="H59" s="877">
        <v>1114614</v>
      </c>
      <c r="I59" s="1368">
        <f t="shared" ref="I59:I96" si="6">F59+G59+H59</f>
        <v>20053301.699699998</v>
      </c>
      <c r="J59" s="877"/>
      <c r="K59" s="878"/>
      <c r="L59" s="877"/>
      <c r="M59" s="1369">
        <f t="shared" ref="M59:M76" si="7">L59+K59+J59</f>
        <v>0</v>
      </c>
    </row>
    <row r="60" spans="1:13">
      <c r="A60" s="662"/>
      <c r="B60" s="2103"/>
      <c r="C60" s="2169"/>
      <c r="D60" s="2124">
        <f t="shared" si="5"/>
        <v>0</v>
      </c>
      <c r="E60" s="2170"/>
      <c r="F60" s="2171"/>
      <c r="G60" s="2170"/>
      <c r="H60" s="2171"/>
      <c r="I60" s="2142">
        <f t="shared" si="6"/>
        <v>0</v>
      </c>
      <c r="J60" s="2171"/>
      <c r="K60" s="2170"/>
      <c r="L60" s="2171"/>
      <c r="M60" s="2143">
        <f t="shared" si="7"/>
        <v>0</v>
      </c>
    </row>
    <row r="61" spans="1:13">
      <c r="A61" s="662"/>
      <c r="B61" s="2105" t="s">
        <v>343</v>
      </c>
      <c r="C61" s="2169"/>
      <c r="D61" s="2124">
        <f t="shared" si="5"/>
        <v>1857795.0552600001</v>
      </c>
      <c r="E61" s="2170">
        <v>0</v>
      </c>
      <c r="F61" s="2171">
        <v>43794.297219999993</v>
      </c>
      <c r="G61" s="2170">
        <v>1809532.75804</v>
      </c>
      <c r="H61" s="2171">
        <v>4468</v>
      </c>
      <c r="I61" s="2142">
        <f t="shared" si="6"/>
        <v>1857795.0552600001</v>
      </c>
      <c r="J61" s="2171"/>
      <c r="K61" s="2170"/>
      <c r="L61" s="2171"/>
      <c r="M61" s="2143">
        <f t="shared" si="7"/>
        <v>0</v>
      </c>
    </row>
    <row r="62" spans="1:13">
      <c r="A62" s="662"/>
      <c r="B62" s="2105"/>
      <c r="C62" s="2169"/>
      <c r="D62" s="2124">
        <f t="shared" si="5"/>
        <v>0</v>
      </c>
      <c r="E62" s="2170"/>
      <c r="F62" s="2171"/>
      <c r="G62" s="2170"/>
      <c r="H62" s="2171"/>
      <c r="I62" s="2142">
        <f t="shared" si="6"/>
        <v>0</v>
      </c>
      <c r="J62" s="2171"/>
      <c r="K62" s="2170"/>
      <c r="L62" s="2171"/>
      <c r="M62" s="2143">
        <f t="shared" si="7"/>
        <v>0</v>
      </c>
    </row>
    <row r="63" spans="1:13" ht="14.25" customHeight="1">
      <c r="A63" s="662"/>
      <c r="B63" s="2106" t="s">
        <v>344</v>
      </c>
      <c r="C63" s="2169"/>
      <c r="D63" s="2124">
        <f t="shared" si="5"/>
        <v>0</v>
      </c>
      <c r="E63" s="2170">
        <v>0</v>
      </c>
      <c r="F63" s="2171">
        <v>0</v>
      </c>
      <c r="G63" s="2170">
        <v>0</v>
      </c>
      <c r="H63" s="2171"/>
      <c r="I63" s="2142">
        <f t="shared" si="6"/>
        <v>0</v>
      </c>
      <c r="J63" s="2171"/>
      <c r="K63" s="2170"/>
      <c r="L63" s="2171"/>
      <c r="M63" s="2143">
        <f t="shared" si="7"/>
        <v>0</v>
      </c>
    </row>
    <row r="64" spans="1:13">
      <c r="A64" s="662"/>
      <c r="B64" s="2103"/>
      <c r="C64" s="2169"/>
      <c r="D64" s="2124">
        <f t="shared" si="5"/>
        <v>0</v>
      </c>
      <c r="E64" s="2170"/>
      <c r="F64" s="2171"/>
      <c r="G64" s="2170"/>
      <c r="H64" s="2171"/>
      <c r="I64" s="2142">
        <f t="shared" si="6"/>
        <v>0</v>
      </c>
      <c r="J64" s="2171"/>
      <c r="K64" s="2170"/>
      <c r="L64" s="2171"/>
      <c r="M64" s="2143">
        <f t="shared" si="7"/>
        <v>0</v>
      </c>
    </row>
    <row r="65" spans="1:39" s="870" customFormat="1">
      <c r="A65" s="662"/>
      <c r="B65" s="2107" t="s">
        <v>345</v>
      </c>
      <c r="C65" s="2172"/>
      <c r="D65" s="2124">
        <f t="shared" si="5"/>
        <v>18195506.644439999</v>
      </c>
      <c r="E65" s="2170">
        <f>E59-E61+E63</f>
        <v>0</v>
      </c>
      <c r="F65" s="2171">
        <f>F59-F61+F63</f>
        <v>4367999.1411100002</v>
      </c>
      <c r="G65" s="2170">
        <f>G59-G61+G63</f>
        <v>12717361.50333</v>
      </c>
      <c r="H65" s="2171">
        <f>H59-H61+H63</f>
        <v>1110146</v>
      </c>
      <c r="I65" s="2142">
        <f t="shared" si="6"/>
        <v>18195506.644439999</v>
      </c>
      <c r="J65" s="2171">
        <f>J59-J61+J63</f>
        <v>0</v>
      </c>
      <c r="K65" s="2170">
        <f>K59-K61+K63</f>
        <v>0</v>
      </c>
      <c r="L65" s="2171">
        <f>L59-L61+L63</f>
        <v>0</v>
      </c>
      <c r="M65" s="2143">
        <f t="shared" si="7"/>
        <v>0</v>
      </c>
      <c r="N65"/>
      <c r="O65"/>
      <c r="P65"/>
      <c r="Q65"/>
      <c r="R65"/>
      <c r="S65"/>
      <c r="T65"/>
      <c r="U65"/>
      <c r="V65"/>
      <c r="W65"/>
      <c r="X65"/>
      <c r="Y65"/>
      <c r="Z65"/>
      <c r="AA65"/>
      <c r="AB65"/>
      <c r="AC65"/>
      <c r="AD65"/>
      <c r="AE65"/>
      <c r="AF65"/>
      <c r="AG65"/>
      <c r="AH65"/>
      <c r="AI65"/>
      <c r="AJ65"/>
      <c r="AK65"/>
      <c r="AL65"/>
      <c r="AM65"/>
    </row>
    <row r="66" spans="1:39">
      <c r="A66" s="662"/>
      <c r="B66" s="2107"/>
      <c r="C66" s="2172"/>
      <c r="D66" s="2124">
        <f t="shared" si="5"/>
        <v>0</v>
      </c>
      <c r="E66" s="2170"/>
      <c r="F66" s="2171"/>
      <c r="G66" s="2170"/>
      <c r="H66" s="2171"/>
      <c r="I66" s="2142">
        <f t="shared" si="6"/>
        <v>0</v>
      </c>
      <c r="J66" s="2171"/>
      <c r="K66" s="2170"/>
      <c r="L66" s="2171"/>
      <c r="M66" s="2143">
        <f t="shared" si="7"/>
        <v>0</v>
      </c>
    </row>
    <row r="67" spans="1:39" s="870" customFormat="1">
      <c r="A67" s="662"/>
      <c r="B67" s="2107" t="s">
        <v>346</v>
      </c>
      <c r="C67" s="2172"/>
      <c r="D67" s="2124">
        <f t="shared" si="5"/>
        <v>2775629.2473500003</v>
      </c>
      <c r="E67" s="2170">
        <f>SUM(E68:E72)</f>
        <v>903875.7246800001</v>
      </c>
      <c r="F67" s="2171">
        <f>SUM(F68:F72)</f>
        <v>698595.01693000004</v>
      </c>
      <c r="G67" s="2170">
        <f>SUM(G68:G72)</f>
        <v>1113924.5057400002</v>
      </c>
      <c r="H67" s="2171">
        <f>SUM(H68:H72)</f>
        <v>59234</v>
      </c>
      <c r="I67" s="2142">
        <f t="shared" si="6"/>
        <v>1871753.5226700003</v>
      </c>
      <c r="J67" s="2171">
        <f>SUM(J68:J72)</f>
        <v>0</v>
      </c>
      <c r="K67" s="2170">
        <f>SUM(K68:K72)</f>
        <v>0</v>
      </c>
      <c r="L67" s="2171">
        <f>SUM(L68:L72)</f>
        <v>0</v>
      </c>
      <c r="M67" s="2143">
        <f t="shared" si="7"/>
        <v>0</v>
      </c>
      <c r="N67"/>
      <c r="O67"/>
      <c r="P67"/>
      <c r="Q67"/>
      <c r="R67"/>
      <c r="S67"/>
      <c r="T67"/>
      <c r="U67"/>
      <c r="V67"/>
      <c r="W67"/>
      <c r="X67"/>
      <c r="Y67"/>
      <c r="Z67"/>
      <c r="AA67"/>
      <c r="AB67"/>
      <c r="AC67"/>
      <c r="AD67"/>
      <c r="AE67"/>
      <c r="AF67"/>
      <c r="AG67"/>
      <c r="AH67"/>
      <c r="AI67"/>
      <c r="AJ67"/>
      <c r="AK67"/>
      <c r="AL67"/>
      <c r="AM67"/>
    </row>
    <row r="68" spans="1:39">
      <c r="A68" s="662"/>
      <c r="B68" s="2103" t="s">
        <v>347</v>
      </c>
      <c r="C68" s="2169">
        <v>1</v>
      </c>
      <c r="D68" s="2124">
        <f t="shared" si="5"/>
        <v>2355097.4156300002</v>
      </c>
      <c r="E68" s="2170">
        <v>864481.52372000006</v>
      </c>
      <c r="F68" s="2171">
        <v>630772.73216999997</v>
      </c>
      <c r="G68" s="2170">
        <v>806334.15974000003</v>
      </c>
      <c r="H68" s="2171">
        <v>53509</v>
      </c>
      <c r="I68" s="2142">
        <f t="shared" si="6"/>
        <v>1490615.89191</v>
      </c>
      <c r="J68" s="2171"/>
      <c r="K68" s="2170"/>
      <c r="L68" s="2171"/>
      <c r="M68" s="2143">
        <f t="shared" si="7"/>
        <v>0</v>
      </c>
    </row>
    <row r="69" spans="1:39">
      <c r="A69" s="662"/>
      <c r="B69" s="2103" t="s">
        <v>348</v>
      </c>
      <c r="C69" s="2169">
        <v>2</v>
      </c>
      <c r="D69" s="2124">
        <f t="shared" si="5"/>
        <v>0</v>
      </c>
      <c r="E69" s="2170">
        <v>0</v>
      </c>
      <c r="F69" s="2171">
        <v>0</v>
      </c>
      <c r="G69" s="2170">
        <v>0</v>
      </c>
      <c r="H69" s="2171"/>
      <c r="I69" s="2142">
        <f t="shared" si="6"/>
        <v>0</v>
      </c>
      <c r="J69" s="2171"/>
      <c r="K69" s="2170"/>
      <c r="L69" s="2171"/>
      <c r="M69" s="2143">
        <f t="shared" si="7"/>
        <v>0</v>
      </c>
    </row>
    <row r="70" spans="1:39">
      <c r="A70" s="662"/>
      <c r="B70" s="2103" t="s">
        <v>349</v>
      </c>
      <c r="C70" s="2169"/>
      <c r="D70" s="2124">
        <f t="shared" si="5"/>
        <v>392205.94519</v>
      </c>
      <c r="E70" s="2170">
        <v>192125.67963</v>
      </c>
      <c r="F70" s="2171">
        <v>77344.676510000005</v>
      </c>
      <c r="G70" s="2170">
        <v>122735.58905000001</v>
      </c>
      <c r="H70" s="2171"/>
      <c r="I70" s="2142">
        <f t="shared" si="6"/>
        <v>200080.26556000003</v>
      </c>
      <c r="J70" s="2171"/>
      <c r="K70" s="2170"/>
      <c r="L70" s="2171"/>
      <c r="M70" s="2143">
        <f t="shared" si="7"/>
        <v>0</v>
      </c>
    </row>
    <row r="71" spans="1:39">
      <c r="A71" s="662"/>
      <c r="B71" s="2103" t="s">
        <v>350</v>
      </c>
      <c r="C71" s="2169"/>
      <c r="D71" s="2124">
        <f t="shared" si="5"/>
        <v>7560.1550299999944</v>
      </c>
      <c r="E71" s="2170">
        <v>-159433.46100000001</v>
      </c>
      <c r="F71" s="2171">
        <v>-9522.3917499999989</v>
      </c>
      <c r="G71" s="2170">
        <v>170791.00778000001</v>
      </c>
      <c r="H71" s="2171">
        <v>5725</v>
      </c>
      <c r="I71" s="2142">
        <f t="shared" si="6"/>
        <v>166993.61603</v>
      </c>
      <c r="J71" s="2171"/>
      <c r="K71" s="2170"/>
      <c r="L71" s="2171"/>
      <c r="M71" s="2143">
        <f t="shared" si="7"/>
        <v>0</v>
      </c>
    </row>
    <row r="72" spans="1:39">
      <c r="A72" s="662"/>
      <c r="B72" s="2103" t="s">
        <v>351</v>
      </c>
      <c r="C72" s="2169">
        <v>3</v>
      </c>
      <c r="D72" s="2124">
        <f t="shared" si="5"/>
        <v>20765.731500000002</v>
      </c>
      <c r="E72" s="2170">
        <f>SUM(E73:E74)</f>
        <v>6701.9823299999989</v>
      </c>
      <c r="F72" s="2171">
        <f>SUM(F73:F74)</f>
        <v>0</v>
      </c>
      <c r="G72" s="2170">
        <f>SUM(G73:G74)</f>
        <v>14063.749170000001</v>
      </c>
      <c r="H72" s="2171">
        <f>SUM(H73:H74)</f>
        <v>0</v>
      </c>
      <c r="I72" s="2142">
        <f t="shared" si="6"/>
        <v>14063.749170000001</v>
      </c>
      <c r="J72" s="2171"/>
      <c r="K72" s="2170"/>
      <c r="L72" s="2171"/>
      <c r="M72" s="2143">
        <f t="shared" si="7"/>
        <v>0</v>
      </c>
    </row>
    <row r="73" spans="1:39">
      <c r="A73" s="662"/>
      <c r="B73" s="2103" t="s">
        <v>352</v>
      </c>
      <c r="C73" s="2169"/>
      <c r="D73" s="2124">
        <f t="shared" si="5"/>
        <v>20765.731500000002</v>
      </c>
      <c r="E73" s="2170">
        <v>6701.9823299999989</v>
      </c>
      <c r="F73" s="2171">
        <v>0</v>
      </c>
      <c r="G73" s="2170">
        <v>14063.749170000001</v>
      </c>
      <c r="H73" s="2171"/>
      <c r="I73" s="2142">
        <f t="shared" si="6"/>
        <v>14063.749170000001</v>
      </c>
      <c r="J73" s="2171"/>
      <c r="K73" s="2170"/>
      <c r="L73" s="2171"/>
      <c r="M73" s="2143">
        <f t="shared" si="7"/>
        <v>0</v>
      </c>
    </row>
    <row r="74" spans="1:39">
      <c r="A74" s="662"/>
      <c r="B74" s="2103" t="s">
        <v>353</v>
      </c>
      <c r="C74" s="2169"/>
      <c r="D74" s="2124">
        <f t="shared" si="5"/>
        <v>0</v>
      </c>
      <c r="E74" s="2170"/>
      <c r="F74" s="2171"/>
      <c r="G74" s="2170"/>
      <c r="H74" s="2171"/>
      <c r="I74" s="2142">
        <f t="shared" si="6"/>
        <v>0</v>
      </c>
      <c r="J74" s="2171"/>
      <c r="K74" s="2170"/>
      <c r="L74" s="2171"/>
      <c r="M74" s="2143">
        <f t="shared" si="7"/>
        <v>0</v>
      </c>
    </row>
    <row r="75" spans="1:39">
      <c r="A75" s="662"/>
      <c r="B75" s="2103"/>
      <c r="C75" s="2169"/>
      <c r="D75" s="2124">
        <f t="shared" si="5"/>
        <v>0</v>
      </c>
      <c r="E75" s="2170"/>
      <c r="F75" s="2171"/>
      <c r="G75" s="2170"/>
      <c r="H75" s="2171"/>
      <c r="I75" s="2142">
        <f t="shared" si="6"/>
        <v>0</v>
      </c>
      <c r="J75" s="2171"/>
      <c r="K75" s="2170"/>
      <c r="L75" s="2171"/>
      <c r="M75" s="2143">
        <f t="shared" si="7"/>
        <v>0</v>
      </c>
    </row>
    <row r="76" spans="1:39" s="870" customFormat="1">
      <c r="A76" s="662"/>
      <c r="B76" s="2109" t="s">
        <v>354</v>
      </c>
      <c r="C76" s="2172"/>
      <c r="D76" s="2124">
        <f t="shared" si="5"/>
        <v>20971135.891789999</v>
      </c>
      <c r="E76" s="2170">
        <f>E65+E67</f>
        <v>903875.7246800001</v>
      </c>
      <c r="F76" s="2171">
        <f>F65+F67</f>
        <v>5066594.1580400001</v>
      </c>
      <c r="G76" s="2170">
        <f>G65+G67</f>
        <v>13831286.00907</v>
      </c>
      <c r="H76" s="2171">
        <f>H65+H67</f>
        <v>1169380</v>
      </c>
      <c r="I76" s="2142">
        <f t="shared" si="6"/>
        <v>20067260.16711</v>
      </c>
      <c r="J76" s="2171">
        <f>J65+J67</f>
        <v>0</v>
      </c>
      <c r="K76" s="2170">
        <f>K65+K67</f>
        <v>0</v>
      </c>
      <c r="L76" s="2171">
        <f>L65+L67</f>
        <v>0</v>
      </c>
      <c r="M76" s="2143">
        <f t="shared" si="7"/>
        <v>0</v>
      </c>
      <c r="N76"/>
      <c r="O76"/>
      <c r="P76"/>
      <c r="Q76"/>
      <c r="R76"/>
      <c r="S76"/>
      <c r="T76"/>
      <c r="U76"/>
      <c r="V76"/>
      <c r="W76"/>
      <c r="X76"/>
      <c r="Y76"/>
      <c r="Z76"/>
      <c r="AA76"/>
      <c r="AB76"/>
      <c r="AC76"/>
      <c r="AD76"/>
      <c r="AE76"/>
      <c r="AF76"/>
      <c r="AG76"/>
      <c r="AH76"/>
      <c r="AI76"/>
      <c r="AJ76"/>
      <c r="AK76"/>
      <c r="AL76"/>
      <c r="AM76"/>
    </row>
    <row r="77" spans="1:39">
      <c r="A77" s="662"/>
      <c r="B77" s="2109"/>
      <c r="C77" s="2172"/>
      <c r="D77" s="2124">
        <f t="shared" si="5"/>
        <v>0</v>
      </c>
      <c r="E77" s="2170"/>
      <c r="F77" s="2171"/>
      <c r="G77" s="2170"/>
      <c r="H77" s="2171"/>
      <c r="I77" s="2142">
        <f t="shared" si="6"/>
        <v>0</v>
      </c>
      <c r="J77" s="2171"/>
      <c r="K77" s="2170"/>
      <c r="L77" s="2171"/>
      <c r="M77" s="2143"/>
    </row>
    <row r="78" spans="1:39">
      <c r="A78" s="662"/>
      <c r="B78" s="2103" t="s">
        <v>355</v>
      </c>
      <c r="C78" s="2169"/>
      <c r="D78" s="2124">
        <f t="shared" si="5"/>
        <v>6519061.3832300007</v>
      </c>
      <c r="E78" s="2170">
        <v>0</v>
      </c>
      <c r="F78" s="2171">
        <v>733819.83996000001</v>
      </c>
      <c r="G78" s="2170">
        <v>5778936.5432700003</v>
      </c>
      <c r="H78" s="2171">
        <v>6305</v>
      </c>
      <c r="I78" s="2142">
        <f t="shared" si="6"/>
        <v>6519061.3832300007</v>
      </c>
      <c r="J78" s="2171"/>
      <c r="K78" s="2170"/>
      <c r="L78" s="2171"/>
      <c r="M78" s="2143">
        <f t="shared" ref="M78:M96" si="8">L78+K78+J78</f>
        <v>0</v>
      </c>
    </row>
    <row r="79" spans="1:39">
      <c r="A79" s="662"/>
      <c r="B79" s="2103" t="s">
        <v>356</v>
      </c>
      <c r="C79" s="2169"/>
      <c r="D79" s="2124">
        <f t="shared" si="5"/>
        <v>-553897.47765999998</v>
      </c>
      <c r="E79" s="2170">
        <v>0</v>
      </c>
      <c r="F79" s="2171">
        <v>-30476.45651</v>
      </c>
      <c r="G79" s="2170">
        <v>-515860.02114999999</v>
      </c>
      <c r="H79" s="2171">
        <v>-7561</v>
      </c>
      <c r="I79" s="2142">
        <f t="shared" si="6"/>
        <v>-553897.47765999998</v>
      </c>
      <c r="J79" s="2171"/>
      <c r="K79" s="2170"/>
      <c r="L79" s="2171"/>
      <c r="M79" s="2143">
        <f t="shared" si="8"/>
        <v>0</v>
      </c>
    </row>
    <row r="80" spans="1:39">
      <c r="A80" s="662"/>
      <c r="B80" s="2103" t="s">
        <v>357</v>
      </c>
      <c r="C80" s="2169"/>
      <c r="D80" s="2124">
        <f t="shared" si="5"/>
        <v>-65955.291839999991</v>
      </c>
      <c r="E80" s="2170">
        <v>0</v>
      </c>
      <c r="F80" s="2171">
        <v>1268.0177699999999</v>
      </c>
      <c r="G80" s="2170">
        <v>-68755.694609999991</v>
      </c>
      <c r="H80" s="2171">
        <v>1532.385</v>
      </c>
      <c r="I80" s="2142">
        <f t="shared" si="6"/>
        <v>-65955.291839999991</v>
      </c>
      <c r="J80" s="2171"/>
      <c r="K80" s="2170"/>
      <c r="L80" s="2171"/>
      <c r="M80" s="2143">
        <f t="shared" si="8"/>
        <v>0</v>
      </c>
    </row>
    <row r="81" spans="1:39" ht="13.5" customHeight="1">
      <c r="A81" s="662"/>
      <c r="B81" s="2110" t="s">
        <v>358</v>
      </c>
      <c r="C81" s="2169"/>
      <c r="D81" s="2124">
        <f t="shared" si="5"/>
        <v>2859.0759000000003</v>
      </c>
      <c r="E81" s="2170">
        <v>0</v>
      </c>
      <c r="F81" s="2171">
        <v>3275.6201000000001</v>
      </c>
      <c r="G81" s="2170">
        <v>-416.54419999999999</v>
      </c>
      <c r="H81" s="2171">
        <v>0</v>
      </c>
      <c r="I81" s="2142">
        <f t="shared" si="6"/>
        <v>2859.0759000000003</v>
      </c>
      <c r="J81" s="2171"/>
      <c r="K81" s="2170"/>
      <c r="L81" s="2171"/>
      <c r="M81" s="2143">
        <f t="shared" si="8"/>
        <v>0</v>
      </c>
    </row>
    <row r="82" spans="1:39">
      <c r="A82" s="662"/>
      <c r="B82" s="2103" t="s">
        <v>359</v>
      </c>
      <c r="C82" s="2169"/>
      <c r="D82" s="2124">
        <f t="shared" si="5"/>
        <v>4143425.8727400019</v>
      </c>
      <c r="E82" s="2170">
        <v>0</v>
      </c>
      <c r="F82" s="2171">
        <v>1136967.9571900018</v>
      </c>
      <c r="G82" s="2170">
        <v>2740528.91555</v>
      </c>
      <c r="H82" s="2171">
        <v>265929</v>
      </c>
      <c r="I82" s="2142">
        <f t="shared" si="6"/>
        <v>4143425.8727400019</v>
      </c>
      <c r="J82" s="2171"/>
      <c r="K82" s="2170"/>
      <c r="L82" s="2171"/>
      <c r="M82" s="2143">
        <f t="shared" si="8"/>
        <v>0</v>
      </c>
    </row>
    <row r="83" spans="1:39" ht="26.45">
      <c r="A83" s="662"/>
      <c r="B83" s="2110" t="s">
        <v>360</v>
      </c>
      <c r="C83" s="2169"/>
      <c r="D83" s="2124">
        <f t="shared" si="5"/>
        <v>0</v>
      </c>
      <c r="E83" s="2170">
        <v>0</v>
      </c>
      <c r="F83" s="2171">
        <v>0</v>
      </c>
      <c r="G83" s="2170">
        <v>0</v>
      </c>
      <c r="H83" s="2171"/>
      <c r="I83" s="2142">
        <f t="shared" si="6"/>
        <v>0</v>
      </c>
      <c r="J83" s="2171"/>
      <c r="K83" s="2170"/>
      <c r="L83" s="2171"/>
      <c r="M83" s="2143">
        <f t="shared" si="8"/>
        <v>0</v>
      </c>
    </row>
    <row r="84" spans="1:39" s="870" customFormat="1">
      <c r="A84" s="662"/>
      <c r="B84" s="2109" t="s">
        <v>361</v>
      </c>
      <c r="C84" s="2172"/>
      <c r="D84" s="2124">
        <f t="shared" si="5"/>
        <v>10045493.562370002</v>
      </c>
      <c r="E84" s="2170">
        <f>SUM(E78:E83)</f>
        <v>0</v>
      </c>
      <c r="F84" s="2171">
        <f>SUM(F78:F83)</f>
        <v>1844854.9785100019</v>
      </c>
      <c r="G84" s="2170">
        <f>SUM(G78:G83)</f>
        <v>7934433.1988599999</v>
      </c>
      <c r="H84" s="2171">
        <f>SUM(H78:H83)</f>
        <v>266205.38500000001</v>
      </c>
      <c r="I84" s="2142">
        <f t="shared" si="6"/>
        <v>10045493.562370002</v>
      </c>
      <c r="J84" s="2171">
        <f>SUM(J78:J83)</f>
        <v>0</v>
      </c>
      <c r="K84" s="2170">
        <f>SUM(K78:K83)</f>
        <v>0</v>
      </c>
      <c r="L84" s="2171">
        <f>SUM(L78:L83)</f>
        <v>0</v>
      </c>
      <c r="M84" s="2143">
        <f t="shared" si="8"/>
        <v>0</v>
      </c>
      <c r="N84"/>
      <c r="O84"/>
      <c r="P84"/>
      <c r="Q84"/>
      <c r="R84"/>
      <c r="S84"/>
      <c r="T84"/>
      <c r="U84"/>
      <c r="V84"/>
      <c r="W84"/>
      <c r="X84"/>
      <c r="Y84"/>
      <c r="Z84"/>
      <c r="AA84"/>
      <c r="AB84"/>
      <c r="AC84"/>
      <c r="AD84"/>
      <c r="AE84"/>
      <c r="AF84"/>
      <c r="AG84"/>
      <c r="AH84"/>
      <c r="AI84"/>
      <c r="AJ84"/>
      <c r="AK84"/>
      <c r="AL84"/>
      <c r="AM84"/>
    </row>
    <row r="85" spans="1:39">
      <c r="A85" s="662"/>
      <c r="B85" s="2103"/>
      <c r="C85" s="2169"/>
      <c r="D85" s="2124">
        <f t="shared" si="5"/>
        <v>0</v>
      </c>
      <c r="E85" s="2170"/>
      <c r="F85" s="2171"/>
      <c r="G85" s="2170"/>
      <c r="H85" s="2171"/>
      <c r="I85" s="2142">
        <f t="shared" si="6"/>
        <v>0</v>
      </c>
      <c r="J85" s="2171"/>
      <c r="K85" s="2170"/>
      <c r="L85" s="2171"/>
      <c r="M85" s="2143">
        <f t="shared" si="8"/>
        <v>0</v>
      </c>
    </row>
    <row r="86" spans="1:39" ht="26.45">
      <c r="A86" s="662"/>
      <c r="B86" s="2110" t="s">
        <v>362</v>
      </c>
      <c r="C86" s="2169"/>
      <c r="D86" s="2124">
        <f t="shared" si="5"/>
        <v>4050033.4570799996</v>
      </c>
      <c r="E86" s="2170">
        <v>0</v>
      </c>
      <c r="F86" s="2171">
        <v>1219796.3140299995</v>
      </c>
      <c r="G86" s="2170">
        <v>2636275.1430500001</v>
      </c>
      <c r="H86" s="2171">
        <v>193962</v>
      </c>
      <c r="I86" s="2142">
        <f t="shared" si="6"/>
        <v>4050033.4570799996</v>
      </c>
      <c r="J86" s="2171"/>
      <c r="K86" s="2170"/>
      <c r="L86" s="2171"/>
      <c r="M86" s="2143">
        <f t="shared" si="8"/>
        <v>0</v>
      </c>
    </row>
    <row r="87" spans="1:39">
      <c r="A87" s="662"/>
      <c r="B87" s="2103"/>
      <c r="C87" s="2169"/>
      <c r="D87" s="2124">
        <f t="shared" si="5"/>
        <v>0</v>
      </c>
      <c r="E87" s="2170"/>
      <c r="F87" s="2171"/>
      <c r="G87" s="2170"/>
      <c r="H87" s="2171"/>
      <c r="I87" s="2142">
        <f t="shared" si="6"/>
        <v>0</v>
      </c>
      <c r="J87" s="2171"/>
      <c r="K87" s="2170"/>
      <c r="L87" s="2171"/>
      <c r="M87" s="2143">
        <f t="shared" si="8"/>
        <v>0</v>
      </c>
    </row>
    <row r="88" spans="1:39" ht="15.75" customHeight="1">
      <c r="A88" s="662"/>
      <c r="B88" s="2110" t="s">
        <v>363</v>
      </c>
      <c r="C88" s="2169">
        <v>4</v>
      </c>
      <c r="D88" s="2124">
        <f t="shared" si="5"/>
        <v>3726365.6640999997</v>
      </c>
      <c r="E88" s="2170">
        <v>11747.687029999999</v>
      </c>
      <c r="F88" s="2171">
        <v>1905249.3721399996</v>
      </c>
      <c r="G88" s="2170">
        <v>1100155.6049299999</v>
      </c>
      <c r="H88" s="2171">
        <v>709213</v>
      </c>
      <c r="I88" s="2142">
        <f t="shared" si="6"/>
        <v>3714617.9770699996</v>
      </c>
      <c r="J88" s="2171"/>
      <c r="K88" s="2170"/>
      <c r="L88" s="2171"/>
      <c r="M88" s="2143">
        <f t="shared" si="8"/>
        <v>0</v>
      </c>
    </row>
    <row r="89" spans="1:39">
      <c r="A89" s="662"/>
      <c r="B89" s="2103" t="s">
        <v>364</v>
      </c>
      <c r="C89" s="2169"/>
      <c r="D89" s="2124">
        <f t="shared" si="5"/>
        <v>0</v>
      </c>
      <c r="E89" s="2170"/>
      <c r="F89" s="2171"/>
      <c r="G89" s="2170"/>
      <c r="H89" s="2171"/>
      <c r="I89" s="2142">
        <f t="shared" si="6"/>
        <v>0</v>
      </c>
      <c r="J89" s="2171"/>
      <c r="K89" s="2170"/>
      <c r="L89" s="2171"/>
      <c r="M89" s="2143">
        <f t="shared" si="8"/>
        <v>0</v>
      </c>
    </row>
    <row r="90" spans="1:39">
      <c r="A90" s="662"/>
      <c r="B90" s="2103" t="s">
        <v>365</v>
      </c>
      <c r="C90" s="2169"/>
      <c r="D90" s="2124">
        <f t="shared" si="5"/>
        <v>183568.73181000003</v>
      </c>
      <c r="E90" s="2170">
        <v>221453.56122</v>
      </c>
      <c r="F90" s="2171">
        <v>96693.493359999993</v>
      </c>
      <c r="G90" s="2170">
        <v>-134578.32276999997</v>
      </c>
      <c r="H90" s="2171"/>
      <c r="I90" s="2142">
        <f t="shared" si="6"/>
        <v>-37884.829409999977</v>
      </c>
      <c r="J90" s="2171"/>
      <c r="K90" s="2170"/>
      <c r="L90" s="2171"/>
      <c r="M90" s="2143">
        <f t="shared" si="8"/>
        <v>0</v>
      </c>
    </row>
    <row r="91" spans="1:39" s="870" customFormat="1">
      <c r="A91" s="662"/>
      <c r="B91" s="2109" t="s">
        <v>366</v>
      </c>
      <c r="C91" s="2172"/>
      <c r="D91" s="2124">
        <f t="shared" si="5"/>
        <v>3909934.3959099995</v>
      </c>
      <c r="E91" s="2170">
        <f>SUM(E88:E90)</f>
        <v>233201.24825</v>
      </c>
      <c r="F91" s="2171">
        <f>SUM(F88:F90)</f>
        <v>2001942.8654999996</v>
      </c>
      <c r="G91" s="2170">
        <f>SUM(G88:G90)</f>
        <v>965577.28215999994</v>
      </c>
      <c r="H91" s="2171">
        <f>SUM(H88:H90)</f>
        <v>709213</v>
      </c>
      <c r="I91" s="2142">
        <f t="shared" si="6"/>
        <v>3676733.1476599993</v>
      </c>
      <c r="J91" s="2171">
        <f>SUM(J88:J90)</f>
        <v>0</v>
      </c>
      <c r="K91" s="2170">
        <f>SUM(K88:K90)</f>
        <v>0</v>
      </c>
      <c r="L91" s="2171">
        <f>SUM(L88:L90)</f>
        <v>0</v>
      </c>
      <c r="M91" s="2143">
        <f t="shared" si="8"/>
        <v>0</v>
      </c>
      <c r="N91"/>
      <c r="O91"/>
      <c r="P91"/>
      <c r="Q91"/>
      <c r="R91"/>
      <c r="S91"/>
      <c r="T91"/>
      <c r="U91"/>
      <c r="V91"/>
      <c r="W91"/>
      <c r="X91"/>
      <c r="Y91"/>
      <c r="Z91"/>
      <c r="AA91"/>
      <c r="AB91"/>
      <c r="AC91"/>
      <c r="AD91"/>
      <c r="AE91"/>
      <c r="AF91"/>
      <c r="AG91"/>
      <c r="AH91"/>
      <c r="AI91"/>
      <c r="AJ91"/>
      <c r="AK91"/>
      <c r="AL91"/>
      <c r="AM91"/>
    </row>
    <row r="92" spans="1:39">
      <c r="A92" s="662"/>
      <c r="B92" s="2109"/>
      <c r="C92" s="2172"/>
      <c r="D92" s="2124">
        <f t="shared" si="5"/>
        <v>0</v>
      </c>
      <c r="E92" s="2170"/>
      <c r="F92" s="2171"/>
      <c r="G92" s="2170"/>
      <c r="H92" s="2171"/>
      <c r="I92" s="2142">
        <f t="shared" si="6"/>
        <v>0</v>
      </c>
      <c r="J92" s="2171"/>
      <c r="K92" s="2170"/>
      <c r="L92" s="2171"/>
      <c r="M92" s="2143">
        <f t="shared" si="8"/>
        <v>0</v>
      </c>
    </row>
    <row r="93" spans="1:39" s="870" customFormat="1">
      <c r="A93" s="662"/>
      <c r="B93" s="2109" t="s">
        <v>367</v>
      </c>
      <c r="C93" s="2173"/>
      <c r="D93" s="2124">
        <f t="shared" si="5"/>
        <v>2965674.4764299998</v>
      </c>
      <c r="E93" s="2170">
        <f>E76-E84-E86-E91</f>
        <v>670674.47643000004</v>
      </c>
      <c r="F93" s="2171">
        <f>F76-F84-F86-F91</f>
        <v>0</v>
      </c>
      <c r="G93" s="2170">
        <f>G76-G84-G86-G91</f>
        <v>2295000.3849999998</v>
      </c>
      <c r="H93" s="2171">
        <f>H76-H84-H86-H91</f>
        <v>-0.38500000000931323</v>
      </c>
      <c r="I93" s="2142">
        <f t="shared" si="6"/>
        <v>2295000</v>
      </c>
      <c r="J93" s="2171">
        <f>J76-J84-J86-J91</f>
        <v>0</v>
      </c>
      <c r="K93" s="2170">
        <f>K76-K84-K86-K91</f>
        <v>0</v>
      </c>
      <c r="L93" s="2171">
        <f>L76-L84-L86-L91</f>
        <v>0</v>
      </c>
      <c r="M93" s="2143">
        <f t="shared" si="8"/>
        <v>0</v>
      </c>
      <c r="N93"/>
      <c r="O93"/>
      <c r="P93"/>
      <c r="Q93"/>
      <c r="R93"/>
      <c r="S93"/>
      <c r="T93"/>
      <c r="U93"/>
      <c r="V93"/>
      <c r="W93"/>
      <c r="X93"/>
      <c r="Y93"/>
      <c r="Z93"/>
      <c r="AA93"/>
      <c r="AB93"/>
      <c r="AC93"/>
      <c r="AD93"/>
      <c r="AE93"/>
      <c r="AF93"/>
      <c r="AG93"/>
      <c r="AH93"/>
      <c r="AI93"/>
      <c r="AJ93"/>
      <c r="AK93"/>
      <c r="AL93"/>
      <c r="AM93"/>
    </row>
    <row r="94" spans="1:39">
      <c r="A94" s="662"/>
      <c r="B94" s="2103" t="s">
        <v>368</v>
      </c>
      <c r="C94" s="2169"/>
      <c r="D94" s="2124">
        <f t="shared" si="5"/>
        <v>860806</v>
      </c>
      <c r="E94" s="2170">
        <v>860806</v>
      </c>
      <c r="F94" s="2171"/>
      <c r="G94" s="2170"/>
      <c r="H94" s="2171"/>
      <c r="I94" s="2142">
        <f t="shared" si="6"/>
        <v>0</v>
      </c>
      <c r="J94" s="2171"/>
      <c r="K94" s="2170"/>
      <c r="L94" s="2171"/>
      <c r="M94" s="2143">
        <f t="shared" si="8"/>
        <v>0</v>
      </c>
    </row>
    <row r="95" spans="1:39">
      <c r="A95" s="662"/>
      <c r="B95" s="2174"/>
      <c r="C95" s="2141"/>
      <c r="D95" s="2124">
        <f t="shared" si="5"/>
        <v>0</v>
      </c>
      <c r="E95" s="2170"/>
      <c r="F95" s="2171"/>
      <c r="G95" s="2170"/>
      <c r="H95" s="2171"/>
      <c r="I95" s="2142">
        <f t="shared" si="6"/>
        <v>0</v>
      </c>
      <c r="J95" s="2171"/>
      <c r="K95" s="2170"/>
      <c r="L95" s="2171"/>
      <c r="M95" s="2143">
        <f t="shared" si="8"/>
        <v>0</v>
      </c>
    </row>
    <row r="96" spans="1:39" s="870" customFormat="1" ht="15" thickBot="1">
      <c r="A96" s="662"/>
      <c r="B96" s="1338" t="s">
        <v>369</v>
      </c>
      <c r="C96" s="1370"/>
      <c r="D96" s="1350">
        <f t="shared" si="5"/>
        <v>2104868.4764299998</v>
      </c>
      <c r="E96" s="1360">
        <f>E93-E94</f>
        <v>-190131.52356999996</v>
      </c>
      <c r="F96" s="1350">
        <f>F93-F94</f>
        <v>0</v>
      </c>
      <c r="G96" s="1360">
        <f>G93-G94</f>
        <v>2295000.3849999998</v>
      </c>
      <c r="H96" s="1350">
        <f>H93-H94</f>
        <v>-0.38500000000931323</v>
      </c>
      <c r="I96" s="1360">
        <f t="shared" si="6"/>
        <v>2295000</v>
      </c>
      <c r="J96" s="1350">
        <f>J93-J94</f>
        <v>0</v>
      </c>
      <c r="K96" s="1360">
        <f>K93-K94</f>
        <v>0</v>
      </c>
      <c r="L96" s="1350">
        <f>L93-L94</f>
        <v>0</v>
      </c>
      <c r="M96" s="1371">
        <f t="shared" si="8"/>
        <v>0</v>
      </c>
      <c r="N96"/>
      <c r="O96"/>
      <c r="P96"/>
      <c r="Q96"/>
      <c r="R96"/>
      <c r="S96"/>
      <c r="T96"/>
      <c r="U96"/>
      <c r="V96"/>
      <c r="W96"/>
      <c r="X96"/>
      <c r="Y96"/>
      <c r="Z96"/>
      <c r="AA96"/>
      <c r="AB96"/>
      <c r="AC96"/>
      <c r="AD96"/>
      <c r="AE96"/>
      <c r="AF96"/>
      <c r="AG96"/>
      <c r="AH96"/>
      <c r="AI96"/>
      <c r="AJ96"/>
      <c r="AK96"/>
      <c r="AL96"/>
      <c r="AM96"/>
    </row>
    <row r="97" spans="1:13">
      <c r="A97" s="662"/>
      <c r="B97" s="662"/>
      <c r="C97" s="662"/>
      <c r="D97" s="662"/>
      <c r="E97" s="662"/>
      <c r="F97" s="662"/>
      <c r="G97" s="662"/>
      <c r="H97" s="662"/>
      <c r="I97" s="662"/>
      <c r="J97" s="662"/>
      <c r="K97" s="662"/>
      <c r="L97" s="662"/>
      <c r="M97" s="662"/>
    </row>
    <row r="98" spans="1:13">
      <c r="A98" s="662"/>
      <c r="B98" s="662"/>
      <c r="C98" s="662"/>
      <c r="D98" s="670"/>
      <c r="E98" s="670"/>
      <c r="F98" s="670"/>
      <c r="G98" s="670"/>
      <c r="H98" s="670"/>
      <c r="I98" s="670"/>
      <c r="J98" s="670"/>
      <c r="K98" s="670"/>
      <c r="L98" s="670"/>
      <c r="M98" s="666"/>
    </row>
    <row r="100" spans="1:13" ht="15" thickBot="1"/>
    <row r="101" spans="1:13" ht="17.25" customHeight="1" thickBot="1">
      <c r="A101" s="1361" t="s">
        <v>178</v>
      </c>
      <c r="B101" s="1153" t="s">
        <v>323</v>
      </c>
      <c r="C101" s="873"/>
      <c r="D101" s="662"/>
      <c r="E101" s="662"/>
      <c r="F101" s="662"/>
      <c r="G101" s="662"/>
      <c r="H101" s="662"/>
      <c r="I101" s="662"/>
      <c r="J101" s="662"/>
      <c r="K101" s="662"/>
      <c r="L101" s="3339"/>
      <c r="M101" s="3339" t="s">
        <v>257</v>
      </c>
    </row>
    <row r="102" spans="1:13" ht="17.25" customHeight="1" thickBot="1">
      <c r="A102" s="662"/>
      <c r="B102" s="3331" t="s">
        <v>323</v>
      </c>
      <c r="C102" s="3280" t="s">
        <v>334</v>
      </c>
      <c r="D102" s="3283" t="s">
        <v>260</v>
      </c>
      <c r="E102" s="3283" t="s">
        <v>335</v>
      </c>
      <c r="F102" s="3335" t="s">
        <v>263</v>
      </c>
      <c r="G102" s="3335"/>
      <c r="H102" s="3335"/>
      <c r="I102" s="3335"/>
      <c r="J102" s="3335"/>
      <c r="K102" s="3335"/>
      <c r="L102" s="3335"/>
      <c r="M102" s="3335"/>
    </row>
    <row r="103" spans="1:13" ht="17.25" customHeight="1" thickBot="1">
      <c r="A103" s="662"/>
      <c r="B103" s="3327"/>
      <c r="C103" s="3281"/>
      <c r="D103" s="3284"/>
      <c r="E103" s="3284"/>
      <c r="F103" s="3332" t="s">
        <v>264</v>
      </c>
      <c r="G103" s="3333"/>
      <c r="H103" s="3333"/>
      <c r="I103" s="3334"/>
      <c r="J103" s="3335" t="s">
        <v>336</v>
      </c>
      <c r="K103" s="3335"/>
      <c r="L103" s="3335"/>
      <c r="M103" s="3335"/>
    </row>
    <row r="104" spans="1:13" ht="64.150000000000006" customHeight="1" thickBot="1">
      <c r="A104" s="662"/>
      <c r="B104" s="3327"/>
      <c r="C104" s="3281"/>
      <c r="D104" s="3285"/>
      <c r="E104" s="3285"/>
      <c r="F104" s="2963" t="s">
        <v>267</v>
      </c>
      <c r="G104" s="2963" t="s">
        <v>268</v>
      </c>
      <c r="H104" s="2963" t="s">
        <v>269</v>
      </c>
      <c r="I104" s="2963" t="s">
        <v>160</v>
      </c>
      <c r="J104" s="2964" t="s">
        <v>337</v>
      </c>
      <c r="K104" s="2964" t="s">
        <v>271</v>
      </c>
      <c r="L104" s="2964" t="s">
        <v>338</v>
      </c>
      <c r="M104" s="2964" t="s">
        <v>160</v>
      </c>
    </row>
    <row r="105" spans="1:13" ht="17.25" customHeight="1" thickBot="1">
      <c r="A105" s="662"/>
      <c r="B105" s="3327"/>
      <c r="C105" s="3281"/>
      <c r="D105" s="2972">
        <v>1</v>
      </c>
      <c r="E105" s="3283">
        <v>2</v>
      </c>
      <c r="F105" s="3283">
        <v>3</v>
      </c>
      <c r="G105" s="3283">
        <v>4</v>
      </c>
      <c r="H105" s="3283"/>
      <c r="I105" s="2972">
        <v>6</v>
      </c>
      <c r="J105" s="3283">
        <v>7</v>
      </c>
      <c r="K105" s="3283">
        <v>8</v>
      </c>
      <c r="L105" s="3283">
        <v>9</v>
      </c>
      <c r="M105" s="2972">
        <v>10</v>
      </c>
    </row>
    <row r="106" spans="1:13" ht="34.9" customHeight="1" thickBot="1">
      <c r="A106" s="662"/>
      <c r="B106" s="3328"/>
      <c r="C106" s="3282"/>
      <c r="D106" s="1327" t="s">
        <v>339</v>
      </c>
      <c r="E106" s="3285"/>
      <c r="F106" s="3285"/>
      <c r="G106" s="3285"/>
      <c r="H106" s="3285">
        <v>5</v>
      </c>
      <c r="I106" s="1327" t="s">
        <v>340</v>
      </c>
      <c r="J106" s="3285"/>
      <c r="K106" s="3285"/>
      <c r="L106" s="3285"/>
      <c r="M106" s="1327" t="s">
        <v>341</v>
      </c>
    </row>
    <row r="107" spans="1:13">
      <c r="A107" s="662"/>
      <c r="B107" s="1328" t="s">
        <v>342</v>
      </c>
      <c r="C107" s="880"/>
      <c r="D107" s="1329">
        <f t="shared" ref="D107:D144" si="9">E107+I107+M107</f>
        <v>2311632.9299545996</v>
      </c>
      <c r="E107" s="878"/>
      <c r="F107" s="877"/>
      <c r="G107" s="878">
        <v>1616987.2345032424</v>
      </c>
      <c r="H107" s="877">
        <v>694645.69545135717</v>
      </c>
      <c r="I107" s="1368">
        <f t="shared" ref="I107:I144" si="10">F107+G107+H107</f>
        <v>2311632.9299545996</v>
      </c>
      <c r="J107" s="877"/>
      <c r="K107" s="878"/>
      <c r="L107" s="877"/>
      <c r="M107" s="1369">
        <f t="shared" ref="M107:M124" si="11">L107+K107+J107</f>
        <v>0</v>
      </c>
    </row>
    <row r="108" spans="1:13">
      <c r="A108" s="662"/>
      <c r="B108" s="2103"/>
      <c r="C108" s="2169"/>
      <c r="D108" s="2124">
        <f t="shared" si="9"/>
        <v>0</v>
      </c>
      <c r="E108" s="2170"/>
      <c r="F108" s="2171"/>
      <c r="G108" s="2170"/>
      <c r="H108" s="2171"/>
      <c r="I108" s="2142">
        <f t="shared" si="10"/>
        <v>0</v>
      </c>
      <c r="J108" s="2171"/>
      <c r="K108" s="2170"/>
      <c r="L108" s="2171"/>
      <c r="M108" s="2143">
        <f t="shared" si="11"/>
        <v>0</v>
      </c>
    </row>
    <row r="109" spans="1:13">
      <c r="A109" s="662"/>
      <c r="B109" s="2105" t="s">
        <v>343</v>
      </c>
      <c r="C109" s="2169"/>
      <c r="D109" s="2124">
        <f t="shared" si="9"/>
        <v>103292.31508999999</v>
      </c>
      <c r="E109" s="2170"/>
      <c r="F109" s="2171"/>
      <c r="G109" s="2170">
        <v>102259.39193909999</v>
      </c>
      <c r="H109" s="2171">
        <v>1032.9231509000001</v>
      </c>
      <c r="I109" s="2142">
        <f t="shared" si="10"/>
        <v>103292.31508999999</v>
      </c>
      <c r="J109" s="2171"/>
      <c r="K109" s="2170"/>
      <c r="L109" s="2171"/>
      <c r="M109" s="2143">
        <f t="shared" si="11"/>
        <v>0</v>
      </c>
    </row>
    <row r="110" spans="1:13">
      <c r="A110" s="662"/>
      <c r="B110" s="2105"/>
      <c r="C110" s="2169"/>
      <c r="D110" s="2124">
        <f t="shared" si="9"/>
        <v>0</v>
      </c>
      <c r="E110" s="2170"/>
      <c r="F110" s="2171"/>
      <c r="G110" s="2170"/>
      <c r="H110" s="2171"/>
      <c r="I110" s="2142">
        <f t="shared" si="10"/>
        <v>0</v>
      </c>
      <c r="J110" s="2171"/>
      <c r="K110" s="2170"/>
      <c r="L110" s="2171"/>
      <c r="M110" s="2143">
        <f t="shared" si="11"/>
        <v>0</v>
      </c>
    </row>
    <row r="111" spans="1:13" ht="14.25" customHeight="1">
      <c r="A111" s="662"/>
      <c r="B111" s="2106" t="s">
        <v>344</v>
      </c>
      <c r="C111" s="2169"/>
      <c r="D111" s="2124">
        <f t="shared" si="9"/>
        <v>0</v>
      </c>
      <c r="E111" s="2170"/>
      <c r="F111" s="2171"/>
      <c r="G111" s="2170"/>
      <c r="H111" s="2171"/>
      <c r="I111" s="2142">
        <f t="shared" si="10"/>
        <v>0</v>
      </c>
      <c r="J111" s="2171"/>
      <c r="K111" s="2170"/>
      <c r="L111" s="2171"/>
      <c r="M111" s="2143">
        <f t="shared" si="11"/>
        <v>0</v>
      </c>
    </row>
    <row r="112" spans="1:13">
      <c r="A112" s="662"/>
      <c r="B112" s="2103"/>
      <c r="C112" s="2169"/>
      <c r="D112" s="2124">
        <f t="shared" si="9"/>
        <v>0</v>
      </c>
      <c r="E112" s="2170"/>
      <c r="F112" s="2171"/>
      <c r="G112" s="2170"/>
      <c r="H112" s="2171"/>
      <c r="I112" s="2142">
        <f t="shared" si="10"/>
        <v>0</v>
      </c>
      <c r="J112" s="2171"/>
      <c r="K112" s="2170"/>
      <c r="L112" s="2171"/>
      <c r="M112" s="2143">
        <f t="shared" si="11"/>
        <v>0</v>
      </c>
    </row>
    <row r="113" spans="1:39" s="870" customFormat="1">
      <c r="A113" s="662"/>
      <c r="B113" s="2107" t="s">
        <v>345</v>
      </c>
      <c r="C113" s="2172"/>
      <c r="D113" s="2124">
        <f t="shared" si="9"/>
        <v>2208340.6148645994</v>
      </c>
      <c r="E113" s="2170">
        <f>E107-E109+E111</f>
        <v>0</v>
      </c>
      <c r="F113" s="2171">
        <f>F107-F109+F111</f>
        <v>0</v>
      </c>
      <c r="G113" s="2170">
        <f>G107-G109+G111</f>
        <v>1514727.8425641423</v>
      </c>
      <c r="H113" s="2171">
        <f>H107-H109+H111</f>
        <v>693612.77230045712</v>
      </c>
      <c r="I113" s="2142">
        <f t="shared" si="10"/>
        <v>2208340.6148645994</v>
      </c>
      <c r="J113" s="2171">
        <f>J107-J109+J111</f>
        <v>0</v>
      </c>
      <c r="K113" s="2170">
        <f>K107-K109+K111</f>
        <v>0</v>
      </c>
      <c r="L113" s="2171">
        <f>L107-L109+L111</f>
        <v>0</v>
      </c>
      <c r="M113" s="2143">
        <f t="shared" si="11"/>
        <v>0</v>
      </c>
      <c r="N113"/>
      <c r="O113"/>
      <c r="P113"/>
      <c r="Q113"/>
      <c r="R113"/>
      <c r="S113"/>
      <c r="T113"/>
      <c r="U113"/>
      <c r="V113"/>
      <c r="W113"/>
      <c r="X113"/>
      <c r="Y113"/>
      <c r="Z113"/>
      <c r="AA113"/>
      <c r="AB113"/>
      <c r="AC113"/>
      <c r="AD113"/>
      <c r="AE113"/>
      <c r="AF113"/>
      <c r="AG113"/>
      <c r="AH113"/>
      <c r="AI113"/>
      <c r="AJ113"/>
      <c r="AK113"/>
      <c r="AL113"/>
      <c r="AM113"/>
    </row>
    <row r="114" spans="1:39">
      <c r="A114" s="662"/>
      <c r="B114" s="2107"/>
      <c r="C114" s="2172"/>
      <c r="D114" s="2124">
        <f t="shared" si="9"/>
        <v>0</v>
      </c>
      <c r="E114" s="2170"/>
      <c r="F114" s="2171"/>
      <c r="G114" s="2170"/>
      <c r="H114" s="2171"/>
      <c r="I114" s="2142">
        <f t="shared" si="10"/>
        <v>0</v>
      </c>
      <c r="J114" s="2171"/>
      <c r="K114" s="2170"/>
      <c r="L114" s="2171"/>
      <c r="M114" s="2143">
        <f t="shared" si="11"/>
        <v>0</v>
      </c>
    </row>
    <row r="115" spans="1:39" s="870" customFormat="1">
      <c r="A115" s="662"/>
      <c r="B115" s="2107" t="s">
        <v>346</v>
      </c>
      <c r="C115" s="2172"/>
      <c r="D115" s="2124">
        <f t="shared" si="9"/>
        <v>309772.45772999997</v>
      </c>
      <c r="E115" s="2170">
        <f>SUM(E116:E120)</f>
        <v>70422.196039999995</v>
      </c>
      <c r="F115" s="2171">
        <f>SUM(F116:F120)</f>
        <v>0</v>
      </c>
      <c r="G115" s="2170">
        <f>SUM(G116:G120)</f>
        <v>167425.508052155</v>
      </c>
      <c r="H115" s="2171">
        <f>SUM(H116:H120)</f>
        <v>71924.753637844988</v>
      </c>
      <c r="I115" s="2142">
        <f t="shared" si="10"/>
        <v>239350.26168999998</v>
      </c>
      <c r="J115" s="2171">
        <f>SUM(J116:J120)</f>
        <v>0</v>
      </c>
      <c r="K115" s="2170">
        <f>SUM(K116:K120)</f>
        <v>0</v>
      </c>
      <c r="L115" s="2171">
        <f>SUM(L116:L120)</f>
        <v>0</v>
      </c>
      <c r="M115" s="2143">
        <f t="shared" si="11"/>
        <v>0</v>
      </c>
      <c r="N115"/>
      <c r="O115"/>
      <c r="P115"/>
      <c r="Q115"/>
      <c r="R115"/>
      <c r="S115"/>
      <c r="T115"/>
      <c r="U115"/>
      <c r="V115"/>
      <c r="W115"/>
      <c r="X115"/>
      <c r="Y115"/>
      <c r="Z115"/>
      <c r="AA115"/>
      <c r="AB115"/>
      <c r="AC115"/>
      <c r="AD115"/>
      <c r="AE115"/>
      <c r="AF115"/>
      <c r="AG115"/>
      <c r="AH115"/>
      <c r="AI115"/>
      <c r="AJ115"/>
      <c r="AK115"/>
      <c r="AL115"/>
      <c r="AM115"/>
    </row>
    <row r="116" spans="1:39">
      <c r="A116" s="662"/>
      <c r="B116" s="2103" t="s">
        <v>347</v>
      </c>
      <c r="C116" s="2169">
        <v>1</v>
      </c>
      <c r="D116" s="2124">
        <f t="shared" si="9"/>
        <v>256205.97811999999</v>
      </c>
      <c r="E116" s="2170">
        <v>69551.857869999993</v>
      </c>
      <c r="F116" s="2171"/>
      <c r="G116" s="2170">
        <v>130564.557114875</v>
      </c>
      <c r="H116" s="2175">
        <v>56089.56313512499</v>
      </c>
      <c r="I116" s="2142">
        <f t="shared" si="10"/>
        <v>186654.12024999998</v>
      </c>
      <c r="J116" s="2171"/>
      <c r="K116" s="2170"/>
      <c r="L116" s="2171"/>
      <c r="M116" s="2143">
        <f t="shared" si="11"/>
        <v>0</v>
      </c>
    </row>
    <row r="117" spans="1:39">
      <c r="A117" s="662"/>
      <c r="B117" s="2103" t="s">
        <v>348</v>
      </c>
      <c r="C117" s="2169">
        <v>2</v>
      </c>
      <c r="D117" s="2124">
        <f t="shared" si="9"/>
        <v>45547.057269999998</v>
      </c>
      <c r="E117" s="2170">
        <v>0</v>
      </c>
      <c r="F117" s="2171"/>
      <c r="G117" s="2170">
        <v>31860.166560364996</v>
      </c>
      <c r="H117" s="2175">
        <v>13686.890709634999</v>
      </c>
      <c r="I117" s="2142">
        <f t="shared" si="10"/>
        <v>45547.057269999998</v>
      </c>
      <c r="J117" s="2171"/>
      <c r="K117" s="2170"/>
      <c r="L117" s="2171"/>
      <c r="M117" s="2143">
        <f t="shared" si="11"/>
        <v>0</v>
      </c>
    </row>
    <row r="118" spans="1:39">
      <c r="A118" s="662"/>
      <c r="B118" s="2103" t="s">
        <v>349</v>
      </c>
      <c r="C118" s="2169"/>
      <c r="D118" s="2124">
        <f t="shared" si="9"/>
        <v>0</v>
      </c>
      <c r="E118" s="2176"/>
      <c r="F118" s="2171"/>
      <c r="G118" s="2176"/>
      <c r="H118" s="2175"/>
      <c r="I118" s="2142">
        <f t="shared" si="10"/>
        <v>0</v>
      </c>
      <c r="J118" s="2171"/>
      <c r="K118" s="2170"/>
      <c r="L118" s="2171"/>
      <c r="M118" s="2143">
        <f t="shared" si="11"/>
        <v>0</v>
      </c>
    </row>
    <row r="119" spans="1:39">
      <c r="A119" s="662"/>
      <c r="B119" s="2103" t="s">
        <v>350</v>
      </c>
      <c r="C119" s="2169"/>
      <c r="D119" s="2124">
        <f t="shared" si="9"/>
        <v>870.33816999999988</v>
      </c>
      <c r="E119" s="2176">
        <v>870.33816999999988</v>
      </c>
      <c r="F119" s="2171"/>
      <c r="G119" s="2176"/>
      <c r="H119" s="2175"/>
      <c r="I119" s="2142">
        <f t="shared" si="10"/>
        <v>0</v>
      </c>
      <c r="J119" s="2171"/>
      <c r="K119" s="2170"/>
      <c r="L119" s="2171"/>
      <c r="M119" s="2143">
        <f t="shared" si="11"/>
        <v>0</v>
      </c>
    </row>
    <row r="120" spans="1:39">
      <c r="A120" s="662"/>
      <c r="B120" s="2103" t="s">
        <v>351</v>
      </c>
      <c r="C120" s="2169">
        <v>3</v>
      </c>
      <c r="D120" s="2124">
        <f t="shared" si="9"/>
        <v>7149.0841700000001</v>
      </c>
      <c r="E120" s="2176"/>
      <c r="F120" s="2171"/>
      <c r="G120" s="2170">
        <v>5000.7843769150004</v>
      </c>
      <c r="H120" s="2175">
        <v>2148.2997930850001</v>
      </c>
      <c r="I120" s="2142">
        <f t="shared" si="10"/>
        <v>7149.0841700000001</v>
      </c>
      <c r="J120" s="2171"/>
      <c r="K120" s="2170"/>
      <c r="L120" s="2171"/>
      <c r="M120" s="2143">
        <f t="shared" si="11"/>
        <v>0</v>
      </c>
    </row>
    <row r="121" spans="1:39">
      <c r="A121" s="662"/>
      <c r="B121" s="2103" t="s">
        <v>353</v>
      </c>
      <c r="C121" s="2169"/>
      <c r="D121" s="2124">
        <f t="shared" si="9"/>
        <v>0</v>
      </c>
      <c r="E121" s="2170"/>
      <c r="F121" s="2171"/>
      <c r="G121" s="2170"/>
      <c r="H121" s="2171"/>
      <c r="I121" s="2142">
        <f t="shared" si="10"/>
        <v>0</v>
      </c>
      <c r="J121" s="2171"/>
      <c r="K121" s="2170"/>
      <c r="L121" s="2171"/>
      <c r="M121" s="2143">
        <f t="shared" si="11"/>
        <v>0</v>
      </c>
    </row>
    <row r="122" spans="1:39">
      <c r="A122" s="662"/>
      <c r="B122" s="2103" t="s">
        <v>353</v>
      </c>
      <c r="C122" s="2169"/>
      <c r="D122" s="2124">
        <f t="shared" si="9"/>
        <v>0</v>
      </c>
      <c r="E122" s="2170"/>
      <c r="F122" s="2171"/>
      <c r="G122" s="2170"/>
      <c r="H122" s="2171"/>
      <c r="I122" s="2142">
        <f t="shared" si="10"/>
        <v>0</v>
      </c>
      <c r="J122" s="2171"/>
      <c r="K122" s="2170"/>
      <c r="L122" s="2171"/>
      <c r="M122" s="2143">
        <f t="shared" si="11"/>
        <v>0</v>
      </c>
    </row>
    <row r="123" spans="1:39">
      <c r="A123" s="662"/>
      <c r="B123" s="2103"/>
      <c r="C123" s="2169"/>
      <c r="D123" s="2124">
        <f t="shared" si="9"/>
        <v>0</v>
      </c>
      <c r="E123" s="2170"/>
      <c r="F123" s="2171"/>
      <c r="G123" s="2170"/>
      <c r="H123" s="2171"/>
      <c r="I123" s="2142">
        <f t="shared" si="10"/>
        <v>0</v>
      </c>
      <c r="J123" s="2171"/>
      <c r="K123" s="2170"/>
      <c r="L123" s="2171"/>
      <c r="M123" s="2143">
        <f t="shared" si="11"/>
        <v>0</v>
      </c>
    </row>
    <row r="124" spans="1:39" s="870" customFormat="1">
      <c r="A124" s="662"/>
      <c r="B124" s="2109" t="s">
        <v>354</v>
      </c>
      <c r="C124" s="2172"/>
      <c r="D124" s="2124">
        <f t="shared" si="9"/>
        <v>2518113.0725945989</v>
      </c>
      <c r="E124" s="2170">
        <f>E113+E115</f>
        <v>70422.196039999995</v>
      </c>
      <c r="F124" s="2171">
        <f>F113+F115</f>
        <v>0</v>
      </c>
      <c r="G124" s="2170">
        <f>G113+G115</f>
        <v>1682153.3506162972</v>
      </c>
      <c r="H124" s="2171">
        <f>H113+H115</f>
        <v>765537.52593830205</v>
      </c>
      <c r="I124" s="2142">
        <f t="shared" si="10"/>
        <v>2447690.876554599</v>
      </c>
      <c r="J124" s="2171">
        <f>J113+J115</f>
        <v>0</v>
      </c>
      <c r="K124" s="2170">
        <f>K113+K115</f>
        <v>0</v>
      </c>
      <c r="L124" s="2171">
        <f>L113+L115</f>
        <v>0</v>
      </c>
      <c r="M124" s="2143">
        <f t="shared" si="11"/>
        <v>0</v>
      </c>
      <c r="N124"/>
      <c r="O124"/>
      <c r="P124"/>
      <c r="Q124"/>
      <c r="R124"/>
      <c r="S124"/>
      <c r="T124"/>
      <c r="U124"/>
      <c r="V124"/>
      <c r="W124"/>
      <c r="X124"/>
      <c r="Y124"/>
      <c r="Z124"/>
      <c r="AA124"/>
      <c r="AB124"/>
      <c r="AC124"/>
      <c r="AD124"/>
      <c r="AE124"/>
      <c r="AF124"/>
      <c r="AG124"/>
      <c r="AH124"/>
      <c r="AI124"/>
      <c r="AJ124"/>
      <c r="AK124"/>
      <c r="AL124"/>
      <c r="AM124"/>
    </row>
    <row r="125" spans="1:39">
      <c r="A125" s="662"/>
      <c r="B125" s="2109"/>
      <c r="C125" s="2172"/>
      <c r="D125" s="2124">
        <f t="shared" si="9"/>
        <v>0</v>
      </c>
      <c r="E125" s="2170"/>
      <c r="F125" s="2171"/>
      <c r="G125" s="2170"/>
      <c r="H125" s="2171"/>
      <c r="I125" s="2142">
        <f t="shared" si="10"/>
        <v>0</v>
      </c>
      <c r="J125" s="2171"/>
      <c r="K125" s="2170"/>
      <c r="L125" s="2171"/>
      <c r="M125" s="2143"/>
    </row>
    <row r="126" spans="1:39">
      <c r="A126" s="662"/>
      <c r="B126" s="2103" t="s">
        <v>355</v>
      </c>
      <c r="C126" s="2169"/>
      <c r="D126" s="2124">
        <f t="shared" si="9"/>
        <v>627709.81119000015</v>
      </c>
      <c r="E126" s="2066"/>
      <c r="F126" s="2080"/>
      <c r="G126" s="2170">
        <v>148477.20302049999</v>
      </c>
      <c r="H126" s="2067">
        <v>479232.60816950013</v>
      </c>
      <c r="I126" s="2142">
        <f t="shared" si="10"/>
        <v>627709.81119000015</v>
      </c>
      <c r="J126" s="2171"/>
      <c r="K126" s="2170"/>
      <c r="L126" s="2171"/>
      <c r="M126" s="2143">
        <f t="shared" ref="M126:M144" si="12">L126+K126+J126</f>
        <v>0</v>
      </c>
    </row>
    <row r="127" spans="1:39">
      <c r="A127" s="662"/>
      <c r="B127" s="2103" t="s">
        <v>356</v>
      </c>
      <c r="C127" s="2169"/>
      <c r="D127" s="2124">
        <f t="shared" si="9"/>
        <v>-54571.469820000006</v>
      </c>
      <c r="E127" s="2066"/>
      <c r="F127" s="2080"/>
      <c r="G127" s="2170">
        <v>-40358.071126468181</v>
      </c>
      <c r="H127" s="2067">
        <v>-14213.398693531823</v>
      </c>
      <c r="I127" s="2142">
        <f t="shared" si="10"/>
        <v>-54571.469820000006</v>
      </c>
      <c r="J127" s="2171"/>
      <c r="K127" s="2170"/>
      <c r="L127" s="2171"/>
      <c r="M127" s="2143">
        <f t="shared" si="12"/>
        <v>0</v>
      </c>
    </row>
    <row r="128" spans="1:39">
      <c r="A128" s="662"/>
      <c r="B128" s="2103" t="s">
        <v>357</v>
      </c>
      <c r="C128" s="2169"/>
      <c r="D128" s="2124">
        <f t="shared" si="9"/>
        <v>39541.527757788303</v>
      </c>
      <c r="E128" s="2066"/>
      <c r="F128" s="2080"/>
      <c r="G128" s="2170">
        <v>8517.5055714686332</v>
      </c>
      <c r="H128" s="2067">
        <v>31024.022186319668</v>
      </c>
      <c r="I128" s="2142">
        <f t="shared" si="10"/>
        <v>39541.527757788303</v>
      </c>
      <c r="J128" s="2171"/>
      <c r="K128" s="2170"/>
      <c r="L128" s="2171"/>
      <c r="M128" s="2143">
        <f t="shared" si="12"/>
        <v>0</v>
      </c>
    </row>
    <row r="129" spans="1:39" ht="13.5" customHeight="1">
      <c r="A129" s="662"/>
      <c r="B129" s="2110" t="s">
        <v>358</v>
      </c>
      <c r="C129" s="2169"/>
      <c r="D129" s="2124">
        <f t="shared" si="9"/>
        <v>-8373.8950600000007</v>
      </c>
      <c r="E129" s="2066"/>
      <c r="F129" s="2080"/>
      <c r="G129" s="2170">
        <v>-1803.7921616317719</v>
      </c>
      <c r="H129" s="2067">
        <v>-6570.102898368229</v>
      </c>
      <c r="I129" s="2142">
        <f t="shared" si="10"/>
        <v>-8373.8950600000007</v>
      </c>
      <c r="J129" s="2171"/>
      <c r="K129" s="2170"/>
      <c r="L129" s="2171"/>
      <c r="M129" s="2143">
        <f t="shared" si="12"/>
        <v>0</v>
      </c>
    </row>
    <row r="130" spans="1:39">
      <c r="A130" s="662"/>
      <c r="B130" s="2103" t="s">
        <v>359</v>
      </c>
      <c r="C130" s="2169"/>
      <c r="D130" s="2124">
        <f t="shared" si="9"/>
        <v>58943.674843189016</v>
      </c>
      <c r="E130" s="2170">
        <v>-267503.32515681098</v>
      </c>
      <c r="F130" s="2080"/>
      <c r="G130" s="2170">
        <v>454009</v>
      </c>
      <c r="H130" s="2080">
        <v>-127562</v>
      </c>
      <c r="I130" s="2142">
        <f t="shared" si="10"/>
        <v>326447</v>
      </c>
      <c r="J130" s="2171"/>
      <c r="K130" s="2170"/>
      <c r="L130" s="2171"/>
      <c r="M130" s="2143">
        <f t="shared" si="12"/>
        <v>0</v>
      </c>
    </row>
    <row r="131" spans="1:39" ht="26.45">
      <c r="A131" s="662"/>
      <c r="B131" s="2110" t="s">
        <v>360</v>
      </c>
      <c r="C131" s="2169"/>
      <c r="D131" s="2124">
        <f t="shared" si="9"/>
        <v>0</v>
      </c>
      <c r="E131" s="2170"/>
      <c r="F131" s="2080"/>
      <c r="G131" s="2079"/>
      <c r="H131" s="2080"/>
      <c r="I131" s="2142">
        <f t="shared" si="10"/>
        <v>0</v>
      </c>
      <c r="J131" s="2171"/>
      <c r="K131" s="2170"/>
      <c r="L131" s="2171"/>
      <c r="M131" s="2143">
        <f t="shared" si="12"/>
        <v>0</v>
      </c>
    </row>
    <row r="132" spans="1:39" s="870" customFormat="1">
      <c r="A132" s="662"/>
      <c r="B132" s="2109" t="s">
        <v>361</v>
      </c>
      <c r="C132" s="2172"/>
      <c r="D132" s="2124">
        <f t="shared" si="9"/>
        <v>663249.64891097741</v>
      </c>
      <c r="E132" s="2170">
        <f>SUM(E126:E131)</f>
        <v>-267503.32515681098</v>
      </c>
      <c r="F132" s="2171">
        <f>SUM(F126:F131)</f>
        <v>0</v>
      </c>
      <c r="G132" s="2170">
        <f>SUM(G126:G131)</f>
        <v>568841.84530386864</v>
      </c>
      <c r="H132" s="2171">
        <f>SUM(H126:H131)</f>
        <v>361911.12876391981</v>
      </c>
      <c r="I132" s="2142">
        <f t="shared" si="10"/>
        <v>930752.97406778845</v>
      </c>
      <c r="J132" s="2171">
        <f>SUM(J126:J131)</f>
        <v>0</v>
      </c>
      <c r="K132" s="2170">
        <f>SUM(K126:K131)</f>
        <v>0</v>
      </c>
      <c r="L132" s="2171">
        <f>SUM(L126:L131)</f>
        <v>0</v>
      </c>
      <c r="M132" s="2143">
        <f t="shared" si="12"/>
        <v>0</v>
      </c>
      <c r="N132"/>
      <c r="O132"/>
      <c r="P132"/>
      <c r="Q132"/>
      <c r="R132"/>
      <c r="S132"/>
      <c r="T132"/>
      <c r="U132"/>
      <c r="V132"/>
      <c r="W132"/>
      <c r="X132"/>
      <c r="Y132"/>
      <c r="Z132"/>
      <c r="AA132"/>
      <c r="AB132"/>
      <c r="AC132"/>
      <c r="AD132"/>
      <c r="AE132"/>
      <c r="AF132"/>
      <c r="AG132"/>
      <c r="AH132"/>
      <c r="AI132"/>
      <c r="AJ132"/>
      <c r="AK132"/>
      <c r="AL132"/>
      <c r="AM132"/>
    </row>
    <row r="133" spans="1:39">
      <c r="A133" s="662"/>
      <c r="B133" s="2103"/>
      <c r="C133" s="2169"/>
      <c r="D133" s="2124">
        <f t="shared" si="9"/>
        <v>0</v>
      </c>
      <c r="E133" s="2170"/>
      <c r="F133" s="2171"/>
      <c r="G133" s="2170"/>
      <c r="H133" s="2171"/>
      <c r="I133" s="2142">
        <f t="shared" si="10"/>
        <v>0</v>
      </c>
      <c r="J133" s="2171"/>
      <c r="K133" s="2170"/>
      <c r="L133" s="2171"/>
      <c r="M133" s="2143">
        <f t="shared" si="12"/>
        <v>0</v>
      </c>
    </row>
    <row r="134" spans="1:39" ht="26.45">
      <c r="A134" s="662"/>
      <c r="B134" s="2110" t="s">
        <v>362</v>
      </c>
      <c r="C134" s="2169"/>
      <c r="D134" s="2124">
        <f t="shared" si="9"/>
        <v>753929.51858000003</v>
      </c>
      <c r="E134" s="2066"/>
      <c r="F134" s="2067"/>
      <c r="G134" s="2170">
        <v>579641.3619089023</v>
      </c>
      <c r="H134" s="2067">
        <v>174288.15667109773</v>
      </c>
      <c r="I134" s="2142">
        <f t="shared" si="10"/>
        <v>753929.51858000003</v>
      </c>
      <c r="J134" s="2171"/>
      <c r="K134" s="2170"/>
      <c r="L134" s="2171"/>
      <c r="M134" s="2143">
        <f t="shared" si="12"/>
        <v>0</v>
      </c>
    </row>
    <row r="135" spans="1:39">
      <c r="A135" s="662"/>
      <c r="B135" s="2103"/>
      <c r="C135" s="2169"/>
      <c r="D135" s="2124">
        <f t="shared" si="9"/>
        <v>0</v>
      </c>
      <c r="E135" s="2066"/>
      <c r="F135" s="2067"/>
      <c r="G135" s="2170"/>
      <c r="H135" s="2067"/>
      <c r="I135" s="2142">
        <f t="shared" si="10"/>
        <v>0</v>
      </c>
      <c r="J135" s="2171"/>
      <c r="K135" s="2170"/>
      <c r="L135" s="2171"/>
      <c r="M135" s="2143">
        <f t="shared" si="12"/>
        <v>0</v>
      </c>
    </row>
    <row r="136" spans="1:39" ht="15.75" customHeight="1">
      <c r="A136" s="662"/>
      <c r="B136" s="2110" t="s">
        <v>363</v>
      </c>
      <c r="C136" s="2169">
        <v>4</v>
      </c>
      <c r="D136" s="2124">
        <f t="shared" si="9"/>
        <v>763552.75742000004</v>
      </c>
      <c r="E136" s="2170">
        <v>362.58792999999997</v>
      </c>
      <c r="F136" s="2067"/>
      <c r="G136" s="2170">
        <v>533851.52355825494</v>
      </c>
      <c r="H136" s="2067">
        <v>229338.64593174506</v>
      </c>
      <c r="I136" s="2142">
        <f t="shared" si="10"/>
        <v>763190.16949</v>
      </c>
      <c r="J136" s="2171"/>
      <c r="K136" s="2170"/>
      <c r="L136" s="2171"/>
      <c r="M136" s="2143">
        <f t="shared" si="12"/>
        <v>0</v>
      </c>
    </row>
    <row r="137" spans="1:39">
      <c r="A137" s="662"/>
      <c r="B137" s="2103" t="s">
        <v>364</v>
      </c>
      <c r="C137" s="2169"/>
      <c r="D137" s="2124">
        <f t="shared" si="9"/>
        <v>0</v>
      </c>
      <c r="E137" s="2066"/>
      <c r="F137" s="2067"/>
      <c r="G137" s="2066"/>
      <c r="H137" s="2067"/>
      <c r="I137" s="2142">
        <f t="shared" si="10"/>
        <v>0</v>
      </c>
      <c r="J137" s="2171"/>
      <c r="K137" s="2170"/>
      <c r="L137" s="2171"/>
      <c r="M137" s="2143">
        <f t="shared" si="12"/>
        <v>0</v>
      </c>
    </row>
    <row r="138" spans="1:39">
      <c r="A138" s="662"/>
      <c r="B138" s="2103" t="s">
        <v>365</v>
      </c>
      <c r="C138" s="2169"/>
      <c r="D138" s="2124">
        <f t="shared" si="9"/>
        <v>0</v>
      </c>
      <c r="E138" s="2066"/>
      <c r="F138" s="2067"/>
      <c r="G138" s="2066"/>
      <c r="H138" s="2067"/>
      <c r="I138" s="2142">
        <f t="shared" si="10"/>
        <v>0</v>
      </c>
      <c r="J138" s="2171"/>
      <c r="K138" s="2170"/>
      <c r="L138" s="2171"/>
      <c r="M138" s="2143">
        <f t="shared" si="12"/>
        <v>0</v>
      </c>
    </row>
    <row r="139" spans="1:39">
      <c r="A139" s="662"/>
      <c r="B139" s="2109" t="s">
        <v>366</v>
      </c>
      <c r="C139" s="2172"/>
      <c r="D139" s="2124">
        <f t="shared" si="9"/>
        <v>763552.75742000004</v>
      </c>
      <c r="E139" s="2170">
        <f>SUM(E136:E138)</f>
        <v>362.58792999999997</v>
      </c>
      <c r="F139" s="2171">
        <f>SUM(F136:F138)</f>
        <v>0</v>
      </c>
      <c r="G139" s="2170">
        <f>SUM(G136:G138)</f>
        <v>533851.52355825494</v>
      </c>
      <c r="H139" s="2171">
        <f>SUM(H136:H138)</f>
        <v>229338.64593174506</v>
      </c>
      <c r="I139" s="2142">
        <f t="shared" si="10"/>
        <v>763190.16949</v>
      </c>
      <c r="J139" s="2171">
        <f>SUM(J136:J138)</f>
        <v>0</v>
      </c>
      <c r="K139" s="2170">
        <f>SUM(K136:K138)</f>
        <v>0</v>
      </c>
      <c r="L139" s="2171">
        <f>SUM(L136:L138)</f>
        <v>0</v>
      </c>
      <c r="M139" s="2143">
        <f t="shared" si="12"/>
        <v>0</v>
      </c>
    </row>
    <row r="140" spans="1:39">
      <c r="A140" s="662"/>
      <c r="B140" s="2109"/>
      <c r="C140" s="2172"/>
      <c r="D140" s="2124">
        <f t="shared" si="9"/>
        <v>0</v>
      </c>
      <c r="E140" s="2170"/>
      <c r="F140" s="2171"/>
      <c r="G140" s="2170"/>
      <c r="H140" s="2171"/>
      <c r="I140" s="2142">
        <f t="shared" si="10"/>
        <v>0</v>
      </c>
      <c r="J140" s="2171"/>
      <c r="K140" s="2170"/>
      <c r="L140" s="2171"/>
      <c r="M140" s="2143">
        <f t="shared" si="12"/>
        <v>0</v>
      </c>
    </row>
    <row r="141" spans="1:39" s="870" customFormat="1">
      <c r="A141" s="662"/>
      <c r="B141" s="2109" t="s">
        <v>372</v>
      </c>
      <c r="C141" s="2173"/>
      <c r="D141" s="2124">
        <f t="shared" si="9"/>
        <v>337381.14768362179</v>
      </c>
      <c r="E141" s="2170">
        <f>E124-E132-E134-E139</f>
        <v>337562.93326681101</v>
      </c>
      <c r="F141" s="2171">
        <f>F124-F132-F134-F139</f>
        <v>0</v>
      </c>
      <c r="G141" s="2170">
        <f>G124-G132-G134-G139</f>
        <v>-181.38015472865663</v>
      </c>
      <c r="H141" s="2171">
        <f>H124-H132-H134-H139</f>
        <v>-0.40542846056632698</v>
      </c>
      <c r="I141" s="2142">
        <f t="shared" si="10"/>
        <v>-181.78558318922296</v>
      </c>
      <c r="J141" s="2171">
        <f>J124-J132-J134-J139</f>
        <v>0</v>
      </c>
      <c r="K141" s="2170">
        <f>K124-K132-K134-K139</f>
        <v>0</v>
      </c>
      <c r="L141" s="2171">
        <f>L124-L132-L134-L139</f>
        <v>0</v>
      </c>
      <c r="M141" s="2143">
        <f t="shared" si="12"/>
        <v>0</v>
      </c>
      <c r="N141"/>
      <c r="O141"/>
      <c r="P141"/>
      <c r="Q141"/>
      <c r="R141"/>
      <c r="S141"/>
      <c r="T141"/>
      <c r="U141"/>
      <c r="V141"/>
      <c r="W141"/>
      <c r="X141"/>
      <c r="Y141"/>
      <c r="Z141"/>
      <c r="AA141"/>
      <c r="AB141"/>
      <c r="AC141"/>
      <c r="AD141"/>
      <c r="AE141"/>
      <c r="AF141"/>
      <c r="AG141"/>
      <c r="AH141"/>
      <c r="AI141"/>
      <c r="AJ141"/>
      <c r="AK141"/>
      <c r="AL141"/>
      <c r="AM141"/>
    </row>
    <row r="142" spans="1:39">
      <c r="A142" s="662"/>
      <c r="B142" s="2103" t="s">
        <v>368</v>
      </c>
      <c r="C142" s="2169"/>
      <c r="D142" s="2124">
        <f t="shared" si="9"/>
        <v>100680.80543763471</v>
      </c>
      <c r="E142" s="2066">
        <v>100680.80543763471</v>
      </c>
      <c r="F142" s="2171"/>
      <c r="G142" s="2170"/>
      <c r="H142" s="2171"/>
      <c r="I142" s="2142">
        <f t="shared" si="10"/>
        <v>0</v>
      </c>
      <c r="J142" s="2171"/>
      <c r="K142" s="2170"/>
      <c r="L142" s="2171"/>
      <c r="M142" s="2143">
        <f t="shared" si="12"/>
        <v>0</v>
      </c>
    </row>
    <row r="143" spans="1:39">
      <c r="A143" s="662"/>
      <c r="B143" s="2103"/>
      <c r="C143" s="2169"/>
      <c r="D143" s="2130">
        <f t="shared" si="9"/>
        <v>0</v>
      </c>
      <c r="E143" s="882"/>
      <c r="F143" s="2177"/>
      <c r="G143" s="882"/>
      <c r="H143" s="2177"/>
      <c r="I143" s="1390">
        <f t="shared" si="10"/>
        <v>0</v>
      </c>
      <c r="J143" s="2171"/>
      <c r="K143" s="2170"/>
      <c r="L143" s="2171"/>
      <c r="M143" s="2143">
        <f t="shared" si="12"/>
        <v>0</v>
      </c>
    </row>
    <row r="144" spans="1:39" s="870" customFormat="1" ht="15" thickBot="1">
      <c r="A144" s="662"/>
      <c r="B144" s="1338" t="s">
        <v>369</v>
      </c>
      <c r="C144" s="1370"/>
      <c r="D144" s="1354">
        <f t="shared" si="9"/>
        <v>236700.34224598709</v>
      </c>
      <c r="E144" s="1363">
        <f>E141-E142</f>
        <v>236882.12782917632</v>
      </c>
      <c r="F144" s="1354">
        <f>F141-F142</f>
        <v>0</v>
      </c>
      <c r="G144" s="1363">
        <f>G141-G142</f>
        <v>-181.38015472865663</v>
      </c>
      <c r="H144" s="1354">
        <f>H141-H142</f>
        <v>-0.40542846056632698</v>
      </c>
      <c r="I144" s="1363">
        <f t="shared" si="10"/>
        <v>-181.78558318922296</v>
      </c>
      <c r="J144" s="1350">
        <f>J141-J142</f>
        <v>0</v>
      </c>
      <c r="K144" s="1360">
        <f>K141-K142</f>
        <v>0</v>
      </c>
      <c r="L144" s="1350">
        <f>L141-L142</f>
        <v>0</v>
      </c>
      <c r="M144" s="1371">
        <f t="shared" si="12"/>
        <v>0</v>
      </c>
      <c r="N144"/>
      <c r="O144"/>
      <c r="P144"/>
      <c r="Q144"/>
      <c r="R144"/>
      <c r="S144"/>
      <c r="T144"/>
      <c r="U144"/>
      <c r="V144"/>
      <c r="W144"/>
      <c r="X144"/>
      <c r="Y144"/>
      <c r="Z144"/>
      <c r="AA144"/>
      <c r="AB144"/>
      <c r="AC144"/>
      <c r="AD144"/>
      <c r="AE144"/>
      <c r="AF144"/>
      <c r="AG144"/>
      <c r="AH144"/>
      <c r="AI144"/>
      <c r="AJ144"/>
      <c r="AK144"/>
      <c r="AL144"/>
      <c r="AM144"/>
    </row>
    <row r="145" spans="1:13">
      <c r="A145" s="662"/>
      <c r="B145" s="662"/>
      <c r="C145" s="662"/>
      <c r="D145" s="874"/>
      <c r="E145" s="874"/>
      <c r="F145" s="874"/>
      <c r="G145" s="874"/>
      <c r="H145" s="874"/>
      <c r="I145" s="874"/>
      <c r="J145" s="662"/>
      <c r="K145" s="662"/>
      <c r="L145" s="662"/>
      <c r="M145" s="662"/>
    </row>
    <row r="146" spans="1:13">
      <c r="A146" s="662"/>
      <c r="B146" s="662"/>
      <c r="C146" s="662"/>
      <c r="D146" s="662"/>
      <c r="E146" s="662"/>
      <c r="F146" s="662"/>
      <c r="G146" s="662"/>
      <c r="H146" s="662"/>
      <c r="I146" s="662"/>
      <c r="J146" s="662"/>
      <c r="K146" s="662"/>
      <c r="L146" s="662"/>
      <c r="M146" s="662"/>
    </row>
    <row r="149" spans="1:13" ht="15" thickBot="1"/>
    <row r="150" spans="1:13" ht="17.25" customHeight="1" thickBot="1">
      <c r="A150" s="1361" t="s">
        <v>180</v>
      </c>
      <c r="B150" s="1391" t="s">
        <v>92</v>
      </c>
      <c r="C150" s="662"/>
      <c r="D150" s="662"/>
      <c r="E150" s="662"/>
      <c r="F150" s="662"/>
      <c r="G150" s="662"/>
      <c r="H150" s="662"/>
      <c r="I150" s="662"/>
      <c r="J150" s="662"/>
      <c r="K150" s="662"/>
      <c r="L150" s="3292"/>
      <c r="M150" s="3292" t="s">
        <v>257</v>
      </c>
    </row>
    <row r="151" spans="1:13" ht="17.25" customHeight="1" thickBot="1">
      <c r="A151" s="662"/>
      <c r="B151" s="3331" t="s">
        <v>92</v>
      </c>
      <c r="C151" s="3280" t="s">
        <v>334</v>
      </c>
      <c r="D151" s="3283" t="s">
        <v>260</v>
      </c>
      <c r="E151" s="3283" t="s">
        <v>335</v>
      </c>
      <c r="F151" s="3335" t="s">
        <v>263</v>
      </c>
      <c r="G151" s="3335"/>
      <c r="H151" s="3335"/>
      <c r="I151" s="3335"/>
      <c r="J151" s="3335"/>
      <c r="K151" s="3335"/>
      <c r="L151" s="3335"/>
      <c r="M151" s="3335"/>
    </row>
    <row r="152" spans="1:13" ht="17.25" customHeight="1" thickBot="1">
      <c r="A152" s="662"/>
      <c r="B152" s="3327"/>
      <c r="C152" s="3281"/>
      <c r="D152" s="3284"/>
      <c r="E152" s="3284"/>
      <c r="F152" s="3332" t="s">
        <v>264</v>
      </c>
      <c r="G152" s="3333"/>
      <c r="H152" s="3333"/>
      <c r="I152" s="3334"/>
      <c r="J152" s="3335" t="s">
        <v>336</v>
      </c>
      <c r="K152" s="3335"/>
      <c r="L152" s="3335"/>
      <c r="M152" s="3335"/>
    </row>
    <row r="153" spans="1:13" ht="62.45" customHeight="1" thickBot="1">
      <c r="A153" s="662"/>
      <c r="B153" s="3327"/>
      <c r="C153" s="3281"/>
      <c r="D153" s="3285"/>
      <c r="E153" s="3285"/>
      <c r="F153" s="2963" t="s">
        <v>267</v>
      </c>
      <c r="G153" s="2963" t="s">
        <v>268</v>
      </c>
      <c r="H153" s="2963" t="s">
        <v>269</v>
      </c>
      <c r="I153" s="2963" t="s">
        <v>160</v>
      </c>
      <c r="J153" s="2964" t="s">
        <v>337</v>
      </c>
      <c r="K153" s="2964" t="s">
        <v>271</v>
      </c>
      <c r="L153" s="2964" t="s">
        <v>338</v>
      </c>
      <c r="M153" s="2964" t="s">
        <v>160</v>
      </c>
    </row>
    <row r="154" spans="1:13" ht="17.25" customHeight="1" thickBot="1">
      <c r="A154" s="662"/>
      <c r="B154" s="3327"/>
      <c r="C154" s="3281"/>
      <c r="D154" s="2972">
        <v>1</v>
      </c>
      <c r="E154" s="3283">
        <v>2</v>
      </c>
      <c r="F154" s="3283">
        <v>3</v>
      </c>
      <c r="G154" s="3283">
        <v>4</v>
      </c>
      <c r="H154" s="2963"/>
      <c r="I154" s="2965">
        <v>6</v>
      </c>
      <c r="J154" s="3283">
        <v>7</v>
      </c>
      <c r="K154" s="3336">
        <v>8</v>
      </c>
      <c r="L154" s="3283">
        <v>9</v>
      </c>
      <c r="M154" s="2972">
        <v>10</v>
      </c>
    </row>
    <row r="155" spans="1:13" ht="15" thickBot="1">
      <c r="A155" s="662"/>
      <c r="B155" s="3328"/>
      <c r="C155" s="3282"/>
      <c r="D155" s="2964" t="s">
        <v>339</v>
      </c>
      <c r="E155" s="3284"/>
      <c r="F155" s="3284"/>
      <c r="G155" s="3284"/>
      <c r="H155" s="2964">
        <v>5</v>
      </c>
      <c r="I155" s="2973" t="s">
        <v>340</v>
      </c>
      <c r="J155" s="3284"/>
      <c r="K155" s="3338"/>
      <c r="L155" s="3284"/>
      <c r="M155" s="2964" t="s">
        <v>341</v>
      </c>
    </row>
    <row r="156" spans="1:13">
      <c r="A156" s="662"/>
      <c r="B156" s="1367" t="s">
        <v>342</v>
      </c>
      <c r="C156" s="894"/>
      <c r="D156" s="1329">
        <f t="shared" ref="D156:D193" si="13">E156+I156+M156</f>
        <v>1886702.56736</v>
      </c>
      <c r="E156" s="878"/>
      <c r="F156" s="877"/>
      <c r="G156" s="878">
        <v>191157.51074</v>
      </c>
      <c r="H156" s="877">
        <v>1500727.89644</v>
      </c>
      <c r="I156" s="1368">
        <f t="shared" ref="I156:I193" si="14">F156+G156+H156</f>
        <v>1691885.4071800001</v>
      </c>
      <c r="J156" s="877"/>
      <c r="K156" s="878"/>
      <c r="L156" s="877">
        <v>194817.16017999989</v>
      </c>
      <c r="M156" s="879">
        <f t="shared" ref="M156:M173" si="15">L156+K156+J156</f>
        <v>194817.16017999989</v>
      </c>
    </row>
    <row r="157" spans="1:13">
      <c r="A157" s="662"/>
      <c r="B157" s="2103"/>
      <c r="C157" s="2169"/>
      <c r="D157" s="2124">
        <f t="shared" si="13"/>
        <v>0</v>
      </c>
      <c r="E157" s="2170"/>
      <c r="F157" s="2171"/>
      <c r="G157" s="2170"/>
      <c r="H157" s="2171"/>
      <c r="I157" s="2142">
        <f t="shared" si="14"/>
        <v>0</v>
      </c>
      <c r="J157" s="2171"/>
      <c r="K157" s="2170"/>
      <c r="L157" s="2171"/>
      <c r="M157" s="2143">
        <f t="shared" si="15"/>
        <v>0</v>
      </c>
    </row>
    <row r="158" spans="1:13">
      <c r="A158" s="662"/>
      <c r="B158" s="2105" t="s">
        <v>343</v>
      </c>
      <c r="C158" s="2169"/>
      <c r="D158" s="2124">
        <f t="shared" si="13"/>
        <v>111970.91299000001</v>
      </c>
      <c r="E158" s="2170"/>
      <c r="F158" s="2171"/>
      <c r="G158" s="2170">
        <v>47284.846509999901</v>
      </c>
      <c r="H158" s="2171">
        <v>50148.139770000096</v>
      </c>
      <c r="I158" s="2142">
        <f t="shared" si="14"/>
        <v>97432.986279999997</v>
      </c>
      <c r="J158" s="2171"/>
      <c r="K158" s="2170"/>
      <c r="L158" s="2171">
        <v>14537.926710000011</v>
      </c>
      <c r="M158" s="2143">
        <f t="shared" si="15"/>
        <v>14537.926710000011</v>
      </c>
    </row>
    <row r="159" spans="1:13">
      <c r="A159" s="662"/>
      <c r="B159" s="2105"/>
      <c r="C159" s="2169"/>
      <c r="D159" s="2124">
        <f t="shared" si="13"/>
        <v>0</v>
      </c>
      <c r="E159" s="2170"/>
      <c r="F159" s="2171"/>
      <c r="G159" s="2170"/>
      <c r="H159" s="2171"/>
      <c r="I159" s="2142">
        <f t="shared" si="14"/>
        <v>0</v>
      </c>
      <c r="J159" s="2171"/>
      <c r="K159" s="2170"/>
      <c r="L159" s="2171"/>
      <c r="M159" s="2143">
        <f t="shared" si="15"/>
        <v>0</v>
      </c>
    </row>
    <row r="160" spans="1:13" ht="14.25" customHeight="1">
      <c r="A160" s="662"/>
      <c r="B160" s="2106" t="s">
        <v>344</v>
      </c>
      <c r="C160" s="2169"/>
      <c r="D160" s="2124">
        <f t="shared" si="13"/>
        <v>0</v>
      </c>
      <c r="E160" s="2170"/>
      <c r="F160" s="2171"/>
      <c r="G160" s="2170"/>
      <c r="H160" s="2171"/>
      <c r="I160" s="2142">
        <f t="shared" si="14"/>
        <v>0</v>
      </c>
      <c r="J160" s="2171"/>
      <c r="K160" s="2170"/>
      <c r="L160" s="2171"/>
      <c r="M160" s="2143">
        <f t="shared" si="15"/>
        <v>0</v>
      </c>
    </row>
    <row r="161" spans="1:39">
      <c r="A161" s="662"/>
      <c r="B161" s="2103"/>
      <c r="C161" s="2169"/>
      <c r="D161" s="2124">
        <f t="shared" si="13"/>
        <v>0</v>
      </c>
      <c r="E161" s="2170"/>
      <c r="F161" s="2171"/>
      <c r="G161" s="2170"/>
      <c r="H161" s="2171"/>
      <c r="I161" s="2142">
        <f t="shared" si="14"/>
        <v>0</v>
      </c>
      <c r="J161" s="2171"/>
      <c r="K161" s="2170"/>
      <c r="L161" s="2171"/>
      <c r="M161" s="2143">
        <f t="shared" si="15"/>
        <v>0</v>
      </c>
    </row>
    <row r="162" spans="1:39" s="870" customFormat="1">
      <c r="A162" s="662"/>
      <c r="B162" s="2107" t="s">
        <v>345</v>
      </c>
      <c r="C162" s="2172"/>
      <c r="D162" s="2124">
        <f t="shared" si="13"/>
        <v>1774731.6543700001</v>
      </c>
      <c r="E162" s="2170">
        <f>E156-E158+E160</f>
        <v>0</v>
      </c>
      <c r="F162" s="2171">
        <f>F156-F158+F160</f>
        <v>0</v>
      </c>
      <c r="G162" s="2170">
        <f>G156-G158+G160</f>
        <v>143872.66423000011</v>
      </c>
      <c r="H162" s="2171">
        <f>H156-H158+H160</f>
        <v>1450579.75667</v>
      </c>
      <c r="I162" s="2142">
        <f t="shared" si="14"/>
        <v>1594452.4209000003</v>
      </c>
      <c r="J162" s="2171">
        <f>J156-J158+J160</f>
        <v>0</v>
      </c>
      <c r="K162" s="2170">
        <f>K156-K158+K160</f>
        <v>0</v>
      </c>
      <c r="L162" s="2171">
        <f>L156-L158+L160</f>
        <v>180279.23346999989</v>
      </c>
      <c r="M162" s="2143">
        <f t="shared" si="15"/>
        <v>180279.23346999989</v>
      </c>
      <c r="N162"/>
      <c r="O162"/>
      <c r="P162"/>
      <c r="Q162"/>
      <c r="R162"/>
      <c r="S162"/>
      <c r="T162"/>
      <c r="U162"/>
      <c r="V162"/>
      <c r="W162"/>
      <c r="X162"/>
      <c r="Y162"/>
      <c r="Z162"/>
      <c r="AA162"/>
      <c r="AB162"/>
      <c r="AC162"/>
      <c r="AD162"/>
      <c r="AE162"/>
      <c r="AF162"/>
      <c r="AG162"/>
      <c r="AH162"/>
      <c r="AI162"/>
      <c r="AJ162"/>
      <c r="AK162"/>
      <c r="AL162"/>
      <c r="AM162"/>
    </row>
    <row r="163" spans="1:39">
      <c r="A163" s="662"/>
      <c r="B163" s="2107"/>
      <c r="C163" s="2172"/>
      <c r="D163" s="2124">
        <f t="shared" si="13"/>
        <v>0</v>
      </c>
      <c r="E163" s="2170"/>
      <c r="F163" s="2171"/>
      <c r="G163" s="2170"/>
      <c r="H163" s="2171"/>
      <c r="I163" s="2142">
        <f t="shared" si="14"/>
        <v>0</v>
      </c>
      <c r="J163" s="2171"/>
      <c r="K163" s="2170"/>
      <c r="L163" s="2171"/>
      <c r="M163" s="2143">
        <f t="shared" si="15"/>
        <v>0</v>
      </c>
    </row>
    <row r="164" spans="1:39" s="870" customFormat="1">
      <c r="A164" s="662"/>
      <c r="B164" s="2107" t="s">
        <v>346</v>
      </c>
      <c r="C164" s="2172"/>
      <c r="D164" s="2124">
        <f t="shared" si="13"/>
        <v>474799.225290698</v>
      </c>
      <c r="E164" s="2170">
        <f>SUM(E165:E169)</f>
        <v>0</v>
      </c>
      <c r="F164" s="2171">
        <f>SUM(F165:F169)</f>
        <v>0</v>
      </c>
      <c r="G164" s="2170">
        <f>SUM(G165:G169)</f>
        <v>18311.736225728098</v>
      </c>
      <c r="H164" s="2171">
        <f>SUM(H165:H169)</f>
        <v>454726.52432496985</v>
      </c>
      <c r="I164" s="2142">
        <f t="shared" si="14"/>
        <v>473038.26055069797</v>
      </c>
      <c r="J164" s="2171">
        <f>SUM(J165:J169)</f>
        <v>0</v>
      </c>
      <c r="K164" s="2170">
        <f>SUM(K165:K169)</f>
        <v>0</v>
      </c>
      <c r="L164" s="2171">
        <f>SUM(L165:L169)</f>
        <v>1760.9647399999999</v>
      </c>
      <c r="M164" s="2143">
        <f t="shared" si="15"/>
        <v>1760.9647399999999</v>
      </c>
      <c r="N164"/>
      <c r="O164"/>
      <c r="P164"/>
      <c r="Q164"/>
      <c r="R164"/>
      <c r="S164"/>
      <c r="T164"/>
      <c r="U164"/>
      <c r="V164"/>
      <c r="W164"/>
      <c r="X164"/>
      <c r="Y164"/>
      <c r="Z164"/>
      <c r="AA164"/>
      <c r="AB164"/>
      <c r="AC164"/>
      <c r="AD164"/>
      <c r="AE164"/>
      <c r="AF164"/>
      <c r="AG164"/>
      <c r="AH164"/>
      <c r="AI164"/>
      <c r="AJ164"/>
      <c r="AK164"/>
      <c r="AL164"/>
      <c r="AM164"/>
    </row>
    <row r="165" spans="1:39">
      <c r="A165" s="662"/>
      <c r="B165" s="2103" t="s">
        <v>347</v>
      </c>
      <c r="C165" s="2169">
        <v>1</v>
      </c>
      <c r="D165" s="2124">
        <f t="shared" si="13"/>
        <v>465016.285290698</v>
      </c>
      <c r="E165" s="2170"/>
      <c r="F165" s="2171"/>
      <c r="G165" s="2170">
        <v>18311.736225728098</v>
      </c>
      <c r="H165" s="2171">
        <v>446704.54906496988</v>
      </c>
      <c r="I165" s="2142">
        <f t="shared" si="14"/>
        <v>465016.285290698</v>
      </c>
      <c r="J165" s="2171"/>
      <c r="K165" s="2170"/>
      <c r="L165" s="2171"/>
      <c r="M165" s="2143">
        <f t="shared" si="15"/>
        <v>0</v>
      </c>
    </row>
    <row r="166" spans="1:39">
      <c r="A166" s="662"/>
      <c r="B166" s="2103" t="s">
        <v>348</v>
      </c>
      <c r="C166" s="2169">
        <v>2</v>
      </c>
      <c r="D166" s="2124">
        <f t="shared" si="13"/>
        <v>0</v>
      </c>
      <c r="E166" s="2170"/>
      <c r="F166" s="2171"/>
      <c r="G166" s="2170"/>
      <c r="H166" s="2171"/>
      <c r="I166" s="2142">
        <f t="shared" si="14"/>
        <v>0</v>
      </c>
      <c r="J166" s="2171"/>
      <c r="K166" s="2170"/>
      <c r="L166" s="2171"/>
      <c r="M166" s="2143">
        <f t="shared" si="15"/>
        <v>0</v>
      </c>
    </row>
    <row r="167" spans="1:39">
      <c r="A167" s="662"/>
      <c r="B167" s="2103" t="s">
        <v>349</v>
      </c>
      <c r="C167" s="2169"/>
      <c r="D167" s="2124">
        <f t="shared" si="13"/>
        <v>0</v>
      </c>
      <c r="E167" s="2170"/>
      <c r="F167" s="2171"/>
      <c r="G167" s="2170"/>
      <c r="H167" s="2171"/>
      <c r="I167" s="2142">
        <f t="shared" si="14"/>
        <v>0</v>
      </c>
      <c r="J167" s="2171"/>
      <c r="K167" s="2170"/>
      <c r="L167" s="2171"/>
      <c r="M167" s="2143">
        <f t="shared" si="15"/>
        <v>0</v>
      </c>
    </row>
    <row r="168" spans="1:39">
      <c r="A168" s="662"/>
      <c r="B168" s="2103" t="s">
        <v>350</v>
      </c>
      <c r="C168" s="2169"/>
      <c r="D168" s="2124">
        <f t="shared" si="13"/>
        <v>0</v>
      </c>
      <c r="E168" s="2170"/>
      <c r="F168" s="2171"/>
      <c r="G168" s="2170"/>
      <c r="H168" s="2171"/>
      <c r="I168" s="2142">
        <f t="shared" si="14"/>
        <v>0</v>
      </c>
      <c r="J168" s="2171"/>
      <c r="K168" s="2170"/>
      <c r="L168" s="2171"/>
      <c r="M168" s="2143">
        <f t="shared" si="15"/>
        <v>0</v>
      </c>
    </row>
    <row r="169" spans="1:39">
      <c r="A169" s="662"/>
      <c r="B169" s="2103" t="s">
        <v>351</v>
      </c>
      <c r="C169" s="2169">
        <v>3</v>
      </c>
      <c r="D169" s="2124">
        <f t="shared" si="13"/>
        <v>9782.9399999999987</v>
      </c>
      <c r="E169" s="2170"/>
      <c r="F169" s="2171"/>
      <c r="G169" s="2170">
        <v>0</v>
      </c>
      <c r="H169" s="2171">
        <v>8021.9752599999993</v>
      </c>
      <c r="I169" s="2142">
        <f t="shared" si="14"/>
        <v>8021.9752599999993</v>
      </c>
      <c r="J169" s="2171"/>
      <c r="K169" s="2170"/>
      <c r="L169" s="2171">
        <v>1760.9647399999999</v>
      </c>
      <c r="M169" s="2143">
        <f t="shared" si="15"/>
        <v>1760.9647399999999</v>
      </c>
    </row>
    <row r="170" spans="1:39">
      <c r="A170" s="662"/>
      <c r="B170" s="2103" t="s">
        <v>353</v>
      </c>
      <c r="C170" s="2169"/>
      <c r="D170" s="2124">
        <f t="shared" si="13"/>
        <v>0</v>
      </c>
      <c r="E170" s="2170"/>
      <c r="F170" s="2171"/>
      <c r="G170" s="2170"/>
      <c r="H170" s="2171"/>
      <c r="I170" s="2142">
        <f t="shared" si="14"/>
        <v>0</v>
      </c>
      <c r="J170" s="2171"/>
      <c r="K170" s="2170"/>
      <c r="L170" s="2171"/>
      <c r="M170" s="2143">
        <f t="shared" si="15"/>
        <v>0</v>
      </c>
    </row>
    <row r="171" spans="1:39">
      <c r="A171" s="662"/>
      <c r="B171" s="2103" t="s">
        <v>353</v>
      </c>
      <c r="C171" s="2169"/>
      <c r="D171" s="2124">
        <f t="shared" si="13"/>
        <v>0</v>
      </c>
      <c r="E171" s="2170"/>
      <c r="F171" s="2171"/>
      <c r="G171" s="2170"/>
      <c r="H171" s="2171"/>
      <c r="I171" s="2142">
        <f t="shared" si="14"/>
        <v>0</v>
      </c>
      <c r="J171" s="2171"/>
      <c r="K171" s="2170"/>
      <c r="L171" s="2171"/>
      <c r="M171" s="2143">
        <f t="shared" si="15"/>
        <v>0</v>
      </c>
    </row>
    <row r="172" spans="1:39">
      <c r="A172" s="662"/>
      <c r="B172" s="2103"/>
      <c r="C172" s="2169"/>
      <c r="D172" s="2124">
        <f t="shared" si="13"/>
        <v>0</v>
      </c>
      <c r="E172" s="2170"/>
      <c r="F172" s="2171"/>
      <c r="G172" s="2170"/>
      <c r="H172" s="2171"/>
      <c r="I172" s="2142">
        <f t="shared" si="14"/>
        <v>0</v>
      </c>
      <c r="J172" s="2171"/>
      <c r="K172" s="2170"/>
      <c r="L172" s="2171"/>
      <c r="M172" s="2143">
        <f t="shared" si="15"/>
        <v>0</v>
      </c>
    </row>
    <row r="173" spans="1:39" s="870" customFormat="1">
      <c r="A173" s="662"/>
      <c r="B173" s="2109" t="s">
        <v>354</v>
      </c>
      <c r="C173" s="2172"/>
      <c r="D173" s="2124">
        <f t="shared" si="13"/>
        <v>2249530.8796606981</v>
      </c>
      <c r="E173" s="2170">
        <f>E162+E164</f>
        <v>0</v>
      </c>
      <c r="F173" s="2171">
        <f>F162+F164</f>
        <v>0</v>
      </c>
      <c r="G173" s="2170">
        <f>G162+G164</f>
        <v>162184.4004557282</v>
      </c>
      <c r="H173" s="2171">
        <f>H162+H164</f>
        <v>1905306.2809949699</v>
      </c>
      <c r="I173" s="2142">
        <f t="shared" si="14"/>
        <v>2067490.6814506981</v>
      </c>
      <c r="J173" s="2171">
        <f>J162+J164</f>
        <v>0</v>
      </c>
      <c r="K173" s="2170">
        <f>K162+K164</f>
        <v>0</v>
      </c>
      <c r="L173" s="2171">
        <f>L162+L164</f>
        <v>182040.19820999989</v>
      </c>
      <c r="M173" s="2143">
        <f t="shared" si="15"/>
        <v>182040.19820999989</v>
      </c>
      <c r="N173"/>
      <c r="O173"/>
      <c r="P173"/>
      <c r="Q173"/>
      <c r="R173"/>
      <c r="S173"/>
      <c r="T173"/>
      <c r="U173"/>
      <c r="V173"/>
      <c r="W173"/>
      <c r="X173"/>
      <c r="Y173"/>
      <c r="Z173"/>
      <c r="AA173"/>
      <c r="AB173"/>
      <c r="AC173"/>
      <c r="AD173"/>
      <c r="AE173"/>
      <c r="AF173"/>
      <c r="AG173"/>
      <c r="AH173"/>
      <c r="AI173"/>
      <c r="AJ173"/>
      <c r="AK173"/>
      <c r="AL173"/>
      <c r="AM173"/>
    </row>
    <row r="174" spans="1:39">
      <c r="A174" s="662"/>
      <c r="B174" s="2109"/>
      <c r="C174" s="2172"/>
      <c r="D174" s="2124">
        <f t="shared" si="13"/>
        <v>0</v>
      </c>
      <c r="E174" s="2170"/>
      <c r="F174" s="2171"/>
      <c r="G174" s="2170"/>
      <c r="H174" s="2171"/>
      <c r="I174" s="2142">
        <f t="shared" si="14"/>
        <v>0</v>
      </c>
      <c r="J174" s="2171"/>
      <c r="K174" s="2170"/>
      <c r="L174" s="2171"/>
      <c r="M174" s="2143"/>
    </row>
    <row r="175" spans="1:39">
      <c r="A175" s="662"/>
      <c r="B175" s="2103" t="s">
        <v>355</v>
      </c>
      <c r="C175" s="2169"/>
      <c r="D175" s="2124">
        <f t="shared" si="13"/>
        <v>528035.21000000008</v>
      </c>
      <c r="E175" s="2170"/>
      <c r="F175" s="2171"/>
      <c r="G175" s="2170">
        <v>142508.67775</v>
      </c>
      <c r="H175" s="2171">
        <v>298843.30099000002</v>
      </c>
      <c r="I175" s="2142">
        <f t="shared" si="14"/>
        <v>441351.97874000005</v>
      </c>
      <c r="J175" s="2171"/>
      <c r="K175" s="2170"/>
      <c r="L175" s="2171">
        <v>86683.23126</v>
      </c>
      <c r="M175" s="2143">
        <f t="shared" ref="M175:M193" si="16">L175+K175+J175</f>
        <v>86683.23126</v>
      </c>
    </row>
    <row r="176" spans="1:39">
      <c r="A176" s="662"/>
      <c r="B176" s="2103" t="s">
        <v>356</v>
      </c>
      <c r="C176" s="2169"/>
      <c r="D176" s="2124">
        <f t="shared" si="13"/>
        <v>-113920.07999999999</v>
      </c>
      <c r="E176" s="2170"/>
      <c r="F176" s="2171"/>
      <c r="G176" s="2170">
        <v>-46553.398999999998</v>
      </c>
      <c r="H176" s="2171">
        <v>-42627.365899999997</v>
      </c>
      <c r="I176" s="2142">
        <f t="shared" si="14"/>
        <v>-89180.764899999995</v>
      </c>
      <c r="J176" s="2171"/>
      <c r="K176" s="2170"/>
      <c r="L176" s="2171">
        <v>-24739.3151</v>
      </c>
      <c r="M176" s="2143">
        <f t="shared" si="16"/>
        <v>-24739.3151</v>
      </c>
    </row>
    <row r="177" spans="1:39">
      <c r="A177" s="662"/>
      <c r="B177" s="2103" t="s">
        <v>357</v>
      </c>
      <c r="C177" s="2169"/>
      <c r="D177" s="2124">
        <f t="shared" si="13"/>
        <v>0</v>
      </c>
      <c r="E177" s="2170"/>
      <c r="F177" s="2171"/>
      <c r="G177" s="2170"/>
      <c r="H177" s="2171"/>
      <c r="I177" s="2142">
        <f t="shared" si="14"/>
        <v>0</v>
      </c>
      <c r="J177" s="2171"/>
      <c r="K177" s="2170"/>
      <c r="L177" s="2171"/>
      <c r="M177" s="2143">
        <f t="shared" si="16"/>
        <v>0</v>
      </c>
    </row>
    <row r="178" spans="1:39" ht="13.5" customHeight="1">
      <c r="A178" s="662"/>
      <c r="B178" s="2110" t="s">
        <v>358</v>
      </c>
      <c r="C178" s="2169"/>
      <c r="D178" s="2124">
        <f t="shared" si="13"/>
        <v>0</v>
      </c>
      <c r="E178" s="2170"/>
      <c r="F178" s="2171"/>
      <c r="G178" s="2170"/>
      <c r="H178" s="2171"/>
      <c r="I178" s="2142">
        <f t="shared" si="14"/>
        <v>0</v>
      </c>
      <c r="J178" s="2171"/>
      <c r="K178" s="2170"/>
      <c r="L178" s="2171"/>
      <c r="M178" s="2143">
        <f t="shared" si="16"/>
        <v>0</v>
      </c>
    </row>
    <row r="179" spans="1:39">
      <c r="A179" s="662"/>
      <c r="B179" s="2103" t="s">
        <v>359</v>
      </c>
      <c r="C179" s="2169"/>
      <c r="D179" s="2124">
        <f t="shared" si="13"/>
        <v>1094936.6500000004</v>
      </c>
      <c r="E179" s="2170"/>
      <c r="F179" s="2171"/>
      <c r="G179" s="2170">
        <v>437.57545552045099</v>
      </c>
      <c r="H179" s="2171">
        <v>1059072.9445444799</v>
      </c>
      <c r="I179" s="2142">
        <f t="shared" si="14"/>
        <v>1059510.5200000005</v>
      </c>
      <c r="J179" s="2171"/>
      <c r="K179" s="2170"/>
      <c r="L179" s="2171">
        <v>35426.130000000005</v>
      </c>
      <c r="M179" s="2143">
        <f t="shared" si="16"/>
        <v>35426.130000000005</v>
      </c>
    </row>
    <row r="180" spans="1:39" ht="26.45">
      <c r="A180" s="662"/>
      <c r="B180" s="2110" t="s">
        <v>360</v>
      </c>
      <c r="C180" s="2169"/>
      <c r="D180" s="2124">
        <f t="shared" si="13"/>
        <v>0</v>
      </c>
      <c r="E180" s="2170"/>
      <c r="F180" s="2171"/>
      <c r="G180" s="2170"/>
      <c r="H180" s="2171"/>
      <c r="I180" s="2142">
        <f t="shared" si="14"/>
        <v>0</v>
      </c>
      <c r="J180" s="2171"/>
      <c r="K180" s="2170"/>
      <c r="L180" s="2171"/>
      <c r="M180" s="2143">
        <f t="shared" si="16"/>
        <v>0</v>
      </c>
    </row>
    <row r="181" spans="1:39" s="870" customFormat="1">
      <c r="A181" s="662"/>
      <c r="B181" s="2109" t="s">
        <v>361</v>
      </c>
      <c r="C181" s="2172"/>
      <c r="D181" s="2124">
        <f t="shared" si="13"/>
        <v>1509051.7800000003</v>
      </c>
      <c r="E181" s="2170">
        <f>SUM(E175:E180)</f>
        <v>0</v>
      </c>
      <c r="F181" s="2171">
        <f>SUM(F175:F180)</f>
        <v>0</v>
      </c>
      <c r="G181" s="2170">
        <f>SUM(G175:G180)</f>
        <v>96392.854205520445</v>
      </c>
      <c r="H181" s="2171">
        <f>SUM(H175:H180)</f>
        <v>1315288.87963448</v>
      </c>
      <c r="I181" s="2142">
        <f t="shared" si="14"/>
        <v>1411681.7338400004</v>
      </c>
      <c r="J181" s="2171">
        <f>SUM(J175:J180)</f>
        <v>0</v>
      </c>
      <c r="K181" s="2170">
        <f>SUM(K175:K180)</f>
        <v>0</v>
      </c>
      <c r="L181" s="2171">
        <f>SUM(L175:L180)</f>
        <v>97370.046159999998</v>
      </c>
      <c r="M181" s="2143">
        <f t="shared" si="16"/>
        <v>97370.046159999998</v>
      </c>
      <c r="N181"/>
      <c r="O181"/>
      <c r="P181"/>
      <c r="Q181"/>
      <c r="R181"/>
      <c r="S181"/>
      <c r="T181"/>
      <c r="U181"/>
      <c r="V181"/>
      <c r="W181"/>
      <c r="X181"/>
      <c r="Y181"/>
      <c r="Z181"/>
      <c r="AA181"/>
      <c r="AB181"/>
      <c r="AC181"/>
      <c r="AD181"/>
      <c r="AE181"/>
      <c r="AF181"/>
      <c r="AG181"/>
      <c r="AH181"/>
      <c r="AI181"/>
      <c r="AJ181"/>
      <c r="AK181"/>
      <c r="AL181"/>
      <c r="AM181"/>
    </row>
    <row r="182" spans="1:39">
      <c r="A182" s="662"/>
      <c r="B182" s="2103"/>
      <c r="C182" s="2169"/>
      <c r="D182" s="2124">
        <f t="shared" si="13"/>
        <v>0</v>
      </c>
      <c r="E182" s="2170"/>
      <c r="F182" s="2171"/>
      <c r="G182" s="2170"/>
      <c r="H182" s="2171"/>
      <c r="I182" s="2142">
        <f t="shared" si="14"/>
        <v>0</v>
      </c>
      <c r="J182" s="2171"/>
      <c r="K182" s="2170"/>
      <c r="L182" s="2171"/>
      <c r="M182" s="2143">
        <f t="shared" si="16"/>
        <v>0</v>
      </c>
    </row>
    <row r="183" spans="1:39" ht="26.45">
      <c r="A183" s="662"/>
      <c r="B183" s="2110" t="s">
        <v>362</v>
      </c>
      <c r="C183" s="2169"/>
      <c r="D183" s="2124">
        <f t="shared" si="13"/>
        <v>335322.3</v>
      </c>
      <c r="E183" s="2170"/>
      <c r="F183" s="2171"/>
      <c r="G183" s="2170">
        <v>29017.848617214499</v>
      </c>
      <c r="H183" s="2171">
        <v>282356.97838278551</v>
      </c>
      <c r="I183" s="2142">
        <f t="shared" si="14"/>
        <v>311374.82699999999</v>
      </c>
      <c r="J183" s="2171"/>
      <c r="K183" s="2170"/>
      <c r="L183" s="2171">
        <v>23947.472999999998</v>
      </c>
      <c r="M183" s="2143">
        <f t="shared" si="16"/>
        <v>23947.472999999998</v>
      </c>
    </row>
    <row r="184" spans="1:39">
      <c r="A184" s="662"/>
      <c r="B184" s="2103"/>
      <c r="C184" s="2169"/>
      <c r="D184" s="2124">
        <f t="shared" si="13"/>
        <v>0</v>
      </c>
      <c r="E184" s="2170"/>
      <c r="F184" s="2171"/>
      <c r="G184" s="2170"/>
      <c r="H184" s="2171"/>
      <c r="I184" s="2142">
        <f t="shared" si="14"/>
        <v>0</v>
      </c>
      <c r="J184" s="2171"/>
      <c r="K184" s="2170"/>
      <c r="L184" s="2171"/>
      <c r="M184" s="2143">
        <f t="shared" si="16"/>
        <v>0</v>
      </c>
    </row>
    <row r="185" spans="1:39" ht="15.75" customHeight="1">
      <c r="A185" s="662"/>
      <c r="B185" s="2110" t="s">
        <v>363</v>
      </c>
      <c r="C185" s="2169">
        <v>4</v>
      </c>
      <c r="D185" s="2124">
        <f t="shared" si="13"/>
        <v>330738.1100000001</v>
      </c>
      <c r="E185" s="2170">
        <v>16096.099999999999</v>
      </c>
      <c r="F185" s="2171"/>
      <c r="G185" s="2170">
        <v>57617.120807527899</v>
      </c>
      <c r="H185" s="2171">
        <v>199490.49966973401</v>
      </c>
      <c r="I185" s="2142">
        <f t="shared" si="14"/>
        <v>257107.62047726189</v>
      </c>
      <c r="J185" s="2171"/>
      <c r="K185" s="2170"/>
      <c r="L185" s="2171">
        <v>57534.389522738202</v>
      </c>
      <c r="M185" s="2143">
        <f t="shared" si="16"/>
        <v>57534.389522738202</v>
      </c>
    </row>
    <row r="186" spans="1:39">
      <c r="A186" s="662"/>
      <c r="B186" s="2103" t="s">
        <v>364</v>
      </c>
      <c r="C186" s="2169"/>
      <c r="D186" s="2124">
        <f t="shared" si="13"/>
        <v>0</v>
      </c>
      <c r="E186" s="2170"/>
      <c r="F186" s="2171"/>
      <c r="G186" s="2170"/>
      <c r="H186" s="2171"/>
      <c r="I186" s="2142">
        <f t="shared" si="14"/>
        <v>0</v>
      </c>
      <c r="J186" s="2171"/>
      <c r="K186" s="2170"/>
      <c r="L186" s="2171"/>
      <c r="M186" s="2143">
        <f t="shared" si="16"/>
        <v>0</v>
      </c>
    </row>
    <row r="187" spans="1:39">
      <c r="A187" s="662"/>
      <c r="B187" s="2103" t="s">
        <v>365</v>
      </c>
      <c r="C187" s="2169"/>
      <c r="D187" s="2124">
        <f t="shared" si="13"/>
        <v>0</v>
      </c>
      <c r="E187" s="2170"/>
      <c r="F187" s="2171"/>
      <c r="G187" s="2170"/>
      <c r="H187" s="2171"/>
      <c r="I187" s="2142">
        <f t="shared" si="14"/>
        <v>0</v>
      </c>
      <c r="J187" s="2171"/>
      <c r="K187" s="2170"/>
      <c r="L187" s="2171"/>
      <c r="M187" s="2143">
        <f t="shared" si="16"/>
        <v>0</v>
      </c>
    </row>
    <row r="188" spans="1:39" s="870" customFormat="1">
      <c r="A188" s="662"/>
      <c r="B188" s="2109" t="s">
        <v>366</v>
      </c>
      <c r="C188" s="2172"/>
      <c r="D188" s="2124">
        <f t="shared" si="13"/>
        <v>330738.1100000001</v>
      </c>
      <c r="E188" s="2170">
        <f>SUM(E185:E187)</f>
        <v>16096.099999999999</v>
      </c>
      <c r="F188" s="2171">
        <f>SUM(F185:F187)</f>
        <v>0</v>
      </c>
      <c r="G188" s="2170">
        <f>SUM(G185:G187)</f>
        <v>57617.120807527899</v>
      </c>
      <c r="H188" s="2171">
        <f>SUM(H185:H187)</f>
        <v>199490.49966973401</v>
      </c>
      <c r="I188" s="2142">
        <f t="shared" si="14"/>
        <v>257107.62047726189</v>
      </c>
      <c r="J188" s="2171">
        <f>SUM(J185:J187)</f>
        <v>0</v>
      </c>
      <c r="K188" s="2170">
        <f>SUM(K185:K187)</f>
        <v>0</v>
      </c>
      <c r="L188" s="2171">
        <f>SUM(L185:L187)</f>
        <v>57534.389522738202</v>
      </c>
      <c r="M188" s="2143">
        <f t="shared" si="16"/>
        <v>57534.389522738202</v>
      </c>
      <c r="N188"/>
      <c r="O188"/>
      <c r="P188"/>
      <c r="Q188"/>
      <c r="R188"/>
      <c r="S188"/>
      <c r="T188"/>
      <c r="U188"/>
      <c r="V188"/>
      <c r="W188"/>
      <c r="X188"/>
      <c r="Y188"/>
      <c r="Z188"/>
      <c r="AA188"/>
      <c r="AB188"/>
      <c r="AC188"/>
      <c r="AD188"/>
      <c r="AE188"/>
      <c r="AF188"/>
      <c r="AG188"/>
      <c r="AH188"/>
      <c r="AI188"/>
      <c r="AJ188"/>
      <c r="AK188"/>
      <c r="AL188"/>
      <c r="AM188"/>
    </row>
    <row r="189" spans="1:39">
      <c r="A189" s="662"/>
      <c r="B189" s="2109"/>
      <c r="C189" s="2172"/>
      <c r="D189" s="2124">
        <f t="shared" si="13"/>
        <v>0</v>
      </c>
      <c r="E189" s="2170"/>
      <c r="F189" s="2171"/>
      <c r="G189" s="2170"/>
      <c r="H189" s="2171"/>
      <c r="I189" s="2142">
        <f t="shared" si="14"/>
        <v>0</v>
      </c>
      <c r="J189" s="2171"/>
      <c r="K189" s="2170"/>
      <c r="L189" s="2171"/>
      <c r="M189" s="2143">
        <f t="shared" si="16"/>
        <v>0</v>
      </c>
    </row>
    <row r="190" spans="1:39" s="870" customFormat="1">
      <c r="A190" s="662"/>
      <c r="B190" s="2109" t="s">
        <v>367</v>
      </c>
      <c r="C190" s="2172"/>
      <c r="D190" s="2178">
        <f t="shared" si="13"/>
        <v>74418.689660697419</v>
      </c>
      <c r="E190" s="2170">
        <f>E173-E181-E183-E188</f>
        <v>-16096.099999999999</v>
      </c>
      <c r="F190" s="2171">
        <f>F173-F181-F183-F188</f>
        <v>0</v>
      </c>
      <c r="G190" s="2170">
        <f>G173-G181-G183-G188</f>
        <v>-20843.423174534641</v>
      </c>
      <c r="H190" s="2171">
        <f>H173-H181-H183-H188</f>
        <v>108169.92330797037</v>
      </c>
      <c r="I190" s="2142">
        <f t="shared" si="14"/>
        <v>87326.500133435737</v>
      </c>
      <c r="J190" s="2171">
        <f>J173-J181-J183-J188</f>
        <v>0</v>
      </c>
      <c r="K190" s="2170">
        <f>K173-K181-K183-K188</f>
        <v>0</v>
      </c>
      <c r="L190" s="2171">
        <f>L173-L181-L183-L188</f>
        <v>3188.2895272616879</v>
      </c>
      <c r="M190" s="2143">
        <f t="shared" si="16"/>
        <v>3188.2895272616879</v>
      </c>
      <c r="N190"/>
      <c r="O190"/>
      <c r="P190"/>
      <c r="Q190"/>
      <c r="R190"/>
      <c r="S190"/>
      <c r="T190"/>
      <c r="U190"/>
      <c r="V190"/>
      <c r="W190"/>
      <c r="X190"/>
      <c r="Y190"/>
      <c r="Z190"/>
      <c r="AA190"/>
      <c r="AB190"/>
      <c r="AC190"/>
      <c r="AD190"/>
      <c r="AE190"/>
      <c r="AF190"/>
      <c r="AG190"/>
      <c r="AH190"/>
      <c r="AI190"/>
      <c r="AJ190"/>
      <c r="AK190"/>
      <c r="AL190"/>
      <c r="AM190"/>
    </row>
    <row r="191" spans="1:39">
      <c r="A191" s="662"/>
      <c r="B191" s="2103" t="s">
        <v>368</v>
      </c>
      <c r="C191" s="2169"/>
      <c r="D191" s="2124">
        <f t="shared" si="13"/>
        <v>141846</v>
      </c>
      <c r="E191" s="2170">
        <v>141846</v>
      </c>
      <c r="F191" s="2171"/>
      <c r="G191" s="2170"/>
      <c r="H191" s="2171"/>
      <c r="I191" s="2142">
        <f t="shared" si="14"/>
        <v>0</v>
      </c>
      <c r="J191" s="2171"/>
      <c r="K191" s="2170"/>
      <c r="L191" s="2171"/>
      <c r="M191" s="2143">
        <f t="shared" si="16"/>
        <v>0</v>
      </c>
    </row>
    <row r="192" spans="1:39">
      <c r="A192" s="662"/>
      <c r="B192" s="2103"/>
      <c r="C192" s="2169"/>
      <c r="D192" s="2124">
        <f t="shared" si="13"/>
        <v>0</v>
      </c>
      <c r="E192" s="2170"/>
      <c r="F192" s="2171"/>
      <c r="G192" s="2170"/>
      <c r="H192" s="2171"/>
      <c r="I192" s="2142">
        <f t="shared" si="14"/>
        <v>0</v>
      </c>
      <c r="J192" s="2171"/>
      <c r="K192" s="2170"/>
      <c r="L192" s="2171"/>
      <c r="M192" s="2143">
        <f t="shared" si="16"/>
        <v>0</v>
      </c>
    </row>
    <row r="193" spans="1:39" s="870" customFormat="1" ht="15" thickBot="1">
      <c r="A193" s="662"/>
      <c r="B193" s="1338" t="s">
        <v>369</v>
      </c>
      <c r="C193" s="1370"/>
      <c r="D193" s="1350">
        <f t="shared" si="13"/>
        <v>-67427.310339302581</v>
      </c>
      <c r="E193" s="1360">
        <f>E190-E191</f>
        <v>-157942.1</v>
      </c>
      <c r="F193" s="1350">
        <f>F190-F191</f>
        <v>0</v>
      </c>
      <c r="G193" s="1360">
        <f>G190-G191</f>
        <v>-20843.423174534641</v>
      </c>
      <c r="H193" s="1350">
        <f>H190-H191</f>
        <v>108169.92330797037</v>
      </c>
      <c r="I193" s="1360">
        <f t="shared" si="14"/>
        <v>87326.500133435737</v>
      </c>
      <c r="J193" s="1350">
        <f>J190-J191</f>
        <v>0</v>
      </c>
      <c r="K193" s="1360">
        <f>K190-K191</f>
        <v>0</v>
      </c>
      <c r="L193" s="1350">
        <f>L190-L191</f>
        <v>3188.2895272616879</v>
      </c>
      <c r="M193" s="1371">
        <f t="shared" si="16"/>
        <v>3188.2895272616879</v>
      </c>
      <c r="N193"/>
      <c r="O193"/>
      <c r="P193"/>
      <c r="Q193"/>
      <c r="R193"/>
      <c r="S193"/>
      <c r="T193"/>
      <c r="U193"/>
      <c r="V193"/>
      <c r="W193"/>
      <c r="X193"/>
      <c r="Y193"/>
      <c r="Z193"/>
      <c r="AA193"/>
      <c r="AB193"/>
      <c r="AC193"/>
      <c r="AD193"/>
      <c r="AE193"/>
      <c r="AF193"/>
      <c r="AG193"/>
      <c r="AH193"/>
      <c r="AI193"/>
      <c r="AJ193"/>
      <c r="AK193"/>
      <c r="AL193"/>
      <c r="AM193"/>
    </row>
    <row r="194" spans="1:39">
      <c r="A194" s="662"/>
      <c r="B194" s="662"/>
      <c r="C194" s="662"/>
      <c r="D194" s="689"/>
      <c r="E194" s="689"/>
      <c r="F194" s="689"/>
      <c r="G194" s="689"/>
      <c r="H194" s="689"/>
      <c r="I194" s="689"/>
      <c r="J194" s="689"/>
      <c r="K194" s="689"/>
      <c r="L194" s="689"/>
      <c r="M194" s="689"/>
    </row>
    <row r="195" spans="1:39">
      <c r="A195" s="662"/>
      <c r="B195" s="662"/>
      <c r="C195" s="662"/>
      <c r="D195" s="662"/>
      <c r="E195" s="662"/>
      <c r="F195" s="662"/>
      <c r="G195" s="662"/>
      <c r="H195" s="662"/>
      <c r="I195" s="662"/>
      <c r="J195" s="662"/>
      <c r="K195" s="662"/>
      <c r="L195" s="662"/>
    </row>
    <row r="197" spans="1:39" ht="15" thickBot="1"/>
    <row r="198" spans="1:39" ht="17.25" customHeight="1" thickBot="1">
      <c r="A198" s="1361" t="s">
        <v>125</v>
      </c>
      <c r="B198" s="1153" t="s">
        <v>319</v>
      </c>
      <c r="C198" s="871"/>
      <c r="D198" s="662"/>
      <c r="E198" s="662"/>
      <c r="F198" s="662"/>
      <c r="G198" s="662"/>
      <c r="H198" s="662"/>
      <c r="I198" s="662"/>
      <c r="J198" s="662"/>
      <c r="K198" s="662"/>
      <c r="L198" s="3292"/>
      <c r="M198" s="3292" t="s">
        <v>257</v>
      </c>
    </row>
    <row r="199" spans="1:39" ht="17.25" customHeight="1" thickBot="1">
      <c r="A199" s="662"/>
      <c r="B199" s="3331" t="s">
        <v>319</v>
      </c>
      <c r="C199" s="3280" t="s">
        <v>334</v>
      </c>
      <c r="D199" s="3283" t="s">
        <v>260</v>
      </c>
      <c r="E199" s="3283" t="s">
        <v>335</v>
      </c>
      <c r="F199" s="3335" t="s">
        <v>263</v>
      </c>
      <c r="G199" s="3335"/>
      <c r="H199" s="3335"/>
      <c r="I199" s="3335"/>
      <c r="J199" s="3335"/>
      <c r="K199" s="3335"/>
      <c r="L199" s="3335"/>
      <c r="M199" s="3335"/>
    </row>
    <row r="200" spans="1:39" ht="17.25" customHeight="1" thickBot="1">
      <c r="A200" s="662"/>
      <c r="B200" s="3327"/>
      <c r="C200" s="3281"/>
      <c r="D200" s="3284"/>
      <c r="E200" s="3284"/>
      <c r="F200" s="3332" t="s">
        <v>264</v>
      </c>
      <c r="G200" s="3333"/>
      <c r="H200" s="3333"/>
      <c r="I200" s="3334"/>
      <c r="J200" s="3335" t="s">
        <v>336</v>
      </c>
      <c r="K200" s="3335"/>
      <c r="L200" s="3335"/>
      <c r="M200" s="3335"/>
    </row>
    <row r="201" spans="1:39" ht="64.900000000000006" customHeight="1" thickBot="1">
      <c r="A201" s="662"/>
      <c r="B201" s="3327"/>
      <c r="C201" s="3281"/>
      <c r="D201" s="3285"/>
      <c r="E201" s="3285"/>
      <c r="F201" s="2963" t="s">
        <v>267</v>
      </c>
      <c r="G201" s="2963" t="s">
        <v>268</v>
      </c>
      <c r="H201" s="2963" t="s">
        <v>269</v>
      </c>
      <c r="I201" s="2963" t="s">
        <v>160</v>
      </c>
      <c r="J201" s="2964" t="s">
        <v>337</v>
      </c>
      <c r="K201" s="2964" t="s">
        <v>271</v>
      </c>
      <c r="L201" s="2964" t="s">
        <v>338</v>
      </c>
      <c r="M201" s="2964" t="s">
        <v>160</v>
      </c>
    </row>
    <row r="202" spans="1:39" ht="17.25" customHeight="1" thickBot="1">
      <c r="A202" s="662"/>
      <c r="B202" s="3327"/>
      <c r="C202" s="3281"/>
      <c r="D202" s="2972">
        <v>1</v>
      </c>
      <c r="E202" s="3283">
        <v>2</v>
      </c>
      <c r="F202" s="3283">
        <v>3</v>
      </c>
      <c r="G202" s="3283">
        <v>4</v>
      </c>
      <c r="H202" s="2963"/>
      <c r="I202" s="2972">
        <v>6</v>
      </c>
      <c r="J202" s="3283">
        <v>7</v>
      </c>
      <c r="K202" s="3283">
        <v>8</v>
      </c>
      <c r="L202" s="3283">
        <v>9</v>
      </c>
      <c r="M202" s="2972">
        <v>10</v>
      </c>
    </row>
    <row r="203" spans="1:39" ht="15" thickBot="1">
      <c r="A203" s="662"/>
      <c r="B203" s="3328"/>
      <c r="C203" s="3282"/>
      <c r="D203" s="1327" t="s">
        <v>339</v>
      </c>
      <c r="E203" s="3285"/>
      <c r="F203" s="3285"/>
      <c r="G203" s="3285"/>
      <c r="H203" s="1327">
        <v>5</v>
      </c>
      <c r="I203" s="1327" t="s">
        <v>340</v>
      </c>
      <c r="J203" s="3285"/>
      <c r="K203" s="3285"/>
      <c r="L203" s="3285"/>
      <c r="M203" s="1327" t="s">
        <v>341</v>
      </c>
    </row>
    <row r="204" spans="1:39">
      <c r="A204" s="662"/>
      <c r="B204" s="1345" t="s">
        <v>342</v>
      </c>
      <c r="C204" s="893"/>
      <c r="D204" s="1392">
        <f t="shared" ref="D204:D216" si="17">E204+I204+M204</f>
        <v>16517327.69294</v>
      </c>
      <c r="E204" s="890">
        <v>0</v>
      </c>
      <c r="F204" s="891">
        <v>0</v>
      </c>
      <c r="G204" s="890">
        <v>133652.65728000001</v>
      </c>
      <c r="H204" s="892">
        <v>15661417.832350001</v>
      </c>
      <c r="I204" s="1207">
        <f t="shared" ref="I204:I243" si="18">F204+G204+H204</f>
        <v>15795070.489630001</v>
      </c>
      <c r="J204" s="892">
        <v>722257.2033099999</v>
      </c>
      <c r="K204" s="890"/>
      <c r="L204" s="892"/>
      <c r="M204" s="1207">
        <f t="shared" ref="M204:M223" si="19">L204+K204+J204</f>
        <v>722257.2033099999</v>
      </c>
    </row>
    <row r="205" spans="1:39">
      <c r="A205" s="662"/>
      <c r="B205" s="2111"/>
      <c r="C205" s="2179"/>
      <c r="D205" s="2180">
        <f t="shared" si="17"/>
        <v>0</v>
      </c>
      <c r="E205" s="2067"/>
      <c r="F205" s="2079"/>
      <c r="G205" s="2067"/>
      <c r="H205" s="2066"/>
      <c r="I205" s="1924">
        <f t="shared" si="18"/>
        <v>0</v>
      </c>
      <c r="J205" s="2066"/>
      <c r="K205" s="2067"/>
      <c r="L205" s="2066"/>
      <c r="M205" s="1924">
        <f t="shared" si="19"/>
        <v>0</v>
      </c>
    </row>
    <row r="206" spans="1:39">
      <c r="A206" s="662"/>
      <c r="B206" s="2116" t="s">
        <v>343</v>
      </c>
      <c r="C206" s="2179"/>
      <c r="D206" s="2180">
        <f t="shared" si="17"/>
        <v>466809.94163999998</v>
      </c>
      <c r="E206" s="2067">
        <v>0</v>
      </c>
      <c r="F206" s="2079">
        <v>0</v>
      </c>
      <c r="G206" s="2067">
        <v>29947.290710000001</v>
      </c>
      <c r="H206" s="2066">
        <v>392448.88141999999</v>
      </c>
      <c r="I206" s="1924">
        <f t="shared" si="18"/>
        <v>422396.17212999996</v>
      </c>
      <c r="J206" s="2066">
        <v>44413.769509999998</v>
      </c>
      <c r="K206" s="2080"/>
      <c r="L206" s="2066"/>
      <c r="M206" s="1924">
        <f t="shared" si="19"/>
        <v>44413.769509999998</v>
      </c>
    </row>
    <row r="207" spans="1:39">
      <c r="A207" s="662"/>
      <c r="B207" s="2116"/>
      <c r="C207" s="2179"/>
      <c r="D207" s="2180">
        <f t="shared" si="17"/>
        <v>0</v>
      </c>
      <c r="E207" s="2067"/>
      <c r="F207" s="2079"/>
      <c r="G207" s="2067"/>
      <c r="H207" s="2066"/>
      <c r="I207" s="1924">
        <f t="shared" si="18"/>
        <v>0</v>
      </c>
      <c r="J207" s="2066"/>
      <c r="K207" s="2067"/>
      <c r="L207" s="2066"/>
      <c r="M207" s="1924">
        <f t="shared" si="19"/>
        <v>0</v>
      </c>
    </row>
    <row r="208" spans="1:39" ht="14.25" customHeight="1">
      <c r="A208" s="662"/>
      <c r="B208" s="2117" t="s">
        <v>344</v>
      </c>
      <c r="C208" s="2179"/>
      <c r="D208" s="2180">
        <f t="shared" si="17"/>
        <v>0</v>
      </c>
      <c r="E208" s="2067">
        <v>0</v>
      </c>
      <c r="F208" s="2079">
        <v>0</v>
      </c>
      <c r="G208" s="2067">
        <v>0</v>
      </c>
      <c r="H208" s="2066">
        <v>0</v>
      </c>
      <c r="I208" s="1924">
        <f t="shared" si="18"/>
        <v>0</v>
      </c>
      <c r="J208" s="2066"/>
      <c r="K208" s="2067"/>
      <c r="L208" s="2066"/>
      <c r="M208" s="1924">
        <f t="shared" si="19"/>
        <v>0</v>
      </c>
    </row>
    <row r="209" spans="1:39">
      <c r="A209" s="662"/>
      <c r="B209" s="2111"/>
      <c r="C209" s="2179"/>
      <c r="D209" s="2180">
        <f t="shared" si="17"/>
        <v>0</v>
      </c>
      <c r="E209" s="2171"/>
      <c r="F209" s="2170"/>
      <c r="G209" s="2171"/>
      <c r="H209" s="2170"/>
      <c r="I209" s="1924">
        <f t="shared" si="18"/>
        <v>0</v>
      </c>
      <c r="J209" s="2170"/>
      <c r="K209" s="2171"/>
      <c r="L209" s="2170"/>
      <c r="M209" s="1924">
        <f t="shared" si="19"/>
        <v>0</v>
      </c>
    </row>
    <row r="210" spans="1:39" s="870" customFormat="1">
      <c r="A210" s="662"/>
      <c r="B210" s="2118" t="s">
        <v>345</v>
      </c>
      <c r="C210" s="2181"/>
      <c r="D210" s="2180">
        <f t="shared" si="17"/>
        <v>16050517.751300002</v>
      </c>
      <c r="E210" s="2171">
        <f>E204-E206+E208</f>
        <v>0</v>
      </c>
      <c r="F210" s="2170">
        <f>F204-F206+F208</f>
        <v>0</v>
      </c>
      <c r="G210" s="2171">
        <f>G204-G206+G208</f>
        <v>103705.36657000001</v>
      </c>
      <c r="H210" s="2170">
        <f>H204-H206+H208</f>
        <v>15268968.950930001</v>
      </c>
      <c r="I210" s="1924">
        <f t="shared" si="18"/>
        <v>15372674.317500001</v>
      </c>
      <c r="J210" s="2170">
        <f>J204-J206+J208</f>
        <v>677843.43379999988</v>
      </c>
      <c r="K210" s="2171">
        <f>K204-K206+K208</f>
        <v>0</v>
      </c>
      <c r="L210" s="2170">
        <f>L204-L206+L208</f>
        <v>0</v>
      </c>
      <c r="M210" s="1924">
        <f t="shared" si="19"/>
        <v>677843.43379999988</v>
      </c>
      <c r="N210"/>
      <c r="O210"/>
      <c r="P210"/>
      <c r="Q210"/>
      <c r="R210"/>
      <c r="S210"/>
      <c r="T210"/>
      <c r="U210"/>
      <c r="V210"/>
      <c r="W210"/>
      <c r="X210"/>
      <c r="Y210"/>
      <c r="Z210"/>
      <c r="AA210"/>
      <c r="AB210"/>
      <c r="AC210"/>
      <c r="AD210"/>
      <c r="AE210"/>
      <c r="AF210"/>
      <c r="AG210"/>
      <c r="AH210"/>
      <c r="AI210"/>
      <c r="AJ210"/>
      <c r="AK210"/>
      <c r="AL210"/>
      <c r="AM210"/>
    </row>
    <row r="211" spans="1:39">
      <c r="A211" s="662"/>
      <c r="B211" s="2118"/>
      <c r="C211" s="2181"/>
      <c r="D211" s="2180">
        <f t="shared" si="17"/>
        <v>0</v>
      </c>
      <c r="E211" s="2171"/>
      <c r="F211" s="2170"/>
      <c r="G211" s="2171"/>
      <c r="H211" s="2170"/>
      <c r="I211" s="1924">
        <f t="shared" si="18"/>
        <v>0</v>
      </c>
      <c r="J211" s="2170"/>
      <c r="K211" s="2171"/>
      <c r="L211" s="2170"/>
      <c r="M211" s="1924">
        <f t="shared" si="19"/>
        <v>0</v>
      </c>
    </row>
    <row r="212" spans="1:39" s="870" customFormat="1">
      <c r="A212" s="662"/>
      <c r="B212" s="2118" t="s">
        <v>346</v>
      </c>
      <c r="C212" s="2181"/>
      <c r="D212" s="2180">
        <f t="shared" si="17"/>
        <v>7421311.8330300003</v>
      </c>
      <c r="E212" s="2171">
        <f>SUM(E213:E217)</f>
        <v>1567303.6059099999</v>
      </c>
      <c r="F212" s="2170">
        <f>SUM(F213:F217)</f>
        <v>0</v>
      </c>
      <c r="G212" s="2171">
        <f>SUM(G213:G217)</f>
        <v>41971.533739999992</v>
      </c>
      <c r="H212" s="2170">
        <f>SUM(H213:H217)</f>
        <v>5074214.2512300005</v>
      </c>
      <c r="I212" s="1924">
        <f t="shared" si="18"/>
        <v>5116185.7849700004</v>
      </c>
      <c r="J212" s="2170">
        <f>SUM(J213:J217)</f>
        <v>53246.042150000001</v>
      </c>
      <c r="K212" s="2171">
        <f>SUM(K213:K217)</f>
        <v>4743.3999999999996</v>
      </c>
      <c r="L212" s="2170">
        <f>SUM(L213:L217)</f>
        <v>679833</v>
      </c>
      <c r="M212" s="1924">
        <f t="shared" si="19"/>
        <v>737822.44215000002</v>
      </c>
      <c r="N212"/>
      <c r="O212"/>
      <c r="P212"/>
      <c r="Q212"/>
      <c r="R212"/>
      <c r="S212"/>
      <c r="T212"/>
      <c r="U212"/>
      <c r="V212"/>
      <c r="W212"/>
      <c r="X212"/>
      <c r="Y212"/>
      <c r="Z212"/>
      <c r="AA212"/>
      <c r="AB212"/>
      <c r="AC212"/>
      <c r="AD212"/>
      <c r="AE212"/>
      <c r="AF212"/>
      <c r="AG212"/>
      <c r="AH212"/>
      <c r="AI212"/>
      <c r="AJ212"/>
      <c r="AK212"/>
      <c r="AL212"/>
      <c r="AM212"/>
    </row>
    <row r="213" spans="1:39">
      <c r="A213" s="662"/>
      <c r="B213" s="2111" t="s">
        <v>347</v>
      </c>
      <c r="C213" s="2179">
        <v>1</v>
      </c>
      <c r="D213" s="2180">
        <f t="shared" si="17"/>
        <v>5925756.8370900005</v>
      </c>
      <c r="E213" s="2067">
        <v>1559612.98432</v>
      </c>
      <c r="F213" s="2066">
        <v>0</v>
      </c>
      <c r="G213" s="2067">
        <v>42113</v>
      </c>
      <c r="H213" s="2066">
        <v>4013957.3416700005</v>
      </c>
      <c r="I213" s="1924">
        <f t="shared" si="18"/>
        <v>4056070.3416700005</v>
      </c>
      <c r="J213" s="2066">
        <v>18221.111100000002</v>
      </c>
      <c r="K213" s="2067">
        <v>4743.3999999999996</v>
      </c>
      <c r="L213" s="2066">
        <v>287109</v>
      </c>
      <c r="M213" s="1924">
        <f t="shared" si="19"/>
        <v>310073.5111</v>
      </c>
    </row>
    <row r="214" spans="1:39">
      <c r="A214" s="662"/>
      <c r="B214" s="2111" t="s">
        <v>348</v>
      </c>
      <c r="C214" s="2179">
        <v>2</v>
      </c>
      <c r="D214" s="2180">
        <f t="shared" si="17"/>
        <v>1065288.11008</v>
      </c>
      <c r="E214" s="2067">
        <v>0</v>
      </c>
      <c r="F214" s="2066">
        <v>0</v>
      </c>
      <c r="G214" s="2067">
        <v>200.83449999999999</v>
      </c>
      <c r="H214" s="2066">
        <v>1030116.2582599999</v>
      </c>
      <c r="I214" s="1924">
        <f t="shared" si="18"/>
        <v>1030317.0927599999</v>
      </c>
      <c r="J214" s="2066">
        <v>34971.017319999999</v>
      </c>
      <c r="K214" s="2067">
        <v>0</v>
      </c>
      <c r="L214" s="2066">
        <v>0</v>
      </c>
      <c r="M214" s="1924">
        <f t="shared" si="19"/>
        <v>34971.017319999999</v>
      </c>
    </row>
    <row r="215" spans="1:39">
      <c r="A215" s="662"/>
      <c r="B215" s="2111" t="s">
        <v>349</v>
      </c>
      <c r="C215" s="2179"/>
      <c r="D215" s="2180">
        <f t="shared" si="17"/>
        <v>54996.65425</v>
      </c>
      <c r="E215" s="2067">
        <v>8521.6395499999999</v>
      </c>
      <c r="F215" s="2066">
        <v>0</v>
      </c>
      <c r="G215" s="2067">
        <v>-343.38081</v>
      </c>
      <c r="H215" s="2066">
        <v>-5530.6044899999997</v>
      </c>
      <c r="I215" s="1924">
        <f t="shared" si="18"/>
        <v>-5873.9852999999994</v>
      </c>
      <c r="J215" s="2066">
        <v>0</v>
      </c>
      <c r="K215" s="2067">
        <v>0</v>
      </c>
      <c r="L215" s="2066">
        <v>52349</v>
      </c>
      <c r="M215" s="1924">
        <f t="shared" si="19"/>
        <v>52349</v>
      </c>
    </row>
    <row r="216" spans="1:39">
      <c r="A216" s="662"/>
      <c r="B216" s="2111" t="s">
        <v>350</v>
      </c>
      <c r="C216" s="2179"/>
      <c r="D216" s="2180">
        <f t="shared" si="17"/>
        <v>340282</v>
      </c>
      <c r="E216" s="2067">
        <v>0</v>
      </c>
      <c r="F216" s="2066">
        <v>0</v>
      </c>
      <c r="G216" s="2067">
        <v>0</v>
      </c>
      <c r="H216" s="2066">
        <v>0</v>
      </c>
      <c r="I216" s="1924">
        <f t="shared" si="18"/>
        <v>0</v>
      </c>
      <c r="J216" s="2066">
        <v>0</v>
      </c>
      <c r="K216" s="2067">
        <v>0</v>
      </c>
      <c r="L216" s="2066">
        <v>340282</v>
      </c>
      <c r="M216" s="1924">
        <f t="shared" si="19"/>
        <v>340282</v>
      </c>
    </row>
    <row r="217" spans="1:39">
      <c r="A217" s="662"/>
      <c r="B217" s="2111" t="s">
        <v>351</v>
      </c>
      <c r="C217" s="2179">
        <v>3</v>
      </c>
      <c r="D217" s="2180">
        <f>E217+I217+M217</f>
        <v>34988.231609999988</v>
      </c>
      <c r="E217" s="2067">
        <f>SUM(E218:E221)</f>
        <v>-831.01796000000104</v>
      </c>
      <c r="F217" s="2066">
        <f>SUM(F218:F221)</f>
        <v>0</v>
      </c>
      <c r="G217" s="2067">
        <f>SUM(G218:G221)</f>
        <v>1.08005</v>
      </c>
      <c r="H217" s="2066">
        <f>SUM(H218:H221)</f>
        <v>35671.255789999996</v>
      </c>
      <c r="I217" s="1924">
        <f>F217+G217+H217</f>
        <v>35672.335839999992</v>
      </c>
      <c r="J217" s="2066">
        <f>SUM(J218:J221)</f>
        <v>53.913730000000001</v>
      </c>
      <c r="K217" s="2067">
        <f>SUM(K218:K221)</f>
        <v>0</v>
      </c>
      <c r="L217" s="2066">
        <f>SUM(L218:L221)</f>
        <v>93</v>
      </c>
      <c r="M217" s="1924">
        <f t="shared" si="19"/>
        <v>146.91372999999999</v>
      </c>
    </row>
    <row r="218" spans="1:39">
      <c r="A218" s="662"/>
      <c r="B218" s="2111" t="s">
        <v>388</v>
      </c>
      <c r="C218" s="2179"/>
      <c r="D218" s="2180">
        <f>E218+I218+M218</f>
        <v>95556.320080000005</v>
      </c>
      <c r="E218" s="2067">
        <v>12967.83786</v>
      </c>
      <c r="F218" s="2066">
        <v>0</v>
      </c>
      <c r="G218" s="2067">
        <v>0</v>
      </c>
      <c r="H218" s="2066">
        <v>82588.482220000005</v>
      </c>
      <c r="I218" s="1924">
        <f t="shared" si="18"/>
        <v>82588.482220000005</v>
      </c>
      <c r="J218" s="2066">
        <v>0</v>
      </c>
      <c r="K218" s="2067">
        <v>0</v>
      </c>
      <c r="L218" s="2066">
        <v>0</v>
      </c>
      <c r="M218" s="1924">
        <f t="shared" si="19"/>
        <v>0</v>
      </c>
    </row>
    <row r="219" spans="1:39">
      <c r="A219" s="662"/>
      <c r="B219" s="2111" t="s">
        <v>389</v>
      </c>
      <c r="C219" s="2179"/>
      <c r="D219" s="2180">
        <f>E219+I219+M219</f>
        <v>17537.031460000002</v>
      </c>
      <c r="E219" s="2067">
        <v>1408.4737399999999</v>
      </c>
      <c r="F219" s="2066">
        <v>0</v>
      </c>
      <c r="G219" s="2067">
        <v>0</v>
      </c>
      <c r="H219" s="2066">
        <v>15981.64399</v>
      </c>
      <c r="I219" s="1924">
        <f t="shared" si="18"/>
        <v>15981.64399</v>
      </c>
      <c r="J219" s="2066">
        <v>53.913730000000001</v>
      </c>
      <c r="K219" s="2067">
        <v>0</v>
      </c>
      <c r="L219" s="2066">
        <v>93</v>
      </c>
      <c r="M219" s="1924">
        <f t="shared" si="19"/>
        <v>146.91372999999999</v>
      </c>
    </row>
    <row r="220" spans="1:39">
      <c r="A220" s="662"/>
      <c r="B220" s="2111" t="s">
        <v>390</v>
      </c>
      <c r="C220" s="2179"/>
      <c r="D220" s="2180">
        <f t="shared" ref="D220:D243" si="20">E220+I220+M220</f>
        <v>-79020.465070000006</v>
      </c>
      <c r="E220" s="2171">
        <v>-15207.32956</v>
      </c>
      <c r="F220" s="2170">
        <v>0</v>
      </c>
      <c r="G220" s="2171">
        <v>1.08005</v>
      </c>
      <c r="H220" s="2170">
        <v>-63814.215560000004</v>
      </c>
      <c r="I220" s="1924">
        <f t="shared" si="18"/>
        <v>-63813.135510000007</v>
      </c>
      <c r="J220" s="2170">
        <v>0</v>
      </c>
      <c r="K220" s="2171">
        <v>0</v>
      </c>
      <c r="L220" s="2170">
        <v>0</v>
      </c>
      <c r="M220" s="1924">
        <f t="shared" si="19"/>
        <v>0</v>
      </c>
    </row>
    <row r="221" spans="1:39">
      <c r="A221" s="662"/>
      <c r="B221" s="2111" t="s">
        <v>391</v>
      </c>
      <c r="C221" s="2179"/>
      <c r="D221" s="2180">
        <f t="shared" si="20"/>
        <v>915.34514000000001</v>
      </c>
      <c r="E221" s="2171">
        <v>0</v>
      </c>
      <c r="F221" s="2170">
        <v>0</v>
      </c>
      <c r="G221" s="2171">
        <v>0</v>
      </c>
      <c r="H221" s="2170">
        <v>915.34514000000001</v>
      </c>
      <c r="I221" s="1924">
        <f t="shared" si="18"/>
        <v>915.34514000000001</v>
      </c>
      <c r="J221" s="2170">
        <v>0</v>
      </c>
      <c r="K221" s="2171">
        <v>0</v>
      </c>
      <c r="L221" s="2170">
        <v>0</v>
      </c>
      <c r="M221" s="1924">
        <f t="shared" si="19"/>
        <v>0</v>
      </c>
    </row>
    <row r="222" spans="1:39">
      <c r="A222" s="662"/>
      <c r="B222" s="2111"/>
      <c r="C222" s="2179"/>
      <c r="D222" s="2180">
        <f t="shared" si="20"/>
        <v>0</v>
      </c>
      <c r="E222" s="2171"/>
      <c r="F222" s="2170"/>
      <c r="G222" s="2171"/>
      <c r="H222" s="2170"/>
      <c r="I222" s="1924">
        <f t="shared" si="18"/>
        <v>0</v>
      </c>
      <c r="J222" s="2170"/>
      <c r="K222" s="2171"/>
      <c r="L222" s="2170"/>
      <c r="M222" s="1924">
        <f t="shared" si="19"/>
        <v>0</v>
      </c>
    </row>
    <row r="223" spans="1:39" s="870" customFormat="1">
      <c r="A223" s="662"/>
      <c r="B223" s="2121" t="s">
        <v>354</v>
      </c>
      <c r="C223" s="2181"/>
      <c r="D223" s="2180">
        <f t="shared" si="20"/>
        <v>23471829.58433</v>
      </c>
      <c r="E223" s="2171">
        <f>E210+E212</f>
        <v>1567303.6059099999</v>
      </c>
      <c r="F223" s="2170">
        <f>F210+F212</f>
        <v>0</v>
      </c>
      <c r="G223" s="2171">
        <f>G210+G212</f>
        <v>145676.90031</v>
      </c>
      <c r="H223" s="2170">
        <f>H210+H212</f>
        <v>20343183.202160001</v>
      </c>
      <c r="I223" s="1924">
        <f t="shared" si="18"/>
        <v>20488860.102469999</v>
      </c>
      <c r="J223" s="2170">
        <f>J210+J212</f>
        <v>731089.47594999988</v>
      </c>
      <c r="K223" s="2171">
        <f>K210+K212</f>
        <v>4743.3999999999996</v>
      </c>
      <c r="L223" s="2170">
        <f>L210+L212</f>
        <v>679833</v>
      </c>
      <c r="M223" s="1924">
        <f t="shared" si="19"/>
        <v>1415665.8759499998</v>
      </c>
      <c r="N223"/>
      <c r="O223"/>
      <c r="P223"/>
      <c r="Q223"/>
      <c r="R223"/>
      <c r="S223"/>
      <c r="T223"/>
      <c r="U223"/>
      <c r="V223"/>
      <c r="W223"/>
      <c r="X223"/>
      <c r="Y223"/>
      <c r="Z223"/>
      <c r="AA223"/>
      <c r="AB223"/>
      <c r="AC223"/>
      <c r="AD223"/>
      <c r="AE223"/>
      <c r="AF223"/>
      <c r="AG223"/>
      <c r="AH223"/>
      <c r="AI223"/>
      <c r="AJ223"/>
      <c r="AK223"/>
      <c r="AL223"/>
      <c r="AM223"/>
    </row>
    <row r="224" spans="1:39">
      <c r="A224" s="662"/>
      <c r="B224" s="2121"/>
      <c r="C224" s="2181"/>
      <c r="D224" s="2180">
        <f t="shared" si="20"/>
        <v>0</v>
      </c>
      <c r="E224" s="2171"/>
      <c r="F224" s="2170"/>
      <c r="G224" s="2171"/>
      <c r="H224" s="2170"/>
      <c r="I224" s="1924">
        <f t="shared" si="18"/>
        <v>0</v>
      </c>
      <c r="J224" s="2170"/>
      <c r="K224" s="2171"/>
      <c r="L224" s="2170"/>
      <c r="M224" s="1924"/>
    </row>
    <row r="225" spans="1:39">
      <c r="A225" s="662"/>
      <c r="B225" s="2111" t="s">
        <v>355</v>
      </c>
      <c r="C225" s="2179"/>
      <c r="D225" s="2180">
        <f t="shared" si="20"/>
        <v>5100583.8926100004</v>
      </c>
      <c r="E225" s="2067">
        <v>0</v>
      </c>
      <c r="F225" s="2079">
        <v>0</v>
      </c>
      <c r="G225" s="2067">
        <v>64183</v>
      </c>
      <c r="H225" s="2066">
        <v>4135751.89261</v>
      </c>
      <c r="I225" s="1924">
        <f t="shared" si="18"/>
        <v>4199934.8926100004</v>
      </c>
      <c r="J225" s="2066">
        <v>900649</v>
      </c>
      <c r="K225" s="2067"/>
      <c r="L225" s="2066"/>
      <c r="M225" s="1924">
        <f t="shared" ref="M225:M243" si="21">L225+K225+J225</f>
        <v>900649</v>
      </c>
    </row>
    <row r="226" spans="1:39">
      <c r="A226" s="662"/>
      <c r="B226" s="2111" t="s">
        <v>356</v>
      </c>
      <c r="C226" s="2179"/>
      <c r="D226" s="2180">
        <f t="shared" si="20"/>
        <v>-328774.39659999998</v>
      </c>
      <c r="E226" s="2067">
        <v>0</v>
      </c>
      <c r="F226" s="2079">
        <v>0</v>
      </c>
      <c r="G226" s="2067">
        <v>-3441</v>
      </c>
      <c r="H226" s="2066">
        <v>-291383.39659999998</v>
      </c>
      <c r="I226" s="1924">
        <f t="shared" si="18"/>
        <v>-294824.39659999998</v>
      </c>
      <c r="J226" s="2066">
        <v>-33950</v>
      </c>
      <c r="K226" s="2067"/>
      <c r="L226" s="2066"/>
      <c r="M226" s="1924">
        <f t="shared" si="21"/>
        <v>-33950</v>
      </c>
    </row>
    <row r="227" spans="1:39">
      <c r="A227" s="662"/>
      <c r="B227" s="2111" t="s">
        <v>357</v>
      </c>
      <c r="C227" s="2179"/>
      <c r="D227" s="2180">
        <f t="shared" si="20"/>
        <v>6766302</v>
      </c>
      <c r="E227" s="2067">
        <v>0</v>
      </c>
      <c r="F227" s="2079">
        <v>0</v>
      </c>
      <c r="G227" s="2067">
        <v>11807</v>
      </c>
      <c r="H227" s="2066">
        <v>7115406</v>
      </c>
      <c r="I227" s="1924">
        <f t="shared" si="18"/>
        <v>7127213</v>
      </c>
      <c r="J227" s="2066">
        <v>-360911</v>
      </c>
      <c r="K227" s="2067"/>
      <c r="L227" s="2066"/>
      <c r="M227" s="1924">
        <f t="shared" si="21"/>
        <v>-360911</v>
      </c>
    </row>
    <row r="228" spans="1:39" ht="13.5" customHeight="1">
      <c r="A228" s="662"/>
      <c r="B228" s="2122" t="s">
        <v>358</v>
      </c>
      <c r="C228" s="2179"/>
      <c r="D228" s="2180">
        <f t="shared" si="20"/>
        <v>0</v>
      </c>
      <c r="E228" s="2067">
        <v>0</v>
      </c>
      <c r="F228" s="2079">
        <v>0</v>
      </c>
      <c r="G228" s="2067">
        <v>0</v>
      </c>
      <c r="H228" s="2066">
        <v>0</v>
      </c>
      <c r="I228" s="1924">
        <f t="shared" si="18"/>
        <v>0</v>
      </c>
      <c r="J228" s="2066">
        <v>0</v>
      </c>
      <c r="K228" s="2067"/>
      <c r="L228" s="2066"/>
      <c r="M228" s="1924">
        <f t="shared" si="21"/>
        <v>0</v>
      </c>
    </row>
    <row r="229" spans="1:39">
      <c r="A229" s="662"/>
      <c r="B229" s="2111" t="s">
        <v>359</v>
      </c>
      <c r="C229" s="2179"/>
      <c r="D229" s="2180">
        <f t="shared" si="20"/>
        <v>0</v>
      </c>
      <c r="E229" s="2067">
        <v>-1129751</v>
      </c>
      <c r="F229" s="2079">
        <v>0</v>
      </c>
      <c r="G229" s="2080">
        <v>0</v>
      </c>
      <c r="H229" s="2079">
        <v>1008905</v>
      </c>
      <c r="I229" s="1924">
        <f t="shared" si="18"/>
        <v>1008905</v>
      </c>
      <c r="J229" s="2066">
        <v>120846</v>
      </c>
      <c r="K229" s="2067"/>
      <c r="L229" s="2066"/>
      <c r="M229" s="1924">
        <f t="shared" si="21"/>
        <v>120846</v>
      </c>
    </row>
    <row r="230" spans="1:39">
      <c r="A230" s="662"/>
      <c r="B230" s="2111" t="s">
        <v>360</v>
      </c>
      <c r="C230" s="2179"/>
      <c r="D230" s="2180">
        <f t="shared" si="20"/>
        <v>0</v>
      </c>
      <c r="E230" s="2067">
        <v>0</v>
      </c>
      <c r="F230" s="2079">
        <v>0</v>
      </c>
      <c r="G230" s="2080">
        <v>0</v>
      </c>
      <c r="H230" s="2079">
        <v>0</v>
      </c>
      <c r="I230" s="1924">
        <f t="shared" si="18"/>
        <v>0</v>
      </c>
      <c r="J230" s="2066">
        <v>0</v>
      </c>
      <c r="K230" s="2067"/>
      <c r="L230" s="2066"/>
      <c r="M230" s="1924">
        <f t="shared" si="21"/>
        <v>0</v>
      </c>
    </row>
    <row r="231" spans="1:39" s="870" customFormat="1">
      <c r="A231" s="662"/>
      <c r="B231" s="2121" t="s">
        <v>361</v>
      </c>
      <c r="C231" s="2181"/>
      <c r="D231" s="2180">
        <f t="shared" si="20"/>
        <v>11538111.49601</v>
      </c>
      <c r="E231" s="2171">
        <f>SUM(E225:E230)</f>
        <v>-1129751</v>
      </c>
      <c r="F231" s="2170">
        <f>SUM(F225:F230)</f>
        <v>0</v>
      </c>
      <c r="G231" s="2171">
        <f>SUM(G225:G230)</f>
        <v>72549</v>
      </c>
      <c r="H231" s="2170">
        <f>SUM(H225:H230)</f>
        <v>11968679.49601</v>
      </c>
      <c r="I231" s="1924">
        <f t="shared" si="18"/>
        <v>12041228.49601</v>
      </c>
      <c r="J231" s="2170">
        <f>SUM(J225:J230)</f>
        <v>626634</v>
      </c>
      <c r="K231" s="2171">
        <f>SUM(K225:K230)</f>
        <v>0</v>
      </c>
      <c r="L231" s="2170">
        <f>SUM(L225:L230)</f>
        <v>0</v>
      </c>
      <c r="M231" s="1924">
        <f t="shared" si="21"/>
        <v>626634</v>
      </c>
      <c r="N231"/>
      <c r="O231"/>
      <c r="P231"/>
      <c r="Q231"/>
      <c r="R231"/>
      <c r="S231"/>
      <c r="T231"/>
      <c r="U231"/>
      <c r="V231"/>
      <c r="W231"/>
      <c r="X231"/>
      <c r="Y231"/>
      <c r="Z231"/>
      <c r="AA231"/>
      <c r="AB231"/>
      <c r="AC231"/>
      <c r="AD231"/>
      <c r="AE231"/>
      <c r="AF231"/>
      <c r="AG231"/>
      <c r="AH231"/>
      <c r="AI231"/>
      <c r="AJ231"/>
      <c r="AK231"/>
      <c r="AL231"/>
      <c r="AM231"/>
    </row>
    <row r="232" spans="1:39">
      <c r="A232" s="662"/>
      <c r="B232" s="2111"/>
      <c r="C232" s="2179"/>
      <c r="D232" s="2180">
        <f t="shared" si="20"/>
        <v>0</v>
      </c>
      <c r="E232" s="2171"/>
      <c r="F232" s="2170"/>
      <c r="G232" s="2171"/>
      <c r="H232" s="2170"/>
      <c r="I232" s="1924">
        <f t="shared" si="18"/>
        <v>0</v>
      </c>
      <c r="J232" s="2170"/>
      <c r="K232" s="2171"/>
      <c r="L232" s="2170"/>
      <c r="M232" s="1924">
        <f t="shared" si="21"/>
        <v>0</v>
      </c>
    </row>
    <row r="233" spans="1:39" ht="26.45">
      <c r="A233" s="662"/>
      <c r="B233" s="2122" t="s">
        <v>362</v>
      </c>
      <c r="C233" s="2179"/>
      <c r="D233" s="2180">
        <f t="shared" si="20"/>
        <v>2088962.65751</v>
      </c>
      <c r="E233" s="2067">
        <v>0</v>
      </c>
      <c r="F233" s="2066">
        <v>0</v>
      </c>
      <c r="G233" s="2067">
        <v>18496.900310000001</v>
      </c>
      <c r="H233" s="2066">
        <v>2046509.5514100001</v>
      </c>
      <c r="I233" s="1924">
        <f t="shared" si="18"/>
        <v>2065006.45172</v>
      </c>
      <c r="J233" s="2176">
        <v>23956.20579</v>
      </c>
      <c r="K233" s="2171">
        <v>0</v>
      </c>
      <c r="L233" s="2170">
        <v>0</v>
      </c>
      <c r="M233" s="1924">
        <f t="shared" si="21"/>
        <v>23956.20579</v>
      </c>
    </row>
    <row r="234" spans="1:39">
      <c r="A234" s="662"/>
      <c r="B234" s="2111"/>
      <c r="C234" s="2179"/>
      <c r="D234" s="2180">
        <f t="shared" si="20"/>
        <v>0</v>
      </c>
      <c r="E234" s="2171"/>
      <c r="F234" s="2170"/>
      <c r="G234" s="2171"/>
      <c r="H234" s="2170"/>
      <c r="I234" s="1924">
        <f t="shared" si="18"/>
        <v>0</v>
      </c>
      <c r="J234" s="2170"/>
      <c r="K234" s="2171"/>
      <c r="L234" s="2170"/>
      <c r="M234" s="1924">
        <f t="shared" si="21"/>
        <v>0</v>
      </c>
    </row>
    <row r="235" spans="1:39" ht="15.75" customHeight="1">
      <c r="A235" s="662"/>
      <c r="B235" s="2122" t="s">
        <v>363</v>
      </c>
      <c r="C235" s="2179">
        <v>4</v>
      </c>
      <c r="D235" s="2180">
        <f t="shared" si="20"/>
        <v>6545042.5</v>
      </c>
      <c r="E235" s="2067">
        <v>129928.5</v>
      </c>
      <c r="F235" s="2066">
        <v>0</v>
      </c>
      <c r="G235" s="2067">
        <v>54631</v>
      </c>
      <c r="H235" s="2066">
        <v>6222600</v>
      </c>
      <c r="I235" s="1924">
        <f t="shared" si="18"/>
        <v>6277231</v>
      </c>
      <c r="J235" s="2066">
        <v>80499</v>
      </c>
      <c r="K235" s="2067">
        <v>1101</v>
      </c>
      <c r="L235" s="2066">
        <v>56283</v>
      </c>
      <c r="M235" s="1924">
        <f t="shared" si="21"/>
        <v>137883</v>
      </c>
    </row>
    <row r="236" spans="1:39">
      <c r="A236" s="662"/>
      <c r="B236" s="2111" t="s">
        <v>364</v>
      </c>
      <c r="C236" s="2112"/>
      <c r="D236" s="2180">
        <f t="shared" si="20"/>
        <v>627193</v>
      </c>
      <c r="E236" s="2067">
        <v>0</v>
      </c>
      <c r="F236" s="2066">
        <v>0</v>
      </c>
      <c r="G236" s="2067">
        <v>0</v>
      </c>
      <c r="H236" s="2066">
        <v>0</v>
      </c>
      <c r="I236" s="1924">
        <f t="shared" si="18"/>
        <v>0</v>
      </c>
      <c r="J236" s="2066">
        <v>0</v>
      </c>
      <c r="K236" s="2067">
        <v>3642</v>
      </c>
      <c r="L236" s="2066">
        <v>623551</v>
      </c>
      <c r="M236" s="1924">
        <f t="shared" si="21"/>
        <v>627193</v>
      </c>
    </row>
    <row r="237" spans="1:39">
      <c r="A237" s="662"/>
      <c r="B237" s="2111" t="s">
        <v>365</v>
      </c>
      <c r="C237" s="2179"/>
      <c r="D237" s="2180">
        <f t="shared" si="20"/>
        <v>105393.3</v>
      </c>
      <c r="E237" s="2067">
        <v>0</v>
      </c>
      <c r="F237" s="2066">
        <v>0</v>
      </c>
      <c r="G237" s="2067">
        <v>0</v>
      </c>
      <c r="H237" s="2066">
        <v>105393.3</v>
      </c>
      <c r="I237" s="1924">
        <f t="shared" si="18"/>
        <v>105393.3</v>
      </c>
      <c r="J237" s="2066">
        <v>0</v>
      </c>
      <c r="K237" s="2067">
        <v>0</v>
      </c>
      <c r="L237" s="2066">
        <v>0</v>
      </c>
      <c r="M237" s="1924">
        <f t="shared" si="21"/>
        <v>0</v>
      </c>
    </row>
    <row r="238" spans="1:39" s="870" customFormat="1">
      <c r="A238" s="662"/>
      <c r="B238" s="2121" t="s">
        <v>366</v>
      </c>
      <c r="C238" s="2181"/>
      <c r="D238" s="2180">
        <f t="shared" si="20"/>
        <v>7277628.7999999998</v>
      </c>
      <c r="E238" s="2171">
        <f>SUM(E235:E237)</f>
        <v>129928.5</v>
      </c>
      <c r="F238" s="2170">
        <f>SUM(F235:F237)</f>
        <v>0</v>
      </c>
      <c r="G238" s="2171">
        <f>SUM(G235:G237)</f>
        <v>54631</v>
      </c>
      <c r="H238" s="2170">
        <f>SUM(H235:H237)</f>
        <v>6327993.2999999998</v>
      </c>
      <c r="I238" s="1924">
        <f t="shared" si="18"/>
        <v>6382624.2999999998</v>
      </c>
      <c r="J238" s="2170">
        <f>SUM(J235:J237)</f>
        <v>80499</v>
      </c>
      <c r="K238" s="2171">
        <f>SUM(K235:K237)</f>
        <v>4743</v>
      </c>
      <c r="L238" s="2170">
        <f>SUM(L235:L237)</f>
        <v>679834</v>
      </c>
      <c r="M238" s="1924">
        <f t="shared" si="21"/>
        <v>765076</v>
      </c>
      <c r="N238"/>
      <c r="O238"/>
      <c r="P238"/>
      <c r="Q238"/>
      <c r="R238"/>
      <c r="S238"/>
      <c r="T238"/>
      <c r="U238"/>
      <c r="V238"/>
      <c r="W238"/>
      <c r="X238"/>
      <c r="Y238"/>
      <c r="Z238"/>
      <c r="AA238"/>
      <c r="AB238"/>
      <c r="AC238"/>
      <c r="AD238"/>
      <c r="AE238"/>
      <c r="AF238"/>
      <c r="AG238"/>
      <c r="AH238"/>
      <c r="AI238"/>
      <c r="AJ238"/>
      <c r="AK238"/>
      <c r="AL238"/>
      <c r="AM238"/>
    </row>
    <row r="239" spans="1:39">
      <c r="A239" s="662"/>
      <c r="B239" s="2121"/>
      <c r="C239" s="2181"/>
      <c r="D239" s="2180">
        <f t="shared" si="20"/>
        <v>0</v>
      </c>
      <c r="E239" s="2171"/>
      <c r="F239" s="2170"/>
      <c r="G239" s="2171"/>
      <c r="H239" s="2170"/>
      <c r="I239" s="1924">
        <f t="shared" si="18"/>
        <v>0</v>
      </c>
      <c r="J239" s="2170"/>
      <c r="K239" s="2171"/>
      <c r="L239" s="2170"/>
      <c r="M239" s="1924">
        <f t="shared" si="21"/>
        <v>0</v>
      </c>
    </row>
    <row r="240" spans="1:39" s="870" customFormat="1">
      <c r="A240" s="662"/>
      <c r="B240" s="2121" t="s">
        <v>367</v>
      </c>
      <c r="C240" s="2181"/>
      <c r="D240" s="2180">
        <f t="shared" si="20"/>
        <v>2567126.6308100009</v>
      </c>
      <c r="E240" s="2171">
        <f>E223-E231-E233-E238</f>
        <v>2567126.1059099999</v>
      </c>
      <c r="F240" s="2170">
        <f>F223-F231-F233-F238</f>
        <v>0</v>
      </c>
      <c r="G240" s="2171">
        <f>G223-G231-G233-G238</f>
        <v>0</v>
      </c>
      <c r="H240" s="2170">
        <f>H223-H231-H233-H238</f>
        <v>0.85474000126123428</v>
      </c>
      <c r="I240" s="1924">
        <f>F240+G240+H240</f>
        <v>0.85474000126123428</v>
      </c>
      <c r="J240" s="2170">
        <f>J223-J231-J233-J238</f>
        <v>0.27015999986906536</v>
      </c>
      <c r="K240" s="2171">
        <f>K223-K231-K233-K238</f>
        <v>0.3999999999996362</v>
      </c>
      <c r="L240" s="2170">
        <f>L223-L231-L233-L238</f>
        <v>-1</v>
      </c>
      <c r="M240" s="1924">
        <f t="shared" si="21"/>
        <v>-0.32984000013129844</v>
      </c>
      <c r="N240"/>
      <c r="O240"/>
      <c r="P240"/>
      <c r="Q240"/>
      <c r="R240"/>
      <c r="S240"/>
      <c r="T240"/>
      <c r="U240"/>
      <c r="V240"/>
      <c r="W240"/>
      <c r="X240"/>
      <c r="Y240"/>
      <c r="Z240"/>
      <c r="AA240"/>
      <c r="AB240"/>
      <c r="AC240"/>
      <c r="AD240"/>
      <c r="AE240"/>
      <c r="AF240"/>
      <c r="AG240"/>
      <c r="AH240"/>
      <c r="AI240"/>
      <c r="AJ240"/>
      <c r="AK240"/>
      <c r="AL240"/>
      <c r="AM240"/>
    </row>
    <row r="241" spans="1:39">
      <c r="A241" s="662"/>
      <c r="B241" s="2111" t="s">
        <v>368</v>
      </c>
      <c r="C241" s="2179"/>
      <c r="D241" s="2180">
        <f t="shared" si="20"/>
        <v>796416</v>
      </c>
      <c r="E241" s="2175">
        <v>796416</v>
      </c>
      <c r="F241" s="2066"/>
      <c r="G241" s="2067"/>
      <c r="H241" s="2066"/>
      <c r="I241" s="1924">
        <f t="shared" si="18"/>
        <v>0</v>
      </c>
      <c r="J241" s="2066"/>
      <c r="K241" s="2067"/>
      <c r="L241" s="2066"/>
      <c r="M241" s="1924">
        <f t="shared" si="21"/>
        <v>0</v>
      </c>
    </row>
    <row r="242" spans="1:39">
      <c r="A242" s="662"/>
      <c r="B242" s="2111"/>
      <c r="C242" s="2179"/>
      <c r="D242" s="3144">
        <f t="shared" si="20"/>
        <v>0</v>
      </c>
      <c r="E242" s="2177"/>
      <c r="F242" s="882"/>
      <c r="G242" s="2177"/>
      <c r="H242" s="882"/>
      <c r="I242" s="2139">
        <f t="shared" si="18"/>
        <v>0</v>
      </c>
      <c r="J242" s="882"/>
      <c r="K242" s="2177"/>
      <c r="L242" s="882"/>
      <c r="M242" s="2139">
        <f t="shared" si="21"/>
        <v>0</v>
      </c>
    </row>
    <row r="243" spans="1:39" s="870" customFormat="1" ht="15" thickBot="1">
      <c r="A243" s="662"/>
      <c r="B243" s="1347" t="s">
        <v>369</v>
      </c>
      <c r="C243" s="1358"/>
      <c r="D243" s="1393">
        <f t="shared" si="20"/>
        <v>1770710.6308100012</v>
      </c>
      <c r="E243" s="1354">
        <f>E240-E241</f>
        <v>1770710.1059099999</v>
      </c>
      <c r="F243" s="1363">
        <f>F240-F241</f>
        <v>0</v>
      </c>
      <c r="G243" s="1354">
        <f>G240-G241</f>
        <v>0</v>
      </c>
      <c r="H243" s="1363">
        <f>H240-H241</f>
        <v>0.85474000126123428</v>
      </c>
      <c r="I243" s="1354">
        <f t="shared" si="18"/>
        <v>0.85474000126123428</v>
      </c>
      <c r="J243" s="1363">
        <f>J240-J241</f>
        <v>0.27015999986906536</v>
      </c>
      <c r="K243" s="1354">
        <f>K240-K241</f>
        <v>0.3999999999996362</v>
      </c>
      <c r="L243" s="1363">
        <f>L240-L241</f>
        <v>-1</v>
      </c>
      <c r="M243" s="1354">
        <f t="shared" si="21"/>
        <v>-0.32984000013129844</v>
      </c>
      <c r="N243"/>
      <c r="O243"/>
      <c r="P243"/>
      <c r="Q243"/>
      <c r="R243"/>
      <c r="S243"/>
      <c r="T243"/>
      <c r="U243"/>
      <c r="V243"/>
      <c r="W243"/>
      <c r="X243"/>
      <c r="Y243"/>
      <c r="Z243"/>
      <c r="AA243"/>
      <c r="AB243"/>
      <c r="AC243"/>
      <c r="AD243"/>
      <c r="AE243"/>
      <c r="AF243"/>
      <c r="AG243"/>
      <c r="AH243"/>
      <c r="AI243"/>
      <c r="AJ243"/>
      <c r="AK243"/>
      <c r="AL243"/>
      <c r="AM243"/>
    </row>
    <row r="244" spans="1:39">
      <c r="A244" s="662"/>
      <c r="B244" s="662"/>
      <c r="C244" s="662"/>
      <c r="D244" s="662"/>
      <c r="E244" s="662"/>
      <c r="F244" s="662"/>
      <c r="G244" s="662"/>
      <c r="H244" s="662"/>
      <c r="I244" s="662"/>
      <c r="J244" s="662"/>
      <c r="K244" s="662"/>
      <c r="L244" s="662"/>
      <c r="M244" s="662"/>
    </row>
    <row r="245" spans="1:39">
      <c r="A245" s="662"/>
      <c r="B245" s="662"/>
      <c r="C245" s="662"/>
      <c r="D245" s="662"/>
      <c r="E245" s="662"/>
      <c r="F245" s="662"/>
      <c r="G245" s="662"/>
      <c r="H245" s="662"/>
      <c r="I245" s="662"/>
      <c r="J245" s="662"/>
      <c r="K245" s="662"/>
      <c r="L245" s="662"/>
    </row>
    <row r="246" spans="1:39">
      <c r="B246"/>
      <c r="C246"/>
      <c r="D246"/>
      <c r="E246"/>
      <c r="F246"/>
      <c r="G246"/>
      <c r="H246"/>
      <c r="I246"/>
      <c r="J246"/>
      <c r="K246"/>
      <c r="L246"/>
      <c r="M246"/>
    </row>
    <row r="247" spans="1:39" ht="15" thickBot="1"/>
    <row r="248" spans="1:39" ht="17.25" customHeight="1" thickBot="1">
      <c r="A248" s="1153" t="s">
        <v>182</v>
      </c>
      <c r="B248" s="1153" t="s">
        <v>320</v>
      </c>
      <c r="C248" s="873"/>
      <c r="D248" s="662"/>
      <c r="E248" s="662"/>
      <c r="F248" s="662"/>
      <c r="G248" s="662"/>
      <c r="H248" s="662"/>
      <c r="I248" s="662"/>
      <c r="J248" s="662"/>
      <c r="K248" s="662"/>
      <c r="L248" s="3292"/>
      <c r="M248" s="3292" t="s">
        <v>257</v>
      </c>
    </row>
    <row r="249" spans="1:39" ht="17.25" customHeight="1" thickBot="1">
      <c r="A249" s="662"/>
      <c r="B249" s="3331" t="s">
        <v>320</v>
      </c>
      <c r="C249" s="3280" t="s">
        <v>334</v>
      </c>
      <c r="D249" s="3283" t="s">
        <v>260</v>
      </c>
      <c r="E249" s="3283" t="s">
        <v>335</v>
      </c>
      <c r="F249" s="3335" t="s">
        <v>263</v>
      </c>
      <c r="G249" s="3335"/>
      <c r="H249" s="3335"/>
      <c r="I249" s="3335"/>
      <c r="J249" s="3335"/>
      <c r="K249" s="3335"/>
      <c r="L249" s="3335"/>
      <c r="M249" s="3335"/>
    </row>
    <row r="250" spans="1:39" ht="17.25" customHeight="1" thickBot="1">
      <c r="A250" s="662"/>
      <c r="B250" s="3327"/>
      <c r="C250" s="3281"/>
      <c r="D250" s="3284"/>
      <c r="E250" s="3284"/>
      <c r="F250" s="3332" t="s">
        <v>264</v>
      </c>
      <c r="G250" s="3333"/>
      <c r="H250" s="3333"/>
      <c r="I250" s="3334"/>
      <c r="J250" s="3335" t="s">
        <v>336</v>
      </c>
      <c r="K250" s="3335"/>
      <c r="L250" s="3335"/>
      <c r="M250" s="3335"/>
    </row>
    <row r="251" spans="1:39" ht="66.599999999999994" thickBot="1">
      <c r="A251" s="662"/>
      <c r="B251" s="3327"/>
      <c r="C251" s="3281"/>
      <c r="D251" s="3285"/>
      <c r="E251" s="3285"/>
      <c r="F251" s="2963" t="s">
        <v>267</v>
      </c>
      <c r="G251" s="2963" t="s">
        <v>268</v>
      </c>
      <c r="H251" s="2963" t="s">
        <v>269</v>
      </c>
      <c r="I251" s="2963" t="s">
        <v>160</v>
      </c>
      <c r="J251" s="2964" t="s">
        <v>337</v>
      </c>
      <c r="K251" s="2964" t="s">
        <v>271</v>
      </c>
      <c r="L251" s="2964" t="s">
        <v>338</v>
      </c>
      <c r="M251" s="2964" t="s">
        <v>160</v>
      </c>
    </row>
    <row r="252" spans="1:39" ht="17.25" customHeight="1" thickBot="1">
      <c r="A252" s="662"/>
      <c r="B252" s="3327"/>
      <c r="C252" s="3281"/>
      <c r="D252" s="2972">
        <v>1</v>
      </c>
      <c r="E252" s="3283">
        <v>2</v>
      </c>
      <c r="F252" s="3283">
        <v>3</v>
      </c>
      <c r="G252" s="3283">
        <v>4</v>
      </c>
      <c r="H252" s="2963"/>
      <c r="I252" s="2972">
        <v>6</v>
      </c>
      <c r="J252" s="3283">
        <v>7</v>
      </c>
      <c r="K252" s="3283">
        <v>8</v>
      </c>
      <c r="L252" s="3283">
        <v>9</v>
      </c>
      <c r="M252" s="2972">
        <v>10</v>
      </c>
    </row>
    <row r="253" spans="1:39" ht="15" thickBot="1">
      <c r="A253" s="662"/>
      <c r="B253" s="3328"/>
      <c r="C253" s="3282"/>
      <c r="D253" s="1327" t="s">
        <v>339</v>
      </c>
      <c r="E253" s="3285"/>
      <c r="F253" s="3285"/>
      <c r="G253" s="3285"/>
      <c r="H253" s="1327">
        <v>5</v>
      </c>
      <c r="I253" s="1327" t="s">
        <v>340</v>
      </c>
      <c r="J253" s="3285"/>
      <c r="K253" s="3285"/>
      <c r="L253" s="3285"/>
      <c r="M253" s="1327" t="s">
        <v>341</v>
      </c>
    </row>
    <row r="254" spans="1:39">
      <c r="A254" s="662"/>
      <c r="B254" s="1345" t="s">
        <v>342</v>
      </c>
      <c r="C254" s="2182"/>
      <c r="D254" s="1357">
        <f t="shared" ref="D254:D291" si="22">E254+I254+M254</f>
        <v>929830.47899000009</v>
      </c>
      <c r="E254" s="890"/>
      <c r="F254" s="891"/>
      <c r="G254" s="890">
        <v>80050.433739999993</v>
      </c>
      <c r="H254" s="892"/>
      <c r="I254" s="1207">
        <f t="shared" ref="I254:I291" si="23">F254+G254+H254</f>
        <v>80050.433739999993</v>
      </c>
      <c r="J254" s="892">
        <v>189379.8229</v>
      </c>
      <c r="K254" s="890"/>
      <c r="L254" s="892">
        <v>660400.22235000005</v>
      </c>
      <c r="M254" s="1207">
        <f t="shared" ref="M254:M271" si="24">L254+K254+J254</f>
        <v>849780.04525000008</v>
      </c>
    </row>
    <row r="255" spans="1:39">
      <c r="A255" s="662"/>
      <c r="B255" s="2111"/>
      <c r="C255" s="2182"/>
      <c r="D255" s="2136">
        <f t="shared" si="22"/>
        <v>0</v>
      </c>
      <c r="E255" s="2067"/>
      <c r="F255" s="2079"/>
      <c r="G255" s="2067"/>
      <c r="H255" s="2066"/>
      <c r="I255" s="1924">
        <f t="shared" si="23"/>
        <v>0</v>
      </c>
      <c r="J255" s="2066"/>
      <c r="K255" s="2067"/>
      <c r="L255" s="2066"/>
      <c r="M255" s="1924">
        <f t="shared" si="24"/>
        <v>0</v>
      </c>
    </row>
    <row r="256" spans="1:39">
      <c r="A256" s="662"/>
      <c r="B256" s="2116" t="s">
        <v>343</v>
      </c>
      <c r="C256" s="2182"/>
      <c r="D256" s="2136">
        <f t="shared" si="22"/>
        <v>45275.120999999999</v>
      </c>
      <c r="E256" s="2067"/>
      <c r="F256" s="2079"/>
      <c r="G256" s="2067">
        <v>12468.052</v>
      </c>
      <c r="H256" s="2066"/>
      <c r="I256" s="1924">
        <f t="shared" si="23"/>
        <v>12468.052</v>
      </c>
      <c r="J256" s="2066">
        <v>32807.069000000003</v>
      </c>
      <c r="K256" s="2067"/>
      <c r="L256" s="2066"/>
      <c r="M256" s="1924">
        <f t="shared" si="24"/>
        <v>32807.069000000003</v>
      </c>
    </row>
    <row r="257" spans="1:39">
      <c r="A257" s="662"/>
      <c r="B257" s="2116"/>
      <c r="C257" s="2182"/>
      <c r="D257" s="2136">
        <f t="shared" si="22"/>
        <v>0</v>
      </c>
      <c r="E257" s="2067"/>
      <c r="F257" s="2079"/>
      <c r="G257" s="2067"/>
      <c r="H257" s="2066"/>
      <c r="I257" s="1924">
        <f t="shared" si="23"/>
        <v>0</v>
      </c>
      <c r="J257" s="2066"/>
      <c r="K257" s="2067"/>
      <c r="L257" s="2066"/>
      <c r="M257" s="1924">
        <f t="shared" si="24"/>
        <v>0</v>
      </c>
    </row>
    <row r="258" spans="1:39" ht="14.25" customHeight="1">
      <c r="A258" s="662"/>
      <c r="B258" s="2117" t="s">
        <v>344</v>
      </c>
      <c r="C258" s="2182"/>
      <c r="D258" s="2136">
        <f t="shared" si="22"/>
        <v>-2836.0859999999998</v>
      </c>
      <c r="E258" s="2067"/>
      <c r="F258" s="2079"/>
      <c r="G258" s="2067">
        <v>-2836.0859999999998</v>
      </c>
      <c r="H258" s="2066"/>
      <c r="I258" s="1924">
        <f t="shared" si="23"/>
        <v>-2836.0859999999998</v>
      </c>
      <c r="J258" s="2066"/>
      <c r="K258" s="2067"/>
      <c r="L258" s="2066"/>
      <c r="M258" s="1924">
        <f t="shared" si="24"/>
        <v>0</v>
      </c>
    </row>
    <row r="259" spans="1:39">
      <c r="A259" s="662"/>
      <c r="B259" s="2111"/>
      <c r="C259" s="2182"/>
      <c r="D259" s="2136">
        <f t="shared" si="22"/>
        <v>0</v>
      </c>
      <c r="E259" s="2067"/>
      <c r="F259" s="2079"/>
      <c r="G259" s="2067"/>
      <c r="H259" s="2066"/>
      <c r="I259" s="1924">
        <f t="shared" si="23"/>
        <v>0</v>
      </c>
      <c r="J259" s="2066"/>
      <c r="K259" s="2067"/>
      <c r="L259" s="2066"/>
      <c r="M259" s="1924">
        <f t="shared" si="24"/>
        <v>0</v>
      </c>
    </row>
    <row r="260" spans="1:39" s="870" customFormat="1">
      <c r="A260" s="662"/>
      <c r="B260" s="2118" t="s">
        <v>345</v>
      </c>
      <c r="C260" s="2183"/>
      <c r="D260" s="2136">
        <f t="shared" si="22"/>
        <v>881719.27199000004</v>
      </c>
      <c r="E260" s="2171">
        <f>E254-E256+E258</f>
        <v>0</v>
      </c>
      <c r="F260" s="2170">
        <f>F254-F256+F258</f>
        <v>0</v>
      </c>
      <c r="G260" s="2171">
        <f>G254-G256+G258</f>
        <v>64746.295739999994</v>
      </c>
      <c r="H260" s="2170">
        <f>H254-H256+H258</f>
        <v>0</v>
      </c>
      <c r="I260" s="1924">
        <f t="shared" si="23"/>
        <v>64746.295739999994</v>
      </c>
      <c r="J260" s="2170">
        <f>J254-J256+J258</f>
        <v>156572.75390000001</v>
      </c>
      <c r="K260" s="2171">
        <f>K254-K256+K258</f>
        <v>0</v>
      </c>
      <c r="L260" s="2170">
        <f>L254-L256+L258</f>
        <v>660400.22235000005</v>
      </c>
      <c r="M260" s="1924">
        <f t="shared" si="24"/>
        <v>816972.97625000007</v>
      </c>
      <c r="N260"/>
      <c r="O260"/>
      <c r="P260"/>
      <c r="Q260"/>
      <c r="R260"/>
      <c r="S260"/>
      <c r="T260"/>
      <c r="U260"/>
      <c r="V260"/>
      <c r="W260"/>
      <c r="X260"/>
      <c r="Y260"/>
      <c r="Z260"/>
      <c r="AA260"/>
      <c r="AB260"/>
      <c r="AC260"/>
      <c r="AD260"/>
      <c r="AE260"/>
      <c r="AF260"/>
      <c r="AG260"/>
      <c r="AH260"/>
      <c r="AI260"/>
      <c r="AJ260"/>
      <c r="AK260"/>
      <c r="AL260"/>
      <c r="AM260"/>
    </row>
    <row r="261" spans="1:39">
      <c r="A261" s="662"/>
      <c r="B261" s="2118"/>
      <c r="C261" s="2183"/>
      <c r="D261" s="2136">
        <f t="shared" si="22"/>
        <v>0</v>
      </c>
      <c r="E261" s="2171"/>
      <c r="F261" s="2170"/>
      <c r="G261" s="2171"/>
      <c r="H261" s="2170"/>
      <c r="I261" s="1924">
        <f t="shared" si="23"/>
        <v>0</v>
      </c>
      <c r="J261" s="2170"/>
      <c r="K261" s="2171"/>
      <c r="L261" s="2170"/>
      <c r="M261" s="1924">
        <f t="shared" si="24"/>
        <v>0</v>
      </c>
    </row>
    <row r="262" spans="1:39" s="870" customFormat="1">
      <c r="A262" s="662"/>
      <c r="B262" s="2118" t="s">
        <v>346</v>
      </c>
      <c r="C262" s="2183"/>
      <c r="D262" s="2136">
        <f t="shared" si="22"/>
        <v>262713.89800000004</v>
      </c>
      <c r="E262" s="2171">
        <f>SUM(E263:E267)</f>
        <v>451785.00000000006</v>
      </c>
      <c r="F262" s="2170">
        <f>SUM(F263:F267)</f>
        <v>0</v>
      </c>
      <c r="G262" s="2171">
        <f>SUM(G263:G267)</f>
        <v>2832.8960000000006</v>
      </c>
      <c r="H262" s="2170"/>
      <c r="I262" s="1924">
        <f t="shared" si="23"/>
        <v>2832.8960000000006</v>
      </c>
      <c r="J262" s="2170">
        <f>SUM(J263:J267)</f>
        <v>-61949.483</v>
      </c>
      <c r="K262" s="2171">
        <f>SUM(K263:K267)</f>
        <v>0</v>
      </c>
      <c r="L262" s="2170">
        <f>SUM(L263:L267)</f>
        <v>-129954.51499999998</v>
      </c>
      <c r="M262" s="1924">
        <f t="shared" si="24"/>
        <v>-191903.99799999999</v>
      </c>
      <c r="N262"/>
      <c r="O262"/>
      <c r="P262"/>
      <c r="Q262"/>
      <c r="R262"/>
      <c r="S262"/>
      <c r="T262"/>
      <c r="U262"/>
      <c r="V262"/>
      <c r="W262"/>
      <c r="X262"/>
      <c r="Y262"/>
      <c r="Z262"/>
      <c r="AA262"/>
      <c r="AB262"/>
      <c r="AC262"/>
      <c r="AD262"/>
      <c r="AE262"/>
      <c r="AF262"/>
      <c r="AG262"/>
      <c r="AH262"/>
      <c r="AI262"/>
      <c r="AJ262"/>
      <c r="AK262"/>
      <c r="AL262"/>
      <c r="AM262"/>
    </row>
    <row r="263" spans="1:39">
      <c r="A263" s="662"/>
      <c r="B263" s="2111" t="s">
        <v>347</v>
      </c>
      <c r="C263" s="2182">
        <v>1</v>
      </c>
      <c r="D263" s="2136">
        <f t="shared" si="22"/>
        <v>202511.77600000001</v>
      </c>
      <c r="E263" s="2067">
        <v>21730.216</v>
      </c>
      <c r="F263" s="2079">
        <v>0</v>
      </c>
      <c r="G263" s="2067">
        <v>30215.652000000002</v>
      </c>
      <c r="H263" s="2066">
        <v>0</v>
      </c>
      <c r="I263" s="1924">
        <f t="shared" si="23"/>
        <v>30215.652000000002</v>
      </c>
      <c r="J263" s="2066">
        <v>1575.2750000000001</v>
      </c>
      <c r="K263" s="2067">
        <v>0</v>
      </c>
      <c r="L263" s="2066">
        <v>148990.633</v>
      </c>
      <c r="M263" s="1924">
        <f t="shared" si="24"/>
        <v>150565.908</v>
      </c>
    </row>
    <row r="264" spans="1:39">
      <c r="A264" s="662"/>
      <c r="B264" s="2111" t="s">
        <v>348</v>
      </c>
      <c r="C264" s="2182">
        <v>2</v>
      </c>
      <c r="D264" s="2136">
        <f t="shared" si="22"/>
        <v>0</v>
      </c>
      <c r="E264" s="2067">
        <v>373579.21500000003</v>
      </c>
      <c r="F264" s="2079">
        <v>0</v>
      </c>
      <c r="G264" s="2067">
        <v>-31109.309000000001</v>
      </c>
      <c r="H264" s="2066">
        <v>0</v>
      </c>
      <c r="I264" s="1924">
        <f t="shared" si="23"/>
        <v>-31109.309000000001</v>
      </c>
      <c r="J264" s="2066">
        <v>-63524.758000000002</v>
      </c>
      <c r="K264" s="2067">
        <v>0</v>
      </c>
      <c r="L264" s="2066">
        <v>-278945.14799999999</v>
      </c>
      <c r="M264" s="1924">
        <f t="shared" si="24"/>
        <v>-342469.90599999996</v>
      </c>
    </row>
    <row r="265" spans="1:39">
      <c r="A265" s="662"/>
      <c r="B265" s="2111" t="s">
        <v>349</v>
      </c>
      <c r="C265" s="2182"/>
      <c r="D265" s="2136">
        <f t="shared" si="22"/>
        <v>0</v>
      </c>
      <c r="E265" s="2067"/>
      <c r="F265" s="2079"/>
      <c r="G265" s="2067"/>
      <c r="H265" s="2066"/>
      <c r="I265" s="1924">
        <f t="shared" si="23"/>
        <v>0</v>
      </c>
      <c r="J265" s="2066"/>
      <c r="K265" s="2067"/>
      <c r="L265" s="2066"/>
      <c r="M265" s="1924">
        <f t="shared" si="24"/>
        <v>0</v>
      </c>
    </row>
    <row r="266" spans="1:39">
      <c r="A266" s="662"/>
      <c r="B266" s="2111" t="s">
        <v>350</v>
      </c>
      <c r="C266" s="2182"/>
      <c r="D266" s="2136">
        <f t="shared" si="22"/>
        <v>0</v>
      </c>
      <c r="E266" s="2067"/>
      <c r="F266" s="2079"/>
      <c r="G266" s="2067"/>
      <c r="H266" s="2066"/>
      <c r="I266" s="1924">
        <f t="shared" si="23"/>
        <v>0</v>
      </c>
      <c r="J266" s="2066"/>
      <c r="K266" s="2067"/>
      <c r="L266" s="2066"/>
      <c r="M266" s="1924">
        <f t="shared" si="24"/>
        <v>0</v>
      </c>
    </row>
    <row r="267" spans="1:39">
      <c r="A267" s="662"/>
      <c r="B267" s="2111" t="s">
        <v>351</v>
      </c>
      <c r="C267" s="2182">
        <v>3</v>
      </c>
      <c r="D267" s="2136">
        <f t="shared" si="22"/>
        <v>60202.122000000003</v>
      </c>
      <c r="E267" s="2067">
        <v>56475.569000000003</v>
      </c>
      <c r="F267" s="2079">
        <v>0</v>
      </c>
      <c r="G267" s="2067">
        <v>3726.5529999999999</v>
      </c>
      <c r="H267" s="2066">
        <v>0</v>
      </c>
      <c r="I267" s="1924">
        <f t="shared" si="23"/>
        <v>3726.5529999999999</v>
      </c>
      <c r="J267" s="2066">
        <v>0</v>
      </c>
      <c r="K267" s="2067">
        <v>0</v>
      </c>
      <c r="L267" s="2066">
        <v>0</v>
      </c>
      <c r="M267" s="1924">
        <f t="shared" si="24"/>
        <v>0</v>
      </c>
    </row>
    <row r="268" spans="1:39">
      <c r="A268" s="662"/>
      <c r="B268" s="2111" t="s">
        <v>353</v>
      </c>
      <c r="C268" s="2182"/>
      <c r="D268" s="2136">
        <f t="shared" si="22"/>
        <v>0</v>
      </c>
      <c r="E268" s="2067"/>
      <c r="F268" s="2079"/>
      <c r="G268" s="2067"/>
      <c r="H268" s="2066"/>
      <c r="I268" s="1924">
        <f t="shared" si="23"/>
        <v>0</v>
      </c>
      <c r="J268" s="2066"/>
      <c r="K268" s="2067"/>
      <c r="L268" s="2066"/>
      <c r="M268" s="1924">
        <f t="shared" si="24"/>
        <v>0</v>
      </c>
    </row>
    <row r="269" spans="1:39">
      <c r="A269" s="662"/>
      <c r="B269" s="2111" t="s">
        <v>353</v>
      </c>
      <c r="C269" s="2182"/>
      <c r="D269" s="2136">
        <f t="shared" si="22"/>
        <v>0</v>
      </c>
      <c r="E269" s="2171"/>
      <c r="F269" s="2170"/>
      <c r="G269" s="2171"/>
      <c r="H269" s="2170"/>
      <c r="I269" s="1924">
        <f t="shared" si="23"/>
        <v>0</v>
      </c>
      <c r="J269" s="2170"/>
      <c r="K269" s="2171"/>
      <c r="L269" s="2170"/>
      <c r="M269" s="1924">
        <f t="shared" si="24"/>
        <v>0</v>
      </c>
    </row>
    <row r="270" spans="1:39">
      <c r="A270" s="662"/>
      <c r="B270" s="2111"/>
      <c r="C270" s="2182"/>
      <c r="D270" s="2136">
        <f t="shared" si="22"/>
        <v>0</v>
      </c>
      <c r="E270" s="2171"/>
      <c r="F270" s="2170"/>
      <c r="G270" s="2171"/>
      <c r="H270" s="2170"/>
      <c r="I270" s="1924">
        <f t="shared" si="23"/>
        <v>0</v>
      </c>
      <c r="J270" s="2170"/>
      <c r="K270" s="2171"/>
      <c r="L270" s="2170"/>
      <c r="M270" s="1924">
        <f t="shared" si="24"/>
        <v>0</v>
      </c>
    </row>
    <row r="271" spans="1:39" s="870" customFormat="1">
      <c r="A271" s="662"/>
      <c r="B271" s="2121" t="s">
        <v>354</v>
      </c>
      <c r="C271" s="2183"/>
      <c r="D271" s="2136">
        <f t="shared" si="22"/>
        <v>1144433.1699900001</v>
      </c>
      <c r="E271" s="2171">
        <f>E260+E262</f>
        <v>451785.00000000006</v>
      </c>
      <c r="F271" s="2170">
        <f>F260+F262</f>
        <v>0</v>
      </c>
      <c r="G271" s="2171">
        <f>G260+G262</f>
        <v>67579.191739999995</v>
      </c>
      <c r="H271" s="2170">
        <f>H260+H262</f>
        <v>0</v>
      </c>
      <c r="I271" s="1924">
        <f t="shared" si="23"/>
        <v>67579.191739999995</v>
      </c>
      <c r="J271" s="2170">
        <f>J260+J262</f>
        <v>94623.270900000003</v>
      </c>
      <c r="K271" s="2171">
        <f>K260+K262</f>
        <v>0</v>
      </c>
      <c r="L271" s="2170">
        <f>L260+L262</f>
        <v>530445.70735000004</v>
      </c>
      <c r="M271" s="1924">
        <f t="shared" si="24"/>
        <v>625068.97825000004</v>
      </c>
      <c r="N271"/>
      <c r="O271"/>
      <c r="P271"/>
      <c r="Q271"/>
      <c r="R271"/>
      <c r="S271"/>
      <c r="T271"/>
      <c r="U271"/>
      <c r="V271"/>
      <c r="W271"/>
      <c r="X271"/>
      <c r="Y271"/>
      <c r="Z271"/>
      <c r="AA271"/>
      <c r="AB271"/>
      <c r="AC271"/>
      <c r="AD271"/>
      <c r="AE271"/>
      <c r="AF271"/>
      <c r="AG271"/>
      <c r="AH271"/>
      <c r="AI271"/>
      <c r="AJ271"/>
      <c r="AK271"/>
      <c r="AL271"/>
      <c r="AM271"/>
    </row>
    <row r="272" spans="1:39">
      <c r="A272" s="662"/>
      <c r="B272" s="2121"/>
      <c r="C272" s="2183"/>
      <c r="D272" s="2136">
        <f t="shared" si="22"/>
        <v>0</v>
      </c>
      <c r="E272" s="2171"/>
      <c r="F272" s="2170"/>
      <c r="G272" s="2171"/>
      <c r="H272" s="2170"/>
      <c r="I272" s="1924">
        <f t="shared" si="23"/>
        <v>0</v>
      </c>
      <c r="J272" s="2170"/>
      <c r="K272" s="2171"/>
      <c r="L272" s="2170"/>
      <c r="M272" s="1924"/>
    </row>
    <row r="273" spans="1:39">
      <c r="A273" s="662"/>
      <c r="B273" s="2111" t="s">
        <v>355</v>
      </c>
      <c r="C273" s="2182"/>
      <c r="D273" s="2136">
        <f t="shared" si="22"/>
        <v>445063.18899999995</v>
      </c>
      <c r="E273" s="2067"/>
      <c r="F273" s="2079"/>
      <c r="G273" s="2067">
        <v>110420.349</v>
      </c>
      <c r="H273" s="2066"/>
      <c r="I273" s="1924">
        <f t="shared" si="23"/>
        <v>110420.349</v>
      </c>
      <c r="J273" s="2066">
        <v>63004.247000000003</v>
      </c>
      <c r="K273" s="2067"/>
      <c r="L273" s="2066">
        <v>271638.59299999999</v>
      </c>
      <c r="M273" s="1924">
        <f t="shared" ref="M273:M291" si="25">L273+K273+J273</f>
        <v>334642.83999999997</v>
      </c>
    </row>
    <row r="274" spans="1:39">
      <c r="A274" s="662"/>
      <c r="B274" s="2111" t="s">
        <v>356</v>
      </c>
      <c r="C274" s="2182"/>
      <c r="D274" s="2136">
        <f t="shared" si="22"/>
        <v>-18026.788</v>
      </c>
      <c r="E274" s="2067"/>
      <c r="F274" s="2079"/>
      <c r="G274" s="2067">
        <v>-1758.3</v>
      </c>
      <c r="H274" s="2066"/>
      <c r="I274" s="1924">
        <f t="shared" si="23"/>
        <v>-1758.3</v>
      </c>
      <c r="J274" s="2066">
        <v>-16268.487999999999</v>
      </c>
      <c r="K274" s="2067"/>
      <c r="L274" s="2066"/>
      <c r="M274" s="1924">
        <f t="shared" si="25"/>
        <v>-16268.487999999999</v>
      </c>
    </row>
    <row r="275" spans="1:39">
      <c r="A275" s="662"/>
      <c r="B275" s="2111" t="s">
        <v>357</v>
      </c>
      <c r="C275" s="2182"/>
      <c r="D275" s="2136">
        <f t="shared" si="22"/>
        <v>0</v>
      </c>
      <c r="E275" s="2067"/>
      <c r="F275" s="2079"/>
      <c r="G275" s="2067"/>
      <c r="H275" s="2066"/>
      <c r="I275" s="1924">
        <f t="shared" si="23"/>
        <v>0</v>
      </c>
      <c r="J275" s="2066"/>
      <c r="K275" s="2067"/>
      <c r="L275" s="2066"/>
      <c r="M275" s="1924">
        <f t="shared" si="25"/>
        <v>0</v>
      </c>
    </row>
    <row r="276" spans="1:39" ht="13.5" customHeight="1">
      <c r="A276" s="662"/>
      <c r="B276" s="2122" t="s">
        <v>358</v>
      </c>
      <c r="C276" s="2182"/>
      <c r="D276" s="2136">
        <f t="shared" si="22"/>
        <v>0</v>
      </c>
      <c r="E276" s="2067"/>
      <c r="F276" s="2079"/>
      <c r="G276" s="2067"/>
      <c r="H276" s="2066"/>
      <c r="I276" s="1924">
        <f t="shared" si="23"/>
        <v>0</v>
      </c>
      <c r="J276" s="2066"/>
      <c r="K276" s="2067"/>
      <c r="L276" s="2066"/>
      <c r="M276" s="1924">
        <f t="shared" si="25"/>
        <v>0</v>
      </c>
    </row>
    <row r="277" spans="1:39">
      <c r="A277" s="662"/>
      <c r="B277" s="2111" t="s">
        <v>359</v>
      </c>
      <c r="C277" s="2182"/>
      <c r="D277" s="2136">
        <f t="shared" si="22"/>
        <v>184031.152</v>
      </c>
      <c r="E277" s="2067"/>
      <c r="F277" s="2079"/>
      <c r="G277" s="2067">
        <v>-48689.593000000001</v>
      </c>
      <c r="H277" s="2066"/>
      <c r="I277" s="1924">
        <f t="shared" si="23"/>
        <v>-48689.593000000001</v>
      </c>
      <c r="J277" s="2066">
        <v>13062.416999999999</v>
      </c>
      <c r="K277" s="2067"/>
      <c r="L277" s="2066">
        <v>219658.32800000001</v>
      </c>
      <c r="M277" s="1924">
        <f t="shared" si="25"/>
        <v>232720.745</v>
      </c>
    </row>
    <row r="278" spans="1:39">
      <c r="A278" s="662"/>
      <c r="B278" s="2111" t="s">
        <v>360</v>
      </c>
      <c r="C278" s="2182"/>
      <c r="D278" s="2136">
        <f t="shared" si="22"/>
        <v>0</v>
      </c>
      <c r="E278" s="2067"/>
      <c r="F278" s="2079"/>
      <c r="G278" s="2067"/>
      <c r="H278" s="2066"/>
      <c r="I278" s="1924">
        <f t="shared" si="23"/>
        <v>0</v>
      </c>
      <c r="J278" s="2066"/>
      <c r="K278" s="2067"/>
      <c r="L278" s="2066"/>
      <c r="M278" s="1924">
        <f t="shared" si="25"/>
        <v>0</v>
      </c>
    </row>
    <row r="279" spans="1:39" s="870" customFormat="1">
      <c r="A279" s="662"/>
      <c r="B279" s="2121" t="s">
        <v>361</v>
      </c>
      <c r="C279" s="2183"/>
      <c r="D279" s="2136">
        <f t="shared" si="22"/>
        <v>611067.55299999996</v>
      </c>
      <c r="E279" s="2171">
        <f>SUM(E273:E278)</f>
        <v>0</v>
      </c>
      <c r="F279" s="2170">
        <f>SUM(F273:F278)</f>
        <v>0</v>
      </c>
      <c r="G279" s="2171">
        <f>SUM(G273:G278)</f>
        <v>59972.455999999998</v>
      </c>
      <c r="H279" s="2170">
        <f>SUM(H273:H278)</f>
        <v>0</v>
      </c>
      <c r="I279" s="1924">
        <f t="shared" si="23"/>
        <v>59972.455999999998</v>
      </c>
      <c r="J279" s="2170">
        <f>SUM(J273:J278)</f>
        <v>59798.176000000007</v>
      </c>
      <c r="K279" s="2171">
        <f>SUM(K273:K278)</f>
        <v>0</v>
      </c>
      <c r="L279" s="2170">
        <f>SUM(L273:L278)</f>
        <v>491296.92099999997</v>
      </c>
      <c r="M279" s="1924">
        <f t="shared" si="25"/>
        <v>551095.09699999995</v>
      </c>
      <c r="N279"/>
      <c r="O279"/>
      <c r="P279"/>
      <c r="Q279"/>
      <c r="R279"/>
      <c r="S279"/>
      <c r="T279"/>
      <c r="U279"/>
      <c r="V279"/>
      <c r="W279"/>
      <c r="X279"/>
      <c r="Y279"/>
      <c r="Z279"/>
      <c r="AA279"/>
      <c r="AB279"/>
      <c r="AC279"/>
      <c r="AD279"/>
      <c r="AE279"/>
      <c r="AF279"/>
      <c r="AG279"/>
      <c r="AH279"/>
      <c r="AI279"/>
      <c r="AJ279"/>
      <c r="AK279"/>
      <c r="AL279"/>
      <c r="AM279"/>
    </row>
    <row r="280" spans="1:39">
      <c r="A280" s="662"/>
      <c r="B280" s="2111"/>
      <c r="C280" s="2182"/>
      <c r="D280" s="2136">
        <f t="shared" si="22"/>
        <v>0</v>
      </c>
      <c r="E280" s="2171"/>
      <c r="F280" s="2170"/>
      <c r="G280" s="2171"/>
      <c r="H280" s="2170"/>
      <c r="I280" s="1924">
        <f t="shared" si="23"/>
        <v>0</v>
      </c>
      <c r="J280" s="2170"/>
      <c r="K280" s="2171"/>
      <c r="L280" s="2170"/>
      <c r="M280" s="1924">
        <f t="shared" si="25"/>
        <v>0</v>
      </c>
    </row>
    <row r="281" spans="1:39" ht="26.45">
      <c r="A281" s="662"/>
      <c r="B281" s="2122" t="s">
        <v>362</v>
      </c>
      <c r="C281" s="2182"/>
      <c r="D281" s="2136">
        <f t="shared" si="22"/>
        <v>135022.23200000002</v>
      </c>
      <c r="E281" s="2067">
        <v>131634.75200000001</v>
      </c>
      <c r="F281" s="2079"/>
      <c r="G281" s="2067">
        <v>3387.48</v>
      </c>
      <c r="H281" s="2066"/>
      <c r="I281" s="1924">
        <f t="shared" si="23"/>
        <v>3387.48</v>
      </c>
      <c r="J281" s="2066"/>
      <c r="K281" s="2067"/>
      <c r="L281" s="2066"/>
      <c r="M281" s="1924">
        <f t="shared" si="25"/>
        <v>0</v>
      </c>
    </row>
    <row r="282" spans="1:39">
      <c r="A282" s="662"/>
      <c r="B282" s="2111"/>
      <c r="C282" s="2182"/>
      <c r="D282" s="2136">
        <f t="shared" si="22"/>
        <v>0</v>
      </c>
      <c r="E282" s="1866"/>
      <c r="F282" s="2066"/>
      <c r="G282" s="2067"/>
      <c r="H282" s="2066"/>
      <c r="I282" s="1924">
        <f t="shared" si="23"/>
        <v>0</v>
      </c>
      <c r="J282" s="2066"/>
      <c r="K282" s="2067"/>
      <c r="L282" s="2066"/>
      <c r="M282" s="1924">
        <f t="shared" si="25"/>
        <v>0</v>
      </c>
    </row>
    <row r="283" spans="1:39" ht="15.75" customHeight="1">
      <c r="A283" s="662"/>
      <c r="B283" s="2122" t="s">
        <v>363</v>
      </c>
      <c r="C283" s="2182">
        <v>4</v>
      </c>
      <c r="D283" s="2136">
        <f t="shared" si="22"/>
        <v>379498.13500000001</v>
      </c>
      <c r="E283" s="1866">
        <v>301305</v>
      </c>
      <c r="F283" s="2079">
        <v>0</v>
      </c>
      <c r="G283" s="2067">
        <v>4219.2139999999999</v>
      </c>
      <c r="H283" s="2066">
        <v>0</v>
      </c>
      <c r="I283" s="1924">
        <f t="shared" si="23"/>
        <v>4219.2139999999999</v>
      </c>
      <c r="J283" s="2066">
        <v>34825.031999999999</v>
      </c>
      <c r="K283" s="2067">
        <v>0</v>
      </c>
      <c r="L283" s="2066">
        <v>39148.888999999996</v>
      </c>
      <c r="M283" s="1924">
        <f t="shared" si="25"/>
        <v>73973.921000000002</v>
      </c>
    </row>
    <row r="284" spans="1:39">
      <c r="A284" s="662"/>
      <c r="B284" s="2111" t="s">
        <v>364</v>
      </c>
      <c r="C284" s="2182"/>
      <c r="D284" s="2136">
        <f t="shared" si="22"/>
        <v>0</v>
      </c>
      <c r="E284" s="1866"/>
      <c r="F284" s="2079"/>
      <c r="G284" s="2067"/>
      <c r="H284" s="2066"/>
      <c r="I284" s="1924">
        <f t="shared" si="23"/>
        <v>0</v>
      </c>
      <c r="J284" s="2066"/>
      <c r="K284" s="2067"/>
      <c r="L284" s="2066"/>
      <c r="M284" s="1924">
        <f t="shared" si="25"/>
        <v>0</v>
      </c>
    </row>
    <row r="285" spans="1:39">
      <c r="A285" s="662"/>
      <c r="B285" s="2111" t="s">
        <v>365</v>
      </c>
      <c r="C285" s="2182"/>
      <c r="D285" s="2136">
        <f t="shared" si="22"/>
        <v>9286.7240000000002</v>
      </c>
      <c r="E285" s="1866">
        <v>9286.7240000000002</v>
      </c>
      <c r="F285" s="2079"/>
      <c r="G285" s="2067"/>
      <c r="H285" s="2066"/>
      <c r="I285" s="1924">
        <f t="shared" si="23"/>
        <v>0</v>
      </c>
      <c r="J285" s="2066"/>
      <c r="K285" s="2067"/>
      <c r="L285" s="2066"/>
      <c r="M285" s="1924">
        <f t="shared" si="25"/>
        <v>0</v>
      </c>
    </row>
    <row r="286" spans="1:39" s="870" customFormat="1">
      <c r="A286" s="662"/>
      <c r="B286" s="2121" t="s">
        <v>366</v>
      </c>
      <c r="C286" s="2183"/>
      <c r="D286" s="2136">
        <f>E286+I286+M286</f>
        <v>388784.85899999994</v>
      </c>
      <c r="E286" s="2114">
        <f>SUM(E283:E285)</f>
        <v>310591.72399999999</v>
      </c>
      <c r="F286" s="2170">
        <f>SUM(F283:F285)</f>
        <v>0</v>
      </c>
      <c r="G286" s="2171">
        <f>SUM(G283:G285)</f>
        <v>4219.2139999999999</v>
      </c>
      <c r="H286" s="2170">
        <f>SUM(H283:H285)</f>
        <v>0</v>
      </c>
      <c r="I286" s="1924">
        <f t="shared" si="23"/>
        <v>4219.2139999999999</v>
      </c>
      <c r="J286" s="2170">
        <f>SUM(J283:J285)</f>
        <v>34825.031999999999</v>
      </c>
      <c r="K286" s="2171">
        <f>SUM(K283:K285)</f>
        <v>0</v>
      </c>
      <c r="L286" s="2170">
        <f>SUM(L283:L285)</f>
        <v>39148.888999999996</v>
      </c>
      <c r="M286" s="1924">
        <f t="shared" si="25"/>
        <v>73973.921000000002</v>
      </c>
      <c r="N286"/>
      <c r="O286"/>
      <c r="P286"/>
      <c r="Q286"/>
      <c r="R286"/>
      <c r="S286"/>
      <c r="T286"/>
      <c r="U286"/>
      <c r="V286"/>
      <c r="W286"/>
      <c r="X286"/>
      <c r="Y286"/>
      <c r="Z286"/>
      <c r="AA286"/>
      <c r="AB286"/>
      <c r="AC286"/>
      <c r="AD286"/>
      <c r="AE286"/>
      <c r="AF286"/>
      <c r="AG286"/>
      <c r="AH286"/>
      <c r="AI286"/>
      <c r="AJ286"/>
      <c r="AK286"/>
      <c r="AL286"/>
      <c r="AM286"/>
    </row>
    <row r="287" spans="1:39">
      <c r="A287" s="662"/>
      <c r="B287" s="2121"/>
      <c r="C287" s="2183"/>
      <c r="D287" s="2136">
        <f t="shared" si="22"/>
        <v>0</v>
      </c>
      <c r="E287" s="2171"/>
      <c r="F287" s="2170"/>
      <c r="G287" s="2171"/>
      <c r="H287" s="2170"/>
      <c r="I287" s="1924">
        <f t="shared" si="23"/>
        <v>0</v>
      </c>
      <c r="J287" s="2170"/>
      <c r="K287" s="2171"/>
      <c r="L287" s="2170"/>
      <c r="M287" s="1924">
        <f t="shared" si="25"/>
        <v>0</v>
      </c>
    </row>
    <row r="288" spans="1:39" s="870" customFormat="1">
      <c r="A288" s="662"/>
      <c r="B288" s="2121" t="s">
        <v>367</v>
      </c>
      <c r="C288" s="2183"/>
      <c r="D288" s="2136">
        <f>E288+I288+M288</f>
        <v>9558.5259900001001</v>
      </c>
      <c r="E288" s="2171">
        <f>E271-E279-E281-E286</f>
        <v>9558.524000000034</v>
      </c>
      <c r="F288" s="2170">
        <f>F271-F279-F281-F286</f>
        <v>0</v>
      </c>
      <c r="G288" s="2171">
        <f>G271-G279-G281-G286</f>
        <v>4.1739999996934785E-2</v>
      </c>
      <c r="H288" s="2170">
        <f>H271-H279-H281-H286</f>
        <v>0</v>
      </c>
      <c r="I288" s="1924">
        <f t="shared" si="23"/>
        <v>4.1739999996934785E-2</v>
      </c>
      <c r="J288" s="2170">
        <f>J271-J279-J281-J286</f>
        <v>6.2899999997171108E-2</v>
      </c>
      <c r="K288" s="2171">
        <f>K271-K279-K281-K286</f>
        <v>0</v>
      </c>
      <c r="L288" s="2170">
        <f>L271-L279-L281-L286</f>
        <v>-0.1026499999279622</v>
      </c>
      <c r="M288" s="1924">
        <f t="shared" si="25"/>
        <v>-3.9749999930791091E-2</v>
      </c>
      <c r="N288"/>
      <c r="O288"/>
      <c r="P288"/>
      <c r="Q288"/>
      <c r="R288"/>
      <c r="S288"/>
      <c r="T288"/>
      <c r="U288"/>
      <c r="V288"/>
      <c r="W288"/>
      <c r="X288"/>
      <c r="Y288"/>
      <c r="Z288"/>
      <c r="AA288"/>
      <c r="AB288"/>
      <c r="AC288"/>
      <c r="AD288"/>
      <c r="AE288"/>
      <c r="AF288"/>
      <c r="AG288"/>
      <c r="AH288"/>
      <c r="AI288"/>
      <c r="AJ288"/>
      <c r="AK288"/>
      <c r="AL288"/>
      <c r="AM288"/>
    </row>
    <row r="289" spans="1:39">
      <c r="A289" s="662"/>
      <c r="B289" s="2111" t="s">
        <v>368</v>
      </c>
      <c r="C289" s="2182"/>
      <c r="D289" s="2136">
        <f t="shared" si="22"/>
        <v>0</v>
      </c>
      <c r="E289" s="2171"/>
      <c r="F289" s="2170"/>
      <c r="G289" s="2171"/>
      <c r="H289" s="2170"/>
      <c r="I289" s="1924">
        <f t="shared" si="23"/>
        <v>0</v>
      </c>
      <c r="J289" s="2170"/>
      <c r="K289" s="2171"/>
      <c r="L289" s="2170"/>
      <c r="M289" s="1924">
        <f t="shared" si="25"/>
        <v>0</v>
      </c>
    </row>
    <row r="290" spans="1:39">
      <c r="A290" s="662"/>
      <c r="B290" s="2111"/>
      <c r="C290" s="2182"/>
      <c r="D290" s="2136">
        <f t="shared" si="22"/>
        <v>0</v>
      </c>
      <c r="E290" s="2171"/>
      <c r="F290" s="2170"/>
      <c r="G290" s="2171"/>
      <c r="H290" s="2170"/>
      <c r="I290" s="1924">
        <f t="shared" si="23"/>
        <v>0</v>
      </c>
      <c r="J290" s="2170"/>
      <c r="K290" s="2171"/>
      <c r="L290" s="2170"/>
      <c r="M290" s="1924">
        <f t="shared" si="25"/>
        <v>0</v>
      </c>
    </row>
    <row r="291" spans="1:39" s="870" customFormat="1" ht="15" thickBot="1">
      <c r="A291" s="662"/>
      <c r="B291" s="1347" t="s">
        <v>369</v>
      </c>
      <c r="C291" s="1358"/>
      <c r="D291" s="1359">
        <f t="shared" si="22"/>
        <v>9558.5259900001001</v>
      </c>
      <c r="E291" s="1350">
        <f>E288-E289</f>
        <v>9558.524000000034</v>
      </c>
      <c r="F291" s="1360">
        <f>F288-F289</f>
        <v>0</v>
      </c>
      <c r="G291" s="1350">
        <f>G288-G289</f>
        <v>4.1739999996934785E-2</v>
      </c>
      <c r="H291" s="1360">
        <f>H288-H289</f>
        <v>0</v>
      </c>
      <c r="I291" s="1350">
        <f t="shared" si="23"/>
        <v>4.1739999996934785E-2</v>
      </c>
      <c r="J291" s="1360">
        <f>J288-J289</f>
        <v>6.2899999997171108E-2</v>
      </c>
      <c r="K291" s="1350">
        <f>K288-K289</f>
        <v>0</v>
      </c>
      <c r="L291" s="1360">
        <f>L288-L289</f>
        <v>-0.1026499999279622</v>
      </c>
      <c r="M291" s="1350">
        <f t="shared" si="25"/>
        <v>-3.9749999930791091E-2</v>
      </c>
      <c r="N291"/>
      <c r="O291"/>
      <c r="P291"/>
      <c r="Q291"/>
      <c r="R291"/>
      <c r="S291"/>
      <c r="T291"/>
      <c r="U291"/>
      <c r="V291"/>
      <c r="W291"/>
      <c r="X291"/>
      <c r="Y291"/>
      <c r="Z291"/>
      <c r="AA291"/>
      <c r="AB291"/>
      <c r="AC291"/>
      <c r="AD291"/>
      <c r="AE291"/>
      <c r="AF291"/>
      <c r="AG291"/>
      <c r="AH291"/>
      <c r="AI291"/>
      <c r="AJ291"/>
      <c r="AK291"/>
      <c r="AL291"/>
      <c r="AM291"/>
    </row>
    <row r="292" spans="1:39">
      <c r="B292"/>
      <c r="C292"/>
      <c r="D292"/>
      <c r="E292"/>
      <c r="F292"/>
      <c r="G292"/>
      <c r="H292"/>
      <c r="I292"/>
      <c r="J292"/>
      <c r="K292"/>
      <c r="L292"/>
      <c r="M292"/>
    </row>
    <row r="293" spans="1:39">
      <c r="B293"/>
      <c r="C293"/>
      <c r="D293"/>
      <c r="E293"/>
      <c r="F293"/>
      <c r="G293"/>
      <c r="H293"/>
      <c r="I293"/>
      <c r="J293"/>
      <c r="K293"/>
      <c r="L293"/>
      <c r="M293"/>
    </row>
    <row r="294" spans="1:39">
      <c r="B294"/>
      <c r="C294"/>
      <c r="D294"/>
      <c r="E294"/>
      <c r="F294"/>
      <c r="G294"/>
      <c r="H294"/>
      <c r="I294"/>
      <c r="J294"/>
      <c r="K294"/>
      <c r="L294"/>
      <c r="M294"/>
    </row>
    <row r="297" spans="1:39" ht="15" thickBot="1"/>
    <row r="298" spans="1:39" ht="17.25" customHeight="1" thickBot="1">
      <c r="A298" s="1361" t="s">
        <v>185</v>
      </c>
      <c r="B298" s="1153" t="s">
        <v>96</v>
      </c>
      <c r="C298" s="873"/>
      <c r="D298" s="662"/>
      <c r="E298" s="662"/>
      <c r="F298" s="662"/>
      <c r="G298" s="662"/>
      <c r="H298" s="662"/>
      <c r="I298" s="662"/>
      <c r="J298" s="662"/>
      <c r="K298" s="662"/>
      <c r="L298" s="3292"/>
      <c r="M298" s="3292" t="s">
        <v>257</v>
      </c>
    </row>
    <row r="299" spans="1:39" ht="17.25" customHeight="1" thickBot="1">
      <c r="A299" s="662"/>
      <c r="B299" s="3331" t="s">
        <v>96</v>
      </c>
      <c r="C299" s="3280" t="s">
        <v>334</v>
      </c>
      <c r="D299" s="3283" t="s">
        <v>260</v>
      </c>
      <c r="E299" s="3283" t="s">
        <v>335</v>
      </c>
      <c r="F299" s="3335" t="s">
        <v>263</v>
      </c>
      <c r="G299" s="3335"/>
      <c r="H299" s="3335"/>
      <c r="I299" s="3335"/>
      <c r="J299" s="3335"/>
      <c r="K299" s="3335"/>
      <c r="L299" s="3335"/>
      <c r="M299" s="3335"/>
    </row>
    <row r="300" spans="1:39" ht="17.25" customHeight="1" thickBot="1">
      <c r="A300" s="662"/>
      <c r="B300" s="3327"/>
      <c r="C300" s="3281"/>
      <c r="D300" s="3284"/>
      <c r="E300" s="3284"/>
      <c r="F300" s="3332" t="s">
        <v>264</v>
      </c>
      <c r="G300" s="3333"/>
      <c r="H300" s="3333"/>
      <c r="I300" s="3334"/>
      <c r="J300" s="3335" t="s">
        <v>336</v>
      </c>
      <c r="K300" s="3335"/>
      <c r="L300" s="3335"/>
      <c r="M300" s="3335"/>
    </row>
    <row r="301" spans="1:39" ht="66.599999999999994" thickBot="1">
      <c r="A301" s="662"/>
      <c r="B301" s="3327"/>
      <c r="C301" s="3281"/>
      <c r="D301" s="3285"/>
      <c r="E301" s="3285"/>
      <c r="F301" s="2963" t="s">
        <v>267</v>
      </c>
      <c r="G301" s="2963" t="s">
        <v>268</v>
      </c>
      <c r="H301" s="2963" t="s">
        <v>269</v>
      </c>
      <c r="I301" s="2963" t="s">
        <v>160</v>
      </c>
      <c r="J301" s="2964" t="s">
        <v>337</v>
      </c>
      <c r="K301" s="2964" t="s">
        <v>271</v>
      </c>
      <c r="L301" s="2964" t="s">
        <v>338</v>
      </c>
      <c r="M301" s="2964" t="s">
        <v>160</v>
      </c>
    </row>
    <row r="302" spans="1:39" ht="17.25" customHeight="1" thickBot="1">
      <c r="A302" s="662"/>
      <c r="B302" s="3327"/>
      <c r="C302" s="3281"/>
      <c r="D302" s="2972">
        <v>1</v>
      </c>
      <c r="E302" s="3283">
        <v>2</v>
      </c>
      <c r="F302" s="3283">
        <v>3</v>
      </c>
      <c r="G302" s="3283">
        <v>4</v>
      </c>
      <c r="H302" s="3283"/>
      <c r="I302" s="2972">
        <v>6</v>
      </c>
      <c r="J302" s="3283">
        <v>7</v>
      </c>
      <c r="K302" s="3283">
        <v>8</v>
      </c>
      <c r="L302" s="3283">
        <v>9</v>
      </c>
      <c r="M302" s="2972">
        <v>10</v>
      </c>
    </row>
    <row r="303" spans="1:39" ht="15" thickBot="1">
      <c r="A303" s="662"/>
      <c r="B303" s="3328"/>
      <c r="C303" s="3282"/>
      <c r="D303" s="1327" t="s">
        <v>339</v>
      </c>
      <c r="E303" s="3285"/>
      <c r="F303" s="3285"/>
      <c r="G303" s="3285"/>
      <c r="H303" s="3285">
        <v>5</v>
      </c>
      <c r="I303" s="1327" t="s">
        <v>340</v>
      </c>
      <c r="J303" s="3285"/>
      <c r="K303" s="3285"/>
      <c r="L303" s="3285"/>
      <c r="M303" s="1327" t="s">
        <v>341</v>
      </c>
    </row>
    <row r="304" spans="1:39">
      <c r="A304" s="662"/>
      <c r="B304" s="1345" t="s">
        <v>342</v>
      </c>
      <c r="C304" s="881"/>
      <c r="D304" s="1357">
        <f t="shared" ref="D304:D341" si="26">E304+I304+M304</f>
        <v>25565050.494479999</v>
      </c>
      <c r="E304" s="877">
        <v>0</v>
      </c>
      <c r="F304" s="878">
        <v>5902045.2366899997</v>
      </c>
      <c r="G304" s="877">
        <v>13382290.21441</v>
      </c>
      <c r="H304" s="878">
        <v>6271431</v>
      </c>
      <c r="I304" s="877">
        <f t="shared" ref="I304:I341" si="27">F304+G304+H304</f>
        <v>25555766.451099999</v>
      </c>
      <c r="J304" s="878"/>
      <c r="K304" s="877"/>
      <c r="L304" s="878">
        <v>9284.0433799999992</v>
      </c>
      <c r="M304" s="1207">
        <f t="shared" ref="M304:M321" si="28">L304+K304+J304</f>
        <v>9284.0433799999992</v>
      </c>
    </row>
    <row r="305" spans="1:39">
      <c r="A305" s="662"/>
      <c r="B305" s="2111"/>
      <c r="C305" s="2182"/>
      <c r="D305" s="2136">
        <f t="shared" si="26"/>
        <v>0</v>
      </c>
      <c r="E305" s="2171"/>
      <c r="F305" s="2170"/>
      <c r="G305" s="2171"/>
      <c r="H305" s="2170"/>
      <c r="I305" s="1924">
        <f t="shared" si="27"/>
        <v>0</v>
      </c>
      <c r="J305" s="2170"/>
      <c r="K305" s="2171"/>
      <c r="L305" s="2170"/>
      <c r="M305" s="1924">
        <f t="shared" si="28"/>
        <v>0</v>
      </c>
    </row>
    <row r="306" spans="1:39">
      <c r="A306" s="662"/>
      <c r="B306" s="2116" t="s">
        <v>343</v>
      </c>
      <c r="C306" s="2182"/>
      <c r="D306" s="2136">
        <f t="shared" si="26"/>
        <v>308498.83740999998</v>
      </c>
      <c r="E306" s="2171">
        <v>0</v>
      </c>
      <c r="F306" s="2170">
        <v>23030.78471</v>
      </c>
      <c r="G306" s="2171">
        <v>277188.30580999999</v>
      </c>
      <c r="H306" s="2170">
        <v>8022</v>
      </c>
      <c r="I306" s="1924">
        <f t="shared" si="27"/>
        <v>308241.09051999997</v>
      </c>
      <c r="J306" s="2170"/>
      <c r="K306" s="2171"/>
      <c r="L306" s="2170">
        <v>257.74689000000001</v>
      </c>
      <c r="M306" s="1924">
        <f t="shared" si="28"/>
        <v>257.74689000000001</v>
      </c>
    </row>
    <row r="307" spans="1:39">
      <c r="A307" s="662"/>
      <c r="B307" s="2116"/>
      <c r="C307" s="2182"/>
      <c r="D307" s="2136">
        <f t="shared" si="26"/>
        <v>0</v>
      </c>
      <c r="E307" s="2171"/>
      <c r="F307" s="2170"/>
      <c r="G307" s="2171"/>
      <c r="H307" s="2170"/>
      <c r="I307" s="1924">
        <f t="shared" si="27"/>
        <v>0</v>
      </c>
      <c r="J307" s="2170"/>
      <c r="K307" s="2171"/>
      <c r="L307" s="2170"/>
      <c r="M307" s="1924">
        <f t="shared" si="28"/>
        <v>0</v>
      </c>
    </row>
    <row r="308" spans="1:39" ht="14.25" customHeight="1">
      <c r="A308" s="662"/>
      <c r="B308" s="2117" t="s">
        <v>344</v>
      </c>
      <c r="C308" s="2182"/>
      <c r="D308" s="2136">
        <f t="shared" si="26"/>
        <v>0</v>
      </c>
      <c r="E308" s="2171"/>
      <c r="F308" s="2170"/>
      <c r="G308" s="2171"/>
      <c r="H308" s="2170"/>
      <c r="I308" s="1924">
        <f t="shared" si="27"/>
        <v>0</v>
      </c>
      <c r="J308" s="2170"/>
      <c r="K308" s="2171"/>
      <c r="L308" s="2170"/>
      <c r="M308" s="1924">
        <f t="shared" si="28"/>
        <v>0</v>
      </c>
    </row>
    <row r="309" spans="1:39">
      <c r="A309" s="662"/>
      <c r="B309" s="2111"/>
      <c r="C309" s="2182"/>
      <c r="D309" s="2136">
        <f t="shared" si="26"/>
        <v>0</v>
      </c>
      <c r="E309" s="2171"/>
      <c r="F309" s="2170"/>
      <c r="G309" s="2171"/>
      <c r="H309" s="2170"/>
      <c r="I309" s="1924">
        <f t="shared" si="27"/>
        <v>0</v>
      </c>
      <c r="J309" s="2170"/>
      <c r="K309" s="2171"/>
      <c r="L309" s="2170"/>
      <c r="M309" s="1924">
        <f t="shared" si="28"/>
        <v>0</v>
      </c>
    </row>
    <row r="310" spans="1:39" s="870" customFormat="1">
      <c r="A310" s="662"/>
      <c r="B310" s="2118" t="s">
        <v>345</v>
      </c>
      <c r="C310" s="2183"/>
      <c r="D310" s="2136">
        <f t="shared" si="26"/>
        <v>25256551.657069996</v>
      </c>
      <c r="E310" s="2171">
        <f>E304-E306+E308</f>
        <v>0</v>
      </c>
      <c r="F310" s="2170">
        <f>F304-F306+F308</f>
        <v>5879014.4519799994</v>
      </c>
      <c r="G310" s="2171">
        <f>G304-G306+G308</f>
        <v>13105101.908599999</v>
      </c>
      <c r="H310" s="2170">
        <f>H304-H306+H308</f>
        <v>6263409</v>
      </c>
      <c r="I310" s="1924">
        <f t="shared" si="27"/>
        <v>25247525.360579997</v>
      </c>
      <c r="J310" s="2170">
        <f>J304-J306+J308</f>
        <v>0</v>
      </c>
      <c r="K310" s="2171">
        <f>K304-K306+K308</f>
        <v>0</v>
      </c>
      <c r="L310" s="2170">
        <f>L304-L306+L308</f>
        <v>9026.2964899999988</v>
      </c>
      <c r="M310" s="1924">
        <f t="shared" si="28"/>
        <v>9026.2964899999988</v>
      </c>
      <c r="N310"/>
      <c r="O310"/>
      <c r="P310"/>
      <c r="Q310"/>
      <c r="R310"/>
      <c r="S310"/>
      <c r="T310"/>
      <c r="U310"/>
      <c r="V310"/>
      <c r="W310"/>
      <c r="X310"/>
      <c r="Y310"/>
      <c r="Z310"/>
      <c r="AA310"/>
      <c r="AB310"/>
      <c r="AC310"/>
      <c r="AD310"/>
      <c r="AE310"/>
      <c r="AF310"/>
      <c r="AG310"/>
      <c r="AH310"/>
      <c r="AI310"/>
      <c r="AJ310"/>
      <c r="AK310"/>
      <c r="AL310"/>
      <c r="AM310"/>
    </row>
    <row r="311" spans="1:39">
      <c r="A311" s="662"/>
      <c r="B311" s="2118"/>
      <c r="C311" s="2183"/>
      <c r="D311" s="2136">
        <f t="shared" si="26"/>
        <v>0</v>
      </c>
      <c r="E311" s="2171"/>
      <c r="F311" s="2170"/>
      <c r="G311" s="2171"/>
      <c r="H311" s="2170"/>
      <c r="I311" s="1924">
        <f t="shared" si="27"/>
        <v>0</v>
      </c>
      <c r="J311" s="2170"/>
      <c r="K311" s="2171"/>
      <c r="L311" s="2170"/>
      <c r="M311" s="1924">
        <f t="shared" si="28"/>
        <v>0</v>
      </c>
    </row>
    <row r="312" spans="1:39" s="870" customFormat="1">
      <c r="A312" s="662"/>
      <c r="B312" s="2118" t="s">
        <v>346</v>
      </c>
      <c r="C312" s="2183"/>
      <c r="D312" s="2136">
        <f t="shared" si="26"/>
        <v>15129139.301400002</v>
      </c>
      <c r="E312" s="2171">
        <f>SUM(E313:E317)</f>
        <v>3347511.8362100003</v>
      </c>
      <c r="F312" s="2170">
        <f>SUM(F313:F317)</f>
        <v>6205489.35623</v>
      </c>
      <c r="G312" s="2171">
        <f>SUM(G313:G317)</f>
        <v>2710116.0454900004</v>
      </c>
      <c r="H312" s="2170">
        <f>SUM(H313:H317)</f>
        <v>2866022.0634700004</v>
      </c>
      <c r="I312" s="1924">
        <f t="shared" si="27"/>
        <v>11781627.465190001</v>
      </c>
      <c r="J312" s="2170">
        <f>SUM(J313:J317)</f>
        <v>0</v>
      </c>
      <c r="K312" s="2171">
        <f>SUM(K313:K317)</f>
        <v>0</v>
      </c>
      <c r="L312" s="2170">
        <f>SUM(L313:L317)</f>
        <v>0</v>
      </c>
      <c r="M312" s="1924">
        <f t="shared" si="28"/>
        <v>0</v>
      </c>
      <c r="N312"/>
      <c r="O312"/>
      <c r="P312"/>
      <c r="Q312"/>
      <c r="R312"/>
      <c r="S312"/>
      <c r="T312"/>
      <c r="U312"/>
      <c r="V312"/>
      <c r="W312"/>
      <c r="X312"/>
      <c r="Y312"/>
      <c r="Z312"/>
      <c r="AA312"/>
      <c r="AB312"/>
      <c r="AC312"/>
      <c r="AD312"/>
      <c r="AE312"/>
      <c r="AF312"/>
      <c r="AG312"/>
      <c r="AH312"/>
      <c r="AI312"/>
      <c r="AJ312"/>
      <c r="AK312"/>
      <c r="AL312"/>
      <c r="AM312"/>
    </row>
    <row r="313" spans="1:39">
      <c r="A313" s="662"/>
      <c r="B313" s="2111" t="s">
        <v>347</v>
      </c>
      <c r="C313" s="2182">
        <v>1</v>
      </c>
      <c r="D313" s="2136">
        <f t="shared" si="26"/>
        <v>14314783.197770003</v>
      </c>
      <c r="E313" s="2171">
        <v>2945721.3817300005</v>
      </c>
      <c r="F313" s="2170">
        <v>5989295.4664600007</v>
      </c>
      <c r="G313" s="2171">
        <v>2508358.3495800002</v>
      </c>
      <c r="H313" s="2170">
        <v>2871408</v>
      </c>
      <c r="I313" s="1924">
        <f t="shared" si="27"/>
        <v>11369061.816040002</v>
      </c>
      <c r="J313" s="2170"/>
      <c r="K313" s="2171"/>
      <c r="L313" s="2170"/>
      <c r="M313" s="1924">
        <f t="shared" si="28"/>
        <v>0</v>
      </c>
    </row>
    <row r="314" spans="1:39">
      <c r="A314" s="662"/>
      <c r="B314" s="2111" t="s">
        <v>348</v>
      </c>
      <c r="C314" s="2182">
        <v>2</v>
      </c>
      <c r="D314" s="2136">
        <f t="shared" si="26"/>
        <v>197884.61027999999</v>
      </c>
      <c r="E314" s="2171">
        <v>0</v>
      </c>
      <c r="F314" s="2170">
        <v>39766.452519999999</v>
      </c>
      <c r="G314" s="2171">
        <v>158085.22476000001</v>
      </c>
      <c r="H314" s="2170">
        <v>32.933</v>
      </c>
      <c r="I314" s="1924">
        <f t="shared" si="27"/>
        <v>197884.61027999999</v>
      </c>
      <c r="J314" s="2170"/>
      <c r="K314" s="2171"/>
      <c r="L314" s="2170"/>
      <c r="M314" s="1924">
        <f t="shared" si="28"/>
        <v>0</v>
      </c>
    </row>
    <row r="315" spans="1:39">
      <c r="A315" s="662"/>
      <c r="B315" s="2111" t="s">
        <v>349</v>
      </c>
      <c r="C315" s="2182"/>
      <c r="D315" s="2136">
        <f t="shared" si="26"/>
        <v>200402.45293999999</v>
      </c>
      <c r="E315" s="2171">
        <v>90700.722410000002</v>
      </c>
      <c r="F315" s="2170">
        <v>68647.975879999998</v>
      </c>
      <c r="G315" s="2171">
        <v>11617.754650000003</v>
      </c>
      <c r="H315" s="2170">
        <v>29436</v>
      </c>
      <c r="I315" s="1924">
        <f t="shared" si="27"/>
        <v>109701.73053</v>
      </c>
      <c r="J315" s="2170"/>
      <c r="K315" s="2171"/>
      <c r="L315" s="2170"/>
      <c r="M315" s="1924">
        <f t="shared" si="28"/>
        <v>0</v>
      </c>
    </row>
    <row r="316" spans="1:39">
      <c r="A316" s="662"/>
      <c r="B316" s="2111" t="s">
        <v>350</v>
      </c>
      <c r="C316" s="2182"/>
      <c r="D316" s="2136">
        <f t="shared" si="26"/>
        <v>388078.85251</v>
      </c>
      <c r="E316" s="2171">
        <v>311089.73207000003</v>
      </c>
      <c r="F316" s="2170">
        <v>103539.01152999999</v>
      </c>
      <c r="G316" s="2171">
        <v>8304.9784399999953</v>
      </c>
      <c r="H316" s="2170">
        <v>-34854.869529999996</v>
      </c>
      <c r="I316" s="1924">
        <f t="shared" si="27"/>
        <v>76989.120439999984</v>
      </c>
      <c r="J316" s="2170"/>
      <c r="K316" s="2171"/>
      <c r="L316" s="2170"/>
      <c r="M316" s="1924">
        <f t="shared" si="28"/>
        <v>0</v>
      </c>
    </row>
    <row r="317" spans="1:39">
      <c r="A317" s="662"/>
      <c r="B317" s="2111" t="s">
        <v>351</v>
      </c>
      <c r="C317" s="2182">
        <v>3</v>
      </c>
      <c r="D317" s="2136">
        <f t="shared" si="26"/>
        <v>27990.187900000004</v>
      </c>
      <c r="E317" s="2171">
        <v>0</v>
      </c>
      <c r="F317" s="2170">
        <v>4240.4498400000002</v>
      </c>
      <c r="G317" s="2171">
        <v>23749.738060000003</v>
      </c>
      <c r="H317" s="2170">
        <v>0</v>
      </c>
      <c r="I317" s="1924">
        <f t="shared" si="27"/>
        <v>27990.187900000004</v>
      </c>
      <c r="J317" s="2170"/>
      <c r="K317" s="2171"/>
      <c r="L317" s="2170"/>
      <c r="M317" s="1924">
        <f t="shared" si="28"/>
        <v>0</v>
      </c>
    </row>
    <row r="318" spans="1:39">
      <c r="A318" s="662"/>
      <c r="B318" s="2111" t="s">
        <v>353</v>
      </c>
      <c r="C318" s="2182"/>
      <c r="D318" s="2136">
        <f t="shared" si="26"/>
        <v>0</v>
      </c>
      <c r="E318" s="2171"/>
      <c r="F318" s="2170"/>
      <c r="G318" s="2171"/>
      <c r="H318" s="2170"/>
      <c r="I318" s="1924">
        <f t="shared" si="27"/>
        <v>0</v>
      </c>
      <c r="J318" s="2170"/>
      <c r="K318" s="2171"/>
      <c r="L318" s="2170"/>
      <c r="M318" s="1924">
        <f t="shared" si="28"/>
        <v>0</v>
      </c>
    </row>
    <row r="319" spans="1:39">
      <c r="A319" s="662"/>
      <c r="B319" s="2111" t="s">
        <v>353</v>
      </c>
      <c r="C319" s="2182"/>
      <c r="D319" s="2136">
        <f t="shared" si="26"/>
        <v>0</v>
      </c>
      <c r="E319" s="2171"/>
      <c r="F319" s="2170"/>
      <c r="G319" s="2171"/>
      <c r="H319" s="2170"/>
      <c r="I319" s="1924">
        <f t="shared" si="27"/>
        <v>0</v>
      </c>
      <c r="J319" s="2170"/>
      <c r="K319" s="2171"/>
      <c r="L319" s="2170"/>
      <c r="M319" s="1924">
        <f t="shared" si="28"/>
        <v>0</v>
      </c>
    </row>
    <row r="320" spans="1:39">
      <c r="A320" s="662"/>
      <c r="B320" s="2111"/>
      <c r="C320" s="2182"/>
      <c r="D320" s="2136">
        <f t="shared" si="26"/>
        <v>0</v>
      </c>
      <c r="E320" s="2171"/>
      <c r="F320" s="2170"/>
      <c r="G320" s="2171"/>
      <c r="H320" s="2170"/>
      <c r="I320" s="1924">
        <f t="shared" si="27"/>
        <v>0</v>
      </c>
      <c r="J320" s="2170"/>
      <c r="K320" s="2171"/>
      <c r="L320" s="2170"/>
      <c r="M320" s="1924">
        <f t="shared" si="28"/>
        <v>0</v>
      </c>
    </row>
    <row r="321" spans="1:39" s="870" customFormat="1">
      <c r="A321" s="662"/>
      <c r="B321" s="2121" t="s">
        <v>354</v>
      </c>
      <c r="C321" s="2183"/>
      <c r="D321" s="2136">
        <f t="shared" si="26"/>
        <v>40385690.958469994</v>
      </c>
      <c r="E321" s="2171">
        <f>E310+E312</f>
        <v>3347511.8362100003</v>
      </c>
      <c r="F321" s="2170">
        <f>F310+F312</f>
        <v>12084503.80821</v>
      </c>
      <c r="G321" s="2171">
        <f>G310+G312</f>
        <v>15815217.954089999</v>
      </c>
      <c r="H321" s="2170">
        <f>H310+H312</f>
        <v>9129431.0634700004</v>
      </c>
      <c r="I321" s="1924">
        <f t="shared" si="27"/>
        <v>37029152.825769998</v>
      </c>
      <c r="J321" s="2170">
        <f>J310+J312</f>
        <v>0</v>
      </c>
      <c r="K321" s="2171">
        <f>K310+K312</f>
        <v>0</v>
      </c>
      <c r="L321" s="2170">
        <f>L310+L312</f>
        <v>9026.2964899999988</v>
      </c>
      <c r="M321" s="1924">
        <f t="shared" si="28"/>
        <v>9026.2964899999988</v>
      </c>
      <c r="N321"/>
      <c r="O321"/>
      <c r="P321"/>
      <c r="Q321"/>
      <c r="R321"/>
      <c r="S321"/>
      <c r="T321"/>
      <c r="U321"/>
      <c r="V321"/>
      <c r="W321"/>
      <c r="X321"/>
      <c r="Y321"/>
      <c r="Z321"/>
      <c r="AA321"/>
      <c r="AB321"/>
      <c r="AC321"/>
      <c r="AD321"/>
      <c r="AE321"/>
      <c r="AF321"/>
      <c r="AG321"/>
      <c r="AH321"/>
      <c r="AI321"/>
      <c r="AJ321"/>
      <c r="AK321"/>
      <c r="AL321"/>
      <c r="AM321"/>
    </row>
    <row r="322" spans="1:39">
      <c r="A322" s="662"/>
      <c r="B322" s="2121"/>
      <c r="C322" s="2183"/>
      <c r="D322" s="2136">
        <f t="shared" si="26"/>
        <v>0</v>
      </c>
      <c r="E322" s="2171"/>
      <c r="F322" s="2170"/>
      <c r="G322" s="2171"/>
      <c r="H322" s="2170"/>
      <c r="I322" s="1924">
        <f t="shared" si="27"/>
        <v>0</v>
      </c>
      <c r="J322" s="2170"/>
      <c r="K322" s="2171"/>
      <c r="L322" s="2170"/>
      <c r="M322" s="1924"/>
    </row>
    <row r="323" spans="1:39">
      <c r="A323" s="662"/>
      <c r="B323" s="2111" t="s">
        <v>355</v>
      </c>
      <c r="C323" s="2182"/>
      <c r="D323" s="2136">
        <f t="shared" si="26"/>
        <v>12927237</v>
      </c>
      <c r="E323" s="2171">
        <v>0</v>
      </c>
      <c r="F323" s="2170">
        <v>6229879</v>
      </c>
      <c r="G323" s="2171">
        <v>4322950</v>
      </c>
      <c r="H323" s="2170">
        <v>2374408</v>
      </c>
      <c r="I323" s="1924">
        <f t="shared" si="27"/>
        <v>12927237</v>
      </c>
      <c r="J323" s="2170"/>
      <c r="K323" s="2171"/>
      <c r="L323" s="2170"/>
      <c r="M323" s="1924">
        <f t="shared" ref="M323:M341" si="29">L323+K323+J323</f>
        <v>0</v>
      </c>
    </row>
    <row r="324" spans="1:39">
      <c r="A324" s="662"/>
      <c r="B324" s="2111" t="s">
        <v>356</v>
      </c>
      <c r="C324" s="2182"/>
      <c r="D324" s="2136">
        <f t="shared" si="26"/>
        <v>-190928.73618000001</v>
      </c>
      <c r="E324" s="2171">
        <v>0</v>
      </c>
      <c r="F324" s="2170">
        <v>-22671.133119999999</v>
      </c>
      <c r="G324" s="2171">
        <v>-165257.60305999999</v>
      </c>
      <c r="H324" s="2170">
        <v>-3000</v>
      </c>
      <c r="I324" s="1924">
        <f t="shared" si="27"/>
        <v>-190928.73618000001</v>
      </c>
      <c r="J324" s="2170"/>
      <c r="K324" s="2171"/>
      <c r="L324" s="2170"/>
      <c r="M324" s="1924">
        <f t="shared" si="29"/>
        <v>0</v>
      </c>
    </row>
    <row r="325" spans="1:39">
      <c r="A325" s="662"/>
      <c r="B325" s="2111" t="s">
        <v>357</v>
      </c>
      <c r="C325" s="2182"/>
      <c r="D325" s="2136">
        <f t="shared" si="26"/>
        <v>0</v>
      </c>
      <c r="E325" s="2171">
        <v>0</v>
      </c>
      <c r="F325" s="2170">
        <v>0</v>
      </c>
      <c r="G325" s="2171">
        <v>0</v>
      </c>
      <c r="H325" s="2170">
        <v>0</v>
      </c>
      <c r="I325" s="1924">
        <f t="shared" si="27"/>
        <v>0</v>
      </c>
      <c r="J325" s="2170"/>
      <c r="K325" s="2171"/>
      <c r="L325" s="2170"/>
      <c r="M325" s="1924">
        <f t="shared" si="29"/>
        <v>0</v>
      </c>
    </row>
    <row r="326" spans="1:39" ht="13.5" customHeight="1">
      <c r="A326" s="662"/>
      <c r="B326" s="2122" t="s">
        <v>358</v>
      </c>
      <c r="C326" s="2182"/>
      <c r="D326" s="2136">
        <f t="shared" si="26"/>
        <v>0</v>
      </c>
      <c r="E326" s="2171">
        <v>0</v>
      </c>
      <c r="F326" s="2170">
        <v>0</v>
      </c>
      <c r="G326" s="2171">
        <v>0</v>
      </c>
      <c r="H326" s="2170">
        <v>0</v>
      </c>
      <c r="I326" s="1924">
        <f t="shared" si="27"/>
        <v>0</v>
      </c>
      <c r="J326" s="2170"/>
      <c r="K326" s="2171"/>
      <c r="L326" s="2170"/>
      <c r="M326" s="1924">
        <f t="shared" si="29"/>
        <v>0</v>
      </c>
    </row>
    <row r="327" spans="1:39">
      <c r="A327" s="662"/>
      <c r="B327" s="2111" t="s">
        <v>359</v>
      </c>
      <c r="C327" s="2182"/>
      <c r="D327" s="2136">
        <f t="shared" si="26"/>
        <v>11803985.309599997</v>
      </c>
      <c r="E327" s="2171">
        <v>0</v>
      </c>
      <c r="F327" s="2170">
        <v>2876662.2971194573</v>
      </c>
      <c r="G327" s="2171">
        <v>4869523.6199105401</v>
      </c>
      <c r="H327" s="2170">
        <v>4057799.3925700001</v>
      </c>
      <c r="I327" s="1924">
        <f t="shared" si="27"/>
        <v>11803985.309599997</v>
      </c>
      <c r="J327" s="2170"/>
      <c r="K327" s="2171"/>
      <c r="L327" s="2170"/>
      <c r="M327" s="1924">
        <f t="shared" si="29"/>
        <v>0</v>
      </c>
    </row>
    <row r="328" spans="1:39">
      <c r="A328" s="662"/>
      <c r="B328" s="2111" t="s">
        <v>360</v>
      </c>
      <c r="C328" s="2182"/>
      <c r="D328" s="2136">
        <f t="shared" si="26"/>
        <v>0</v>
      </c>
      <c r="E328" s="2171">
        <v>0</v>
      </c>
      <c r="F328" s="2170">
        <v>0</v>
      </c>
      <c r="G328" s="2171">
        <v>0</v>
      </c>
      <c r="H328" s="2170">
        <v>0</v>
      </c>
      <c r="I328" s="1924">
        <f t="shared" si="27"/>
        <v>0</v>
      </c>
      <c r="J328" s="2170"/>
      <c r="K328" s="2171"/>
      <c r="L328" s="2170"/>
      <c r="M328" s="1924">
        <f t="shared" si="29"/>
        <v>0</v>
      </c>
    </row>
    <row r="329" spans="1:39" s="870" customFormat="1">
      <c r="A329" s="662"/>
      <c r="B329" s="2121" t="s">
        <v>361</v>
      </c>
      <c r="C329" s="2183"/>
      <c r="D329" s="2136">
        <f t="shared" si="26"/>
        <v>24540293.573419999</v>
      </c>
      <c r="E329" s="2171">
        <f>SUM(E323:E328)</f>
        <v>0</v>
      </c>
      <c r="F329" s="2170">
        <f>SUM(F323:F328)</f>
        <v>9083870.1639994569</v>
      </c>
      <c r="G329" s="2171">
        <f>SUM(G323:G328)</f>
        <v>9027216.0168505404</v>
      </c>
      <c r="H329" s="2170">
        <f>SUM(H323:H328)</f>
        <v>6429207.3925700001</v>
      </c>
      <c r="I329" s="1924">
        <f t="shared" si="27"/>
        <v>24540293.573419999</v>
      </c>
      <c r="J329" s="2170">
        <f>SUM(J323:J328)</f>
        <v>0</v>
      </c>
      <c r="K329" s="2171">
        <f>SUM(K323:K328)</f>
        <v>0</v>
      </c>
      <c r="L329" s="2170">
        <f>SUM(L323:L328)</f>
        <v>0</v>
      </c>
      <c r="M329" s="1924">
        <f t="shared" si="29"/>
        <v>0</v>
      </c>
      <c r="N329"/>
      <c r="O329"/>
      <c r="P329"/>
      <c r="Q329"/>
      <c r="R329"/>
      <c r="S329"/>
      <c r="T329"/>
      <c r="U329"/>
      <c r="V329"/>
      <c r="W329"/>
      <c r="X329"/>
      <c r="Y329"/>
      <c r="Z329"/>
      <c r="AA329"/>
      <c r="AB329"/>
      <c r="AC329"/>
      <c r="AD329"/>
      <c r="AE329"/>
      <c r="AF329"/>
      <c r="AG329"/>
      <c r="AH329"/>
      <c r="AI329"/>
      <c r="AJ329"/>
      <c r="AK329"/>
      <c r="AL329"/>
      <c r="AM329"/>
    </row>
    <row r="330" spans="1:39">
      <c r="A330" s="662"/>
      <c r="B330" s="2111"/>
      <c r="C330" s="2182"/>
      <c r="D330" s="2136">
        <f t="shared" si="26"/>
        <v>0</v>
      </c>
      <c r="E330" s="2171"/>
      <c r="F330" s="2170"/>
      <c r="G330" s="2171"/>
      <c r="H330" s="2170"/>
      <c r="I330" s="1924">
        <f t="shared" si="27"/>
        <v>0</v>
      </c>
      <c r="J330" s="2170"/>
      <c r="K330" s="2171"/>
      <c r="L330" s="2170"/>
      <c r="M330" s="1924">
        <f t="shared" si="29"/>
        <v>0</v>
      </c>
    </row>
    <row r="331" spans="1:39" ht="26.45">
      <c r="A331" s="662"/>
      <c r="B331" s="2122" t="s">
        <v>362</v>
      </c>
      <c r="C331" s="2182"/>
      <c r="D331" s="2136">
        <f t="shared" si="26"/>
        <v>2369753.6897700001</v>
      </c>
      <c r="E331" s="2171">
        <v>0</v>
      </c>
      <c r="F331" s="2170">
        <v>641636.00404999999</v>
      </c>
      <c r="G331" s="2171">
        <v>889837.68571999995</v>
      </c>
      <c r="H331" s="2170">
        <v>838280</v>
      </c>
      <c r="I331" s="1924">
        <f t="shared" si="27"/>
        <v>2369753.6897700001</v>
      </c>
      <c r="J331" s="2170"/>
      <c r="K331" s="2171"/>
      <c r="L331" s="2170"/>
      <c r="M331" s="1924">
        <f t="shared" si="29"/>
        <v>0</v>
      </c>
    </row>
    <row r="332" spans="1:39">
      <c r="A332" s="662"/>
      <c r="B332" s="2111"/>
      <c r="C332" s="2182"/>
      <c r="D332" s="2136">
        <f t="shared" si="26"/>
        <v>0</v>
      </c>
      <c r="E332" s="2171"/>
      <c r="F332" s="2170"/>
      <c r="G332" s="2171"/>
      <c r="H332" s="2170"/>
      <c r="I332" s="1924">
        <f t="shared" si="27"/>
        <v>0</v>
      </c>
      <c r="J332" s="2170"/>
      <c r="K332" s="2171"/>
      <c r="L332" s="2170"/>
      <c r="M332" s="1924">
        <f t="shared" si="29"/>
        <v>0</v>
      </c>
    </row>
    <row r="333" spans="1:39" ht="28.15" customHeight="1">
      <c r="A333" s="662"/>
      <c r="B333" s="2122" t="s">
        <v>363</v>
      </c>
      <c r="C333" s="2182">
        <v>4</v>
      </c>
      <c r="D333" s="2136">
        <f t="shared" si="26"/>
        <v>4836630.3953099968</v>
      </c>
      <c r="E333" s="2171">
        <v>339662.13489999995</v>
      </c>
      <c r="F333" s="2170">
        <v>1871761.1963967276</v>
      </c>
      <c r="G333" s="2171">
        <v>1667379.7675232701</v>
      </c>
      <c r="H333" s="2170">
        <v>948801</v>
      </c>
      <c r="I333" s="1924">
        <f t="shared" si="27"/>
        <v>4487941.9639199972</v>
      </c>
      <c r="J333" s="2170"/>
      <c r="K333" s="2171"/>
      <c r="L333" s="2170">
        <v>9026.2964899999988</v>
      </c>
      <c r="M333" s="1924">
        <f t="shared" si="29"/>
        <v>9026.2964899999988</v>
      </c>
    </row>
    <row r="334" spans="1:39">
      <c r="A334" s="662"/>
      <c r="B334" s="2111" t="s">
        <v>364</v>
      </c>
      <c r="C334" s="2182"/>
      <c r="D334" s="2136">
        <f t="shared" si="26"/>
        <v>0</v>
      </c>
      <c r="E334" s="2171"/>
      <c r="F334" s="2170"/>
      <c r="G334" s="2171"/>
      <c r="H334" s="2170"/>
      <c r="I334" s="1924">
        <f t="shared" si="27"/>
        <v>0</v>
      </c>
      <c r="J334" s="2170"/>
      <c r="K334" s="2171"/>
      <c r="L334" s="2170"/>
      <c r="M334" s="1924">
        <f t="shared" si="29"/>
        <v>0</v>
      </c>
    </row>
    <row r="335" spans="1:39">
      <c r="A335" s="662"/>
      <c r="B335" s="2111" t="s">
        <v>365</v>
      </c>
      <c r="C335" s="2182"/>
      <c r="D335" s="2136">
        <f t="shared" si="26"/>
        <v>93639.777639999898</v>
      </c>
      <c r="E335" s="2171">
        <v>2225.5808200000001</v>
      </c>
      <c r="F335" s="2170">
        <v>45597.401373815999</v>
      </c>
      <c r="G335" s="2171">
        <v>37068.795446183904</v>
      </c>
      <c r="H335" s="2170">
        <v>8748</v>
      </c>
      <c r="I335" s="1924">
        <f t="shared" si="27"/>
        <v>91414.196819999896</v>
      </c>
      <c r="J335" s="2170"/>
      <c r="K335" s="2171"/>
      <c r="L335" s="2170"/>
      <c r="M335" s="1924">
        <f t="shared" si="29"/>
        <v>0</v>
      </c>
    </row>
    <row r="336" spans="1:39" s="870" customFormat="1">
      <c r="A336" s="662"/>
      <c r="B336" s="2121" t="s">
        <v>366</v>
      </c>
      <c r="C336" s="2183"/>
      <c r="D336" s="2136">
        <f t="shared" si="26"/>
        <v>4930270.1729499968</v>
      </c>
      <c r="E336" s="2171">
        <f>SUM(E333:E335)</f>
        <v>341887.71571999992</v>
      </c>
      <c r="F336" s="2170">
        <f>SUM(F333:F335)</f>
        <v>1917358.5977705435</v>
      </c>
      <c r="G336" s="2171">
        <f>SUM(G333:G335)</f>
        <v>1704448.5629694541</v>
      </c>
      <c r="H336" s="2170">
        <f>SUM(H333:H335)</f>
        <v>957549</v>
      </c>
      <c r="I336" s="1924">
        <f t="shared" si="27"/>
        <v>4579356.1607399974</v>
      </c>
      <c r="J336" s="2170">
        <f>SUM(J333:J335)</f>
        <v>0</v>
      </c>
      <c r="K336" s="2171">
        <f>SUM(K333:K335)</f>
        <v>0</v>
      </c>
      <c r="L336" s="2170">
        <f>SUM(L333:L335)</f>
        <v>9026.2964899999988</v>
      </c>
      <c r="M336" s="1924">
        <f t="shared" si="29"/>
        <v>9026.2964899999988</v>
      </c>
      <c r="N336"/>
      <c r="O336"/>
      <c r="P336"/>
      <c r="Q336"/>
      <c r="R336"/>
      <c r="S336"/>
      <c r="T336"/>
      <c r="U336"/>
      <c r="V336"/>
      <c r="W336"/>
      <c r="X336"/>
      <c r="Y336"/>
      <c r="Z336"/>
      <c r="AA336"/>
      <c r="AB336"/>
      <c r="AC336"/>
      <c r="AD336"/>
      <c r="AE336"/>
      <c r="AF336"/>
      <c r="AG336"/>
      <c r="AH336"/>
      <c r="AI336"/>
      <c r="AJ336"/>
      <c r="AK336"/>
      <c r="AL336"/>
      <c r="AM336"/>
    </row>
    <row r="337" spans="1:39">
      <c r="A337" s="662"/>
      <c r="B337" s="2121"/>
      <c r="C337" s="2183"/>
      <c r="D337" s="2136">
        <f t="shared" si="26"/>
        <v>0</v>
      </c>
      <c r="E337" s="2171"/>
      <c r="F337" s="2170"/>
      <c r="G337" s="2171"/>
      <c r="H337" s="2170"/>
      <c r="I337" s="1924">
        <f t="shared" si="27"/>
        <v>0</v>
      </c>
      <c r="J337" s="2170"/>
      <c r="K337" s="2171"/>
      <c r="L337" s="2170"/>
      <c r="M337" s="1924">
        <f t="shared" si="29"/>
        <v>0</v>
      </c>
    </row>
    <row r="338" spans="1:39" s="870" customFormat="1">
      <c r="A338" s="662"/>
      <c r="B338" s="2121" t="s">
        <v>367</v>
      </c>
      <c r="C338" s="2184"/>
      <c r="D338" s="2136">
        <f t="shared" si="26"/>
        <v>8545373.5223300047</v>
      </c>
      <c r="E338" s="2171">
        <f>E321-E329-E331-E336</f>
        <v>3005624.1204900006</v>
      </c>
      <c r="F338" s="2170">
        <f>F321-F329-F331-F336</f>
        <v>441639.04238999984</v>
      </c>
      <c r="G338" s="2171">
        <f>G321-G329-G331-G336</f>
        <v>4193715.6885500043</v>
      </c>
      <c r="H338" s="2170">
        <f>H321-H329-H331-H336</f>
        <v>904394.67090000026</v>
      </c>
      <c r="I338" s="1924">
        <f t="shared" si="27"/>
        <v>5539749.4018400041</v>
      </c>
      <c r="J338" s="2170">
        <f>J321-J329-J331-J336</f>
        <v>0</v>
      </c>
      <c r="K338" s="2171">
        <f>K321-K329-K331-K336</f>
        <v>0</v>
      </c>
      <c r="L338" s="2170">
        <f>L321-L329-L331-L336</f>
        <v>0</v>
      </c>
      <c r="M338" s="1924">
        <f t="shared" si="29"/>
        <v>0</v>
      </c>
      <c r="N338"/>
      <c r="O338"/>
      <c r="P338"/>
      <c r="Q338"/>
      <c r="R338"/>
      <c r="S338"/>
      <c r="T338"/>
      <c r="U338"/>
      <c r="V338"/>
      <c r="W338"/>
      <c r="X338"/>
      <c r="Y338"/>
      <c r="Z338"/>
      <c r="AA338"/>
      <c r="AB338"/>
      <c r="AC338"/>
      <c r="AD338"/>
      <c r="AE338"/>
      <c r="AF338"/>
      <c r="AG338"/>
      <c r="AH338"/>
      <c r="AI338"/>
      <c r="AJ338"/>
      <c r="AK338"/>
      <c r="AL338"/>
      <c r="AM338"/>
    </row>
    <row r="339" spans="1:39">
      <c r="A339" s="662"/>
      <c r="B339" s="2111" t="s">
        <v>368</v>
      </c>
      <c r="C339" s="2182"/>
      <c r="D339" s="2136">
        <f t="shared" si="26"/>
        <v>1770882.8129499999</v>
      </c>
      <c r="E339" s="2171">
        <v>731133.41110999999</v>
      </c>
      <c r="F339" s="2170">
        <v>220589.34839</v>
      </c>
      <c r="G339" s="2171">
        <v>564765.38254999998</v>
      </c>
      <c r="H339" s="2170">
        <v>254394.6709</v>
      </c>
      <c r="I339" s="1924">
        <f t="shared" si="27"/>
        <v>1039749.4018399999</v>
      </c>
      <c r="J339" s="2170"/>
      <c r="K339" s="2171"/>
      <c r="L339" s="2170"/>
      <c r="M339" s="1924">
        <f t="shared" si="29"/>
        <v>0</v>
      </c>
    </row>
    <row r="340" spans="1:39">
      <c r="A340" s="662"/>
      <c r="B340" s="2111"/>
      <c r="C340" s="2182"/>
      <c r="D340" s="2136">
        <f t="shared" si="26"/>
        <v>0</v>
      </c>
      <c r="E340" s="2171"/>
      <c r="F340" s="2170"/>
      <c r="G340" s="2171"/>
      <c r="H340" s="2170"/>
      <c r="I340" s="1924">
        <f t="shared" si="27"/>
        <v>0</v>
      </c>
      <c r="J340" s="2170"/>
      <c r="K340" s="2171"/>
      <c r="L340" s="2170"/>
      <c r="M340" s="1924">
        <f t="shared" si="29"/>
        <v>0</v>
      </c>
    </row>
    <row r="341" spans="1:39" s="870" customFormat="1" ht="15" thickBot="1">
      <c r="A341" s="662"/>
      <c r="B341" s="1347" t="s">
        <v>369</v>
      </c>
      <c r="C341" s="1358"/>
      <c r="D341" s="1359">
        <f t="shared" si="26"/>
        <v>6774490.7093800055</v>
      </c>
      <c r="E341" s="1350">
        <f>E338-E339</f>
        <v>2274490.7093800008</v>
      </c>
      <c r="F341" s="1360">
        <f>F338-F339</f>
        <v>221049.69399999984</v>
      </c>
      <c r="G341" s="1350">
        <f>G338-G339</f>
        <v>3628950.3060000045</v>
      </c>
      <c r="H341" s="1360">
        <f>H338-H339</f>
        <v>650000.00000000023</v>
      </c>
      <c r="I341" s="1350">
        <f t="shared" si="27"/>
        <v>4500000.0000000047</v>
      </c>
      <c r="J341" s="1360">
        <f>J338-J339</f>
        <v>0</v>
      </c>
      <c r="K341" s="1350">
        <f>K338-K339</f>
        <v>0</v>
      </c>
      <c r="L341" s="1360">
        <f>L338-L339</f>
        <v>0</v>
      </c>
      <c r="M341" s="1350">
        <f t="shared" si="29"/>
        <v>0</v>
      </c>
      <c r="N341"/>
      <c r="O341"/>
      <c r="P341"/>
      <c r="Q341"/>
      <c r="R341"/>
      <c r="S341"/>
      <c r="T341"/>
      <c r="U341"/>
      <c r="V341"/>
      <c r="W341"/>
      <c r="X341"/>
      <c r="Y341"/>
      <c r="Z341"/>
      <c r="AA341"/>
      <c r="AB341"/>
      <c r="AC341"/>
      <c r="AD341"/>
      <c r="AE341"/>
      <c r="AF341"/>
      <c r="AG341"/>
      <c r="AH341"/>
      <c r="AI341"/>
      <c r="AJ341"/>
      <c r="AK341"/>
      <c r="AL341"/>
      <c r="AM341"/>
    </row>
    <row r="342" spans="1:39">
      <c r="A342" s="662"/>
      <c r="B342" s="662"/>
      <c r="C342" s="662"/>
      <c r="D342" s="662"/>
      <c r="E342" s="662"/>
      <c r="F342" s="662"/>
      <c r="G342" s="662"/>
      <c r="H342" s="662"/>
      <c r="I342" s="662"/>
      <c r="J342" s="662"/>
      <c r="K342" s="662"/>
      <c r="L342" s="662"/>
      <c r="M342" s="662"/>
    </row>
    <row r="343" spans="1:39">
      <c r="A343" s="662"/>
      <c r="B343" s="662"/>
      <c r="C343" s="662"/>
      <c r="D343" s="662"/>
      <c r="E343" s="662"/>
      <c r="F343" s="662"/>
      <c r="G343" s="662"/>
      <c r="H343" s="662"/>
      <c r="I343" s="662"/>
      <c r="J343" s="662"/>
      <c r="K343" s="662"/>
      <c r="L343" s="662"/>
    </row>
    <row r="346" spans="1:39" ht="15" thickBot="1"/>
    <row r="347" spans="1:39" ht="17.25" customHeight="1" thickBot="1">
      <c r="A347" s="1361" t="s">
        <v>186</v>
      </c>
      <c r="B347" s="1153" t="s">
        <v>239</v>
      </c>
      <c r="D347" s="662"/>
      <c r="E347" s="662"/>
      <c r="F347" s="662"/>
      <c r="G347" s="662"/>
      <c r="H347" s="662"/>
      <c r="I347" s="662"/>
      <c r="J347" s="662"/>
      <c r="K347" s="662"/>
      <c r="L347" s="3292"/>
      <c r="M347" s="3292" t="s">
        <v>257</v>
      </c>
    </row>
    <row r="348" spans="1:39" ht="17.25" customHeight="1" thickBot="1">
      <c r="A348" s="662"/>
      <c r="B348" s="3331" t="s">
        <v>239</v>
      </c>
      <c r="C348" s="3280" t="s">
        <v>334</v>
      </c>
      <c r="D348" s="3283" t="s">
        <v>260</v>
      </c>
      <c r="E348" s="3283" t="s">
        <v>335</v>
      </c>
      <c r="F348" s="3335" t="s">
        <v>263</v>
      </c>
      <c r="G348" s="3335"/>
      <c r="H348" s="3335"/>
      <c r="I348" s="3335"/>
      <c r="J348" s="3335"/>
      <c r="K348" s="3335"/>
      <c r="L348" s="3335"/>
      <c r="M348" s="3335"/>
    </row>
    <row r="349" spans="1:39" ht="17.25" customHeight="1" thickBot="1">
      <c r="A349" s="662"/>
      <c r="B349" s="3327"/>
      <c r="C349" s="3281"/>
      <c r="D349" s="3284"/>
      <c r="E349" s="3284"/>
      <c r="F349" s="3332" t="s">
        <v>264</v>
      </c>
      <c r="G349" s="3333"/>
      <c r="H349" s="3333"/>
      <c r="I349" s="3334"/>
      <c r="J349" s="3335" t="s">
        <v>336</v>
      </c>
      <c r="K349" s="3335"/>
      <c r="L349" s="3335"/>
      <c r="M349" s="3335"/>
    </row>
    <row r="350" spans="1:39" ht="66.599999999999994" thickBot="1">
      <c r="A350" s="662"/>
      <c r="B350" s="3327"/>
      <c r="C350" s="3281"/>
      <c r="D350" s="3285"/>
      <c r="E350" s="3285"/>
      <c r="F350" s="2963" t="s">
        <v>267</v>
      </c>
      <c r="G350" s="2963" t="s">
        <v>268</v>
      </c>
      <c r="H350" s="2963" t="s">
        <v>269</v>
      </c>
      <c r="I350" s="2963" t="s">
        <v>160</v>
      </c>
      <c r="J350" s="2964" t="s">
        <v>337</v>
      </c>
      <c r="K350" s="2964" t="s">
        <v>271</v>
      </c>
      <c r="L350" s="2964" t="s">
        <v>338</v>
      </c>
      <c r="M350" s="2964" t="s">
        <v>160</v>
      </c>
    </row>
    <row r="351" spans="1:39" ht="15" thickBot="1">
      <c r="A351" s="662"/>
      <c r="B351" s="3327"/>
      <c r="C351" s="3281"/>
      <c r="D351" s="2972">
        <v>1</v>
      </c>
      <c r="E351" s="3283">
        <v>2</v>
      </c>
      <c r="F351" s="3283">
        <v>3</v>
      </c>
      <c r="G351" s="3283">
        <v>4</v>
      </c>
      <c r="H351" s="3283"/>
      <c r="I351" s="2972">
        <v>6</v>
      </c>
      <c r="J351" s="3283">
        <v>7</v>
      </c>
      <c r="K351" s="3283">
        <v>8</v>
      </c>
      <c r="L351" s="3283">
        <v>9</v>
      </c>
      <c r="M351" s="2972">
        <v>10</v>
      </c>
    </row>
    <row r="352" spans="1:39" ht="15" thickBot="1">
      <c r="A352" s="662"/>
      <c r="B352" s="3328"/>
      <c r="C352" s="3282"/>
      <c r="D352" s="1327" t="s">
        <v>339</v>
      </c>
      <c r="E352" s="3285"/>
      <c r="F352" s="3285"/>
      <c r="G352" s="3285"/>
      <c r="H352" s="3285">
        <v>5</v>
      </c>
      <c r="I352" s="1327" t="s">
        <v>340</v>
      </c>
      <c r="J352" s="3285"/>
      <c r="K352" s="3285"/>
      <c r="L352" s="3285"/>
      <c r="M352" s="1327" t="s">
        <v>341</v>
      </c>
    </row>
    <row r="353" spans="1:39">
      <c r="A353" s="662"/>
      <c r="B353" s="1345" t="s">
        <v>342</v>
      </c>
      <c r="C353" s="888"/>
      <c r="D353" s="1346">
        <f t="shared" ref="D353:D394" si="30">E353+I353+M353</f>
        <v>840558.51451000082</v>
      </c>
      <c r="E353" s="877"/>
      <c r="F353" s="889">
        <v>276830.09633000178</v>
      </c>
      <c r="G353" s="877">
        <v>563728.41817999899</v>
      </c>
      <c r="H353" s="889"/>
      <c r="I353" s="1207">
        <f t="shared" ref="I353:I394" si="31">F353+G353+H353</f>
        <v>840558.51451000082</v>
      </c>
      <c r="J353" s="889"/>
      <c r="K353" s="877"/>
      <c r="L353" s="889"/>
      <c r="M353" s="1207">
        <f t="shared" ref="M353:M366" si="32">L353+K353+J353</f>
        <v>0</v>
      </c>
    </row>
    <row r="354" spans="1:39">
      <c r="A354" s="662"/>
      <c r="B354" s="2111"/>
      <c r="C354" s="2179"/>
      <c r="D354" s="2113">
        <f t="shared" si="30"/>
        <v>0</v>
      </c>
      <c r="E354" s="2171"/>
      <c r="F354" s="2185"/>
      <c r="G354" s="2171"/>
      <c r="H354" s="2185"/>
      <c r="I354" s="1924">
        <f t="shared" si="31"/>
        <v>0</v>
      </c>
      <c r="J354" s="2185"/>
      <c r="K354" s="2171"/>
      <c r="L354" s="2185"/>
      <c r="M354" s="1924">
        <f t="shared" si="32"/>
        <v>0</v>
      </c>
    </row>
    <row r="355" spans="1:39">
      <c r="A355" s="662"/>
      <c r="B355" s="2116" t="s">
        <v>343</v>
      </c>
      <c r="C355" s="2179"/>
      <c r="D355" s="2113">
        <f t="shared" si="30"/>
        <v>46093.64390733224</v>
      </c>
      <c r="E355" s="2171"/>
      <c r="F355" s="2185">
        <v>2335.2899224889002</v>
      </c>
      <c r="G355" s="2171">
        <v>43758.353984843343</v>
      </c>
      <c r="H355" s="2185"/>
      <c r="I355" s="1924">
        <f t="shared" si="31"/>
        <v>46093.64390733224</v>
      </c>
      <c r="J355" s="2185"/>
      <c r="K355" s="2171"/>
      <c r="L355" s="2185"/>
      <c r="M355" s="1924">
        <f t="shared" si="32"/>
        <v>0</v>
      </c>
    </row>
    <row r="356" spans="1:39">
      <c r="A356" s="662"/>
      <c r="B356" s="2116"/>
      <c r="C356" s="2179"/>
      <c r="D356" s="2113">
        <f t="shared" si="30"/>
        <v>0</v>
      </c>
      <c r="E356" s="2171"/>
      <c r="F356" s="2185"/>
      <c r="G356" s="2171"/>
      <c r="H356" s="2185"/>
      <c r="I356" s="1924">
        <f t="shared" si="31"/>
        <v>0</v>
      </c>
      <c r="J356" s="2185"/>
      <c r="K356" s="2171"/>
      <c r="L356" s="2185"/>
      <c r="M356" s="1924">
        <f t="shared" si="32"/>
        <v>0</v>
      </c>
    </row>
    <row r="357" spans="1:39" ht="14.25" customHeight="1">
      <c r="A357" s="662"/>
      <c r="B357" s="2117" t="s">
        <v>344</v>
      </c>
      <c r="C357" s="2179"/>
      <c r="D357" s="2113">
        <f t="shared" si="30"/>
        <v>0</v>
      </c>
      <c r="E357" s="2171"/>
      <c r="F357" s="2185"/>
      <c r="G357" s="2171"/>
      <c r="H357" s="2185"/>
      <c r="I357" s="1924">
        <f t="shared" si="31"/>
        <v>0</v>
      </c>
      <c r="J357" s="2185"/>
      <c r="K357" s="2171"/>
      <c r="L357" s="2185"/>
      <c r="M357" s="1924">
        <f t="shared" si="32"/>
        <v>0</v>
      </c>
    </row>
    <row r="358" spans="1:39">
      <c r="A358" s="662"/>
      <c r="B358" s="2111"/>
      <c r="C358" s="2179"/>
      <c r="D358" s="2113">
        <f t="shared" si="30"/>
        <v>0</v>
      </c>
      <c r="E358" s="2171"/>
      <c r="F358" s="2185"/>
      <c r="G358" s="2171"/>
      <c r="H358" s="2185"/>
      <c r="I358" s="1924">
        <f t="shared" si="31"/>
        <v>0</v>
      </c>
      <c r="J358" s="2185"/>
      <c r="K358" s="2171"/>
      <c r="L358" s="2185"/>
      <c r="M358" s="1924">
        <f t="shared" si="32"/>
        <v>0</v>
      </c>
    </row>
    <row r="359" spans="1:39" s="870" customFormat="1">
      <c r="A359" s="662"/>
      <c r="B359" s="2118" t="s">
        <v>345</v>
      </c>
      <c r="C359" s="2181"/>
      <c r="D359" s="2113">
        <f t="shared" si="30"/>
        <v>794464.8706026685</v>
      </c>
      <c r="E359" s="2171">
        <f>E353-E355+E357</f>
        <v>0</v>
      </c>
      <c r="F359" s="2185">
        <f>F353-F355+F357</f>
        <v>274494.80640751286</v>
      </c>
      <c r="G359" s="2171">
        <f>G353-G355+G357</f>
        <v>519970.06419515563</v>
      </c>
      <c r="H359" s="2185">
        <f>H353-H355+H357</f>
        <v>0</v>
      </c>
      <c r="I359" s="1924">
        <f t="shared" si="31"/>
        <v>794464.8706026685</v>
      </c>
      <c r="J359" s="2185">
        <f>J353-J355+J357</f>
        <v>0</v>
      </c>
      <c r="K359" s="2171">
        <f>K353-K355+K357</f>
        <v>0</v>
      </c>
      <c r="L359" s="2185">
        <f>L353-L355+L357</f>
        <v>0</v>
      </c>
      <c r="M359" s="1924">
        <f t="shared" si="32"/>
        <v>0</v>
      </c>
      <c r="N359"/>
      <c r="O359"/>
      <c r="P359"/>
      <c r="Q359"/>
      <c r="R359"/>
      <c r="S359"/>
      <c r="T359"/>
      <c r="U359"/>
      <c r="V359"/>
      <c r="W359"/>
      <c r="X359"/>
      <c r="Y359"/>
      <c r="Z359"/>
      <c r="AA359"/>
      <c r="AB359"/>
      <c r="AC359"/>
      <c r="AD359"/>
      <c r="AE359"/>
      <c r="AF359"/>
      <c r="AG359"/>
      <c r="AH359"/>
      <c r="AI359"/>
      <c r="AJ359"/>
      <c r="AK359"/>
      <c r="AL359"/>
      <c r="AM359"/>
    </row>
    <row r="360" spans="1:39">
      <c r="A360" s="662"/>
      <c r="B360" s="2118"/>
      <c r="C360" s="2181"/>
      <c r="D360" s="2113">
        <f t="shared" si="30"/>
        <v>0</v>
      </c>
      <c r="E360" s="2171"/>
      <c r="F360" s="2185"/>
      <c r="G360" s="2171"/>
      <c r="H360" s="2185"/>
      <c r="I360" s="1924">
        <f t="shared" si="31"/>
        <v>0</v>
      </c>
      <c r="J360" s="2185"/>
      <c r="K360" s="2171"/>
      <c r="L360" s="2185"/>
      <c r="M360" s="1924">
        <f t="shared" si="32"/>
        <v>0</v>
      </c>
    </row>
    <row r="361" spans="1:39" s="870" customFormat="1">
      <c r="A361" s="662"/>
      <c r="B361" s="2118" t="s">
        <v>346</v>
      </c>
      <c r="C361" s="2181"/>
      <c r="D361" s="2113">
        <f t="shared" si="30"/>
        <v>306033.96568855597</v>
      </c>
      <c r="E361" s="2171">
        <f>SUM(E362:E366)+E371</f>
        <v>221712.43882148259</v>
      </c>
      <c r="F361" s="2185">
        <f>SUM(F362:F366)+F371</f>
        <v>168003.84302878249</v>
      </c>
      <c r="G361" s="2171">
        <f>SUM(G362:G366)+G371</f>
        <v>-83682.316161709081</v>
      </c>
      <c r="H361" s="2185">
        <f>SUM(H362:H366)+H371</f>
        <v>0</v>
      </c>
      <c r="I361" s="1924">
        <f t="shared" si="31"/>
        <v>84321.526867073408</v>
      </c>
      <c r="J361" s="2185">
        <f>SUM(J362:J366)</f>
        <v>0</v>
      </c>
      <c r="K361" s="2171">
        <f>SUM(K362:K366)</f>
        <v>0</v>
      </c>
      <c r="L361" s="2185">
        <f>SUM(L362:L366)</f>
        <v>0</v>
      </c>
      <c r="M361" s="1924">
        <f t="shared" si="32"/>
        <v>0</v>
      </c>
      <c r="N361"/>
      <c r="O361"/>
      <c r="P361"/>
      <c r="Q361"/>
      <c r="R361"/>
      <c r="S361"/>
      <c r="T361"/>
      <c r="U361"/>
      <c r="V361"/>
      <c r="W361"/>
      <c r="X361"/>
      <c r="Y361"/>
      <c r="Z361"/>
      <c r="AA361"/>
      <c r="AB361"/>
      <c r="AC361"/>
      <c r="AD361"/>
      <c r="AE361"/>
      <c r="AF361"/>
      <c r="AG361"/>
      <c r="AH361"/>
      <c r="AI361"/>
      <c r="AJ361"/>
      <c r="AK361"/>
      <c r="AL361"/>
      <c r="AM361"/>
    </row>
    <row r="362" spans="1:39">
      <c r="A362" s="662"/>
      <c r="B362" s="2111" t="s">
        <v>347</v>
      </c>
      <c r="C362" s="2179">
        <v>1</v>
      </c>
      <c r="D362" s="2113">
        <f t="shared" si="30"/>
        <v>299250.75640855602</v>
      </c>
      <c r="E362" s="2171">
        <v>66826.000661482583</v>
      </c>
      <c r="F362" s="2186">
        <v>168244.54999878249</v>
      </c>
      <c r="G362" s="2171">
        <v>64180.205748290922</v>
      </c>
      <c r="H362" s="2185"/>
      <c r="I362" s="1924">
        <f t="shared" si="31"/>
        <v>232424.75574707342</v>
      </c>
      <c r="J362" s="2185"/>
      <c r="K362" s="2171"/>
      <c r="L362" s="2185"/>
      <c r="M362" s="1924">
        <f t="shared" si="32"/>
        <v>0</v>
      </c>
    </row>
    <row r="363" spans="1:39">
      <c r="A363" s="662"/>
      <c r="B363" s="2111" t="s">
        <v>348</v>
      </c>
      <c r="C363" s="2112">
        <v>2</v>
      </c>
      <c r="D363" s="2113">
        <f t="shared" si="30"/>
        <v>0</v>
      </c>
      <c r="E363" s="2114"/>
      <c r="F363" s="2187"/>
      <c r="G363" s="2171"/>
      <c r="H363" s="2185"/>
      <c r="I363" s="1924">
        <f t="shared" si="31"/>
        <v>0</v>
      </c>
      <c r="J363" s="2185"/>
      <c r="K363" s="2171"/>
      <c r="L363" s="2185"/>
      <c r="M363" s="1924">
        <f t="shared" si="32"/>
        <v>0</v>
      </c>
    </row>
    <row r="364" spans="1:39">
      <c r="A364" s="662"/>
      <c r="B364" s="2111" t="s">
        <v>349</v>
      </c>
      <c r="C364" s="2112"/>
      <c r="D364" s="2113">
        <f t="shared" si="30"/>
        <v>0</v>
      </c>
      <c r="E364" s="2114"/>
      <c r="F364" s="2187"/>
      <c r="G364" s="2171"/>
      <c r="H364" s="2185"/>
      <c r="I364" s="1924">
        <f t="shared" si="31"/>
        <v>0</v>
      </c>
      <c r="J364" s="2185"/>
      <c r="K364" s="2171"/>
      <c r="L364" s="2185"/>
      <c r="M364" s="1924">
        <f t="shared" si="32"/>
        <v>0</v>
      </c>
    </row>
    <row r="365" spans="1:39">
      <c r="A365" s="662"/>
      <c r="B365" s="2111" t="s">
        <v>350</v>
      </c>
      <c r="C365" s="2112"/>
      <c r="D365" s="2113">
        <f t="shared" si="30"/>
        <v>606.7518</v>
      </c>
      <c r="E365" s="2114"/>
      <c r="F365" s="2187">
        <v>606.7518</v>
      </c>
      <c r="G365" s="2171"/>
      <c r="H365" s="2185"/>
      <c r="I365" s="1924">
        <f t="shared" si="31"/>
        <v>606.7518</v>
      </c>
      <c r="J365" s="2185"/>
      <c r="K365" s="2171"/>
      <c r="L365" s="2185"/>
      <c r="M365" s="1924">
        <f t="shared" si="32"/>
        <v>0</v>
      </c>
    </row>
    <row r="366" spans="1:39">
      <c r="A366" s="662"/>
      <c r="B366" s="2111" t="s">
        <v>351</v>
      </c>
      <c r="C366" s="2112">
        <v>3</v>
      </c>
      <c r="D366" s="2113">
        <f t="shared" si="30"/>
        <v>6176.45748</v>
      </c>
      <c r="E366" s="2188">
        <f>SUM(E367:E370)</f>
        <v>4886.4381599999997</v>
      </c>
      <c r="F366" s="2187">
        <f>SUM(F367:F370)</f>
        <v>795.54123000000016</v>
      </c>
      <c r="G366" s="2189">
        <f>SUM(G367:G370)</f>
        <v>494.47809000000007</v>
      </c>
      <c r="H366" s="2185">
        <f>SUM(H367:H370)</f>
        <v>0</v>
      </c>
      <c r="I366" s="1924">
        <f t="shared" si="31"/>
        <v>1290.0193200000003</v>
      </c>
      <c r="J366" s="2185"/>
      <c r="K366" s="2171"/>
      <c r="L366" s="2185"/>
      <c r="M366" s="1924">
        <f t="shared" si="32"/>
        <v>0</v>
      </c>
    </row>
    <row r="367" spans="1:39">
      <c r="A367" s="662"/>
      <c r="B367" s="2120" t="s">
        <v>377</v>
      </c>
      <c r="C367" s="2112"/>
      <c r="D367" s="2113">
        <f t="shared" si="30"/>
        <v>5237.7124800000001</v>
      </c>
      <c r="E367" s="2114">
        <v>4685.7201599999999</v>
      </c>
      <c r="F367" s="2190">
        <v>551.99232000000006</v>
      </c>
      <c r="G367" s="2171"/>
      <c r="H367" s="2185"/>
      <c r="I367" s="1924">
        <f t="shared" si="31"/>
        <v>551.99232000000006</v>
      </c>
      <c r="J367" s="2185"/>
      <c r="K367" s="2171"/>
      <c r="L367" s="2185"/>
      <c r="M367" s="1924"/>
    </row>
    <row r="368" spans="1:39">
      <c r="A368" s="662"/>
      <c r="B368" s="2120" t="s">
        <v>371</v>
      </c>
      <c r="C368" s="2112"/>
      <c r="D368" s="2113">
        <f t="shared" si="30"/>
        <v>555.79200000000003</v>
      </c>
      <c r="E368" s="2114">
        <v>0</v>
      </c>
      <c r="F368" s="2190">
        <v>183.41136</v>
      </c>
      <c r="G368" s="2171">
        <v>372.38064000000003</v>
      </c>
      <c r="H368" s="2185"/>
      <c r="I368" s="1924">
        <f>F368+G368+H368</f>
        <v>555.79200000000003</v>
      </c>
      <c r="J368" s="2185"/>
      <c r="K368" s="2171"/>
      <c r="L368" s="2185"/>
      <c r="M368" s="1924"/>
    </row>
    <row r="369" spans="1:39">
      <c r="A369" s="662"/>
      <c r="B369" s="2120" t="s">
        <v>392</v>
      </c>
      <c r="C369" s="2112"/>
      <c r="D369" s="2113">
        <f t="shared" si="30"/>
        <v>200.71799999999999</v>
      </c>
      <c r="E369" s="2114">
        <v>200.71799999999999</v>
      </c>
      <c r="F369" s="2190"/>
      <c r="G369" s="2171"/>
      <c r="H369" s="2185"/>
      <c r="I369" s="1924">
        <f>F369+G369+H369</f>
        <v>0</v>
      </c>
      <c r="J369" s="2185"/>
      <c r="K369" s="2171"/>
      <c r="L369" s="2185"/>
      <c r="M369" s="1924"/>
    </row>
    <row r="370" spans="1:39">
      <c r="A370" s="662"/>
      <c r="B370" s="2111" t="s">
        <v>393</v>
      </c>
      <c r="C370" s="2112"/>
      <c r="D370" s="2113">
        <f t="shared" si="30"/>
        <v>182.23500000000001</v>
      </c>
      <c r="E370" s="2114"/>
      <c r="F370" s="2115">
        <v>60.137550000000005</v>
      </c>
      <c r="G370" s="2171">
        <v>122.09745000000001</v>
      </c>
      <c r="H370" s="2185"/>
      <c r="I370" s="1924">
        <f>F370+G370+H370</f>
        <v>182.23500000000001</v>
      </c>
      <c r="J370" s="2185"/>
      <c r="K370" s="2171"/>
      <c r="L370" s="2185"/>
      <c r="M370" s="1924"/>
    </row>
    <row r="371" spans="1:39">
      <c r="A371" s="662"/>
      <c r="B371" s="2111" t="s">
        <v>394</v>
      </c>
      <c r="C371" s="2112"/>
      <c r="D371" s="2113">
        <f t="shared" si="30"/>
        <v>150000</v>
      </c>
      <c r="E371" s="2114">
        <v>150000</v>
      </c>
      <c r="F371" s="2115">
        <v>-1643</v>
      </c>
      <c r="G371" s="2171">
        <v>-148357</v>
      </c>
      <c r="H371" s="2185"/>
      <c r="I371" s="1924"/>
      <c r="J371" s="2185"/>
      <c r="K371" s="2171"/>
      <c r="L371" s="2185"/>
      <c r="M371" s="1924">
        <f>L371+K371+J371</f>
        <v>0</v>
      </c>
    </row>
    <row r="372" spans="1:39">
      <c r="A372" s="662"/>
      <c r="B372" s="2121" t="s">
        <v>353</v>
      </c>
      <c r="C372" s="2119"/>
      <c r="D372" s="2113">
        <f t="shared" si="30"/>
        <v>0</v>
      </c>
      <c r="E372" s="2114"/>
      <c r="F372" s="2115"/>
      <c r="G372" s="2171"/>
      <c r="H372" s="2185"/>
      <c r="I372" s="1924">
        <f t="shared" si="31"/>
        <v>0</v>
      </c>
      <c r="J372" s="2185"/>
      <c r="K372" s="2171"/>
      <c r="L372" s="2185"/>
      <c r="M372" s="1924">
        <f>L372+K372+J372</f>
        <v>0</v>
      </c>
    </row>
    <row r="373" spans="1:39">
      <c r="A373" s="662"/>
      <c r="B373" s="2121"/>
      <c r="C373" s="2119"/>
      <c r="D373" s="2113">
        <f t="shared" si="30"/>
        <v>0</v>
      </c>
      <c r="E373" s="2114"/>
      <c r="F373" s="2115"/>
      <c r="G373" s="2171"/>
      <c r="H373" s="2185"/>
      <c r="I373" s="1924">
        <f t="shared" si="31"/>
        <v>0</v>
      </c>
      <c r="J373" s="2185"/>
      <c r="K373" s="2171"/>
      <c r="L373" s="2185"/>
      <c r="M373" s="1924">
        <f>L373+K373+J373</f>
        <v>0</v>
      </c>
    </row>
    <row r="374" spans="1:39" s="870" customFormat="1">
      <c r="A374" s="662"/>
      <c r="B374" s="2111" t="s">
        <v>354</v>
      </c>
      <c r="C374" s="2112"/>
      <c r="D374" s="2113">
        <f t="shared" si="30"/>
        <v>1100498.8362912247</v>
      </c>
      <c r="E374" s="2114">
        <f>E359+E361</f>
        <v>221712.43882148259</v>
      </c>
      <c r="F374" s="2115">
        <f>F359+F361</f>
        <v>442498.64943629538</v>
      </c>
      <c r="G374" s="2171">
        <f>G359+G361</f>
        <v>436287.74803344655</v>
      </c>
      <c r="H374" s="2185">
        <f>H359+H361</f>
        <v>0</v>
      </c>
      <c r="I374" s="1924">
        <f t="shared" si="31"/>
        <v>878786.39746974199</v>
      </c>
      <c r="J374" s="2185">
        <f>J359+J361</f>
        <v>0</v>
      </c>
      <c r="K374" s="2171">
        <f>K359+K361</f>
        <v>0</v>
      </c>
      <c r="L374" s="2185">
        <f>L359+L361</f>
        <v>0</v>
      </c>
      <c r="M374" s="1924">
        <f>L374+K374+J374</f>
        <v>0</v>
      </c>
      <c r="N374"/>
      <c r="O374"/>
      <c r="P374"/>
      <c r="Q374"/>
      <c r="R374"/>
      <c r="S374"/>
      <c r="T374"/>
      <c r="U374"/>
      <c r="V374"/>
      <c r="W374"/>
      <c r="X374"/>
      <c r="Y374"/>
      <c r="Z374"/>
      <c r="AA374"/>
      <c r="AB374"/>
      <c r="AC374"/>
      <c r="AD374"/>
      <c r="AE374"/>
      <c r="AF374"/>
      <c r="AG374"/>
      <c r="AH374"/>
      <c r="AI374"/>
      <c r="AJ374"/>
      <c r="AK374"/>
      <c r="AL374"/>
      <c r="AM374"/>
    </row>
    <row r="375" spans="1:39">
      <c r="A375" s="662"/>
      <c r="B375" s="2111"/>
      <c r="C375" s="2112"/>
      <c r="D375" s="2113">
        <f t="shared" si="30"/>
        <v>0</v>
      </c>
      <c r="E375" s="2114"/>
      <c r="F375" s="2115"/>
      <c r="G375" s="2171"/>
      <c r="H375" s="2185"/>
      <c r="I375" s="1924">
        <f t="shared" si="31"/>
        <v>0</v>
      </c>
      <c r="J375" s="2185"/>
      <c r="K375" s="2171"/>
      <c r="L375" s="2185"/>
      <c r="M375" s="1924"/>
    </row>
    <row r="376" spans="1:39">
      <c r="A376" s="662"/>
      <c r="B376" s="2111" t="s">
        <v>355</v>
      </c>
      <c r="C376" s="2112"/>
      <c r="D376" s="2113">
        <f t="shared" si="30"/>
        <v>260064.65242063493</v>
      </c>
      <c r="E376" s="2114"/>
      <c r="F376" s="2115">
        <v>104863.19792063492</v>
      </c>
      <c r="G376" s="2171">
        <v>155201.45449999999</v>
      </c>
      <c r="H376" s="2185"/>
      <c r="I376" s="1924">
        <f t="shared" si="31"/>
        <v>260064.65242063493</v>
      </c>
      <c r="J376" s="2185"/>
      <c r="K376" s="2171"/>
      <c r="L376" s="2185"/>
      <c r="M376" s="1924">
        <f t="shared" ref="M376:M394" si="33">L376+K376+J376</f>
        <v>0</v>
      </c>
    </row>
    <row r="377" spans="1:39">
      <c r="A377" s="662"/>
      <c r="B377" s="2122" t="s">
        <v>356</v>
      </c>
      <c r="C377" s="2112"/>
      <c r="D377" s="2113">
        <f t="shared" si="30"/>
        <v>-8740.1669999999995</v>
      </c>
      <c r="E377" s="2114"/>
      <c r="F377" s="2115">
        <v>-986.36800000000005</v>
      </c>
      <c r="G377" s="2171">
        <v>-7753.799</v>
      </c>
      <c r="H377" s="2185"/>
      <c r="I377" s="1924">
        <f t="shared" si="31"/>
        <v>-8740.1669999999995</v>
      </c>
      <c r="J377" s="2185"/>
      <c r="K377" s="2171"/>
      <c r="L377" s="2185"/>
      <c r="M377" s="1924">
        <f t="shared" si="33"/>
        <v>0</v>
      </c>
    </row>
    <row r="378" spans="1:39">
      <c r="A378" s="662"/>
      <c r="B378" s="2111" t="s">
        <v>357</v>
      </c>
      <c r="C378" s="2112"/>
      <c r="D378" s="2113">
        <f t="shared" si="30"/>
        <v>0</v>
      </c>
      <c r="E378" s="2114"/>
      <c r="F378" s="2115"/>
      <c r="G378" s="2171"/>
      <c r="H378" s="2185"/>
      <c r="I378" s="1924">
        <f t="shared" si="31"/>
        <v>0</v>
      </c>
      <c r="J378" s="2185"/>
      <c r="K378" s="2171"/>
      <c r="L378" s="2185"/>
      <c r="M378" s="1924">
        <f t="shared" si="33"/>
        <v>0</v>
      </c>
    </row>
    <row r="379" spans="1:39" ht="13.5" customHeight="1">
      <c r="A379" s="662"/>
      <c r="B379" s="2111" t="s">
        <v>358</v>
      </c>
      <c r="C379" s="2112"/>
      <c r="D379" s="2113">
        <f t="shared" si="30"/>
        <v>0</v>
      </c>
      <c r="E379" s="2114"/>
      <c r="F379" s="2115"/>
      <c r="G379" s="2171"/>
      <c r="H379" s="2185"/>
      <c r="I379" s="1924">
        <f t="shared" si="31"/>
        <v>0</v>
      </c>
      <c r="J379" s="2185"/>
      <c r="K379" s="2171"/>
      <c r="L379" s="2185"/>
      <c r="M379" s="1924">
        <f t="shared" si="33"/>
        <v>0</v>
      </c>
    </row>
    <row r="380" spans="1:39">
      <c r="A380" s="662"/>
      <c r="B380" s="2121" t="s">
        <v>359</v>
      </c>
      <c r="C380" s="2119"/>
      <c r="D380" s="2113">
        <f t="shared" si="30"/>
        <v>191271.61</v>
      </c>
      <c r="E380" s="2114"/>
      <c r="F380" s="2115">
        <v>212353.31</v>
      </c>
      <c r="G380" s="2171">
        <v>-21081.7</v>
      </c>
      <c r="H380" s="2185"/>
      <c r="I380" s="1924">
        <f t="shared" si="31"/>
        <v>191271.61</v>
      </c>
      <c r="J380" s="2185"/>
      <c r="K380" s="2171"/>
      <c r="L380" s="2185"/>
      <c r="M380" s="1924">
        <f t="shared" si="33"/>
        <v>0</v>
      </c>
    </row>
    <row r="381" spans="1:39">
      <c r="A381" s="662"/>
      <c r="B381" s="2111" t="s">
        <v>360</v>
      </c>
      <c r="C381" s="2112"/>
      <c r="D381" s="2113">
        <f t="shared" si="30"/>
        <v>0</v>
      </c>
      <c r="E381" s="2114"/>
      <c r="F381" s="2115"/>
      <c r="G381" s="2171"/>
      <c r="H381" s="2185"/>
      <c r="I381" s="1924">
        <f t="shared" si="31"/>
        <v>0</v>
      </c>
      <c r="J381" s="2185"/>
      <c r="K381" s="2171"/>
      <c r="L381" s="2185"/>
      <c r="M381" s="1924">
        <f t="shared" si="33"/>
        <v>0</v>
      </c>
    </row>
    <row r="382" spans="1:39" s="870" customFormat="1">
      <c r="A382" s="662"/>
      <c r="B382" s="2122" t="s">
        <v>361</v>
      </c>
      <c r="C382" s="2112"/>
      <c r="D382" s="2113">
        <f t="shared" si="30"/>
        <v>442596.0954206349</v>
      </c>
      <c r="E382" s="2114">
        <f>SUM(E376:E381)</f>
        <v>0</v>
      </c>
      <c r="F382" s="2115">
        <f>SUM(F376:F381)</f>
        <v>316230.13992063492</v>
      </c>
      <c r="G382" s="2171">
        <f>SUM(G376:G381)</f>
        <v>126365.9555</v>
      </c>
      <c r="H382" s="2185">
        <f>SUM(H376:H381)</f>
        <v>0</v>
      </c>
      <c r="I382" s="1924">
        <f t="shared" si="31"/>
        <v>442596.0954206349</v>
      </c>
      <c r="J382" s="2185">
        <f>SUM(J376:J381)</f>
        <v>0</v>
      </c>
      <c r="K382" s="2171">
        <f>SUM(K376:K381)</f>
        <v>0</v>
      </c>
      <c r="L382" s="2185">
        <f>SUM(L376:L381)</f>
        <v>0</v>
      </c>
      <c r="M382" s="1924">
        <f t="shared" si="33"/>
        <v>0</v>
      </c>
      <c r="N382"/>
      <c r="O382"/>
      <c r="P382"/>
      <c r="Q382"/>
      <c r="R382"/>
      <c r="S382"/>
      <c r="T382"/>
      <c r="U382"/>
      <c r="V382"/>
      <c r="W382"/>
      <c r="X382"/>
      <c r="Y382"/>
      <c r="Z382"/>
      <c r="AA382"/>
      <c r="AB382"/>
      <c r="AC382"/>
      <c r="AD382"/>
      <c r="AE382"/>
      <c r="AF382"/>
      <c r="AG382"/>
      <c r="AH382"/>
      <c r="AI382"/>
      <c r="AJ382"/>
      <c r="AK382"/>
      <c r="AL382"/>
      <c r="AM382"/>
    </row>
    <row r="383" spans="1:39">
      <c r="A383" s="662"/>
      <c r="B383" s="2111"/>
      <c r="C383" s="2112"/>
      <c r="D383" s="2113">
        <f t="shared" si="30"/>
        <v>0</v>
      </c>
      <c r="E383" s="2114"/>
      <c r="F383" s="2115"/>
      <c r="G383" s="2171"/>
      <c r="H383" s="2185"/>
      <c r="I383" s="1924">
        <f t="shared" si="31"/>
        <v>0</v>
      </c>
      <c r="J383" s="2185"/>
      <c r="K383" s="2171"/>
      <c r="L383" s="2185"/>
      <c r="M383" s="1924">
        <f t="shared" si="33"/>
        <v>0</v>
      </c>
    </row>
    <row r="384" spans="1:39" ht="26.45">
      <c r="A384" s="662"/>
      <c r="B384" s="2122" t="s">
        <v>362</v>
      </c>
      <c r="C384" s="2112"/>
      <c r="D384" s="2113">
        <f t="shared" si="30"/>
        <v>136854.46315999998</v>
      </c>
      <c r="E384" s="2114"/>
      <c r="F384" s="2115">
        <v>31691.468714096743</v>
      </c>
      <c r="G384" s="2171">
        <v>105162.99444590326</v>
      </c>
      <c r="H384" s="2185"/>
      <c r="I384" s="1924">
        <f t="shared" si="31"/>
        <v>136854.46315999998</v>
      </c>
      <c r="J384" s="2185"/>
      <c r="K384" s="2171"/>
      <c r="L384" s="2185"/>
      <c r="M384" s="1924">
        <f t="shared" si="33"/>
        <v>0</v>
      </c>
    </row>
    <row r="385" spans="1:39">
      <c r="A385" s="662"/>
      <c r="B385" s="2111"/>
      <c r="C385" s="2112"/>
      <c r="D385" s="2113">
        <f t="shared" si="30"/>
        <v>0</v>
      </c>
      <c r="E385" s="2114"/>
      <c r="F385" s="2115"/>
      <c r="G385" s="2171"/>
      <c r="H385" s="2185"/>
      <c r="I385" s="1924">
        <f t="shared" si="31"/>
        <v>0</v>
      </c>
      <c r="J385" s="2185"/>
      <c r="K385" s="2171"/>
      <c r="L385" s="2185"/>
      <c r="M385" s="1924">
        <f t="shared" si="33"/>
        <v>0</v>
      </c>
    </row>
    <row r="386" spans="1:39" ht="15.75" customHeight="1">
      <c r="A386" s="662"/>
      <c r="B386" s="2111" t="s">
        <v>363</v>
      </c>
      <c r="C386" s="2112">
        <v>4</v>
      </c>
      <c r="D386" s="2113">
        <f t="shared" si="30"/>
        <v>290594.73433000001</v>
      </c>
      <c r="E386" s="2114">
        <v>2718.1981772462232</v>
      </c>
      <c r="F386" s="2115">
        <v>90795.470925646005</v>
      </c>
      <c r="G386" s="2171">
        <v>197081.06522710779</v>
      </c>
      <c r="H386" s="2185"/>
      <c r="I386" s="1924">
        <f t="shared" si="31"/>
        <v>287876.5361527538</v>
      </c>
      <c r="J386" s="2185"/>
      <c r="K386" s="2171"/>
      <c r="L386" s="2185"/>
      <c r="M386" s="1924">
        <f t="shared" si="33"/>
        <v>0</v>
      </c>
    </row>
    <row r="387" spans="1:39">
      <c r="A387" s="662"/>
      <c r="B387" s="2121" t="s">
        <v>364</v>
      </c>
      <c r="C387" s="2119"/>
      <c r="D387" s="2113">
        <f t="shared" si="30"/>
        <v>0</v>
      </c>
      <c r="E387" s="2114"/>
      <c r="F387" s="2115"/>
      <c r="G387" s="2171"/>
      <c r="H387" s="2185"/>
      <c r="I387" s="1924">
        <f t="shared" si="31"/>
        <v>0</v>
      </c>
      <c r="J387" s="2185"/>
      <c r="K387" s="2171"/>
      <c r="L387" s="2185"/>
      <c r="M387" s="1924">
        <f t="shared" si="33"/>
        <v>0</v>
      </c>
    </row>
    <row r="388" spans="1:39">
      <c r="A388" s="662"/>
      <c r="B388" s="2121" t="s">
        <v>365</v>
      </c>
      <c r="C388" s="2119"/>
      <c r="D388" s="2113">
        <f t="shared" si="30"/>
        <v>13700.972650000002</v>
      </c>
      <c r="E388" s="2114">
        <v>2241.6671800000004</v>
      </c>
      <c r="F388" s="2115">
        <v>3781.5708051000006</v>
      </c>
      <c r="G388" s="2171">
        <v>7677.734664900001</v>
      </c>
      <c r="H388" s="2185"/>
      <c r="I388" s="1924">
        <f t="shared" si="31"/>
        <v>11459.305470000001</v>
      </c>
      <c r="J388" s="2185"/>
      <c r="K388" s="2171"/>
      <c r="L388" s="2185"/>
      <c r="M388" s="1924">
        <f t="shared" si="33"/>
        <v>0</v>
      </c>
    </row>
    <row r="389" spans="1:39" s="870" customFormat="1">
      <c r="A389" s="662"/>
      <c r="B389" s="2121" t="s">
        <v>366</v>
      </c>
      <c r="C389" s="2181"/>
      <c r="D389" s="2113">
        <f t="shared" si="30"/>
        <v>304295.70698000002</v>
      </c>
      <c r="E389" s="2171">
        <f>SUM(E386:E388)</f>
        <v>4959.8653572462235</v>
      </c>
      <c r="F389" s="2191">
        <f>SUM(F386:F388)</f>
        <v>94577.041730746001</v>
      </c>
      <c r="G389" s="2080">
        <f>SUM(G386:G388)</f>
        <v>204758.79989200778</v>
      </c>
      <c r="H389" s="2191">
        <f>SUM(H386:H388)</f>
        <v>0</v>
      </c>
      <c r="I389" s="1881">
        <f t="shared" si="31"/>
        <v>299335.84162275377</v>
      </c>
      <c r="J389" s="2191">
        <f>SUM(J386:J388)</f>
        <v>0</v>
      </c>
      <c r="K389" s="2171">
        <f>SUM(K386:K388)</f>
        <v>0</v>
      </c>
      <c r="L389" s="2185">
        <f>SUM(L386:L388)</f>
        <v>0</v>
      </c>
      <c r="M389" s="1924">
        <f t="shared" si="33"/>
        <v>0</v>
      </c>
      <c r="N389"/>
      <c r="O389"/>
      <c r="P389"/>
      <c r="Q389"/>
      <c r="R389"/>
      <c r="S389"/>
      <c r="T389"/>
      <c r="U389"/>
      <c r="V389"/>
      <c r="W389"/>
      <c r="X389"/>
      <c r="Y389"/>
      <c r="Z389"/>
      <c r="AA389"/>
      <c r="AB389"/>
      <c r="AC389"/>
      <c r="AD389"/>
      <c r="AE389"/>
      <c r="AF389"/>
      <c r="AG389"/>
      <c r="AH389"/>
      <c r="AI389"/>
      <c r="AJ389"/>
      <c r="AK389"/>
      <c r="AL389"/>
      <c r="AM389"/>
    </row>
    <row r="390" spans="1:39">
      <c r="A390" s="662"/>
      <c r="B390" s="2111"/>
      <c r="C390" s="2179"/>
      <c r="D390" s="2113">
        <f t="shared" si="30"/>
        <v>0</v>
      </c>
      <c r="E390" s="2171"/>
      <c r="F390" s="2191"/>
      <c r="G390" s="2080"/>
      <c r="H390" s="2191"/>
      <c r="I390" s="1881">
        <f t="shared" si="31"/>
        <v>0</v>
      </c>
      <c r="J390" s="2191"/>
      <c r="K390" s="2171"/>
      <c r="L390" s="2185"/>
      <c r="M390" s="1924">
        <f t="shared" si="33"/>
        <v>0</v>
      </c>
    </row>
    <row r="391" spans="1:39" s="870" customFormat="1">
      <c r="A391" s="662"/>
      <c r="B391" s="2121" t="s">
        <v>367</v>
      </c>
      <c r="C391" s="2179"/>
      <c r="D391" s="2113">
        <f t="shared" si="30"/>
        <v>216752.57073058962</v>
      </c>
      <c r="E391" s="2171">
        <f>E374-E382-E384-E389</f>
        <v>216752.57346423637</v>
      </c>
      <c r="F391" s="2191">
        <f>F374-F382-F384-F389</f>
        <v>-9.2918227892369032E-4</v>
      </c>
      <c r="G391" s="2080">
        <f>G374-G382-G384-G389</f>
        <v>-1.804464467568323E-3</v>
      </c>
      <c r="H391" s="2191">
        <f>H374-H382-H384-H389</f>
        <v>0</v>
      </c>
      <c r="I391" s="1881">
        <f t="shared" si="31"/>
        <v>-2.7336467464920133E-3</v>
      </c>
      <c r="J391" s="2191">
        <f>J374-J382-J384-J389</f>
        <v>0</v>
      </c>
      <c r="K391" s="2171">
        <f>K374-K382-K384-K389</f>
        <v>0</v>
      </c>
      <c r="L391" s="2185">
        <f>L374-L382-L384-L389</f>
        <v>0</v>
      </c>
      <c r="M391" s="1924">
        <f t="shared" si="33"/>
        <v>0</v>
      </c>
      <c r="N391"/>
      <c r="O391"/>
      <c r="P391"/>
      <c r="Q391"/>
      <c r="R391"/>
      <c r="S391"/>
      <c r="T391"/>
      <c r="U391"/>
      <c r="V391"/>
      <c r="W391"/>
      <c r="X391"/>
      <c r="Y391"/>
      <c r="Z391"/>
      <c r="AA391"/>
      <c r="AB391"/>
      <c r="AC391"/>
      <c r="AD391"/>
      <c r="AE391"/>
      <c r="AF391"/>
      <c r="AG391"/>
      <c r="AH391"/>
      <c r="AI391"/>
      <c r="AJ391"/>
      <c r="AK391"/>
      <c r="AL391"/>
      <c r="AM391"/>
    </row>
    <row r="392" spans="1:39">
      <c r="A392" s="662"/>
      <c r="B392" s="2111" t="s">
        <v>368</v>
      </c>
      <c r="C392" s="2179"/>
      <c r="D392" s="2113">
        <f t="shared" si="30"/>
        <v>14594.0409633535</v>
      </c>
      <c r="E392" s="2171">
        <v>14594.0409633535</v>
      </c>
      <c r="F392" s="2191"/>
      <c r="G392" s="2080"/>
      <c r="H392" s="2191"/>
      <c r="I392" s="1881">
        <f t="shared" si="31"/>
        <v>0</v>
      </c>
      <c r="J392" s="2191"/>
      <c r="K392" s="2171"/>
      <c r="L392" s="2185"/>
      <c r="M392" s="1924">
        <f t="shared" si="33"/>
        <v>0</v>
      </c>
    </row>
    <row r="393" spans="1:39">
      <c r="A393"/>
      <c r="B393" s="2103"/>
      <c r="C393" s="2104"/>
      <c r="D393" s="2124">
        <f t="shared" si="30"/>
        <v>0</v>
      </c>
      <c r="E393" s="2126"/>
      <c r="F393" s="2114"/>
      <c r="G393" s="2126"/>
      <c r="H393" s="2114"/>
      <c r="I393" s="2125">
        <f t="shared" si="31"/>
        <v>0</v>
      </c>
      <c r="J393" s="2114"/>
      <c r="K393" s="2126"/>
      <c r="L393" s="2114"/>
      <c r="M393" s="2127">
        <f t="shared" si="33"/>
        <v>0</v>
      </c>
    </row>
    <row r="394" spans="1:39" s="870" customFormat="1" ht="15" thickBot="1">
      <c r="A394"/>
      <c r="B394" s="1338" t="s">
        <v>369</v>
      </c>
      <c r="C394" s="1339"/>
      <c r="D394" s="1350">
        <f t="shared" si="30"/>
        <v>202158.52976723612</v>
      </c>
      <c r="E394" s="1372">
        <f>E391-E392</f>
        <v>202158.53250088287</v>
      </c>
      <c r="F394" s="1350">
        <f>F391-F392</f>
        <v>-9.2918227892369032E-4</v>
      </c>
      <c r="G394" s="1372">
        <f>G391-G392</f>
        <v>-1.804464467568323E-3</v>
      </c>
      <c r="H394" s="1350">
        <f>H391-H392</f>
        <v>0</v>
      </c>
      <c r="I394" s="1372">
        <f t="shared" si="31"/>
        <v>-2.7336467464920133E-3</v>
      </c>
      <c r="J394" s="1350">
        <f>J391-J392</f>
        <v>0</v>
      </c>
      <c r="K394" s="1372">
        <f>K391-K392</f>
        <v>0</v>
      </c>
      <c r="L394" s="1350">
        <f>L391-L392</f>
        <v>0</v>
      </c>
      <c r="M394" s="1373">
        <f t="shared" si="33"/>
        <v>0</v>
      </c>
      <c r="N394"/>
      <c r="O394"/>
      <c r="P394"/>
      <c r="Q394"/>
      <c r="R394"/>
      <c r="S394"/>
      <c r="T394"/>
      <c r="U394"/>
      <c r="V394"/>
      <c r="W394"/>
      <c r="X394"/>
      <c r="Y394"/>
      <c r="Z394"/>
      <c r="AA394"/>
      <c r="AB394"/>
      <c r="AC394"/>
      <c r="AD394"/>
      <c r="AE394"/>
      <c r="AF394"/>
      <c r="AG394"/>
      <c r="AH394"/>
      <c r="AI394"/>
      <c r="AJ394"/>
      <c r="AK394"/>
      <c r="AL394"/>
      <c r="AM394"/>
    </row>
    <row r="395" spans="1:39">
      <c r="A395"/>
      <c r="B395"/>
      <c r="C395"/>
      <c r="D395"/>
      <c r="E395"/>
      <c r="F395"/>
      <c r="G395"/>
      <c r="H395"/>
      <c r="I395"/>
      <c r="J395"/>
      <c r="K395"/>
      <c r="L395"/>
      <c r="M395"/>
    </row>
    <row r="396" spans="1:39">
      <c r="B396"/>
      <c r="C396"/>
      <c r="D396"/>
      <c r="E396"/>
      <c r="F396"/>
      <c r="G396"/>
      <c r="H396"/>
      <c r="I396"/>
      <c r="J396"/>
      <c r="K396"/>
      <c r="L396"/>
      <c r="M396"/>
    </row>
    <row r="397" spans="1:39">
      <c r="B397"/>
      <c r="C397"/>
      <c r="D397"/>
      <c r="E397"/>
      <c r="F397"/>
      <c r="G397"/>
      <c r="H397"/>
      <c r="I397"/>
      <c r="J397"/>
      <c r="K397"/>
      <c r="L397"/>
      <c r="M397"/>
    </row>
    <row r="398" spans="1:39" ht="15" thickBot="1"/>
    <row r="399" spans="1:39" ht="17.25" customHeight="1" thickBot="1">
      <c r="A399" s="1361" t="s">
        <v>132</v>
      </c>
      <c r="B399" s="1153" t="s">
        <v>103</v>
      </c>
      <c r="C399" s="873"/>
      <c r="D399" s="662"/>
      <c r="E399" s="875"/>
      <c r="F399" s="875"/>
      <c r="G399" s="875"/>
      <c r="H399" s="875"/>
      <c r="I399" s="875"/>
      <c r="J399" s="875"/>
      <c r="K399" s="875"/>
      <c r="L399" s="3292"/>
      <c r="M399" s="3292" t="s">
        <v>257</v>
      </c>
    </row>
    <row r="400" spans="1:39" ht="17.25" customHeight="1" thickBot="1">
      <c r="A400" s="662"/>
      <c r="B400" s="3331" t="s">
        <v>103</v>
      </c>
      <c r="C400" s="3280" t="s">
        <v>334</v>
      </c>
      <c r="D400" s="3283" t="s">
        <v>260</v>
      </c>
      <c r="E400" s="3283" t="s">
        <v>335</v>
      </c>
      <c r="F400" s="3335" t="s">
        <v>263</v>
      </c>
      <c r="G400" s="3335"/>
      <c r="H400" s="3335"/>
      <c r="I400" s="3335"/>
      <c r="J400" s="3335"/>
      <c r="K400" s="3335"/>
      <c r="L400" s="3335"/>
      <c r="M400" s="3335"/>
    </row>
    <row r="401" spans="1:39" ht="17.25" customHeight="1" thickBot="1">
      <c r="A401" s="662"/>
      <c r="B401" s="3327"/>
      <c r="C401" s="3281"/>
      <c r="D401" s="3284"/>
      <c r="E401" s="3284"/>
      <c r="F401" s="3332" t="s">
        <v>264</v>
      </c>
      <c r="G401" s="3333"/>
      <c r="H401" s="3333"/>
      <c r="I401" s="3334"/>
      <c r="J401" s="3335" t="s">
        <v>336</v>
      </c>
      <c r="K401" s="3335"/>
      <c r="L401" s="3335"/>
      <c r="M401" s="3335"/>
    </row>
    <row r="402" spans="1:39" ht="66.599999999999994" thickBot="1">
      <c r="A402" s="662"/>
      <c r="B402" s="3327"/>
      <c r="C402" s="3281"/>
      <c r="D402" s="3285"/>
      <c r="E402" s="3285"/>
      <c r="F402" s="2963" t="s">
        <v>267</v>
      </c>
      <c r="G402" s="2963" t="s">
        <v>268</v>
      </c>
      <c r="H402" s="2963" t="s">
        <v>269</v>
      </c>
      <c r="I402" s="2963" t="s">
        <v>160</v>
      </c>
      <c r="J402" s="2964" t="s">
        <v>337</v>
      </c>
      <c r="K402" s="2964" t="s">
        <v>271</v>
      </c>
      <c r="L402" s="2964" t="s">
        <v>338</v>
      </c>
      <c r="M402" s="2964" t="s">
        <v>160</v>
      </c>
    </row>
    <row r="403" spans="1:39" ht="17.25" customHeight="1" thickBot="1">
      <c r="A403" s="662"/>
      <c r="B403" s="3327"/>
      <c r="C403" s="3281"/>
      <c r="D403" s="2972">
        <v>1</v>
      </c>
      <c r="E403" s="3283">
        <v>2</v>
      </c>
      <c r="F403" s="3283">
        <v>3</v>
      </c>
      <c r="G403" s="3283">
        <v>4</v>
      </c>
      <c r="H403" s="3283"/>
      <c r="I403" s="2972">
        <v>6</v>
      </c>
      <c r="J403" s="3283">
        <v>7</v>
      </c>
      <c r="K403" s="3283">
        <v>8</v>
      </c>
      <c r="L403" s="3283">
        <v>9</v>
      </c>
      <c r="M403" s="2972">
        <v>10</v>
      </c>
    </row>
    <row r="404" spans="1:39" ht="15" thickBot="1">
      <c r="A404" s="662"/>
      <c r="B404" s="3328"/>
      <c r="C404" s="3282"/>
      <c r="D404" s="1327" t="s">
        <v>339</v>
      </c>
      <c r="E404" s="3285"/>
      <c r="F404" s="3285"/>
      <c r="G404" s="3285"/>
      <c r="H404" s="3285">
        <v>5</v>
      </c>
      <c r="I404" s="1327" t="s">
        <v>340</v>
      </c>
      <c r="J404" s="3285"/>
      <c r="K404" s="3285"/>
      <c r="L404" s="3285"/>
      <c r="M404" s="1327" t="s">
        <v>341</v>
      </c>
    </row>
    <row r="405" spans="1:39">
      <c r="A405" s="662"/>
      <c r="B405" s="1328" t="s">
        <v>342</v>
      </c>
      <c r="C405" s="885"/>
      <c r="D405" s="1329">
        <f t="shared" ref="D405:D442" si="34">E405+I405+M405</f>
        <v>7091470</v>
      </c>
      <c r="E405" s="887"/>
      <c r="F405" s="886">
        <v>420683</v>
      </c>
      <c r="G405" s="887">
        <v>2021532</v>
      </c>
      <c r="H405" s="886">
        <v>4649255</v>
      </c>
      <c r="I405" s="1332">
        <f t="shared" ref="I405:I442" si="35">F405+G405+H405</f>
        <v>7091470</v>
      </c>
      <c r="J405" s="886"/>
      <c r="K405" s="887"/>
      <c r="L405" s="886"/>
      <c r="M405" s="1335">
        <f t="shared" ref="M405:M422" si="36">L405+K405+J405</f>
        <v>0</v>
      </c>
    </row>
    <row r="406" spans="1:39">
      <c r="A406" s="662"/>
      <c r="B406" s="2103"/>
      <c r="C406" s="2104"/>
      <c r="D406" s="2124">
        <f t="shared" si="34"/>
        <v>0</v>
      </c>
      <c r="E406" s="2126"/>
      <c r="F406" s="2114"/>
      <c r="G406" s="2126"/>
      <c r="H406" s="2114"/>
      <c r="I406" s="2125">
        <f t="shared" si="35"/>
        <v>0</v>
      </c>
      <c r="J406" s="2114"/>
      <c r="K406" s="2126"/>
      <c r="L406" s="2114"/>
      <c r="M406" s="2127">
        <f t="shared" si="36"/>
        <v>0</v>
      </c>
    </row>
    <row r="407" spans="1:39">
      <c r="A407" s="662"/>
      <c r="B407" s="2105" t="s">
        <v>343</v>
      </c>
      <c r="C407" s="2104"/>
      <c r="D407" s="2124">
        <f t="shared" si="34"/>
        <v>355537</v>
      </c>
      <c r="E407" s="2126"/>
      <c r="F407" s="2114">
        <v>3957</v>
      </c>
      <c r="G407" s="2126">
        <v>333253</v>
      </c>
      <c r="H407" s="2114">
        <v>18327</v>
      </c>
      <c r="I407" s="2125">
        <f t="shared" si="35"/>
        <v>355537</v>
      </c>
      <c r="J407" s="2114"/>
      <c r="K407" s="2126"/>
      <c r="L407" s="2114"/>
      <c r="M407" s="2127">
        <f t="shared" si="36"/>
        <v>0</v>
      </c>
    </row>
    <row r="408" spans="1:39">
      <c r="A408" s="662"/>
      <c r="B408" s="2105"/>
      <c r="C408" s="2104"/>
      <c r="D408" s="2124">
        <f t="shared" si="34"/>
        <v>0</v>
      </c>
      <c r="E408" s="2126"/>
      <c r="F408" s="2114"/>
      <c r="G408" s="2126"/>
      <c r="H408" s="2114"/>
      <c r="I408" s="2125">
        <f t="shared" si="35"/>
        <v>0</v>
      </c>
      <c r="J408" s="2114"/>
      <c r="K408" s="2126"/>
      <c r="L408" s="2114"/>
      <c r="M408" s="2127">
        <f t="shared" si="36"/>
        <v>0</v>
      </c>
    </row>
    <row r="409" spans="1:39" ht="14.25" customHeight="1">
      <c r="A409" s="662"/>
      <c r="B409" s="2106" t="s">
        <v>344</v>
      </c>
      <c r="C409" s="2104"/>
      <c r="D409" s="2124">
        <f t="shared" si="34"/>
        <v>0</v>
      </c>
      <c r="E409" s="2126"/>
      <c r="F409" s="2114"/>
      <c r="G409" s="2126"/>
      <c r="H409" s="2114"/>
      <c r="I409" s="2125">
        <f t="shared" si="35"/>
        <v>0</v>
      </c>
      <c r="J409" s="2114"/>
      <c r="K409" s="2126"/>
      <c r="L409" s="2114"/>
      <c r="M409" s="2127">
        <f t="shared" si="36"/>
        <v>0</v>
      </c>
    </row>
    <row r="410" spans="1:39">
      <c r="A410" s="662"/>
      <c r="B410" s="2103"/>
      <c r="C410" s="2104"/>
      <c r="D410" s="2124">
        <f t="shared" si="34"/>
        <v>0</v>
      </c>
      <c r="E410" s="2126"/>
      <c r="F410" s="2114"/>
      <c r="G410" s="2126"/>
      <c r="H410" s="2114"/>
      <c r="I410" s="2125">
        <f t="shared" si="35"/>
        <v>0</v>
      </c>
      <c r="J410" s="2114"/>
      <c r="K410" s="2126"/>
      <c r="L410" s="2114"/>
      <c r="M410" s="2127">
        <f t="shared" si="36"/>
        <v>0</v>
      </c>
    </row>
    <row r="411" spans="1:39" s="870" customFormat="1">
      <c r="A411" s="662"/>
      <c r="B411" s="2107" t="s">
        <v>345</v>
      </c>
      <c r="C411" s="2108"/>
      <c r="D411" s="2124">
        <f t="shared" si="34"/>
        <v>6735933</v>
      </c>
      <c r="E411" s="2126">
        <f>E405-E407+E409</f>
        <v>0</v>
      </c>
      <c r="F411" s="2114">
        <f>F405-F407+F409</f>
        <v>416726</v>
      </c>
      <c r="G411" s="2126">
        <f>G405-G407+G409</f>
        <v>1688279</v>
      </c>
      <c r="H411" s="2114">
        <f>H405-H407+H409</f>
        <v>4630928</v>
      </c>
      <c r="I411" s="2125">
        <f t="shared" si="35"/>
        <v>6735933</v>
      </c>
      <c r="J411" s="2114">
        <f>J405-J407+J409</f>
        <v>0</v>
      </c>
      <c r="K411" s="2126">
        <f>K405-K407+K409</f>
        <v>0</v>
      </c>
      <c r="L411" s="2114">
        <f>L405-L407+L409</f>
        <v>0</v>
      </c>
      <c r="M411" s="2127">
        <f t="shared" si="36"/>
        <v>0</v>
      </c>
      <c r="N411"/>
      <c r="O411"/>
      <c r="P411"/>
      <c r="Q411"/>
      <c r="R411"/>
      <c r="S411"/>
      <c r="T411"/>
      <c r="U411"/>
      <c r="V411"/>
      <c r="W411"/>
      <c r="X411"/>
      <c r="Y411"/>
      <c r="Z411"/>
      <c r="AA411"/>
      <c r="AB411"/>
      <c r="AC411"/>
      <c r="AD411"/>
      <c r="AE411"/>
      <c r="AF411"/>
      <c r="AG411"/>
      <c r="AH411"/>
      <c r="AI411"/>
      <c r="AJ411"/>
      <c r="AK411"/>
      <c r="AL411"/>
      <c r="AM411"/>
    </row>
    <row r="412" spans="1:39">
      <c r="A412" s="662"/>
      <c r="B412" s="2107"/>
      <c r="C412" s="2108"/>
      <c r="D412" s="2124">
        <f t="shared" si="34"/>
        <v>0</v>
      </c>
      <c r="E412" s="2126"/>
      <c r="F412" s="2114"/>
      <c r="G412" s="2126"/>
      <c r="H412" s="2114"/>
      <c r="I412" s="2125">
        <f t="shared" si="35"/>
        <v>0</v>
      </c>
      <c r="J412" s="2114"/>
      <c r="K412" s="2126"/>
      <c r="L412" s="2114"/>
      <c r="M412" s="2127">
        <f t="shared" si="36"/>
        <v>0</v>
      </c>
    </row>
    <row r="413" spans="1:39" s="870" customFormat="1">
      <c r="A413" s="662"/>
      <c r="B413" s="2107" t="s">
        <v>346</v>
      </c>
      <c r="C413" s="2108"/>
      <c r="D413" s="2124">
        <f t="shared" si="34"/>
        <v>2490504</v>
      </c>
      <c r="E413" s="2126">
        <f>SUM(E414:E418)</f>
        <v>496540.36228</v>
      </c>
      <c r="F413" s="2114">
        <f>SUM(F414:F418)</f>
        <v>502645</v>
      </c>
      <c r="G413" s="2126">
        <f>SUM(G414:G418)</f>
        <v>390616</v>
      </c>
      <c r="H413" s="2114">
        <f>SUM(H414:H418)</f>
        <v>1100702.63772</v>
      </c>
      <c r="I413" s="2125">
        <f t="shared" si="35"/>
        <v>1993963.63772</v>
      </c>
      <c r="J413" s="2114">
        <f>SUM(J414:J418)</f>
        <v>0</v>
      </c>
      <c r="K413" s="2126">
        <f>SUM(K414:K418)</f>
        <v>0</v>
      </c>
      <c r="L413" s="2114">
        <f>SUM(L414:L418)</f>
        <v>0</v>
      </c>
      <c r="M413" s="2127">
        <f t="shared" si="36"/>
        <v>0</v>
      </c>
      <c r="N413"/>
      <c r="O413"/>
      <c r="P413"/>
      <c r="Q413"/>
      <c r="R413"/>
      <c r="S413"/>
      <c r="T413"/>
      <c r="U413"/>
      <c r="V413"/>
      <c r="W413"/>
      <c r="X413"/>
      <c r="Y413"/>
      <c r="Z413"/>
      <c r="AA413"/>
      <c r="AB413"/>
      <c r="AC413"/>
      <c r="AD413"/>
      <c r="AE413"/>
      <c r="AF413"/>
      <c r="AG413"/>
      <c r="AH413"/>
      <c r="AI413"/>
      <c r="AJ413"/>
      <c r="AK413"/>
      <c r="AL413"/>
      <c r="AM413"/>
    </row>
    <row r="414" spans="1:39">
      <c r="A414" s="662"/>
      <c r="B414" s="2103" t="s">
        <v>347</v>
      </c>
      <c r="C414" s="2104">
        <v>1</v>
      </c>
      <c r="D414" s="2124">
        <f t="shared" si="34"/>
        <v>2311120</v>
      </c>
      <c r="E414" s="2126">
        <v>468332</v>
      </c>
      <c r="F414" s="2114">
        <v>456308</v>
      </c>
      <c r="G414" s="2126">
        <v>334739</v>
      </c>
      <c r="H414" s="2114">
        <v>1051741</v>
      </c>
      <c r="I414" s="2125">
        <f t="shared" si="35"/>
        <v>1842788</v>
      </c>
      <c r="J414" s="2114"/>
      <c r="K414" s="2126"/>
      <c r="L414" s="2114"/>
      <c r="M414" s="2127">
        <f t="shared" si="36"/>
        <v>0</v>
      </c>
    </row>
    <row r="415" spans="1:39">
      <c r="A415" s="662"/>
      <c r="B415" s="2103" t="s">
        <v>348</v>
      </c>
      <c r="C415" s="2104">
        <v>2</v>
      </c>
      <c r="D415" s="2124">
        <f t="shared" si="34"/>
        <v>77025</v>
      </c>
      <c r="E415" s="2126">
        <v>13947</v>
      </c>
      <c r="F415" s="2114">
        <v>1413</v>
      </c>
      <c r="G415" s="2126">
        <v>42826</v>
      </c>
      <c r="H415" s="2114">
        <v>18839</v>
      </c>
      <c r="I415" s="2125">
        <f t="shared" si="35"/>
        <v>63078</v>
      </c>
      <c r="J415" s="2114"/>
      <c r="K415" s="2126"/>
      <c r="L415" s="2114"/>
      <c r="M415" s="2127">
        <f t="shared" si="36"/>
        <v>0</v>
      </c>
    </row>
    <row r="416" spans="1:39">
      <c r="A416" s="662"/>
      <c r="B416" s="2103" t="s">
        <v>349</v>
      </c>
      <c r="C416" s="2104"/>
      <c r="D416" s="2124">
        <f t="shared" si="34"/>
        <v>50109</v>
      </c>
      <c r="E416" s="2126">
        <v>11871</v>
      </c>
      <c r="F416" s="2114">
        <v>9029</v>
      </c>
      <c r="G416" s="2126">
        <v>3616</v>
      </c>
      <c r="H416" s="2114">
        <v>25593</v>
      </c>
      <c r="I416" s="2125">
        <f t="shared" si="35"/>
        <v>38238</v>
      </c>
      <c r="J416" s="2114"/>
      <c r="K416" s="2126"/>
      <c r="L416" s="2114"/>
      <c r="M416" s="2127">
        <f t="shared" si="36"/>
        <v>0</v>
      </c>
    </row>
    <row r="417" spans="1:39">
      <c r="A417" s="662"/>
      <c r="B417" s="2103" t="s">
        <v>350</v>
      </c>
      <c r="C417" s="2104"/>
      <c r="D417" s="2124">
        <f t="shared" si="34"/>
        <v>49484</v>
      </c>
      <c r="E417" s="2126">
        <v>0</v>
      </c>
      <c r="F417" s="2114">
        <v>35838</v>
      </c>
      <c r="G417" s="2126">
        <v>9334</v>
      </c>
      <c r="H417" s="2114">
        <v>4312</v>
      </c>
      <c r="I417" s="2125">
        <f t="shared" si="35"/>
        <v>49484</v>
      </c>
      <c r="J417" s="2114"/>
      <c r="K417" s="2126"/>
      <c r="L417" s="2114"/>
      <c r="M417" s="2127">
        <f t="shared" si="36"/>
        <v>0</v>
      </c>
    </row>
    <row r="418" spans="1:39">
      <c r="A418" s="662"/>
      <c r="B418" s="2103" t="s">
        <v>351</v>
      </c>
      <c r="C418" s="2104">
        <v>3</v>
      </c>
      <c r="D418" s="2124">
        <f t="shared" si="34"/>
        <v>2766</v>
      </c>
      <c r="E418" s="2126">
        <v>2390.3622800000003</v>
      </c>
      <c r="F418" s="2114">
        <v>57</v>
      </c>
      <c r="G418" s="2126">
        <v>101</v>
      </c>
      <c r="H418" s="2114">
        <v>217.63771999999972</v>
      </c>
      <c r="I418" s="2125">
        <f t="shared" si="35"/>
        <v>375.63771999999972</v>
      </c>
      <c r="J418" s="2114"/>
      <c r="K418" s="2126"/>
      <c r="L418" s="2114"/>
      <c r="M418" s="2127">
        <f t="shared" si="36"/>
        <v>0</v>
      </c>
    </row>
    <row r="419" spans="1:39">
      <c r="A419" s="662"/>
      <c r="B419" s="2103" t="s">
        <v>353</v>
      </c>
      <c r="C419" s="2104"/>
      <c r="D419" s="2124">
        <f t="shared" si="34"/>
        <v>0</v>
      </c>
      <c r="E419" s="2126"/>
      <c r="F419" s="2114"/>
      <c r="G419" s="2126"/>
      <c r="H419" s="2114"/>
      <c r="I419" s="2125">
        <f t="shared" si="35"/>
        <v>0</v>
      </c>
      <c r="J419" s="2114"/>
      <c r="K419" s="2126"/>
      <c r="L419" s="2114"/>
      <c r="M419" s="2127">
        <f t="shared" si="36"/>
        <v>0</v>
      </c>
    </row>
    <row r="420" spans="1:39">
      <c r="A420" s="662"/>
      <c r="B420" s="2103" t="s">
        <v>353</v>
      </c>
      <c r="C420" s="2104"/>
      <c r="D420" s="2124">
        <f t="shared" si="34"/>
        <v>0</v>
      </c>
      <c r="E420" s="2126"/>
      <c r="F420" s="2114"/>
      <c r="G420" s="2126"/>
      <c r="H420" s="2114"/>
      <c r="I420" s="2125">
        <f t="shared" si="35"/>
        <v>0</v>
      </c>
      <c r="J420" s="2114"/>
      <c r="K420" s="2126"/>
      <c r="L420" s="2114"/>
      <c r="M420" s="2127">
        <f t="shared" si="36"/>
        <v>0</v>
      </c>
    </row>
    <row r="421" spans="1:39">
      <c r="A421" s="662"/>
      <c r="B421" s="2103"/>
      <c r="C421" s="2104"/>
      <c r="D421" s="2124">
        <f t="shared" si="34"/>
        <v>0</v>
      </c>
      <c r="E421" s="2126"/>
      <c r="F421" s="2114"/>
      <c r="G421" s="2126"/>
      <c r="H421" s="2114"/>
      <c r="I421" s="2125">
        <f t="shared" si="35"/>
        <v>0</v>
      </c>
      <c r="J421" s="2114"/>
      <c r="K421" s="2126"/>
      <c r="L421" s="2114"/>
      <c r="M421" s="2127">
        <f t="shared" si="36"/>
        <v>0</v>
      </c>
    </row>
    <row r="422" spans="1:39" s="870" customFormat="1">
      <c r="A422" s="662"/>
      <c r="B422" s="2109" t="s">
        <v>354</v>
      </c>
      <c r="C422" s="2108"/>
      <c r="D422" s="2124">
        <f t="shared" si="34"/>
        <v>9226437</v>
      </c>
      <c r="E422" s="2126">
        <f>E411+E413</f>
        <v>496540.36228</v>
      </c>
      <c r="F422" s="2114">
        <f>F411+F413</f>
        <v>919371</v>
      </c>
      <c r="G422" s="2126">
        <f>G411+G413</f>
        <v>2078895</v>
      </c>
      <c r="H422" s="2114">
        <f>H411+H413</f>
        <v>5731630.63772</v>
      </c>
      <c r="I422" s="2125">
        <f t="shared" si="35"/>
        <v>8729896.63772</v>
      </c>
      <c r="J422" s="2114">
        <f>J411+J413</f>
        <v>0</v>
      </c>
      <c r="K422" s="2126">
        <f>K411+K413</f>
        <v>0</v>
      </c>
      <c r="L422" s="2114">
        <f>L411+L413</f>
        <v>0</v>
      </c>
      <c r="M422" s="2127">
        <f t="shared" si="36"/>
        <v>0</v>
      </c>
      <c r="N422"/>
      <c r="O422"/>
      <c r="P422"/>
      <c r="Q422"/>
      <c r="R422"/>
      <c r="S422"/>
      <c r="T422"/>
      <c r="U422"/>
      <c r="V422"/>
      <c r="W422"/>
      <c r="X422"/>
      <c r="Y422"/>
      <c r="Z422"/>
      <c r="AA422"/>
      <c r="AB422"/>
      <c r="AC422"/>
      <c r="AD422"/>
      <c r="AE422"/>
      <c r="AF422"/>
      <c r="AG422"/>
      <c r="AH422"/>
      <c r="AI422"/>
      <c r="AJ422"/>
      <c r="AK422"/>
      <c r="AL422"/>
      <c r="AM422"/>
    </row>
    <row r="423" spans="1:39">
      <c r="A423" s="662"/>
      <c r="B423" s="2109"/>
      <c r="C423" s="2108"/>
      <c r="D423" s="2124">
        <f t="shared" si="34"/>
        <v>0</v>
      </c>
      <c r="E423" s="2126"/>
      <c r="F423" s="2114"/>
      <c r="G423" s="2126"/>
      <c r="H423" s="2114"/>
      <c r="I423" s="2125">
        <f t="shared" si="35"/>
        <v>0</v>
      </c>
      <c r="J423" s="2114"/>
      <c r="K423" s="2126"/>
      <c r="L423" s="2114"/>
      <c r="M423" s="2127"/>
    </row>
    <row r="424" spans="1:39">
      <c r="A424" s="662"/>
      <c r="B424" s="2103" t="s">
        <v>355</v>
      </c>
      <c r="C424" s="2104"/>
      <c r="D424" s="2124">
        <f t="shared" si="34"/>
        <v>1802063</v>
      </c>
      <c r="E424" s="2126">
        <v>0</v>
      </c>
      <c r="F424" s="2114">
        <v>688383</v>
      </c>
      <c r="G424" s="2126">
        <v>799752</v>
      </c>
      <c r="H424" s="2114">
        <v>313928</v>
      </c>
      <c r="I424" s="2125">
        <f t="shared" si="35"/>
        <v>1802063</v>
      </c>
      <c r="J424" s="2114"/>
      <c r="K424" s="2126"/>
      <c r="L424" s="2114"/>
      <c r="M424" s="2127">
        <f t="shared" ref="M424:M442" si="37">L424+K424+J424</f>
        <v>0</v>
      </c>
    </row>
    <row r="425" spans="1:39">
      <c r="A425" s="662"/>
      <c r="B425" s="2103" t="s">
        <v>356</v>
      </c>
      <c r="C425" s="2104"/>
      <c r="D425" s="2124">
        <f t="shared" si="34"/>
        <v>-163159</v>
      </c>
      <c r="E425" s="2126">
        <v>0</v>
      </c>
      <c r="F425" s="2114">
        <v>-573</v>
      </c>
      <c r="G425" s="2126">
        <v>-157924</v>
      </c>
      <c r="H425" s="2114">
        <v>-4662</v>
      </c>
      <c r="I425" s="2125">
        <f t="shared" si="35"/>
        <v>-163159</v>
      </c>
      <c r="J425" s="2114"/>
      <c r="K425" s="2126"/>
      <c r="L425" s="2114"/>
      <c r="M425" s="2127">
        <f t="shared" si="37"/>
        <v>0</v>
      </c>
    </row>
    <row r="426" spans="1:39">
      <c r="A426" s="662"/>
      <c r="B426" s="2103" t="s">
        <v>357</v>
      </c>
      <c r="C426" s="2104"/>
      <c r="D426" s="2124">
        <f t="shared" si="34"/>
        <v>49184</v>
      </c>
      <c r="E426" s="2126">
        <v>0</v>
      </c>
      <c r="F426" s="2114">
        <v>-11083</v>
      </c>
      <c r="G426" s="2126">
        <v>23976</v>
      </c>
      <c r="H426" s="2114">
        <v>36291</v>
      </c>
      <c r="I426" s="2125">
        <f t="shared" si="35"/>
        <v>49184</v>
      </c>
      <c r="J426" s="2114"/>
      <c r="K426" s="2126"/>
      <c r="L426" s="2114"/>
      <c r="M426" s="2127">
        <f t="shared" si="37"/>
        <v>0</v>
      </c>
    </row>
    <row r="427" spans="1:39" ht="13.5" customHeight="1">
      <c r="A427" s="662"/>
      <c r="B427" s="2110" t="s">
        <v>358</v>
      </c>
      <c r="C427" s="2104"/>
      <c r="D427" s="2124">
        <f t="shared" si="34"/>
        <v>-42000</v>
      </c>
      <c r="E427" s="2126">
        <v>0</v>
      </c>
      <c r="F427" s="2114">
        <v>-1263</v>
      </c>
      <c r="G427" s="2126">
        <v>-34333</v>
      </c>
      <c r="H427" s="2114">
        <v>-6404</v>
      </c>
      <c r="I427" s="2125">
        <f t="shared" si="35"/>
        <v>-42000</v>
      </c>
      <c r="J427" s="2114"/>
      <c r="K427" s="2126"/>
      <c r="L427" s="2114"/>
      <c r="M427" s="2127">
        <f t="shared" si="37"/>
        <v>0</v>
      </c>
    </row>
    <row r="428" spans="1:39">
      <c r="A428" s="662"/>
      <c r="B428" s="2103" t="s">
        <v>359</v>
      </c>
      <c r="C428" s="2104"/>
      <c r="D428" s="2124">
        <f t="shared" si="34"/>
        <v>3249356</v>
      </c>
      <c r="E428" s="2126">
        <v>0</v>
      </c>
      <c r="F428" s="2114">
        <v>-31542</v>
      </c>
      <c r="G428" s="2126">
        <v>284918</v>
      </c>
      <c r="H428" s="2114">
        <v>2995980</v>
      </c>
      <c r="I428" s="2125">
        <f t="shared" si="35"/>
        <v>3249356</v>
      </c>
      <c r="J428" s="2114"/>
      <c r="K428" s="2126"/>
      <c r="L428" s="2114"/>
      <c r="M428" s="2127">
        <f t="shared" si="37"/>
        <v>0</v>
      </c>
    </row>
    <row r="429" spans="1:39">
      <c r="A429" s="662"/>
      <c r="B429" s="2103" t="s">
        <v>360</v>
      </c>
      <c r="C429" s="2104"/>
      <c r="D429" s="2124">
        <f t="shared" si="34"/>
        <v>0</v>
      </c>
      <c r="E429" s="2126"/>
      <c r="F429" s="2114"/>
      <c r="G429" s="2126"/>
      <c r="H429" s="2114"/>
      <c r="I429" s="2125">
        <f t="shared" si="35"/>
        <v>0</v>
      </c>
      <c r="J429" s="2114"/>
      <c r="K429" s="2126"/>
      <c r="L429" s="2114"/>
      <c r="M429" s="2127">
        <f t="shared" si="37"/>
        <v>0</v>
      </c>
    </row>
    <row r="430" spans="1:39" s="870" customFormat="1">
      <c r="A430" s="662"/>
      <c r="B430" s="2109" t="s">
        <v>361</v>
      </c>
      <c r="C430" s="2108"/>
      <c r="D430" s="2124">
        <f t="shared" si="34"/>
        <v>4895444</v>
      </c>
      <c r="E430" s="2126">
        <f>SUM(E424:E429)</f>
        <v>0</v>
      </c>
      <c r="F430" s="2114">
        <f>SUM(F424:F429)</f>
        <v>643922</v>
      </c>
      <c r="G430" s="2126">
        <f>SUM(G424:G429)</f>
        <v>916389</v>
      </c>
      <c r="H430" s="2114">
        <f>SUM(H424:H429)</f>
        <v>3335133</v>
      </c>
      <c r="I430" s="2125">
        <f t="shared" si="35"/>
        <v>4895444</v>
      </c>
      <c r="J430" s="2114">
        <f>SUM(J424:J429)</f>
        <v>0</v>
      </c>
      <c r="K430" s="2126">
        <f>SUM(K424:K429)</f>
        <v>0</v>
      </c>
      <c r="L430" s="2114">
        <f>SUM(L424:L429)</f>
        <v>0</v>
      </c>
      <c r="M430" s="2127">
        <f t="shared" si="37"/>
        <v>0</v>
      </c>
      <c r="N430"/>
      <c r="O430"/>
      <c r="P430"/>
      <c r="Q430"/>
      <c r="R430"/>
      <c r="S430"/>
      <c r="T430"/>
      <c r="U430"/>
      <c r="V430"/>
      <c r="W430"/>
      <c r="X430"/>
      <c r="Y430"/>
      <c r="Z430"/>
      <c r="AA430"/>
      <c r="AB430"/>
      <c r="AC430"/>
      <c r="AD430"/>
      <c r="AE430"/>
      <c r="AF430"/>
      <c r="AG430"/>
      <c r="AH430"/>
      <c r="AI430"/>
      <c r="AJ430"/>
      <c r="AK430"/>
      <c r="AL430"/>
      <c r="AM430"/>
    </row>
    <row r="431" spans="1:39">
      <c r="A431" s="662"/>
      <c r="B431" s="2103"/>
      <c r="C431" s="2104"/>
      <c r="D431" s="2124">
        <f t="shared" si="34"/>
        <v>0</v>
      </c>
      <c r="E431" s="2126"/>
      <c r="F431" s="2114"/>
      <c r="G431" s="2126"/>
      <c r="H431" s="2114"/>
      <c r="I431" s="2125">
        <f t="shared" si="35"/>
        <v>0</v>
      </c>
      <c r="J431" s="2114"/>
      <c r="K431" s="2126"/>
      <c r="L431" s="2114"/>
      <c r="M431" s="2127">
        <f t="shared" si="37"/>
        <v>0</v>
      </c>
    </row>
    <row r="432" spans="1:39" ht="26.45">
      <c r="A432" s="662"/>
      <c r="B432" s="2110" t="s">
        <v>362</v>
      </c>
      <c r="C432" s="2104"/>
      <c r="D432" s="2124">
        <f t="shared" si="34"/>
        <v>1098207</v>
      </c>
      <c r="E432" s="2126">
        <v>0</v>
      </c>
      <c r="F432" s="2114">
        <v>26857</v>
      </c>
      <c r="G432" s="2126">
        <v>217152</v>
      </c>
      <c r="H432" s="2114">
        <v>854198</v>
      </c>
      <c r="I432" s="2125">
        <f t="shared" si="35"/>
        <v>1098207</v>
      </c>
      <c r="J432" s="2114"/>
      <c r="K432" s="2126"/>
      <c r="L432" s="2114"/>
      <c r="M432" s="2127">
        <f t="shared" si="37"/>
        <v>0</v>
      </c>
    </row>
    <row r="433" spans="1:39">
      <c r="A433" s="662"/>
      <c r="B433" s="2103"/>
      <c r="C433" s="2104"/>
      <c r="D433" s="2124">
        <f t="shared" si="34"/>
        <v>0</v>
      </c>
      <c r="E433" s="2126"/>
      <c r="F433" s="2114"/>
      <c r="G433" s="2126"/>
      <c r="H433" s="2114"/>
      <c r="I433" s="2125">
        <f t="shared" si="35"/>
        <v>0</v>
      </c>
      <c r="J433" s="2114"/>
      <c r="K433" s="2126"/>
      <c r="L433" s="2114"/>
      <c r="M433" s="2127">
        <f t="shared" si="37"/>
        <v>0</v>
      </c>
    </row>
    <row r="434" spans="1:39" ht="15.75" customHeight="1">
      <c r="A434" s="662"/>
      <c r="B434" s="2110" t="s">
        <v>363</v>
      </c>
      <c r="C434" s="2104">
        <v>4</v>
      </c>
      <c r="D434" s="2124">
        <f t="shared" si="34"/>
        <v>1694018</v>
      </c>
      <c r="E434" s="2126">
        <v>22284.729719999945</v>
      </c>
      <c r="F434" s="2114">
        <v>233053</v>
      </c>
      <c r="G434" s="2126">
        <v>487278.27028</v>
      </c>
      <c r="H434" s="2114">
        <v>951402</v>
      </c>
      <c r="I434" s="2125">
        <f t="shared" si="35"/>
        <v>1671733.2702800001</v>
      </c>
      <c r="J434" s="2114"/>
      <c r="K434" s="2126"/>
      <c r="L434" s="2114"/>
      <c r="M434" s="2127">
        <f t="shared" si="37"/>
        <v>0</v>
      </c>
    </row>
    <row r="435" spans="1:39">
      <c r="A435" s="662"/>
      <c r="B435" s="2103" t="s">
        <v>364</v>
      </c>
      <c r="C435" s="2104"/>
      <c r="D435" s="2124">
        <f t="shared" si="34"/>
        <v>0</v>
      </c>
      <c r="E435" s="2126"/>
      <c r="F435" s="2114"/>
      <c r="G435" s="2126"/>
      <c r="H435" s="2114"/>
      <c r="I435" s="2125">
        <f t="shared" si="35"/>
        <v>0</v>
      </c>
      <c r="J435" s="2114"/>
      <c r="K435" s="2126"/>
      <c r="L435" s="2114"/>
      <c r="M435" s="2127">
        <f t="shared" si="37"/>
        <v>0</v>
      </c>
    </row>
    <row r="436" spans="1:39">
      <c r="A436" s="662"/>
      <c r="B436" s="2103" t="s">
        <v>365</v>
      </c>
      <c r="C436" s="2104"/>
      <c r="D436" s="2124">
        <f t="shared" si="34"/>
        <v>86557</v>
      </c>
      <c r="E436" s="2126">
        <v>2045</v>
      </c>
      <c r="F436" s="2114">
        <v>6339</v>
      </c>
      <c r="G436" s="2126">
        <v>34826</v>
      </c>
      <c r="H436" s="2114">
        <v>43347</v>
      </c>
      <c r="I436" s="2125">
        <f t="shared" si="35"/>
        <v>84512</v>
      </c>
      <c r="J436" s="2114"/>
      <c r="K436" s="2126"/>
      <c r="L436" s="2114"/>
      <c r="M436" s="2127">
        <f t="shared" si="37"/>
        <v>0</v>
      </c>
    </row>
    <row r="437" spans="1:39" s="870" customFormat="1">
      <c r="A437" s="662"/>
      <c r="B437" s="2109" t="s">
        <v>366</v>
      </c>
      <c r="C437" s="2108"/>
      <c r="D437" s="2124">
        <f t="shared" si="34"/>
        <v>1780575</v>
      </c>
      <c r="E437" s="2126">
        <f>SUM(E434:E436)</f>
        <v>24329.729719999945</v>
      </c>
      <c r="F437" s="2114">
        <f>SUM(F434:F436)</f>
        <v>239392</v>
      </c>
      <c r="G437" s="2126">
        <f>SUM(G434:G436)</f>
        <v>522104.27028</v>
      </c>
      <c r="H437" s="2114">
        <f>SUM(H434:H436)</f>
        <v>994749</v>
      </c>
      <c r="I437" s="2125">
        <f t="shared" si="35"/>
        <v>1756245.2702800001</v>
      </c>
      <c r="J437" s="2114">
        <f>SUM(J434:J436)</f>
        <v>0</v>
      </c>
      <c r="K437" s="2126">
        <f>SUM(K434:K436)</f>
        <v>0</v>
      </c>
      <c r="L437" s="2114">
        <f>SUM(L434:L436)</f>
        <v>0</v>
      </c>
      <c r="M437" s="2127">
        <f t="shared" si="37"/>
        <v>0</v>
      </c>
      <c r="N437"/>
      <c r="O437"/>
      <c r="P437"/>
      <c r="Q437"/>
      <c r="R437"/>
      <c r="S437"/>
      <c r="T437"/>
      <c r="U437"/>
      <c r="V437"/>
      <c r="W437"/>
      <c r="X437"/>
      <c r="Y437"/>
      <c r="Z437"/>
      <c r="AA437"/>
      <c r="AB437"/>
      <c r="AC437"/>
      <c r="AD437"/>
      <c r="AE437"/>
      <c r="AF437"/>
      <c r="AG437"/>
      <c r="AH437"/>
      <c r="AI437"/>
      <c r="AJ437"/>
      <c r="AK437"/>
      <c r="AL437"/>
      <c r="AM437"/>
    </row>
    <row r="438" spans="1:39">
      <c r="A438" s="662"/>
      <c r="B438" s="2109"/>
      <c r="C438" s="2108"/>
      <c r="D438" s="2124">
        <f t="shared" si="34"/>
        <v>0</v>
      </c>
      <c r="E438" s="2126"/>
      <c r="F438" s="2114"/>
      <c r="G438" s="2126"/>
      <c r="H438" s="2114"/>
      <c r="I438" s="2125">
        <f t="shared" si="35"/>
        <v>0</v>
      </c>
      <c r="J438" s="2114"/>
      <c r="K438" s="2126"/>
      <c r="L438" s="2114"/>
      <c r="M438" s="2127">
        <f t="shared" si="37"/>
        <v>0</v>
      </c>
    </row>
    <row r="439" spans="1:39" s="870" customFormat="1">
      <c r="A439" s="662"/>
      <c r="B439" s="2109" t="s">
        <v>367</v>
      </c>
      <c r="C439" s="2108"/>
      <c r="D439" s="2124">
        <f t="shared" si="34"/>
        <v>1452211</v>
      </c>
      <c r="E439" s="2126">
        <f>E422-E430-E432-E437</f>
        <v>472210.63256000006</v>
      </c>
      <c r="F439" s="2114">
        <f>F422-F430-F432-F437</f>
        <v>9200</v>
      </c>
      <c r="G439" s="2126">
        <f>G422-G430-G432-G437</f>
        <v>423249.72972</v>
      </c>
      <c r="H439" s="2114">
        <f>H422-H430-H432-H437</f>
        <v>547550.63772</v>
      </c>
      <c r="I439" s="2125">
        <f t="shared" si="35"/>
        <v>980000.36743999994</v>
      </c>
      <c r="J439" s="2114">
        <f>J422-J430-J432-J437</f>
        <v>0</v>
      </c>
      <c r="K439" s="2126">
        <f>K422-K430-K432-K437</f>
        <v>0</v>
      </c>
      <c r="L439" s="2114">
        <f>L422-L430-L432-L437</f>
        <v>0</v>
      </c>
      <c r="M439" s="2127">
        <f t="shared" si="37"/>
        <v>0</v>
      </c>
      <c r="N439"/>
      <c r="O439"/>
      <c r="P439"/>
      <c r="Q439"/>
      <c r="R439"/>
      <c r="S439"/>
      <c r="T439"/>
      <c r="U439"/>
      <c r="V439"/>
      <c r="W439"/>
      <c r="X439"/>
      <c r="Y439"/>
      <c r="Z439"/>
      <c r="AA439"/>
      <c r="AB439"/>
      <c r="AC439"/>
      <c r="AD439"/>
      <c r="AE439"/>
      <c r="AF439"/>
      <c r="AG439"/>
      <c r="AH439"/>
      <c r="AI439"/>
      <c r="AJ439"/>
      <c r="AK439"/>
      <c r="AL439"/>
      <c r="AM439"/>
    </row>
    <row r="440" spans="1:39">
      <c r="A440" s="662"/>
      <c r="B440" s="2103" t="s">
        <v>368</v>
      </c>
      <c r="C440" s="2104"/>
      <c r="D440" s="2124">
        <f t="shared" si="34"/>
        <v>451712</v>
      </c>
      <c r="E440" s="1678">
        <v>451712</v>
      </c>
      <c r="F440" s="2114"/>
      <c r="G440" s="2126"/>
      <c r="H440" s="2114"/>
      <c r="I440" s="2125">
        <f t="shared" si="35"/>
        <v>0</v>
      </c>
      <c r="J440" s="2114"/>
      <c r="K440" s="2126"/>
      <c r="L440" s="2114"/>
      <c r="M440" s="2127">
        <f t="shared" si="37"/>
        <v>0</v>
      </c>
    </row>
    <row r="441" spans="1:39">
      <c r="A441" s="662"/>
      <c r="B441" s="2103"/>
      <c r="C441" s="2104"/>
      <c r="D441" s="2124">
        <f t="shared" si="34"/>
        <v>0</v>
      </c>
      <c r="E441" s="2126"/>
      <c r="F441" s="2114"/>
      <c r="G441" s="2126"/>
      <c r="H441" s="2114"/>
      <c r="I441" s="2125">
        <f t="shared" si="35"/>
        <v>0</v>
      </c>
      <c r="J441" s="2114"/>
      <c r="K441" s="2126"/>
      <c r="L441" s="2114"/>
      <c r="M441" s="2127">
        <f t="shared" si="37"/>
        <v>0</v>
      </c>
    </row>
    <row r="442" spans="1:39" s="870" customFormat="1" ht="15" thickBot="1">
      <c r="A442" s="662"/>
      <c r="B442" s="1338" t="s">
        <v>369</v>
      </c>
      <c r="C442" s="1339"/>
      <c r="D442" s="1350">
        <f t="shared" si="34"/>
        <v>1000499</v>
      </c>
      <c r="E442" s="1372">
        <f>E439-E440</f>
        <v>20498.632560000056</v>
      </c>
      <c r="F442" s="1350">
        <f>F439-F440</f>
        <v>9200</v>
      </c>
      <c r="G442" s="1372">
        <f>G439-G440</f>
        <v>423249.72972</v>
      </c>
      <c r="H442" s="1350">
        <f>H439-H440</f>
        <v>547550.63772</v>
      </c>
      <c r="I442" s="1372">
        <f t="shared" si="35"/>
        <v>980000.36743999994</v>
      </c>
      <c r="J442" s="1350">
        <f>J439-J440</f>
        <v>0</v>
      </c>
      <c r="K442" s="1372">
        <f>K439-K440</f>
        <v>0</v>
      </c>
      <c r="L442" s="1350">
        <f>L439-L440</f>
        <v>0</v>
      </c>
      <c r="M442" s="1373">
        <f t="shared" si="37"/>
        <v>0</v>
      </c>
      <c r="N442"/>
      <c r="O442"/>
      <c r="P442"/>
      <c r="Q442"/>
      <c r="R442"/>
      <c r="S442"/>
      <c r="T442"/>
      <c r="U442"/>
      <c r="V442"/>
      <c r="W442"/>
      <c r="X442"/>
      <c r="Y442"/>
      <c r="Z442"/>
      <c r="AA442"/>
      <c r="AB442"/>
      <c r="AC442"/>
      <c r="AD442"/>
      <c r="AE442"/>
      <c r="AF442"/>
      <c r="AG442"/>
      <c r="AH442"/>
      <c r="AI442"/>
      <c r="AJ442"/>
      <c r="AK442"/>
      <c r="AL442"/>
      <c r="AM442"/>
    </row>
    <row r="443" spans="1:39">
      <c r="A443" s="662"/>
      <c r="B443" s="662"/>
      <c r="C443" s="662"/>
      <c r="D443" s="662"/>
      <c r="E443" s="662"/>
      <c r="F443" s="662"/>
      <c r="G443" s="662"/>
      <c r="H443" s="662"/>
      <c r="I443" s="662"/>
      <c r="J443" s="662"/>
      <c r="K443" s="662"/>
      <c r="L443" s="662"/>
      <c r="M443" s="662"/>
    </row>
    <row r="444" spans="1:39">
      <c r="A444" s="662"/>
      <c r="B444" s="662"/>
      <c r="C444" s="662"/>
      <c r="D444" s="670"/>
      <c r="E444" s="670"/>
      <c r="F444" s="670"/>
      <c r="G444" s="670"/>
      <c r="H444" s="670"/>
      <c r="I444" s="670"/>
      <c r="J444" s="662"/>
      <c r="K444" s="662"/>
      <c r="L444" s="662"/>
    </row>
    <row r="446" spans="1:39" ht="15" thickBot="1"/>
    <row r="447" spans="1:39" ht="17.25" customHeight="1" thickBot="1">
      <c r="A447" s="1361" t="s">
        <v>189</v>
      </c>
      <c r="B447" s="1153" t="s">
        <v>133</v>
      </c>
      <c r="C447" s="873"/>
      <c r="D447" s="662"/>
      <c r="E447" s="662"/>
      <c r="F447" s="662"/>
      <c r="G447" s="662"/>
      <c r="H447" s="662"/>
      <c r="I447" s="662"/>
      <c r="J447" s="662"/>
      <c r="K447" s="662"/>
      <c r="L447" s="3292"/>
      <c r="M447" s="3292" t="s">
        <v>257</v>
      </c>
    </row>
    <row r="448" spans="1:39" ht="17.25" customHeight="1" thickBot="1">
      <c r="A448" s="662"/>
      <c r="B448" s="3331" t="s">
        <v>133</v>
      </c>
      <c r="C448" s="3280" t="s">
        <v>334</v>
      </c>
      <c r="D448" s="3283" t="s">
        <v>260</v>
      </c>
      <c r="E448" s="3283" t="s">
        <v>335</v>
      </c>
      <c r="F448" s="3335" t="s">
        <v>263</v>
      </c>
      <c r="G448" s="3335"/>
      <c r="H448" s="3335"/>
      <c r="I448" s="3335"/>
      <c r="J448" s="3335"/>
      <c r="K448" s="3335"/>
      <c r="L448" s="3335"/>
      <c r="M448" s="3335"/>
    </row>
    <row r="449" spans="1:39" ht="17.25" customHeight="1" thickBot="1">
      <c r="A449" s="662"/>
      <c r="B449" s="3327"/>
      <c r="C449" s="3281"/>
      <c r="D449" s="3284"/>
      <c r="E449" s="3284"/>
      <c r="F449" s="3332" t="s">
        <v>264</v>
      </c>
      <c r="G449" s="3333"/>
      <c r="H449" s="3333"/>
      <c r="I449" s="3334"/>
      <c r="J449" s="3335" t="s">
        <v>336</v>
      </c>
      <c r="K449" s="3335"/>
      <c r="L449" s="3335"/>
      <c r="M449" s="3335"/>
    </row>
    <row r="450" spans="1:39" ht="66.599999999999994" thickBot="1">
      <c r="A450" s="662"/>
      <c r="B450" s="3327"/>
      <c r="C450" s="3281"/>
      <c r="D450" s="3285"/>
      <c r="E450" s="3285"/>
      <c r="F450" s="2963" t="s">
        <v>267</v>
      </c>
      <c r="G450" s="2963" t="s">
        <v>268</v>
      </c>
      <c r="H450" s="2963" t="s">
        <v>269</v>
      </c>
      <c r="I450" s="2963" t="s">
        <v>160</v>
      </c>
      <c r="J450" s="2964" t="s">
        <v>337</v>
      </c>
      <c r="K450" s="2964" t="s">
        <v>271</v>
      </c>
      <c r="L450" s="2964" t="s">
        <v>338</v>
      </c>
      <c r="M450" s="2964" t="s">
        <v>160</v>
      </c>
    </row>
    <row r="451" spans="1:39" ht="17.25" customHeight="1" thickBot="1">
      <c r="A451" s="662"/>
      <c r="B451" s="3327"/>
      <c r="C451" s="3281"/>
      <c r="D451" s="2972">
        <v>1</v>
      </c>
      <c r="E451" s="3283">
        <v>2</v>
      </c>
      <c r="F451" s="3283">
        <v>3</v>
      </c>
      <c r="G451" s="3283">
        <v>4</v>
      </c>
      <c r="H451" s="3283"/>
      <c r="I451" s="2972">
        <v>6</v>
      </c>
      <c r="J451" s="3283">
        <v>7</v>
      </c>
      <c r="K451" s="3283">
        <v>8</v>
      </c>
      <c r="L451" s="3283">
        <v>9</v>
      </c>
      <c r="M451" s="2972">
        <v>10</v>
      </c>
    </row>
    <row r="452" spans="1:39" ht="15" thickBot="1">
      <c r="A452" s="662"/>
      <c r="B452" s="3328"/>
      <c r="C452" s="3282"/>
      <c r="D452" s="1327" t="s">
        <v>339</v>
      </c>
      <c r="E452" s="3285"/>
      <c r="F452" s="3285"/>
      <c r="G452" s="3285"/>
      <c r="H452" s="3285">
        <v>5</v>
      </c>
      <c r="I452" s="1327" t="s">
        <v>340</v>
      </c>
      <c r="J452" s="3285"/>
      <c r="K452" s="3285"/>
      <c r="L452" s="3285"/>
      <c r="M452" s="1327" t="s">
        <v>341</v>
      </c>
    </row>
    <row r="453" spans="1:39">
      <c r="A453" s="662"/>
      <c r="B453" s="1328" t="s">
        <v>342</v>
      </c>
      <c r="C453" s="885"/>
      <c r="D453" s="1329">
        <f t="shared" ref="D453:D490" si="38">E453+I453+M453</f>
        <v>5459670.01198</v>
      </c>
      <c r="E453" s="887"/>
      <c r="F453" s="886">
        <v>73932.546000000002</v>
      </c>
      <c r="G453" s="887">
        <v>3505828.2579799998</v>
      </c>
      <c r="H453" s="886">
        <v>1879909.2080000001</v>
      </c>
      <c r="I453" s="1332">
        <f>F453+G453+H453</f>
        <v>5459670.01198</v>
      </c>
      <c r="J453" s="886"/>
      <c r="K453" s="887"/>
      <c r="L453" s="886"/>
      <c r="M453" s="1335">
        <f t="shared" ref="M453:M470" si="39">L453+K453+J453</f>
        <v>0</v>
      </c>
    </row>
    <row r="454" spans="1:39">
      <c r="A454" s="662"/>
      <c r="B454" s="2103"/>
      <c r="C454" s="2104"/>
      <c r="D454" s="2124">
        <f t="shared" si="38"/>
        <v>0</v>
      </c>
      <c r="E454" s="2126"/>
      <c r="F454" s="2114"/>
      <c r="G454" s="2126"/>
      <c r="H454" s="2114"/>
      <c r="I454" s="2125">
        <f t="shared" ref="I454:I490" si="40">F454+G454+H454</f>
        <v>0</v>
      </c>
      <c r="J454" s="2114"/>
      <c r="K454" s="2126"/>
      <c r="L454" s="2114"/>
      <c r="M454" s="2127">
        <f t="shared" si="39"/>
        <v>0</v>
      </c>
    </row>
    <row r="455" spans="1:39">
      <c r="A455" s="662"/>
      <c r="B455" s="2105" t="s">
        <v>343</v>
      </c>
      <c r="C455" s="2104"/>
      <c r="D455" s="2124">
        <f t="shared" si="38"/>
        <v>211961.27713999999</v>
      </c>
      <c r="E455" s="2126"/>
      <c r="F455" s="2114">
        <v>1329.5180899999998</v>
      </c>
      <c r="G455" s="2126">
        <v>153240.61494999999</v>
      </c>
      <c r="H455" s="2114">
        <v>57391.144100000005</v>
      </c>
      <c r="I455" s="2125">
        <f t="shared" si="40"/>
        <v>211961.27713999999</v>
      </c>
      <c r="J455" s="2114"/>
      <c r="K455" s="2126"/>
      <c r="L455" s="2114"/>
      <c r="M455" s="2127">
        <f t="shared" si="39"/>
        <v>0</v>
      </c>
    </row>
    <row r="456" spans="1:39">
      <c r="A456" s="662"/>
      <c r="B456" s="2105"/>
      <c r="C456" s="2104"/>
      <c r="D456" s="2124">
        <f t="shared" si="38"/>
        <v>0</v>
      </c>
      <c r="E456" s="2126"/>
      <c r="F456" s="2114"/>
      <c r="G456" s="2126"/>
      <c r="H456" s="2114"/>
      <c r="I456" s="2125">
        <f t="shared" si="40"/>
        <v>0</v>
      </c>
      <c r="J456" s="2114"/>
      <c r="K456" s="2126"/>
      <c r="L456" s="2114"/>
      <c r="M456" s="2127">
        <f t="shared" si="39"/>
        <v>0</v>
      </c>
    </row>
    <row r="457" spans="1:39" ht="14.25" customHeight="1">
      <c r="A457" s="662"/>
      <c r="B457" s="2106" t="s">
        <v>344</v>
      </c>
      <c r="C457" s="2104"/>
      <c r="D457" s="2124">
        <f t="shared" si="38"/>
        <v>0</v>
      </c>
      <c r="E457" s="2126"/>
      <c r="F457" s="2114"/>
      <c r="G457" s="2126"/>
      <c r="H457" s="2114"/>
      <c r="I457" s="2125">
        <f t="shared" si="40"/>
        <v>0</v>
      </c>
      <c r="J457" s="2114"/>
      <c r="K457" s="2126"/>
      <c r="L457" s="2114"/>
      <c r="M457" s="2127">
        <f t="shared" si="39"/>
        <v>0</v>
      </c>
    </row>
    <row r="458" spans="1:39">
      <c r="A458" s="662"/>
      <c r="B458" s="2103"/>
      <c r="C458" s="2104"/>
      <c r="D458" s="2124">
        <f t="shared" si="38"/>
        <v>0</v>
      </c>
      <c r="E458" s="2126"/>
      <c r="F458" s="2114"/>
      <c r="G458" s="2126"/>
      <c r="H458" s="2114"/>
      <c r="I458" s="2125">
        <f t="shared" si="40"/>
        <v>0</v>
      </c>
      <c r="J458" s="2114"/>
      <c r="K458" s="2126"/>
      <c r="L458" s="2114"/>
      <c r="M458" s="2127">
        <f t="shared" si="39"/>
        <v>0</v>
      </c>
    </row>
    <row r="459" spans="1:39" s="870" customFormat="1">
      <c r="A459" s="662"/>
      <c r="B459" s="2107" t="s">
        <v>345</v>
      </c>
      <c r="C459" s="2108"/>
      <c r="D459" s="2124">
        <f t="shared" si="38"/>
        <v>5247708.73484</v>
      </c>
      <c r="E459" s="2126">
        <f>E453-E455+E457</f>
        <v>0</v>
      </c>
      <c r="F459" s="2114">
        <f>F453-F455+F457</f>
        <v>72603.027910000004</v>
      </c>
      <c r="G459" s="2126">
        <f>G453-G455+G457</f>
        <v>3352587.6430299999</v>
      </c>
      <c r="H459" s="2114">
        <f>H453-H455+H457</f>
        <v>1822518.0639000002</v>
      </c>
      <c r="I459" s="2125">
        <f t="shared" si="40"/>
        <v>5247708.73484</v>
      </c>
      <c r="J459" s="2114">
        <f>J453-J455+J457</f>
        <v>0</v>
      </c>
      <c r="K459" s="2126">
        <f>K453-K455+K457</f>
        <v>0</v>
      </c>
      <c r="L459" s="2114">
        <f>L453-L455+L457</f>
        <v>0</v>
      </c>
      <c r="M459" s="2127">
        <f t="shared" si="39"/>
        <v>0</v>
      </c>
      <c r="N459"/>
      <c r="O459"/>
      <c r="P459"/>
      <c r="Q459"/>
      <c r="R459"/>
      <c r="S459"/>
      <c r="T459"/>
      <c r="U459"/>
      <c r="V459"/>
      <c r="W459"/>
      <c r="X459"/>
      <c r="Y459"/>
      <c r="Z459"/>
      <c r="AA459"/>
      <c r="AB459"/>
      <c r="AC459"/>
      <c r="AD459"/>
      <c r="AE459"/>
      <c r="AF459"/>
      <c r="AG459"/>
      <c r="AH459"/>
      <c r="AI459"/>
      <c r="AJ459"/>
      <c r="AK459"/>
      <c r="AL459"/>
      <c r="AM459"/>
    </row>
    <row r="460" spans="1:39">
      <c r="A460" s="662"/>
      <c r="B460" s="2107"/>
      <c r="C460" s="2108"/>
      <c r="D460" s="2124">
        <f t="shared" si="38"/>
        <v>0</v>
      </c>
      <c r="E460" s="2126"/>
      <c r="F460" s="2114"/>
      <c r="G460" s="2126"/>
      <c r="H460" s="2114"/>
      <c r="I460" s="2125">
        <f t="shared" si="40"/>
        <v>0</v>
      </c>
      <c r="J460" s="2114"/>
      <c r="K460" s="2126"/>
      <c r="L460" s="2114"/>
      <c r="M460" s="2127">
        <f t="shared" si="39"/>
        <v>0</v>
      </c>
    </row>
    <row r="461" spans="1:39" s="870" customFormat="1">
      <c r="A461" s="662"/>
      <c r="B461" s="2107" t="s">
        <v>346</v>
      </c>
      <c r="C461" s="2108"/>
      <c r="D461" s="2124">
        <f t="shared" si="38"/>
        <v>2075148.6713599998</v>
      </c>
      <c r="E461" s="2126">
        <f>SUM(E462:E466)</f>
        <v>949829.55692999973</v>
      </c>
      <c r="F461" s="2114">
        <f>SUM(F462:F466)</f>
        <v>-161503.22599999997</v>
      </c>
      <c r="G461" s="2126">
        <f>SUM(G462:G466)</f>
        <v>663075.79626999993</v>
      </c>
      <c r="H461" s="2114">
        <f>SUM(H462:H466)</f>
        <v>623746.54416000005</v>
      </c>
      <c r="I461" s="2125">
        <f t="shared" si="40"/>
        <v>1125319.1144300001</v>
      </c>
      <c r="J461" s="2114">
        <f>SUM(J462:J466)</f>
        <v>0</v>
      </c>
      <c r="K461" s="2126">
        <f>SUM(K462:K466)</f>
        <v>0</v>
      </c>
      <c r="L461" s="2114">
        <f>SUM(L462:L466)</f>
        <v>0</v>
      </c>
      <c r="M461" s="2127">
        <f t="shared" si="39"/>
        <v>0</v>
      </c>
      <c r="N461"/>
      <c r="O461"/>
      <c r="P461"/>
      <c r="Q461"/>
      <c r="R461"/>
      <c r="S461"/>
      <c r="T461"/>
      <c r="U461"/>
      <c r="V461"/>
      <c r="W461"/>
      <c r="X461"/>
      <c r="Y461"/>
      <c r="Z461"/>
      <c r="AA461"/>
      <c r="AB461"/>
      <c r="AC461"/>
      <c r="AD461"/>
      <c r="AE461"/>
      <c r="AF461"/>
      <c r="AG461"/>
      <c r="AH461"/>
      <c r="AI461"/>
      <c r="AJ461"/>
      <c r="AK461"/>
      <c r="AL461"/>
      <c r="AM461"/>
    </row>
    <row r="462" spans="1:39">
      <c r="A462" s="662"/>
      <c r="B462" s="2103" t="s">
        <v>347</v>
      </c>
      <c r="C462" s="2104">
        <v>1</v>
      </c>
      <c r="D462" s="2124">
        <f t="shared" si="38"/>
        <v>1918513.8613599997</v>
      </c>
      <c r="E462" s="2126">
        <v>613009.76756999991</v>
      </c>
      <c r="F462" s="2114">
        <v>145814.81414</v>
      </c>
      <c r="G462" s="2126">
        <v>566017.55878999992</v>
      </c>
      <c r="H462" s="2114">
        <v>593671.72086</v>
      </c>
      <c r="I462" s="2125">
        <f t="shared" si="40"/>
        <v>1305504.0937899998</v>
      </c>
      <c r="J462" s="2114"/>
      <c r="K462" s="2126"/>
      <c r="L462" s="2114"/>
      <c r="M462" s="2127">
        <f t="shared" si="39"/>
        <v>0</v>
      </c>
    </row>
    <row r="463" spans="1:39">
      <c r="A463" s="662"/>
      <c r="B463" s="2103" t="s">
        <v>348</v>
      </c>
      <c r="C463" s="2104">
        <v>2</v>
      </c>
      <c r="D463" s="2124">
        <f t="shared" si="38"/>
        <v>102399.40367</v>
      </c>
      <c r="E463" s="2126">
        <v>0</v>
      </c>
      <c r="F463" s="2114">
        <v>294.14</v>
      </c>
      <c r="G463" s="2126">
        <v>86386.148669999995</v>
      </c>
      <c r="H463" s="2114">
        <v>15719.115</v>
      </c>
      <c r="I463" s="2125">
        <f t="shared" si="40"/>
        <v>102399.40367</v>
      </c>
      <c r="J463" s="2114"/>
      <c r="K463" s="2126"/>
      <c r="L463" s="2114"/>
      <c r="M463" s="2127">
        <f t="shared" si="39"/>
        <v>0</v>
      </c>
    </row>
    <row r="464" spans="1:39">
      <c r="A464" s="662"/>
      <c r="B464" s="2103" t="s">
        <v>349</v>
      </c>
      <c r="C464" s="2104"/>
      <c r="D464" s="2124">
        <f t="shared" si="38"/>
        <v>235138.87042000002</v>
      </c>
      <c r="E464" s="2126">
        <v>36310.266080000001</v>
      </c>
      <c r="F464" s="2114">
        <v>68.944779999999994</v>
      </c>
      <c r="G464" s="2126">
        <v>95506.621710000007</v>
      </c>
      <c r="H464" s="2114">
        <v>103253.03784999999</v>
      </c>
      <c r="I464" s="2125">
        <f t="shared" si="40"/>
        <v>198828.60434000002</v>
      </c>
      <c r="J464" s="2114"/>
      <c r="K464" s="2126"/>
      <c r="L464" s="2114"/>
      <c r="M464" s="2127">
        <f t="shared" si="39"/>
        <v>0</v>
      </c>
    </row>
    <row r="465" spans="1:39">
      <c r="A465" s="662"/>
      <c r="B465" s="2103" t="s">
        <v>350</v>
      </c>
      <c r="C465" s="2104"/>
      <c r="D465" s="2124">
        <f t="shared" si="38"/>
        <v>-488564.68776999996</v>
      </c>
      <c r="E465" s="2126">
        <v>3899.5788699999898</v>
      </c>
      <c r="F465" s="2114">
        <v>-307708.32199999999</v>
      </c>
      <c r="G465" s="2126">
        <v>-95541.347990000009</v>
      </c>
      <c r="H465" s="2114">
        <v>-89214.596649999992</v>
      </c>
      <c r="I465" s="2125">
        <f t="shared" si="40"/>
        <v>-492464.26663999993</v>
      </c>
      <c r="J465" s="2114"/>
      <c r="K465" s="2126"/>
      <c r="L465" s="2114"/>
      <c r="M465" s="2127">
        <f t="shared" si="39"/>
        <v>0</v>
      </c>
    </row>
    <row r="466" spans="1:39">
      <c r="A466" s="662"/>
      <c r="B466" s="2103" t="s">
        <v>351</v>
      </c>
      <c r="C466" s="2104">
        <v>3</v>
      </c>
      <c r="D466" s="2124">
        <f t="shared" si="38"/>
        <v>307661.22367999994</v>
      </c>
      <c r="E466" s="2126">
        <v>296609.94440999994</v>
      </c>
      <c r="F466" s="2114">
        <v>27.197080000000003</v>
      </c>
      <c r="G466" s="2126">
        <v>10706.81509</v>
      </c>
      <c r="H466" s="2114">
        <v>317.26710000000003</v>
      </c>
      <c r="I466" s="2125">
        <f t="shared" si="40"/>
        <v>11051.279269999999</v>
      </c>
      <c r="J466" s="2114"/>
      <c r="K466" s="2126"/>
      <c r="L466" s="2114"/>
      <c r="M466" s="2127">
        <f t="shared" si="39"/>
        <v>0</v>
      </c>
    </row>
    <row r="467" spans="1:39">
      <c r="A467" s="662"/>
      <c r="B467" s="2103" t="s">
        <v>353</v>
      </c>
      <c r="C467" s="2104"/>
      <c r="D467" s="2124">
        <f t="shared" si="38"/>
        <v>0</v>
      </c>
      <c r="E467" s="2126"/>
      <c r="F467" s="2114"/>
      <c r="G467" s="2126"/>
      <c r="H467" s="2114"/>
      <c r="I467" s="2125">
        <f t="shared" si="40"/>
        <v>0</v>
      </c>
      <c r="J467" s="2114"/>
      <c r="K467" s="2126"/>
      <c r="L467" s="2114"/>
      <c r="M467" s="2127">
        <f t="shared" si="39"/>
        <v>0</v>
      </c>
    </row>
    <row r="468" spans="1:39">
      <c r="A468" s="662"/>
      <c r="B468" s="2103" t="s">
        <v>353</v>
      </c>
      <c r="C468" s="2104"/>
      <c r="D468" s="2124">
        <f t="shared" si="38"/>
        <v>0</v>
      </c>
      <c r="E468" s="2126"/>
      <c r="F468" s="2114"/>
      <c r="G468" s="2126"/>
      <c r="H468" s="2114"/>
      <c r="I468" s="2125">
        <f t="shared" si="40"/>
        <v>0</v>
      </c>
      <c r="J468" s="2114"/>
      <c r="K468" s="2126"/>
      <c r="L468" s="2114"/>
      <c r="M468" s="2127">
        <f t="shared" si="39"/>
        <v>0</v>
      </c>
    </row>
    <row r="469" spans="1:39">
      <c r="A469" s="662"/>
      <c r="B469" s="2103"/>
      <c r="C469" s="2104"/>
      <c r="D469" s="2124">
        <f t="shared" si="38"/>
        <v>0</v>
      </c>
      <c r="E469" s="2126"/>
      <c r="F469" s="2114"/>
      <c r="G469" s="2126"/>
      <c r="H469" s="2114"/>
      <c r="I469" s="2125">
        <f t="shared" si="40"/>
        <v>0</v>
      </c>
      <c r="J469" s="2114"/>
      <c r="K469" s="2126"/>
      <c r="L469" s="2114"/>
      <c r="M469" s="2127">
        <f t="shared" si="39"/>
        <v>0</v>
      </c>
    </row>
    <row r="470" spans="1:39" s="870" customFormat="1">
      <c r="A470" s="662"/>
      <c r="B470" s="2109" t="s">
        <v>354</v>
      </c>
      <c r="C470" s="2108"/>
      <c r="D470" s="2124">
        <f t="shared" si="38"/>
        <v>7322857.4062000001</v>
      </c>
      <c r="E470" s="2126">
        <f>E459+E461</f>
        <v>949829.55692999973</v>
      </c>
      <c r="F470" s="2114">
        <f>F459+F461</f>
        <v>-88900.198089999962</v>
      </c>
      <c r="G470" s="2126">
        <f>G459+G461</f>
        <v>4015663.4392999997</v>
      </c>
      <c r="H470" s="2114">
        <f>H459+H461</f>
        <v>2446264.6080600005</v>
      </c>
      <c r="I470" s="2125">
        <f t="shared" si="40"/>
        <v>6373027.8492700001</v>
      </c>
      <c r="J470" s="2114">
        <f>J459+J461</f>
        <v>0</v>
      </c>
      <c r="K470" s="2126">
        <f>K459+K461</f>
        <v>0</v>
      </c>
      <c r="L470" s="2114">
        <f>L459+L461</f>
        <v>0</v>
      </c>
      <c r="M470" s="2127">
        <f t="shared" si="39"/>
        <v>0</v>
      </c>
      <c r="N470"/>
      <c r="O470"/>
      <c r="P470"/>
      <c r="Q470"/>
      <c r="R470"/>
      <c r="S470"/>
      <c r="T470"/>
      <c r="U470"/>
      <c r="V470"/>
      <c r="W470"/>
      <c r="X470"/>
      <c r="Y470"/>
      <c r="Z470"/>
      <c r="AA470"/>
      <c r="AB470"/>
      <c r="AC470"/>
      <c r="AD470"/>
      <c r="AE470"/>
      <c r="AF470"/>
      <c r="AG470"/>
      <c r="AH470"/>
      <c r="AI470"/>
      <c r="AJ470"/>
      <c r="AK470"/>
      <c r="AL470"/>
      <c r="AM470"/>
    </row>
    <row r="471" spans="1:39">
      <c r="A471" s="662"/>
      <c r="B471" s="2109"/>
      <c r="C471" s="2108"/>
      <c r="D471" s="2124">
        <f t="shared" si="38"/>
        <v>0</v>
      </c>
      <c r="E471" s="2126"/>
      <c r="F471" s="2114"/>
      <c r="G471" s="2126"/>
      <c r="H471" s="2114"/>
      <c r="I471" s="2125">
        <f t="shared" si="40"/>
        <v>0</v>
      </c>
      <c r="J471" s="2114"/>
      <c r="K471" s="2126"/>
      <c r="L471" s="2114"/>
      <c r="M471" s="2127"/>
    </row>
    <row r="472" spans="1:39">
      <c r="A472" s="662"/>
      <c r="B472" s="2103" t="s">
        <v>355</v>
      </c>
      <c r="C472" s="2104"/>
      <c r="D472" s="2124">
        <f t="shared" si="38"/>
        <v>2178906.5353600001</v>
      </c>
      <c r="E472" s="2126"/>
      <c r="F472" s="2114">
        <v>204782.42314000003</v>
      </c>
      <c r="G472" s="2126">
        <v>1090191.63903</v>
      </c>
      <c r="H472" s="2114">
        <v>883932.47319000005</v>
      </c>
      <c r="I472" s="2125">
        <f t="shared" si="40"/>
        <v>2178906.5353600001</v>
      </c>
      <c r="J472" s="2114"/>
      <c r="K472" s="2126"/>
      <c r="L472" s="2114"/>
      <c r="M472" s="2127">
        <f t="shared" ref="M472:M490" si="41">L472+K472+J472</f>
        <v>0</v>
      </c>
    </row>
    <row r="473" spans="1:39">
      <c r="A473" s="662"/>
      <c r="B473" s="2103" t="s">
        <v>356</v>
      </c>
      <c r="C473" s="2104"/>
      <c r="D473" s="2124">
        <f t="shared" si="38"/>
        <v>-96275.16823000001</v>
      </c>
      <c r="E473" s="2126"/>
      <c r="F473" s="2114"/>
      <c r="G473" s="2126">
        <v>-96275.16823000001</v>
      </c>
      <c r="H473" s="2114"/>
      <c r="I473" s="2125">
        <f t="shared" si="40"/>
        <v>-96275.16823000001</v>
      </c>
      <c r="J473" s="2114"/>
      <c r="K473" s="2126"/>
      <c r="L473" s="2114"/>
      <c r="M473" s="2127">
        <f t="shared" si="41"/>
        <v>0</v>
      </c>
    </row>
    <row r="474" spans="1:39">
      <c r="A474" s="662"/>
      <c r="B474" s="2103" t="s">
        <v>357</v>
      </c>
      <c r="C474" s="2104"/>
      <c r="D474" s="2124">
        <f t="shared" si="38"/>
        <v>48672.212050000016</v>
      </c>
      <c r="E474" s="2126"/>
      <c r="F474" s="2114"/>
      <c r="G474" s="2126">
        <v>48672.212050000016</v>
      </c>
      <c r="H474" s="2114"/>
      <c r="I474" s="2125">
        <f t="shared" si="40"/>
        <v>48672.212050000016</v>
      </c>
      <c r="J474" s="2114"/>
      <c r="K474" s="2126"/>
      <c r="L474" s="2114"/>
      <c r="M474" s="2127">
        <f t="shared" si="41"/>
        <v>0</v>
      </c>
    </row>
    <row r="475" spans="1:39" ht="13.5" customHeight="1">
      <c r="A475" s="662"/>
      <c r="B475" s="2110" t="s">
        <v>358</v>
      </c>
      <c r="C475" s="2104"/>
      <c r="D475" s="2124">
        <f t="shared" si="38"/>
        <v>-13381.844640000001</v>
      </c>
      <c r="E475" s="2126"/>
      <c r="F475" s="2114"/>
      <c r="G475" s="2126">
        <v>-13381.844640000001</v>
      </c>
      <c r="H475" s="2114"/>
      <c r="I475" s="2125">
        <f t="shared" si="40"/>
        <v>-13381.844640000001</v>
      </c>
      <c r="J475" s="2114"/>
      <c r="K475" s="2126"/>
      <c r="L475" s="2114"/>
      <c r="M475" s="2127">
        <f t="shared" si="41"/>
        <v>0</v>
      </c>
    </row>
    <row r="476" spans="1:39">
      <c r="A476" s="662"/>
      <c r="B476" s="2103" t="s">
        <v>359</v>
      </c>
      <c r="C476" s="2104"/>
      <c r="D476" s="2124">
        <f t="shared" si="38"/>
        <v>804084.36343000387</v>
      </c>
      <c r="E476" s="2126"/>
      <c r="F476" s="2114">
        <v>-345177.183741446</v>
      </c>
      <c r="G476" s="2126">
        <v>1345184.6396864757</v>
      </c>
      <c r="H476" s="2114">
        <v>-195923.09251502584</v>
      </c>
      <c r="I476" s="2125">
        <f t="shared" si="40"/>
        <v>804084.36343000387</v>
      </c>
      <c r="J476" s="2114"/>
      <c r="K476" s="2126"/>
      <c r="L476" s="2114"/>
      <c r="M476" s="2127">
        <f t="shared" si="41"/>
        <v>0</v>
      </c>
    </row>
    <row r="477" spans="1:39" ht="26.45">
      <c r="A477" s="662"/>
      <c r="B477" s="2110" t="s">
        <v>360</v>
      </c>
      <c r="C477" s="2104"/>
      <c r="D477" s="2124">
        <f t="shared" si="38"/>
        <v>0</v>
      </c>
      <c r="E477" s="2126"/>
      <c r="F477" s="2114"/>
      <c r="G477" s="2126"/>
      <c r="H477" s="2114"/>
      <c r="I477" s="2125">
        <f t="shared" si="40"/>
        <v>0</v>
      </c>
      <c r="J477" s="2114"/>
      <c r="K477" s="2126"/>
      <c r="L477" s="2114"/>
      <c r="M477" s="2127">
        <f t="shared" si="41"/>
        <v>0</v>
      </c>
    </row>
    <row r="478" spans="1:39" s="870" customFormat="1">
      <c r="A478" s="662"/>
      <c r="B478" s="2109" t="s">
        <v>361</v>
      </c>
      <c r="C478" s="2108"/>
      <c r="D478" s="2124">
        <f t="shared" si="38"/>
        <v>2922006.0979700037</v>
      </c>
      <c r="E478" s="2126">
        <f>SUM(E472:E477)</f>
        <v>0</v>
      </c>
      <c r="F478" s="2114">
        <f>SUM(F472:F477)</f>
        <v>-140394.76060144597</v>
      </c>
      <c r="G478" s="2126">
        <f>SUM(G472:G477)</f>
        <v>2374391.4778964757</v>
      </c>
      <c r="H478" s="2114">
        <f>SUM(H472:H477)</f>
        <v>688009.38067497418</v>
      </c>
      <c r="I478" s="2125">
        <f t="shared" si="40"/>
        <v>2922006.0979700037</v>
      </c>
      <c r="J478" s="2114">
        <f>SUM(J472:J477)</f>
        <v>0</v>
      </c>
      <c r="K478" s="2126">
        <f>SUM(K472:K477)</f>
        <v>0</v>
      </c>
      <c r="L478" s="2114">
        <f>SUM(L472:L477)</f>
        <v>0</v>
      </c>
      <c r="M478" s="2127">
        <f t="shared" si="41"/>
        <v>0</v>
      </c>
      <c r="N478"/>
      <c r="O478"/>
      <c r="P478"/>
      <c r="Q478"/>
      <c r="R478"/>
      <c r="S478"/>
      <c r="T478"/>
      <c r="U478"/>
      <c r="V478"/>
      <c r="W478"/>
      <c r="X478"/>
      <c r="Y478"/>
      <c r="Z478"/>
      <c r="AA478"/>
      <c r="AB478"/>
      <c r="AC478"/>
      <c r="AD478"/>
      <c r="AE478"/>
      <c r="AF478"/>
      <c r="AG478"/>
      <c r="AH478"/>
      <c r="AI478"/>
      <c r="AJ478"/>
      <c r="AK478"/>
      <c r="AL478"/>
      <c r="AM478"/>
    </row>
    <row r="479" spans="1:39">
      <c r="A479" s="662"/>
      <c r="B479" s="2103"/>
      <c r="C479" s="2104"/>
      <c r="D479" s="2124">
        <f t="shared" si="38"/>
        <v>0</v>
      </c>
      <c r="E479" s="2126"/>
      <c r="F479" s="2114"/>
      <c r="G479" s="2126"/>
      <c r="H479" s="2114"/>
      <c r="I479" s="2125">
        <f t="shared" si="40"/>
        <v>0</v>
      </c>
      <c r="J479" s="2114"/>
      <c r="K479" s="2126"/>
      <c r="L479" s="2114"/>
      <c r="M479" s="2127">
        <f t="shared" si="41"/>
        <v>0</v>
      </c>
    </row>
    <row r="480" spans="1:39" ht="26.45">
      <c r="A480" s="662"/>
      <c r="B480" s="2110" t="s">
        <v>362</v>
      </c>
      <c r="C480" s="2104"/>
      <c r="D480" s="2124">
        <f t="shared" si="38"/>
        <v>1864486.1513999999</v>
      </c>
      <c r="E480" s="2126"/>
      <c r="F480" s="2114">
        <v>54.62921</v>
      </c>
      <c r="G480" s="2126">
        <v>881272.66453669989</v>
      </c>
      <c r="H480" s="2114">
        <v>983158.85765330005</v>
      </c>
      <c r="I480" s="2125">
        <f t="shared" si="40"/>
        <v>1864486.1513999999</v>
      </c>
      <c r="J480" s="2114"/>
      <c r="K480" s="2126"/>
      <c r="L480" s="2114"/>
      <c r="M480" s="2127">
        <f t="shared" si="41"/>
        <v>0</v>
      </c>
    </row>
    <row r="481" spans="1:39">
      <c r="A481" s="662"/>
      <c r="B481" s="2103"/>
      <c r="C481" s="2104"/>
      <c r="D481" s="2124">
        <f t="shared" si="38"/>
        <v>0</v>
      </c>
      <c r="E481" s="2126"/>
      <c r="F481" s="2114"/>
      <c r="G481" s="2126"/>
      <c r="H481" s="2114"/>
      <c r="I481" s="2125">
        <f t="shared" si="40"/>
        <v>0</v>
      </c>
      <c r="J481" s="2114"/>
      <c r="K481" s="2126"/>
      <c r="L481" s="2114"/>
      <c r="M481" s="2127">
        <f t="shared" si="41"/>
        <v>0</v>
      </c>
    </row>
    <row r="482" spans="1:39" ht="15.75" customHeight="1">
      <c r="A482" s="662"/>
      <c r="B482" s="2110" t="s">
        <v>363</v>
      </c>
      <c r="C482" s="2104">
        <v>4</v>
      </c>
      <c r="D482" s="2124">
        <f t="shared" si="38"/>
        <v>1322283.0017599976</v>
      </c>
      <c r="E482" s="2126">
        <v>230464.79261999999</v>
      </c>
      <c r="F482" s="2114">
        <v>49835.300045467484</v>
      </c>
      <c r="G482" s="2126">
        <v>666559.0195045406</v>
      </c>
      <c r="H482" s="2114">
        <v>375423.88958998944</v>
      </c>
      <c r="I482" s="2125">
        <f t="shared" si="40"/>
        <v>1091818.2091399976</v>
      </c>
      <c r="J482" s="2114"/>
      <c r="K482" s="2126"/>
      <c r="L482" s="2114"/>
      <c r="M482" s="2127">
        <f t="shared" si="41"/>
        <v>0</v>
      </c>
    </row>
    <row r="483" spans="1:39">
      <c r="A483" s="662"/>
      <c r="B483" s="2103" t="s">
        <v>364</v>
      </c>
      <c r="C483" s="2104"/>
      <c r="D483" s="2124">
        <f t="shared" si="38"/>
        <v>0</v>
      </c>
      <c r="E483" s="2126"/>
      <c r="F483" s="2114"/>
      <c r="G483" s="2126"/>
      <c r="H483" s="2114"/>
      <c r="I483" s="2125">
        <f t="shared" si="40"/>
        <v>0</v>
      </c>
      <c r="J483" s="2114"/>
      <c r="K483" s="2126"/>
      <c r="L483" s="2114"/>
      <c r="M483" s="2127">
        <f t="shared" si="41"/>
        <v>0</v>
      </c>
    </row>
    <row r="484" spans="1:39">
      <c r="A484" s="662"/>
      <c r="B484" s="2103" t="s">
        <v>365</v>
      </c>
      <c r="C484" s="2104"/>
      <c r="D484" s="2124">
        <f t="shared" si="38"/>
        <v>34743.788379999984</v>
      </c>
      <c r="E484" s="2126">
        <v>26.712</v>
      </c>
      <c r="F484" s="2114">
        <v>1604.633255978091</v>
      </c>
      <c r="G484" s="2126">
        <v>20988.147848148237</v>
      </c>
      <c r="H484" s="2114">
        <v>12124.295275873661</v>
      </c>
      <c r="I484" s="2125">
        <f t="shared" si="40"/>
        <v>34717.076379999984</v>
      </c>
      <c r="J484" s="2114"/>
      <c r="K484" s="2126"/>
      <c r="L484" s="2114"/>
      <c r="M484" s="2127">
        <f t="shared" si="41"/>
        <v>0</v>
      </c>
    </row>
    <row r="485" spans="1:39" s="870" customFormat="1">
      <c r="A485" s="662"/>
      <c r="B485" s="2109" t="s">
        <v>366</v>
      </c>
      <c r="C485" s="2108"/>
      <c r="D485" s="2124">
        <f t="shared" si="38"/>
        <v>1357026.7901399976</v>
      </c>
      <c r="E485" s="2126">
        <f>SUM(E482:E484)</f>
        <v>230491.50461999999</v>
      </c>
      <c r="F485" s="2114">
        <f>SUM(F482:F484)</f>
        <v>51439.933301445577</v>
      </c>
      <c r="G485" s="2126">
        <f>SUM(G482:G484)</f>
        <v>687547.16735268885</v>
      </c>
      <c r="H485" s="2114">
        <f>SUM(H482:H484)</f>
        <v>387548.18486586312</v>
      </c>
      <c r="I485" s="2125">
        <f t="shared" si="40"/>
        <v>1126535.2855199976</v>
      </c>
      <c r="J485" s="2114">
        <f>SUM(J482:J484)</f>
        <v>0</v>
      </c>
      <c r="K485" s="2126">
        <f>SUM(K482:K484)</f>
        <v>0</v>
      </c>
      <c r="L485" s="2114">
        <f>SUM(L482:L484)</f>
        <v>0</v>
      </c>
      <c r="M485" s="2127">
        <f t="shared" si="41"/>
        <v>0</v>
      </c>
      <c r="N485"/>
      <c r="O485"/>
      <c r="P485"/>
      <c r="Q485"/>
      <c r="R485"/>
      <c r="S485"/>
      <c r="T485"/>
      <c r="U485"/>
      <c r="V485"/>
      <c r="W485"/>
      <c r="X485"/>
      <c r="Y485"/>
      <c r="Z485"/>
      <c r="AA485"/>
      <c r="AB485"/>
      <c r="AC485"/>
      <c r="AD485"/>
      <c r="AE485"/>
      <c r="AF485"/>
      <c r="AG485"/>
      <c r="AH485"/>
      <c r="AI485"/>
      <c r="AJ485"/>
      <c r="AK485"/>
      <c r="AL485"/>
      <c r="AM485"/>
    </row>
    <row r="486" spans="1:39">
      <c r="A486" s="662"/>
      <c r="B486" s="2109"/>
      <c r="C486" s="2108"/>
      <c r="D486" s="2124">
        <f t="shared" si="38"/>
        <v>0</v>
      </c>
      <c r="E486" s="2126"/>
      <c r="F486" s="2114"/>
      <c r="G486" s="2126"/>
      <c r="H486" s="2114"/>
      <c r="I486" s="2125">
        <f t="shared" si="40"/>
        <v>0</v>
      </c>
      <c r="J486" s="2114"/>
      <c r="K486" s="2126"/>
      <c r="L486" s="2114"/>
      <c r="M486" s="2127">
        <f t="shared" si="41"/>
        <v>0</v>
      </c>
    </row>
    <row r="487" spans="1:39" s="870" customFormat="1">
      <c r="A487" s="662"/>
      <c r="B487" s="2109" t="s">
        <v>367</v>
      </c>
      <c r="C487" s="2108"/>
      <c r="D487" s="2124">
        <f t="shared" si="38"/>
        <v>1179338.3666899987</v>
      </c>
      <c r="E487" s="2126">
        <f>E470-E478-E480-E485</f>
        <v>719338.05230999971</v>
      </c>
      <c r="F487" s="2114">
        <f>F470-F478-F480-F485</f>
        <v>4.3655745685100555E-10</v>
      </c>
      <c r="G487" s="2126">
        <f>G470-G478-G480-G485</f>
        <v>72452.129514135304</v>
      </c>
      <c r="H487" s="2114">
        <f>H470-H478-H480-H485</f>
        <v>387548.18486586324</v>
      </c>
      <c r="I487" s="2125">
        <f t="shared" si="40"/>
        <v>460000.31437999895</v>
      </c>
      <c r="J487" s="2114">
        <f>J470-J478-J480-J485</f>
        <v>0</v>
      </c>
      <c r="K487" s="2126">
        <f>K470-K478-K480-K485</f>
        <v>0</v>
      </c>
      <c r="L487" s="2114">
        <f>L470-L478-L480-L485</f>
        <v>0</v>
      </c>
      <c r="M487" s="2127">
        <f t="shared" si="41"/>
        <v>0</v>
      </c>
      <c r="N487"/>
      <c r="O487"/>
      <c r="P487"/>
      <c r="Q487"/>
      <c r="R487"/>
      <c r="S487"/>
      <c r="T487"/>
      <c r="U487"/>
      <c r="V487"/>
      <c r="W487"/>
      <c r="X487"/>
      <c r="Y487"/>
      <c r="Z487"/>
      <c r="AA487"/>
      <c r="AB487"/>
      <c r="AC487"/>
      <c r="AD487"/>
      <c r="AE487"/>
      <c r="AF487"/>
      <c r="AG487"/>
      <c r="AH487"/>
      <c r="AI487"/>
      <c r="AJ487"/>
      <c r="AK487"/>
      <c r="AL487"/>
      <c r="AM487"/>
    </row>
    <row r="488" spans="1:39">
      <c r="A488" s="662"/>
      <c r="B488" s="2103" t="s">
        <v>368</v>
      </c>
      <c r="C488" s="2104"/>
      <c r="D488" s="2124">
        <f t="shared" si="38"/>
        <v>303163.89600000001</v>
      </c>
      <c r="E488" s="2126">
        <v>303163.89600000001</v>
      </c>
      <c r="F488" s="2114"/>
      <c r="G488" s="2126"/>
      <c r="H488" s="2114"/>
      <c r="I488" s="2125">
        <f t="shared" si="40"/>
        <v>0</v>
      </c>
      <c r="J488" s="2114"/>
      <c r="K488" s="2126"/>
      <c r="L488" s="2114"/>
      <c r="M488" s="2127">
        <f t="shared" si="41"/>
        <v>0</v>
      </c>
    </row>
    <row r="489" spans="1:39">
      <c r="A489" s="662"/>
      <c r="B489" s="2103"/>
      <c r="C489" s="2104"/>
      <c r="D489" s="2124">
        <f t="shared" si="38"/>
        <v>0</v>
      </c>
      <c r="E489" s="2126"/>
      <c r="F489" s="2114"/>
      <c r="G489" s="2126"/>
      <c r="H489" s="2114"/>
      <c r="I489" s="2125">
        <f t="shared" si="40"/>
        <v>0</v>
      </c>
      <c r="J489" s="2114"/>
      <c r="K489" s="2126"/>
      <c r="L489" s="2114"/>
      <c r="M489" s="2127">
        <f t="shared" si="41"/>
        <v>0</v>
      </c>
    </row>
    <row r="490" spans="1:39" s="870" customFormat="1" ht="15" thickBot="1">
      <c r="A490" s="662"/>
      <c r="B490" s="1338" t="s">
        <v>369</v>
      </c>
      <c r="C490" s="1339"/>
      <c r="D490" s="1350">
        <f t="shared" si="38"/>
        <v>876174.47068999871</v>
      </c>
      <c r="E490" s="1372">
        <f>E487-E488</f>
        <v>416174.1563099997</v>
      </c>
      <c r="F490" s="1350">
        <f>F487-F488</f>
        <v>4.3655745685100555E-10</v>
      </c>
      <c r="G490" s="1372">
        <f>G487-G488</f>
        <v>72452.129514135304</v>
      </c>
      <c r="H490" s="1350">
        <f>H487-H488</f>
        <v>387548.18486586324</v>
      </c>
      <c r="I490" s="1372">
        <f t="shared" si="40"/>
        <v>460000.31437999895</v>
      </c>
      <c r="J490" s="1350">
        <f>J487-J488</f>
        <v>0</v>
      </c>
      <c r="K490" s="1372">
        <f>K487-K488</f>
        <v>0</v>
      </c>
      <c r="L490" s="1350">
        <f>L487-L488</f>
        <v>0</v>
      </c>
      <c r="M490" s="1373">
        <f t="shared" si="41"/>
        <v>0</v>
      </c>
      <c r="N490"/>
      <c r="O490"/>
      <c r="P490"/>
      <c r="Q490"/>
      <c r="R490"/>
      <c r="S490"/>
      <c r="T490"/>
      <c r="U490"/>
      <c r="V490"/>
      <c r="W490"/>
      <c r="X490"/>
      <c r="Y490"/>
      <c r="Z490"/>
      <c r="AA490"/>
      <c r="AB490"/>
      <c r="AC490"/>
      <c r="AD490"/>
      <c r="AE490"/>
      <c r="AF490"/>
      <c r="AG490"/>
      <c r="AH490"/>
      <c r="AI490"/>
      <c r="AJ490"/>
      <c r="AK490"/>
      <c r="AL490"/>
      <c r="AM490"/>
    </row>
    <row r="491" spans="1:39">
      <c r="A491" s="662"/>
      <c r="B491" s="662"/>
      <c r="C491" s="662"/>
      <c r="D491" s="670"/>
      <c r="E491" s="670"/>
      <c r="F491" s="670"/>
      <c r="G491" s="670"/>
      <c r="H491" s="670"/>
      <c r="I491" s="670"/>
      <c r="J491" s="662"/>
      <c r="K491" s="662"/>
      <c r="L491" s="662"/>
      <c r="M491" s="662"/>
    </row>
    <row r="492" spans="1:39">
      <c r="A492" s="662"/>
      <c r="B492" s="662"/>
      <c r="C492" s="662"/>
      <c r="D492" s="662"/>
      <c r="E492" s="662"/>
      <c r="F492" s="662"/>
      <c r="G492" s="662"/>
      <c r="H492" s="662"/>
      <c r="I492" s="662"/>
      <c r="J492" s="662"/>
      <c r="K492" s="662"/>
      <c r="L492" s="662"/>
    </row>
    <row r="494" spans="1:39" ht="15" thickBot="1"/>
    <row r="495" spans="1:39" ht="17.25" customHeight="1" thickBot="1">
      <c r="A495" s="1361" t="s">
        <v>190</v>
      </c>
      <c r="B495" s="1153" t="s">
        <v>106</v>
      </c>
      <c r="C495" s="873"/>
      <c r="D495" s="662"/>
      <c r="E495" s="662"/>
      <c r="F495" s="662"/>
      <c r="G495" s="662"/>
      <c r="H495" s="662"/>
      <c r="I495" s="662"/>
      <c r="J495" s="662"/>
      <c r="K495" s="662"/>
      <c r="L495" s="3292"/>
      <c r="M495" s="3292" t="s">
        <v>257</v>
      </c>
    </row>
    <row r="496" spans="1:39" ht="17.25" customHeight="1" thickBot="1">
      <c r="A496" s="662"/>
      <c r="B496" s="3331" t="s">
        <v>106</v>
      </c>
      <c r="C496" s="3280" t="s">
        <v>334</v>
      </c>
      <c r="D496" s="3283" t="s">
        <v>260</v>
      </c>
      <c r="E496" s="3283" t="s">
        <v>335</v>
      </c>
      <c r="F496" s="3335" t="s">
        <v>263</v>
      </c>
      <c r="G496" s="3335"/>
      <c r="H496" s="3335"/>
      <c r="I496" s="3335"/>
      <c r="J496" s="3335"/>
      <c r="K496" s="3335"/>
      <c r="L496" s="3335"/>
      <c r="M496" s="3335"/>
    </row>
    <row r="497" spans="1:39" ht="17.25" customHeight="1" thickBot="1">
      <c r="A497" s="662"/>
      <c r="B497" s="3327"/>
      <c r="C497" s="3281"/>
      <c r="D497" s="3284"/>
      <c r="E497" s="3284"/>
      <c r="F497" s="3332" t="s">
        <v>264</v>
      </c>
      <c r="G497" s="3333"/>
      <c r="H497" s="3333"/>
      <c r="I497" s="3334"/>
      <c r="J497" s="3335" t="s">
        <v>336</v>
      </c>
      <c r="K497" s="3335"/>
      <c r="L497" s="3335"/>
      <c r="M497" s="3335"/>
    </row>
    <row r="498" spans="1:39" ht="66.599999999999994" thickBot="1">
      <c r="A498" s="662"/>
      <c r="B498" s="3327"/>
      <c r="C498" s="3281"/>
      <c r="D498" s="3285"/>
      <c r="E498" s="3285"/>
      <c r="F498" s="2963" t="s">
        <v>267</v>
      </c>
      <c r="G498" s="2963" t="s">
        <v>268</v>
      </c>
      <c r="H498" s="2963" t="s">
        <v>269</v>
      </c>
      <c r="I498" s="2963" t="s">
        <v>160</v>
      </c>
      <c r="J498" s="2964" t="s">
        <v>337</v>
      </c>
      <c r="K498" s="2964" t="s">
        <v>271</v>
      </c>
      <c r="L498" s="2964" t="s">
        <v>338</v>
      </c>
      <c r="M498" s="2964" t="s">
        <v>160</v>
      </c>
    </row>
    <row r="499" spans="1:39" ht="15" thickBot="1">
      <c r="A499" s="662"/>
      <c r="B499" s="3327"/>
      <c r="C499" s="3281"/>
      <c r="D499" s="2972">
        <v>1</v>
      </c>
      <c r="E499" s="3283">
        <v>2</v>
      </c>
      <c r="F499" s="3283">
        <v>3</v>
      </c>
      <c r="G499" s="3283">
        <v>4</v>
      </c>
      <c r="H499" s="3283"/>
      <c r="I499" s="2972">
        <v>6</v>
      </c>
      <c r="J499" s="3283">
        <v>7</v>
      </c>
      <c r="K499" s="3283">
        <v>8</v>
      </c>
      <c r="L499" s="3283">
        <v>9</v>
      </c>
      <c r="M499" s="2972">
        <v>10</v>
      </c>
    </row>
    <row r="500" spans="1:39" ht="15" thickBot="1">
      <c r="A500" s="662"/>
      <c r="B500" s="3328"/>
      <c r="C500" s="3282"/>
      <c r="D500" s="1327" t="s">
        <v>339</v>
      </c>
      <c r="E500" s="3285"/>
      <c r="F500" s="3285"/>
      <c r="G500" s="3285"/>
      <c r="H500" s="3285">
        <v>5</v>
      </c>
      <c r="I500" s="1327" t="s">
        <v>340</v>
      </c>
      <c r="J500" s="3285"/>
      <c r="K500" s="3285"/>
      <c r="L500" s="3285"/>
      <c r="M500" s="1327" t="s">
        <v>341</v>
      </c>
    </row>
    <row r="501" spans="1:39">
      <c r="A501" s="662"/>
      <c r="B501" s="1328" t="s">
        <v>342</v>
      </c>
      <c r="C501" s="885"/>
      <c r="D501" s="1329">
        <f t="shared" ref="D501:D538" si="42">E501+I501+M501</f>
        <v>1004700.367</v>
      </c>
      <c r="E501" s="887"/>
      <c r="F501" s="886">
        <v>589008.16299999994</v>
      </c>
      <c r="G501" s="887">
        <v>415692.20400000003</v>
      </c>
      <c r="H501" s="886"/>
      <c r="I501" s="1332">
        <f t="shared" ref="I501:I538" si="43">F501+G501+H501</f>
        <v>1004700.367</v>
      </c>
      <c r="J501" s="886"/>
      <c r="K501" s="887"/>
      <c r="L501" s="886"/>
      <c r="M501" s="1335">
        <f t="shared" ref="M501:M518" si="44">L501+K501+J501</f>
        <v>0</v>
      </c>
    </row>
    <row r="502" spans="1:39">
      <c r="A502" s="662"/>
      <c r="B502" s="2103"/>
      <c r="C502" s="2104"/>
      <c r="D502" s="2124">
        <f t="shared" si="42"/>
        <v>0</v>
      </c>
      <c r="E502" s="2126"/>
      <c r="F502" s="2114"/>
      <c r="G502" s="2126"/>
      <c r="H502" s="2114"/>
      <c r="I502" s="2125">
        <f t="shared" si="43"/>
        <v>0</v>
      </c>
      <c r="J502" s="2114"/>
      <c r="K502" s="2126"/>
      <c r="L502" s="2114"/>
      <c r="M502" s="2127">
        <f t="shared" si="44"/>
        <v>0</v>
      </c>
    </row>
    <row r="503" spans="1:39">
      <c r="A503" s="662"/>
      <c r="B503" s="2105" t="s">
        <v>343</v>
      </c>
      <c r="C503" s="2104"/>
      <c r="D503" s="2124">
        <f t="shared" si="42"/>
        <v>3954.3209999999999</v>
      </c>
      <c r="E503" s="2126"/>
      <c r="F503" s="2114">
        <v>2161.5618506671899</v>
      </c>
      <c r="G503" s="2126">
        <v>1792.75914933281</v>
      </c>
      <c r="H503" s="2114"/>
      <c r="I503" s="2125">
        <f t="shared" si="43"/>
        <v>3954.3209999999999</v>
      </c>
      <c r="J503" s="2114"/>
      <c r="K503" s="2126"/>
      <c r="L503" s="2114"/>
      <c r="M503" s="2127">
        <f t="shared" si="44"/>
        <v>0</v>
      </c>
    </row>
    <row r="504" spans="1:39">
      <c r="A504" s="662"/>
      <c r="B504" s="2105"/>
      <c r="C504" s="2104"/>
      <c r="D504" s="2124">
        <f t="shared" si="42"/>
        <v>0</v>
      </c>
      <c r="E504" s="2126"/>
      <c r="F504" s="2114"/>
      <c r="G504" s="2126"/>
      <c r="H504" s="2114"/>
      <c r="I504" s="2125">
        <f t="shared" si="43"/>
        <v>0</v>
      </c>
      <c r="J504" s="2114"/>
      <c r="K504" s="2126"/>
      <c r="L504" s="2114"/>
      <c r="M504" s="2127">
        <f t="shared" si="44"/>
        <v>0</v>
      </c>
    </row>
    <row r="505" spans="1:39" ht="14.25" customHeight="1">
      <c r="A505" s="662"/>
      <c r="B505" s="2106" t="s">
        <v>344</v>
      </c>
      <c r="C505" s="2104"/>
      <c r="D505" s="2124">
        <f t="shared" si="42"/>
        <v>0</v>
      </c>
      <c r="E505" s="2126"/>
      <c r="F505" s="2114"/>
      <c r="G505" s="2126"/>
      <c r="H505" s="2114"/>
      <c r="I505" s="2125">
        <f t="shared" si="43"/>
        <v>0</v>
      </c>
      <c r="J505" s="2114"/>
      <c r="K505" s="2126"/>
      <c r="L505" s="2114"/>
      <c r="M505" s="2127">
        <f t="shared" si="44"/>
        <v>0</v>
      </c>
    </row>
    <row r="506" spans="1:39">
      <c r="A506" s="662"/>
      <c r="B506" s="2103"/>
      <c r="C506" s="2104"/>
      <c r="D506" s="2124">
        <f t="shared" si="42"/>
        <v>0</v>
      </c>
      <c r="E506" s="2126"/>
      <c r="F506" s="2114"/>
      <c r="G506" s="2126"/>
      <c r="H506" s="2114"/>
      <c r="I506" s="2125">
        <f t="shared" si="43"/>
        <v>0</v>
      </c>
      <c r="J506" s="2114"/>
      <c r="K506" s="2126"/>
      <c r="L506" s="2114"/>
      <c r="M506" s="2127">
        <f t="shared" si="44"/>
        <v>0</v>
      </c>
    </row>
    <row r="507" spans="1:39" s="870" customFormat="1">
      <c r="A507" s="662"/>
      <c r="B507" s="2107" t="s">
        <v>345</v>
      </c>
      <c r="C507" s="2108"/>
      <c r="D507" s="2124">
        <f t="shared" si="42"/>
        <v>1000746.0459999999</v>
      </c>
      <c r="E507" s="2126">
        <f>E501-E503+E505</f>
        <v>0</v>
      </c>
      <c r="F507" s="2114">
        <f>F501-F503+F505</f>
        <v>586846.60114933271</v>
      </c>
      <c r="G507" s="2126">
        <f>G501-G503+G505</f>
        <v>413899.44485066721</v>
      </c>
      <c r="H507" s="2114">
        <f>H501-H503+H505</f>
        <v>0</v>
      </c>
      <c r="I507" s="2125">
        <f t="shared" si="43"/>
        <v>1000746.0459999999</v>
      </c>
      <c r="J507" s="2114">
        <f>J501-J503+J505</f>
        <v>0</v>
      </c>
      <c r="K507" s="2126">
        <f>K501-K503+K505</f>
        <v>0</v>
      </c>
      <c r="L507" s="2114">
        <f>L501-L503+L505</f>
        <v>0</v>
      </c>
      <c r="M507" s="2127">
        <f t="shared" si="44"/>
        <v>0</v>
      </c>
      <c r="N507"/>
      <c r="O507"/>
      <c r="P507"/>
      <c r="Q507"/>
      <c r="R507"/>
      <c r="S507"/>
      <c r="T507"/>
      <c r="U507"/>
      <c r="V507"/>
      <c r="W507"/>
      <c r="X507"/>
      <c r="Y507"/>
      <c r="Z507"/>
      <c r="AA507"/>
      <c r="AB507"/>
      <c r="AC507"/>
      <c r="AD507"/>
      <c r="AE507"/>
      <c r="AF507"/>
      <c r="AG507"/>
      <c r="AH507"/>
      <c r="AI507"/>
      <c r="AJ507"/>
      <c r="AK507"/>
      <c r="AL507"/>
      <c r="AM507"/>
    </row>
    <row r="508" spans="1:39">
      <c r="A508" s="662"/>
      <c r="B508" s="2107"/>
      <c r="C508" s="2108"/>
      <c r="D508" s="2124">
        <f t="shared" si="42"/>
        <v>0</v>
      </c>
      <c r="E508" s="2126"/>
      <c r="F508" s="2114"/>
      <c r="G508" s="2126"/>
      <c r="H508" s="2114"/>
      <c r="I508" s="2125">
        <f t="shared" si="43"/>
        <v>0</v>
      </c>
      <c r="J508" s="2114"/>
      <c r="K508" s="2126"/>
      <c r="L508" s="2114"/>
      <c r="M508" s="2127">
        <f t="shared" si="44"/>
        <v>0</v>
      </c>
    </row>
    <row r="509" spans="1:39" s="870" customFormat="1">
      <c r="A509" s="662"/>
      <c r="B509" s="2107" t="s">
        <v>346</v>
      </c>
      <c r="C509" s="2108"/>
      <c r="D509" s="2124">
        <f t="shared" si="42"/>
        <v>340643.55225934164</v>
      </c>
      <c r="E509" s="2126">
        <f>SUM(E510:E515)</f>
        <v>6853.3588432021788</v>
      </c>
      <c r="F509" s="2114">
        <f>SUM(F510:F515)</f>
        <v>143803.71212182692</v>
      </c>
      <c r="G509" s="2126">
        <f>SUM(G510:G515)</f>
        <v>189986.48129431254</v>
      </c>
      <c r="H509" s="2114">
        <f>SUM(H510:H514)</f>
        <v>0</v>
      </c>
      <c r="I509" s="2125">
        <f t="shared" si="43"/>
        <v>333790.19341613946</v>
      </c>
      <c r="J509" s="2114">
        <f>SUM(J510:J514)</f>
        <v>0</v>
      </c>
      <c r="K509" s="2126">
        <f>SUM(K510:K514)</f>
        <v>0</v>
      </c>
      <c r="L509" s="2114">
        <f>SUM(L510:L514)</f>
        <v>0</v>
      </c>
      <c r="M509" s="2127">
        <f t="shared" si="44"/>
        <v>0</v>
      </c>
      <c r="N509"/>
      <c r="O509"/>
      <c r="P509"/>
      <c r="Q509"/>
      <c r="R509"/>
      <c r="S509"/>
      <c r="T509"/>
      <c r="U509"/>
      <c r="V509"/>
      <c r="W509"/>
      <c r="X509"/>
      <c r="Y509"/>
      <c r="Z509"/>
      <c r="AA509"/>
      <c r="AB509"/>
      <c r="AC509"/>
      <c r="AD509"/>
      <c r="AE509"/>
      <c r="AF509"/>
      <c r="AG509"/>
      <c r="AH509"/>
      <c r="AI509"/>
      <c r="AJ509"/>
      <c r="AK509"/>
      <c r="AL509"/>
      <c r="AM509"/>
    </row>
    <row r="510" spans="1:39">
      <c r="A510" s="662"/>
      <c r="B510" s="2103" t="s">
        <v>347</v>
      </c>
      <c r="C510" s="2104">
        <v>1</v>
      </c>
      <c r="D510" s="2124">
        <f t="shared" si="42"/>
        <v>331852.56458265235</v>
      </c>
      <c r="E510" s="2126">
        <v>17857.132613960574</v>
      </c>
      <c r="F510" s="2114">
        <v>140487.23639135159</v>
      </c>
      <c r="G510" s="2126">
        <v>173508.19557734014</v>
      </c>
      <c r="H510" s="2114"/>
      <c r="I510" s="2125">
        <f t="shared" si="43"/>
        <v>313995.43196869176</v>
      </c>
      <c r="J510" s="2114"/>
      <c r="K510" s="2126"/>
      <c r="L510" s="2114"/>
      <c r="M510" s="2127">
        <f t="shared" si="44"/>
        <v>0</v>
      </c>
    </row>
    <row r="511" spans="1:39">
      <c r="A511" s="662"/>
      <c r="B511" s="2103" t="s">
        <v>348</v>
      </c>
      <c r="C511" s="2104">
        <v>2</v>
      </c>
      <c r="D511" s="2124">
        <f t="shared" si="42"/>
        <v>0</v>
      </c>
      <c r="E511" s="2126"/>
      <c r="F511" s="2114"/>
      <c r="G511" s="2126"/>
      <c r="H511" s="2114"/>
      <c r="I511" s="2125">
        <f t="shared" si="43"/>
        <v>0</v>
      </c>
      <c r="J511" s="2114"/>
      <c r="K511" s="2126"/>
      <c r="L511" s="2114"/>
      <c r="M511" s="2127">
        <f t="shared" si="44"/>
        <v>0</v>
      </c>
    </row>
    <row r="512" spans="1:39">
      <c r="A512" s="662"/>
      <c r="B512" s="2103" t="s">
        <v>349</v>
      </c>
      <c r="C512" s="2104"/>
      <c r="D512" s="2124">
        <f t="shared" si="42"/>
        <v>45538.048416689315</v>
      </c>
      <c r="E512" s="2126">
        <v>12006.226229241607</v>
      </c>
      <c r="F512" s="2114">
        <v>584.47134497532716</v>
      </c>
      <c r="G512" s="2126">
        <v>32947.350842472384</v>
      </c>
      <c r="H512" s="2114"/>
      <c r="I512" s="2125">
        <f t="shared" si="43"/>
        <v>33531.822187447709</v>
      </c>
      <c r="J512" s="2114"/>
      <c r="K512" s="2126"/>
      <c r="L512" s="2114"/>
      <c r="M512" s="2127">
        <f t="shared" si="44"/>
        <v>0</v>
      </c>
    </row>
    <row r="513" spans="1:39">
      <c r="A513" s="662"/>
      <c r="B513" s="2103" t="s">
        <v>350</v>
      </c>
      <c r="C513" s="2104"/>
      <c r="D513" s="2124">
        <f t="shared" si="42"/>
        <v>-45270.144409999994</v>
      </c>
      <c r="E513" s="2126">
        <v>-23010</v>
      </c>
      <c r="F513" s="2114">
        <v>-2808</v>
      </c>
      <c r="G513" s="2126">
        <v>-19452.144409999997</v>
      </c>
      <c r="H513" s="2114"/>
      <c r="I513" s="2125">
        <f t="shared" si="43"/>
        <v>-22260.144409999997</v>
      </c>
      <c r="J513" s="2114"/>
      <c r="K513" s="2126"/>
      <c r="L513" s="2114"/>
      <c r="M513" s="2127">
        <f t="shared" si="44"/>
        <v>0</v>
      </c>
    </row>
    <row r="514" spans="1:39">
      <c r="A514" s="662"/>
      <c r="B514" s="2103" t="s">
        <v>351</v>
      </c>
      <c r="C514" s="2104">
        <v>3</v>
      </c>
      <c r="D514" s="2124">
        <f t="shared" si="42"/>
        <v>8523.08367</v>
      </c>
      <c r="E514" s="2126">
        <v>0</v>
      </c>
      <c r="F514" s="2114">
        <v>5540.0043855000004</v>
      </c>
      <c r="G514" s="2126">
        <v>2983.0792845000001</v>
      </c>
      <c r="H514" s="2114"/>
      <c r="I514" s="2125">
        <f t="shared" si="43"/>
        <v>8523.08367</v>
      </c>
      <c r="J514" s="2114"/>
      <c r="K514" s="2126"/>
      <c r="L514" s="2114"/>
      <c r="M514" s="2127">
        <f t="shared" si="44"/>
        <v>0</v>
      </c>
    </row>
    <row r="515" spans="1:39">
      <c r="A515" s="662"/>
      <c r="B515" s="2103" t="s">
        <v>380</v>
      </c>
      <c r="C515" s="2104"/>
      <c r="D515" s="2124">
        <f t="shared" si="42"/>
        <v>0</v>
      </c>
      <c r="E515" s="2126"/>
      <c r="F515" s="2114"/>
      <c r="G515" s="2126"/>
      <c r="H515" s="2114"/>
      <c r="I515" s="2125">
        <f t="shared" si="43"/>
        <v>0</v>
      </c>
      <c r="J515" s="2114"/>
      <c r="K515" s="2126"/>
      <c r="L515" s="2114"/>
      <c r="M515" s="2127">
        <f t="shared" si="44"/>
        <v>0</v>
      </c>
    </row>
    <row r="516" spans="1:39">
      <c r="A516" s="662"/>
      <c r="B516" s="2103" t="s">
        <v>381</v>
      </c>
      <c r="C516" s="2104"/>
      <c r="D516" s="2124">
        <f t="shared" si="42"/>
        <v>0</v>
      </c>
      <c r="E516" s="2126"/>
      <c r="F516" s="2114"/>
      <c r="G516" s="2126"/>
      <c r="H516" s="2114"/>
      <c r="I516" s="2125">
        <f t="shared" si="43"/>
        <v>0</v>
      </c>
      <c r="J516" s="2114"/>
      <c r="K516" s="2126"/>
      <c r="L516" s="2114"/>
      <c r="M516" s="2127">
        <f t="shared" si="44"/>
        <v>0</v>
      </c>
    </row>
    <row r="517" spans="1:39">
      <c r="A517" s="662"/>
      <c r="B517" s="2103"/>
      <c r="C517" s="2104"/>
      <c r="D517" s="2124">
        <f t="shared" si="42"/>
        <v>0</v>
      </c>
      <c r="E517" s="2126"/>
      <c r="F517" s="2114"/>
      <c r="G517" s="2126"/>
      <c r="H517" s="2114"/>
      <c r="I517" s="2125">
        <f t="shared" si="43"/>
        <v>0</v>
      </c>
      <c r="J517" s="2114"/>
      <c r="K517" s="2126"/>
      <c r="L517" s="2114"/>
      <c r="M517" s="2127">
        <f t="shared" si="44"/>
        <v>0</v>
      </c>
    </row>
    <row r="518" spans="1:39" s="870" customFormat="1">
      <c r="A518" s="662"/>
      <c r="B518" s="2109" t="s">
        <v>354</v>
      </c>
      <c r="C518" s="2108"/>
      <c r="D518" s="2124">
        <f t="shared" si="42"/>
        <v>1341389.5982593417</v>
      </c>
      <c r="E518" s="2126">
        <f>E507+E509</f>
        <v>6853.3588432021788</v>
      </c>
      <c r="F518" s="2114">
        <f>F507+F509</f>
        <v>730650.31327115966</v>
      </c>
      <c r="G518" s="2126">
        <f>G507+G509</f>
        <v>603885.92614497978</v>
      </c>
      <c r="H518" s="2114">
        <f>H507+H509</f>
        <v>0</v>
      </c>
      <c r="I518" s="2125">
        <f t="shared" si="43"/>
        <v>1334536.2394161394</v>
      </c>
      <c r="J518" s="2114">
        <f>J507+J509</f>
        <v>0</v>
      </c>
      <c r="K518" s="2126">
        <f>K507+K509</f>
        <v>0</v>
      </c>
      <c r="L518" s="2114">
        <f>L507+L509</f>
        <v>0</v>
      </c>
      <c r="M518" s="2127">
        <f t="shared" si="44"/>
        <v>0</v>
      </c>
      <c r="N518"/>
      <c r="O518"/>
      <c r="P518"/>
      <c r="Q518"/>
      <c r="R518"/>
      <c r="S518"/>
      <c r="T518"/>
      <c r="U518"/>
      <c r="V518"/>
      <c r="W518"/>
      <c r="X518"/>
      <c r="Y518"/>
      <c r="Z518"/>
      <c r="AA518"/>
      <c r="AB518"/>
      <c r="AC518"/>
      <c r="AD518"/>
      <c r="AE518"/>
      <c r="AF518"/>
      <c r="AG518"/>
      <c r="AH518"/>
      <c r="AI518"/>
      <c r="AJ518"/>
      <c r="AK518"/>
      <c r="AL518"/>
      <c r="AM518"/>
    </row>
    <row r="519" spans="1:39">
      <c r="A519" s="662"/>
      <c r="B519" s="2109"/>
      <c r="C519" s="2108"/>
      <c r="D519" s="2124">
        <f t="shared" si="42"/>
        <v>0</v>
      </c>
      <c r="E519" s="2126"/>
      <c r="F519" s="2114"/>
      <c r="G519" s="2126"/>
      <c r="H519" s="2114"/>
      <c r="I519" s="2125">
        <f t="shared" si="43"/>
        <v>0</v>
      </c>
      <c r="J519" s="2114"/>
      <c r="K519" s="2126"/>
      <c r="L519" s="2114"/>
      <c r="M519" s="2127"/>
    </row>
    <row r="520" spans="1:39">
      <c r="A520" s="662"/>
      <c r="B520" s="2103" t="s">
        <v>355</v>
      </c>
      <c r="C520" s="2104"/>
      <c r="D520" s="2124">
        <f t="shared" si="42"/>
        <v>879021.37329000002</v>
      </c>
      <c r="E520" s="2126"/>
      <c r="F520" s="2114">
        <v>306977.962420611</v>
      </c>
      <c r="G520" s="2126">
        <v>572043.41086938896</v>
      </c>
      <c r="H520" s="2114"/>
      <c r="I520" s="2125">
        <f t="shared" si="43"/>
        <v>879021.37329000002</v>
      </c>
      <c r="J520" s="2114"/>
      <c r="K520" s="2126"/>
      <c r="L520" s="2114"/>
      <c r="M520" s="2127">
        <f t="shared" ref="M520:M538" si="45">L520+K520+J520</f>
        <v>0</v>
      </c>
    </row>
    <row r="521" spans="1:39">
      <c r="A521" s="662"/>
      <c r="B521" s="2103" t="s">
        <v>356</v>
      </c>
      <c r="C521" s="2104"/>
      <c r="D521" s="2124">
        <f t="shared" si="42"/>
        <v>0</v>
      </c>
      <c r="E521" s="2126"/>
      <c r="F521" s="2114"/>
      <c r="G521" s="2126"/>
      <c r="H521" s="2114"/>
      <c r="I521" s="2125">
        <f t="shared" si="43"/>
        <v>0</v>
      </c>
      <c r="J521" s="2114"/>
      <c r="K521" s="2126"/>
      <c r="L521" s="2114"/>
      <c r="M521" s="2127">
        <f t="shared" si="45"/>
        <v>0</v>
      </c>
    </row>
    <row r="522" spans="1:39">
      <c r="A522" s="662"/>
      <c r="B522" s="2103" t="s">
        <v>357</v>
      </c>
      <c r="C522" s="2104"/>
      <c r="D522" s="2124">
        <f t="shared" si="42"/>
        <v>0</v>
      </c>
      <c r="E522" s="2126"/>
      <c r="F522" s="2114"/>
      <c r="G522" s="2126"/>
      <c r="H522" s="2114"/>
      <c r="I522" s="2125">
        <f t="shared" si="43"/>
        <v>0</v>
      </c>
      <c r="J522" s="2114"/>
      <c r="K522" s="2126"/>
      <c r="L522" s="2114"/>
      <c r="M522" s="2127">
        <f t="shared" si="45"/>
        <v>0</v>
      </c>
    </row>
    <row r="523" spans="1:39" ht="13.5" customHeight="1">
      <c r="A523" s="662"/>
      <c r="B523" s="2110" t="s">
        <v>358</v>
      </c>
      <c r="C523" s="2104"/>
      <c r="D523" s="2124">
        <f t="shared" si="42"/>
        <v>0</v>
      </c>
      <c r="E523" s="2126"/>
      <c r="F523" s="2114"/>
      <c r="G523" s="2126"/>
      <c r="H523" s="2114"/>
      <c r="I523" s="2125">
        <f t="shared" si="43"/>
        <v>0</v>
      </c>
      <c r="J523" s="2114"/>
      <c r="K523" s="2126"/>
      <c r="L523" s="2114"/>
      <c r="M523" s="2127">
        <f t="shared" si="45"/>
        <v>0</v>
      </c>
    </row>
    <row r="524" spans="1:39">
      <c r="A524" s="662"/>
      <c r="B524" s="2103" t="s">
        <v>359</v>
      </c>
      <c r="C524" s="2104"/>
      <c r="D524" s="2124">
        <f t="shared" si="42"/>
        <v>-57133.777999999991</v>
      </c>
      <c r="E524" s="2126"/>
      <c r="F524" s="2114">
        <v>253521.473</v>
      </c>
      <c r="G524" s="2126">
        <v>-310655.25099999999</v>
      </c>
      <c r="H524" s="2114"/>
      <c r="I524" s="2125">
        <f t="shared" si="43"/>
        <v>-57133.777999999991</v>
      </c>
      <c r="J524" s="2114"/>
      <c r="K524" s="2126"/>
      <c r="L524" s="2114"/>
      <c r="M524" s="2127">
        <f t="shared" si="45"/>
        <v>0</v>
      </c>
    </row>
    <row r="525" spans="1:39" ht="26.45">
      <c r="A525" s="662"/>
      <c r="B525" s="2110" t="s">
        <v>360</v>
      </c>
      <c r="C525" s="2104"/>
      <c r="D525" s="2124">
        <f t="shared" si="42"/>
        <v>0</v>
      </c>
      <c r="E525" s="2126"/>
      <c r="F525" s="2114"/>
      <c r="G525" s="2126"/>
      <c r="H525" s="2114"/>
      <c r="I525" s="2125">
        <f t="shared" si="43"/>
        <v>0</v>
      </c>
      <c r="J525" s="2114"/>
      <c r="K525" s="2126"/>
      <c r="L525" s="2114"/>
      <c r="M525" s="2127">
        <f t="shared" si="45"/>
        <v>0</v>
      </c>
    </row>
    <row r="526" spans="1:39" s="870" customFormat="1">
      <c r="A526" s="662"/>
      <c r="B526" s="2109" t="s">
        <v>361</v>
      </c>
      <c r="C526" s="2108"/>
      <c r="D526" s="2124">
        <f t="shared" si="42"/>
        <v>821887.59528999985</v>
      </c>
      <c r="E526" s="2126">
        <f>SUM(E520:E525)</f>
        <v>0</v>
      </c>
      <c r="F526" s="2114">
        <f>SUM(F520:F525)</f>
        <v>560499.43542061094</v>
      </c>
      <c r="G526" s="2126">
        <f>SUM(G520:G525)</f>
        <v>261388.15986938897</v>
      </c>
      <c r="H526" s="2114">
        <f>SUM(H520:H525)</f>
        <v>0</v>
      </c>
      <c r="I526" s="2125">
        <f t="shared" si="43"/>
        <v>821887.59528999985</v>
      </c>
      <c r="J526" s="2114">
        <f>SUM(J520:J525)</f>
        <v>0</v>
      </c>
      <c r="K526" s="2126">
        <f>SUM(K520:K525)</f>
        <v>0</v>
      </c>
      <c r="L526" s="2114">
        <f>SUM(L520:L525)</f>
        <v>0</v>
      </c>
      <c r="M526" s="2127">
        <f t="shared" si="45"/>
        <v>0</v>
      </c>
      <c r="N526"/>
      <c r="O526"/>
      <c r="P526"/>
      <c r="Q526"/>
      <c r="R526"/>
      <c r="S526"/>
      <c r="T526"/>
      <c r="U526"/>
      <c r="V526"/>
      <c r="W526"/>
      <c r="X526"/>
      <c r="Y526"/>
      <c r="Z526"/>
      <c r="AA526"/>
      <c r="AB526"/>
      <c r="AC526"/>
      <c r="AD526"/>
      <c r="AE526"/>
      <c r="AF526"/>
      <c r="AG526"/>
      <c r="AH526"/>
      <c r="AI526"/>
      <c r="AJ526"/>
      <c r="AK526"/>
      <c r="AL526"/>
      <c r="AM526"/>
    </row>
    <row r="527" spans="1:39">
      <c r="A527" s="662"/>
      <c r="B527" s="2103"/>
      <c r="C527" s="2104"/>
      <c r="D527" s="2124">
        <f t="shared" si="42"/>
        <v>0</v>
      </c>
      <c r="E527" s="2126"/>
      <c r="F527" s="2114"/>
      <c r="G527" s="2126"/>
      <c r="H527" s="2114"/>
      <c r="I527" s="2125">
        <f t="shared" si="43"/>
        <v>0</v>
      </c>
      <c r="J527" s="2114"/>
      <c r="K527" s="2126"/>
      <c r="L527" s="2114"/>
      <c r="M527" s="2127">
        <f t="shared" si="45"/>
        <v>0</v>
      </c>
    </row>
    <row r="528" spans="1:39" ht="26.45">
      <c r="A528" s="662"/>
      <c r="B528" s="2110" t="s">
        <v>362</v>
      </c>
      <c r="C528" s="2104"/>
      <c r="D528" s="2124">
        <f t="shared" si="42"/>
        <v>89149.324809999889</v>
      </c>
      <c r="E528" s="2126"/>
      <c r="F528" s="2114">
        <v>83889.417485219805</v>
      </c>
      <c r="G528" s="2126">
        <v>5259.9073247800898</v>
      </c>
      <c r="H528" s="2114"/>
      <c r="I528" s="2125">
        <f t="shared" si="43"/>
        <v>89149.324809999889</v>
      </c>
      <c r="J528" s="2114"/>
      <c r="K528" s="2126"/>
      <c r="L528" s="2114"/>
      <c r="M528" s="2127">
        <f t="shared" si="45"/>
        <v>0</v>
      </c>
    </row>
    <row r="529" spans="1:39">
      <c r="A529" s="662"/>
      <c r="B529" s="2103"/>
      <c r="C529" s="2104"/>
      <c r="D529" s="2124">
        <f t="shared" si="42"/>
        <v>0</v>
      </c>
      <c r="E529" s="2126"/>
      <c r="F529" s="2114"/>
      <c r="G529" s="2126"/>
      <c r="H529" s="2114"/>
      <c r="I529" s="2125">
        <f t="shared" si="43"/>
        <v>0</v>
      </c>
      <c r="J529" s="2114"/>
      <c r="K529" s="2126"/>
      <c r="L529" s="2114"/>
      <c r="M529" s="2127">
        <f t="shared" si="45"/>
        <v>0</v>
      </c>
    </row>
    <row r="530" spans="1:39" ht="15.75" customHeight="1">
      <c r="A530" s="662"/>
      <c r="B530" s="2110" t="s">
        <v>363</v>
      </c>
      <c r="C530" s="2104">
        <v>4</v>
      </c>
      <c r="D530" s="2124">
        <f t="shared" si="42"/>
        <v>256666.90824999998</v>
      </c>
      <c r="E530" s="2126">
        <v>26869.211770000002</v>
      </c>
      <c r="F530" s="2114">
        <v>151989.776212</v>
      </c>
      <c r="G530" s="2126">
        <v>77807.920268000002</v>
      </c>
      <c r="H530" s="2114"/>
      <c r="I530" s="2125">
        <f t="shared" si="43"/>
        <v>229797.69647999998</v>
      </c>
      <c r="J530" s="2114"/>
      <c r="K530" s="2126"/>
      <c r="L530" s="2114"/>
      <c r="M530" s="2127">
        <f t="shared" si="45"/>
        <v>0</v>
      </c>
    </row>
    <row r="531" spans="1:39">
      <c r="A531" s="662"/>
      <c r="B531" s="2103" t="s">
        <v>364</v>
      </c>
      <c r="C531" s="2104"/>
      <c r="D531" s="2124">
        <f t="shared" si="42"/>
        <v>0</v>
      </c>
      <c r="E531" s="2126"/>
      <c r="F531" s="2114"/>
      <c r="G531" s="2126"/>
      <c r="H531" s="2114"/>
      <c r="I531" s="2125">
        <f t="shared" si="43"/>
        <v>0</v>
      </c>
      <c r="J531" s="2114"/>
      <c r="K531" s="2126"/>
      <c r="L531" s="2114"/>
      <c r="M531" s="2127">
        <f t="shared" si="45"/>
        <v>0</v>
      </c>
    </row>
    <row r="532" spans="1:39">
      <c r="A532" s="662"/>
      <c r="B532" s="2103" t="s">
        <v>365</v>
      </c>
      <c r="C532" s="2104"/>
      <c r="D532" s="2124">
        <f t="shared" si="42"/>
        <v>33565.888391</v>
      </c>
      <c r="E532" s="2126">
        <v>12909</v>
      </c>
      <c r="F532" s="2114">
        <v>506.07839100000001</v>
      </c>
      <c r="G532" s="2126">
        <v>20150.810000000001</v>
      </c>
      <c r="H532" s="2114"/>
      <c r="I532" s="2125">
        <f t="shared" si="43"/>
        <v>20656.888391</v>
      </c>
      <c r="J532" s="2114"/>
      <c r="K532" s="2126"/>
      <c r="L532" s="2114"/>
      <c r="M532" s="2127">
        <f t="shared" si="45"/>
        <v>0</v>
      </c>
    </row>
    <row r="533" spans="1:39" s="870" customFormat="1">
      <c r="A533" s="662"/>
      <c r="B533" s="2109" t="s">
        <v>366</v>
      </c>
      <c r="C533" s="2108"/>
      <c r="D533" s="2124">
        <f t="shared" si="42"/>
        <v>290232.79664099996</v>
      </c>
      <c r="E533" s="2126">
        <f>SUM(E530:E532)</f>
        <v>39778.211770000002</v>
      </c>
      <c r="F533" s="2114">
        <f>SUM(F530:F532)</f>
        <v>152495.85460299999</v>
      </c>
      <c r="G533" s="2126">
        <f>SUM(G530:G532)</f>
        <v>97958.730267999999</v>
      </c>
      <c r="H533" s="2114">
        <f>SUM(H530:H532)</f>
        <v>0</v>
      </c>
      <c r="I533" s="2125">
        <f t="shared" si="43"/>
        <v>250454.58487099997</v>
      </c>
      <c r="J533" s="2114">
        <f>SUM(J530:J532)</f>
        <v>0</v>
      </c>
      <c r="K533" s="2126">
        <f>SUM(K530:K532)</f>
        <v>0</v>
      </c>
      <c r="L533" s="2114">
        <f>SUM(L530:L532)</f>
        <v>0</v>
      </c>
      <c r="M533" s="2127">
        <f t="shared" si="45"/>
        <v>0</v>
      </c>
      <c r="N533"/>
      <c r="O533"/>
      <c r="P533"/>
      <c r="Q533"/>
      <c r="R533"/>
      <c r="S533"/>
      <c r="T533"/>
      <c r="U533"/>
      <c r="V533"/>
      <c r="W533"/>
      <c r="X533"/>
      <c r="Y533"/>
      <c r="Z533"/>
      <c r="AA533"/>
      <c r="AB533"/>
      <c r="AC533"/>
      <c r="AD533"/>
      <c r="AE533"/>
      <c r="AF533"/>
      <c r="AG533"/>
      <c r="AH533"/>
      <c r="AI533"/>
      <c r="AJ533"/>
      <c r="AK533"/>
      <c r="AL533"/>
      <c r="AM533"/>
    </row>
    <row r="534" spans="1:39">
      <c r="A534" s="662"/>
      <c r="B534" s="2109"/>
      <c r="C534" s="2108"/>
      <c r="D534" s="2124">
        <f t="shared" si="42"/>
        <v>0</v>
      </c>
      <c r="E534" s="2126"/>
      <c r="F534" s="2114"/>
      <c r="G534" s="2126"/>
      <c r="H534" s="2114"/>
      <c r="I534" s="2125">
        <f t="shared" si="43"/>
        <v>0</v>
      </c>
      <c r="J534" s="2114"/>
      <c r="K534" s="2126"/>
      <c r="L534" s="2114"/>
      <c r="M534" s="2127">
        <f t="shared" si="45"/>
        <v>0</v>
      </c>
    </row>
    <row r="535" spans="1:39" s="870" customFormat="1">
      <c r="A535" s="662"/>
      <c r="B535" s="2109" t="s">
        <v>367</v>
      </c>
      <c r="C535" s="2108"/>
      <c r="D535" s="2124">
        <f t="shared" si="42"/>
        <v>140119.88151834186</v>
      </c>
      <c r="E535" s="2126">
        <f>E518-E526-E528-E533</f>
        <v>-32924.852926797823</v>
      </c>
      <c r="F535" s="2114">
        <f>F518-F526-F528-F533</f>
        <v>-66234.394237671077</v>
      </c>
      <c r="G535" s="2126">
        <f>G518-G526-G528-G533</f>
        <v>239279.12868281075</v>
      </c>
      <c r="H535" s="2114">
        <f>H518-H526-H528-H533</f>
        <v>0</v>
      </c>
      <c r="I535" s="2125">
        <f t="shared" si="43"/>
        <v>173044.73444513968</v>
      </c>
      <c r="J535" s="2114">
        <f>J518-J526-J528-J533</f>
        <v>0</v>
      </c>
      <c r="K535" s="2126">
        <f>K518-K526-K528-K533</f>
        <v>0</v>
      </c>
      <c r="L535" s="2114">
        <f>L518-L526-L528-L533</f>
        <v>0</v>
      </c>
      <c r="M535" s="2127">
        <f t="shared" si="45"/>
        <v>0</v>
      </c>
      <c r="N535"/>
      <c r="O535"/>
      <c r="P535"/>
      <c r="Q535"/>
      <c r="R535"/>
      <c r="S535"/>
      <c r="T535"/>
      <c r="U535"/>
      <c r="V535"/>
      <c r="W535"/>
      <c r="X535"/>
      <c r="Y535"/>
      <c r="Z535"/>
      <c r="AA535"/>
      <c r="AB535"/>
      <c r="AC535"/>
      <c r="AD535"/>
      <c r="AE535"/>
      <c r="AF535"/>
      <c r="AG535"/>
      <c r="AH535"/>
      <c r="AI535"/>
      <c r="AJ535"/>
      <c r="AK535"/>
      <c r="AL535"/>
      <c r="AM535"/>
    </row>
    <row r="536" spans="1:39">
      <c r="A536" s="662"/>
      <c r="B536" s="2103" t="s">
        <v>368</v>
      </c>
      <c r="C536" s="2104"/>
      <c r="D536" s="2124">
        <f t="shared" si="42"/>
        <v>0</v>
      </c>
      <c r="E536" s="2126"/>
      <c r="F536" s="2114"/>
      <c r="G536" s="2126"/>
      <c r="H536" s="2114"/>
      <c r="I536" s="2125">
        <f t="shared" si="43"/>
        <v>0</v>
      </c>
      <c r="J536" s="2114"/>
      <c r="K536" s="2126"/>
      <c r="L536" s="2114"/>
      <c r="M536" s="2127">
        <f t="shared" si="45"/>
        <v>0</v>
      </c>
    </row>
    <row r="537" spans="1:39">
      <c r="A537" s="662"/>
      <c r="B537" s="2103"/>
      <c r="C537" s="2104"/>
      <c r="D537" s="2124">
        <f t="shared" si="42"/>
        <v>0</v>
      </c>
      <c r="E537" s="2126"/>
      <c r="F537" s="2114"/>
      <c r="G537" s="2126"/>
      <c r="H537" s="2114"/>
      <c r="I537" s="2125">
        <f t="shared" si="43"/>
        <v>0</v>
      </c>
      <c r="J537" s="2114"/>
      <c r="K537" s="2126"/>
      <c r="L537" s="2114"/>
      <c r="M537" s="2127">
        <f t="shared" si="45"/>
        <v>0</v>
      </c>
    </row>
    <row r="538" spans="1:39" s="870" customFormat="1" ht="15" thickBot="1">
      <c r="A538" s="662"/>
      <c r="B538" s="1338" t="s">
        <v>369</v>
      </c>
      <c r="C538" s="1339"/>
      <c r="D538" s="1350">
        <f t="shared" si="42"/>
        <v>140119.88151834186</v>
      </c>
      <c r="E538" s="1372">
        <f>E535-E536</f>
        <v>-32924.852926797823</v>
      </c>
      <c r="F538" s="1350">
        <f>F535-F536</f>
        <v>-66234.394237671077</v>
      </c>
      <c r="G538" s="1372">
        <f>G535-G536</f>
        <v>239279.12868281075</v>
      </c>
      <c r="H538" s="1350">
        <f>H535-H536</f>
        <v>0</v>
      </c>
      <c r="I538" s="1372">
        <f t="shared" si="43"/>
        <v>173044.73444513968</v>
      </c>
      <c r="J538" s="1350">
        <f>J535-J536</f>
        <v>0</v>
      </c>
      <c r="K538" s="1372">
        <f>K535-K536</f>
        <v>0</v>
      </c>
      <c r="L538" s="1350">
        <f>L535-L536</f>
        <v>0</v>
      </c>
      <c r="M538" s="1373">
        <f t="shared" si="45"/>
        <v>0</v>
      </c>
      <c r="N538"/>
      <c r="O538"/>
      <c r="P538"/>
      <c r="Q538"/>
      <c r="R538"/>
      <c r="S538"/>
      <c r="T538"/>
      <c r="U538"/>
      <c r="V538"/>
      <c r="W538"/>
      <c r="X538"/>
      <c r="Y538"/>
      <c r="Z538"/>
      <c r="AA538"/>
      <c r="AB538"/>
      <c r="AC538"/>
      <c r="AD538"/>
      <c r="AE538"/>
      <c r="AF538"/>
      <c r="AG538"/>
      <c r="AH538"/>
      <c r="AI538"/>
      <c r="AJ538"/>
      <c r="AK538"/>
      <c r="AL538"/>
      <c r="AM538"/>
    </row>
    <row r="539" spans="1:39">
      <c r="A539" s="662"/>
      <c r="B539" s="662"/>
      <c r="C539" s="662"/>
      <c r="D539" s="670"/>
      <c r="E539" s="670"/>
      <c r="F539" s="670"/>
      <c r="G539" s="670"/>
      <c r="H539" s="670"/>
      <c r="I539" s="670"/>
      <c r="J539" s="662"/>
      <c r="K539" s="662"/>
      <c r="L539" s="662"/>
      <c r="M539" s="662"/>
    </row>
    <row r="540" spans="1:39">
      <c r="A540" s="662"/>
      <c r="B540" s="662"/>
      <c r="C540" s="662"/>
      <c r="D540" s="662"/>
      <c r="E540" s="662"/>
      <c r="F540" s="662"/>
      <c r="G540" s="662"/>
      <c r="H540" s="662"/>
      <c r="I540" s="662"/>
      <c r="J540" s="662"/>
      <c r="K540" s="662"/>
      <c r="L540" s="662"/>
    </row>
    <row r="542" spans="1:39" ht="15" thickBot="1"/>
    <row r="543" spans="1:39" ht="17.25" customHeight="1" thickBot="1">
      <c r="A543" s="1361" t="s">
        <v>134</v>
      </c>
      <c r="B543" s="1153" t="s">
        <v>107</v>
      </c>
      <c r="C543" s="873"/>
      <c r="D543" s="662"/>
      <c r="E543" s="662"/>
      <c r="F543" s="662"/>
      <c r="G543" s="662"/>
      <c r="H543" s="662"/>
      <c r="I543" s="662"/>
      <c r="J543" s="662"/>
      <c r="K543" s="662"/>
      <c r="L543" s="3292"/>
      <c r="M543" s="3292" t="s">
        <v>257</v>
      </c>
    </row>
    <row r="544" spans="1:39" ht="17.25" customHeight="1" thickBot="1">
      <c r="A544" s="662"/>
      <c r="B544" s="3331" t="s">
        <v>107</v>
      </c>
      <c r="C544" s="3280" t="s">
        <v>334</v>
      </c>
      <c r="D544" s="3283" t="s">
        <v>260</v>
      </c>
      <c r="E544" s="3283" t="s">
        <v>335</v>
      </c>
      <c r="F544" s="3335" t="s">
        <v>263</v>
      </c>
      <c r="G544" s="3335"/>
      <c r="H544" s="3335"/>
      <c r="I544" s="3335"/>
      <c r="J544" s="3335"/>
      <c r="K544" s="3335"/>
      <c r="L544" s="3335"/>
      <c r="M544" s="3335"/>
    </row>
    <row r="545" spans="1:39" ht="17.25" customHeight="1" thickBot="1">
      <c r="A545" s="662"/>
      <c r="B545" s="3327"/>
      <c r="C545" s="3281"/>
      <c r="D545" s="3284"/>
      <c r="E545" s="3284"/>
      <c r="F545" s="3332" t="s">
        <v>264</v>
      </c>
      <c r="G545" s="3333"/>
      <c r="H545" s="3333"/>
      <c r="I545" s="3334"/>
      <c r="J545" s="3335" t="s">
        <v>336</v>
      </c>
      <c r="K545" s="3335"/>
      <c r="L545" s="3335"/>
      <c r="M545" s="3335"/>
    </row>
    <row r="546" spans="1:39" ht="66.599999999999994" thickBot="1">
      <c r="A546" s="662"/>
      <c r="B546" s="3327"/>
      <c r="C546" s="3281"/>
      <c r="D546" s="3285"/>
      <c r="E546" s="3285"/>
      <c r="F546" s="2963" t="s">
        <v>267</v>
      </c>
      <c r="G546" s="2963" t="s">
        <v>268</v>
      </c>
      <c r="H546" s="2963" t="s">
        <v>269</v>
      </c>
      <c r="I546" s="2963" t="s">
        <v>160</v>
      </c>
      <c r="J546" s="2964" t="s">
        <v>337</v>
      </c>
      <c r="K546" s="2964" t="s">
        <v>271</v>
      </c>
      <c r="L546" s="2964" t="s">
        <v>338</v>
      </c>
      <c r="M546" s="2964" t="s">
        <v>160</v>
      </c>
    </row>
    <row r="547" spans="1:39" ht="17.25" customHeight="1" thickBot="1">
      <c r="A547" s="662"/>
      <c r="B547" s="3327"/>
      <c r="C547" s="3281"/>
      <c r="D547" s="2972">
        <v>1</v>
      </c>
      <c r="E547" s="3283">
        <v>2</v>
      </c>
      <c r="F547" s="3283">
        <v>3</v>
      </c>
      <c r="G547" s="3283">
        <v>4</v>
      </c>
      <c r="H547" s="3283"/>
      <c r="I547" s="2972">
        <v>6</v>
      </c>
      <c r="J547" s="3283">
        <v>7</v>
      </c>
      <c r="K547" s="3283">
        <v>8</v>
      </c>
      <c r="L547" s="3283">
        <v>9</v>
      </c>
      <c r="M547" s="2972">
        <v>10</v>
      </c>
    </row>
    <row r="548" spans="1:39" ht="15" thickBot="1">
      <c r="A548" s="662"/>
      <c r="B548" s="3328"/>
      <c r="C548" s="3282"/>
      <c r="D548" s="1327" t="s">
        <v>339</v>
      </c>
      <c r="E548" s="3285"/>
      <c r="F548" s="3285"/>
      <c r="G548" s="3285"/>
      <c r="H548" s="3285">
        <v>5</v>
      </c>
      <c r="I548" s="1327" t="s">
        <v>340</v>
      </c>
      <c r="J548" s="3285"/>
      <c r="K548" s="3285"/>
      <c r="L548" s="3285"/>
      <c r="M548" s="1327" t="s">
        <v>341</v>
      </c>
    </row>
    <row r="549" spans="1:39">
      <c r="A549" s="662"/>
      <c r="B549" s="1328" t="s">
        <v>342</v>
      </c>
      <c r="C549" s="885"/>
      <c r="D549" s="1329">
        <f t="shared" ref="D549:D556" si="46">E549+I549+M549</f>
        <v>4420081.2318200003</v>
      </c>
      <c r="E549" s="887"/>
      <c r="F549" s="886">
        <v>25918.460620000002</v>
      </c>
      <c r="G549" s="887">
        <v>1941344.09136</v>
      </c>
      <c r="H549" s="886">
        <v>2452818.6798400003</v>
      </c>
      <c r="I549" s="1332">
        <f t="shared" ref="I549:I586" si="47">F549+G549+H549</f>
        <v>4420081.2318200003</v>
      </c>
      <c r="J549" s="886"/>
      <c r="K549" s="887"/>
      <c r="L549" s="886"/>
      <c r="M549" s="1335">
        <f t="shared" ref="M549:M566" si="48">L549+K549+J549</f>
        <v>0</v>
      </c>
    </row>
    <row r="550" spans="1:39">
      <c r="A550" s="662"/>
      <c r="B550" s="2103"/>
      <c r="C550" s="2104"/>
      <c r="D550" s="2124">
        <f t="shared" si="46"/>
        <v>0</v>
      </c>
      <c r="E550" s="2126"/>
      <c r="F550" s="2114"/>
      <c r="G550" s="2126"/>
      <c r="H550" s="2114"/>
      <c r="I550" s="2125">
        <f t="shared" si="47"/>
        <v>0</v>
      </c>
      <c r="J550" s="2114"/>
      <c r="K550" s="2126"/>
      <c r="L550" s="2114"/>
      <c r="M550" s="2127">
        <f t="shared" si="48"/>
        <v>0</v>
      </c>
    </row>
    <row r="551" spans="1:39">
      <c r="A551" s="662"/>
      <c r="B551" s="2105" t="s">
        <v>343</v>
      </c>
      <c r="C551" s="2104"/>
      <c r="D551" s="2124">
        <f t="shared" si="46"/>
        <v>270264.56413999997</v>
      </c>
      <c r="E551" s="2126"/>
      <c r="F551" s="2114">
        <v>1578.95216</v>
      </c>
      <c r="G551" s="2126">
        <v>178454.53081</v>
      </c>
      <c r="H551" s="2114">
        <v>90231.081170000005</v>
      </c>
      <c r="I551" s="2125">
        <f t="shared" si="47"/>
        <v>270264.56413999997</v>
      </c>
      <c r="J551" s="2114"/>
      <c r="K551" s="2126"/>
      <c r="L551" s="2114"/>
      <c r="M551" s="2127">
        <f t="shared" si="48"/>
        <v>0</v>
      </c>
    </row>
    <row r="552" spans="1:39">
      <c r="A552" s="662"/>
      <c r="B552" s="2105"/>
      <c r="C552" s="2104"/>
      <c r="D552" s="2124">
        <f t="shared" si="46"/>
        <v>0</v>
      </c>
      <c r="E552" s="2126"/>
      <c r="F552" s="2114"/>
      <c r="G552" s="2126"/>
      <c r="H552" s="2114"/>
      <c r="I552" s="2125">
        <f t="shared" si="47"/>
        <v>0</v>
      </c>
      <c r="J552" s="2114"/>
      <c r="K552" s="2126"/>
      <c r="L552" s="2114"/>
      <c r="M552" s="2127">
        <f t="shared" si="48"/>
        <v>0</v>
      </c>
    </row>
    <row r="553" spans="1:39" ht="14.25" customHeight="1">
      <c r="A553" s="662"/>
      <c r="B553" s="2106" t="s">
        <v>344</v>
      </c>
      <c r="C553" s="2104"/>
      <c r="D553" s="2124">
        <f t="shared" si="46"/>
        <v>0</v>
      </c>
      <c r="E553" s="2126"/>
      <c r="F553" s="2114"/>
      <c r="G553" s="2126"/>
      <c r="H553" s="2114"/>
      <c r="I553" s="2125">
        <f t="shared" si="47"/>
        <v>0</v>
      </c>
      <c r="J553" s="2114"/>
      <c r="K553" s="2126"/>
      <c r="L553" s="2114"/>
      <c r="M553" s="2127">
        <f t="shared" si="48"/>
        <v>0</v>
      </c>
    </row>
    <row r="554" spans="1:39">
      <c r="A554" s="662"/>
      <c r="B554" s="2103"/>
      <c r="C554" s="2104"/>
      <c r="D554" s="2124">
        <f t="shared" si="46"/>
        <v>0</v>
      </c>
      <c r="E554" s="2126"/>
      <c r="F554" s="2114"/>
      <c r="G554" s="2126"/>
      <c r="H554" s="2114"/>
      <c r="I554" s="2125">
        <f t="shared" si="47"/>
        <v>0</v>
      </c>
      <c r="J554" s="2114"/>
      <c r="K554" s="2126"/>
      <c r="L554" s="2114"/>
      <c r="M554" s="2127">
        <f t="shared" si="48"/>
        <v>0</v>
      </c>
    </row>
    <row r="555" spans="1:39" s="870" customFormat="1">
      <c r="A555" s="662"/>
      <c r="B555" s="2107" t="s">
        <v>345</v>
      </c>
      <c r="C555" s="2108"/>
      <c r="D555" s="2124">
        <f t="shared" si="46"/>
        <v>4149816.66768</v>
      </c>
      <c r="E555" s="2126">
        <f>E549-E551+E553</f>
        <v>0</v>
      </c>
      <c r="F555" s="2114">
        <f>F549-F551+F553</f>
        <v>24339.508460000001</v>
      </c>
      <c r="G555" s="2126">
        <f>G549-G551+G553</f>
        <v>1762889.5605500001</v>
      </c>
      <c r="H555" s="2114">
        <f>H549-H551+H553</f>
        <v>2362587.5986700002</v>
      </c>
      <c r="I555" s="2125">
        <f t="shared" si="47"/>
        <v>4149816.66768</v>
      </c>
      <c r="J555" s="2114">
        <f>J549-J551+J553</f>
        <v>0</v>
      </c>
      <c r="K555" s="2126">
        <f>K549-K551+K553</f>
        <v>0</v>
      </c>
      <c r="L555" s="2114">
        <f>L549-L551+L553</f>
        <v>0</v>
      </c>
      <c r="M555" s="2127">
        <f t="shared" si="48"/>
        <v>0</v>
      </c>
      <c r="N555"/>
      <c r="O555"/>
      <c r="P555"/>
      <c r="Q555"/>
      <c r="R555"/>
      <c r="S555"/>
      <c r="T555"/>
      <c r="U555"/>
      <c r="V555"/>
      <c r="W555"/>
      <c r="X555"/>
      <c r="Y555"/>
      <c r="Z555"/>
      <c r="AA555"/>
      <c r="AB555"/>
      <c r="AC555"/>
      <c r="AD555"/>
      <c r="AE555"/>
      <c r="AF555"/>
      <c r="AG555"/>
      <c r="AH555"/>
      <c r="AI555"/>
      <c r="AJ555"/>
      <c r="AK555"/>
      <c r="AL555"/>
      <c r="AM555"/>
    </row>
    <row r="556" spans="1:39">
      <c r="A556" s="662"/>
      <c r="B556" s="2107"/>
      <c r="C556" s="2108"/>
      <c r="D556" s="2124">
        <f t="shared" si="46"/>
        <v>0</v>
      </c>
      <c r="E556" s="2126"/>
      <c r="F556" s="2114"/>
      <c r="G556" s="2126"/>
      <c r="H556" s="2114"/>
      <c r="I556" s="2125">
        <f t="shared" si="47"/>
        <v>0</v>
      </c>
      <c r="J556" s="2114"/>
      <c r="K556" s="2126"/>
      <c r="L556" s="2114"/>
      <c r="M556" s="2127">
        <f t="shared" si="48"/>
        <v>0</v>
      </c>
    </row>
    <row r="557" spans="1:39" s="870" customFormat="1">
      <c r="A557" s="662"/>
      <c r="B557" s="2107" t="s">
        <v>346</v>
      </c>
      <c r="C557" s="2108"/>
      <c r="D557" s="2124">
        <f>SUM(D558:D562)</f>
        <v>660062.0589699999</v>
      </c>
      <c r="E557" s="2126">
        <f>SUM(E558:E562)</f>
        <v>176519.03898000001</v>
      </c>
      <c r="F557" s="2114">
        <f>SUM(F558:F562)</f>
        <v>20237.436580878602</v>
      </c>
      <c r="G557" s="2126">
        <f>SUM(G558:G562)</f>
        <v>309381.40847114089</v>
      </c>
      <c r="H557" s="2114">
        <f>SUM(H558:H562)</f>
        <v>189577.3243979805</v>
      </c>
      <c r="I557" s="2125">
        <f t="shared" si="47"/>
        <v>519196.16945000004</v>
      </c>
      <c r="J557" s="2114">
        <f>SUM(J558:J562)</f>
        <v>0</v>
      </c>
      <c r="K557" s="2126">
        <f>SUM(K558:K562)</f>
        <v>0</v>
      </c>
      <c r="L557" s="2114">
        <f>SUM(L558:L562)</f>
        <v>0</v>
      </c>
      <c r="M557" s="2127">
        <f t="shared" si="48"/>
        <v>0</v>
      </c>
      <c r="N557"/>
      <c r="O557"/>
      <c r="P557"/>
      <c r="Q557"/>
      <c r="R557"/>
      <c r="S557"/>
      <c r="T557"/>
      <c r="U557"/>
      <c r="V557"/>
      <c r="W557"/>
      <c r="X557"/>
      <c r="Y557"/>
      <c r="Z557"/>
      <c r="AA557"/>
      <c r="AB557"/>
      <c r="AC557"/>
      <c r="AD557"/>
      <c r="AE557"/>
      <c r="AF557"/>
      <c r="AG557"/>
      <c r="AH557"/>
      <c r="AI557"/>
      <c r="AJ557"/>
      <c r="AK557"/>
      <c r="AL557"/>
      <c r="AM557"/>
    </row>
    <row r="558" spans="1:39">
      <c r="A558" s="662"/>
      <c r="B558" s="2103" t="s">
        <v>347</v>
      </c>
      <c r="C558" s="2104">
        <v>1</v>
      </c>
      <c r="D558" s="2124">
        <f t="shared" ref="D558:D586" si="49">E558+I558+M558</f>
        <v>635347.02444999991</v>
      </c>
      <c r="E558" s="2126">
        <v>141127.65158000001</v>
      </c>
      <c r="F558" s="2114">
        <v>19306.723239914914</v>
      </c>
      <c r="G558" s="2126">
        <v>305579.77758514916</v>
      </c>
      <c r="H558" s="2114">
        <v>169332.87204493591</v>
      </c>
      <c r="I558" s="2125">
        <f t="shared" si="47"/>
        <v>494219.37286999996</v>
      </c>
      <c r="J558" s="2114"/>
      <c r="K558" s="2126"/>
      <c r="L558" s="2114"/>
      <c r="M558" s="2127">
        <f t="shared" si="48"/>
        <v>0</v>
      </c>
    </row>
    <row r="559" spans="1:39">
      <c r="A559" s="662"/>
      <c r="B559" s="2103" t="s">
        <v>348</v>
      </c>
      <c r="C559" s="2104">
        <v>2</v>
      </c>
      <c r="D559" s="2124">
        <f>E559+I559+M559-E559</f>
        <v>0</v>
      </c>
      <c r="E559" s="2126">
        <v>33639.885240000003</v>
      </c>
      <c r="F559" s="2114"/>
      <c r="G559" s="2126"/>
      <c r="H559" s="2114"/>
      <c r="I559" s="2125">
        <f t="shared" si="47"/>
        <v>0</v>
      </c>
      <c r="J559" s="2114"/>
      <c r="K559" s="2126"/>
      <c r="L559" s="2114"/>
      <c r="M559" s="2127">
        <f t="shared" si="48"/>
        <v>0</v>
      </c>
    </row>
    <row r="560" spans="1:39">
      <c r="A560" s="662"/>
      <c r="B560" s="2103" t="s">
        <v>349</v>
      </c>
      <c r="C560" s="2104"/>
      <c r="D560" s="2124">
        <f t="shared" si="49"/>
        <v>0</v>
      </c>
      <c r="E560" s="2126"/>
      <c r="F560" s="2114"/>
      <c r="G560" s="2126"/>
      <c r="H560" s="2114"/>
      <c r="I560" s="2125">
        <f t="shared" si="47"/>
        <v>0</v>
      </c>
      <c r="J560" s="2114"/>
      <c r="K560" s="2126"/>
      <c r="L560" s="2114"/>
      <c r="M560" s="2127">
        <f t="shared" si="48"/>
        <v>0</v>
      </c>
    </row>
    <row r="561" spans="1:39">
      <c r="A561" s="662"/>
      <c r="B561" s="2103" t="s">
        <v>350</v>
      </c>
      <c r="C561" s="2104"/>
      <c r="D561" s="2124">
        <f t="shared" si="49"/>
        <v>0</v>
      </c>
      <c r="E561" s="2126"/>
      <c r="F561" s="2114"/>
      <c r="G561" s="2126"/>
      <c r="H561" s="2114"/>
      <c r="I561" s="2125">
        <f t="shared" si="47"/>
        <v>0</v>
      </c>
      <c r="J561" s="2114"/>
      <c r="K561" s="2126"/>
      <c r="L561" s="2114"/>
      <c r="M561" s="2127">
        <f t="shared" si="48"/>
        <v>0</v>
      </c>
    </row>
    <row r="562" spans="1:39">
      <c r="A562" s="662"/>
      <c r="B562" s="2103" t="s">
        <v>351</v>
      </c>
      <c r="C562" s="2104">
        <v>3</v>
      </c>
      <c r="D562" s="2124">
        <f>E562+I562+M562-2013.26422</f>
        <v>24715.034520000045</v>
      </c>
      <c r="E562" s="2126">
        <v>1751.50216</v>
      </c>
      <c r="F562" s="2114">
        <v>930.71334096368798</v>
      </c>
      <c r="G562" s="2126">
        <v>3801.6308859917599</v>
      </c>
      <c r="H562" s="2114">
        <v>20244.452353044599</v>
      </c>
      <c r="I562" s="2125">
        <f t="shared" si="47"/>
        <v>24976.796580000046</v>
      </c>
      <c r="J562" s="2114"/>
      <c r="K562" s="2126"/>
      <c r="L562" s="2114"/>
      <c r="M562" s="2127">
        <f t="shared" si="48"/>
        <v>0</v>
      </c>
    </row>
    <row r="563" spans="1:39">
      <c r="A563" s="662"/>
      <c r="B563" s="2103" t="s">
        <v>353</v>
      </c>
      <c r="C563" s="2104"/>
      <c r="D563" s="2124">
        <f>E563+I563+M563</f>
        <v>0</v>
      </c>
      <c r="E563" s="2126"/>
      <c r="F563" s="2114"/>
      <c r="G563" s="2126"/>
      <c r="H563" s="2114"/>
      <c r="I563" s="2125">
        <f t="shared" si="47"/>
        <v>0</v>
      </c>
      <c r="J563" s="2114"/>
      <c r="K563" s="2126"/>
      <c r="L563" s="2114"/>
      <c r="M563" s="2127">
        <f t="shared" si="48"/>
        <v>0</v>
      </c>
    </row>
    <row r="564" spans="1:39">
      <c r="A564" s="662"/>
      <c r="B564" s="2103" t="s">
        <v>353</v>
      </c>
      <c r="C564" s="2104"/>
      <c r="D564" s="2124">
        <f t="shared" si="49"/>
        <v>0</v>
      </c>
      <c r="E564" s="2126"/>
      <c r="F564" s="2114"/>
      <c r="G564" s="2126"/>
      <c r="H564" s="2114"/>
      <c r="I564" s="2125">
        <f t="shared" si="47"/>
        <v>0</v>
      </c>
      <c r="J564" s="2114"/>
      <c r="K564" s="2126"/>
      <c r="L564" s="2114"/>
      <c r="M564" s="2127">
        <f t="shared" si="48"/>
        <v>0</v>
      </c>
    </row>
    <row r="565" spans="1:39">
      <c r="A565" s="662"/>
      <c r="B565" s="2103"/>
      <c r="C565" s="2104"/>
      <c r="D565" s="2124">
        <f t="shared" si="49"/>
        <v>0</v>
      </c>
      <c r="E565" s="2126"/>
      <c r="F565" s="2114"/>
      <c r="G565" s="2126"/>
      <c r="H565" s="2114"/>
      <c r="I565" s="2125">
        <f t="shared" si="47"/>
        <v>0</v>
      </c>
      <c r="J565" s="2114"/>
      <c r="K565" s="2126"/>
      <c r="L565" s="2114"/>
      <c r="M565" s="2127">
        <f t="shared" si="48"/>
        <v>0</v>
      </c>
    </row>
    <row r="566" spans="1:39" s="870" customFormat="1">
      <c r="A566" s="662"/>
      <c r="B566" s="2109" t="s">
        <v>354</v>
      </c>
      <c r="C566" s="2108"/>
      <c r="D566" s="2124">
        <f>D557+D555</f>
        <v>4809878.7266499996</v>
      </c>
      <c r="E566" s="2126">
        <f>E555+E557</f>
        <v>176519.03898000001</v>
      </c>
      <c r="F566" s="2114">
        <f>F555+F557</f>
        <v>44576.945040878607</v>
      </c>
      <c r="G566" s="2126">
        <f>G555+G557</f>
        <v>2072270.9690211411</v>
      </c>
      <c r="H566" s="2114">
        <f>H555+H557</f>
        <v>2552164.9230679809</v>
      </c>
      <c r="I566" s="2125">
        <f t="shared" si="47"/>
        <v>4669012.8371300008</v>
      </c>
      <c r="J566" s="2114">
        <f>J555+J557</f>
        <v>0</v>
      </c>
      <c r="K566" s="2126">
        <f>K555+K557</f>
        <v>0</v>
      </c>
      <c r="L566" s="2114">
        <f>L555+L557</f>
        <v>0</v>
      </c>
      <c r="M566" s="2127">
        <f t="shared" si="48"/>
        <v>0</v>
      </c>
      <c r="N566"/>
      <c r="O566"/>
      <c r="P566"/>
      <c r="Q566"/>
      <c r="R566"/>
      <c r="S566"/>
      <c r="T566"/>
      <c r="U566"/>
      <c r="V566"/>
      <c r="W566"/>
      <c r="X566"/>
      <c r="Y566"/>
      <c r="Z566"/>
      <c r="AA566"/>
      <c r="AB566"/>
      <c r="AC566"/>
      <c r="AD566"/>
      <c r="AE566"/>
      <c r="AF566"/>
      <c r="AG566"/>
      <c r="AH566"/>
      <c r="AI566"/>
      <c r="AJ566"/>
      <c r="AK566"/>
      <c r="AL566"/>
      <c r="AM566"/>
    </row>
    <row r="567" spans="1:39">
      <c r="A567" s="662"/>
      <c r="B567" s="2109"/>
      <c r="C567" s="2108"/>
      <c r="D567" s="2124">
        <f t="shared" si="49"/>
        <v>0</v>
      </c>
      <c r="E567" s="2126"/>
      <c r="F567" s="2114"/>
      <c r="G567" s="2126"/>
      <c r="H567" s="2114"/>
      <c r="I567" s="2125">
        <f t="shared" si="47"/>
        <v>0</v>
      </c>
      <c r="J567" s="2114"/>
      <c r="K567" s="2126"/>
      <c r="L567" s="2114"/>
      <c r="M567" s="2127"/>
    </row>
    <row r="568" spans="1:39">
      <c r="A568" s="662"/>
      <c r="B568" s="2103" t="s">
        <v>355</v>
      </c>
      <c r="C568" s="2104"/>
      <c r="D568" s="2124">
        <f t="shared" si="49"/>
        <v>1026814.32647</v>
      </c>
      <c r="E568" s="2126"/>
      <c r="F568" s="2114">
        <v>15099.824989999999</v>
      </c>
      <c r="G568" s="2126">
        <v>767553.38424000004</v>
      </c>
      <c r="H568" s="2114">
        <v>244161.11723999999</v>
      </c>
      <c r="I568" s="2125">
        <f t="shared" si="47"/>
        <v>1026814.32647</v>
      </c>
      <c r="J568" s="2114"/>
      <c r="K568" s="2126"/>
      <c r="L568" s="2114"/>
      <c r="M568" s="2127">
        <f t="shared" ref="M568:M586" si="50">L568+K568+J568</f>
        <v>0</v>
      </c>
    </row>
    <row r="569" spans="1:39">
      <c r="A569" s="662"/>
      <c r="B569" s="2103" t="s">
        <v>356</v>
      </c>
      <c r="C569" s="2104"/>
      <c r="D569" s="2124">
        <f t="shared" si="49"/>
        <v>-128427.95</v>
      </c>
      <c r="E569" s="2126"/>
      <c r="F569" s="2114">
        <v>-5747.46</v>
      </c>
      <c r="G569" s="2126">
        <v>-96789.323999999993</v>
      </c>
      <c r="H569" s="2114">
        <v>-25891.166000000001</v>
      </c>
      <c r="I569" s="2125">
        <f t="shared" si="47"/>
        <v>-128427.95</v>
      </c>
      <c r="J569" s="2114"/>
      <c r="K569" s="2126"/>
      <c r="L569" s="2114"/>
      <c r="M569" s="2127">
        <f t="shared" si="50"/>
        <v>0</v>
      </c>
    </row>
    <row r="570" spans="1:39">
      <c r="A570" s="662"/>
      <c r="B570" s="2103" t="s">
        <v>357</v>
      </c>
      <c r="C570" s="2104"/>
      <c r="D570" s="2124">
        <f t="shared" si="49"/>
        <v>0</v>
      </c>
      <c r="E570" s="2126"/>
      <c r="F570" s="2114"/>
      <c r="G570" s="2126"/>
      <c r="H570" s="2114"/>
      <c r="I570" s="2125">
        <f t="shared" si="47"/>
        <v>0</v>
      </c>
      <c r="J570" s="2114"/>
      <c r="K570" s="2126"/>
      <c r="L570" s="2114"/>
      <c r="M570" s="2127">
        <f t="shared" si="50"/>
        <v>0</v>
      </c>
    </row>
    <row r="571" spans="1:39" ht="13.5" customHeight="1">
      <c r="A571" s="662"/>
      <c r="B571" s="2110" t="s">
        <v>358</v>
      </c>
      <c r="C571" s="2104"/>
      <c r="D571" s="2124">
        <f t="shared" si="49"/>
        <v>0</v>
      </c>
      <c r="E571" s="2126"/>
      <c r="F571" s="2114"/>
      <c r="G571" s="2126"/>
      <c r="H571" s="2114"/>
      <c r="I571" s="2125">
        <f t="shared" si="47"/>
        <v>0</v>
      </c>
      <c r="J571" s="2114"/>
      <c r="K571" s="2126"/>
      <c r="L571" s="2114"/>
      <c r="M571" s="2127">
        <f t="shared" si="50"/>
        <v>0</v>
      </c>
    </row>
    <row r="572" spans="1:39">
      <c r="A572" s="662"/>
      <c r="B572" s="2103" t="s">
        <v>359</v>
      </c>
      <c r="C572" s="2104"/>
      <c r="D572" s="2124">
        <f t="shared" si="49"/>
        <v>1538998.457282105</v>
      </c>
      <c r="E572" s="2126"/>
      <c r="F572" s="2114">
        <v>30600.377891803</v>
      </c>
      <c r="G572" s="2126">
        <v>641573.34397225396</v>
      </c>
      <c r="H572" s="2114">
        <v>866824.73541804799</v>
      </c>
      <c r="I572" s="2125">
        <f t="shared" si="47"/>
        <v>1538998.457282105</v>
      </c>
      <c r="J572" s="2114"/>
      <c r="K572" s="2126"/>
      <c r="L572" s="2114"/>
      <c r="M572" s="2127">
        <f t="shared" si="50"/>
        <v>0</v>
      </c>
    </row>
    <row r="573" spans="1:39" ht="26.45">
      <c r="A573" s="662"/>
      <c r="B573" s="2110" t="s">
        <v>360</v>
      </c>
      <c r="C573" s="2104"/>
      <c r="D573" s="2124">
        <f t="shared" si="49"/>
        <v>0</v>
      </c>
      <c r="E573" s="2126"/>
      <c r="F573" s="2114"/>
      <c r="G573" s="2126"/>
      <c r="H573" s="2114"/>
      <c r="I573" s="2125">
        <f t="shared" si="47"/>
        <v>0</v>
      </c>
      <c r="J573" s="2114"/>
      <c r="K573" s="2126"/>
      <c r="L573" s="2114"/>
      <c r="M573" s="2127">
        <f t="shared" si="50"/>
        <v>0</v>
      </c>
    </row>
    <row r="574" spans="1:39" s="870" customFormat="1">
      <c r="A574" s="662"/>
      <c r="B574" s="2109" t="s">
        <v>361</v>
      </c>
      <c r="C574" s="2108"/>
      <c r="D574" s="2124">
        <f t="shared" si="49"/>
        <v>2437384.833752105</v>
      </c>
      <c r="E574" s="2126">
        <f>SUM(E568:E573)</f>
        <v>0</v>
      </c>
      <c r="F574" s="2114">
        <f>SUM(F568:F573)</f>
        <v>39952.742881803002</v>
      </c>
      <c r="G574" s="2126">
        <f>SUM(G568:G573)</f>
        <v>1312337.4042122541</v>
      </c>
      <c r="H574" s="2114">
        <f>SUM(H568:H573)</f>
        <v>1085094.6866580481</v>
      </c>
      <c r="I574" s="2125">
        <f t="shared" si="47"/>
        <v>2437384.833752105</v>
      </c>
      <c r="J574" s="2114">
        <f>SUM(J568:J573)</f>
        <v>0</v>
      </c>
      <c r="K574" s="2126">
        <f>SUM(K568:K573)</f>
        <v>0</v>
      </c>
      <c r="L574" s="2114">
        <f>SUM(L568:L573)</f>
        <v>0</v>
      </c>
      <c r="M574" s="2127">
        <f t="shared" si="50"/>
        <v>0</v>
      </c>
      <c r="N574"/>
      <c r="O574"/>
      <c r="P574"/>
      <c r="Q574"/>
      <c r="R574"/>
      <c r="S574"/>
      <c r="T574"/>
      <c r="U574"/>
      <c r="V574"/>
      <c r="W574"/>
      <c r="X574"/>
      <c r="Y574"/>
      <c r="Z574"/>
      <c r="AA574"/>
      <c r="AB574"/>
      <c r="AC574"/>
      <c r="AD574"/>
      <c r="AE574"/>
      <c r="AF574"/>
      <c r="AG574"/>
      <c r="AH574"/>
      <c r="AI574"/>
      <c r="AJ574"/>
      <c r="AK574"/>
      <c r="AL574"/>
      <c r="AM574"/>
    </row>
    <row r="575" spans="1:39">
      <c r="A575" s="662"/>
      <c r="B575" s="2103"/>
      <c r="C575" s="2104"/>
      <c r="D575" s="2124">
        <f t="shared" si="49"/>
        <v>0</v>
      </c>
      <c r="E575" s="2126"/>
      <c r="F575" s="2114"/>
      <c r="G575" s="2126"/>
      <c r="H575" s="2114"/>
      <c r="I575" s="2125">
        <f t="shared" si="47"/>
        <v>0</v>
      </c>
      <c r="J575" s="2114"/>
      <c r="K575" s="2126"/>
      <c r="L575" s="2114"/>
      <c r="M575" s="2127">
        <f t="shared" si="50"/>
        <v>0</v>
      </c>
    </row>
    <row r="576" spans="1:39" ht="26.45">
      <c r="A576" s="662"/>
      <c r="B576" s="2110" t="s">
        <v>362</v>
      </c>
      <c r="C576" s="2104"/>
      <c r="D576" s="2124">
        <f>E576+I576+M576</f>
        <v>335691.49494</v>
      </c>
      <c r="E576" s="2126">
        <v>4147.7518200000004</v>
      </c>
      <c r="F576" s="2114">
        <v>868.76328000000001</v>
      </c>
      <c r="G576" s="2126">
        <f>-22008.40605+27605.6544</f>
        <v>5597.248349999998</v>
      </c>
      <c r="H576" s="2114">
        <v>325077.73148999998</v>
      </c>
      <c r="I576" s="2125">
        <f>F576+G576+H576</f>
        <v>331543.74312</v>
      </c>
      <c r="J576" s="2114"/>
      <c r="K576" s="2126"/>
      <c r="L576" s="2114"/>
      <c r="M576" s="2127">
        <f t="shared" si="50"/>
        <v>0</v>
      </c>
    </row>
    <row r="577" spans="1:39">
      <c r="A577" s="662"/>
      <c r="B577" s="2103"/>
      <c r="C577" s="2104"/>
      <c r="D577" s="2124">
        <f t="shared" si="49"/>
        <v>0</v>
      </c>
      <c r="E577" s="2126"/>
      <c r="F577" s="2114">
        <v>0</v>
      </c>
      <c r="G577" s="2126"/>
      <c r="H577" s="2114">
        <v>0</v>
      </c>
      <c r="I577" s="2125">
        <f t="shared" si="47"/>
        <v>0</v>
      </c>
      <c r="J577" s="2114"/>
      <c r="K577" s="2126"/>
      <c r="L577" s="2114"/>
      <c r="M577" s="2127">
        <f t="shared" si="50"/>
        <v>0</v>
      </c>
    </row>
    <row r="578" spans="1:39" ht="15.75" customHeight="1">
      <c r="A578" s="662"/>
      <c r="B578" s="2110" t="s">
        <v>363</v>
      </c>
      <c r="C578" s="2104">
        <v>4</v>
      </c>
      <c r="D578" s="2124">
        <f>E578+I578+M578-33639.88524-2013.26422</f>
        <v>1451663.93169536</v>
      </c>
      <c r="E578" s="2126">
        <v>12232.820900000001</v>
      </c>
      <c r="F578" s="2114">
        <v>3755.4386665401298</v>
      </c>
      <c r="G578" s="2126">
        <v>472694.42628067901</v>
      </c>
      <c r="H578" s="2114">
        <v>998634.39530814101</v>
      </c>
      <c r="I578" s="2125">
        <f t="shared" si="47"/>
        <v>1475084.26025536</v>
      </c>
      <c r="J578" s="2114"/>
      <c r="K578" s="2126"/>
      <c r="L578" s="2114"/>
      <c r="M578" s="2127">
        <f t="shared" si="50"/>
        <v>0</v>
      </c>
    </row>
    <row r="579" spans="1:39">
      <c r="A579" s="662"/>
      <c r="B579" s="2103" t="s">
        <v>364</v>
      </c>
      <c r="C579" s="2104"/>
      <c r="D579" s="2124">
        <f t="shared" si="49"/>
        <v>0</v>
      </c>
      <c r="E579" s="2126"/>
      <c r="F579" s="2114"/>
      <c r="G579" s="2126"/>
      <c r="H579" s="2114"/>
      <c r="I579" s="2125">
        <f t="shared" si="47"/>
        <v>0</v>
      </c>
      <c r="J579" s="2114"/>
      <c r="K579" s="2126"/>
      <c r="L579" s="2114"/>
      <c r="M579" s="2127">
        <f t="shared" si="50"/>
        <v>0</v>
      </c>
    </row>
    <row r="580" spans="1:39">
      <c r="A580" s="662"/>
      <c r="B580" s="2103" t="s">
        <v>365</v>
      </c>
      <c r="C580" s="2104"/>
      <c r="D580" s="2124">
        <f t="shared" si="49"/>
        <v>0</v>
      </c>
      <c r="E580" s="2126"/>
      <c r="F580" s="2114"/>
      <c r="G580" s="2126"/>
      <c r="H580" s="2114"/>
      <c r="I580" s="2125">
        <f t="shared" si="47"/>
        <v>0</v>
      </c>
      <c r="J580" s="2114"/>
      <c r="K580" s="2126"/>
      <c r="L580" s="2114"/>
      <c r="M580" s="2127">
        <f t="shared" si="50"/>
        <v>0</v>
      </c>
    </row>
    <row r="581" spans="1:39" s="870" customFormat="1">
      <c r="A581" s="662"/>
      <c r="B581" s="2109" t="s">
        <v>366</v>
      </c>
      <c r="C581" s="2108"/>
      <c r="D581" s="2124">
        <f>SUM(D578:D580)</f>
        <v>1451663.93169536</v>
      </c>
      <c r="E581" s="2126">
        <f>SUM(E578:E580)</f>
        <v>12232.820900000001</v>
      </c>
      <c r="F581" s="2114">
        <f>SUM(F578:F580)</f>
        <v>3755.4386665401298</v>
      </c>
      <c r="G581" s="2126">
        <f>SUM(G578:G580)</f>
        <v>472694.42628067901</v>
      </c>
      <c r="H581" s="2114">
        <f>SUM(H578:H580)</f>
        <v>998634.39530814101</v>
      </c>
      <c r="I581" s="2125">
        <f t="shared" si="47"/>
        <v>1475084.26025536</v>
      </c>
      <c r="J581" s="2114">
        <f>SUM(J578:J580)</f>
        <v>0</v>
      </c>
      <c r="K581" s="2126">
        <f>SUM(K578:K580)</f>
        <v>0</v>
      </c>
      <c r="L581" s="2114">
        <f>SUM(L578:L580)</f>
        <v>0</v>
      </c>
      <c r="M581" s="2127">
        <f t="shared" si="50"/>
        <v>0</v>
      </c>
      <c r="N581"/>
      <c r="O581"/>
      <c r="P581"/>
      <c r="Q581"/>
      <c r="R581"/>
      <c r="S581"/>
      <c r="T581"/>
      <c r="U581"/>
      <c r="V581"/>
      <c r="W581"/>
      <c r="X581"/>
      <c r="Y581"/>
      <c r="Z581"/>
      <c r="AA581"/>
      <c r="AB581"/>
      <c r="AC581"/>
      <c r="AD581"/>
      <c r="AE581"/>
      <c r="AF581"/>
      <c r="AG581"/>
      <c r="AH581"/>
      <c r="AI581"/>
      <c r="AJ581"/>
      <c r="AK581"/>
      <c r="AL581"/>
      <c r="AM581"/>
    </row>
    <row r="582" spans="1:39">
      <c r="A582" s="662"/>
      <c r="B582" s="2109"/>
      <c r="C582" s="2108"/>
      <c r="D582" s="2124">
        <f t="shared" si="49"/>
        <v>0</v>
      </c>
      <c r="E582" s="2126"/>
      <c r="F582" s="2114"/>
      <c r="G582" s="2126"/>
      <c r="H582" s="2114"/>
      <c r="I582" s="2125">
        <f t="shared" si="47"/>
        <v>0</v>
      </c>
      <c r="J582" s="2114"/>
      <c r="K582" s="2126"/>
      <c r="L582" s="2114"/>
      <c r="M582" s="2127">
        <f t="shared" si="50"/>
        <v>0</v>
      </c>
    </row>
    <row r="583" spans="1:39" s="870" customFormat="1">
      <c r="A583" s="662"/>
      <c r="B583" s="2109" t="s">
        <v>367</v>
      </c>
      <c r="C583" s="2108"/>
      <c r="D583" s="2124">
        <f>E583+I583+M583</f>
        <v>585138.46626253542</v>
      </c>
      <c r="E583" s="2126">
        <f>E566-E574-E576-E581-E577</f>
        <v>160138.46626000002</v>
      </c>
      <c r="F583" s="2114">
        <f>F566-F574-F576-F581-F577</f>
        <v>2.1253547492960934E-4</v>
      </c>
      <c r="G583" s="2126">
        <f>G566-G574-G576-G581-G577</f>
        <v>281641.89017820795</v>
      </c>
      <c r="H583" s="2114">
        <f>H566-H574-H576-H581-H577</f>
        <v>143358.10961179191</v>
      </c>
      <c r="I583" s="2125">
        <f t="shared" si="47"/>
        <v>425000.00000253535</v>
      </c>
      <c r="J583" s="2114">
        <f>J566-J574-J576-J581</f>
        <v>0</v>
      </c>
      <c r="K583" s="2126">
        <f>K566-K574-K576-K581</f>
        <v>0</v>
      </c>
      <c r="L583" s="2114">
        <f>L566-L574-L576-L581</f>
        <v>0</v>
      </c>
      <c r="M583" s="2127">
        <f t="shared" si="50"/>
        <v>0</v>
      </c>
      <c r="N583"/>
      <c r="O583"/>
      <c r="P583"/>
      <c r="Q583"/>
      <c r="R583"/>
      <c r="S583"/>
      <c r="T583"/>
      <c r="U583"/>
      <c r="V583"/>
      <c r="W583"/>
      <c r="X583"/>
      <c r="Y583"/>
      <c r="Z583"/>
      <c r="AA583"/>
      <c r="AB583"/>
      <c r="AC583"/>
      <c r="AD583"/>
      <c r="AE583"/>
      <c r="AF583"/>
      <c r="AG583"/>
      <c r="AH583"/>
      <c r="AI583"/>
      <c r="AJ583"/>
      <c r="AK583"/>
      <c r="AL583"/>
      <c r="AM583"/>
    </row>
    <row r="584" spans="1:39">
      <c r="A584" s="662"/>
      <c r="B584" s="2103" t="s">
        <v>368</v>
      </c>
      <c r="C584" s="2104"/>
      <c r="D584" s="2124">
        <f t="shared" si="49"/>
        <v>0</v>
      </c>
      <c r="E584" s="2126"/>
      <c r="F584" s="2114"/>
      <c r="G584" s="2126"/>
      <c r="H584" s="2114"/>
      <c r="I584" s="2125">
        <f t="shared" si="47"/>
        <v>0</v>
      </c>
      <c r="J584" s="2114"/>
      <c r="K584" s="2126"/>
      <c r="L584" s="2114"/>
      <c r="M584" s="2127">
        <f t="shared" si="50"/>
        <v>0</v>
      </c>
    </row>
    <row r="585" spans="1:39">
      <c r="A585" s="662"/>
      <c r="B585" s="2103"/>
      <c r="C585" s="2104"/>
      <c r="D585" s="2124">
        <f t="shared" si="49"/>
        <v>0</v>
      </c>
      <c r="E585" s="2126"/>
      <c r="F585" s="2114"/>
      <c r="G585" s="2126"/>
      <c r="H585" s="2114"/>
      <c r="I585" s="2125">
        <f t="shared" si="47"/>
        <v>0</v>
      </c>
      <c r="J585" s="2114"/>
      <c r="K585" s="2126"/>
      <c r="L585" s="2114"/>
      <c r="M585" s="2127">
        <f t="shared" si="50"/>
        <v>0</v>
      </c>
    </row>
    <row r="586" spans="1:39" s="870" customFormat="1" ht="15" thickBot="1">
      <c r="A586" s="662"/>
      <c r="B586" s="1338" t="s">
        <v>369</v>
      </c>
      <c r="C586" s="1339"/>
      <c r="D586" s="1350">
        <f t="shared" si="49"/>
        <v>585138.46626253542</v>
      </c>
      <c r="E586" s="1372">
        <f>E583-E584</f>
        <v>160138.46626000002</v>
      </c>
      <c r="F586" s="1350">
        <f>F583-F584</f>
        <v>2.1253547492960934E-4</v>
      </c>
      <c r="G586" s="1372">
        <f>G583-G584</f>
        <v>281641.89017820795</v>
      </c>
      <c r="H586" s="1350">
        <f>H583-H584</f>
        <v>143358.10961179191</v>
      </c>
      <c r="I586" s="1372">
        <f t="shared" si="47"/>
        <v>425000.00000253535</v>
      </c>
      <c r="J586" s="1350">
        <f>J583-J584</f>
        <v>0</v>
      </c>
      <c r="K586" s="1372">
        <f>K583-K584</f>
        <v>0</v>
      </c>
      <c r="L586" s="1350">
        <f>L583-L584</f>
        <v>0</v>
      </c>
      <c r="M586" s="1373">
        <f t="shared" si="50"/>
        <v>0</v>
      </c>
      <c r="N586"/>
      <c r="O586"/>
      <c r="P586"/>
      <c r="Q586"/>
      <c r="R586"/>
      <c r="S586"/>
      <c r="T586"/>
      <c r="U586"/>
      <c r="V586"/>
      <c r="W586"/>
      <c r="X586"/>
      <c r="Y586"/>
      <c r="Z586"/>
      <c r="AA586"/>
      <c r="AB586"/>
      <c r="AC586"/>
      <c r="AD586"/>
      <c r="AE586"/>
      <c r="AF586"/>
      <c r="AG586"/>
      <c r="AH586"/>
      <c r="AI586"/>
      <c r="AJ586"/>
      <c r="AK586"/>
      <c r="AL586"/>
      <c r="AM586"/>
    </row>
    <row r="587" spans="1:39">
      <c r="A587" s="662"/>
      <c r="B587" s="662"/>
      <c r="C587" s="662"/>
      <c r="D587" s="670"/>
      <c r="E587" s="670"/>
      <c r="F587" s="670"/>
      <c r="G587" s="670"/>
      <c r="H587" s="670"/>
      <c r="I587" s="670"/>
      <c r="J587" s="662"/>
      <c r="K587" s="662"/>
      <c r="L587" s="662"/>
      <c r="M587" s="662"/>
    </row>
    <row r="588" spans="1:39">
      <c r="A588" s="662"/>
      <c r="B588" s="662"/>
      <c r="C588" s="662"/>
      <c r="D588" s="662"/>
      <c r="E588" s="662"/>
      <c r="F588" s="662"/>
      <c r="G588" s="662"/>
      <c r="H588" s="662"/>
      <c r="I588" s="662"/>
      <c r="J588" s="662"/>
      <c r="K588" s="662"/>
      <c r="L588" s="662"/>
    </row>
    <row r="590" spans="1:39" ht="15" thickBot="1"/>
    <row r="591" spans="1:39" ht="17.25" customHeight="1" thickBot="1">
      <c r="A591" s="1361" t="s">
        <v>109</v>
      </c>
      <c r="B591" s="1153" t="s">
        <v>109</v>
      </c>
      <c r="C591" s="873"/>
      <c r="D591" s="662"/>
      <c r="E591" s="662"/>
      <c r="F591" s="662"/>
      <c r="G591" s="662"/>
      <c r="H591" s="662"/>
      <c r="I591" s="662"/>
      <c r="J591" s="662"/>
      <c r="K591" s="662"/>
      <c r="L591" s="3292"/>
      <c r="M591" s="3292" t="s">
        <v>257</v>
      </c>
    </row>
    <row r="592" spans="1:39" ht="17.25" customHeight="1" thickBot="1">
      <c r="A592" s="662"/>
      <c r="B592" s="3331" t="s">
        <v>109</v>
      </c>
      <c r="C592" s="3280" t="s">
        <v>334</v>
      </c>
      <c r="D592" s="3283" t="s">
        <v>260</v>
      </c>
      <c r="E592" s="3283" t="s">
        <v>335</v>
      </c>
      <c r="F592" s="3335" t="s">
        <v>263</v>
      </c>
      <c r="G592" s="3335"/>
      <c r="H592" s="3335"/>
      <c r="I592" s="3335"/>
      <c r="J592" s="3335"/>
      <c r="K592" s="3335"/>
      <c r="L592" s="3335"/>
      <c r="M592" s="3335"/>
    </row>
    <row r="593" spans="1:39" ht="17.25" customHeight="1" thickBot="1">
      <c r="A593" s="662"/>
      <c r="B593" s="3327"/>
      <c r="C593" s="3281"/>
      <c r="D593" s="3284"/>
      <c r="E593" s="3284"/>
      <c r="F593" s="3332" t="s">
        <v>264</v>
      </c>
      <c r="G593" s="3333"/>
      <c r="H593" s="3333"/>
      <c r="I593" s="3334"/>
      <c r="J593" s="3335" t="s">
        <v>336</v>
      </c>
      <c r="K593" s="3335"/>
      <c r="L593" s="3335"/>
      <c r="M593" s="3335"/>
    </row>
    <row r="594" spans="1:39" ht="66.599999999999994" thickBot="1">
      <c r="A594" s="662"/>
      <c r="B594" s="3327"/>
      <c r="C594" s="3281"/>
      <c r="D594" s="3285"/>
      <c r="E594" s="3285"/>
      <c r="F594" s="2963" t="s">
        <v>267</v>
      </c>
      <c r="G594" s="2963" t="s">
        <v>268</v>
      </c>
      <c r="H594" s="2963" t="s">
        <v>269</v>
      </c>
      <c r="I594" s="2963" t="s">
        <v>160</v>
      </c>
      <c r="J594" s="2964" t="s">
        <v>337</v>
      </c>
      <c r="K594" s="2964" t="s">
        <v>271</v>
      </c>
      <c r="L594" s="2964" t="s">
        <v>338</v>
      </c>
      <c r="M594" s="2964" t="s">
        <v>160</v>
      </c>
    </row>
    <row r="595" spans="1:39" ht="17.25" customHeight="1" thickBot="1">
      <c r="A595" s="662"/>
      <c r="B595" s="3327"/>
      <c r="C595" s="3281"/>
      <c r="D595" s="2972">
        <v>1</v>
      </c>
      <c r="E595" s="3283">
        <v>2</v>
      </c>
      <c r="F595" s="3283">
        <v>3</v>
      </c>
      <c r="G595" s="3283">
        <v>4</v>
      </c>
      <c r="H595" s="3283"/>
      <c r="I595" s="2972">
        <v>6</v>
      </c>
      <c r="J595" s="3283">
        <v>7</v>
      </c>
      <c r="K595" s="3283">
        <v>8</v>
      </c>
      <c r="L595" s="3283">
        <v>9</v>
      </c>
      <c r="M595" s="2972">
        <v>10</v>
      </c>
    </row>
    <row r="596" spans="1:39" ht="15" thickBot="1">
      <c r="A596" s="662"/>
      <c r="B596" s="3328"/>
      <c r="C596" s="3282"/>
      <c r="D596" s="1327" t="s">
        <v>339</v>
      </c>
      <c r="E596" s="3285"/>
      <c r="F596" s="3285"/>
      <c r="G596" s="3285"/>
      <c r="H596" s="3285">
        <v>5</v>
      </c>
      <c r="I596" s="1327" t="s">
        <v>340</v>
      </c>
      <c r="J596" s="3285"/>
      <c r="K596" s="3285"/>
      <c r="L596" s="3285"/>
      <c r="M596" s="1327" t="s">
        <v>341</v>
      </c>
    </row>
    <row r="597" spans="1:39">
      <c r="A597" s="662"/>
      <c r="B597" s="1328" t="s">
        <v>342</v>
      </c>
      <c r="C597" s="885"/>
      <c r="D597" s="1329">
        <f t="shared" ref="D597:D634" si="51">E597+I597+M597</f>
        <v>40369.636539999992</v>
      </c>
      <c r="E597" s="887"/>
      <c r="F597" s="886">
        <v>688.94399999999996</v>
      </c>
      <c r="G597" s="887">
        <v>39680.692539999989</v>
      </c>
      <c r="H597" s="886"/>
      <c r="I597" s="1332">
        <f t="shared" ref="I597:I634" si="52">F597+G597+H597</f>
        <v>40369.636539999992</v>
      </c>
      <c r="J597" s="886"/>
      <c r="K597" s="887"/>
      <c r="L597" s="886"/>
      <c r="M597" s="1335">
        <f t="shared" ref="M597:M614" si="53">L597+K597+J597</f>
        <v>0</v>
      </c>
    </row>
    <row r="598" spans="1:39">
      <c r="A598" s="662"/>
      <c r="B598" s="2103"/>
      <c r="C598" s="2104"/>
      <c r="D598" s="2124">
        <f t="shared" si="51"/>
        <v>0</v>
      </c>
      <c r="E598" s="2126"/>
      <c r="F598" s="2114"/>
      <c r="G598" s="2126"/>
      <c r="H598" s="2114"/>
      <c r="I598" s="2125">
        <f t="shared" si="52"/>
        <v>0</v>
      </c>
      <c r="J598" s="2114"/>
      <c r="K598" s="2126"/>
      <c r="L598" s="2114"/>
      <c r="M598" s="2127">
        <f t="shared" si="53"/>
        <v>0</v>
      </c>
    </row>
    <row r="599" spans="1:39">
      <c r="A599" s="662"/>
      <c r="B599" s="2105" t="s">
        <v>343</v>
      </c>
      <c r="C599" s="2104"/>
      <c r="D599" s="2124">
        <f t="shared" si="51"/>
        <v>9792.0730000000003</v>
      </c>
      <c r="E599" s="2126"/>
      <c r="F599" s="2114">
        <v>155.82532</v>
      </c>
      <c r="G599" s="2126">
        <v>9636.2476800000004</v>
      </c>
      <c r="H599" s="2114"/>
      <c r="I599" s="2125">
        <f t="shared" si="52"/>
        <v>9792.0730000000003</v>
      </c>
      <c r="J599" s="2114"/>
      <c r="K599" s="2126"/>
      <c r="L599" s="2114"/>
      <c r="M599" s="2127">
        <f t="shared" si="53"/>
        <v>0</v>
      </c>
    </row>
    <row r="600" spans="1:39">
      <c r="A600" s="662"/>
      <c r="B600" s="2105"/>
      <c r="C600" s="2104"/>
      <c r="D600" s="2124">
        <f t="shared" si="51"/>
        <v>0</v>
      </c>
      <c r="E600" s="2126"/>
      <c r="F600" s="2114"/>
      <c r="G600" s="2126"/>
      <c r="H600" s="2114"/>
      <c r="I600" s="2125">
        <f t="shared" si="52"/>
        <v>0</v>
      </c>
      <c r="J600" s="2114"/>
      <c r="K600" s="2126"/>
      <c r="L600" s="2114"/>
      <c r="M600" s="2127">
        <f t="shared" si="53"/>
        <v>0</v>
      </c>
    </row>
    <row r="601" spans="1:39" ht="14.25" customHeight="1">
      <c r="A601" s="662"/>
      <c r="B601" s="2106" t="s">
        <v>344</v>
      </c>
      <c r="C601" s="2104"/>
      <c r="D601" s="2124">
        <f t="shared" si="51"/>
        <v>0</v>
      </c>
      <c r="E601" s="2126"/>
      <c r="F601" s="2114"/>
      <c r="G601" s="2126"/>
      <c r="H601" s="2114"/>
      <c r="I601" s="2125">
        <f t="shared" si="52"/>
        <v>0</v>
      </c>
      <c r="J601" s="2114"/>
      <c r="K601" s="2126"/>
      <c r="L601" s="2114"/>
      <c r="M601" s="2127">
        <f t="shared" si="53"/>
        <v>0</v>
      </c>
    </row>
    <row r="602" spans="1:39">
      <c r="A602" s="662"/>
      <c r="B602" s="2103"/>
      <c r="C602" s="2104"/>
      <c r="D602" s="2124">
        <f t="shared" si="51"/>
        <v>0</v>
      </c>
      <c r="E602" s="2126"/>
      <c r="F602" s="2114"/>
      <c r="G602" s="2126"/>
      <c r="H602" s="2114"/>
      <c r="I602" s="2125">
        <f t="shared" si="52"/>
        <v>0</v>
      </c>
      <c r="J602" s="2114"/>
      <c r="K602" s="2126"/>
      <c r="L602" s="2114"/>
      <c r="M602" s="2127">
        <f t="shared" si="53"/>
        <v>0</v>
      </c>
    </row>
    <row r="603" spans="1:39" s="870" customFormat="1">
      <c r="A603" s="662"/>
      <c r="B603" s="2107" t="s">
        <v>345</v>
      </c>
      <c r="C603" s="2108"/>
      <c r="D603" s="2124">
        <f t="shared" si="51"/>
        <v>30577.563539999988</v>
      </c>
      <c r="E603" s="2126">
        <f>E597-E599+E601</f>
        <v>0</v>
      </c>
      <c r="F603" s="2114">
        <f>F597-F599+F601</f>
        <v>533.11867999999993</v>
      </c>
      <c r="G603" s="2126">
        <f>G597-G599+G601</f>
        <v>30044.444859999989</v>
      </c>
      <c r="H603" s="2114">
        <f>H597-H599+H601</f>
        <v>0</v>
      </c>
      <c r="I603" s="2125">
        <f t="shared" si="52"/>
        <v>30577.563539999988</v>
      </c>
      <c r="J603" s="2114">
        <f>J597-J599+J601</f>
        <v>0</v>
      </c>
      <c r="K603" s="2126">
        <f>K597-K599+K601</f>
        <v>0</v>
      </c>
      <c r="L603" s="2114">
        <f>L597-L599+L601</f>
        <v>0</v>
      </c>
      <c r="M603" s="2127">
        <f t="shared" si="53"/>
        <v>0</v>
      </c>
      <c r="N603"/>
      <c r="O603"/>
      <c r="P603"/>
      <c r="Q603"/>
      <c r="R603"/>
      <c r="S603"/>
      <c r="T603"/>
      <c r="U603"/>
      <c r="V603"/>
      <c r="W603"/>
      <c r="X603"/>
      <c r="Y603"/>
      <c r="Z603"/>
      <c r="AA603"/>
      <c r="AB603"/>
      <c r="AC603"/>
      <c r="AD603"/>
      <c r="AE603"/>
      <c r="AF603"/>
      <c r="AG603"/>
      <c r="AH603"/>
      <c r="AI603"/>
      <c r="AJ603"/>
      <c r="AK603"/>
      <c r="AL603"/>
      <c r="AM603"/>
    </row>
    <row r="604" spans="1:39">
      <c r="A604" s="662"/>
      <c r="B604" s="2107"/>
      <c r="C604" s="2108"/>
      <c r="D604" s="2124">
        <f t="shared" si="51"/>
        <v>0</v>
      </c>
      <c r="E604" s="2126"/>
      <c r="F604" s="2114"/>
      <c r="G604" s="2126"/>
      <c r="H604" s="2114"/>
      <c r="I604" s="2125">
        <f t="shared" si="52"/>
        <v>0</v>
      </c>
      <c r="J604" s="2114"/>
      <c r="K604" s="2126"/>
      <c r="L604" s="2114"/>
      <c r="M604" s="2127">
        <f t="shared" si="53"/>
        <v>0</v>
      </c>
    </row>
    <row r="605" spans="1:39" s="870" customFormat="1">
      <c r="A605" s="662"/>
      <c r="B605" s="2107" t="s">
        <v>346</v>
      </c>
      <c r="C605" s="2108"/>
      <c r="D605" s="2124">
        <f t="shared" si="51"/>
        <v>74281.379589999997</v>
      </c>
      <c r="E605" s="2126">
        <f>SUM(E606:E610)</f>
        <v>33594.595300000001</v>
      </c>
      <c r="F605" s="2114">
        <f>SUM(F606:F610)</f>
        <v>2473.4507559718541</v>
      </c>
      <c r="G605" s="2126">
        <f>SUM(G606:G610)</f>
        <v>38213.333534028141</v>
      </c>
      <c r="H605" s="2114">
        <f>SUM(H606:H610)</f>
        <v>0</v>
      </c>
      <c r="I605" s="2125">
        <f t="shared" si="52"/>
        <v>40686.784289999996</v>
      </c>
      <c r="J605" s="2114">
        <f>SUM(J606:J610)</f>
        <v>0</v>
      </c>
      <c r="K605" s="2126">
        <f>SUM(K606:K610)</f>
        <v>0</v>
      </c>
      <c r="L605" s="2114">
        <f>SUM(L606:L610)</f>
        <v>0</v>
      </c>
      <c r="M605" s="2127">
        <f t="shared" si="53"/>
        <v>0</v>
      </c>
      <c r="N605"/>
      <c r="O605"/>
      <c r="P605"/>
      <c r="Q605"/>
      <c r="R605"/>
      <c r="S605"/>
      <c r="T605"/>
      <c r="U605"/>
      <c r="V605"/>
      <c r="W605"/>
      <c r="X605"/>
      <c r="Y605"/>
      <c r="Z605"/>
      <c r="AA605"/>
      <c r="AB605"/>
      <c r="AC605"/>
      <c r="AD605"/>
      <c r="AE605"/>
      <c r="AF605"/>
      <c r="AG605"/>
      <c r="AH605"/>
      <c r="AI605"/>
      <c r="AJ605"/>
      <c r="AK605"/>
      <c r="AL605"/>
      <c r="AM605"/>
    </row>
    <row r="606" spans="1:39">
      <c r="A606" s="662"/>
      <c r="B606" s="2103" t="s">
        <v>347</v>
      </c>
      <c r="C606" s="2104">
        <v>1</v>
      </c>
      <c r="D606" s="2124">
        <f t="shared" si="51"/>
        <v>58542.978779999998</v>
      </c>
      <c r="E606" s="2126">
        <v>33594.595300000001</v>
      </c>
      <c r="F606" s="2114">
        <v>2213.0529999999999</v>
      </c>
      <c r="G606" s="2126">
        <v>22735.330479999997</v>
      </c>
      <c r="H606" s="2114"/>
      <c r="I606" s="2125">
        <f t="shared" si="52"/>
        <v>24948.383479999997</v>
      </c>
      <c r="J606" s="2114"/>
      <c r="K606" s="2126"/>
      <c r="L606" s="2114"/>
      <c r="M606" s="2127">
        <f t="shared" si="53"/>
        <v>0</v>
      </c>
    </row>
    <row r="607" spans="1:39">
      <c r="A607" s="662"/>
      <c r="B607" s="2103" t="s">
        <v>348</v>
      </c>
      <c r="C607" s="2104">
        <v>2</v>
      </c>
      <c r="D607" s="2124">
        <f t="shared" si="51"/>
        <v>15258.370439999997</v>
      </c>
      <c r="E607" s="2126">
        <v>0</v>
      </c>
      <c r="F607" s="2114">
        <v>260.397755971854</v>
      </c>
      <c r="G607" s="2126">
        <v>14997.972684028144</v>
      </c>
      <c r="H607" s="2114"/>
      <c r="I607" s="2125">
        <f t="shared" si="52"/>
        <v>15258.370439999997</v>
      </c>
      <c r="J607" s="2114"/>
      <c r="K607" s="2126"/>
      <c r="L607" s="2114"/>
      <c r="M607" s="2127">
        <f t="shared" si="53"/>
        <v>0</v>
      </c>
    </row>
    <row r="608" spans="1:39">
      <c r="A608" s="662"/>
      <c r="B608" s="2103" t="s">
        <v>349</v>
      </c>
      <c r="C608" s="2104"/>
      <c r="D608" s="2124">
        <f t="shared" si="51"/>
        <v>0</v>
      </c>
      <c r="E608" s="2126"/>
      <c r="F608" s="2114"/>
      <c r="G608" s="2126"/>
      <c r="H608" s="2114"/>
      <c r="I608" s="2125">
        <f t="shared" si="52"/>
        <v>0</v>
      </c>
      <c r="J608" s="2114"/>
      <c r="K608" s="2126"/>
      <c r="L608" s="2114"/>
      <c r="M608" s="2127">
        <f t="shared" si="53"/>
        <v>0</v>
      </c>
    </row>
    <row r="609" spans="1:39">
      <c r="A609" s="662"/>
      <c r="B609" s="2103" t="s">
        <v>350</v>
      </c>
      <c r="C609" s="2104"/>
      <c r="D609" s="2124">
        <f t="shared" si="51"/>
        <v>0</v>
      </c>
      <c r="E609" s="2126"/>
      <c r="F609" s="2114"/>
      <c r="G609" s="2126"/>
      <c r="H609" s="2114"/>
      <c r="I609" s="2125">
        <f t="shared" si="52"/>
        <v>0</v>
      </c>
      <c r="J609" s="2114"/>
      <c r="K609" s="2126"/>
      <c r="L609" s="2114"/>
      <c r="M609" s="2127">
        <f t="shared" si="53"/>
        <v>0</v>
      </c>
    </row>
    <row r="610" spans="1:39">
      <c r="A610" s="662"/>
      <c r="B610" s="2103" t="s">
        <v>351</v>
      </c>
      <c r="C610" s="2104">
        <v>3</v>
      </c>
      <c r="D610" s="2124">
        <f t="shared" si="51"/>
        <v>480.03037</v>
      </c>
      <c r="E610" s="2126">
        <v>0</v>
      </c>
      <c r="F610" s="2114">
        <v>0</v>
      </c>
      <c r="G610" s="2126">
        <v>480.03037</v>
      </c>
      <c r="H610" s="2114"/>
      <c r="I610" s="2125">
        <f t="shared" si="52"/>
        <v>480.03037</v>
      </c>
      <c r="J610" s="2114"/>
      <c r="K610" s="2126"/>
      <c r="L610" s="2114"/>
      <c r="M610" s="2127">
        <f t="shared" si="53"/>
        <v>0</v>
      </c>
    </row>
    <row r="611" spans="1:39">
      <c r="A611" s="662"/>
      <c r="B611" s="2103" t="s">
        <v>353</v>
      </c>
      <c r="C611" s="2104"/>
      <c r="D611" s="2124">
        <f t="shared" si="51"/>
        <v>0</v>
      </c>
      <c r="E611" s="2126"/>
      <c r="F611" s="2114"/>
      <c r="G611" s="2126"/>
      <c r="H611" s="2114"/>
      <c r="I611" s="2125">
        <f t="shared" si="52"/>
        <v>0</v>
      </c>
      <c r="J611" s="2114"/>
      <c r="K611" s="2126"/>
      <c r="L611" s="2114"/>
      <c r="M611" s="2127">
        <f t="shared" si="53"/>
        <v>0</v>
      </c>
    </row>
    <row r="612" spans="1:39">
      <c r="A612" s="662"/>
      <c r="B612" s="2103" t="s">
        <v>353</v>
      </c>
      <c r="C612" s="2104"/>
      <c r="D612" s="2124">
        <f t="shared" si="51"/>
        <v>0</v>
      </c>
      <c r="E612" s="2126"/>
      <c r="F612" s="2114"/>
      <c r="G612" s="2126"/>
      <c r="H612" s="2114"/>
      <c r="I612" s="2125">
        <f t="shared" si="52"/>
        <v>0</v>
      </c>
      <c r="J612" s="2114"/>
      <c r="K612" s="2126"/>
      <c r="L612" s="2114"/>
      <c r="M612" s="2127">
        <f t="shared" si="53"/>
        <v>0</v>
      </c>
    </row>
    <row r="613" spans="1:39">
      <c r="A613" s="662"/>
      <c r="B613" s="2103"/>
      <c r="C613" s="2104"/>
      <c r="D613" s="2124">
        <f t="shared" si="51"/>
        <v>0</v>
      </c>
      <c r="E613" s="2126"/>
      <c r="F613" s="2114"/>
      <c r="G613" s="2126"/>
      <c r="H613" s="2114"/>
      <c r="I613" s="2125">
        <f t="shared" si="52"/>
        <v>0</v>
      </c>
      <c r="J613" s="2114"/>
      <c r="K613" s="2126"/>
      <c r="L613" s="2114"/>
      <c r="M613" s="2127">
        <f t="shared" si="53"/>
        <v>0</v>
      </c>
    </row>
    <row r="614" spans="1:39" s="870" customFormat="1">
      <c r="A614" s="662"/>
      <c r="B614" s="2109" t="s">
        <v>354</v>
      </c>
      <c r="C614" s="2108"/>
      <c r="D614" s="2124">
        <f t="shared" si="51"/>
        <v>104858.94312999999</v>
      </c>
      <c r="E614" s="2126">
        <f>E603+E605</f>
        <v>33594.595300000001</v>
      </c>
      <c r="F614" s="2114">
        <f>F603+F605</f>
        <v>3006.5694359718541</v>
      </c>
      <c r="G614" s="2126">
        <f>G603+G605</f>
        <v>68257.778394028137</v>
      </c>
      <c r="H614" s="2114">
        <f>H603+H605</f>
        <v>0</v>
      </c>
      <c r="I614" s="2125">
        <f t="shared" si="52"/>
        <v>71264.347829999984</v>
      </c>
      <c r="J614" s="2114">
        <f>J603+J605</f>
        <v>0</v>
      </c>
      <c r="K614" s="2126">
        <f>K603+K605</f>
        <v>0</v>
      </c>
      <c r="L614" s="2114">
        <f>L603+L605</f>
        <v>0</v>
      </c>
      <c r="M614" s="2127">
        <f t="shared" si="53"/>
        <v>0</v>
      </c>
      <c r="N614"/>
      <c r="O614"/>
      <c r="P614"/>
      <c r="Q614"/>
      <c r="R614"/>
      <c r="S614"/>
      <c r="T614"/>
      <c r="U614"/>
      <c r="V614"/>
      <c r="W614"/>
      <c r="X614"/>
      <c r="Y614"/>
      <c r="Z614"/>
      <c r="AA614"/>
      <c r="AB614"/>
      <c r="AC614"/>
      <c r="AD614"/>
      <c r="AE614"/>
      <c r="AF614"/>
      <c r="AG614"/>
      <c r="AH614"/>
      <c r="AI614"/>
      <c r="AJ614"/>
      <c r="AK614"/>
      <c r="AL614"/>
      <c r="AM614"/>
    </row>
    <row r="615" spans="1:39">
      <c r="A615" s="662"/>
      <c r="B615" s="2109"/>
      <c r="C615" s="2108"/>
      <c r="D615" s="2124">
        <f t="shared" si="51"/>
        <v>0</v>
      </c>
      <c r="E615" s="2126"/>
      <c r="F615" s="2114"/>
      <c r="G615" s="2126"/>
      <c r="H615" s="2114"/>
      <c r="I615" s="2125">
        <f t="shared" si="52"/>
        <v>0</v>
      </c>
      <c r="J615" s="2114"/>
      <c r="K615" s="2126"/>
      <c r="L615" s="2114"/>
      <c r="M615" s="2127"/>
    </row>
    <row r="616" spans="1:39">
      <c r="A616" s="662"/>
      <c r="B616" s="2103" t="s">
        <v>355</v>
      </c>
      <c r="C616" s="2104"/>
      <c r="D616" s="2124">
        <f t="shared" si="51"/>
        <v>51914.135549999999</v>
      </c>
      <c r="E616" s="2126"/>
      <c r="F616" s="2114">
        <v>1122.0450000000001</v>
      </c>
      <c r="G616" s="2126">
        <v>50792.090550000001</v>
      </c>
      <c r="H616" s="2114"/>
      <c r="I616" s="2125">
        <f t="shared" si="52"/>
        <v>51914.135549999999</v>
      </c>
      <c r="J616" s="2114"/>
      <c r="K616" s="2126"/>
      <c r="L616" s="2114"/>
      <c r="M616" s="2127">
        <f t="shared" ref="M616:M634" si="54">L616+K616+J616</f>
        <v>0</v>
      </c>
    </row>
    <row r="617" spans="1:39">
      <c r="A617" s="662"/>
      <c r="B617" s="2103" t="s">
        <v>356</v>
      </c>
      <c r="C617" s="2104"/>
      <c r="D617" s="2124">
        <f t="shared" si="51"/>
        <v>-3532.7368300000003</v>
      </c>
      <c r="E617" s="2126"/>
      <c r="F617" s="2114">
        <v>0</v>
      </c>
      <c r="G617" s="2126">
        <v>-3532.7368300000003</v>
      </c>
      <c r="H617" s="2114"/>
      <c r="I617" s="2125">
        <f t="shared" si="52"/>
        <v>-3532.7368300000003</v>
      </c>
      <c r="J617" s="2114"/>
      <c r="K617" s="2126"/>
      <c r="L617" s="2114"/>
      <c r="M617" s="2127">
        <f t="shared" si="54"/>
        <v>0</v>
      </c>
    </row>
    <row r="618" spans="1:39">
      <c r="A618" s="662"/>
      <c r="B618" s="2103" t="s">
        <v>357</v>
      </c>
      <c r="C618" s="2104"/>
      <c r="D618" s="2124">
        <f t="shared" si="51"/>
        <v>-26191.19901</v>
      </c>
      <c r="E618" s="2126"/>
      <c r="F618" s="2114">
        <v>2441.4669999999996</v>
      </c>
      <c r="G618" s="2126">
        <v>-28632.666010000001</v>
      </c>
      <c r="H618" s="2114"/>
      <c r="I618" s="2125">
        <f t="shared" si="52"/>
        <v>-26191.19901</v>
      </c>
      <c r="J618" s="2114"/>
      <c r="K618" s="2126"/>
      <c r="L618" s="2114"/>
      <c r="M618" s="2127">
        <f t="shared" si="54"/>
        <v>0</v>
      </c>
    </row>
    <row r="619" spans="1:39" ht="13.5" customHeight="1">
      <c r="A619" s="662"/>
      <c r="B619" s="2110" t="s">
        <v>358</v>
      </c>
      <c r="C619" s="2104"/>
      <c r="D619" s="2124">
        <f t="shared" si="51"/>
        <v>83.826599999999999</v>
      </c>
      <c r="E619" s="2126"/>
      <c r="F619" s="2114">
        <v>0</v>
      </c>
      <c r="G619" s="2126">
        <v>83.826599999999999</v>
      </c>
      <c r="H619" s="2114"/>
      <c r="I619" s="2125">
        <f t="shared" si="52"/>
        <v>83.826599999999999</v>
      </c>
      <c r="J619" s="2114"/>
      <c r="K619" s="2126"/>
      <c r="L619" s="2114"/>
      <c r="M619" s="2127">
        <f t="shared" si="54"/>
        <v>0</v>
      </c>
    </row>
    <row r="620" spans="1:39">
      <c r="A620" s="662"/>
      <c r="B620" s="2103" t="s">
        <v>359</v>
      </c>
      <c r="C620" s="2104"/>
      <c r="D620" s="2124">
        <f t="shared" si="51"/>
        <v>-58741.665460000018</v>
      </c>
      <c r="E620" s="2126"/>
      <c r="F620" s="2114">
        <v>-3980.190876524548</v>
      </c>
      <c r="G620" s="2126">
        <v>-54761.474583475472</v>
      </c>
      <c r="H620" s="2114"/>
      <c r="I620" s="2125">
        <f t="shared" si="52"/>
        <v>-58741.665460000018</v>
      </c>
      <c r="J620" s="2114"/>
      <c r="K620" s="2126"/>
      <c r="L620" s="2114"/>
      <c r="M620" s="2127">
        <f t="shared" si="54"/>
        <v>0</v>
      </c>
    </row>
    <row r="621" spans="1:39" ht="26.45">
      <c r="A621" s="662"/>
      <c r="B621" s="2110" t="s">
        <v>360</v>
      </c>
      <c r="C621" s="2104"/>
      <c r="D621" s="2124">
        <f t="shared" si="51"/>
        <v>0</v>
      </c>
      <c r="E621" s="2126"/>
      <c r="F621" s="2114"/>
      <c r="G621" s="2126"/>
      <c r="H621" s="2114"/>
      <c r="I621" s="2125">
        <f t="shared" si="52"/>
        <v>0</v>
      </c>
      <c r="J621" s="2114"/>
      <c r="K621" s="2126"/>
      <c r="L621" s="2114"/>
      <c r="M621" s="2127">
        <f t="shared" si="54"/>
        <v>0</v>
      </c>
    </row>
    <row r="622" spans="1:39" s="870" customFormat="1">
      <c r="A622" s="662"/>
      <c r="B622" s="2109" t="s">
        <v>361</v>
      </c>
      <c r="C622" s="2108"/>
      <c r="D622" s="2124">
        <f t="shared" si="51"/>
        <v>-36467.639150000025</v>
      </c>
      <c r="E622" s="2126">
        <f>SUM(E616:E621)</f>
        <v>0</v>
      </c>
      <c r="F622" s="2114">
        <f>SUM(F616:F621)</f>
        <v>-416.67887652454829</v>
      </c>
      <c r="G622" s="2126">
        <f>SUM(G616:G621)</f>
        <v>-36050.960273475474</v>
      </c>
      <c r="H622" s="2114">
        <f>SUM(H616:H621)</f>
        <v>0</v>
      </c>
      <c r="I622" s="2125">
        <f t="shared" si="52"/>
        <v>-36467.639150000025</v>
      </c>
      <c r="J622" s="2114">
        <f>SUM(J616:J621)</f>
        <v>0</v>
      </c>
      <c r="K622" s="2126">
        <f>SUM(K616:K621)</f>
        <v>0</v>
      </c>
      <c r="L622" s="2114">
        <f>SUM(L616:L621)</f>
        <v>0</v>
      </c>
      <c r="M622" s="2127">
        <f t="shared" si="54"/>
        <v>0</v>
      </c>
      <c r="N622"/>
      <c r="O622"/>
      <c r="P622"/>
      <c r="Q622"/>
      <c r="R622"/>
      <c r="S622"/>
      <c r="T622"/>
      <c r="U622"/>
      <c r="V622"/>
      <c r="W622"/>
      <c r="X622"/>
      <c r="Y622"/>
      <c r="Z622"/>
      <c r="AA622"/>
      <c r="AB622"/>
      <c r="AC622"/>
      <c r="AD622"/>
      <c r="AE622"/>
      <c r="AF622"/>
      <c r="AG622"/>
      <c r="AH622"/>
      <c r="AI622"/>
      <c r="AJ622"/>
      <c r="AK622"/>
      <c r="AL622"/>
      <c r="AM622"/>
    </row>
    <row r="623" spans="1:39">
      <c r="A623" s="662"/>
      <c r="B623" s="2103"/>
      <c r="C623" s="2104"/>
      <c r="D623" s="2124">
        <f t="shared" si="51"/>
        <v>0</v>
      </c>
      <c r="E623" s="2126"/>
      <c r="F623" s="2114"/>
      <c r="G623" s="2126"/>
      <c r="H623" s="2114"/>
      <c r="I623" s="2125">
        <f t="shared" si="52"/>
        <v>0</v>
      </c>
      <c r="J623" s="2114"/>
      <c r="K623" s="2126"/>
      <c r="L623" s="2114"/>
      <c r="M623" s="2127">
        <f t="shared" si="54"/>
        <v>0</v>
      </c>
    </row>
    <row r="624" spans="1:39" ht="26.45">
      <c r="A624" s="662"/>
      <c r="B624" s="2110" t="s">
        <v>362</v>
      </c>
      <c r="C624" s="2104"/>
      <c r="D624" s="2124">
        <f t="shared" si="51"/>
        <v>1223.2668600000006</v>
      </c>
      <c r="E624" s="2126"/>
      <c r="F624" s="2114">
        <v>56.271420000000006</v>
      </c>
      <c r="G624" s="2126">
        <v>1166.9954400000006</v>
      </c>
      <c r="H624" s="2114"/>
      <c r="I624" s="2125">
        <f t="shared" si="52"/>
        <v>1223.2668600000006</v>
      </c>
      <c r="J624" s="2114"/>
      <c r="K624" s="2126"/>
      <c r="L624" s="2114"/>
      <c r="M624" s="2127">
        <f t="shared" si="54"/>
        <v>0</v>
      </c>
    </row>
    <row r="625" spans="1:39">
      <c r="A625" s="662"/>
      <c r="B625" s="2103"/>
      <c r="C625" s="2104"/>
      <c r="D625" s="2124">
        <f t="shared" si="51"/>
        <v>0</v>
      </c>
      <c r="E625" s="2126"/>
      <c r="F625" s="2114"/>
      <c r="G625" s="2126"/>
      <c r="H625" s="2114"/>
      <c r="I625" s="2125">
        <f t="shared" si="52"/>
        <v>0</v>
      </c>
      <c r="J625" s="2114"/>
      <c r="K625" s="2126"/>
      <c r="L625" s="2114"/>
      <c r="M625" s="2127">
        <f t="shared" si="54"/>
        <v>0</v>
      </c>
    </row>
    <row r="626" spans="1:39" ht="15.75" customHeight="1">
      <c r="A626" s="662"/>
      <c r="B626" s="2110" t="s">
        <v>363</v>
      </c>
      <c r="C626" s="2104">
        <v>4</v>
      </c>
      <c r="D626" s="2124">
        <f t="shared" si="51"/>
        <v>106508.72012000001</v>
      </c>
      <c r="E626" s="2126"/>
      <c r="F626" s="2114">
        <v>3366.9768924964033</v>
      </c>
      <c r="G626" s="2126">
        <v>103141.74322750361</v>
      </c>
      <c r="H626" s="2114"/>
      <c r="I626" s="2125">
        <f t="shared" si="52"/>
        <v>106508.72012000001</v>
      </c>
      <c r="J626" s="2114"/>
      <c r="K626" s="2126"/>
      <c r="L626" s="2114"/>
      <c r="M626" s="2127">
        <f t="shared" si="54"/>
        <v>0</v>
      </c>
    </row>
    <row r="627" spans="1:39">
      <c r="A627" s="662"/>
      <c r="B627" s="2103" t="s">
        <v>364</v>
      </c>
      <c r="C627" s="2104"/>
      <c r="D627" s="2124">
        <f t="shared" si="51"/>
        <v>0</v>
      </c>
      <c r="E627" s="2126"/>
      <c r="F627" s="2114"/>
      <c r="G627" s="2126"/>
      <c r="H627" s="2114"/>
      <c r="I627" s="2125">
        <f t="shared" si="52"/>
        <v>0</v>
      </c>
      <c r="J627" s="2114"/>
      <c r="K627" s="2126"/>
      <c r="L627" s="2114"/>
      <c r="M627" s="2127">
        <f t="shared" si="54"/>
        <v>0</v>
      </c>
    </row>
    <row r="628" spans="1:39">
      <c r="A628" s="662"/>
      <c r="B628" s="2103" t="s">
        <v>365</v>
      </c>
      <c r="C628" s="2104"/>
      <c r="D628" s="2124">
        <f t="shared" si="51"/>
        <v>0</v>
      </c>
      <c r="E628" s="2126"/>
      <c r="F628" s="2114"/>
      <c r="G628" s="2126"/>
      <c r="H628" s="2114"/>
      <c r="I628" s="2125">
        <f t="shared" si="52"/>
        <v>0</v>
      </c>
      <c r="J628" s="2114"/>
      <c r="K628" s="2126"/>
      <c r="L628" s="2114"/>
      <c r="M628" s="2127">
        <f t="shared" si="54"/>
        <v>0</v>
      </c>
    </row>
    <row r="629" spans="1:39" s="870" customFormat="1">
      <c r="A629" s="662"/>
      <c r="B629" s="2109" t="s">
        <v>366</v>
      </c>
      <c r="C629" s="2108"/>
      <c r="D629" s="2124">
        <f t="shared" si="51"/>
        <v>106508.72012000001</v>
      </c>
      <c r="E629" s="2126">
        <f>SUM(E626:E628)</f>
        <v>0</v>
      </c>
      <c r="F629" s="2114">
        <f>SUM(F626:F628)</f>
        <v>3366.9768924964033</v>
      </c>
      <c r="G629" s="2126">
        <f>SUM(G626:G628)</f>
        <v>103141.74322750361</v>
      </c>
      <c r="H629" s="2114">
        <f>SUM(H626:H628)</f>
        <v>0</v>
      </c>
      <c r="I629" s="2125">
        <f t="shared" si="52"/>
        <v>106508.72012000001</v>
      </c>
      <c r="J629" s="2114">
        <f>SUM(J626:J628)</f>
        <v>0</v>
      </c>
      <c r="K629" s="2126">
        <f>SUM(K626:K628)</f>
        <v>0</v>
      </c>
      <c r="L629" s="2114">
        <f>SUM(L626:L628)</f>
        <v>0</v>
      </c>
      <c r="M629" s="2127">
        <f t="shared" si="54"/>
        <v>0</v>
      </c>
      <c r="N629"/>
      <c r="O629"/>
      <c r="P629"/>
      <c r="Q629"/>
      <c r="R629"/>
      <c r="S629"/>
      <c r="T629"/>
      <c r="U629"/>
      <c r="V629"/>
      <c r="W629"/>
      <c r="X629"/>
      <c r="Y629"/>
      <c r="Z629"/>
      <c r="AA629"/>
      <c r="AB629"/>
      <c r="AC629"/>
      <c r="AD629"/>
      <c r="AE629"/>
      <c r="AF629"/>
      <c r="AG629"/>
      <c r="AH629"/>
      <c r="AI629"/>
      <c r="AJ629"/>
      <c r="AK629"/>
      <c r="AL629"/>
      <c r="AM629"/>
    </row>
    <row r="630" spans="1:39">
      <c r="A630" s="662"/>
      <c r="B630" s="2109"/>
      <c r="C630" s="2108"/>
      <c r="D630" s="2124">
        <f t="shared" si="51"/>
        <v>0</v>
      </c>
      <c r="E630" s="2126"/>
      <c r="F630" s="2114"/>
      <c r="G630" s="2126"/>
      <c r="H630" s="2114"/>
      <c r="I630" s="2125">
        <f t="shared" si="52"/>
        <v>0</v>
      </c>
      <c r="J630" s="2114"/>
      <c r="K630" s="2126"/>
      <c r="L630" s="2114"/>
      <c r="M630" s="2127">
        <f t="shared" si="54"/>
        <v>0</v>
      </c>
    </row>
    <row r="631" spans="1:39" s="870" customFormat="1">
      <c r="A631" s="662"/>
      <c r="B631" s="2109" t="s">
        <v>367</v>
      </c>
      <c r="C631" s="2108"/>
      <c r="D631" s="2124">
        <f t="shared" si="51"/>
        <v>33594.595300000001</v>
      </c>
      <c r="E631" s="2126">
        <f>E614-E622-E624-E629</f>
        <v>33594.595300000001</v>
      </c>
      <c r="F631" s="2114">
        <f>F614-F622-F624-F629</f>
        <v>0</v>
      </c>
      <c r="G631" s="2126">
        <f>G614-G622-G624-G629</f>
        <v>0</v>
      </c>
      <c r="H631" s="2114">
        <f>H614-H622-H624-H629</f>
        <v>0</v>
      </c>
      <c r="I631" s="2125">
        <f t="shared" si="52"/>
        <v>0</v>
      </c>
      <c r="J631" s="2114">
        <f>J614-J622-J624-J629</f>
        <v>0</v>
      </c>
      <c r="K631" s="2126">
        <f>K614-K622-K624-K629</f>
        <v>0</v>
      </c>
      <c r="L631" s="2114">
        <f>L614-L622-L624-L629</f>
        <v>0</v>
      </c>
      <c r="M631" s="2127">
        <f t="shared" si="54"/>
        <v>0</v>
      </c>
      <c r="N631"/>
      <c r="O631"/>
      <c r="P631"/>
      <c r="Q631"/>
      <c r="R631"/>
      <c r="S631"/>
      <c r="T631"/>
      <c r="U631"/>
      <c r="V631"/>
      <c r="W631"/>
      <c r="X631"/>
      <c r="Y631"/>
      <c r="Z631"/>
      <c r="AA631"/>
      <c r="AB631"/>
      <c r="AC631"/>
      <c r="AD631"/>
      <c r="AE631"/>
      <c r="AF631"/>
      <c r="AG631"/>
      <c r="AH631"/>
      <c r="AI631"/>
      <c r="AJ631"/>
      <c r="AK631"/>
      <c r="AL631"/>
      <c r="AM631"/>
    </row>
    <row r="632" spans="1:39">
      <c r="A632" s="662"/>
      <c r="B632" s="2103" t="s">
        <v>368</v>
      </c>
      <c r="C632" s="2104"/>
      <c r="D632" s="2124">
        <f t="shared" si="51"/>
        <v>0</v>
      </c>
      <c r="E632" s="2126"/>
      <c r="F632" s="2114"/>
      <c r="G632" s="2126"/>
      <c r="H632" s="2114"/>
      <c r="I632" s="2125">
        <f t="shared" si="52"/>
        <v>0</v>
      </c>
      <c r="J632" s="2114"/>
      <c r="K632" s="2126"/>
      <c r="L632" s="2114"/>
      <c r="M632" s="2127">
        <f t="shared" si="54"/>
        <v>0</v>
      </c>
    </row>
    <row r="633" spans="1:39">
      <c r="A633" s="662"/>
      <c r="B633" s="2103"/>
      <c r="C633" s="2104"/>
      <c r="D633" s="2124">
        <f t="shared" si="51"/>
        <v>0</v>
      </c>
      <c r="E633" s="2126"/>
      <c r="F633" s="2114"/>
      <c r="G633" s="2126"/>
      <c r="H633" s="2114"/>
      <c r="I633" s="2125">
        <f t="shared" si="52"/>
        <v>0</v>
      </c>
      <c r="J633" s="2114"/>
      <c r="K633" s="2126"/>
      <c r="L633" s="2114"/>
      <c r="M633" s="2127">
        <f t="shared" si="54"/>
        <v>0</v>
      </c>
    </row>
    <row r="634" spans="1:39" s="870" customFormat="1" ht="15" thickBot="1">
      <c r="A634" s="662"/>
      <c r="B634" s="1338" t="s">
        <v>369</v>
      </c>
      <c r="C634" s="1339"/>
      <c r="D634" s="1350">
        <f t="shared" si="51"/>
        <v>33594.595300000001</v>
      </c>
      <c r="E634" s="1372">
        <f>E631-E632</f>
        <v>33594.595300000001</v>
      </c>
      <c r="F634" s="1350">
        <f>F631-F632</f>
        <v>0</v>
      </c>
      <c r="G634" s="1372">
        <f>G631-G632</f>
        <v>0</v>
      </c>
      <c r="H634" s="1350">
        <f>H631-H632</f>
        <v>0</v>
      </c>
      <c r="I634" s="1372">
        <f t="shared" si="52"/>
        <v>0</v>
      </c>
      <c r="J634" s="1350">
        <f>J631-J632</f>
        <v>0</v>
      </c>
      <c r="K634" s="1372">
        <f>K631-K632</f>
        <v>0</v>
      </c>
      <c r="L634" s="1350">
        <f>L631-L632</f>
        <v>0</v>
      </c>
      <c r="M634" s="1373">
        <f t="shared" si="54"/>
        <v>0</v>
      </c>
      <c r="N634"/>
      <c r="O634"/>
      <c r="P634"/>
      <c r="Q634"/>
      <c r="R634"/>
      <c r="S634"/>
      <c r="T634"/>
      <c r="U634"/>
      <c r="V634"/>
      <c r="W634"/>
      <c r="X634"/>
      <c r="Y634"/>
      <c r="Z634"/>
      <c r="AA634"/>
      <c r="AB634"/>
      <c r="AC634"/>
      <c r="AD634"/>
      <c r="AE634"/>
      <c r="AF634"/>
      <c r="AG634"/>
      <c r="AH634"/>
      <c r="AI634"/>
      <c r="AJ634"/>
      <c r="AK634"/>
      <c r="AL634"/>
      <c r="AM634"/>
    </row>
    <row r="635" spans="1:39">
      <c r="A635" s="662"/>
      <c r="B635" s="662"/>
      <c r="C635" s="662"/>
      <c r="D635" s="670"/>
      <c r="E635" s="670"/>
      <c r="F635" s="670"/>
      <c r="G635" s="670"/>
      <c r="H635" s="670"/>
      <c r="I635" s="670"/>
      <c r="J635" s="662"/>
      <c r="K635" s="662"/>
      <c r="L635" s="662"/>
      <c r="M635" s="662"/>
    </row>
    <row r="636" spans="1:39">
      <c r="A636" s="662"/>
      <c r="B636" s="662"/>
      <c r="C636" s="662"/>
      <c r="D636" s="662"/>
      <c r="E636" s="662"/>
      <c r="F636" s="662"/>
      <c r="G636" s="662"/>
      <c r="H636" s="662"/>
      <c r="I636" s="662"/>
      <c r="J636" s="662"/>
      <c r="K636" s="662"/>
      <c r="L636" s="662"/>
    </row>
    <row r="637" spans="1:39">
      <c r="B637"/>
      <c r="C637"/>
      <c r="D637"/>
      <c r="E637"/>
      <c r="F637"/>
      <c r="G637"/>
      <c r="H637"/>
      <c r="I637"/>
      <c r="J637"/>
      <c r="K637"/>
      <c r="L637"/>
      <c r="M637"/>
    </row>
    <row r="639" spans="1:39" ht="15" thickBot="1"/>
    <row r="640" spans="1:39" ht="17.25" customHeight="1" thickBot="1">
      <c r="A640" s="1361" t="s">
        <v>115</v>
      </c>
      <c r="B640" s="1153" t="s">
        <v>328</v>
      </c>
      <c r="C640" s="873"/>
      <c r="D640" s="662"/>
      <c r="E640" s="662"/>
      <c r="F640" s="662"/>
      <c r="G640" s="662"/>
      <c r="H640" s="662"/>
      <c r="I640" s="662"/>
      <c r="J640" s="662"/>
      <c r="K640" s="662"/>
      <c r="L640" s="3292"/>
      <c r="M640" s="3292" t="s">
        <v>257</v>
      </c>
    </row>
    <row r="641" spans="1:39" ht="17.25" customHeight="1" thickBot="1">
      <c r="A641" s="662"/>
      <c r="B641" s="3331" t="s">
        <v>328</v>
      </c>
      <c r="C641" s="3280" t="s">
        <v>334</v>
      </c>
      <c r="D641" s="3283" t="s">
        <v>260</v>
      </c>
      <c r="E641" s="3283" t="s">
        <v>335</v>
      </c>
      <c r="F641" s="3335" t="s">
        <v>263</v>
      </c>
      <c r="G641" s="3335"/>
      <c r="H641" s="3335"/>
      <c r="I641" s="3335"/>
      <c r="J641" s="3335"/>
      <c r="K641" s="3335"/>
      <c r="L641" s="3335"/>
      <c r="M641" s="3335"/>
    </row>
    <row r="642" spans="1:39" ht="17.25" customHeight="1" thickBot="1">
      <c r="A642" s="662"/>
      <c r="B642" s="3327"/>
      <c r="C642" s="3281"/>
      <c r="D642" s="3284"/>
      <c r="E642" s="3284"/>
      <c r="F642" s="3332" t="s">
        <v>264</v>
      </c>
      <c r="G642" s="3333"/>
      <c r="H642" s="3333"/>
      <c r="I642" s="3334"/>
      <c r="J642" s="3335" t="s">
        <v>336</v>
      </c>
      <c r="K642" s="3335"/>
      <c r="L642" s="3335"/>
      <c r="M642" s="3335"/>
    </row>
    <row r="643" spans="1:39" ht="66.599999999999994" thickBot="1">
      <c r="A643" s="662"/>
      <c r="B643" s="3327"/>
      <c r="C643" s="3281"/>
      <c r="D643" s="3285"/>
      <c r="E643" s="3285"/>
      <c r="F643" s="2963" t="s">
        <v>267</v>
      </c>
      <c r="G643" s="2963" t="s">
        <v>268</v>
      </c>
      <c r="H643" s="2963" t="s">
        <v>269</v>
      </c>
      <c r="I643" s="2963" t="s">
        <v>160</v>
      </c>
      <c r="J643" s="2964" t="s">
        <v>337</v>
      </c>
      <c r="K643" s="2964" t="s">
        <v>271</v>
      </c>
      <c r="L643" s="2964" t="s">
        <v>338</v>
      </c>
      <c r="M643" s="2964" t="s">
        <v>160</v>
      </c>
    </row>
    <row r="644" spans="1:39" ht="17.25" customHeight="1" thickBot="1">
      <c r="A644" s="662"/>
      <c r="B644" s="3327"/>
      <c r="C644" s="3281"/>
      <c r="D644" s="2972">
        <v>1</v>
      </c>
      <c r="E644" s="3283">
        <v>2</v>
      </c>
      <c r="F644" s="3283">
        <v>3</v>
      </c>
      <c r="G644" s="3283">
        <v>4</v>
      </c>
      <c r="H644" s="3283"/>
      <c r="I644" s="2972">
        <v>6</v>
      </c>
      <c r="J644" s="3283">
        <v>7</v>
      </c>
      <c r="K644" s="3283">
        <v>8</v>
      </c>
      <c r="L644" s="3283">
        <v>9</v>
      </c>
      <c r="M644" s="2972">
        <v>10</v>
      </c>
    </row>
    <row r="645" spans="1:39" ht="15" thickBot="1">
      <c r="A645" s="662"/>
      <c r="B645" s="3328"/>
      <c r="C645" s="3282"/>
      <c r="D645" s="1327" t="s">
        <v>339</v>
      </c>
      <c r="E645" s="3285"/>
      <c r="F645" s="3285"/>
      <c r="G645" s="3285"/>
      <c r="H645" s="3285">
        <v>5</v>
      </c>
      <c r="I645" s="1327" t="s">
        <v>340</v>
      </c>
      <c r="J645" s="3285"/>
      <c r="K645" s="3285"/>
      <c r="L645" s="3285"/>
      <c r="M645" s="1327" t="s">
        <v>341</v>
      </c>
    </row>
    <row r="646" spans="1:39">
      <c r="A646" s="662"/>
      <c r="B646" s="1328" t="s">
        <v>342</v>
      </c>
      <c r="C646" s="885"/>
      <c r="D646" s="1329">
        <f t="shared" ref="D646:D683" si="55">E646+I646+M646</f>
        <v>21975987.715000004</v>
      </c>
      <c r="E646" s="887"/>
      <c r="F646" s="886">
        <v>12144656.653000001</v>
      </c>
      <c r="G646" s="887">
        <v>9831331.0620000008</v>
      </c>
      <c r="H646" s="886"/>
      <c r="I646" s="1332">
        <f t="shared" ref="I646:I683" si="56">F646+G646+H646</f>
        <v>21975987.715000004</v>
      </c>
      <c r="J646" s="886"/>
      <c r="K646" s="887"/>
      <c r="L646" s="886"/>
      <c r="M646" s="1335">
        <f t="shared" ref="M646:M663" si="57">L646+K646+J646</f>
        <v>0</v>
      </c>
    </row>
    <row r="647" spans="1:39">
      <c r="A647" s="662"/>
      <c r="B647" s="2103"/>
      <c r="C647" s="2104"/>
      <c r="D647" s="2124">
        <f t="shared" si="55"/>
        <v>0</v>
      </c>
      <c r="E647" s="2126"/>
      <c r="F647" s="2114"/>
      <c r="G647" s="2126"/>
      <c r="H647" s="2114"/>
      <c r="I647" s="2125">
        <f t="shared" si="56"/>
        <v>0</v>
      </c>
      <c r="J647" s="2114"/>
      <c r="K647" s="2126"/>
      <c r="L647" s="2114"/>
      <c r="M647" s="2127">
        <f t="shared" si="57"/>
        <v>0</v>
      </c>
    </row>
    <row r="648" spans="1:39">
      <c r="A648" s="662"/>
      <c r="B648" s="2105" t="s">
        <v>343</v>
      </c>
      <c r="C648" s="2104"/>
      <c r="D648" s="2124">
        <f t="shared" si="55"/>
        <v>479753.51759999996</v>
      </c>
      <c r="E648" s="2126"/>
      <c r="F648" s="2114">
        <v>54733.37197</v>
      </c>
      <c r="G648" s="2126">
        <v>425020.14562999998</v>
      </c>
      <c r="H648" s="2114"/>
      <c r="I648" s="2125">
        <f t="shared" si="56"/>
        <v>479753.51759999996</v>
      </c>
      <c r="J648" s="2114"/>
      <c r="K648" s="2126"/>
      <c r="L648" s="2114"/>
      <c r="M648" s="2127">
        <f t="shared" si="57"/>
        <v>0</v>
      </c>
    </row>
    <row r="649" spans="1:39">
      <c r="A649" s="662"/>
      <c r="B649" s="2105"/>
      <c r="C649" s="2104"/>
      <c r="D649" s="2124">
        <f t="shared" si="55"/>
        <v>0</v>
      </c>
      <c r="E649" s="2126"/>
      <c r="F649" s="2114"/>
      <c r="G649" s="2126"/>
      <c r="H649" s="2114"/>
      <c r="I649" s="2125">
        <f t="shared" si="56"/>
        <v>0</v>
      </c>
      <c r="J649" s="2114"/>
      <c r="K649" s="2126"/>
      <c r="L649" s="2114"/>
      <c r="M649" s="2127">
        <f t="shared" si="57"/>
        <v>0</v>
      </c>
    </row>
    <row r="650" spans="1:39" ht="14.25" customHeight="1">
      <c r="A650" s="662"/>
      <c r="B650" s="2106" t="s">
        <v>344</v>
      </c>
      <c r="C650" s="2104"/>
      <c r="D650" s="2124">
        <f t="shared" si="55"/>
        <v>0</v>
      </c>
      <c r="E650" s="2126"/>
      <c r="F650" s="2114"/>
      <c r="G650" s="2126"/>
      <c r="H650" s="2114"/>
      <c r="I650" s="2125">
        <f t="shared" si="56"/>
        <v>0</v>
      </c>
      <c r="J650" s="2114"/>
      <c r="K650" s="2126"/>
      <c r="L650" s="2114"/>
      <c r="M650" s="2127">
        <f t="shared" si="57"/>
        <v>0</v>
      </c>
    </row>
    <row r="651" spans="1:39">
      <c r="A651" s="662"/>
      <c r="B651" s="2103"/>
      <c r="C651" s="2104"/>
      <c r="D651" s="2124">
        <f t="shared" si="55"/>
        <v>0</v>
      </c>
      <c r="E651" s="2126"/>
      <c r="F651" s="2114"/>
      <c r="G651" s="2126"/>
      <c r="H651" s="2114"/>
      <c r="I651" s="2125">
        <f t="shared" si="56"/>
        <v>0</v>
      </c>
      <c r="J651" s="2114"/>
      <c r="K651" s="2126"/>
      <c r="L651" s="2114"/>
      <c r="M651" s="2127">
        <f t="shared" si="57"/>
        <v>0</v>
      </c>
    </row>
    <row r="652" spans="1:39" s="870" customFormat="1">
      <c r="A652" s="662"/>
      <c r="B652" s="2107" t="s">
        <v>345</v>
      </c>
      <c r="C652" s="2108"/>
      <c r="D652" s="2124">
        <f t="shared" si="55"/>
        <v>21496234.197400004</v>
      </c>
      <c r="E652" s="2126">
        <f>E646-E648+E650</f>
        <v>0</v>
      </c>
      <c r="F652" s="2114">
        <f>F646-F648+F650</f>
        <v>12089923.281030001</v>
      </c>
      <c r="G652" s="2126">
        <f>G646-G648+G650</f>
        <v>9406310.9163700007</v>
      </c>
      <c r="H652" s="2114">
        <f>H646-H648+H650</f>
        <v>0</v>
      </c>
      <c r="I652" s="2125">
        <f t="shared" si="56"/>
        <v>21496234.197400004</v>
      </c>
      <c r="J652" s="2114">
        <f>J646-J648+J650</f>
        <v>0</v>
      </c>
      <c r="K652" s="2126">
        <f>K646-K648+K650</f>
        <v>0</v>
      </c>
      <c r="L652" s="2114">
        <f>L646-L648+L650</f>
        <v>0</v>
      </c>
      <c r="M652" s="2127">
        <f t="shared" si="57"/>
        <v>0</v>
      </c>
      <c r="N652"/>
      <c r="O652"/>
      <c r="P652"/>
      <c r="Q652"/>
      <c r="R652"/>
      <c r="S652"/>
      <c r="T652"/>
      <c r="U652"/>
      <c r="V652"/>
      <c r="W652"/>
      <c r="X652"/>
      <c r="Y652"/>
      <c r="Z652"/>
      <c r="AA652"/>
      <c r="AB652"/>
      <c r="AC652"/>
      <c r="AD652"/>
      <c r="AE652"/>
      <c r="AF652"/>
      <c r="AG652"/>
      <c r="AH652"/>
      <c r="AI652"/>
      <c r="AJ652"/>
      <c r="AK652"/>
      <c r="AL652"/>
      <c r="AM652"/>
    </row>
    <row r="653" spans="1:39">
      <c r="A653" s="662"/>
      <c r="B653" s="2107"/>
      <c r="C653" s="2108"/>
      <c r="D653" s="2124">
        <f t="shared" si="55"/>
        <v>0</v>
      </c>
      <c r="E653" s="2126"/>
      <c r="F653" s="2114"/>
      <c r="G653" s="2126"/>
      <c r="H653" s="2114"/>
      <c r="I653" s="2125">
        <f t="shared" si="56"/>
        <v>0</v>
      </c>
      <c r="J653" s="2114"/>
      <c r="K653" s="2126"/>
      <c r="L653" s="2114"/>
      <c r="M653" s="2127">
        <f t="shared" si="57"/>
        <v>0</v>
      </c>
    </row>
    <row r="654" spans="1:39" s="870" customFormat="1">
      <c r="A654" s="662"/>
      <c r="B654" s="2107" t="s">
        <v>346</v>
      </c>
      <c r="C654" s="2108"/>
      <c r="D654" s="2124">
        <f t="shared" si="55"/>
        <v>21082100.393658623</v>
      </c>
      <c r="E654" s="2126">
        <f>SUM(E655:E659)</f>
        <v>1535874.8689597384</v>
      </c>
      <c r="F654" s="2114">
        <f>SUM(F655:F659)</f>
        <v>17449417.402436938</v>
      </c>
      <c r="G654" s="2126">
        <f>SUM(G655:G659)</f>
        <v>2096808.1222619468</v>
      </c>
      <c r="H654" s="2114">
        <f>SUM(H655:H659)</f>
        <v>0</v>
      </c>
      <c r="I654" s="2125">
        <f t="shared" si="56"/>
        <v>19546225.524698883</v>
      </c>
      <c r="J654" s="2114">
        <f>SUM(J655:J659)</f>
        <v>0</v>
      </c>
      <c r="K654" s="2126">
        <f>SUM(K655:K659)</f>
        <v>0</v>
      </c>
      <c r="L654" s="2114">
        <f>SUM(L655:L659)</f>
        <v>0</v>
      </c>
      <c r="M654" s="2127">
        <f t="shared" si="57"/>
        <v>0</v>
      </c>
      <c r="N654"/>
      <c r="O654"/>
      <c r="P654"/>
      <c r="Q654"/>
      <c r="R654"/>
      <c r="S654"/>
      <c r="T654"/>
      <c r="U654"/>
      <c r="V654"/>
      <c r="W654"/>
      <c r="X654"/>
      <c r="Y654"/>
      <c r="Z654"/>
      <c r="AA654"/>
      <c r="AB654"/>
      <c r="AC654"/>
      <c r="AD654"/>
      <c r="AE654"/>
      <c r="AF654"/>
      <c r="AG654"/>
      <c r="AH654"/>
      <c r="AI654"/>
      <c r="AJ654"/>
      <c r="AK654"/>
      <c r="AL654"/>
      <c r="AM654"/>
    </row>
    <row r="655" spans="1:39">
      <c r="A655" s="662"/>
      <c r="B655" s="2103" t="s">
        <v>347</v>
      </c>
      <c r="C655" s="2104">
        <v>1</v>
      </c>
      <c r="D655" s="2124">
        <f t="shared" si="55"/>
        <v>13680014.733590001</v>
      </c>
      <c r="E655" s="2126">
        <v>773586.33062973828</v>
      </c>
      <c r="F655" s="2114">
        <v>11962235.954979777</v>
      </c>
      <c r="G655" s="2126">
        <v>944192.44798048609</v>
      </c>
      <c r="H655" s="2114"/>
      <c r="I655" s="2125">
        <f t="shared" si="56"/>
        <v>12906428.402960263</v>
      </c>
      <c r="J655" s="2114"/>
      <c r="K655" s="2126"/>
      <c r="L655" s="2114"/>
      <c r="M655" s="2127">
        <f t="shared" si="57"/>
        <v>0</v>
      </c>
    </row>
    <row r="656" spans="1:39">
      <c r="A656" s="662"/>
      <c r="B656" s="2103" t="s">
        <v>348</v>
      </c>
      <c r="C656" s="2104">
        <v>2</v>
      </c>
      <c r="D656" s="2124">
        <f t="shared" si="55"/>
        <v>76440.756280000001</v>
      </c>
      <c r="E656" s="2126">
        <v>0</v>
      </c>
      <c r="F656" s="2114">
        <v>22477.588540000001</v>
      </c>
      <c r="G656" s="2126">
        <v>53963.167740000004</v>
      </c>
      <c r="H656" s="2114"/>
      <c r="I656" s="2125">
        <f t="shared" si="56"/>
        <v>76440.756280000001</v>
      </c>
      <c r="J656" s="2114"/>
      <c r="K656" s="2126"/>
      <c r="L656" s="2114"/>
      <c r="M656" s="2127">
        <f t="shared" si="57"/>
        <v>0</v>
      </c>
    </row>
    <row r="657" spans="1:39">
      <c r="A657" s="662"/>
      <c r="B657" s="2103" t="s">
        <v>349</v>
      </c>
      <c r="C657" s="2104"/>
      <c r="D657" s="2124">
        <f t="shared" si="55"/>
        <v>-158071.78232</v>
      </c>
      <c r="E657" s="2126">
        <v>-14072.261479999997</v>
      </c>
      <c r="F657" s="2114">
        <v>-64520.945461080628</v>
      </c>
      <c r="G657" s="2126">
        <v>-79478.575378919399</v>
      </c>
      <c r="H657" s="2114"/>
      <c r="I657" s="2125">
        <f t="shared" si="56"/>
        <v>-143999.52084000001</v>
      </c>
      <c r="J657" s="2114"/>
      <c r="K657" s="2126"/>
      <c r="L657" s="2114"/>
      <c r="M657" s="2127">
        <f t="shared" si="57"/>
        <v>0</v>
      </c>
    </row>
    <row r="658" spans="1:39">
      <c r="A658" s="662"/>
      <c r="B658" s="2103" t="s">
        <v>350</v>
      </c>
      <c r="C658" s="2104"/>
      <c r="D658" s="2124">
        <f t="shared" si="55"/>
        <v>6466098.03388</v>
      </c>
      <c r="E658" s="2126">
        <v>776360.79981</v>
      </c>
      <c r="F658" s="2114">
        <v>4565561.821614828</v>
      </c>
      <c r="G658" s="2126">
        <v>1124175.4124551723</v>
      </c>
      <c r="H658" s="2114"/>
      <c r="I658" s="2125">
        <f t="shared" si="56"/>
        <v>5689737.2340700002</v>
      </c>
      <c r="J658" s="2114"/>
      <c r="K658" s="2126"/>
      <c r="L658" s="2114"/>
      <c r="M658" s="2127">
        <f t="shared" si="57"/>
        <v>0</v>
      </c>
    </row>
    <row r="659" spans="1:39">
      <c r="A659" s="662"/>
      <c r="B659" s="2103" t="s">
        <v>351</v>
      </c>
      <c r="C659" s="2104">
        <v>3</v>
      </c>
      <c r="D659" s="2124">
        <f t="shared" si="55"/>
        <v>1017618.6522286203</v>
      </c>
      <c r="E659" s="2126">
        <v>-2.55351295663786E-18</v>
      </c>
      <c r="F659" s="2114">
        <v>963662.98276341264</v>
      </c>
      <c r="G659" s="2126">
        <v>53955.669465207618</v>
      </c>
      <c r="H659" s="2114"/>
      <c r="I659" s="2125">
        <f t="shared" si="56"/>
        <v>1017618.6522286203</v>
      </c>
      <c r="J659" s="2114"/>
      <c r="K659" s="2126"/>
      <c r="L659" s="2114"/>
      <c r="M659" s="2127">
        <f t="shared" si="57"/>
        <v>0</v>
      </c>
    </row>
    <row r="660" spans="1:39">
      <c r="A660" s="662"/>
      <c r="B660" s="2103" t="s">
        <v>353</v>
      </c>
      <c r="C660" s="2104"/>
      <c r="D660" s="2124">
        <f t="shared" si="55"/>
        <v>0</v>
      </c>
      <c r="E660" s="2126"/>
      <c r="F660" s="2114"/>
      <c r="G660" s="2126"/>
      <c r="H660" s="2114"/>
      <c r="I660" s="2125">
        <f t="shared" si="56"/>
        <v>0</v>
      </c>
      <c r="J660" s="2114"/>
      <c r="K660" s="2126"/>
      <c r="L660" s="2114"/>
      <c r="M660" s="2127">
        <f t="shared" si="57"/>
        <v>0</v>
      </c>
    </row>
    <row r="661" spans="1:39">
      <c r="A661" s="662"/>
      <c r="B661" s="2103" t="s">
        <v>353</v>
      </c>
      <c r="C661" s="2104"/>
      <c r="D661" s="2124">
        <f t="shared" si="55"/>
        <v>0</v>
      </c>
      <c r="E661" s="2126"/>
      <c r="F661" s="2114"/>
      <c r="G661" s="2126"/>
      <c r="H661" s="2114"/>
      <c r="I661" s="2125">
        <f t="shared" si="56"/>
        <v>0</v>
      </c>
      <c r="J661" s="2114"/>
      <c r="K661" s="2126"/>
      <c r="L661" s="2114"/>
      <c r="M661" s="2127">
        <f t="shared" si="57"/>
        <v>0</v>
      </c>
    </row>
    <row r="662" spans="1:39">
      <c r="A662" s="662"/>
      <c r="B662" s="2103"/>
      <c r="C662" s="2104"/>
      <c r="D662" s="2124">
        <f t="shared" si="55"/>
        <v>0</v>
      </c>
      <c r="E662" s="2126"/>
      <c r="F662" s="2114"/>
      <c r="G662" s="2126"/>
      <c r="H662" s="2114"/>
      <c r="I662" s="2125">
        <f t="shared" si="56"/>
        <v>0</v>
      </c>
      <c r="J662" s="2114"/>
      <c r="K662" s="2126"/>
      <c r="L662" s="2114"/>
      <c r="M662" s="2127">
        <f t="shared" si="57"/>
        <v>0</v>
      </c>
    </row>
    <row r="663" spans="1:39" s="870" customFormat="1">
      <c r="A663" s="662"/>
      <c r="B663" s="2109" t="s">
        <v>354</v>
      </c>
      <c r="C663" s="2108"/>
      <c r="D663" s="2124">
        <f t="shared" si="55"/>
        <v>42578334.591058627</v>
      </c>
      <c r="E663" s="2126">
        <f>E652+E654</f>
        <v>1535874.8689597384</v>
      </c>
      <c r="F663" s="2114">
        <f>F652+F654</f>
        <v>29539340.683466941</v>
      </c>
      <c r="G663" s="2126">
        <f>G652+G654</f>
        <v>11503119.038631948</v>
      </c>
      <c r="H663" s="2114">
        <f>H652+H654</f>
        <v>0</v>
      </c>
      <c r="I663" s="2125">
        <f t="shared" si="56"/>
        <v>41042459.722098887</v>
      </c>
      <c r="J663" s="2114">
        <f>J652+J654</f>
        <v>0</v>
      </c>
      <c r="K663" s="2126">
        <f>K652+K654</f>
        <v>0</v>
      </c>
      <c r="L663" s="2114">
        <f>L652+L654</f>
        <v>0</v>
      </c>
      <c r="M663" s="2127">
        <f t="shared" si="57"/>
        <v>0</v>
      </c>
      <c r="N663"/>
      <c r="O663"/>
      <c r="P663"/>
      <c r="Q663"/>
      <c r="R663"/>
      <c r="S663"/>
      <c r="T663"/>
      <c r="U663"/>
      <c r="V663"/>
      <c r="W663"/>
      <c r="X663"/>
      <c r="Y663"/>
      <c r="Z663"/>
      <c r="AA663"/>
      <c r="AB663"/>
      <c r="AC663"/>
      <c r="AD663"/>
      <c r="AE663"/>
      <c r="AF663"/>
      <c r="AG663"/>
      <c r="AH663"/>
      <c r="AI663"/>
      <c r="AJ663"/>
      <c r="AK663"/>
      <c r="AL663"/>
      <c r="AM663"/>
    </row>
    <row r="664" spans="1:39">
      <c r="A664" s="662"/>
      <c r="B664" s="2109"/>
      <c r="C664" s="2108"/>
      <c r="D664" s="2124">
        <f t="shared" si="55"/>
        <v>0</v>
      </c>
      <c r="E664" s="2126"/>
      <c r="F664" s="2114"/>
      <c r="G664" s="2126"/>
      <c r="H664" s="2114"/>
      <c r="I664" s="2125">
        <f t="shared" si="56"/>
        <v>0</v>
      </c>
      <c r="J664" s="2114"/>
      <c r="K664" s="2126"/>
      <c r="L664" s="2114"/>
      <c r="M664" s="2127"/>
    </row>
    <row r="665" spans="1:39">
      <c r="A665" s="662"/>
      <c r="B665" s="2103" t="s">
        <v>355</v>
      </c>
      <c r="C665" s="2104"/>
      <c r="D665" s="2124">
        <f t="shared" si="55"/>
        <v>10225433.347002521</v>
      </c>
      <c r="E665" s="2126">
        <v>0</v>
      </c>
      <c r="F665" s="2114">
        <v>7586951.8059400003</v>
      </c>
      <c r="G665" s="2126">
        <v>2638481.5410625208</v>
      </c>
      <c r="H665" s="2114"/>
      <c r="I665" s="2125">
        <f t="shared" si="56"/>
        <v>10225433.347002521</v>
      </c>
      <c r="J665" s="2114"/>
      <c r="K665" s="2126"/>
      <c r="L665" s="2114"/>
      <c r="M665" s="2127">
        <f t="shared" ref="M665:M683" si="58">L665+K665+J665</f>
        <v>0</v>
      </c>
    </row>
    <row r="666" spans="1:39">
      <c r="A666" s="662"/>
      <c r="B666" s="2103" t="s">
        <v>356</v>
      </c>
      <c r="C666" s="2104"/>
      <c r="D666" s="2124">
        <f t="shared" si="55"/>
        <v>-246605.14000252099</v>
      </c>
      <c r="E666" s="2126">
        <v>0</v>
      </c>
      <c r="F666" s="2114">
        <v>-26011.254939999988</v>
      </c>
      <c r="G666" s="2126">
        <v>-220593.885062521</v>
      </c>
      <c r="H666" s="2114"/>
      <c r="I666" s="2125">
        <f t="shared" si="56"/>
        <v>-246605.14000252099</v>
      </c>
      <c r="J666" s="2114"/>
      <c r="K666" s="2126"/>
      <c r="L666" s="2114"/>
      <c r="M666" s="2127">
        <f t="shared" si="58"/>
        <v>0</v>
      </c>
    </row>
    <row r="667" spans="1:39">
      <c r="A667" s="662"/>
      <c r="B667" s="2103" t="s">
        <v>357</v>
      </c>
      <c r="C667" s="2104"/>
      <c r="D667" s="2124">
        <f t="shared" si="55"/>
        <v>0</v>
      </c>
      <c r="E667" s="2126"/>
      <c r="F667" s="2114"/>
      <c r="G667" s="2126"/>
      <c r="H667" s="2114"/>
      <c r="I667" s="2125">
        <f t="shared" si="56"/>
        <v>0</v>
      </c>
      <c r="J667" s="2114"/>
      <c r="K667" s="2126"/>
      <c r="L667" s="2114"/>
      <c r="M667" s="2127">
        <f t="shared" si="58"/>
        <v>0</v>
      </c>
    </row>
    <row r="668" spans="1:39" ht="13.5" customHeight="1">
      <c r="A668" s="662"/>
      <c r="B668" s="2110" t="s">
        <v>358</v>
      </c>
      <c r="C668" s="2104"/>
      <c r="D668" s="2124">
        <f t="shared" si="55"/>
        <v>0</v>
      </c>
      <c r="E668" s="2126"/>
      <c r="F668" s="2114"/>
      <c r="G668" s="2126"/>
      <c r="H668" s="2114"/>
      <c r="I668" s="2125">
        <f t="shared" si="56"/>
        <v>0</v>
      </c>
      <c r="J668" s="2114"/>
      <c r="K668" s="2126"/>
      <c r="L668" s="2114"/>
      <c r="M668" s="2127">
        <f t="shared" si="58"/>
        <v>0</v>
      </c>
    </row>
    <row r="669" spans="1:39">
      <c r="A669" s="662"/>
      <c r="B669" s="2103" t="s">
        <v>359</v>
      </c>
      <c r="C669" s="2104"/>
      <c r="D669" s="2124">
        <f t="shared" si="55"/>
        <v>18849186.95114015</v>
      </c>
      <c r="E669" s="2126">
        <v>0</v>
      </c>
      <c r="F669" s="2114">
        <v>15645310.513541868</v>
      </c>
      <c r="G669" s="2126">
        <v>3203876.437598282</v>
      </c>
      <c r="H669" s="2114"/>
      <c r="I669" s="2125">
        <f t="shared" si="56"/>
        <v>18849186.95114015</v>
      </c>
      <c r="J669" s="2114"/>
      <c r="K669" s="2126"/>
      <c r="L669" s="2114"/>
      <c r="M669" s="2127">
        <f t="shared" si="58"/>
        <v>0</v>
      </c>
    </row>
    <row r="670" spans="1:39" ht="27.6" customHeight="1">
      <c r="A670" s="662"/>
      <c r="B670" s="2110" t="s">
        <v>360</v>
      </c>
      <c r="C670" s="2104"/>
      <c r="D670" s="2124">
        <f t="shared" si="55"/>
        <v>0</v>
      </c>
      <c r="E670" s="2126"/>
      <c r="F670" s="2114"/>
      <c r="G670" s="2126"/>
      <c r="H670" s="2114"/>
      <c r="I670" s="2125">
        <f t="shared" si="56"/>
        <v>0</v>
      </c>
      <c r="J670" s="2114"/>
      <c r="K670" s="2126"/>
      <c r="L670" s="2114"/>
      <c r="M670" s="2127">
        <f t="shared" si="58"/>
        <v>0</v>
      </c>
    </row>
    <row r="671" spans="1:39" s="870" customFormat="1">
      <c r="A671" s="662"/>
      <c r="B671" s="2109" t="s">
        <v>361</v>
      </c>
      <c r="C671" s="2108"/>
      <c r="D671" s="2124">
        <f t="shared" si="55"/>
        <v>28828015.158140153</v>
      </c>
      <c r="E671" s="2126">
        <f>SUM(E665:E670)</f>
        <v>0</v>
      </c>
      <c r="F671" s="2114">
        <f>SUM(F665:F670)</f>
        <v>23206251.064541869</v>
      </c>
      <c r="G671" s="2126">
        <f>SUM(G665:G670)</f>
        <v>5621764.093598282</v>
      </c>
      <c r="H671" s="2114">
        <f>SUM(H665:H670)</f>
        <v>0</v>
      </c>
      <c r="I671" s="2125">
        <f t="shared" si="56"/>
        <v>28828015.158140153</v>
      </c>
      <c r="J671" s="2114">
        <f>SUM(J665:J670)</f>
        <v>0</v>
      </c>
      <c r="K671" s="2126">
        <f>SUM(K665:K670)</f>
        <v>0</v>
      </c>
      <c r="L671" s="2114">
        <f>SUM(L665:L670)</f>
        <v>0</v>
      </c>
      <c r="M671" s="2127">
        <f t="shared" si="58"/>
        <v>0</v>
      </c>
      <c r="N671"/>
      <c r="O671"/>
      <c r="P671"/>
      <c r="Q671"/>
      <c r="R671"/>
      <c r="S671"/>
      <c r="T671"/>
      <c r="U671"/>
      <c r="V671"/>
      <c r="W671"/>
      <c r="X671"/>
      <c r="Y671"/>
      <c r="Z671"/>
      <c r="AA671"/>
      <c r="AB671"/>
      <c r="AC671"/>
      <c r="AD671"/>
      <c r="AE671"/>
      <c r="AF671"/>
      <c r="AG671"/>
      <c r="AH671"/>
      <c r="AI671"/>
      <c r="AJ671"/>
      <c r="AK671"/>
      <c r="AL671"/>
      <c r="AM671"/>
    </row>
    <row r="672" spans="1:39">
      <c r="A672" s="662"/>
      <c r="B672" s="2103"/>
      <c r="C672" s="2104"/>
      <c r="D672" s="2124">
        <f t="shared" si="55"/>
        <v>0</v>
      </c>
      <c r="E672" s="2126"/>
      <c r="F672" s="2114"/>
      <c r="G672" s="2126"/>
      <c r="H672" s="2114"/>
      <c r="I672" s="2125">
        <f t="shared" si="56"/>
        <v>0</v>
      </c>
      <c r="J672" s="2114"/>
      <c r="K672" s="2126"/>
      <c r="L672" s="2114"/>
      <c r="M672" s="2127">
        <f t="shared" si="58"/>
        <v>0</v>
      </c>
    </row>
    <row r="673" spans="1:39" ht="26.45">
      <c r="A673" s="662"/>
      <c r="B673" s="2110" t="s">
        <v>362</v>
      </c>
      <c r="C673" s="2104"/>
      <c r="D673" s="2124">
        <f t="shared" si="55"/>
        <v>2566486.2929999996</v>
      </c>
      <c r="E673" s="2126">
        <v>0</v>
      </c>
      <c r="F673" s="2114">
        <v>1467963.4669999999</v>
      </c>
      <c r="G673" s="2126">
        <v>1098522.8259999999</v>
      </c>
      <c r="H673" s="2114"/>
      <c r="I673" s="2125">
        <f t="shared" si="56"/>
        <v>2566486.2929999996</v>
      </c>
      <c r="J673" s="2114"/>
      <c r="K673" s="2126"/>
      <c r="L673" s="2114"/>
      <c r="M673" s="2127">
        <f t="shared" si="58"/>
        <v>0</v>
      </c>
    </row>
    <row r="674" spans="1:39">
      <c r="A674" s="662"/>
      <c r="B674" s="2103"/>
      <c r="C674" s="2104"/>
      <c r="D674" s="2124">
        <f t="shared" si="55"/>
        <v>0</v>
      </c>
      <c r="E674" s="2126"/>
      <c r="F674" s="2114"/>
      <c r="G674" s="2126"/>
      <c r="H674" s="2114"/>
      <c r="I674" s="2125">
        <f t="shared" si="56"/>
        <v>0</v>
      </c>
      <c r="J674" s="2114"/>
      <c r="K674" s="2126"/>
      <c r="L674" s="2114"/>
      <c r="M674" s="2127">
        <f t="shared" si="58"/>
        <v>0</v>
      </c>
    </row>
    <row r="675" spans="1:39" ht="15.75" customHeight="1">
      <c r="A675" s="662"/>
      <c r="B675" s="2110" t="s">
        <v>363</v>
      </c>
      <c r="C675" s="2104">
        <v>4</v>
      </c>
      <c r="D675" s="2124">
        <f t="shared" si="55"/>
        <v>4697086.3322578203</v>
      </c>
      <c r="E675" s="2126">
        <v>0</v>
      </c>
      <c r="F675" s="2114">
        <v>4098715.4686301835</v>
      </c>
      <c r="G675" s="2126">
        <v>598370.86362763715</v>
      </c>
      <c r="H675" s="2114"/>
      <c r="I675" s="2125">
        <f t="shared" si="56"/>
        <v>4697086.3322578203</v>
      </c>
      <c r="J675" s="2114"/>
      <c r="K675" s="2126"/>
      <c r="L675" s="2114"/>
      <c r="M675" s="2127">
        <f t="shared" si="58"/>
        <v>0</v>
      </c>
    </row>
    <row r="676" spans="1:39">
      <c r="A676" s="662"/>
      <c r="B676" s="2103" t="s">
        <v>364</v>
      </c>
      <c r="C676" s="2104"/>
      <c r="D676" s="2124">
        <f t="shared" si="55"/>
        <v>0</v>
      </c>
      <c r="E676" s="2126"/>
      <c r="F676" s="2114"/>
      <c r="G676" s="2126"/>
      <c r="H676" s="2114"/>
      <c r="I676" s="2125">
        <f t="shared" si="56"/>
        <v>0</v>
      </c>
      <c r="J676" s="2114"/>
      <c r="K676" s="2126"/>
      <c r="L676" s="2114"/>
      <c r="M676" s="2127">
        <f t="shared" si="58"/>
        <v>0</v>
      </c>
    </row>
    <row r="677" spans="1:39">
      <c r="A677" s="662"/>
      <c r="B677" s="2103" t="s">
        <v>365</v>
      </c>
      <c r="C677" s="2104"/>
      <c r="D677" s="2124">
        <f t="shared" si="55"/>
        <v>0</v>
      </c>
      <c r="E677" s="2126"/>
      <c r="F677" s="2114"/>
      <c r="G677" s="2126"/>
      <c r="H677" s="2114"/>
      <c r="I677" s="2125">
        <f t="shared" si="56"/>
        <v>0</v>
      </c>
      <c r="J677" s="2114"/>
      <c r="K677" s="2126"/>
      <c r="L677" s="2114"/>
      <c r="M677" s="2127">
        <f t="shared" si="58"/>
        <v>0</v>
      </c>
    </row>
    <row r="678" spans="1:39" s="870" customFormat="1">
      <c r="A678" s="662"/>
      <c r="B678" s="2109" t="s">
        <v>366</v>
      </c>
      <c r="C678" s="2108"/>
      <c r="D678" s="2124">
        <f t="shared" si="55"/>
        <v>4697086.3322578203</v>
      </c>
      <c r="E678" s="2126">
        <f>SUM(E675:E677)</f>
        <v>0</v>
      </c>
      <c r="F678" s="2114">
        <f>SUM(F675:F677)</f>
        <v>4098715.4686301835</v>
      </c>
      <c r="G678" s="2126">
        <f>SUM(G675:G677)</f>
        <v>598370.86362763715</v>
      </c>
      <c r="H678" s="2114">
        <f>SUM(H675:H677)</f>
        <v>0</v>
      </c>
      <c r="I678" s="2125">
        <f t="shared" si="56"/>
        <v>4697086.3322578203</v>
      </c>
      <c r="J678" s="2114">
        <f>SUM(J675:J677)</f>
        <v>0</v>
      </c>
      <c r="K678" s="2126">
        <f>SUM(K675:K677)</f>
        <v>0</v>
      </c>
      <c r="L678" s="2114">
        <f>SUM(L675:L677)</f>
        <v>0</v>
      </c>
      <c r="M678" s="2127">
        <f t="shared" si="58"/>
        <v>0</v>
      </c>
      <c r="N678"/>
      <c r="O678"/>
      <c r="P678"/>
      <c r="Q678"/>
      <c r="R678"/>
      <c r="S678"/>
      <c r="T678"/>
      <c r="U678"/>
      <c r="V678"/>
      <c r="W678"/>
      <c r="X678"/>
      <c r="Y678"/>
      <c r="Z678"/>
      <c r="AA678"/>
      <c r="AB678"/>
      <c r="AC678"/>
      <c r="AD678"/>
      <c r="AE678"/>
      <c r="AF678"/>
      <c r="AG678"/>
      <c r="AH678"/>
      <c r="AI678"/>
      <c r="AJ678"/>
      <c r="AK678"/>
      <c r="AL678"/>
      <c r="AM678"/>
    </row>
    <row r="679" spans="1:39">
      <c r="A679" s="662"/>
      <c r="B679" s="2109"/>
      <c r="C679" s="2108"/>
      <c r="D679" s="2124">
        <f t="shared" si="55"/>
        <v>0</v>
      </c>
      <c r="E679" s="2126"/>
      <c r="F679" s="2114"/>
      <c r="G679" s="2126"/>
      <c r="H679" s="2114"/>
      <c r="I679" s="2125">
        <f t="shared" si="56"/>
        <v>0</v>
      </c>
      <c r="J679" s="2114"/>
      <c r="K679" s="2126"/>
      <c r="L679" s="2114"/>
      <c r="M679" s="2127">
        <f t="shared" si="58"/>
        <v>0</v>
      </c>
    </row>
    <row r="680" spans="1:39" s="870" customFormat="1">
      <c r="A680" s="662"/>
      <c r="B680" s="2109" t="s">
        <v>367</v>
      </c>
      <c r="C680" s="2108"/>
      <c r="D680" s="2124">
        <f t="shared" si="55"/>
        <v>6486746.807660656</v>
      </c>
      <c r="E680" s="2126">
        <f>E663-E671-E673-E678</f>
        <v>1535874.8689597384</v>
      </c>
      <c r="F680" s="2114">
        <f>F663-F671-F673-F678</f>
        <v>766410.68329488859</v>
      </c>
      <c r="G680" s="2126">
        <f>G663-G671-G673-G678</f>
        <v>4184461.2554060291</v>
      </c>
      <c r="H680" s="2114">
        <f>H663-H671-H673-H678</f>
        <v>0</v>
      </c>
      <c r="I680" s="2125">
        <f t="shared" si="56"/>
        <v>4950871.9387009181</v>
      </c>
      <c r="J680" s="2114">
        <f>J663-J671-J673-J678</f>
        <v>0</v>
      </c>
      <c r="K680" s="2126">
        <f>K663-K671-K673-K678</f>
        <v>0</v>
      </c>
      <c r="L680" s="2114">
        <f>L663-L671-L673-L678</f>
        <v>0</v>
      </c>
      <c r="M680" s="2127">
        <f t="shared" si="58"/>
        <v>0</v>
      </c>
      <c r="N680"/>
      <c r="O680"/>
      <c r="P680"/>
      <c r="Q680"/>
      <c r="R680"/>
      <c r="S680"/>
      <c r="T680"/>
      <c r="U680"/>
      <c r="V680"/>
      <c r="W680"/>
      <c r="X680"/>
      <c r="Y680"/>
      <c r="Z680"/>
      <c r="AA680"/>
      <c r="AB680"/>
      <c r="AC680"/>
      <c r="AD680"/>
      <c r="AE680"/>
      <c r="AF680"/>
      <c r="AG680"/>
      <c r="AH680"/>
      <c r="AI680"/>
      <c r="AJ680"/>
      <c r="AK680"/>
      <c r="AL680"/>
      <c r="AM680"/>
    </row>
    <row r="681" spans="1:39">
      <c r="A681" s="662"/>
      <c r="B681" s="2103" t="s">
        <v>368</v>
      </c>
      <c r="C681" s="2104"/>
      <c r="D681" s="2124">
        <f t="shared" si="55"/>
        <v>1502958.8708405052</v>
      </c>
      <c r="E681" s="2126">
        <v>183865.49455080836</v>
      </c>
      <c r="F681" s="2114">
        <v>559666.18807574699</v>
      </c>
      <c r="G681" s="2126">
        <v>759427.18821395002</v>
      </c>
      <c r="H681" s="2114"/>
      <c r="I681" s="2125">
        <f t="shared" si="56"/>
        <v>1319093.3762896969</v>
      </c>
      <c r="J681" s="2114"/>
      <c r="K681" s="2126"/>
      <c r="L681" s="2114"/>
      <c r="M681" s="2127">
        <f t="shared" si="58"/>
        <v>0</v>
      </c>
    </row>
    <row r="682" spans="1:39">
      <c r="A682" s="662"/>
      <c r="B682" s="2103"/>
      <c r="C682" s="2104"/>
      <c r="D682" s="2124">
        <f t="shared" si="55"/>
        <v>0</v>
      </c>
      <c r="E682" s="2126"/>
      <c r="F682" s="2114"/>
      <c r="G682" s="2126"/>
      <c r="H682" s="2114"/>
      <c r="I682" s="2125">
        <f t="shared" si="56"/>
        <v>0</v>
      </c>
      <c r="J682" s="2114"/>
      <c r="K682" s="2126"/>
      <c r="L682" s="2114"/>
      <c r="M682" s="2127">
        <f t="shared" si="58"/>
        <v>0</v>
      </c>
    </row>
    <row r="683" spans="1:39" s="870" customFormat="1" ht="15" thickBot="1">
      <c r="A683" s="662"/>
      <c r="B683" s="1338" t="s">
        <v>369</v>
      </c>
      <c r="C683" s="1339"/>
      <c r="D683" s="1350">
        <f t="shared" si="55"/>
        <v>4983787.9368201513</v>
      </c>
      <c r="E683" s="1372">
        <f>E680-E681</f>
        <v>1352009.3744089301</v>
      </c>
      <c r="F683" s="1350">
        <f>F680-F681</f>
        <v>206744.49521914159</v>
      </c>
      <c r="G683" s="1372">
        <f>G680-G681</f>
        <v>3425034.067192079</v>
      </c>
      <c r="H683" s="1350">
        <f>H680-H681</f>
        <v>0</v>
      </c>
      <c r="I683" s="1372">
        <f t="shared" si="56"/>
        <v>3631778.5624112207</v>
      </c>
      <c r="J683" s="1350">
        <f>J680-J681</f>
        <v>0</v>
      </c>
      <c r="K683" s="1372">
        <f>K680-K681</f>
        <v>0</v>
      </c>
      <c r="L683" s="1350">
        <f>L680-L681</f>
        <v>0</v>
      </c>
      <c r="M683" s="1373">
        <f t="shared" si="58"/>
        <v>0</v>
      </c>
      <c r="N683"/>
      <c r="O683"/>
      <c r="P683"/>
      <c r="Q683"/>
      <c r="R683"/>
      <c r="S683"/>
      <c r="T683"/>
      <c r="U683"/>
      <c r="V683"/>
      <c r="W683"/>
      <c r="X683"/>
      <c r="Y683"/>
      <c r="Z683"/>
      <c r="AA683"/>
      <c r="AB683"/>
      <c r="AC683"/>
      <c r="AD683"/>
      <c r="AE683"/>
      <c r="AF683"/>
      <c r="AG683"/>
      <c r="AH683"/>
      <c r="AI683"/>
      <c r="AJ683"/>
      <c r="AK683"/>
      <c r="AL683"/>
      <c r="AM683"/>
    </row>
    <row r="684" spans="1:39">
      <c r="A684" s="662"/>
      <c r="B684" s="662"/>
      <c r="C684" s="662"/>
      <c r="D684" s="670"/>
      <c r="E684" s="670"/>
      <c r="F684" s="670"/>
      <c r="G684" s="670"/>
      <c r="H684" s="670"/>
      <c r="I684" s="670"/>
      <c r="J684" s="662"/>
      <c r="K684" s="662"/>
      <c r="L684" s="662"/>
      <c r="M684" s="662"/>
    </row>
    <row r="685" spans="1:39">
      <c r="A685" s="662"/>
      <c r="B685" s="662"/>
      <c r="C685" s="662"/>
      <c r="D685" s="662"/>
      <c r="E685" s="662"/>
      <c r="F685" s="662"/>
      <c r="G685" s="662"/>
      <c r="H685" s="662"/>
      <c r="I685" s="662"/>
      <c r="J685" s="662"/>
      <c r="K685" s="662"/>
      <c r="L685" s="662"/>
    </row>
    <row r="686" spans="1:39" ht="15" thickBot="1"/>
    <row r="687" spans="1:39" ht="15" thickBot="1">
      <c r="A687" s="1361" t="s">
        <v>196</v>
      </c>
      <c r="B687" s="1153" t="s">
        <v>135</v>
      </c>
      <c r="C687" s="873"/>
      <c r="D687" s="662"/>
      <c r="E687" s="662"/>
      <c r="F687" s="662"/>
      <c r="G687" s="662"/>
      <c r="H687" s="662"/>
      <c r="I687" s="662"/>
      <c r="J687" s="662"/>
      <c r="K687" s="662"/>
      <c r="L687" s="3292"/>
      <c r="M687" s="3292"/>
    </row>
    <row r="688" spans="1:39" ht="17.25" customHeight="1" thickBot="1">
      <c r="A688" s="662"/>
      <c r="B688" s="3331" t="s">
        <v>135</v>
      </c>
      <c r="C688" s="3280" t="s">
        <v>334</v>
      </c>
      <c r="D688" s="3283" t="s">
        <v>260</v>
      </c>
      <c r="E688" s="3283" t="s">
        <v>335</v>
      </c>
      <c r="F688" s="3335" t="s">
        <v>263</v>
      </c>
      <c r="G688" s="3335"/>
      <c r="H688" s="3335"/>
      <c r="I688" s="3335"/>
      <c r="J688" s="3335"/>
      <c r="K688" s="3335"/>
      <c r="L688" s="3335"/>
      <c r="M688" s="3335"/>
    </row>
    <row r="689" spans="1:39" ht="17.25" customHeight="1" thickBot="1">
      <c r="A689" s="662"/>
      <c r="B689" s="3327"/>
      <c r="C689" s="3281"/>
      <c r="D689" s="3284"/>
      <c r="E689" s="3284"/>
      <c r="F689" s="3332" t="s">
        <v>264</v>
      </c>
      <c r="G689" s="3333"/>
      <c r="H689" s="3333"/>
      <c r="I689" s="3334"/>
      <c r="J689" s="3335" t="s">
        <v>336</v>
      </c>
      <c r="K689" s="3335"/>
      <c r="L689" s="3335"/>
      <c r="M689" s="3335"/>
    </row>
    <row r="690" spans="1:39" ht="66.599999999999994" thickBot="1">
      <c r="A690" s="662"/>
      <c r="B690" s="3327"/>
      <c r="C690" s="3281"/>
      <c r="D690" s="3285"/>
      <c r="E690" s="3285"/>
      <c r="F690" s="2963" t="s">
        <v>267</v>
      </c>
      <c r="G690" s="2963" t="s">
        <v>268</v>
      </c>
      <c r="H690" s="2963" t="s">
        <v>269</v>
      </c>
      <c r="I690" s="2963" t="s">
        <v>160</v>
      </c>
      <c r="J690" s="2964" t="s">
        <v>337</v>
      </c>
      <c r="K690" s="2964" t="s">
        <v>271</v>
      </c>
      <c r="L690" s="2964" t="s">
        <v>338</v>
      </c>
      <c r="M690" s="2964" t="s">
        <v>160</v>
      </c>
    </row>
    <row r="691" spans="1:39" ht="17.25" customHeight="1" thickBot="1">
      <c r="A691" s="662"/>
      <c r="B691" s="3327"/>
      <c r="C691" s="3281"/>
      <c r="D691" s="2972">
        <v>1</v>
      </c>
      <c r="E691" s="3283">
        <v>2</v>
      </c>
      <c r="F691" s="3283">
        <v>3</v>
      </c>
      <c r="G691" s="3283">
        <v>4</v>
      </c>
      <c r="H691" s="3283"/>
      <c r="I691" s="2972">
        <v>6</v>
      </c>
      <c r="J691" s="3283">
        <v>7</v>
      </c>
      <c r="K691" s="3283">
        <v>8</v>
      </c>
      <c r="L691" s="3283">
        <v>9</v>
      </c>
      <c r="M691" s="2972">
        <v>10</v>
      </c>
    </row>
    <row r="692" spans="1:39" ht="15" thickBot="1">
      <c r="A692" s="662"/>
      <c r="B692" s="3328"/>
      <c r="C692" s="3282"/>
      <c r="D692" s="1327" t="s">
        <v>339</v>
      </c>
      <c r="E692" s="3285"/>
      <c r="F692" s="3285"/>
      <c r="G692" s="3285"/>
      <c r="H692" s="3285">
        <v>5</v>
      </c>
      <c r="I692" s="1327" t="s">
        <v>340</v>
      </c>
      <c r="J692" s="3285"/>
      <c r="K692" s="3285"/>
      <c r="L692" s="3285"/>
      <c r="M692" s="1327" t="s">
        <v>341</v>
      </c>
    </row>
    <row r="693" spans="1:39">
      <c r="A693" s="662"/>
      <c r="B693" s="1328" t="s">
        <v>342</v>
      </c>
      <c r="C693" s="885"/>
      <c r="D693" s="1329">
        <f t="shared" ref="D693:D730" si="59">E693+I693+M693</f>
        <v>1111941.1018479997</v>
      </c>
      <c r="E693" s="887">
        <v>0</v>
      </c>
      <c r="F693" s="886">
        <v>21011.687408000002</v>
      </c>
      <c r="G693" s="887">
        <v>547065.00774999999</v>
      </c>
      <c r="H693" s="886">
        <v>543864.40668999986</v>
      </c>
      <c r="I693" s="1332">
        <f t="shared" ref="I693:I730" si="60">F693+G693+H693</f>
        <v>1111941.1018479997</v>
      </c>
      <c r="J693" s="886"/>
      <c r="K693" s="887"/>
      <c r="L693" s="886"/>
      <c r="M693" s="1335">
        <f t="shared" ref="M693:M710" si="61">L693+K693+J693</f>
        <v>0</v>
      </c>
    </row>
    <row r="694" spans="1:39">
      <c r="A694" s="662"/>
      <c r="B694" s="2103"/>
      <c r="C694" s="2104"/>
      <c r="D694" s="2124">
        <f t="shared" si="59"/>
        <v>0</v>
      </c>
      <c r="E694" s="2126"/>
      <c r="F694" s="2114"/>
      <c r="G694" s="2126"/>
      <c r="H694" s="2114"/>
      <c r="I694" s="2125">
        <f t="shared" si="60"/>
        <v>0</v>
      </c>
      <c r="J694" s="2114"/>
      <c r="K694" s="2126"/>
      <c r="L694" s="2114"/>
      <c r="M694" s="2127">
        <f t="shared" si="61"/>
        <v>0</v>
      </c>
    </row>
    <row r="695" spans="1:39">
      <c r="A695" s="662"/>
      <c r="B695" s="2105" t="s">
        <v>343</v>
      </c>
      <c r="C695" s="2104"/>
      <c r="D695" s="2124">
        <f t="shared" si="59"/>
        <v>28748.663641971558</v>
      </c>
      <c r="E695" s="2126"/>
      <c r="F695" s="2114">
        <v>554.72219209135994</v>
      </c>
      <c r="G695" s="2126">
        <v>12047.847014004399</v>
      </c>
      <c r="H695" s="2114">
        <v>16146.094435875801</v>
      </c>
      <c r="I695" s="2125">
        <f t="shared" si="60"/>
        <v>28748.663641971558</v>
      </c>
      <c r="J695" s="2114"/>
      <c r="K695" s="2126"/>
      <c r="L695" s="2114"/>
      <c r="M695" s="2127">
        <f t="shared" si="61"/>
        <v>0</v>
      </c>
    </row>
    <row r="696" spans="1:39">
      <c r="A696" s="662"/>
      <c r="B696" s="2105"/>
      <c r="C696" s="2104"/>
      <c r="D696" s="2124">
        <f t="shared" si="59"/>
        <v>0</v>
      </c>
      <c r="E696" s="2126"/>
      <c r="F696" s="2114"/>
      <c r="G696" s="2126"/>
      <c r="H696" s="2114"/>
      <c r="I696" s="2125">
        <f t="shared" si="60"/>
        <v>0</v>
      </c>
      <c r="J696" s="2114"/>
      <c r="K696" s="2126"/>
      <c r="L696" s="2114"/>
      <c r="M696" s="2127">
        <f t="shared" si="61"/>
        <v>0</v>
      </c>
    </row>
    <row r="697" spans="1:39" ht="14.25" customHeight="1">
      <c r="A697" s="662"/>
      <c r="B697" s="2106" t="s">
        <v>344</v>
      </c>
      <c r="C697" s="2104"/>
      <c r="D697" s="2124">
        <f t="shared" si="59"/>
        <v>0</v>
      </c>
      <c r="E697" s="2126"/>
      <c r="F697" s="2114"/>
      <c r="G697" s="2126"/>
      <c r="H697" s="2114"/>
      <c r="I697" s="2125">
        <f t="shared" si="60"/>
        <v>0</v>
      </c>
      <c r="J697" s="2114"/>
      <c r="K697" s="2126"/>
      <c r="L697" s="2114"/>
      <c r="M697" s="2127">
        <f t="shared" si="61"/>
        <v>0</v>
      </c>
    </row>
    <row r="698" spans="1:39">
      <c r="A698" s="662"/>
      <c r="B698" s="2103"/>
      <c r="C698" s="2104"/>
      <c r="D698" s="2124">
        <f t="shared" si="59"/>
        <v>0</v>
      </c>
      <c r="E698" s="2126"/>
      <c r="F698" s="2114"/>
      <c r="G698" s="2126"/>
      <c r="H698" s="2114"/>
      <c r="I698" s="2125">
        <f t="shared" si="60"/>
        <v>0</v>
      </c>
      <c r="J698" s="2114"/>
      <c r="K698" s="2126"/>
      <c r="L698" s="2114"/>
      <c r="M698" s="2127">
        <f t="shared" si="61"/>
        <v>0</v>
      </c>
    </row>
    <row r="699" spans="1:39" s="870" customFormat="1">
      <c r="A699" s="662"/>
      <c r="B699" s="2107" t="s">
        <v>345</v>
      </c>
      <c r="C699" s="2108"/>
      <c r="D699" s="2124">
        <f t="shared" si="59"/>
        <v>1083192.4382060282</v>
      </c>
      <c r="E699" s="2126">
        <f>E693-E695+E697</f>
        <v>0</v>
      </c>
      <c r="F699" s="2114">
        <f>F693-F695+F697</f>
        <v>20456.96521590864</v>
      </c>
      <c r="G699" s="2126">
        <f>G693-G695+G697</f>
        <v>535017.16073599563</v>
      </c>
      <c r="H699" s="2114">
        <f>H693-H695+H697</f>
        <v>527718.31225412409</v>
      </c>
      <c r="I699" s="2125">
        <f t="shared" si="60"/>
        <v>1083192.4382060282</v>
      </c>
      <c r="J699" s="2114">
        <f>J693-J695+J697</f>
        <v>0</v>
      </c>
      <c r="K699" s="2126">
        <f>K693-K695+K697</f>
        <v>0</v>
      </c>
      <c r="L699" s="2114">
        <f>L693-L695+L697</f>
        <v>0</v>
      </c>
      <c r="M699" s="2127">
        <f t="shared" si="61"/>
        <v>0</v>
      </c>
      <c r="N699"/>
      <c r="O699"/>
      <c r="P699"/>
      <c r="Q699"/>
      <c r="R699"/>
      <c r="S699"/>
      <c r="T699"/>
      <c r="U699"/>
      <c r="V699"/>
      <c r="W699"/>
      <c r="X699"/>
      <c r="Y699"/>
      <c r="Z699"/>
      <c r="AA699"/>
      <c r="AB699"/>
      <c r="AC699"/>
      <c r="AD699"/>
      <c r="AE699"/>
      <c r="AF699"/>
      <c r="AG699"/>
      <c r="AH699"/>
      <c r="AI699"/>
      <c r="AJ699"/>
      <c r="AK699"/>
      <c r="AL699"/>
      <c r="AM699"/>
    </row>
    <row r="700" spans="1:39">
      <c r="A700" s="662"/>
      <c r="B700" s="2107"/>
      <c r="C700" s="2108"/>
      <c r="D700" s="2124">
        <f>E700+I700+M700</f>
        <v>0</v>
      </c>
      <c r="E700" s="2126"/>
      <c r="F700" s="2114"/>
      <c r="G700" s="2126"/>
      <c r="H700" s="2114"/>
      <c r="I700" s="2125">
        <f t="shared" si="60"/>
        <v>0</v>
      </c>
      <c r="J700" s="2114"/>
      <c r="K700" s="2126"/>
      <c r="L700" s="2114"/>
      <c r="M700" s="2127">
        <f t="shared" si="61"/>
        <v>0</v>
      </c>
    </row>
    <row r="701" spans="1:39" s="870" customFormat="1">
      <c r="A701" s="662"/>
      <c r="B701" s="2107" t="s">
        <v>346</v>
      </c>
      <c r="C701" s="2108"/>
      <c r="D701" s="2124">
        <f>E701+I701+M701</f>
        <v>143709.92431</v>
      </c>
      <c r="E701" s="2126">
        <f>SUM(E702:E706)</f>
        <v>34260.351523040335</v>
      </c>
      <c r="F701" s="2114">
        <f>SUM(F702:F706)</f>
        <v>10717.045409653132</v>
      </c>
      <c r="G701" s="2126">
        <f>SUM(G702:G706)</f>
        <v>70557.101906165699</v>
      </c>
      <c r="H701" s="2114">
        <f>SUM(H702:H706)</f>
        <v>28175.42547114085</v>
      </c>
      <c r="I701" s="2125">
        <f t="shared" si="60"/>
        <v>109449.57278695967</v>
      </c>
      <c r="J701" s="2114">
        <f>SUM(J702:J706)</f>
        <v>0</v>
      </c>
      <c r="K701" s="2126">
        <f>SUM(K702:K706)</f>
        <v>0</v>
      </c>
      <c r="L701" s="2114">
        <f>SUM(L702:L706)</f>
        <v>0</v>
      </c>
      <c r="M701" s="2127">
        <f t="shared" si="61"/>
        <v>0</v>
      </c>
      <c r="N701"/>
      <c r="O701"/>
      <c r="P701"/>
      <c r="Q701"/>
      <c r="R701"/>
      <c r="S701"/>
      <c r="T701"/>
      <c r="U701"/>
      <c r="V701"/>
      <c r="W701"/>
      <c r="X701"/>
      <c r="Y701"/>
      <c r="Z701"/>
      <c r="AA701"/>
      <c r="AB701"/>
      <c r="AC701"/>
      <c r="AD701"/>
      <c r="AE701"/>
      <c r="AF701"/>
      <c r="AG701"/>
      <c r="AH701"/>
      <c r="AI701"/>
      <c r="AJ701"/>
      <c r="AK701"/>
      <c r="AL701"/>
      <c r="AM701"/>
    </row>
    <row r="702" spans="1:39">
      <c r="A702" s="662"/>
      <c r="B702" s="2103" t="s">
        <v>347</v>
      </c>
      <c r="C702" s="2104">
        <v>1</v>
      </c>
      <c r="D702" s="2124">
        <f t="shared" si="59"/>
        <v>165515.23184000002</v>
      </c>
      <c r="E702" s="2126">
        <v>69117.172103826044</v>
      </c>
      <c r="F702" s="2114">
        <v>11720.378556580488</v>
      </c>
      <c r="G702" s="2126">
        <v>75193.761728182304</v>
      </c>
      <c r="H702" s="2114">
        <v>9483.919451411175</v>
      </c>
      <c r="I702" s="2125">
        <f t="shared" si="60"/>
        <v>96398.059736173964</v>
      </c>
      <c r="J702" s="2114"/>
      <c r="K702" s="2126"/>
      <c r="L702" s="2114"/>
      <c r="M702" s="2127">
        <f t="shared" si="61"/>
        <v>0</v>
      </c>
    </row>
    <row r="703" spans="1:39">
      <c r="A703" s="662"/>
      <c r="B703" s="2103" t="s">
        <v>348</v>
      </c>
      <c r="C703" s="2104">
        <v>2</v>
      </c>
      <c r="D703" s="2124">
        <f>E703+I703+M703</f>
        <v>55664.686630000011</v>
      </c>
      <c r="E703" s="2126">
        <v>30315.592179214284</v>
      </c>
      <c r="F703" s="2114">
        <v>1115.9714530726462</v>
      </c>
      <c r="G703" s="2126">
        <v>5541.6169779833999</v>
      </c>
      <c r="H703" s="2114">
        <v>18691.506019729677</v>
      </c>
      <c r="I703" s="2125">
        <f t="shared" si="60"/>
        <v>25349.094450785724</v>
      </c>
      <c r="J703" s="2114"/>
      <c r="K703" s="2126"/>
      <c r="L703" s="2114"/>
      <c r="M703" s="2127">
        <f t="shared" si="61"/>
        <v>0</v>
      </c>
    </row>
    <row r="704" spans="1:39">
      <c r="A704" s="662"/>
      <c r="B704" s="2103" t="s">
        <v>349</v>
      </c>
      <c r="C704" s="2104"/>
      <c r="D704" s="2124">
        <f t="shared" si="59"/>
        <v>0</v>
      </c>
      <c r="E704" s="2126"/>
      <c r="F704" s="2114"/>
      <c r="G704" s="2126"/>
      <c r="H704" s="2114"/>
      <c r="I704" s="2125">
        <f t="shared" si="60"/>
        <v>0</v>
      </c>
      <c r="J704" s="2114"/>
      <c r="K704" s="2126"/>
      <c r="L704" s="2114"/>
      <c r="M704" s="2127">
        <f t="shared" si="61"/>
        <v>0</v>
      </c>
    </row>
    <row r="705" spans="1:39">
      <c r="A705" s="662"/>
      <c r="B705" s="2103" t="s">
        <v>350</v>
      </c>
      <c r="C705" s="2104"/>
      <c r="D705" s="2124">
        <f>E705+I705+M705</f>
        <v>-77469.994160000002</v>
      </c>
      <c r="E705" s="2126">
        <v>-65172.412759999999</v>
      </c>
      <c r="F705" s="2114">
        <v>-2119.3046000000027</v>
      </c>
      <c r="G705" s="2126">
        <v>-10178.276800000003</v>
      </c>
      <c r="H705" s="2114">
        <v>0</v>
      </c>
      <c r="I705" s="2125">
        <f t="shared" si="60"/>
        <v>-12297.581400000006</v>
      </c>
      <c r="J705" s="2114"/>
      <c r="K705" s="2126"/>
      <c r="L705" s="2114"/>
      <c r="M705" s="2127">
        <f t="shared" si="61"/>
        <v>0</v>
      </c>
    </row>
    <row r="706" spans="1:39">
      <c r="A706" s="662"/>
      <c r="B706" s="2103" t="s">
        <v>351</v>
      </c>
      <c r="C706" s="2104">
        <v>3</v>
      </c>
      <c r="D706" s="2124">
        <f t="shared" si="59"/>
        <v>0</v>
      </c>
      <c r="E706" s="2126"/>
      <c r="F706" s="2114"/>
      <c r="G706" s="2126"/>
      <c r="H706" s="2114"/>
      <c r="I706" s="2125">
        <f t="shared" si="60"/>
        <v>0</v>
      </c>
      <c r="J706" s="2114"/>
      <c r="K706" s="2126"/>
      <c r="L706" s="2114"/>
      <c r="M706" s="2127">
        <f t="shared" si="61"/>
        <v>0</v>
      </c>
    </row>
    <row r="707" spans="1:39">
      <c r="A707" s="662"/>
      <c r="B707" s="2103" t="s">
        <v>353</v>
      </c>
      <c r="C707" s="2104"/>
      <c r="D707" s="2124">
        <f t="shared" si="59"/>
        <v>0</v>
      </c>
      <c r="E707" s="2126"/>
      <c r="F707" s="2114"/>
      <c r="G707" s="2126"/>
      <c r="H707" s="2114"/>
      <c r="I707" s="2125">
        <f t="shared" si="60"/>
        <v>0</v>
      </c>
      <c r="J707" s="2114"/>
      <c r="K707" s="2126"/>
      <c r="L707" s="2114"/>
      <c r="M707" s="2127">
        <f t="shared" si="61"/>
        <v>0</v>
      </c>
    </row>
    <row r="708" spans="1:39">
      <c r="A708" s="662"/>
      <c r="B708" s="2103" t="s">
        <v>353</v>
      </c>
      <c r="C708" s="2104"/>
      <c r="D708" s="2124">
        <f t="shared" si="59"/>
        <v>0</v>
      </c>
      <c r="E708" s="2126"/>
      <c r="F708" s="2114"/>
      <c r="G708" s="2126"/>
      <c r="H708" s="2114"/>
      <c r="I708" s="2125">
        <f t="shared" si="60"/>
        <v>0</v>
      </c>
      <c r="J708" s="2114"/>
      <c r="K708" s="2126"/>
      <c r="L708" s="2114"/>
      <c r="M708" s="2127">
        <f t="shared" si="61"/>
        <v>0</v>
      </c>
    </row>
    <row r="709" spans="1:39">
      <c r="A709" s="662"/>
      <c r="B709" s="2103"/>
      <c r="C709" s="2104"/>
      <c r="D709" s="2124">
        <f t="shared" si="59"/>
        <v>0</v>
      </c>
      <c r="E709" s="2126"/>
      <c r="F709" s="2114"/>
      <c r="G709" s="2126"/>
      <c r="H709" s="2114"/>
      <c r="I709" s="2125">
        <f t="shared" si="60"/>
        <v>0</v>
      </c>
      <c r="J709" s="2114"/>
      <c r="K709" s="2126"/>
      <c r="L709" s="2114"/>
      <c r="M709" s="2127">
        <f t="shared" si="61"/>
        <v>0</v>
      </c>
    </row>
    <row r="710" spans="1:39" s="870" customFormat="1">
      <c r="A710" s="662"/>
      <c r="B710" s="2109" t="s">
        <v>354</v>
      </c>
      <c r="C710" s="2108"/>
      <c r="D710" s="2124">
        <f>E710+I710+M710</f>
        <v>1226902.3625160283</v>
      </c>
      <c r="E710" s="2126">
        <f>E699+E701</f>
        <v>34260.351523040335</v>
      </c>
      <c r="F710" s="2114">
        <f>F699+F701</f>
        <v>31174.010625561772</v>
      </c>
      <c r="G710" s="2126">
        <f>G699+G701</f>
        <v>605574.26264216134</v>
      </c>
      <c r="H710" s="2114">
        <f>H699+H701</f>
        <v>555893.73772526497</v>
      </c>
      <c r="I710" s="2125">
        <f t="shared" si="60"/>
        <v>1192642.010992988</v>
      </c>
      <c r="J710" s="2114">
        <f>J699+J701</f>
        <v>0</v>
      </c>
      <c r="K710" s="2126">
        <f>K699+K701</f>
        <v>0</v>
      </c>
      <c r="L710" s="2114">
        <f>L699+L701</f>
        <v>0</v>
      </c>
      <c r="M710" s="2127">
        <f t="shared" si="61"/>
        <v>0</v>
      </c>
      <c r="N710"/>
      <c r="O710"/>
      <c r="P710"/>
      <c r="Q710"/>
      <c r="R710"/>
      <c r="S710"/>
      <c r="T710"/>
      <c r="U710"/>
      <c r="V710"/>
      <c r="W710"/>
      <c r="X710"/>
      <c r="Y710"/>
      <c r="Z710"/>
      <c r="AA710"/>
      <c r="AB710"/>
      <c r="AC710"/>
      <c r="AD710"/>
      <c r="AE710"/>
      <c r="AF710"/>
      <c r="AG710"/>
      <c r="AH710"/>
      <c r="AI710"/>
      <c r="AJ710"/>
      <c r="AK710"/>
      <c r="AL710"/>
      <c r="AM710"/>
    </row>
    <row r="711" spans="1:39">
      <c r="A711" s="662"/>
      <c r="B711" s="2109"/>
      <c r="C711" s="2108"/>
      <c r="D711" s="2124">
        <f t="shared" si="59"/>
        <v>0</v>
      </c>
      <c r="E711" s="2126"/>
      <c r="F711" s="2114"/>
      <c r="G711" s="2126"/>
      <c r="H711" s="2114"/>
      <c r="I711" s="2125">
        <f t="shared" si="60"/>
        <v>0</v>
      </c>
      <c r="J711" s="2114"/>
      <c r="K711" s="2126"/>
      <c r="L711" s="2114"/>
      <c r="M711" s="2127"/>
    </row>
    <row r="712" spans="1:39">
      <c r="A712" s="662"/>
      <c r="B712" s="2103" t="s">
        <v>355</v>
      </c>
      <c r="C712" s="2104"/>
      <c r="D712" s="2124">
        <f t="shared" si="59"/>
        <v>277514.77296999999</v>
      </c>
      <c r="E712" s="2126"/>
      <c r="F712" s="2114">
        <v>25491.085640000005</v>
      </c>
      <c r="G712" s="2126">
        <v>211018.83405999999</v>
      </c>
      <c r="H712" s="2114">
        <v>41004.853269999992</v>
      </c>
      <c r="I712" s="2125">
        <f t="shared" si="60"/>
        <v>277514.77296999999</v>
      </c>
      <c r="J712" s="2114"/>
      <c r="K712" s="2126"/>
      <c r="L712" s="2114"/>
      <c r="M712" s="2127">
        <f t="shared" ref="M712:M730" si="62">L712+K712+J712</f>
        <v>0</v>
      </c>
    </row>
    <row r="713" spans="1:39">
      <c r="A713" s="662"/>
      <c r="B713" s="2103" t="s">
        <v>356</v>
      </c>
      <c r="C713" s="2104"/>
      <c r="D713" s="2124">
        <f t="shared" si="59"/>
        <v>-13473.049530000002</v>
      </c>
      <c r="E713" s="2126"/>
      <c r="F713" s="2114">
        <v>-28.150054393040744</v>
      </c>
      <c r="G713" s="2126">
        <v>-2108.8638429876291</v>
      </c>
      <c r="H713" s="2114">
        <v>-11336.035632619332</v>
      </c>
      <c r="I713" s="2125">
        <f t="shared" si="60"/>
        <v>-13473.049530000002</v>
      </c>
      <c r="J713" s="2114"/>
      <c r="K713" s="2126"/>
      <c r="L713" s="2114"/>
      <c r="M713" s="2127">
        <f t="shared" si="62"/>
        <v>0</v>
      </c>
    </row>
    <row r="714" spans="1:39">
      <c r="A714" s="662"/>
      <c r="B714" s="2103" t="s">
        <v>357</v>
      </c>
      <c r="C714" s="2104"/>
      <c r="D714" s="2124">
        <f t="shared" si="59"/>
        <v>0</v>
      </c>
      <c r="E714" s="2126"/>
      <c r="F714" s="2114"/>
      <c r="G714" s="2126"/>
      <c r="H714" s="2114"/>
      <c r="I714" s="2125">
        <f t="shared" si="60"/>
        <v>0</v>
      </c>
      <c r="J714" s="2114"/>
      <c r="K714" s="2126"/>
      <c r="L714" s="2114"/>
      <c r="M714" s="2127">
        <f t="shared" si="62"/>
        <v>0</v>
      </c>
    </row>
    <row r="715" spans="1:39" ht="13.5" customHeight="1">
      <c r="A715" s="662"/>
      <c r="B715" s="2110" t="s">
        <v>358</v>
      </c>
      <c r="C715" s="2104"/>
      <c r="D715" s="2124">
        <f t="shared" si="59"/>
        <v>0</v>
      </c>
      <c r="E715" s="2126"/>
      <c r="F715" s="2114"/>
      <c r="G715" s="2126"/>
      <c r="H715" s="2114"/>
      <c r="I715" s="2125">
        <f t="shared" si="60"/>
        <v>0</v>
      </c>
      <c r="J715" s="2114"/>
      <c r="K715" s="2126"/>
      <c r="L715" s="2114"/>
      <c r="M715" s="2127">
        <f t="shared" si="62"/>
        <v>0</v>
      </c>
    </row>
    <row r="716" spans="1:39">
      <c r="A716" s="662"/>
      <c r="B716" s="2103" t="s">
        <v>359</v>
      </c>
      <c r="C716" s="2104"/>
      <c r="D716" s="2124">
        <f t="shared" si="59"/>
        <v>55368.936276969049</v>
      </c>
      <c r="E716" s="2126"/>
      <c r="F716" s="2114">
        <v>-58666.178898357</v>
      </c>
      <c r="G716" s="2126">
        <v>112140.00755575967</v>
      </c>
      <c r="H716" s="2114">
        <v>1895.1076195663809</v>
      </c>
      <c r="I716" s="2125">
        <f t="shared" si="60"/>
        <v>55368.936276969049</v>
      </c>
      <c r="J716" s="2114"/>
      <c r="K716" s="2126"/>
      <c r="L716" s="2114"/>
      <c r="M716" s="2127">
        <f t="shared" si="62"/>
        <v>0</v>
      </c>
    </row>
    <row r="717" spans="1:39" ht="26.45">
      <c r="A717" s="662"/>
      <c r="B717" s="2110" t="s">
        <v>360</v>
      </c>
      <c r="C717" s="2104"/>
      <c r="D717" s="2124">
        <f t="shared" si="59"/>
        <v>0</v>
      </c>
      <c r="E717" s="2126"/>
      <c r="F717" s="2114"/>
      <c r="G717" s="2126"/>
      <c r="H717" s="2114"/>
      <c r="I717" s="2125">
        <f t="shared" si="60"/>
        <v>0</v>
      </c>
      <c r="J717" s="2114"/>
      <c r="K717" s="2126"/>
      <c r="L717" s="2114"/>
      <c r="M717" s="2127">
        <f t="shared" si="62"/>
        <v>0</v>
      </c>
    </row>
    <row r="718" spans="1:39" s="870" customFormat="1">
      <c r="A718" s="662"/>
      <c r="B718" s="2109" t="s">
        <v>361</v>
      </c>
      <c r="C718" s="2108"/>
      <c r="D718" s="2124">
        <f t="shared" si="59"/>
        <v>319410.65971696901</v>
      </c>
      <c r="E718" s="2126">
        <f>SUM(E712:E717)</f>
        <v>0</v>
      </c>
      <c r="F718" s="2114">
        <f>SUM(F712:F717)</f>
        <v>-33203.243312750041</v>
      </c>
      <c r="G718" s="2126">
        <f>SUM(G712:G717)</f>
        <v>321049.97777277202</v>
      </c>
      <c r="H718" s="2114">
        <f>SUM(H712:H717)</f>
        <v>31563.925256947041</v>
      </c>
      <c r="I718" s="2125">
        <f t="shared" si="60"/>
        <v>319410.65971696901</v>
      </c>
      <c r="J718" s="2114">
        <f>SUM(J712:J717)</f>
        <v>0</v>
      </c>
      <c r="K718" s="2126">
        <f>SUM(K712:K717)</f>
        <v>0</v>
      </c>
      <c r="L718" s="2114">
        <f>SUM(L712:L717)</f>
        <v>0</v>
      </c>
      <c r="M718" s="2127">
        <f t="shared" si="62"/>
        <v>0</v>
      </c>
      <c r="N718"/>
      <c r="O718"/>
      <c r="P718"/>
      <c r="Q718"/>
      <c r="R718"/>
      <c r="S718"/>
      <c r="T718"/>
      <c r="U718"/>
      <c r="V718"/>
      <c r="W718"/>
      <c r="X718"/>
      <c r="Y718"/>
      <c r="Z718"/>
      <c r="AA718"/>
      <c r="AB718"/>
      <c r="AC718"/>
      <c r="AD718"/>
      <c r="AE718"/>
      <c r="AF718"/>
      <c r="AG718"/>
      <c r="AH718"/>
      <c r="AI718"/>
      <c r="AJ718"/>
      <c r="AK718"/>
      <c r="AL718"/>
      <c r="AM718"/>
    </row>
    <row r="719" spans="1:39">
      <c r="A719" s="662"/>
      <c r="B719" s="2103"/>
      <c r="C719" s="2104"/>
      <c r="D719" s="2124">
        <f t="shared" si="59"/>
        <v>0</v>
      </c>
      <c r="E719" s="2126"/>
      <c r="F719" s="2114"/>
      <c r="G719" s="2126"/>
      <c r="H719" s="2114"/>
      <c r="I719" s="2125">
        <f t="shared" si="60"/>
        <v>0</v>
      </c>
      <c r="J719" s="2114"/>
      <c r="K719" s="2126"/>
      <c r="L719" s="2114"/>
      <c r="M719" s="2127">
        <f t="shared" si="62"/>
        <v>0</v>
      </c>
    </row>
    <row r="720" spans="1:39" ht="26.45">
      <c r="A720" s="662"/>
      <c r="B720" s="2110" t="s">
        <v>383</v>
      </c>
      <c r="C720" s="2104"/>
      <c r="D720" s="2124">
        <f t="shared" si="59"/>
        <v>109864.40286</v>
      </c>
      <c r="E720" s="2126"/>
      <c r="F720" s="2114">
        <v>2218.6644470710276</v>
      </c>
      <c r="G720" s="2126">
        <v>45093.581985613811</v>
      </c>
      <c r="H720" s="2114">
        <v>62552.15642731516</v>
      </c>
      <c r="I720" s="2125">
        <f t="shared" si="60"/>
        <v>109864.40286</v>
      </c>
      <c r="J720" s="2114"/>
      <c r="K720" s="2126"/>
      <c r="L720" s="2114"/>
      <c r="M720" s="2127">
        <f t="shared" si="62"/>
        <v>0</v>
      </c>
    </row>
    <row r="721" spans="1:39">
      <c r="A721" s="662"/>
      <c r="B721" s="2103"/>
      <c r="C721" s="2104"/>
      <c r="D721" s="2124">
        <f t="shared" si="59"/>
        <v>0</v>
      </c>
      <c r="E721" s="2126"/>
      <c r="F721" s="2114"/>
      <c r="G721" s="2126"/>
      <c r="H721" s="2114"/>
      <c r="I721" s="2125">
        <f t="shared" si="60"/>
        <v>0</v>
      </c>
      <c r="J721" s="2114"/>
      <c r="K721" s="2126"/>
      <c r="L721" s="2114"/>
      <c r="M721" s="2127">
        <f t="shared" si="62"/>
        <v>0</v>
      </c>
    </row>
    <row r="722" spans="1:39" ht="15.75" customHeight="1">
      <c r="A722" s="662"/>
      <c r="B722" s="2110" t="s">
        <v>363</v>
      </c>
      <c r="C722" s="2104">
        <v>4</v>
      </c>
      <c r="D722" s="2124">
        <f t="shared" si="59"/>
        <v>618476.82248999982</v>
      </c>
      <c r="E722" s="2126">
        <v>10127.937359999998</v>
      </c>
      <c r="F722" s="2114">
        <v>23144.60457678654</v>
      </c>
      <c r="G722" s="2126">
        <v>133551.27342109595</v>
      </c>
      <c r="H722" s="2114">
        <v>451653.0071321174</v>
      </c>
      <c r="I722" s="2125">
        <f t="shared" si="60"/>
        <v>608348.88512999984</v>
      </c>
      <c r="J722" s="2114"/>
      <c r="K722" s="2126"/>
      <c r="L722" s="2114"/>
      <c r="M722" s="2127">
        <f t="shared" si="62"/>
        <v>0</v>
      </c>
    </row>
    <row r="723" spans="1:39">
      <c r="A723" s="662"/>
      <c r="B723" s="2103" t="s">
        <v>364</v>
      </c>
      <c r="C723" s="2104"/>
      <c r="D723" s="2124">
        <f t="shared" si="59"/>
        <v>0</v>
      </c>
      <c r="E723" s="2126"/>
      <c r="F723" s="2114"/>
      <c r="G723" s="2126"/>
      <c r="H723" s="2114"/>
      <c r="I723" s="2125">
        <f t="shared" si="60"/>
        <v>0</v>
      </c>
      <c r="J723" s="2114"/>
      <c r="K723" s="2126"/>
      <c r="L723" s="2114"/>
      <c r="M723" s="2127">
        <f t="shared" si="62"/>
        <v>0</v>
      </c>
    </row>
    <row r="724" spans="1:39">
      <c r="A724" s="662"/>
      <c r="B724" s="2103" t="s">
        <v>365</v>
      </c>
      <c r="C724" s="2104"/>
      <c r="D724" s="2124">
        <f t="shared" si="59"/>
        <v>39415.648859999994</v>
      </c>
      <c r="E724" s="2126">
        <v>14764.871880000001</v>
      </c>
      <c r="F724" s="2114">
        <v>2329.0596900783589</v>
      </c>
      <c r="G724" s="2126">
        <v>4540.9421224590733</v>
      </c>
      <c r="H724" s="2114">
        <v>17780.775167462565</v>
      </c>
      <c r="I724" s="2125">
        <f t="shared" si="60"/>
        <v>24650.776979999995</v>
      </c>
      <c r="J724" s="2114"/>
      <c r="K724" s="2126"/>
      <c r="L724" s="2114"/>
      <c r="M724" s="2127">
        <f t="shared" si="62"/>
        <v>0</v>
      </c>
    </row>
    <row r="725" spans="1:39" s="870" customFormat="1">
      <c r="A725" s="662"/>
      <c r="B725" s="2109" t="s">
        <v>366</v>
      </c>
      <c r="C725" s="2108"/>
      <c r="D725" s="2124">
        <f t="shared" si="59"/>
        <v>657892.47134999989</v>
      </c>
      <c r="E725" s="2126">
        <f>SUM(E722:E724)</f>
        <v>24892.809239999999</v>
      </c>
      <c r="F725" s="2114">
        <f>SUM(F722:F724)</f>
        <v>25473.6642668649</v>
      </c>
      <c r="G725" s="2126">
        <f>SUM(G722:G724)</f>
        <v>138092.21554355501</v>
      </c>
      <c r="H725" s="2114">
        <f>SUM(H722:H724)</f>
        <v>469433.78229957999</v>
      </c>
      <c r="I725" s="2125">
        <f t="shared" si="60"/>
        <v>632999.66210999992</v>
      </c>
      <c r="J725" s="2114">
        <f>SUM(J722:J724)</f>
        <v>0</v>
      </c>
      <c r="K725" s="2126">
        <f>SUM(K722:K724)</f>
        <v>0</v>
      </c>
      <c r="L725" s="2114">
        <f>SUM(L722:L724)</f>
        <v>0</v>
      </c>
      <c r="M725" s="2127">
        <f t="shared" si="62"/>
        <v>0</v>
      </c>
      <c r="N725"/>
      <c r="O725"/>
      <c r="P725"/>
      <c r="Q725"/>
      <c r="R725"/>
      <c r="S725"/>
      <c r="T725"/>
      <c r="U725"/>
      <c r="V725"/>
      <c r="W725"/>
      <c r="X725"/>
      <c r="Y725"/>
      <c r="Z725"/>
      <c r="AA725"/>
      <c r="AB725"/>
      <c r="AC725"/>
      <c r="AD725"/>
      <c r="AE725"/>
      <c r="AF725"/>
      <c r="AG725"/>
      <c r="AH725"/>
      <c r="AI725"/>
      <c r="AJ725"/>
      <c r="AK725"/>
      <c r="AL725"/>
      <c r="AM725"/>
    </row>
    <row r="726" spans="1:39">
      <c r="A726" s="662"/>
      <c r="B726" s="2109"/>
      <c r="C726" s="2108"/>
      <c r="D726" s="2124">
        <f t="shared" si="59"/>
        <v>0</v>
      </c>
      <c r="E726" s="2126"/>
      <c r="F726" s="2114"/>
      <c r="G726" s="2126"/>
      <c r="H726" s="2114"/>
      <c r="I726" s="2125">
        <f t="shared" si="60"/>
        <v>0</v>
      </c>
      <c r="J726" s="2114"/>
      <c r="K726" s="2126"/>
      <c r="L726" s="2114"/>
      <c r="M726" s="2127">
        <f t="shared" si="62"/>
        <v>0</v>
      </c>
    </row>
    <row r="727" spans="1:39" s="870" customFormat="1">
      <c r="A727" s="662"/>
      <c r="B727" s="2109" t="s">
        <v>372</v>
      </c>
      <c r="C727" s="2108"/>
      <c r="D727" s="2124">
        <f t="shared" si="59"/>
        <v>139734.8285890595</v>
      </c>
      <c r="E727" s="2126">
        <f>E710-E718-E720-E725</f>
        <v>9367.5422830403368</v>
      </c>
      <c r="F727" s="2114">
        <f>F710-F718-F720-F725</f>
        <v>36684.925224375882</v>
      </c>
      <c r="G727" s="2126">
        <f>G710-G718-G720-G725</f>
        <v>101338.48734022051</v>
      </c>
      <c r="H727" s="2114">
        <f>H710-H718-H720-H725</f>
        <v>-7656.1262585772201</v>
      </c>
      <c r="I727" s="2125">
        <f t="shared" si="60"/>
        <v>130367.28630601917</v>
      </c>
      <c r="J727" s="2114">
        <f>J710-J718-J720-J725</f>
        <v>0</v>
      </c>
      <c r="K727" s="2126">
        <f>K710-K718-K720-K725</f>
        <v>0</v>
      </c>
      <c r="L727" s="2114">
        <f>L710-L718-L720-L725</f>
        <v>0</v>
      </c>
      <c r="M727" s="2127">
        <f t="shared" si="62"/>
        <v>0</v>
      </c>
      <c r="N727"/>
      <c r="O727"/>
      <c r="P727"/>
      <c r="Q727"/>
      <c r="R727"/>
      <c r="S727"/>
      <c r="T727"/>
      <c r="U727"/>
      <c r="V727"/>
      <c r="W727"/>
      <c r="X727"/>
      <c r="Y727"/>
      <c r="Z727"/>
      <c r="AA727"/>
      <c r="AB727"/>
      <c r="AC727"/>
      <c r="AD727"/>
      <c r="AE727"/>
      <c r="AF727"/>
      <c r="AG727"/>
      <c r="AH727"/>
      <c r="AI727"/>
      <c r="AJ727"/>
      <c r="AK727"/>
      <c r="AL727"/>
      <c r="AM727"/>
    </row>
    <row r="728" spans="1:39">
      <c r="A728" s="662"/>
      <c r="B728" s="2103" t="s">
        <v>368</v>
      </c>
      <c r="C728" s="2104"/>
      <c r="D728" s="2124">
        <f t="shared" si="59"/>
        <v>36613.508000000002</v>
      </c>
      <c r="E728" s="2126">
        <v>36613.508000000002</v>
      </c>
      <c r="F728" s="2114"/>
      <c r="G728" s="2126"/>
      <c r="H728" s="2114"/>
      <c r="I728" s="2125">
        <f t="shared" si="60"/>
        <v>0</v>
      </c>
      <c r="J728" s="2114"/>
      <c r="K728" s="2126"/>
      <c r="L728" s="2114"/>
      <c r="M728" s="2127">
        <f t="shared" si="62"/>
        <v>0</v>
      </c>
    </row>
    <row r="729" spans="1:39">
      <c r="A729" s="662"/>
      <c r="B729" s="2103"/>
      <c r="C729" s="2104"/>
      <c r="D729" s="2124">
        <f t="shared" si="59"/>
        <v>0</v>
      </c>
      <c r="E729" s="2126"/>
      <c r="F729" s="2114"/>
      <c r="G729" s="2126"/>
      <c r="H729" s="2114"/>
      <c r="I729" s="2125">
        <f t="shared" si="60"/>
        <v>0</v>
      </c>
      <c r="J729" s="2114"/>
      <c r="K729" s="2126"/>
      <c r="L729" s="2114"/>
      <c r="M729" s="2127">
        <f t="shared" si="62"/>
        <v>0</v>
      </c>
    </row>
    <row r="730" spans="1:39" s="870" customFormat="1" ht="15" thickBot="1">
      <c r="A730" s="662"/>
      <c r="B730" s="1338" t="s">
        <v>369</v>
      </c>
      <c r="C730" s="1339"/>
      <c r="D730" s="1350">
        <f t="shared" si="59"/>
        <v>103121.32058905951</v>
      </c>
      <c r="E730" s="1372">
        <f>E727-E728</f>
        <v>-27245.965716959665</v>
      </c>
      <c r="F730" s="1350">
        <f>F727-F728</f>
        <v>36684.925224375882</v>
      </c>
      <c r="G730" s="1372">
        <f>G727-G728</f>
        <v>101338.48734022051</v>
      </c>
      <c r="H730" s="1350">
        <f>H727-H728</f>
        <v>-7656.1262585772201</v>
      </c>
      <c r="I730" s="1372">
        <f t="shared" si="60"/>
        <v>130367.28630601917</v>
      </c>
      <c r="J730" s="1350">
        <f>J727-J728</f>
        <v>0</v>
      </c>
      <c r="K730" s="1372">
        <f>K727-K728</f>
        <v>0</v>
      </c>
      <c r="L730" s="1350">
        <f>L727-L728</f>
        <v>0</v>
      </c>
      <c r="M730" s="1373">
        <f t="shared" si="62"/>
        <v>0</v>
      </c>
      <c r="N730"/>
      <c r="O730"/>
      <c r="P730"/>
      <c r="Q730"/>
      <c r="R730"/>
      <c r="S730"/>
      <c r="T730"/>
      <c r="U730"/>
      <c r="V730"/>
      <c r="W730"/>
      <c r="X730"/>
      <c r="Y730"/>
      <c r="Z730"/>
      <c r="AA730"/>
      <c r="AB730"/>
      <c r="AC730"/>
      <c r="AD730"/>
      <c r="AE730"/>
      <c r="AF730"/>
      <c r="AG730"/>
      <c r="AH730"/>
      <c r="AI730"/>
      <c r="AJ730"/>
      <c r="AK730"/>
      <c r="AL730"/>
      <c r="AM730"/>
    </row>
    <row r="731" spans="1:39">
      <c r="A731" s="662"/>
      <c r="B731" s="662"/>
      <c r="C731" s="662"/>
      <c r="D731" s="670"/>
      <c r="E731" s="670"/>
      <c r="F731" s="670"/>
      <c r="G731" s="670"/>
      <c r="H731" s="670"/>
      <c r="I731" s="670"/>
      <c r="J731" s="662"/>
      <c r="K731" s="662"/>
      <c r="L731" s="662"/>
      <c r="M731" s="662"/>
    </row>
    <row r="732" spans="1:39">
      <c r="A732" s="662"/>
      <c r="B732" s="662"/>
      <c r="C732" s="662"/>
      <c r="D732" s="662"/>
      <c r="E732" s="662"/>
      <c r="F732" s="662"/>
      <c r="G732" s="662"/>
      <c r="H732" s="662"/>
      <c r="I732" s="662"/>
      <c r="J732" s="662"/>
      <c r="K732" s="662"/>
      <c r="L732" s="662"/>
    </row>
    <row r="733" spans="1:39">
      <c r="B733"/>
      <c r="C733"/>
      <c r="D733"/>
      <c r="E733"/>
      <c r="F733"/>
      <c r="G733"/>
      <c r="H733"/>
      <c r="I733"/>
      <c r="J733"/>
      <c r="K733"/>
      <c r="L733"/>
      <c r="M733"/>
    </row>
    <row r="734" spans="1:39" ht="15" thickBot="1"/>
    <row r="735" spans="1:39" ht="15" thickBot="1">
      <c r="A735" s="1361" t="s">
        <v>197</v>
      </c>
      <c r="B735" s="1153" t="s">
        <v>117</v>
      </c>
      <c r="C735" s="873"/>
      <c r="D735" s="662"/>
      <c r="E735" s="662"/>
      <c r="F735" s="662"/>
      <c r="G735" s="662"/>
      <c r="H735" s="662"/>
      <c r="I735" s="662"/>
      <c r="J735" s="662"/>
      <c r="K735" s="662"/>
      <c r="L735" s="3292"/>
      <c r="M735" s="3292"/>
    </row>
    <row r="736" spans="1:39" ht="17.25" customHeight="1" thickBot="1">
      <c r="A736" s="662"/>
      <c r="B736" s="3331" t="s">
        <v>117</v>
      </c>
      <c r="C736" s="3280" t="s">
        <v>334</v>
      </c>
      <c r="D736" s="3283" t="s">
        <v>260</v>
      </c>
      <c r="E736" s="3283" t="s">
        <v>335</v>
      </c>
      <c r="F736" s="3335" t="s">
        <v>263</v>
      </c>
      <c r="G736" s="3335"/>
      <c r="H736" s="3335"/>
      <c r="I736" s="3335"/>
      <c r="J736" s="3335"/>
      <c r="K736" s="3335"/>
      <c r="L736" s="3335"/>
      <c r="M736" s="3335"/>
    </row>
    <row r="737" spans="1:39" ht="17.25" customHeight="1" thickBot="1">
      <c r="A737" s="662"/>
      <c r="B737" s="3327"/>
      <c r="C737" s="3281"/>
      <c r="D737" s="3284"/>
      <c r="E737" s="3284"/>
      <c r="F737" s="3332" t="s">
        <v>264</v>
      </c>
      <c r="G737" s="3333"/>
      <c r="H737" s="3333"/>
      <c r="I737" s="3334"/>
      <c r="J737" s="3335" t="s">
        <v>336</v>
      </c>
      <c r="K737" s="3335"/>
      <c r="L737" s="3335"/>
      <c r="M737" s="3335"/>
    </row>
    <row r="738" spans="1:39" ht="66.599999999999994" thickBot="1">
      <c r="A738" s="662"/>
      <c r="B738" s="3327"/>
      <c r="C738" s="3281"/>
      <c r="D738" s="3285"/>
      <c r="E738" s="3285"/>
      <c r="F738" s="2963" t="s">
        <v>267</v>
      </c>
      <c r="G738" s="2963" t="s">
        <v>268</v>
      </c>
      <c r="H738" s="2963" t="s">
        <v>269</v>
      </c>
      <c r="I738" s="2963" t="s">
        <v>160</v>
      </c>
      <c r="J738" s="2964" t="s">
        <v>337</v>
      </c>
      <c r="K738" s="2964" t="s">
        <v>271</v>
      </c>
      <c r="L738" s="2964" t="s">
        <v>338</v>
      </c>
      <c r="M738" s="2964" t="s">
        <v>160</v>
      </c>
    </row>
    <row r="739" spans="1:39" ht="17.25" customHeight="1" thickBot="1">
      <c r="A739" s="662"/>
      <c r="B739" s="3327"/>
      <c r="C739" s="3281"/>
      <c r="D739" s="2972">
        <v>1</v>
      </c>
      <c r="E739" s="3283">
        <v>2</v>
      </c>
      <c r="F739" s="3283">
        <v>3</v>
      </c>
      <c r="G739" s="3283">
        <v>4</v>
      </c>
      <c r="H739" s="3283"/>
      <c r="I739" s="2972">
        <v>6</v>
      </c>
      <c r="J739" s="3283">
        <v>7</v>
      </c>
      <c r="K739" s="3283">
        <v>8</v>
      </c>
      <c r="L739" s="3283">
        <v>9</v>
      </c>
      <c r="M739" s="2972">
        <v>10</v>
      </c>
    </row>
    <row r="740" spans="1:39" ht="15" thickBot="1">
      <c r="A740" s="662"/>
      <c r="B740" s="3328"/>
      <c r="C740" s="3282"/>
      <c r="D740" s="1327" t="s">
        <v>339</v>
      </c>
      <c r="E740" s="3285"/>
      <c r="F740" s="3285"/>
      <c r="G740" s="3285"/>
      <c r="H740" s="3285">
        <v>5</v>
      </c>
      <c r="I740" s="1327" t="s">
        <v>340</v>
      </c>
      <c r="J740" s="3285"/>
      <c r="K740" s="3285"/>
      <c r="L740" s="3285"/>
      <c r="M740" s="1327" t="s">
        <v>341</v>
      </c>
    </row>
    <row r="741" spans="1:39">
      <c r="A741" s="662"/>
      <c r="B741" s="1328" t="s">
        <v>342</v>
      </c>
      <c r="C741" s="885"/>
      <c r="D741" s="1329">
        <f t="shared" ref="D741:D778" si="63">E741+I741+M741</f>
        <v>15406161</v>
      </c>
      <c r="E741" s="887"/>
      <c r="F741" s="886">
        <v>310113</v>
      </c>
      <c r="G741" s="887">
        <v>3629337</v>
      </c>
      <c r="H741" s="886">
        <v>11455471</v>
      </c>
      <c r="I741" s="1332">
        <f t="shared" ref="I741:I778" si="64">F741+G741+H741</f>
        <v>15394921</v>
      </c>
      <c r="J741" s="886">
        <v>11240</v>
      </c>
      <c r="K741" s="887"/>
      <c r="L741" s="886"/>
      <c r="M741" s="1335">
        <f t="shared" ref="M741:M758" si="65">L741+K741+J741</f>
        <v>11240</v>
      </c>
    </row>
    <row r="742" spans="1:39">
      <c r="A742" s="662"/>
      <c r="B742" s="2103"/>
      <c r="C742" s="2104"/>
      <c r="D742" s="2124">
        <f t="shared" si="63"/>
        <v>0</v>
      </c>
      <c r="E742" s="2126"/>
      <c r="F742" s="2114"/>
      <c r="G742" s="2126"/>
      <c r="H742" s="2114"/>
      <c r="I742" s="2125">
        <f t="shared" si="64"/>
        <v>0</v>
      </c>
      <c r="J742" s="2114"/>
      <c r="K742" s="2126"/>
      <c r="L742" s="2114"/>
      <c r="M742" s="2127">
        <f t="shared" si="65"/>
        <v>0</v>
      </c>
    </row>
    <row r="743" spans="1:39">
      <c r="A743" s="662"/>
      <c r="B743" s="2105" t="s">
        <v>343</v>
      </c>
      <c r="C743" s="2104"/>
      <c r="D743" s="2124">
        <f t="shared" si="63"/>
        <v>725809</v>
      </c>
      <c r="E743" s="2126"/>
      <c r="F743" s="2114">
        <v>13365</v>
      </c>
      <c r="G743" s="2126">
        <v>676655</v>
      </c>
      <c r="H743" s="2114">
        <v>34963</v>
      </c>
      <c r="I743" s="2125">
        <f t="shared" si="64"/>
        <v>724983</v>
      </c>
      <c r="J743" s="2114">
        <v>826</v>
      </c>
      <c r="K743" s="2126"/>
      <c r="L743" s="2114"/>
      <c r="M743" s="2127">
        <f t="shared" si="65"/>
        <v>826</v>
      </c>
    </row>
    <row r="744" spans="1:39">
      <c r="A744" s="662"/>
      <c r="B744" s="2105"/>
      <c r="C744" s="2104"/>
      <c r="D744" s="2124">
        <f t="shared" si="63"/>
        <v>0</v>
      </c>
      <c r="E744" s="2126"/>
      <c r="F744" s="2114"/>
      <c r="G744" s="2126"/>
      <c r="H744" s="2114"/>
      <c r="I744" s="2125">
        <f t="shared" si="64"/>
        <v>0</v>
      </c>
      <c r="J744" s="2114"/>
      <c r="K744" s="2126"/>
      <c r="L744" s="2114"/>
      <c r="M744" s="2127">
        <f t="shared" si="65"/>
        <v>0</v>
      </c>
    </row>
    <row r="745" spans="1:39" ht="14.25" customHeight="1">
      <c r="A745" s="662"/>
      <c r="B745" s="2106" t="s">
        <v>344</v>
      </c>
      <c r="C745" s="2104"/>
      <c r="D745" s="2124">
        <f t="shared" si="63"/>
        <v>0</v>
      </c>
      <c r="E745" s="2126"/>
      <c r="F745" s="2114"/>
      <c r="G745" s="2126"/>
      <c r="H745" s="2114"/>
      <c r="I745" s="2125">
        <f t="shared" si="64"/>
        <v>0</v>
      </c>
      <c r="J745" s="2114"/>
      <c r="K745" s="2126"/>
      <c r="L745" s="2114"/>
      <c r="M745" s="2127">
        <f t="shared" si="65"/>
        <v>0</v>
      </c>
    </row>
    <row r="746" spans="1:39">
      <c r="A746" s="662"/>
      <c r="B746" s="2103"/>
      <c r="C746" s="2104"/>
      <c r="D746" s="2124">
        <f t="shared" si="63"/>
        <v>0</v>
      </c>
      <c r="E746" s="2126"/>
      <c r="F746" s="2114"/>
      <c r="G746" s="2126"/>
      <c r="H746" s="2114"/>
      <c r="I746" s="2125">
        <f t="shared" si="64"/>
        <v>0</v>
      </c>
      <c r="J746" s="2114"/>
      <c r="K746" s="2126"/>
      <c r="L746" s="2114"/>
      <c r="M746" s="2127">
        <f t="shared" si="65"/>
        <v>0</v>
      </c>
    </row>
    <row r="747" spans="1:39" s="870" customFormat="1">
      <c r="A747" s="662"/>
      <c r="B747" s="2107" t="s">
        <v>345</v>
      </c>
      <c r="C747" s="2108"/>
      <c r="D747" s="2124">
        <f t="shared" si="63"/>
        <v>14680352</v>
      </c>
      <c r="E747" s="2126">
        <f>E741-E743+E745</f>
        <v>0</v>
      </c>
      <c r="F747" s="2114">
        <f>F741-F743+F745</f>
        <v>296748</v>
      </c>
      <c r="G747" s="2126">
        <f>G741-G743+G745</f>
        <v>2952682</v>
      </c>
      <c r="H747" s="2114">
        <f>H741-H743+H745</f>
        <v>11420508</v>
      </c>
      <c r="I747" s="2125">
        <f t="shared" si="64"/>
        <v>14669938</v>
      </c>
      <c r="J747" s="2114">
        <f>J741-J743+J745</f>
        <v>10414</v>
      </c>
      <c r="K747" s="2126">
        <f>K741-K743+K745</f>
        <v>0</v>
      </c>
      <c r="L747" s="2114">
        <f>L741-L743+L745</f>
        <v>0</v>
      </c>
      <c r="M747" s="2127">
        <f t="shared" si="65"/>
        <v>10414</v>
      </c>
      <c r="N747"/>
      <c r="O747"/>
      <c r="P747"/>
      <c r="Q747"/>
      <c r="R747"/>
      <c r="S747"/>
      <c r="T747"/>
      <c r="U747"/>
      <c r="V747"/>
      <c r="W747"/>
      <c r="X747"/>
      <c r="Y747"/>
      <c r="Z747"/>
      <c r="AA747"/>
      <c r="AB747"/>
      <c r="AC747"/>
      <c r="AD747"/>
      <c r="AE747"/>
      <c r="AF747"/>
      <c r="AG747"/>
      <c r="AH747"/>
      <c r="AI747"/>
      <c r="AJ747"/>
      <c r="AK747"/>
      <c r="AL747"/>
      <c r="AM747"/>
    </row>
    <row r="748" spans="1:39">
      <c r="A748" s="662"/>
      <c r="B748" s="2107"/>
      <c r="C748" s="2108"/>
      <c r="D748" s="2124">
        <f t="shared" si="63"/>
        <v>0</v>
      </c>
      <c r="E748" s="2126"/>
      <c r="F748" s="2114"/>
      <c r="G748" s="2126"/>
      <c r="H748" s="2114"/>
      <c r="I748" s="2125">
        <f t="shared" si="64"/>
        <v>0</v>
      </c>
      <c r="J748" s="2114"/>
      <c r="K748" s="2126"/>
      <c r="L748" s="2114"/>
      <c r="M748" s="2127">
        <f t="shared" si="65"/>
        <v>0</v>
      </c>
    </row>
    <row r="749" spans="1:39" s="870" customFormat="1">
      <c r="A749" s="662"/>
      <c r="B749" s="2107" t="s">
        <v>346</v>
      </c>
      <c r="C749" s="2108"/>
      <c r="D749" s="2124">
        <f>E749+I749+M749</f>
        <v>6133426</v>
      </c>
      <c r="E749" s="2126">
        <f>SUM(E750:E754)</f>
        <v>1100239</v>
      </c>
      <c r="F749" s="2114">
        <f>SUM(F750:F754)</f>
        <v>1077546</v>
      </c>
      <c r="G749" s="2126">
        <f>SUM(G750:G754)</f>
        <v>652277</v>
      </c>
      <c r="H749" s="2114">
        <f>SUM(H750:H754)</f>
        <v>3144960</v>
      </c>
      <c r="I749" s="2125">
        <f t="shared" si="64"/>
        <v>4874783</v>
      </c>
      <c r="J749" s="2114">
        <f>SUM(J750:J754)</f>
        <v>70992</v>
      </c>
      <c r="K749" s="2126">
        <f>SUM(K750:K754)</f>
        <v>0</v>
      </c>
      <c r="L749" s="2114">
        <f>SUM(L750:L754)</f>
        <v>87412</v>
      </c>
      <c r="M749" s="2127">
        <f t="shared" si="65"/>
        <v>158404</v>
      </c>
      <c r="N749"/>
      <c r="O749"/>
      <c r="P749"/>
      <c r="Q749"/>
      <c r="R749"/>
      <c r="S749"/>
      <c r="T749"/>
      <c r="U749"/>
      <c r="V749"/>
      <c r="W749"/>
      <c r="X749"/>
      <c r="Y749"/>
      <c r="Z749"/>
      <c r="AA749"/>
      <c r="AB749"/>
      <c r="AC749"/>
      <c r="AD749"/>
      <c r="AE749"/>
      <c r="AF749"/>
      <c r="AG749"/>
      <c r="AH749"/>
      <c r="AI749"/>
      <c r="AJ749"/>
      <c r="AK749"/>
      <c r="AL749"/>
      <c r="AM749"/>
    </row>
    <row r="750" spans="1:39">
      <c r="A750" s="662"/>
      <c r="B750" s="2103" t="s">
        <v>347</v>
      </c>
      <c r="C750" s="2104">
        <v>1</v>
      </c>
      <c r="D750" s="2124">
        <f t="shared" si="63"/>
        <v>4999295</v>
      </c>
      <c r="E750" s="2126">
        <v>878590</v>
      </c>
      <c r="F750" s="2114">
        <v>897948</v>
      </c>
      <c r="G750" s="2126">
        <v>561656</v>
      </c>
      <c r="H750" s="2114">
        <v>2609849</v>
      </c>
      <c r="I750" s="2125">
        <f t="shared" si="64"/>
        <v>4069453</v>
      </c>
      <c r="J750" s="2114">
        <v>14281</v>
      </c>
      <c r="K750" s="2126"/>
      <c r="L750" s="2114">
        <v>36971</v>
      </c>
      <c r="M750" s="2127">
        <f t="shared" si="65"/>
        <v>51252</v>
      </c>
    </row>
    <row r="751" spans="1:39">
      <c r="A751" s="662"/>
      <c r="B751" s="2103" t="s">
        <v>348</v>
      </c>
      <c r="C751" s="2104">
        <v>2</v>
      </c>
      <c r="D751" s="2124">
        <f t="shared" si="63"/>
        <v>0</v>
      </c>
      <c r="E751" s="2126">
        <v>0</v>
      </c>
      <c r="F751" s="2114">
        <v>0</v>
      </c>
      <c r="G751" s="2126">
        <v>0</v>
      </c>
      <c r="H751" s="2114">
        <v>0</v>
      </c>
      <c r="I751" s="2125">
        <f t="shared" si="64"/>
        <v>0</v>
      </c>
      <c r="J751" s="2114">
        <v>0</v>
      </c>
      <c r="K751" s="2126"/>
      <c r="L751" s="2114">
        <v>0</v>
      </c>
      <c r="M751" s="2127">
        <f t="shared" si="65"/>
        <v>0</v>
      </c>
    </row>
    <row r="752" spans="1:39">
      <c r="A752" s="662"/>
      <c r="B752" s="2103" t="s">
        <v>349</v>
      </c>
      <c r="C752" s="2104"/>
      <c r="D752" s="2124">
        <f t="shared" si="63"/>
        <v>431225</v>
      </c>
      <c r="E752" s="2126">
        <v>55125</v>
      </c>
      <c r="F752" s="2114">
        <v>122152</v>
      </c>
      <c r="G752" s="2126">
        <v>49508</v>
      </c>
      <c r="H752" s="2114">
        <v>141950</v>
      </c>
      <c r="I752" s="2125">
        <f t="shared" si="64"/>
        <v>313610</v>
      </c>
      <c r="J752" s="2114">
        <v>26154</v>
      </c>
      <c r="K752" s="2126"/>
      <c r="L752" s="2114">
        <v>36336</v>
      </c>
      <c r="M752" s="2127">
        <f t="shared" si="65"/>
        <v>62490</v>
      </c>
    </row>
    <row r="753" spans="1:39">
      <c r="A753" s="662"/>
      <c r="B753" s="2103" t="s">
        <v>350</v>
      </c>
      <c r="C753" s="2104"/>
      <c r="D753" s="2124">
        <f t="shared" si="63"/>
        <v>235848</v>
      </c>
      <c r="E753" s="2126">
        <v>3829</v>
      </c>
      <c r="F753" s="2114">
        <v>32056</v>
      </c>
      <c r="G753" s="2126">
        <v>21920</v>
      </c>
      <c r="H753" s="2114">
        <v>164467</v>
      </c>
      <c r="I753" s="2125">
        <f t="shared" si="64"/>
        <v>218443</v>
      </c>
      <c r="J753" s="2114">
        <v>-529</v>
      </c>
      <c r="K753" s="2126"/>
      <c r="L753" s="2114">
        <v>14105</v>
      </c>
      <c r="M753" s="2127">
        <f t="shared" si="65"/>
        <v>13576</v>
      </c>
    </row>
    <row r="754" spans="1:39">
      <c r="A754" s="662"/>
      <c r="B754" s="2103" t="s">
        <v>351</v>
      </c>
      <c r="C754" s="2104">
        <v>3</v>
      </c>
      <c r="D754" s="2124">
        <f t="shared" si="63"/>
        <v>467058</v>
      </c>
      <c r="E754" s="2126">
        <v>162695</v>
      </c>
      <c r="F754" s="2114">
        <v>25390</v>
      </c>
      <c r="G754" s="2126">
        <v>19193</v>
      </c>
      <c r="H754" s="2114">
        <v>228694</v>
      </c>
      <c r="I754" s="2125">
        <f t="shared" si="64"/>
        <v>273277</v>
      </c>
      <c r="J754" s="2114">
        <v>31086</v>
      </c>
      <c r="K754" s="2126"/>
      <c r="L754" s="2114"/>
      <c r="M754" s="2127">
        <f t="shared" si="65"/>
        <v>31086</v>
      </c>
    </row>
    <row r="755" spans="1:39">
      <c r="A755" s="662"/>
      <c r="B755" s="2103" t="s">
        <v>353</v>
      </c>
      <c r="C755" s="2104"/>
      <c r="D755" s="2124">
        <f t="shared" si="63"/>
        <v>0</v>
      </c>
      <c r="E755" s="2126"/>
      <c r="F755" s="2114"/>
      <c r="G755" s="2126"/>
      <c r="H755" s="2114"/>
      <c r="I755" s="2125">
        <f t="shared" si="64"/>
        <v>0</v>
      </c>
      <c r="J755" s="2114"/>
      <c r="K755" s="2126"/>
      <c r="L755" s="2114"/>
      <c r="M755" s="2127">
        <f t="shared" si="65"/>
        <v>0</v>
      </c>
    </row>
    <row r="756" spans="1:39">
      <c r="A756" s="662"/>
      <c r="B756" s="2103" t="s">
        <v>353</v>
      </c>
      <c r="C756" s="2104"/>
      <c r="D756" s="2124">
        <f t="shared" si="63"/>
        <v>0</v>
      </c>
      <c r="E756" s="2126"/>
      <c r="F756" s="2114"/>
      <c r="G756" s="2126"/>
      <c r="H756" s="2114"/>
      <c r="I756" s="2125">
        <f t="shared" si="64"/>
        <v>0</v>
      </c>
      <c r="J756" s="2114"/>
      <c r="K756" s="2126"/>
      <c r="L756" s="2114"/>
      <c r="M756" s="2127">
        <f t="shared" si="65"/>
        <v>0</v>
      </c>
    </row>
    <row r="757" spans="1:39">
      <c r="A757" s="662"/>
      <c r="B757" s="2103"/>
      <c r="C757" s="2104"/>
      <c r="D757" s="2124">
        <f t="shared" si="63"/>
        <v>0</v>
      </c>
      <c r="E757" s="2126"/>
      <c r="F757" s="2114"/>
      <c r="G757" s="2126"/>
      <c r="H757" s="2114"/>
      <c r="I757" s="2125">
        <f t="shared" si="64"/>
        <v>0</v>
      </c>
      <c r="J757" s="2114"/>
      <c r="K757" s="2126"/>
      <c r="L757" s="2114"/>
      <c r="M757" s="2127">
        <f t="shared" si="65"/>
        <v>0</v>
      </c>
    </row>
    <row r="758" spans="1:39" s="870" customFormat="1">
      <c r="A758" s="662"/>
      <c r="B758" s="2109" t="s">
        <v>354</v>
      </c>
      <c r="C758" s="2108"/>
      <c r="D758" s="2124">
        <f t="shared" si="63"/>
        <v>20813778</v>
      </c>
      <c r="E758" s="2126">
        <f>E747+E749</f>
        <v>1100239</v>
      </c>
      <c r="F758" s="2114">
        <f>F747+F749</f>
        <v>1374294</v>
      </c>
      <c r="G758" s="2126">
        <f>G747+G749</f>
        <v>3604959</v>
      </c>
      <c r="H758" s="2114">
        <f>H747+H749</f>
        <v>14565468</v>
      </c>
      <c r="I758" s="2125">
        <f t="shared" si="64"/>
        <v>19544721</v>
      </c>
      <c r="J758" s="2114">
        <f>J747+J749</f>
        <v>81406</v>
      </c>
      <c r="K758" s="2126">
        <f>K747+K749</f>
        <v>0</v>
      </c>
      <c r="L758" s="2114">
        <f>L747+L749</f>
        <v>87412</v>
      </c>
      <c r="M758" s="2127">
        <f t="shared" si="65"/>
        <v>168818</v>
      </c>
      <c r="N758"/>
      <c r="O758"/>
      <c r="P758"/>
      <c r="Q758"/>
      <c r="R758"/>
      <c r="S758"/>
      <c r="T758"/>
      <c r="U758"/>
      <c r="V758"/>
      <c r="W758"/>
      <c r="X758"/>
      <c r="Y758"/>
      <c r="Z758"/>
      <c r="AA758"/>
      <c r="AB758"/>
      <c r="AC758"/>
      <c r="AD758"/>
      <c r="AE758"/>
      <c r="AF758"/>
      <c r="AG758"/>
      <c r="AH758"/>
      <c r="AI758"/>
      <c r="AJ758"/>
      <c r="AK758"/>
      <c r="AL758"/>
      <c r="AM758"/>
    </row>
    <row r="759" spans="1:39">
      <c r="A759" s="662"/>
      <c r="B759" s="2109"/>
      <c r="C759" s="2108"/>
      <c r="D759" s="2124">
        <f t="shared" si="63"/>
        <v>0</v>
      </c>
      <c r="E759" s="2126"/>
      <c r="F759" s="2114"/>
      <c r="G759" s="2126"/>
      <c r="H759" s="2114"/>
      <c r="I759" s="2125">
        <f t="shared" si="64"/>
        <v>0</v>
      </c>
      <c r="J759" s="2114"/>
      <c r="K759" s="2126"/>
      <c r="L759" s="2114"/>
      <c r="M759" s="2127"/>
    </row>
    <row r="760" spans="1:39">
      <c r="A760" s="662"/>
      <c r="B760" s="2103" t="s">
        <v>355</v>
      </c>
      <c r="C760" s="2104"/>
      <c r="D760" s="2124">
        <f t="shared" si="63"/>
        <v>5014303</v>
      </c>
      <c r="E760" s="2126">
        <v>0</v>
      </c>
      <c r="F760" s="2114">
        <v>1598604</v>
      </c>
      <c r="G760" s="2126">
        <v>1240371</v>
      </c>
      <c r="H760" s="2114">
        <v>2233444</v>
      </c>
      <c r="I760" s="2125">
        <f t="shared" si="64"/>
        <v>5072419</v>
      </c>
      <c r="J760" s="2114">
        <v>-58116</v>
      </c>
      <c r="K760" s="2126"/>
      <c r="L760" s="2114"/>
      <c r="M760" s="2127">
        <f t="shared" ref="M760:M778" si="66">L760+K760+J760</f>
        <v>-58116</v>
      </c>
    </row>
    <row r="761" spans="1:39">
      <c r="A761" s="662"/>
      <c r="B761" s="2103" t="s">
        <v>356</v>
      </c>
      <c r="C761" s="2104"/>
      <c r="D761" s="2124">
        <f t="shared" si="63"/>
        <v>-12365</v>
      </c>
      <c r="E761" s="2126">
        <v>0</v>
      </c>
      <c r="F761" s="2114">
        <v>-1</v>
      </c>
      <c r="G761" s="2126">
        <v>-1811</v>
      </c>
      <c r="H761" s="2114">
        <v>-10553</v>
      </c>
      <c r="I761" s="2125">
        <f t="shared" si="64"/>
        <v>-12365</v>
      </c>
      <c r="J761" s="2114">
        <v>0</v>
      </c>
      <c r="K761" s="2126"/>
      <c r="L761" s="2114"/>
      <c r="M761" s="2127">
        <f t="shared" si="66"/>
        <v>0</v>
      </c>
    </row>
    <row r="762" spans="1:39">
      <c r="A762" s="662"/>
      <c r="B762" s="2103" t="s">
        <v>357</v>
      </c>
      <c r="C762" s="2104"/>
      <c r="D762" s="2124">
        <f t="shared" si="63"/>
        <v>85044</v>
      </c>
      <c r="E762" s="2126">
        <v>0</v>
      </c>
      <c r="F762" s="2114">
        <v>37434</v>
      </c>
      <c r="G762" s="2126">
        <v>557313</v>
      </c>
      <c r="H762" s="2114">
        <v>-570996</v>
      </c>
      <c r="I762" s="2125">
        <f t="shared" si="64"/>
        <v>23751</v>
      </c>
      <c r="J762" s="2114">
        <v>61293</v>
      </c>
      <c r="K762" s="2126"/>
      <c r="L762" s="2114"/>
      <c r="M762" s="2127">
        <f t="shared" si="66"/>
        <v>61293</v>
      </c>
    </row>
    <row r="763" spans="1:39" ht="13.5" customHeight="1">
      <c r="A763" s="662"/>
      <c r="B763" s="2110" t="s">
        <v>358</v>
      </c>
      <c r="C763" s="2104"/>
      <c r="D763" s="2124">
        <f t="shared" si="63"/>
        <v>-477435</v>
      </c>
      <c r="E763" s="2126">
        <v>0</v>
      </c>
      <c r="F763" s="2114">
        <v>-4569</v>
      </c>
      <c r="G763" s="2126">
        <v>-474663</v>
      </c>
      <c r="H763" s="2114">
        <v>2180</v>
      </c>
      <c r="I763" s="2125">
        <f t="shared" si="64"/>
        <v>-477052</v>
      </c>
      <c r="J763" s="2114">
        <v>-383</v>
      </c>
      <c r="K763" s="2126"/>
      <c r="L763" s="2114"/>
      <c r="M763" s="2127">
        <f t="shared" si="66"/>
        <v>-383</v>
      </c>
    </row>
    <row r="764" spans="1:39">
      <c r="A764" s="662"/>
      <c r="B764" s="2103" t="s">
        <v>359</v>
      </c>
      <c r="C764" s="2104"/>
      <c r="D764" s="2124">
        <f t="shared" si="63"/>
        <v>7076481</v>
      </c>
      <c r="E764" s="2126">
        <v>0</v>
      </c>
      <c r="F764" s="2114">
        <v>-329785</v>
      </c>
      <c r="G764" s="2126">
        <v>-280737</v>
      </c>
      <c r="H764" s="2114">
        <v>7535957</v>
      </c>
      <c r="I764" s="2125">
        <f t="shared" si="64"/>
        <v>6925435</v>
      </c>
      <c r="J764" s="2114">
        <v>63634</v>
      </c>
      <c r="K764" s="2126"/>
      <c r="L764" s="2114">
        <v>87412</v>
      </c>
      <c r="M764" s="2127">
        <f t="shared" si="66"/>
        <v>151046</v>
      </c>
    </row>
    <row r="765" spans="1:39" ht="26.45">
      <c r="A765" s="662"/>
      <c r="B765" s="2110" t="s">
        <v>360</v>
      </c>
      <c r="C765" s="2104"/>
      <c r="D765" s="2124">
        <f t="shared" si="63"/>
        <v>0</v>
      </c>
      <c r="E765" s="2126">
        <v>0</v>
      </c>
      <c r="F765" s="2114">
        <v>0</v>
      </c>
      <c r="G765" s="2126">
        <v>0</v>
      </c>
      <c r="H765" s="2114">
        <v>0</v>
      </c>
      <c r="I765" s="2125">
        <f t="shared" si="64"/>
        <v>0</v>
      </c>
      <c r="J765" s="2114"/>
      <c r="K765" s="2126"/>
      <c r="L765" s="2114"/>
      <c r="M765" s="2127">
        <f t="shared" si="66"/>
        <v>0</v>
      </c>
    </row>
    <row r="766" spans="1:39" s="870" customFormat="1">
      <c r="A766" s="662"/>
      <c r="B766" s="2109" t="s">
        <v>361</v>
      </c>
      <c r="C766" s="2108"/>
      <c r="D766" s="2124">
        <f t="shared" si="63"/>
        <v>11686028</v>
      </c>
      <c r="E766" s="2126">
        <f>SUM(E760:E765)</f>
        <v>0</v>
      </c>
      <c r="F766" s="2114">
        <f>SUM(F760:F765)</f>
        <v>1301683</v>
      </c>
      <c r="G766" s="2126">
        <f>SUM(G760:G765)</f>
        <v>1040473</v>
      </c>
      <c r="H766" s="2114">
        <f>SUM(H760:H765)</f>
        <v>9190032</v>
      </c>
      <c r="I766" s="2125">
        <f t="shared" si="64"/>
        <v>11532188</v>
      </c>
      <c r="J766" s="2114">
        <f>SUM(J760:J765)</f>
        <v>66428</v>
      </c>
      <c r="K766" s="2126">
        <f>SUM(K760:K765)</f>
        <v>0</v>
      </c>
      <c r="L766" s="2114">
        <f>SUM(L760:L765)</f>
        <v>87412</v>
      </c>
      <c r="M766" s="2127">
        <f t="shared" si="66"/>
        <v>153840</v>
      </c>
      <c r="N766"/>
      <c r="O766"/>
      <c r="P766"/>
      <c r="Q766"/>
      <c r="R766"/>
      <c r="S766"/>
      <c r="T766"/>
      <c r="U766"/>
      <c r="V766"/>
      <c r="W766"/>
      <c r="X766"/>
      <c r="Y766"/>
      <c r="Z766"/>
      <c r="AA766"/>
      <c r="AB766"/>
      <c r="AC766"/>
      <c r="AD766"/>
      <c r="AE766"/>
      <c r="AF766"/>
      <c r="AG766"/>
      <c r="AH766"/>
      <c r="AI766"/>
      <c r="AJ766"/>
      <c r="AK766"/>
      <c r="AL766"/>
      <c r="AM766"/>
    </row>
    <row r="767" spans="1:39">
      <c r="A767" s="662"/>
      <c r="B767" s="2103"/>
      <c r="C767" s="2104"/>
      <c r="D767" s="2124">
        <f t="shared" si="63"/>
        <v>0</v>
      </c>
      <c r="E767" s="2126"/>
      <c r="F767" s="2114"/>
      <c r="G767" s="2126"/>
      <c r="H767" s="2114"/>
      <c r="I767" s="2125">
        <f t="shared" si="64"/>
        <v>0</v>
      </c>
      <c r="J767" s="2114"/>
      <c r="K767" s="2126"/>
      <c r="L767" s="2114"/>
      <c r="M767" s="2127">
        <f t="shared" si="66"/>
        <v>0</v>
      </c>
    </row>
    <row r="768" spans="1:39" ht="26.45">
      <c r="A768" s="662"/>
      <c r="B768" s="2110" t="s">
        <v>362</v>
      </c>
      <c r="C768" s="2104"/>
      <c r="D768" s="2124">
        <f t="shared" si="63"/>
        <v>2844018</v>
      </c>
      <c r="E768" s="2126">
        <v>0</v>
      </c>
      <c r="F768" s="2114">
        <v>14381</v>
      </c>
      <c r="G768" s="2126">
        <v>707146</v>
      </c>
      <c r="H768" s="2114">
        <v>2122318</v>
      </c>
      <c r="I768" s="2125">
        <f t="shared" si="64"/>
        <v>2843845</v>
      </c>
      <c r="J768" s="2114">
        <v>173</v>
      </c>
      <c r="K768" s="2126"/>
      <c r="L768" s="2114"/>
      <c r="M768" s="2127">
        <f t="shared" si="66"/>
        <v>173</v>
      </c>
    </row>
    <row r="769" spans="1:39">
      <c r="A769" s="662"/>
      <c r="B769" s="2103"/>
      <c r="C769" s="2104"/>
      <c r="D769" s="2124">
        <f t="shared" si="63"/>
        <v>0</v>
      </c>
      <c r="E769" s="2126"/>
      <c r="F769" s="2114"/>
      <c r="G769" s="2126"/>
      <c r="H769" s="2114"/>
      <c r="I769" s="2125">
        <f t="shared" si="64"/>
        <v>0</v>
      </c>
      <c r="J769" s="2114"/>
      <c r="K769" s="2126"/>
      <c r="L769" s="2114"/>
      <c r="M769" s="2127">
        <f t="shared" si="66"/>
        <v>0</v>
      </c>
    </row>
    <row r="770" spans="1:39" ht="15.75" customHeight="1">
      <c r="A770" s="662"/>
      <c r="B770" s="2110" t="s">
        <v>363</v>
      </c>
      <c r="C770" s="2104">
        <v>4</v>
      </c>
      <c r="D770" s="2124">
        <f t="shared" si="63"/>
        <v>3656425</v>
      </c>
      <c r="E770" s="2126">
        <v>72932</v>
      </c>
      <c r="F770" s="2114">
        <v>45655</v>
      </c>
      <c r="G770" s="2126">
        <v>1068322</v>
      </c>
      <c r="H770" s="2114">
        <v>2454711</v>
      </c>
      <c r="I770" s="2125">
        <f t="shared" si="64"/>
        <v>3568688</v>
      </c>
      <c r="J770" s="2114">
        <v>14805</v>
      </c>
      <c r="K770" s="2126"/>
      <c r="L770" s="2114"/>
      <c r="M770" s="2127">
        <f t="shared" si="66"/>
        <v>14805</v>
      </c>
    </row>
    <row r="771" spans="1:39">
      <c r="A771" s="662"/>
      <c r="B771" s="2103" t="s">
        <v>364</v>
      </c>
      <c r="C771" s="2104"/>
      <c r="D771" s="2124">
        <f t="shared" si="63"/>
        <v>0</v>
      </c>
      <c r="E771" s="2126"/>
      <c r="F771" s="2114"/>
      <c r="G771" s="2126"/>
      <c r="H771" s="2114"/>
      <c r="I771" s="2125">
        <f t="shared" si="64"/>
        <v>0</v>
      </c>
      <c r="J771" s="2114"/>
      <c r="K771" s="2126"/>
      <c r="L771" s="2114"/>
      <c r="M771" s="2127">
        <f t="shared" si="66"/>
        <v>0</v>
      </c>
    </row>
    <row r="772" spans="1:39">
      <c r="A772" s="662"/>
      <c r="B772" s="2103" t="s">
        <v>365</v>
      </c>
      <c r="C772" s="2104"/>
      <c r="D772" s="2124">
        <f t="shared" si="63"/>
        <v>0</v>
      </c>
      <c r="E772" s="2126"/>
      <c r="F772" s="2114"/>
      <c r="G772" s="2126"/>
      <c r="H772" s="2114"/>
      <c r="I772" s="2125">
        <f t="shared" si="64"/>
        <v>0</v>
      </c>
      <c r="J772" s="2114"/>
      <c r="K772" s="2126"/>
      <c r="L772" s="2114"/>
      <c r="M772" s="2127">
        <f t="shared" si="66"/>
        <v>0</v>
      </c>
    </row>
    <row r="773" spans="1:39" s="870" customFormat="1">
      <c r="A773" s="662"/>
      <c r="B773" s="2109" t="s">
        <v>366</v>
      </c>
      <c r="C773" s="2108"/>
      <c r="D773" s="2124">
        <f t="shared" si="63"/>
        <v>3656425</v>
      </c>
      <c r="E773" s="2126">
        <f>SUM(E770:E772)</f>
        <v>72932</v>
      </c>
      <c r="F773" s="2114">
        <f>SUM(F770:F772)</f>
        <v>45655</v>
      </c>
      <c r="G773" s="2126">
        <f>SUM(G770:G772)</f>
        <v>1068322</v>
      </c>
      <c r="H773" s="2114">
        <f>SUM(H770:H772)</f>
        <v>2454711</v>
      </c>
      <c r="I773" s="2125">
        <f t="shared" si="64"/>
        <v>3568688</v>
      </c>
      <c r="J773" s="2114">
        <f>SUM(J770:J772)</f>
        <v>14805</v>
      </c>
      <c r="K773" s="2126">
        <f>SUM(K770:K772)</f>
        <v>0</v>
      </c>
      <c r="L773" s="2114">
        <f>SUM(L770:L772)</f>
        <v>0</v>
      </c>
      <c r="M773" s="2127">
        <f t="shared" si="66"/>
        <v>14805</v>
      </c>
      <c r="N773"/>
      <c r="O773"/>
      <c r="P773"/>
      <c r="Q773"/>
      <c r="R773"/>
      <c r="S773"/>
      <c r="T773"/>
      <c r="U773"/>
      <c r="V773"/>
      <c r="W773"/>
      <c r="X773"/>
      <c r="Y773"/>
      <c r="Z773"/>
      <c r="AA773"/>
      <c r="AB773"/>
      <c r="AC773"/>
      <c r="AD773"/>
      <c r="AE773"/>
      <c r="AF773"/>
      <c r="AG773"/>
      <c r="AH773"/>
      <c r="AI773"/>
      <c r="AJ773"/>
      <c r="AK773"/>
      <c r="AL773"/>
      <c r="AM773"/>
    </row>
    <row r="774" spans="1:39">
      <c r="A774" s="662"/>
      <c r="B774" s="2109"/>
      <c r="C774" s="2108"/>
      <c r="D774" s="2124">
        <f t="shared" si="63"/>
        <v>0</v>
      </c>
      <c r="E774" s="2126"/>
      <c r="F774" s="2114"/>
      <c r="G774" s="2126"/>
      <c r="H774" s="2114"/>
      <c r="I774" s="2125">
        <f t="shared" si="64"/>
        <v>0</v>
      </c>
      <c r="J774" s="2114"/>
      <c r="K774" s="2126"/>
      <c r="L774" s="2114"/>
      <c r="M774" s="2127">
        <f t="shared" si="66"/>
        <v>0</v>
      </c>
    </row>
    <row r="775" spans="1:39" s="870" customFormat="1">
      <c r="A775" s="662"/>
      <c r="B775" s="2109" t="s">
        <v>367</v>
      </c>
      <c r="C775" s="2108"/>
      <c r="D775" s="2124">
        <f t="shared" si="63"/>
        <v>2627307</v>
      </c>
      <c r="E775" s="2126">
        <f>E758-E766-E768-E773</f>
        <v>1027307</v>
      </c>
      <c r="F775" s="2114">
        <f>F758-F766-F768-F773</f>
        <v>12575</v>
      </c>
      <c r="G775" s="2126">
        <f>G758-G766-G768-G773</f>
        <v>789018</v>
      </c>
      <c r="H775" s="2114">
        <f>H758-H766-H768-H773</f>
        <v>798407</v>
      </c>
      <c r="I775" s="2125">
        <f t="shared" si="64"/>
        <v>1600000</v>
      </c>
      <c r="J775" s="2114">
        <f>J758-J766-J768-J773</f>
        <v>0</v>
      </c>
      <c r="K775" s="2126">
        <f>K758-K766-K768-K773</f>
        <v>0</v>
      </c>
      <c r="L775" s="2114">
        <f>L758-L766-L768-L773</f>
        <v>0</v>
      </c>
      <c r="M775" s="2127">
        <f t="shared" si="66"/>
        <v>0</v>
      </c>
      <c r="N775"/>
      <c r="O775"/>
      <c r="P775"/>
      <c r="Q775"/>
      <c r="R775"/>
      <c r="S775"/>
      <c r="T775"/>
      <c r="U775"/>
      <c r="V775"/>
      <c r="W775"/>
      <c r="X775"/>
      <c r="Y775"/>
      <c r="Z775"/>
      <c r="AA775"/>
      <c r="AB775"/>
      <c r="AC775"/>
      <c r="AD775"/>
      <c r="AE775"/>
      <c r="AF775"/>
      <c r="AG775"/>
      <c r="AH775"/>
      <c r="AI775"/>
      <c r="AJ775"/>
      <c r="AK775"/>
      <c r="AL775"/>
      <c r="AM775"/>
    </row>
    <row r="776" spans="1:39">
      <c r="A776" s="662"/>
      <c r="B776" s="2103" t="s">
        <v>368</v>
      </c>
      <c r="C776" s="2104"/>
      <c r="D776" s="2124">
        <f t="shared" si="63"/>
        <v>573722</v>
      </c>
      <c r="E776" s="2126">
        <v>573722</v>
      </c>
      <c r="F776" s="2114"/>
      <c r="G776" s="2126"/>
      <c r="H776" s="2114"/>
      <c r="I776" s="2125">
        <f t="shared" si="64"/>
        <v>0</v>
      </c>
      <c r="J776" s="2114"/>
      <c r="K776" s="2126"/>
      <c r="L776" s="2114"/>
      <c r="M776" s="2127">
        <f t="shared" si="66"/>
        <v>0</v>
      </c>
    </row>
    <row r="777" spans="1:39">
      <c r="A777" s="662"/>
      <c r="B777" s="2103"/>
      <c r="C777" s="2104"/>
      <c r="D777" s="2124">
        <f t="shared" si="63"/>
        <v>0</v>
      </c>
      <c r="E777" s="2126"/>
      <c r="F777" s="2114"/>
      <c r="G777" s="2126"/>
      <c r="H777" s="2114"/>
      <c r="I777" s="2125">
        <f t="shared" si="64"/>
        <v>0</v>
      </c>
      <c r="J777" s="2114"/>
      <c r="K777" s="2126"/>
      <c r="L777" s="2114"/>
      <c r="M777" s="2127">
        <f t="shared" si="66"/>
        <v>0</v>
      </c>
    </row>
    <row r="778" spans="1:39" s="870" customFormat="1" ht="15" thickBot="1">
      <c r="A778" s="662"/>
      <c r="B778" s="1338" t="s">
        <v>369</v>
      </c>
      <c r="C778" s="1339"/>
      <c r="D778" s="1350">
        <f t="shared" si="63"/>
        <v>2053585</v>
      </c>
      <c r="E778" s="1372">
        <f>E775-E776</f>
        <v>453585</v>
      </c>
      <c r="F778" s="1350">
        <f>F775-F776</f>
        <v>12575</v>
      </c>
      <c r="G778" s="1372">
        <f>G775-G776</f>
        <v>789018</v>
      </c>
      <c r="H778" s="1350">
        <f>H775-H776</f>
        <v>798407</v>
      </c>
      <c r="I778" s="1372">
        <f t="shared" si="64"/>
        <v>1600000</v>
      </c>
      <c r="J778" s="1350">
        <f>J775-J776</f>
        <v>0</v>
      </c>
      <c r="K778" s="1372">
        <f>K775-K776</f>
        <v>0</v>
      </c>
      <c r="L778" s="1350">
        <f>L775-L776</f>
        <v>0</v>
      </c>
      <c r="M778" s="1373">
        <f t="shared" si="66"/>
        <v>0</v>
      </c>
      <c r="N778"/>
      <c r="O778"/>
      <c r="P778"/>
      <c r="Q778"/>
      <c r="R778"/>
      <c r="S778"/>
      <c r="T778"/>
      <c r="U778"/>
      <c r="V778"/>
      <c r="W778"/>
      <c r="X778"/>
      <c r="Y778"/>
      <c r="Z778"/>
      <c r="AA778"/>
      <c r="AB778"/>
      <c r="AC778"/>
      <c r="AD778"/>
      <c r="AE778"/>
      <c r="AF778"/>
      <c r="AG778"/>
      <c r="AH778"/>
      <c r="AI778"/>
      <c r="AJ778"/>
      <c r="AK778"/>
      <c r="AL778"/>
      <c r="AM778"/>
    </row>
    <row r="779" spans="1:39">
      <c r="A779" s="662"/>
      <c r="B779" s="662"/>
      <c r="C779" s="662"/>
      <c r="D779" s="670"/>
      <c r="E779" s="670"/>
      <c r="F779" s="670"/>
      <c r="G779" s="670"/>
      <c r="H779" s="670"/>
      <c r="I779" s="670"/>
      <c r="J779" s="662"/>
      <c r="K779" s="662"/>
      <c r="L779" s="662"/>
      <c r="M779" s="662"/>
    </row>
    <row r="780" spans="1:39">
      <c r="A780" s="662"/>
      <c r="B780" s="662"/>
      <c r="C780" s="662"/>
      <c r="D780" s="662"/>
      <c r="E780" s="662"/>
      <c r="F780" s="662"/>
      <c r="G780" s="662"/>
      <c r="H780" s="662"/>
      <c r="I780" s="662"/>
      <c r="J780" s="662"/>
      <c r="K780" s="662"/>
      <c r="L780" s="662"/>
    </row>
    <row r="781" spans="1:39">
      <c r="D781" s="2992"/>
      <c r="E781" s="2992"/>
      <c r="F781" s="2992"/>
      <c r="G781" s="2992"/>
      <c r="H781" s="2992"/>
      <c r="I781" s="2992"/>
      <c r="J781" s="2992"/>
      <c r="K781" s="2992"/>
      <c r="L781" s="2992"/>
      <c r="M781" s="2992"/>
    </row>
    <row r="782" spans="1:39" ht="15" thickBot="1"/>
    <row r="783" spans="1:39" ht="15" thickBot="1">
      <c r="A783" s="1361" t="s">
        <v>326</v>
      </c>
      <c r="B783" s="1153" t="s">
        <v>384</v>
      </c>
      <c r="C783" s="873"/>
      <c r="D783" s="662"/>
      <c r="E783" s="662"/>
      <c r="F783" s="662"/>
      <c r="G783" s="662"/>
      <c r="H783" s="662"/>
      <c r="I783" s="662"/>
      <c r="J783" s="662"/>
      <c r="K783" s="662"/>
      <c r="L783" s="3292"/>
      <c r="M783" s="3292"/>
    </row>
    <row r="784" spans="1:39" ht="17.25" customHeight="1" thickBot="1">
      <c r="A784" s="662"/>
      <c r="B784" s="3331" t="s">
        <v>384</v>
      </c>
      <c r="C784" s="3280" t="s">
        <v>334</v>
      </c>
      <c r="D784" s="3283" t="s">
        <v>260</v>
      </c>
      <c r="E784" s="3283" t="s">
        <v>335</v>
      </c>
      <c r="F784" s="3335" t="s">
        <v>263</v>
      </c>
      <c r="G784" s="3335"/>
      <c r="H784" s="3335"/>
      <c r="I784" s="3335"/>
      <c r="J784" s="3335"/>
      <c r="K784" s="3335"/>
      <c r="L784" s="3335"/>
      <c r="M784" s="3335"/>
    </row>
    <row r="785" spans="1:39" ht="17.25" customHeight="1" thickBot="1">
      <c r="A785" s="662"/>
      <c r="B785" s="3327"/>
      <c r="C785" s="3281"/>
      <c r="D785" s="3284"/>
      <c r="E785" s="3284"/>
      <c r="F785" s="3332" t="s">
        <v>264</v>
      </c>
      <c r="G785" s="3333"/>
      <c r="H785" s="3333"/>
      <c r="I785" s="3334"/>
      <c r="J785" s="3335" t="s">
        <v>336</v>
      </c>
      <c r="K785" s="3335"/>
      <c r="L785" s="3335"/>
      <c r="M785" s="3335"/>
    </row>
    <row r="786" spans="1:39" s="2994" customFormat="1" ht="66.599999999999994" thickBot="1">
      <c r="A786" s="662"/>
      <c r="B786" s="3327"/>
      <c r="C786" s="3281"/>
      <c r="D786" s="3285"/>
      <c r="E786" s="3285"/>
      <c r="F786" s="2963" t="s">
        <v>267</v>
      </c>
      <c r="G786" s="2963" t="s">
        <v>268</v>
      </c>
      <c r="H786" s="2963" t="s">
        <v>269</v>
      </c>
      <c r="I786" s="2963" t="s">
        <v>160</v>
      </c>
      <c r="J786" s="2964" t="s">
        <v>337</v>
      </c>
      <c r="K786" s="2964" t="s">
        <v>271</v>
      </c>
      <c r="L786" s="2964" t="s">
        <v>338</v>
      </c>
      <c r="M786" s="2964" t="s">
        <v>160</v>
      </c>
      <c r="N786"/>
      <c r="O786"/>
      <c r="P786"/>
      <c r="Q786"/>
      <c r="R786"/>
      <c r="S786"/>
      <c r="T786"/>
      <c r="U786"/>
      <c r="V786"/>
      <c r="W786"/>
      <c r="X786"/>
      <c r="Y786"/>
      <c r="Z786"/>
      <c r="AA786"/>
      <c r="AB786"/>
      <c r="AC786"/>
      <c r="AD786"/>
      <c r="AE786"/>
      <c r="AF786"/>
      <c r="AG786"/>
      <c r="AH786"/>
      <c r="AI786"/>
      <c r="AJ786"/>
      <c r="AK786"/>
      <c r="AL786"/>
      <c r="AM786"/>
    </row>
    <row r="787" spans="1:39" ht="17.25" customHeight="1" thickBot="1">
      <c r="A787" s="662"/>
      <c r="B787" s="3327"/>
      <c r="C787" s="3281"/>
      <c r="D787" s="2972">
        <v>1</v>
      </c>
      <c r="E787" s="3283">
        <v>2</v>
      </c>
      <c r="F787" s="3283">
        <v>3</v>
      </c>
      <c r="G787" s="3283">
        <v>4</v>
      </c>
      <c r="H787" s="3283"/>
      <c r="I787" s="2972">
        <v>6</v>
      </c>
      <c r="J787" s="3283">
        <v>7</v>
      </c>
      <c r="K787" s="3283">
        <v>8</v>
      </c>
      <c r="L787" s="3283">
        <v>9</v>
      </c>
      <c r="M787" s="2972">
        <v>10</v>
      </c>
    </row>
    <row r="788" spans="1:39" ht="15" thickBot="1">
      <c r="A788" s="662"/>
      <c r="B788" s="3328"/>
      <c r="C788" s="3282"/>
      <c r="D788" s="1327" t="s">
        <v>339</v>
      </c>
      <c r="E788" s="3285"/>
      <c r="F788" s="3285"/>
      <c r="G788" s="3285"/>
      <c r="H788" s="3285">
        <v>5</v>
      </c>
      <c r="I788" s="1327" t="s">
        <v>340</v>
      </c>
      <c r="J788" s="3285"/>
      <c r="K788" s="3285"/>
      <c r="L788" s="3285"/>
      <c r="M788" s="1327" t="s">
        <v>341</v>
      </c>
    </row>
    <row r="789" spans="1:39">
      <c r="A789" s="662"/>
      <c r="B789" s="1328" t="s">
        <v>342</v>
      </c>
      <c r="C789" s="885"/>
      <c r="D789" s="1329">
        <f t="shared" ref="D789:D826" si="67">E789+I789+M789</f>
        <v>1221.877</v>
      </c>
      <c r="E789" s="887"/>
      <c r="F789" s="886">
        <v>1049.8630000000001</v>
      </c>
      <c r="G789" s="887">
        <v>172.01400000000001</v>
      </c>
      <c r="H789" s="886"/>
      <c r="I789" s="1332">
        <f t="shared" ref="I789:I826" si="68">F789+G789+H789</f>
        <v>1221.877</v>
      </c>
      <c r="J789" s="886"/>
      <c r="K789" s="887"/>
      <c r="L789" s="886"/>
      <c r="M789" s="1335">
        <f t="shared" ref="M789:M806" si="69">L789+K789+J789</f>
        <v>0</v>
      </c>
    </row>
    <row r="790" spans="1:39">
      <c r="A790" s="662"/>
      <c r="B790" s="2103"/>
      <c r="C790" s="2104"/>
      <c r="D790" s="2124">
        <f t="shared" si="67"/>
        <v>0</v>
      </c>
      <c r="E790" s="2126"/>
      <c r="F790" s="2114"/>
      <c r="G790" s="2126"/>
      <c r="H790" s="2114"/>
      <c r="I790" s="2125">
        <f t="shared" si="68"/>
        <v>0</v>
      </c>
      <c r="J790" s="2114"/>
      <c r="K790" s="2126"/>
      <c r="L790" s="2114"/>
      <c r="M790" s="2127">
        <f t="shared" si="69"/>
        <v>0</v>
      </c>
    </row>
    <row r="791" spans="1:39">
      <c r="A791" s="662"/>
      <c r="B791" s="2105" t="s">
        <v>343</v>
      </c>
      <c r="C791" s="2104"/>
      <c r="D791" s="2124">
        <f t="shared" si="67"/>
        <v>0</v>
      </c>
      <c r="E791" s="2126"/>
      <c r="F791" s="2114"/>
      <c r="G791" s="2126"/>
      <c r="H791" s="2114"/>
      <c r="I791" s="2125">
        <f t="shared" si="68"/>
        <v>0</v>
      </c>
      <c r="J791" s="2114"/>
      <c r="K791" s="2126"/>
      <c r="L791" s="2114"/>
      <c r="M791" s="2127">
        <f t="shared" si="69"/>
        <v>0</v>
      </c>
    </row>
    <row r="792" spans="1:39">
      <c r="A792" s="662"/>
      <c r="B792" s="2105"/>
      <c r="C792" s="2104"/>
      <c r="D792" s="2124">
        <f t="shared" si="67"/>
        <v>0</v>
      </c>
      <c r="E792" s="2126"/>
      <c r="F792" s="2114"/>
      <c r="G792" s="2126"/>
      <c r="H792" s="2114"/>
      <c r="I792" s="2125">
        <f t="shared" si="68"/>
        <v>0</v>
      </c>
      <c r="J792" s="2114"/>
      <c r="K792" s="2126"/>
      <c r="L792" s="2114"/>
      <c r="M792" s="2127">
        <f t="shared" si="69"/>
        <v>0</v>
      </c>
    </row>
    <row r="793" spans="1:39" ht="14.25" customHeight="1">
      <c r="A793" s="662"/>
      <c r="B793" s="2106" t="s">
        <v>344</v>
      </c>
      <c r="C793" s="2104"/>
      <c r="D793" s="2124">
        <f t="shared" si="67"/>
        <v>0</v>
      </c>
      <c r="E793" s="2126"/>
      <c r="F793" s="2114"/>
      <c r="G793" s="2126"/>
      <c r="H793" s="2114"/>
      <c r="I793" s="2125">
        <f t="shared" si="68"/>
        <v>0</v>
      </c>
      <c r="J793" s="2114"/>
      <c r="K793" s="2126"/>
      <c r="L793" s="2114"/>
      <c r="M793" s="2127">
        <f t="shared" si="69"/>
        <v>0</v>
      </c>
    </row>
    <row r="794" spans="1:39">
      <c r="A794" s="662"/>
      <c r="B794" s="2103"/>
      <c r="C794" s="2104"/>
      <c r="D794" s="2124">
        <f t="shared" si="67"/>
        <v>0</v>
      </c>
      <c r="E794" s="2126"/>
      <c r="F794" s="2114"/>
      <c r="G794" s="2126"/>
      <c r="H794" s="2114"/>
      <c r="I794" s="2125">
        <f t="shared" si="68"/>
        <v>0</v>
      </c>
      <c r="J794" s="2114"/>
      <c r="K794" s="2126"/>
      <c r="L794" s="2114"/>
      <c r="M794" s="2127">
        <f t="shared" si="69"/>
        <v>0</v>
      </c>
    </row>
    <row r="795" spans="1:39" s="870" customFormat="1">
      <c r="A795" s="662"/>
      <c r="B795" s="2107" t="s">
        <v>345</v>
      </c>
      <c r="C795" s="2108"/>
      <c r="D795" s="2124">
        <f t="shared" si="67"/>
        <v>1221.877</v>
      </c>
      <c r="E795" s="2126">
        <f>E789-E791+E793</f>
        <v>0</v>
      </c>
      <c r="F795" s="2114">
        <f>F789-F791+F793</f>
        <v>1049.8630000000001</v>
      </c>
      <c r="G795" s="2126">
        <f>G789-G791+G793</f>
        <v>172.01400000000001</v>
      </c>
      <c r="H795" s="2114">
        <f>H789-H791+H793</f>
        <v>0</v>
      </c>
      <c r="I795" s="2125">
        <f t="shared" si="68"/>
        <v>1221.877</v>
      </c>
      <c r="J795" s="2114">
        <f>J789-J791+J793</f>
        <v>0</v>
      </c>
      <c r="K795" s="2126">
        <f>K789-K791+K793</f>
        <v>0</v>
      </c>
      <c r="L795" s="2114">
        <f>L789-L791+L793</f>
        <v>0</v>
      </c>
      <c r="M795" s="2127">
        <f t="shared" si="69"/>
        <v>0</v>
      </c>
      <c r="N795"/>
      <c r="O795"/>
      <c r="P795"/>
      <c r="Q795"/>
      <c r="R795"/>
      <c r="S795"/>
      <c r="T795"/>
      <c r="U795"/>
      <c r="V795"/>
      <c r="W795"/>
      <c r="X795"/>
      <c r="Y795"/>
      <c r="Z795"/>
      <c r="AA795"/>
      <c r="AB795"/>
      <c r="AC795"/>
      <c r="AD795"/>
      <c r="AE795"/>
      <c r="AF795"/>
      <c r="AG795"/>
      <c r="AH795"/>
      <c r="AI795"/>
      <c r="AJ795"/>
      <c r="AK795"/>
      <c r="AL795"/>
      <c r="AM795"/>
    </row>
    <row r="796" spans="1:39">
      <c r="A796" s="662"/>
      <c r="B796" s="2107"/>
      <c r="C796" s="2108"/>
      <c r="D796" s="2124">
        <f t="shared" si="67"/>
        <v>0</v>
      </c>
      <c r="E796" s="2126"/>
      <c r="F796" s="2114"/>
      <c r="G796" s="2126"/>
      <c r="H796" s="2114"/>
      <c r="I796" s="2125">
        <f t="shared" si="68"/>
        <v>0</v>
      </c>
      <c r="J796" s="2114"/>
      <c r="K796" s="2126"/>
      <c r="L796" s="2114"/>
      <c r="M796" s="2127">
        <f t="shared" si="69"/>
        <v>0</v>
      </c>
    </row>
    <row r="797" spans="1:39" s="870" customFormat="1">
      <c r="A797" s="662"/>
      <c r="B797" s="2107" t="s">
        <v>346</v>
      </c>
      <c r="C797" s="2108"/>
      <c r="D797" s="2124">
        <f t="shared" si="67"/>
        <v>8826.2530800000004</v>
      </c>
      <c r="E797" s="2126">
        <f>SUM(E798:E802)</f>
        <v>0</v>
      </c>
      <c r="F797" s="2114">
        <f>SUM(F798:F802)</f>
        <v>1797.5404400000002</v>
      </c>
      <c r="G797" s="2126">
        <f>SUM(G798:G802)</f>
        <v>7028.7126400000006</v>
      </c>
      <c r="H797" s="2114">
        <f>SUM(H798:H802)</f>
        <v>0</v>
      </c>
      <c r="I797" s="2125">
        <f t="shared" si="68"/>
        <v>8826.2530800000004</v>
      </c>
      <c r="J797" s="2114">
        <f>SUM(J798:J802)</f>
        <v>0</v>
      </c>
      <c r="K797" s="2126">
        <f>SUM(K798:K802)</f>
        <v>0</v>
      </c>
      <c r="L797" s="2114">
        <f>SUM(L798:L802)</f>
        <v>0</v>
      </c>
      <c r="M797" s="2127">
        <f t="shared" si="69"/>
        <v>0</v>
      </c>
      <c r="N797"/>
      <c r="O797"/>
      <c r="P797"/>
      <c r="Q797"/>
      <c r="R797"/>
      <c r="S797"/>
      <c r="T797"/>
      <c r="U797"/>
      <c r="V797"/>
      <c r="W797"/>
      <c r="X797"/>
      <c r="Y797"/>
      <c r="Z797"/>
      <c r="AA797"/>
      <c r="AB797"/>
      <c r="AC797"/>
      <c r="AD797"/>
      <c r="AE797"/>
      <c r="AF797"/>
      <c r="AG797"/>
      <c r="AH797"/>
      <c r="AI797"/>
      <c r="AJ797"/>
      <c r="AK797"/>
      <c r="AL797"/>
      <c r="AM797"/>
    </row>
    <row r="798" spans="1:39">
      <c r="A798" s="662"/>
      <c r="B798" s="2103" t="s">
        <v>347</v>
      </c>
      <c r="C798" s="2104">
        <v>1</v>
      </c>
      <c r="D798" s="2124">
        <f t="shared" si="67"/>
        <v>9238.0459499999997</v>
      </c>
      <c r="E798" s="2126"/>
      <c r="F798" s="2114">
        <v>1937.4199600000002</v>
      </c>
      <c r="G798" s="2126">
        <v>7300.6259900000005</v>
      </c>
      <c r="H798" s="2114"/>
      <c r="I798" s="2125">
        <f t="shared" si="68"/>
        <v>9238.0459499999997</v>
      </c>
      <c r="J798" s="2114"/>
      <c r="K798" s="2126"/>
      <c r="L798" s="2114"/>
      <c r="M798" s="2127">
        <f t="shared" si="69"/>
        <v>0</v>
      </c>
    </row>
    <row r="799" spans="1:39">
      <c r="A799" s="662"/>
      <c r="B799" s="2103" t="s">
        <v>348</v>
      </c>
      <c r="C799" s="2104">
        <v>2</v>
      </c>
      <c r="D799" s="2124">
        <f t="shared" si="67"/>
        <v>0</v>
      </c>
      <c r="E799" s="2126"/>
      <c r="F799" s="2114"/>
      <c r="G799" s="2126"/>
      <c r="H799" s="2114"/>
      <c r="I799" s="2125">
        <f t="shared" si="68"/>
        <v>0</v>
      </c>
      <c r="J799" s="2114"/>
      <c r="K799" s="2126"/>
      <c r="L799" s="2114"/>
      <c r="M799" s="2127">
        <f t="shared" si="69"/>
        <v>0</v>
      </c>
    </row>
    <row r="800" spans="1:39">
      <c r="A800" s="662"/>
      <c r="B800" s="2103" t="s">
        <v>349</v>
      </c>
      <c r="C800" s="2104"/>
      <c r="D800" s="2124">
        <f t="shared" si="67"/>
        <v>0</v>
      </c>
      <c r="E800" s="2126"/>
      <c r="F800" s="2114"/>
      <c r="G800" s="2126"/>
      <c r="H800" s="2114"/>
      <c r="I800" s="2125">
        <f t="shared" si="68"/>
        <v>0</v>
      </c>
      <c r="J800" s="2114"/>
      <c r="K800" s="2126"/>
      <c r="L800" s="2114"/>
      <c r="M800" s="2127">
        <f t="shared" si="69"/>
        <v>0</v>
      </c>
    </row>
    <row r="801" spans="1:39">
      <c r="A801" s="662"/>
      <c r="B801" s="2103" t="s">
        <v>350</v>
      </c>
      <c r="C801" s="2104"/>
      <c r="D801" s="2124">
        <f t="shared" si="67"/>
        <v>-389.75693999999999</v>
      </c>
      <c r="E801" s="2126"/>
      <c r="F801" s="2114">
        <v>-117.79759</v>
      </c>
      <c r="G801" s="2126">
        <v>-271.95934999999997</v>
      </c>
      <c r="H801" s="2114"/>
      <c r="I801" s="2125">
        <f t="shared" si="68"/>
        <v>-389.75693999999999</v>
      </c>
      <c r="J801" s="2114"/>
      <c r="K801" s="2126"/>
      <c r="L801" s="2114"/>
      <c r="M801" s="2127">
        <f t="shared" si="69"/>
        <v>0</v>
      </c>
    </row>
    <row r="802" spans="1:39">
      <c r="A802" s="662"/>
      <c r="B802" s="2103" t="s">
        <v>351</v>
      </c>
      <c r="C802" s="2104">
        <v>3</v>
      </c>
      <c r="D802" s="2124">
        <f t="shared" si="67"/>
        <v>-22.03593</v>
      </c>
      <c r="E802" s="2126"/>
      <c r="F802" s="2114">
        <v>-22.08193</v>
      </c>
      <c r="G802" s="2126">
        <v>4.5999999999999999E-2</v>
      </c>
      <c r="H802" s="2114"/>
      <c r="I802" s="2125">
        <f t="shared" si="68"/>
        <v>-22.03593</v>
      </c>
      <c r="J802" s="2114"/>
      <c r="K802" s="2126"/>
      <c r="L802" s="2114"/>
      <c r="M802" s="2127">
        <f t="shared" si="69"/>
        <v>0</v>
      </c>
    </row>
    <row r="803" spans="1:39">
      <c r="A803" s="662"/>
      <c r="B803" s="2103" t="s">
        <v>353</v>
      </c>
      <c r="C803" s="2104"/>
      <c r="D803" s="2124">
        <f t="shared" si="67"/>
        <v>0</v>
      </c>
      <c r="E803" s="2126"/>
      <c r="F803" s="2114"/>
      <c r="G803" s="2126"/>
      <c r="H803" s="2114"/>
      <c r="I803" s="2125">
        <f t="shared" si="68"/>
        <v>0</v>
      </c>
      <c r="J803" s="2114"/>
      <c r="K803" s="2126"/>
      <c r="L803" s="2114"/>
      <c r="M803" s="2127">
        <f t="shared" si="69"/>
        <v>0</v>
      </c>
    </row>
    <row r="804" spans="1:39">
      <c r="A804" s="662"/>
      <c r="B804" s="2103" t="s">
        <v>353</v>
      </c>
      <c r="C804" s="2104"/>
      <c r="D804" s="2124">
        <f t="shared" si="67"/>
        <v>0</v>
      </c>
      <c r="E804" s="2126"/>
      <c r="F804" s="2114"/>
      <c r="G804" s="2126"/>
      <c r="H804" s="2114"/>
      <c r="I804" s="2125">
        <f t="shared" si="68"/>
        <v>0</v>
      </c>
      <c r="J804" s="2114"/>
      <c r="K804" s="2126"/>
      <c r="L804" s="2114"/>
      <c r="M804" s="2127">
        <f t="shared" si="69"/>
        <v>0</v>
      </c>
    </row>
    <row r="805" spans="1:39">
      <c r="A805" s="662"/>
      <c r="B805" s="2103"/>
      <c r="C805" s="2104"/>
      <c r="D805" s="2124">
        <f t="shared" si="67"/>
        <v>0</v>
      </c>
      <c r="E805" s="2126"/>
      <c r="F805" s="2114"/>
      <c r="G805" s="2126"/>
      <c r="H805" s="2114"/>
      <c r="I805" s="2125">
        <f t="shared" si="68"/>
        <v>0</v>
      </c>
      <c r="J805" s="2114"/>
      <c r="K805" s="2126"/>
      <c r="L805" s="2114"/>
      <c r="M805" s="2127">
        <f t="shared" si="69"/>
        <v>0</v>
      </c>
    </row>
    <row r="806" spans="1:39" s="870" customFormat="1">
      <c r="A806" s="662"/>
      <c r="B806" s="2109" t="s">
        <v>354</v>
      </c>
      <c r="C806" s="2108"/>
      <c r="D806" s="2124">
        <f t="shared" si="67"/>
        <v>10048.130080000001</v>
      </c>
      <c r="E806" s="2126">
        <f>E795+E797</f>
        <v>0</v>
      </c>
      <c r="F806" s="2114">
        <f>F795+F797</f>
        <v>2847.40344</v>
      </c>
      <c r="G806" s="2126">
        <f>G795+G797</f>
        <v>7200.7266400000008</v>
      </c>
      <c r="H806" s="2114">
        <f>H795+H797</f>
        <v>0</v>
      </c>
      <c r="I806" s="2125">
        <f t="shared" si="68"/>
        <v>10048.130080000001</v>
      </c>
      <c r="J806" s="2114">
        <f>J795+J797</f>
        <v>0</v>
      </c>
      <c r="K806" s="2126">
        <f>K795+K797</f>
        <v>0</v>
      </c>
      <c r="L806" s="2114">
        <f>L795+L797</f>
        <v>0</v>
      </c>
      <c r="M806" s="2127">
        <f t="shared" si="69"/>
        <v>0</v>
      </c>
      <c r="N806"/>
      <c r="O806"/>
      <c r="P806"/>
      <c r="Q806"/>
      <c r="R806"/>
      <c r="S806"/>
      <c r="T806"/>
      <c r="U806"/>
      <c r="V806"/>
      <c r="W806"/>
      <c r="X806"/>
      <c r="Y806"/>
      <c r="Z806"/>
      <c r="AA806"/>
      <c r="AB806"/>
      <c r="AC806"/>
      <c r="AD806"/>
      <c r="AE806"/>
      <c r="AF806"/>
      <c r="AG806"/>
      <c r="AH806"/>
      <c r="AI806"/>
      <c r="AJ806"/>
      <c r="AK806"/>
      <c r="AL806"/>
      <c r="AM806"/>
    </row>
    <row r="807" spans="1:39">
      <c r="A807" s="662"/>
      <c r="B807" s="2109"/>
      <c r="C807" s="2108"/>
      <c r="D807" s="2124">
        <f t="shared" si="67"/>
        <v>0</v>
      </c>
      <c r="E807" s="2126"/>
      <c r="F807" s="2114"/>
      <c r="G807" s="2126"/>
      <c r="H807" s="2114"/>
      <c r="I807" s="2125">
        <f t="shared" si="68"/>
        <v>0</v>
      </c>
      <c r="J807" s="2114"/>
      <c r="K807" s="2126"/>
      <c r="L807" s="2114"/>
      <c r="M807" s="2127"/>
    </row>
    <row r="808" spans="1:39">
      <c r="A808" s="662"/>
      <c r="B808" s="2103" t="s">
        <v>355</v>
      </c>
      <c r="C808" s="2104"/>
      <c r="D808" s="2124">
        <f t="shared" si="67"/>
        <v>38939.93243999999</v>
      </c>
      <c r="E808" s="2126"/>
      <c r="F808" s="2114">
        <v>38846.991099999992</v>
      </c>
      <c r="G808" s="2126">
        <v>92.941339999999983</v>
      </c>
      <c r="H808" s="2114"/>
      <c r="I808" s="2125">
        <f t="shared" si="68"/>
        <v>38939.93243999999</v>
      </c>
      <c r="J808" s="2114"/>
      <c r="K808" s="2126"/>
      <c r="L808" s="2114"/>
      <c r="M808" s="2127">
        <f t="shared" ref="M808:M826" si="70">L808+K808+J808</f>
        <v>0</v>
      </c>
    </row>
    <row r="809" spans="1:39">
      <c r="A809" s="662"/>
      <c r="B809" s="2103" t="s">
        <v>356</v>
      </c>
      <c r="C809" s="2104"/>
      <c r="D809" s="2124">
        <f t="shared" si="67"/>
        <v>0</v>
      </c>
      <c r="E809" s="2126"/>
      <c r="F809" s="2114"/>
      <c r="G809" s="2126"/>
      <c r="H809" s="2114"/>
      <c r="I809" s="2125">
        <f t="shared" si="68"/>
        <v>0</v>
      </c>
      <c r="J809" s="2114"/>
      <c r="K809" s="2126"/>
      <c r="L809" s="2114"/>
      <c r="M809" s="2127">
        <f t="shared" si="70"/>
        <v>0</v>
      </c>
    </row>
    <row r="810" spans="1:39">
      <c r="A810" s="662"/>
      <c r="B810" s="2103" t="s">
        <v>357</v>
      </c>
      <c r="C810" s="2104"/>
      <c r="D810" s="2124">
        <f t="shared" si="67"/>
        <v>-22614.102799999993</v>
      </c>
      <c r="E810" s="2126"/>
      <c r="F810" s="2114">
        <v>-22618.436129999995</v>
      </c>
      <c r="G810" s="2126">
        <v>4.3333300000000161</v>
      </c>
      <c r="H810" s="2114"/>
      <c r="I810" s="2125">
        <f t="shared" si="68"/>
        <v>-22614.102799999993</v>
      </c>
      <c r="J810" s="2114"/>
      <c r="K810" s="2126"/>
      <c r="L810" s="2114"/>
      <c r="M810" s="2127">
        <f t="shared" si="70"/>
        <v>0</v>
      </c>
    </row>
    <row r="811" spans="1:39" ht="13.5" customHeight="1">
      <c r="A811" s="662"/>
      <c r="B811" s="2110" t="s">
        <v>358</v>
      </c>
      <c r="C811" s="2104"/>
      <c r="D811" s="2124">
        <f t="shared" si="67"/>
        <v>0</v>
      </c>
      <c r="E811" s="2126"/>
      <c r="F811" s="2114"/>
      <c r="G811" s="2126"/>
      <c r="H811" s="2114"/>
      <c r="I811" s="2125">
        <f t="shared" si="68"/>
        <v>0</v>
      </c>
      <c r="J811" s="2114"/>
      <c r="K811" s="2126"/>
      <c r="L811" s="2114"/>
      <c r="M811" s="2127">
        <f t="shared" si="70"/>
        <v>0</v>
      </c>
    </row>
    <row r="812" spans="1:39">
      <c r="A812" s="662"/>
      <c r="B812" s="2103" t="s">
        <v>359</v>
      </c>
      <c r="C812" s="2104"/>
      <c r="D812" s="2124">
        <f t="shared" si="67"/>
        <v>-12164.363430000019</v>
      </c>
      <c r="E812" s="2126"/>
      <c r="F812" s="2114">
        <v>-18439.2664145501</v>
      </c>
      <c r="G812" s="2126">
        <v>6274.90298455008</v>
      </c>
      <c r="H812" s="2114"/>
      <c r="I812" s="2125">
        <f t="shared" si="68"/>
        <v>-12164.363430000019</v>
      </c>
      <c r="J812" s="2114"/>
      <c r="K812" s="2126"/>
      <c r="L812" s="2114"/>
      <c r="M812" s="2127">
        <f t="shared" si="70"/>
        <v>0</v>
      </c>
    </row>
    <row r="813" spans="1:39" ht="26.45">
      <c r="A813" s="662"/>
      <c r="B813" s="2110" t="s">
        <v>360</v>
      </c>
      <c r="C813" s="2104"/>
      <c r="D813" s="2124">
        <f t="shared" si="67"/>
        <v>0</v>
      </c>
      <c r="E813" s="2126"/>
      <c r="F813" s="2114"/>
      <c r="G813" s="2126"/>
      <c r="H813" s="2114"/>
      <c r="I813" s="2125">
        <f t="shared" si="68"/>
        <v>0</v>
      </c>
      <c r="J813" s="2114"/>
      <c r="K813" s="2126"/>
      <c r="L813" s="2114"/>
      <c r="M813" s="2127">
        <f t="shared" si="70"/>
        <v>0</v>
      </c>
    </row>
    <row r="814" spans="1:39" s="870" customFormat="1">
      <c r="A814" s="662"/>
      <c r="B814" s="2109" t="s">
        <v>361</v>
      </c>
      <c r="C814" s="2108"/>
      <c r="D814" s="2124">
        <f>E814+I814+M814</f>
        <v>4161.4662099999769</v>
      </c>
      <c r="E814" s="2126">
        <f>SUM(E808:E813)</f>
        <v>0</v>
      </c>
      <c r="F814" s="2114">
        <f>SUM(F808:F813)</f>
        <v>-2210.7114445501029</v>
      </c>
      <c r="G814" s="2126">
        <f>SUM(G808:G813)</f>
        <v>6372.1776545500798</v>
      </c>
      <c r="H814" s="2114">
        <f>SUM(H808:H813)</f>
        <v>0</v>
      </c>
      <c r="I814" s="2125">
        <f t="shared" si="68"/>
        <v>4161.4662099999769</v>
      </c>
      <c r="J814" s="2114"/>
      <c r="K814" s="2126">
        <f>SUM(K808:K813)</f>
        <v>0</v>
      </c>
      <c r="L814" s="2114">
        <f>SUM(L808:L813)</f>
        <v>0</v>
      </c>
      <c r="M814" s="2127">
        <f t="shared" si="70"/>
        <v>0</v>
      </c>
      <c r="N814"/>
      <c r="O814"/>
      <c r="P814"/>
      <c r="Q814"/>
      <c r="R814"/>
      <c r="S814"/>
      <c r="T814"/>
      <c r="U814"/>
      <c r="V814"/>
      <c r="W814"/>
      <c r="X814"/>
      <c r="Y814"/>
      <c r="Z814"/>
      <c r="AA814"/>
      <c r="AB814"/>
      <c r="AC814"/>
      <c r="AD814"/>
      <c r="AE814"/>
      <c r="AF814"/>
      <c r="AG814"/>
      <c r="AH814"/>
      <c r="AI814"/>
      <c r="AJ814"/>
      <c r="AK814"/>
      <c r="AL814"/>
      <c r="AM814"/>
    </row>
    <row r="815" spans="1:39">
      <c r="A815" s="662"/>
      <c r="B815" s="2103"/>
      <c r="C815" s="2104"/>
      <c r="D815" s="2124">
        <f t="shared" si="67"/>
        <v>0</v>
      </c>
      <c r="E815" s="2126"/>
      <c r="F815" s="2114"/>
      <c r="G815" s="2126"/>
      <c r="H815" s="2114"/>
      <c r="I815" s="2125">
        <f t="shared" si="68"/>
        <v>0</v>
      </c>
      <c r="J815" s="2114"/>
      <c r="K815" s="2126"/>
      <c r="L815" s="2114"/>
      <c r="M815" s="2127">
        <f t="shared" si="70"/>
        <v>0</v>
      </c>
    </row>
    <row r="816" spans="1:39" ht="26.45">
      <c r="A816" s="662"/>
      <c r="B816" s="2110" t="s">
        <v>362</v>
      </c>
      <c r="C816" s="2104"/>
      <c r="D816" s="2124">
        <f t="shared" si="67"/>
        <v>0</v>
      </c>
      <c r="E816" s="2126"/>
      <c r="F816" s="2114"/>
      <c r="G816" s="2126"/>
      <c r="H816" s="2114"/>
      <c r="I816" s="2125">
        <f t="shared" si="68"/>
        <v>0</v>
      </c>
      <c r="J816" s="2114"/>
      <c r="K816" s="2126"/>
      <c r="L816" s="2114"/>
      <c r="M816" s="2127">
        <f t="shared" si="70"/>
        <v>0</v>
      </c>
    </row>
    <row r="817" spans="1:13">
      <c r="A817" s="662"/>
      <c r="B817" s="2103"/>
      <c r="C817" s="2104"/>
      <c r="D817" s="2124">
        <f t="shared" si="67"/>
        <v>0</v>
      </c>
      <c r="E817" s="2126"/>
      <c r="F817" s="2114"/>
      <c r="G817" s="2126"/>
      <c r="H817" s="2114"/>
      <c r="I817" s="2125">
        <f t="shared" si="68"/>
        <v>0</v>
      </c>
      <c r="J817" s="2114"/>
      <c r="K817" s="2126"/>
      <c r="L817" s="2114"/>
      <c r="M817" s="2127">
        <f t="shared" si="70"/>
        <v>0</v>
      </c>
    </row>
    <row r="818" spans="1:13" ht="25.15" customHeight="1">
      <c r="A818" s="662"/>
      <c r="B818" s="2110" t="s">
        <v>363</v>
      </c>
      <c r="C818" s="2104">
        <v>4</v>
      </c>
      <c r="D818" s="2124">
        <f t="shared" si="67"/>
        <v>5886.6638699999985</v>
      </c>
      <c r="E818" s="2126"/>
      <c r="F818" s="2114">
        <v>5057.9482145500806</v>
      </c>
      <c r="G818" s="2126">
        <v>828.71565544991836</v>
      </c>
      <c r="H818" s="2114"/>
      <c r="I818" s="2125">
        <f t="shared" si="68"/>
        <v>5886.6638699999985</v>
      </c>
      <c r="J818" s="2114"/>
      <c r="K818" s="2126"/>
      <c r="L818" s="2114"/>
      <c r="M818" s="2127">
        <f t="shared" si="70"/>
        <v>0</v>
      </c>
    </row>
    <row r="819" spans="1:13">
      <c r="A819" s="662"/>
      <c r="B819" s="2103" t="s">
        <v>364</v>
      </c>
      <c r="C819" s="2104"/>
      <c r="D819" s="2124">
        <f t="shared" si="67"/>
        <v>0</v>
      </c>
      <c r="E819" s="2126"/>
      <c r="F819" s="2114"/>
      <c r="G819" s="2126"/>
      <c r="H819" s="2114"/>
      <c r="I819" s="2125">
        <f t="shared" si="68"/>
        <v>0</v>
      </c>
      <c r="J819" s="2114"/>
      <c r="K819" s="2126"/>
      <c r="L819" s="2114"/>
      <c r="M819" s="2127">
        <f t="shared" si="70"/>
        <v>0</v>
      </c>
    </row>
    <row r="820" spans="1:13">
      <c r="A820" s="662"/>
      <c r="B820" s="2103" t="s">
        <v>365</v>
      </c>
      <c r="C820" s="2104"/>
      <c r="D820" s="2124">
        <f t="shared" si="67"/>
        <v>0</v>
      </c>
      <c r="E820" s="2126"/>
      <c r="F820" s="2114"/>
      <c r="G820" s="2126"/>
      <c r="H820" s="2114"/>
      <c r="I820" s="2125">
        <f t="shared" si="68"/>
        <v>0</v>
      </c>
      <c r="J820" s="2114"/>
      <c r="K820" s="2126"/>
      <c r="L820" s="2114"/>
      <c r="M820" s="2127">
        <f t="shared" si="70"/>
        <v>0</v>
      </c>
    </row>
    <row r="821" spans="1:13">
      <c r="A821" s="662"/>
      <c r="B821" s="2109" t="s">
        <v>366</v>
      </c>
      <c r="C821" s="2108"/>
      <c r="D821" s="2124">
        <f t="shared" si="67"/>
        <v>5886.6638699999985</v>
      </c>
      <c r="E821" s="2126">
        <f>SUM(E818:E820)</f>
        <v>0</v>
      </c>
      <c r="F821" s="2114">
        <f>SUM(F818:F820)</f>
        <v>5057.9482145500806</v>
      </c>
      <c r="G821" s="2126">
        <f>SUM(G818:G820)</f>
        <v>828.71565544991836</v>
      </c>
      <c r="H821" s="2114">
        <f>SUM(H818:H820)</f>
        <v>0</v>
      </c>
      <c r="I821" s="2125">
        <f t="shared" si="68"/>
        <v>5886.6638699999985</v>
      </c>
      <c r="J821" s="2114">
        <f>SUM(J818:J820)</f>
        <v>0</v>
      </c>
      <c r="K821" s="2126">
        <f>SUM(K818:K820)</f>
        <v>0</v>
      </c>
      <c r="L821" s="2114">
        <f>SUM(L818:L820)</f>
        <v>0</v>
      </c>
      <c r="M821" s="2127">
        <f t="shared" si="70"/>
        <v>0</v>
      </c>
    </row>
    <row r="822" spans="1:13">
      <c r="A822" s="662"/>
      <c r="B822" s="2109"/>
      <c r="C822" s="2108"/>
      <c r="D822" s="2124">
        <f t="shared" si="67"/>
        <v>0</v>
      </c>
      <c r="E822" s="2126"/>
      <c r="F822" s="2114"/>
      <c r="G822" s="2126"/>
      <c r="H822" s="2114"/>
      <c r="I822" s="2125">
        <f t="shared" si="68"/>
        <v>0</v>
      </c>
      <c r="J822" s="2114"/>
      <c r="K822" s="2126"/>
      <c r="L822" s="2114"/>
      <c r="M822" s="2127">
        <f t="shared" si="70"/>
        <v>0</v>
      </c>
    </row>
    <row r="823" spans="1:13">
      <c r="A823" s="662"/>
      <c r="B823" s="2109" t="s">
        <v>367</v>
      </c>
      <c r="C823" s="2108"/>
      <c r="D823" s="2124">
        <f t="shared" si="67"/>
        <v>2.5011104298755527E-11</v>
      </c>
      <c r="E823" s="2126">
        <f>E806-E814-E816-E821</f>
        <v>0</v>
      </c>
      <c r="F823" s="2114">
        <f>F806-F814-F816-F821</f>
        <v>0.16667000002235</v>
      </c>
      <c r="G823" s="2126">
        <f>G806-G814-G816-G821</f>
        <v>-0.16666999999733889</v>
      </c>
      <c r="H823" s="2114">
        <f>H806-H814-H816-H821</f>
        <v>0</v>
      </c>
      <c r="I823" s="2125">
        <f t="shared" si="68"/>
        <v>2.5011104298755527E-11</v>
      </c>
      <c r="J823" s="2114">
        <f>J806-J814-J816-J821</f>
        <v>0</v>
      </c>
      <c r="K823" s="2126">
        <f>K806-K814-K816-K821</f>
        <v>0</v>
      </c>
      <c r="L823" s="2114">
        <f>L806-L814-L816-L821</f>
        <v>0</v>
      </c>
      <c r="M823" s="2127">
        <f t="shared" si="70"/>
        <v>0</v>
      </c>
    </row>
    <row r="824" spans="1:13">
      <c r="A824" s="662"/>
      <c r="B824" s="2103" t="s">
        <v>368</v>
      </c>
      <c r="C824" s="2104"/>
      <c r="D824" s="2124">
        <f t="shared" si="67"/>
        <v>0</v>
      </c>
      <c r="E824" s="2126"/>
      <c r="F824" s="2114"/>
      <c r="G824" s="2126"/>
      <c r="H824" s="2114"/>
      <c r="I824" s="2125">
        <f t="shared" si="68"/>
        <v>0</v>
      </c>
      <c r="J824" s="2114"/>
      <c r="K824" s="2126"/>
      <c r="L824" s="2114"/>
      <c r="M824" s="2127">
        <f t="shared" si="70"/>
        <v>0</v>
      </c>
    </row>
    <row r="825" spans="1:13">
      <c r="A825" s="662"/>
      <c r="B825" s="2103"/>
      <c r="C825" s="2104"/>
      <c r="D825" s="2124">
        <f t="shared" si="67"/>
        <v>0</v>
      </c>
      <c r="E825" s="2126"/>
      <c r="F825" s="2114"/>
      <c r="G825" s="2126"/>
      <c r="H825" s="2114"/>
      <c r="I825" s="2125">
        <f t="shared" si="68"/>
        <v>0</v>
      </c>
      <c r="J825" s="2114"/>
      <c r="K825" s="2126"/>
      <c r="L825" s="2114"/>
      <c r="M825" s="2127">
        <f t="shared" si="70"/>
        <v>0</v>
      </c>
    </row>
    <row r="826" spans="1:13" ht="15" thickBot="1">
      <c r="A826" s="662"/>
      <c r="B826" s="1338" t="s">
        <v>369</v>
      </c>
      <c r="C826" s="1339"/>
      <c r="D826" s="1350">
        <f t="shared" si="67"/>
        <v>2.5011104298755527E-11</v>
      </c>
      <c r="E826" s="1372">
        <f>E823-E824</f>
        <v>0</v>
      </c>
      <c r="F826" s="1350">
        <f>F823-F824</f>
        <v>0.16667000002235</v>
      </c>
      <c r="G826" s="1372">
        <f>G823-G824</f>
        <v>-0.16666999999733889</v>
      </c>
      <c r="H826" s="1350">
        <f>H823-H824</f>
        <v>0</v>
      </c>
      <c r="I826" s="1372">
        <f t="shared" si="68"/>
        <v>2.5011104298755527E-11</v>
      </c>
      <c r="J826" s="1350">
        <f>J823-J824</f>
        <v>0</v>
      </c>
      <c r="K826" s="1372">
        <f>K823-K824</f>
        <v>0</v>
      </c>
      <c r="L826" s="1350">
        <f>L823-L824</f>
        <v>0</v>
      </c>
      <c r="M826" s="1373">
        <f t="shared" si="70"/>
        <v>0</v>
      </c>
    </row>
    <row r="827" spans="1:13">
      <c r="A827" s="662"/>
      <c r="B827" s="662"/>
      <c r="C827" s="662"/>
      <c r="D827" s="670"/>
      <c r="E827" s="670"/>
      <c r="F827" s="670"/>
      <c r="G827" s="670"/>
      <c r="H827" s="670"/>
      <c r="I827" s="670"/>
      <c r="J827" s="662"/>
      <c r="K827" s="662"/>
      <c r="L827" s="662"/>
      <c r="M827" s="662"/>
    </row>
    <row r="828" spans="1:13">
      <c r="A828" s="662"/>
      <c r="B828" s="662"/>
      <c r="C828" s="662"/>
      <c r="D828" s="662"/>
      <c r="E828" s="662"/>
      <c r="F828" s="662"/>
      <c r="G828" s="662"/>
      <c r="H828" s="662"/>
      <c r="I828" s="662"/>
      <c r="J828" s="662"/>
      <c r="K828" s="662"/>
      <c r="L828" s="662"/>
    </row>
  </sheetData>
  <mergeCells count="251">
    <mergeCell ref="L783:M783"/>
    <mergeCell ref="B784:B788"/>
    <mergeCell ref="C784:C788"/>
    <mergeCell ref="D784:D786"/>
    <mergeCell ref="E784:E786"/>
    <mergeCell ref="F784:M784"/>
    <mergeCell ref="F785:I785"/>
    <mergeCell ref="J785:M785"/>
    <mergeCell ref="E787:E788"/>
    <mergeCell ref="F787:F788"/>
    <mergeCell ref="G787:G788"/>
    <mergeCell ref="H787:H788"/>
    <mergeCell ref="J787:J788"/>
    <mergeCell ref="K787:K788"/>
    <mergeCell ref="L787:L788"/>
    <mergeCell ref="L735:M735"/>
    <mergeCell ref="B736:B740"/>
    <mergeCell ref="C736:C740"/>
    <mergeCell ref="D736:D738"/>
    <mergeCell ref="E736:E738"/>
    <mergeCell ref="F736:M736"/>
    <mergeCell ref="F737:I737"/>
    <mergeCell ref="J737:M737"/>
    <mergeCell ref="E739:E740"/>
    <mergeCell ref="F739:F740"/>
    <mergeCell ref="G739:G740"/>
    <mergeCell ref="H739:H740"/>
    <mergeCell ref="J739:J740"/>
    <mergeCell ref="K739:K740"/>
    <mergeCell ref="L739:L740"/>
    <mergeCell ref="L687:M687"/>
    <mergeCell ref="B688:B692"/>
    <mergeCell ref="C688:C692"/>
    <mergeCell ref="D688:D690"/>
    <mergeCell ref="E688:E690"/>
    <mergeCell ref="F688:M688"/>
    <mergeCell ref="F689:I689"/>
    <mergeCell ref="J689:M689"/>
    <mergeCell ref="E691:E692"/>
    <mergeCell ref="F691:F692"/>
    <mergeCell ref="G691:G692"/>
    <mergeCell ref="H691:H692"/>
    <mergeCell ref="J691:J692"/>
    <mergeCell ref="K691:K692"/>
    <mergeCell ref="L691:L692"/>
    <mergeCell ref="L640:M640"/>
    <mergeCell ref="B641:B645"/>
    <mergeCell ref="C641:C645"/>
    <mergeCell ref="D641:D643"/>
    <mergeCell ref="E641:E643"/>
    <mergeCell ref="F641:M641"/>
    <mergeCell ref="F642:I642"/>
    <mergeCell ref="J642:M642"/>
    <mergeCell ref="E644:E645"/>
    <mergeCell ref="F644:F645"/>
    <mergeCell ref="G644:G645"/>
    <mergeCell ref="H644:H645"/>
    <mergeCell ref="J644:J645"/>
    <mergeCell ref="K644:K645"/>
    <mergeCell ref="L644:L645"/>
    <mergeCell ref="L591:M591"/>
    <mergeCell ref="B592:B596"/>
    <mergeCell ref="C592:C596"/>
    <mergeCell ref="D592:D594"/>
    <mergeCell ref="E592:E594"/>
    <mergeCell ref="F592:M592"/>
    <mergeCell ref="F593:I593"/>
    <mergeCell ref="J593:M593"/>
    <mergeCell ref="E595:E596"/>
    <mergeCell ref="F595:F596"/>
    <mergeCell ref="G595:G596"/>
    <mergeCell ref="H595:H596"/>
    <mergeCell ref="J595:J596"/>
    <mergeCell ref="K595:K596"/>
    <mergeCell ref="L595:L596"/>
    <mergeCell ref="L543:M543"/>
    <mergeCell ref="B544:B548"/>
    <mergeCell ref="C544:C548"/>
    <mergeCell ref="D544:D546"/>
    <mergeCell ref="E544:E546"/>
    <mergeCell ref="F544:M544"/>
    <mergeCell ref="F545:I545"/>
    <mergeCell ref="J545:M545"/>
    <mergeCell ref="E547:E548"/>
    <mergeCell ref="F547:F548"/>
    <mergeCell ref="G547:G548"/>
    <mergeCell ref="H547:H548"/>
    <mergeCell ref="J547:J548"/>
    <mergeCell ref="K547:K548"/>
    <mergeCell ref="L547:L548"/>
    <mergeCell ref="L495:M495"/>
    <mergeCell ref="B496:B500"/>
    <mergeCell ref="C496:C500"/>
    <mergeCell ref="D496:D498"/>
    <mergeCell ref="E496:E498"/>
    <mergeCell ref="F496:M496"/>
    <mergeCell ref="F497:I497"/>
    <mergeCell ref="J497:M497"/>
    <mergeCell ref="E499:E500"/>
    <mergeCell ref="F499:F500"/>
    <mergeCell ref="G499:G500"/>
    <mergeCell ref="H499:H500"/>
    <mergeCell ref="J499:J500"/>
    <mergeCell ref="K499:K500"/>
    <mergeCell ref="L499:L500"/>
    <mergeCell ref="L447:M447"/>
    <mergeCell ref="B448:B452"/>
    <mergeCell ref="C448:C452"/>
    <mergeCell ref="D448:D450"/>
    <mergeCell ref="E448:E450"/>
    <mergeCell ref="F448:M448"/>
    <mergeCell ref="F449:I449"/>
    <mergeCell ref="J449:M449"/>
    <mergeCell ref="E451:E452"/>
    <mergeCell ref="F451:F452"/>
    <mergeCell ref="G451:G452"/>
    <mergeCell ref="H451:H452"/>
    <mergeCell ref="J451:J452"/>
    <mergeCell ref="K451:K452"/>
    <mergeCell ref="L451:L452"/>
    <mergeCell ref="L399:M399"/>
    <mergeCell ref="B400:B404"/>
    <mergeCell ref="C400:C404"/>
    <mergeCell ref="D400:D402"/>
    <mergeCell ref="E400:E402"/>
    <mergeCell ref="F400:M400"/>
    <mergeCell ref="F401:I401"/>
    <mergeCell ref="J401:M401"/>
    <mergeCell ref="E403:E404"/>
    <mergeCell ref="F403:F404"/>
    <mergeCell ref="G403:G404"/>
    <mergeCell ref="H403:H404"/>
    <mergeCell ref="J403:J404"/>
    <mergeCell ref="K403:K404"/>
    <mergeCell ref="L403:L404"/>
    <mergeCell ref="B348:B352"/>
    <mergeCell ref="C348:C352"/>
    <mergeCell ref="D348:D350"/>
    <mergeCell ref="E348:E350"/>
    <mergeCell ref="F348:M348"/>
    <mergeCell ref="F349:I349"/>
    <mergeCell ref="J349:M349"/>
    <mergeCell ref="E351:E352"/>
    <mergeCell ref="F351:F352"/>
    <mergeCell ref="G351:G352"/>
    <mergeCell ref="H351:H352"/>
    <mergeCell ref="J351:J352"/>
    <mergeCell ref="K351:K352"/>
    <mergeCell ref="L351:L352"/>
    <mergeCell ref="B54:B58"/>
    <mergeCell ref="C54:C58"/>
    <mergeCell ref="D54:D56"/>
    <mergeCell ref="E54:E56"/>
    <mergeCell ref="F54:M54"/>
    <mergeCell ref="F55:I55"/>
    <mergeCell ref="J55:M55"/>
    <mergeCell ref="E57:E58"/>
    <mergeCell ref="L347:M347"/>
    <mergeCell ref="B299:B303"/>
    <mergeCell ref="C299:C303"/>
    <mergeCell ref="D299:D301"/>
    <mergeCell ref="E299:E301"/>
    <mergeCell ref="F299:M299"/>
    <mergeCell ref="F300:I300"/>
    <mergeCell ref="J300:M300"/>
    <mergeCell ref="L198:M198"/>
    <mergeCell ref="B199:B203"/>
    <mergeCell ref="B249:B253"/>
    <mergeCell ref="C249:C253"/>
    <mergeCell ref="D249:D251"/>
    <mergeCell ref="E249:E251"/>
    <mergeCell ref="F249:M249"/>
    <mergeCell ref="F250:I250"/>
    <mergeCell ref="B7:B11"/>
    <mergeCell ref="C7:C11"/>
    <mergeCell ref="D7:D9"/>
    <mergeCell ref="E7:E9"/>
    <mergeCell ref="F7:M7"/>
    <mergeCell ref="F8:I8"/>
    <mergeCell ref="J8:M8"/>
    <mergeCell ref="E10:E11"/>
    <mergeCell ref="F10:F11"/>
    <mergeCell ref="G10:G11"/>
    <mergeCell ref="H10:H11"/>
    <mergeCell ref="J10:J11"/>
    <mergeCell ref="K10:K11"/>
    <mergeCell ref="L10:L11"/>
    <mergeCell ref="J250:M250"/>
    <mergeCell ref="E252:E253"/>
    <mergeCell ref="F252:F253"/>
    <mergeCell ref="G252:G253"/>
    <mergeCell ref="L53:M53"/>
    <mergeCell ref="L101:M101"/>
    <mergeCell ref="E102:E104"/>
    <mergeCell ref="F102:M102"/>
    <mergeCell ref="F103:I103"/>
    <mergeCell ref="J103:M103"/>
    <mergeCell ref="E105:E106"/>
    <mergeCell ref="F105:F106"/>
    <mergeCell ref="G105:G106"/>
    <mergeCell ref="H105:H106"/>
    <mergeCell ref="J105:J106"/>
    <mergeCell ref="F57:F58"/>
    <mergeCell ref="G57:G58"/>
    <mergeCell ref="H57:H58"/>
    <mergeCell ref="J57:J58"/>
    <mergeCell ref="K57:K58"/>
    <mergeCell ref="L57:L58"/>
    <mergeCell ref="B102:B106"/>
    <mergeCell ref="C102:C106"/>
    <mergeCell ref="D102:D104"/>
    <mergeCell ref="K105:K106"/>
    <mergeCell ref="L105:L106"/>
    <mergeCell ref="J152:M152"/>
    <mergeCell ref="E154:E155"/>
    <mergeCell ref="F154:F155"/>
    <mergeCell ref="G154:G155"/>
    <mergeCell ref="J154:J155"/>
    <mergeCell ref="K154:K155"/>
    <mergeCell ref="L154:L155"/>
    <mergeCell ref="L150:M150"/>
    <mergeCell ref="B151:B155"/>
    <mergeCell ref="C151:C155"/>
    <mergeCell ref="D151:D153"/>
    <mergeCell ref="E151:E153"/>
    <mergeCell ref="F151:M151"/>
    <mergeCell ref="F152:I152"/>
    <mergeCell ref="E302:E303"/>
    <mergeCell ref="F302:F303"/>
    <mergeCell ref="L248:M248"/>
    <mergeCell ref="H302:H303"/>
    <mergeCell ref="J302:J303"/>
    <mergeCell ref="C199:C203"/>
    <mergeCell ref="D199:D201"/>
    <mergeCell ref="E199:E201"/>
    <mergeCell ref="F199:M199"/>
    <mergeCell ref="F200:I200"/>
    <mergeCell ref="J200:M200"/>
    <mergeCell ref="E202:E203"/>
    <mergeCell ref="F202:F203"/>
    <mergeCell ref="G202:G203"/>
    <mergeCell ref="J202:J203"/>
    <mergeCell ref="K202:K203"/>
    <mergeCell ref="L202:L203"/>
    <mergeCell ref="K302:K303"/>
    <mergeCell ref="L302:L303"/>
    <mergeCell ref="J252:J253"/>
    <mergeCell ref="K252:K253"/>
    <mergeCell ref="L252:L253"/>
    <mergeCell ref="G302:G303"/>
    <mergeCell ref="L298:M298"/>
  </mergeCells>
  <pageMargins left="0.36" right="0.34" top="0.6" bottom="0.75" header="0.3" footer="0.3"/>
  <pageSetup paperSize="9" scale="57" orientation="landscape" r:id="rId1"/>
  <rowBreaks count="16" manualBreakCount="16">
    <brk id="51" max="12" man="1"/>
    <brk id="98" max="12" man="1"/>
    <brk id="147" max="12" man="1"/>
    <brk id="195" max="12" man="1"/>
    <brk id="245" max="12" man="1"/>
    <brk id="294" max="12" man="1"/>
    <brk id="343" max="12" man="1"/>
    <brk id="395" max="12" man="1"/>
    <brk id="444" max="12" man="1"/>
    <brk id="492" max="12" man="1"/>
    <brk id="540" max="12" man="1"/>
    <brk id="588" max="12" man="1"/>
    <brk id="636" max="12" man="1"/>
    <brk id="685" max="12" man="1"/>
    <brk id="732" max="12" man="1"/>
    <brk id="780" max="12" man="1"/>
  </rowBreaks>
  <legacy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6699"/>
  </sheetPr>
  <dimension ref="B1:T753"/>
  <sheetViews>
    <sheetView showGridLines="0" view="pageBreakPreview" topLeftCell="E191" zoomScale="80" zoomScaleNormal="100" zoomScaleSheetLayoutView="80" workbookViewId="0">
      <selection activeCell="E191" sqref="E191"/>
    </sheetView>
  </sheetViews>
  <sheetFormatPr defaultColWidth="9.140625" defaultRowHeight="13.15"/>
  <cols>
    <col min="1" max="1" width="6.85546875" style="292" customWidth="1"/>
    <col min="2" max="2" width="5.85546875" style="292" customWidth="1"/>
    <col min="3" max="3" width="37.85546875" style="413" customWidth="1"/>
    <col min="4" max="4" width="19.85546875" style="292" customWidth="1"/>
    <col min="5" max="5" width="21.42578125" style="292" customWidth="1"/>
    <col min="6" max="7" width="19.85546875" style="292" customWidth="1"/>
    <col min="8" max="8" width="4.5703125" style="292" customWidth="1"/>
    <col min="9" max="9" width="12.7109375" style="292" bestFit="1" customWidth="1"/>
    <col min="10" max="10" width="11.7109375" style="292" bestFit="1" customWidth="1"/>
    <col min="11" max="11" width="11.7109375" style="292" customWidth="1"/>
    <col min="12" max="12" width="11.7109375" style="292" bestFit="1" customWidth="1"/>
    <col min="13" max="13" width="11.28515625" style="292" customWidth="1"/>
    <col min="14" max="14" width="12.42578125" style="292" bestFit="1" customWidth="1"/>
    <col min="15" max="16384" width="9.140625" style="292"/>
  </cols>
  <sheetData>
    <row r="1" spans="2:19">
      <c r="C1" s="236"/>
      <c r="D1" s="236"/>
    </row>
    <row r="2" spans="2:19" ht="14.45">
      <c r="B2" s="274">
        <v>15</v>
      </c>
      <c r="C2" s="1669" t="s">
        <v>395</v>
      </c>
      <c r="D2" s="236"/>
      <c r="E2" s="236"/>
      <c r="F2" s="236"/>
    </row>
    <row r="3" spans="2:19" ht="13.9" thickBot="1">
      <c r="B3" s="196"/>
      <c r="C3" s="438"/>
      <c r="D3" s="52"/>
      <c r="G3" s="534"/>
    </row>
    <row r="4" spans="2:19" ht="13.9" thickBot="1">
      <c r="B4" s="3344" t="s">
        <v>266</v>
      </c>
      <c r="C4" s="3345"/>
      <c r="D4" s="52"/>
      <c r="G4" s="532" t="s">
        <v>238</v>
      </c>
      <c r="H4" s="532"/>
    </row>
    <row r="5" spans="2:19" ht="14.45">
      <c r="B5" s="3283" t="s">
        <v>396</v>
      </c>
      <c r="C5" s="3348"/>
      <c r="D5" s="3283" t="s">
        <v>397</v>
      </c>
      <c r="E5" s="3296" t="s">
        <v>398</v>
      </c>
      <c r="F5" s="3283" t="s">
        <v>399</v>
      </c>
      <c r="G5" s="3283" t="s">
        <v>400</v>
      </c>
      <c r="L5"/>
    </row>
    <row r="6" spans="2:19" ht="14.45">
      <c r="B6" s="3284"/>
      <c r="C6" s="3346"/>
      <c r="D6" s="3284"/>
      <c r="E6" s="3352"/>
      <c r="F6" s="3284"/>
      <c r="G6" s="3284"/>
      <c r="L6" s="15"/>
    </row>
    <row r="7" spans="2:19" ht="19.149999999999999" customHeight="1" thickBot="1">
      <c r="B7" s="3285"/>
      <c r="C7" s="3347"/>
      <c r="D7" s="3285"/>
      <c r="E7" s="3297"/>
      <c r="F7" s="3285"/>
      <c r="G7" s="3285"/>
      <c r="L7" s="195"/>
    </row>
    <row r="8" spans="2:19">
      <c r="B8" s="1394"/>
      <c r="C8" s="1395" t="s">
        <v>275</v>
      </c>
      <c r="D8" s="535"/>
      <c r="E8" s="536"/>
      <c r="F8" s="1403"/>
      <c r="G8" s="537"/>
    </row>
    <row r="9" spans="2:19">
      <c r="B9" s="1394">
        <v>1</v>
      </c>
      <c r="C9" s="2192" t="s">
        <v>276</v>
      </c>
      <c r="D9" s="2193">
        <v>360508</v>
      </c>
      <c r="E9" s="2193">
        <v>0</v>
      </c>
      <c r="F9" s="2194">
        <f>+D9+E9</f>
        <v>360508</v>
      </c>
      <c r="G9" s="2193">
        <f t="shared" ref="G9:G14" si="0">+G59+G109+G159+G209+G259+G309+G359+G409+G459+G509+G559+G609+G659+G710</f>
        <v>0</v>
      </c>
      <c r="I9" s="396"/>
      <c r="J9" s="599"/>
      <c r="K9" s="396"/>
      <c r="L9" s="599"/>
      <c r="M9" s="396"/>
      <c r="N9" s="599"/>
      <c r="O9" s="396"/>
      <c r="P9" s="396"/>
      <c r="Q9" s="396"/>
      <c r="R9" s="396"/>
      <c r="S9" s="396"/>
    </row>
    <row r="10" spans="2:19">
      <c r="B10" s="1394">
        <v>2</v>
      </c>
      <c r="C10" s="2192" t="s">
        <v>277</v>
      </c>
      <c r="D10" s="2193">
        <v>2154050.5469121644</v>
      </c>
      <c r="E10" s="2193">
        <v>0</v>
      </c>
      <c r="F10" s="2194">
        <f t="shared" ref="F10:F48" si="1">+D10+E10</f>
        <v>2154050.5469121644</v>
      </c>
      <c r="G10" s="2193">
        <f t="shared" si="0"/>
        <v>0</v>
      </c>
      <c r="I10" s="396"/>
      <c r="J10" s="599"/>
      <c r="K10" s="396"/>
      <c r="L10" s="599"/>
      <c r="M10" s="396"/>
      <c r="N10" s="599"/>
      <c r="O10" s="396"/>
      <c r="P10" s="396"/>
      <c r="Q10" s="396"/>
      <c r="R10" s="396"/>
      <c r="S10" s="396"/>
    </row>
    <row r="11" spans="2:19">
      <c r="B11" s="1394">
        <v>3</v>
      </c>
      <c r="C11" s="2192" t="s">
        <v>278</v>
      </c>
      <c r="D11" s="2193">
        <v>2376584.2679999997</v>
      </c>
      <c r="E11" s="2193">
        <v>0</v>
      </c>
      <c r="F11" s="2194">
        <f t="shared" si="1"/>
        <v>2376584.2679999997</v>
      </c>
      <c r="G11" s="2193">
        <f t="shared" si="0"/>
        <v>0</v>
      </c>
      <c r="I11" s="396"/>
      <c r="J11" s="599"/>
      <c r="K11" s="396"/>
      <c r="L11" s="599"/>
      <c r="M11" s="396"/>
      <c r="N11" s="599"/>
      <c r="O11" s="396"/>
      <c r="P11" s="396"/>
      <c r="Q11" s="396"/>
      <c r="R11" s="396"/>
      <c r="S11" s="396"/>
    </row>
    <row r="12" spans="2:19">
      <c r="B12" s="1394">
        <v>4</v>
      </c>
      <c r="C12" s="2192" t="s">
        <v>279</v>
      </c>
      <c r="D12" s="2193">
        <v>2225185.1695411098</v>
      </c>
      <c r="E12" s="2193">
        <v>28197</v>
      </c>
      <c r="F12" s="2194">
        <f>+D12+E12</f>
        <v>2253382.1695411098</v>
      </c>
      <c r="G12" s="2193">
        <f t="shared" si="0"/>
        <v>0</v>
      </c>
      <c r="I12" s="396"/>
      <c r="J12" s="599"/>
      <c r="K12" s="396"/>
      <c r="L12" s="599"/>
      <c r="M12" s="396"/>
      <c r="N12" s="599"/>
      <c r="O12" s="396"/>
      <c r="P12" s="396"/>
      <c r="Q12" s="396"/>
      <c r="R12" s="396"/>
      <c r="S12" s="396"/>
    </row>
    <row r="13" spans="2:19">
      <c r="B13" s="1394">
        <v>5</v>
      </c>
      <c r="C13" s="2192" t="s">
        <v>243</v>
      </c>
      <c r="D13" s="2193">
        <v>19317012.615658946</v>
      </c>
      <c r="E13" s="2193">
        <v>9332</v>
      </c>
      <c r="F13" s="2194">
        <f>+D13+E13</f>
        <v>19326344.615658946</v>
      </c>
      <c r="G13" s="2193">
        <f t="shared" si="0"/>
        <v>0</v>
      </c>
      <c r="I13" s="396"/>
      <c r="J13" s="599"/>
      <c r="K13" s="396"/>
      <c r="L13" s="599"/>
      <c r="M13" s="396"/>
      <c r="N13" s="599"/>
      <c r="O13" s="396"/>
      <c r="P13" s="396"/>
      <c r="Q13" s="396"/>
      <c r="R13" s="396"/>
      <c r="S13" s="396"/>
    </row>
    <row r="14" spans="2:19">
      <c r="B14" s="1394">
        <v>6</v>
      </c>
      <c r="C14" s="2192" t="s">
        <v>281</v>
      </c>
      <c r="D14" s="2193">
        <v>4587900</v>
      </c>
      <c r="E14" s="2193">
        <v>0</v>
      </c>
      <c r="F14" s="2194">
        <f t="shared" si="1"/>
        <v>4587900</v>
      </c>
      <c r="G14" s="2193">
        <f t="shared" si="0"/>
        <v>0</v>
      </c>
      <c r="I14" s="396"/>
      <c r="J14" s="599"/>
      <c r="K14" s="396"/>
      <c r="L14" s="599"/>
      <c r="M14" s="396"/>
      <c r="N14" s="599"/>
      <c r="O14" s="396"/>
      <c r="P14" s="396"/>
      <c r="Q14" s="396"/>
      <c r="R14" s="396"/>
      <c r="S14" s="396"/>
    </row>
    <row r="15" spans="2:19">
      <c r="B15" s="1394">
        <v>7</v>
      </c>
      <c r="C15" s="2192" t="s">
        <v>282</v>
      </c>
      <c r="D15" s="2193">
        <v>0</v>
      </c>
      <c r="E15" s="2193">
        <v>0</v>
      </c>
      <c r="F15" s="2194">
        <f t="shared" si="1"/>
        <v>0</v>
      </c>
      <c r="G15" s="2193">
        <f>SUM(G16:G17)</f>
        <v>0</v>
      </c>
      <c r="I15" s="396"/>
      <c r="J15" s="599"/>
      <c r="K15" s="396"/>
      <c r="L15" s="599"/>
      <c r="M15" s="396"/>
      <c r="N15" s="599"/>
      <c r="O15" s="396"/>
      <c r="P15" s="396"/>
      <c r="Q15" s="396"/>
      <c r="R15" s="396"/>
      <c r="S15" s="396"/>
    </row>
    <row r="16" spans="2:19">
      <c r="B16" s="1394"/>
      <c r="C16" s="2192" t="s">
        <v>401</v>
      </c>
      <c r="D16" s="2193">
        <v>964143</v>
      </c>
      <c r="E16" s="2193">
        <v>0</v>
      </c>
      <c r="F16" s="2194">
        <f t="shared" si="1"/>
        <v>964143</v>
      </c>
      <c r="G16" s="2193">
        <f>+G66+G116+G166+G216+G266+G316+G366+G416+G466+G516+G566+G616+G666+G717</f>
        <v>0</v>
      </c>
      <c r="I16" s="396"/>
      <c r="J16" s="599"/>
      <c r="K16" s="396"/>
      <c r="L16" s="599"/>
      <c r="M16" s="396"/>
      <c r="N16" s="599"/>
      <c r="O16" s="396"/>
      <c r="P16" s="396"/>
      <c r="Q16" s="396"/>
      <c r="R16" s="396"/>
      <c r="S16" s="396"/>
    </row>
    <row r="17" spans="2:19">
      <c r="B17" s="1394"/>
      <c r="C17" s="2195" t="s">
        <v>402</v>
      </c>
      <c r="D17" s="2193">
        <v>21953379.009999998</v>
      </c>
      <c r="E17" s="2193">
        <v>0</v>
      </c>
      <c r="F17" s="2194">
        <f t="shared" si="1"/>
        <v>21953379.009999998</v>
      </c>
      <c r="G17" s="2193">
        <f>+G67+G117+G167+G217+G267+G317+G367+G417+G467+G517+G567+G617+G667+G718</f>
        <v>0</v>
      </c>
      <c r="I17" s="396"/>
      <c r="J17" s="599"/>
      <c r="K17" s="396"/>
      <c r="L17" s="599"/>
      <c r="M17" s="396"/>
      <c r="N17" s="599"/>
      <c r="O17" s="396"/>
      <c r="P17" s="396"/>
      <c r="Q17" s="396"/>
      <c r="R17" s="396"/>
      <c r="S17" s="396"/>
    </row>
    <row r="18" spans="2:19">
      <c r="B18" s="1394">
        <v>8</v>
      </c>
      <c r="C18" s="2195" t="s">
        <v>403</v>
      </c>
      <c r="D18" s="2193">
        <v>0</v>
      </c>
      <c r="E18" s="2193">
        <v>0</v>
      </c>
      <c r="F18" s="2194">
        <f t="shared" si="1"/>
        <v>0</v>
      </c>
      <c r="G18" s="2193">
        <f>SUM(G19:G20)</f>
        <v>0</v>
      </c>
      <c r="I18" s="396"/>
      <c r="J18" s="599"/>
      <c r="K18" s="396"/>
      <c r="L18" s="599"/>
      <c r="M18" s="396"/>
      <c r="N18" s="599"/>
      <c r="O18" s="396"/>
      <c r="P18" s="396"/>
      <c r="Q18" s="396"/>
      <c r="R18" s="396"/>
      <c r="S18" s="396"/>
    </row>
    <row r="19" spans="2:19">
      <c r="B19" s="1394"/>
      <c r="C19" s="2192" t="s">
        <v>404</v>
      </c>
      <c r="D19" s="2193">
        <v>0</v>
      </c>
      <c r="E19" s="2193">
        <v>0</v>
      </c>
      <c r="F19" s="2194">
        <f t="shared" si="1"/>
        <v>0</v>
      </c>
      <c r="G19" s="2193">
        <f>+G69+G119+G169+G219+G269+G319+G369+G419+G469+G519+G569+G619+G669+G720</f>
        <v>0</v>
      </c>
      <c r="I19" s="396"/>
      <c r="J19" s="599"/>
      <c r="K19" s="396"/>
      <c r="L19" s="599"/>
      <c r="M19" s="396"/>
      <c r="N19" s="599"/>
      <c r="O19" s="396"/>
      <c r="P19" s="396"/>
      <c r="Q19" s="396"/>
      <c r="R19" s="396"/>
      <c r="S19" s="396"/>
    </row>
    <row r="20" spans="2:19">
      <c r="B20" s="1394"/>
      <c r="C20" s="2195" t="s">
        <v>405</v>
      </c>
      <c r="D20" s="2193">
        <v>266445</v>
      </c>
      <c r="E20" s="2193">
        <v>0</v>
      </c>
      <c r="F20" s="2194">
        <f t="shared" si="1"/>
        <v>266445</v>
      </c>
      <c r="G20" s="2193">
        <f>+G70+G120+G170+G220+G270+G320+G370+G420+G470+G520+G570+G620+G670+G721</f>
        <v>0</v>
      </c>
      <c r="I20" s="396"/>
      <c r="J20" s="599"/>
      <c r="K20" s="396"/>
      <c r="L20" s="599"/>
      <c r="M20" s="396"/>
      <c r="N20" s="599"/>
      <c r="O20" s="396"/>
      <c r="P20" s="396"/>
      <c r="Q20" s="396"/>
      <c r="R20" s="396"/>
      <c r="S20" s="396"/>
    </row>
    <row r="21" spans="2:19" ht="26.45">
      <c r="B21" s="1396">
        <v>9</v>
      </c>
      <c r="C21" s="2196" t="s">
        <v>288</v>
      </c>
      <c r="D21" s="2197">
        <v>129766730.02280122</v>
      </c>
      <c r="E21" s="2197">
        <v>20324396</v>
      </c>
      <c r="F21" s="2198">
        <f>+D21+E21</f>
        <v>150091126.02280122</v>
      </c>
      <c r="G21" s="2197">
        <v>3577327</v>
      </c>
      <c r="I21" s="396"/>
      <c r="J21" s="599"/>
      <c r="K21" s="396"/>
      <c r="L21" s="599"/>
      <c r="M21" s="396"/>
      <c r="N21" s="599"/>
      <c r="O21" s="396"/>
      <c r="P21" s="396"/>
      <c r="Q21" s="396"/>
      <c r="R21" s="396"/>
      <c r="S21" s="396"/>
    </row>
    <row r="22" spans="2:19">
      <c r="B22" s="1394">
        <v>10</v>
      </c>
      <c r="C22" s="2192" t="s">
        <v>289</v>
      </c>
      <c r="D22" s="2193">
        <v>11554637</v>
      </c>
      <c r="E22" s="2193">
        <v>55800</v>
      </c>
      <c r="F22" s="2194">
        <f t="shared" si="1"/>
        <v>11610437</v>
      </c>
      <c r="G22" s="2193">
        <v>1144951</v>
      </c>
      <c r="I22" s="396"/>
      <c r="J22" s="599"/>
      <c r="K22" s="396"/>
      <c r="L22" s="599"/>
      <c r="M22" s="396"/>
      <c r="N22" s="599"/>
      <c r="O22" s="396"/>
      <c r="P22" s="396"/>
      <c r="Q22" s="396"/>
      <c r="R22" s="396"/>
      <c r="S22" s="396"/>
    </row>
    <row r="23" spans="2:19">
      <c r="B23" s="1394">
        <v>11</v>
      </c>
      <c r="C23" s="2192" t="s">
        <v>290</v>
      </c>
      <c r="D23" s="2193">
        <v>67593649.34488982</v>
      </c>
      <c r="E23" s="2193">
        <v>958871</v>
      </c>
      <c r="F23" s="2194">
        <f t="shared" si="1"/>
        <v>68552520.34488982</v>
      </c>
      <c r="G23" s="2193">
        <v>601162</v>
      </c>
      <c r="I23" s="396"/>
      <c r="J23" s="599"/>
      <c r="K23" s="396"/>
      <c r="L23" s="599"/>
      <c r="M23" s="396"/>
      <c r="N23" s="599"/>
      <c r="O23" s="396"/>
      <c r="P23" s="396"/>
      <c r="Q23" s="396"/>
      <c r="R23" s="396"/>
      <c r="S23" s="396"/>
    </row>
    <row r="24" spans="2:19">
      <c r="B24" s="1394">
        <v>12</v>
      </c>
      <c r="C24" s="2192" t="s">
        <v>291</v>
      </c>
      <c r="D24" s="2193">
        <v>45511628.7755614</v>
      </c>
      <c r="E24" s="2193">
        <v>19309725</v>
      </c>
      <c r="F24" s="2194">
        <f t="shared" si="1"/>
        <v>64821353.7755614</v>
      </c>
      <c r="G24" s="2193">
        <v>1831214</v>
      </c>
      <c r="I24" s="396"/>
      <c r="J24" s="599"/>
      <c r="K24" s="396"/>
      <c r="L24" s="599"/>
      <c r="M24" s="396"/>
      <c r="N24" s="599"/>
      <c r="O24" s="396"/>
      <c r="P24" s="396"/>
      <c r="Q24" s="396"/>
      <c r="R24" s="396"/>
      <c r="S24" s="396"/>
    </row>
    <row r="25" spans="2:19" ht="26.45">
      <c r="B25" s="1394">
        <v>13</v>
      </c>
      <c r="C25" s="2192" t="s">
        <v>292</v>
      </c>
      <c r="D25" s="2193">
        <v>5106814.9023500001</v>
      </c>
      <c r="E25" s="2193">
        <v>0</v>
      </c>
      <c r="F25" s="2194">
        <f t="shared" si="1"/>
        <v>5106814.9023500001</v>
      </c>
      <c r="G25" s="2193">
        <v>0</v>
      </c>
      <c r="I25" s="396"/>
      <c r="J25" s="599"/>
      <c r="K25" s="396"/>
      <c r="L25" s="599"/>
      <c r="M25" s="396"/>
      <c r="N25" s="599"/>
      <c r="O25" s="396"/>
      <c r="P25" s="396"/>
      <c r="Q25" s="396"/>
      <c r="R25" s="396"/>
      <c r="S25" s="396"/>
    </row>
    <row r="26" spans="2:19">
      <c r="B26" s="1394">
        <v>14</v>
      </c>
      <c r="C26" s="1853" t="s">
        <v>293</v>
      </c>
      <c r="D26" s="2193">
        <v>0</v>
      </c>
      <c r="E26" s="2193">
        <v>0</v>
      </c>
      <c r="F26" s="2194">
        <f t="shared" si="1"/>
        <v>0</v>
      </c>
      <c r="G26" s="2193">
        <v>0</v>
      </c>
      <c r="I26" s="396"/>
      <c r="J26" s="599"/>
      <c r="K26" s="396"/>
      <c r="L26" s="599"/>
      <c r="M26" s="396"/>
      <c r="N26" s="599"/>
      <c r="O26" s="396"/>
      <c r="P26" s="396"/>
      <c r="Q26" s="396"/>
      <c r="R26" s="396"/>
      <c r="S26" s="396"/>
    </row>
    <row r="27" spans="2:19">
      <c r="B27" s="1394">
        <v>15</v>
      </c>
      <c r="C27" s="1853" t="s">
        <v>294</v>
      </c>
      <c r="D27" s="2193">
        <v>16993268.025027301</v>
      </c>
      <c r="E27" s="2193">
        <v>1680734</v>
      </c>
      <c r="F27" s="2194">
        <f t="shared" si="1"/>
        <v>18674002.025027301</v>
      </c>
      <c r="G27" s="2193">
        <v>1417548</v>
      </c>
      <c r="I27" s="396"/>
      <c r="J27" s="599"/>
      <c r="K27" s="396"/>
      <c r="L27" s="599"/>
      <c r="M27" s="396"/>
      <c r="N27" s="599"/>
      <c r="O27" s="396"/>
      <c r="P27" s="396"/>
      <c r="Q27" s="396"/>
      <c r="R27" s="396"/>
      <c r="S27" s="396"/>
    </row>
    <row r="28" spans="2:19">
      <c r="B28" s="1394">
        <v>16</v>
      </c>
      <c r="C28" s="1853" t="s">
        <v>295</v>
      </c>
      <c r="D28" s="2193">
        <v>30047275.843310881</v>
      </c>
      <c r="E28" s="2193">
        <v>3285369</v>
      </c>
      <c r="F28" s="2194">
        <f t="shared" si="1"/>
        <v>33332644.843310881</v>
      </c>
      <c r="G28" s="2193">
        <v>1746898</v>
      </c>
      <c r="I28" s="396"/>
      <c r="J28" s="599"/>
      <c r="K28" s="396"/>
      <c r="L28" s="599"/>
      <c r="M28" s="396"/>
      <c r="N28" s="599"/>
      <c r="O28" s="396"/>
      <c r="P28" s="396"/>
      <c r="Q28" s="396"/>
      <c r="R28" s="396"/>
      <c r="S28" s="396"/>
    </row>
    <row r="29" spans="2:19" s="295" customFormat="1">
      <c r="B29" s="1394">
        <v>17</v>
      </c>
      <c r="C29" s="2195" t="s">
        <v>233</v>
      </c>
      <c r="D29" s="2193">
        <v>11110344.398223246</v>
      </c>
      <c r="E29" s="2193">
        <v>50063</v>
      </c>
      <c r="F29" s="2194">
        <f t="shared" si="1"/>
        <v>11160407.398223246</v>
      </c>
      <c r="G29" s="2193">
        <v>1000004</v>
      </c>
      <c r="H29" s="292"/>
      <c r="I29" s="396"/>
      <c r="J29" s="599"/>
      <c r="K29" s="396"/>
      <c r="L29" s="599"/>
      <c r="M29" s="396"/>
      <c r="N29" s="599"/>
      <c r="O29" s="396"/>
      <c r="P29" s="396"/>
      <c r="Q29" s="396"/>
      <c r="R29" s="396"/>
      <c r="S29" s="396"/>
    </row>
    <row r="30" spans="2:19">
      <c r="B30" s="1394">
        <v>18</v>
      </c>
      <c r="C30" s="2192" t="s">
        <v>406</v>
      </c>
      <c r="D30" s="2193">
        <v>3481488</v>
      </c>
      <c r="E30" s="2193">
        <v>619979</v>
      </c>
      <c r="F30" s="2194">
        <f t="shared" si="1"/>
        <v>4101467</v>
      </c>
      <c r="G30" s="2193">
        <v>220517</v>
      </c>
      <c r="I30" s="396"/>
      <c r="J30" s="599"/>
      <c r="K30" s="396"/>
      <c r="L30" s="599"/>
      <c r="M30" s="396"/>
      <c r="N30" s="599"/>
      <c r="O30" s="396"/>
      <c r="P30" s="396"/>
      <c r="Q30" s="396"/>
      <c r="R30" s="396"/>
      <c r="S30" s="396"/>
    </row>
    <row r="31" spans="2:19" ht="13.9" thickBot="1">
      <c r="B31" s="1394">
        <v>19</v>
      </c>
      <c r="C31" s="2195" t="s">
        <v>234</v>
      </c>
      <c r="D31" s="2199">
        <v>9846479.5519999992</v>
      </c>
      <c r="E31" s="2199">
        <v>57217</v>
      </c>
      <c r="F31" s="2200">
        <f t="shared" si="1"/>
        <v>9903696.5519999992</v>
      </c>
      <c r="G31" s="2199">
        <v>1220075</v>
      </c>
      <c r="I31" s="396"/>
      <c r="J31" s="599"/>
      <c r="K31" s="396"/>
      <c r="L31" s="599"/>
      <c r="M31" s="396"/>
      <c r="N31" s="599"/>
      <c r="O31" s="396"/>
      <c r="P31" s="396"/>
      <c r="Q31" s="396"/>
      <c r="R31" s="396"/>
      <c r="S31" s="396"/>
    </row>
    <row r="32" spans="2:19" ht="27" thickBot="1">
      <c r="B32" s="1406">
        <v>20</v>
      </c>
      <c r="C32" s="1407" t="s">
        <v>407</v>
      </c>
      <c r="D32" s="1408">
        <v>255450790.45147488</v>
      </c>
      <c r="E32" s="1408">
        <v>26055287</v>
      </c>
      <c r="F32" s="1408">
        <f>+D32+E32</f>
        <v>281506077.45147491</v>
      </c>
      <c r="G32" s="1408">
        <v>9182369</v>
      </c>
      <c r="I32" s="396"/>
      <c r="J32" s="599"/>
      <c r="K32" s="396"/>
      <c r="L32" s="599"/>
      <c r="M32" s="396"/>
      <c r="N32" s="599"/>
      <c r="O32" s="396"/>
      <c r="P32" s="396"/>
      <c r="Q32" s="396"/>
      <c r="R32" s="396"/>
      <c r="S32" s="396"/>
    </row>
    <row r="33" spans="2:19">
      <c r="B33" s="1394"/>
      <c r="C33" s="1398" t="s">
        <v>300</v>
      </c>
      <c r="D33" s="539">
        <v>0</v>
      </c>
      <c r="E33" s="540">
        <v>0</v>
      </c>
      <c r="F33" s="1405">
        <f t="shared" si="1"/>
        <v>0</v>
      </c>
      <c r="G33" s="541">
        <v>0</v>
      </c>
      <c r="I33" s="396"/>
      <c r="J33" s="599"/>
      <c r="K33" s="396"/>
      <c r="L33" s="599"/>
      <c r="M33" s="396"/>
      <c r="N33" s="599"/>
      <c r="O33" s="396"/>
      <c r="P33" s="396"/>
      <c r="Q33" s="396"/>
      <c r="R33" s="396"/>
      <c r="S33" s="396"/>
    </row>
    <row r="34" spans="2:19">
      <c r="B34" s="1394"/>
      <c r="C34" s="1399" t="s">
        <v>301</v>
      </c>
      <c r="D34" s="2201">
        <v>0</v>
      </c>
      <c r="E34" s="2202">
        <v>0</v>
      </c>
      <c r="F34" s="2194">
        <f t="shared" si="1"/>
        <v>0</v>
      </c>
      <c r="G34" s="2193">
        <v>0</v>
      </c>
      <c r="I34" s="396"/>
      <c r="J34" s="599"/>
      <c r="K34" s="396"/>
      <c r="L34" s="599"/>
      <c r="M34" s="396"/>
      <c r="N34" s="599"/>
      <c r="O34" s="396"/>
      <c r="P34" s="396"/>
      <c r="Q34" s="396"/>
      <c r="R34" s="396"/>
      <c r="S34" s="396"/>
    </row>
    <row r="35" spans="2:19">
      <c r="B35" s="1394">
        <v>21</v>
      </c>
      <c r="C35" s="2203" t="s">
        <v>302</v>
      </c>
      <c r="D35" s="2201">
        <v>89285568.967629373</v>
      </c>
      <c r="E35" s="2202">
        <v>5965606</v>
      </c>
      <c r="F35" s="2194">
        <f t="shared" si="1"/>
        <v>95251174.967629373</v>
      </c>
      <c r="G35" s="2193">
        <v>5816009</v>
      </c>
      <c r="I35" s="396"/>
      <c r="J35" s="599"/>
      <c r="K35" s="396"/>
      <c r="L35" s="599"/>
      <c r="M35" s="396"/>
      <c r="N35" s="599"/>
      <c r="O35" s="396"/>
      <c r="P35" s="396"/>
      <c r="Q35" s="396"/>
      <c r="R35" s="396"/>
      <c r="S35" s="396"/>
    </row>
    <row r="36" spans="2:19">
      <c r="B36" s="1394">
        <v>22</v>
      </c>
      <c r="C36" s="2204" t="s">
        <v>303</v>
      </c>
      <c r="D36" s="2201">
        <v>1616465.38539</v>
      </c>
      <c r="E36" s="2202">
        <v>0</v>
      </c>
      <c r="F36" s="2194">
        <f t="shared" si="1"/>
        <v>1616465.38539</v>
      </c>
      <c r="G36" s="2193">
        <v>0</v>
      </c>
      <c r="I36" s="396"/>
      <c r="J36" s="599"/>
      <c r="K36" s="396"/>
      <c r="L36" s="599"/>
      <c r="M36" s="396"/>
      <c r="N36" s="599"/>
      <c r="O36" s="396"/>
      <c r="P36" s="396"/>
      <c r="Q36" s="396"/>
      <c r="R36" s="396"/>
      <c r="S36" s="396"/>
    </row>
    <row r="37" spans="2:19">
      <c r="B37" s="1394">
        <v>23</v>
      </c>
      <c r="C37" s="2204" t="s">
        <v>304</v>
      </c>
      <c r="D37" s="2201">
        <v>18018515.65825275</v>
      </c>
      <c r="E37" s="2202">
        <v>100607</v>
      </c>
      <c r="F37" s="2194">
        <f t="shared" si="1"/>
        <v>18119122.65825275</v>
      </c>
      <c r="G37" s="2193">
        <v>826019</v>
      </c>
      <c r="I37" s="396"/>
      <c r="J37" s="599"/>
      <c r="K37" s="396"/>
      <c r="L37" s="599"/>
      <c r="M37" s="396"/>
      <c r="N37" s="599"/>
      <c r="O37" s="396"/>
      <c r="P37" s="396"/>
      <c r="Q37" s="396"/>
      <c r="R37" s="396"/>
      <c r="S37" s="396"/>
    </row>
    <row r="38" spans="2:19">
      <c r="B38" s="1394">
        <v>24</v>
      </c>
      <c r="C38" s="2204" t="s">
        <v>305</v>
      </c>
      <c r="D38" s="2201">
        <v>1043648.4569999999</v>
      </c>
      <c r="E38" s="2202">
        <v>1079</v>
      </c>
      <c r="F38" s="2194">
        <f t="shared" si="1"/>
        <v>1044727.4569999999</v>
      </c>
      <c r="G38" s="2193">
        <v>0</v>
      </c>
      <c r="I38" s="396"/>
      <c r="J38" s="599"/>
      <c r="K38" s="396"/>
      <c r="L38" s="599"/>
      <c r="M38" s="396"/>
      <c r="N38" s="599"/>
      <c r="O38" s="396"/>
      <c r="P38" s="396"/>
      <c r="Q38" s="396"/>
      <c r="R38" s="396"/>
      <c r="S38" s="396"/>
    </row>
    <row r="39" spans="2:19">
      <c r="B39" s="1394">
        <v>25</v>
      </c>
      <c r="C39" s="2203" t="s">
        <v>306</v>
      </c>
      <c r="D39" s="2201">
        <v>773334.29550000001</v>
      </c>
      <c r="E39" s="2202">
        <v>41074</v>
      </c>
      <c r="F39" s="2194">
        <f t="shared" si="1"/>
        <v>814408.29550000001</v>
      </c>
      <c r="G39" s="2193">
        <v>0</v>
      </c>
      <c r="I39" s="396"/>
      <c r="J39" s="599"/>
      <c r="K39" s="396"/>
      <c r="L39" s="599"/>
      <c r="M39" s="396"/>
      <c r="N39" s="599"/>
      <c r="O39" s="396"/>
      <c r="P39" s="396"/>
      <c r="Q39" s="396"/>
      <c r="R39" s="396"/>
      <c r="S39" s="396"/>
    </row>
    <row r="40" spans="2:19" ht="13.9" thickBot="1">
      <c r="B40" s="1394">
        <v>26</v>
      </c>
      <c r="C40" s="2205" t="s">
        <v>307</v>
      </c>
      <c r="D40" s="2206">
        <v>30624388.277188346</v>
      </c>
      <c r="E40" s="3145">
        <v>2106675</v>
      </c>
      <c r="F40" s="2200">
        <f t="shared" si="1"/>
        <v>32731063.277188346</v>
      </c>
      <c r="G40" s="2199">
        <v>42438</v>
      </c>
      <c r="I40" s="396"/>
      <c r="J40" s="599"/>
      <c r="K40" s="396"/>
      <c r="L40" s="599"/>
      <c r="M40" s="396"/>
      <c r="N40" s="599"/>
      <c r="O40" s="396"/>
      <c r="P40" s="396"/>
      <c r="Q40" s="396"/>
      <c r="R40" s="396"/>
      <c r="S40" s="396"/>
    </row>
    <row r="41" spans="2:19" ht="27" thickBot="1">
      <c r="B41" s="1397">
        <v>27</v>
      </c>
      <c r="C41" s="1400" t="s">
        <v>408</v>
      </c>
      <c r="D41" s="542">
        <v>141361920.04096049</v>
      </c>
      <c r="E41" s="622">
        <v>8215041</v>
      </c>
      <c r="F41" s="1404">
        <f t="shared" si="1"/>
        <v>149576961.04096049</v>
      </c>
      <c r="G41" s="538">
        <v>6684466</v>
      </c>
      <c r="I41" s="396"/>
      <c r="J41" s="599"/>
      <c r="K41" s="396"/>
      <c r="L41" s="599"/>
      <c r="M41" s="396"/>
      <c r="N41" s="599"/>
      <c r="O41" s="396"/>
      <c r="P41" s="396"/>
      <c r="Q41" s="396"/>
      <c r="R41" s="396"/>
      <c r="S41" s="396"/>
    </row>
    <row r="42" spans="2:19">
      <c r="B42" s="1394"/>
      <c r="C42" s="1401" t="s">
        <v>409</v>
      </c>
      <c r="D42" s="539">
        <v>0</v>
      </c>
      <c r="E42" s="540">
        <v>0</v>
      </c>
      <c r="F42" s="1405">
        <f t="shared" si="1"/>
        <v>0</v>
      </c>
      <c r="G42" s="541">
        <v>0</v>
      </c>
      <c r="I42" s="396"/>
      <c r="J42" s="599"/>
      <c r="K42" s="396"/>
      <c r="L42" s="599"/>
      <c r="M42" s="396"/>
      <c r="N42" s="599"/>
      <c r="O42" s="396"/>
      <c r="P42" s="396"/>
      <c r="Q42" s="396"/>
      <c r="R42" s="396"/>
      <c r="S42" s="396"/>
    </row>
    <row r="43" spans="2:19" s="295" customFormat="1">
      <c r="B43" s="1394">
        <v>28</v>
      </c>
      <c r="C43" s="2203" t="s">
        <v>410</v>
      </c>
      <c r="D43" s="2201">
        <v>30074456.041000001</v>
      </c>
      <c r="E43" s="2202">
        <v>0</v>
      </c>
      <c r="F43" s="2194">
        <f t="shared" si="1"/>
        <v>30074456.041000001</v>
      </c>
      <c r="G43" s="2193">
        <v>0</v>
      </c>
      <c r="H43" s="292"/>
      <c r="I43" s="396"/>
      <c r="J43" s="599"/>
      <c r="K43" s="396"/>
      <c r="L43" s="599"/>
      <c r="M43" s="396"/>
      <c r="N43" s="599"/>
      <c r="O43" s="396"/>
      <c r="P43" s="396"/>
      <c r="Q43" s="396"/>
      <c r="R43" s="396"/>
      <c r="S43" s="396"/>
    </row>
    <row r="44" spans="2:19">
      <c r="B44" s="1394">
        <v>29</v>
      </c>
      <c r="C44" s="2203" t="s">
        <v>311</v>
      </c>
      <c r="D44" s="2201">
        <v>2663785.6789999995</v>
      </c>
      <c r="E44" s="2202">
        <v>0</v>
      </c>
      <c r="F44" s="2194">
        <f t="shared" si="1"/>
        <v>2663785.6789999995</v>
      </c>
      <c r="G44" s="2193">
        <v>0</v>
      </c>
      <c r="I44" s="396"/>
      <c r="J44" s="599"/>
      <c r="K44" s="396"/>
      <c r="L44" s="599"/>
      <c r="M44" s="396"/>
      <c r="N44" s="599"/>
      <c r="O44" s="396"/>
      <c r="P44" s="396"/>
      <c r="Q44" s="396"/>
      <c r="R44" s="396"/>
      <c r="S44" s="396"/>
    </row>
    <row r="45" spans="2:19">
      <c r="B45" s="1394">
        <v>30</v>
      </c>
      <c r="C45" s="2207" t="s">
        <v>312</v>
      </c>
      <c r="D45" s="2201">
        <v>10889307.03179447</v>
      </c>
      <c r="E45" s="2202">
        <v>0</v>
      </c>
      <c r="F45" s="2194">
        <f t="shared" si="1"/>
        <v>10889307.03179447</v>
      </c>
      <c r="G45" s="2193">
        <v>0</v>
      </c>
      <c r="I45" s="396"/>
      <c r="J45" s="599"/>
      <c r="K45" s="396"/>
      <c r="L45" s="599"/>
      <c r="M45" s="396"/>
      <c r="N45" s="599"/>
      <c r="O45" s="396"/>
      <c r="P45" s="396"/>
      <c r="Q45" s="396"/>
      <c r="R45" s="396"/>
      <c r="S45" s="396"/>
    </row>
    <row r="46" spans="2:19" ht="13.9" thickBot="1">
      <c r="B46" s="1394">
        <v>31</v>
      </c>
      <c r="C46" s="2207" t="s">
        <v>314</v>
      </c>
      <c r="D46" s="2201">
        <v>70461324.658069998</v>
      </c>
      <c r="E46" s="2202">
        <v>17840247</v>
      </c>
      <c r="F46" s="2194">
        <f t="shared" si="1"/>
        <v>88301571.658069998</v>
      </c>
      <c r="G46" s="2193">
        <v>2497902</v>
      </c>
      <c r="I46" s="396"/>
      <c r="J46" s="599"/>
      <c r="K46" s="396"/>
      <c r="L46" s="599"/>
      <c r="M46" s="396"/>
      <c r="N46" s="599"/>
      <c r="O46" s="396"/>
      <c r="P46" s="396"/>
      <c r="Q46" s="396"/>
      <c r="R46" s="396"/>
      <c r="S46" s="396"/>
    </row>
    <row r="47" spans="2:19" ht="13.9" thickBot="1">
      <c r="B47" s="1397">
        <v>32</v>
      </c>
      <c r="C47" s="1402" t="s">
        <v>315</v>
      </c>
      <c r="D47" s="2206">
        <v>114088873.40986447</v>
      </c>
      <c r="E47" s="3145">
        <v>17840247</v>
      </c>
      <c r="F47" s="2200">
        <f t="shared" si="1"/>
        <v>131929120.40986447</v>
      </c>
      <c r="G47" s="2199">
        <v>2497902</v>
      </c>
      <c r="I47" s="396"/>
      <c r="J47" s="599"/>
      <c r="K47" s="396"/>
      <c r="L47" s="599"/>
      <c r="M47" s="396"/>
      <c r="N47" s="599"/>
      <c r="O47" s="396"/>
      <c r="P47" s="396"/>
      <c r="Q47" s="396"/>
      <c r="R47" s="396"/>
      <c r="S47" s="396"/>
    </row>
    <row r="48" spans="2:19" ht="27" thickBot="1">
      <c r="B48" s="1409">
        <v>33</v>
      </c>
      <c r="C48" s="1410" t="s">
        <v>322</v>
      </c>
      <c r="D48" s="1411">
        <v>255450795.45082495</v>
      </c>
      <c r="E48" s="1411">
        <v>26055288</v>
      </c>
      <c r="F48" s="1411">
        <f t="shared" si="1"/>
        <v>281506083.45082498</v>
      </c>
      <c r="G48" s="1412">
        <v>9182368</v>
      </c>
      <c r="I48" s="396"/>
      <c r="J48" s="599"/>
      <c r="K48" s="396"/>
      <c r="L48" s="599"/>
      <c r="M48" s="396"/>
      <c r="N48" s="599"/>
      <c r="O48" s="396"/>
      <c r="P48" s="396"/>
      <c r="Q48" s="396"/>
      <c r="R48" s="396"/>
      <c r="S48" s="396"/>
    </row>
    <row r="49" spans="2:19">
      <c r="C49" s="543"/>
      <c r="D49" s="516"/>
      <c r="E49" s="516"/>
      <c r="F49" s="516"/>
      <c r="G49" s="516"/>
      <c r="H49" s="396"/>
      <c r="I49" s="396"/>
      <c r="J49" s="396"/>
      <c r="K49" s="396"/>
      <c r="L49" s="396"/>
      <c r="M49" s="396"/>
      <c r="N49" s="396"/>
      <c r="O49" s="396"/>
      <c r="P49" s="396"/>
      <c r="Q49" s="396"/>
      <c r="R49" s="396"/>
      <c r="S49" s="396"/>
    </row>
    <row r="50" spans="2:19" ht="25.5" customHeight="1">
      <c r="C50" s="3258" t="s">
        <v>411</v>
      </c>
      <c r="D50" s="3258"/>
      <c r="E50" s="3258"/>
      <c r="F50" s="396"/>
      <c r="G50" s="396"/>
      <c r="H50" s="396">
        <v>81</v>
      </c>
      <c r="I50" s="396"/>
      <c r="J50" s="396"/>
      <c r="K50" s="396"/>
      <c r="L50" s="396"/>
      <c r="M50" s="396"/>
      <c r="N50" s="396"/>
      <c r="O50" s="396"/>
      <c r="P50" s="396"/>
      <c r="Q50" s="396"/>
      <c r="R50" s="396"/>
      <c r="S50" s="396"/>
    </row>
    <row r="51" spans="2:19">
      <c r="B51" s="196"/>
      <c r="C51" s="627"/>
      <c r="D51" s="383"/>
      <c r="E51" s="383"/>
      <c r="F51" s="293"/>
      <c r="I51" s="396"/>
      <c r="J51" s="396"/>
      <c r="K51" s="396"/>
      <c r="L51" s="396"/>
      <c r="M51" s="396"/>
      <c r="N51" s="396"/>
      <c r="O51" s="396"/>
      <c r="P51" s="396"/>
      <c r="Q51" s="396"/>
      <c r="R51" s="396"/>
      <c r="S51" s="396"/>
    </row>
    <row r="52" spans="2:19">
      <c r="B52" s="236" t="s">
        <v>412</v>
      </c>
      <c r="C52" s="236"/>
      <c r="D52" s="236"/>
      <c r="E52" s="236"/>
      <c r="F52" s="236"/>
      <c r="I52" s="396"/>
      <c r="J52" s="396"/>
      <c r="K52" s="396"/>
      <c r="L52" s="396"/>
      <c r="M52" s="396"/>
      <c r="N52" s="396"/>
      <c r="O52" s="396"/>
      <c r="P52" s="396"/>
      <c r="Q52" s="396"/>
      <c r="R52" s="396"/>
      <c r="S52" s="396"/>
    </row>
    <row r="53" spans="2:19" ht="13.9" thickBot="1">
      <c r="B53" s="51"/>
      <c r="C53" s="51"/>
      <c r="D53" s="51"/>
      <c r="E53" s="51"/>
      <c r="F53" s="51"/>
      <c r="I53" s="396"/>
      <c r="J53" s="396"/>
      <c r="K53" s="396"/>
      <c r="L53" s="396"/>
      <c r="M53" s="396"/>
      <c r="N53" s="396"/>
      <c r="O53" s="396"/>
      <c r="P53" s="396"/>
      <c r="Q53" s="396"/>
      <c r="R53" s="396"/>
      <c r="S53" s="396"/>
    </row>
    <row r="54" spans="2:19" ht="13.9" thickBot="1">
      <c r="B54" s="3344" t="s">
        <v>413</v>
      </c>
      <c r="C54" s="3345"/>
      <c r="D54" s="425"/>
      <c r="E54" s="532"/>
      <c r="F54" s="532"/>
      <c r="G54" s="396"/>
      <c r="H54" s="396"/>
      <c r="I54" s="396"/>
      <c r="J54" s="396"/>
      <c r="K54" s="396"/>
      <c r="L54" s="396"/>
      <c r="M54" s="396"/>
      <c r="N54" s="396"/>
      <c r="O54" s="396"/>
      <c r="P54" s="396"/>
      <c r="Q54" s="396"/>
      <c r="R54" s="396"/>
      <c r="S54" s="396"/>
    </row>
    <row r="55" spans="2:19">
      <c r="B55" s="3284" t="s">
        <v>396</v>
      </c>
      <c r="C55" s="3346"/>
      <c r="D55" s="3283" t="s">
        <v>414</v>
      </c>
      <c r="E55" s="274"/>
      <c r="I55" s="396"/>
      <c r="J55" s="396"/>
      <c r="K55" s="396"/>
      <c r="L55" s="396"/>
      <c r="M55" s="396"/>
      <c r="N55" s="396"/>
      <c r="O55" s="396"/>
      <c r="P55" s="396"/>
      <c r="Q55" s="396"/>
      <c r="R55" s="396"/>
      <c r="S55" s="396"/>
    </row>
    <row r="56" spans="2:19">
      <c r="B56" s="3284"/>
      <c r="C56" s="3346"/>
      <c r="D56" s="3284"/>
      <c r="E56" s="443"/>
      <c r="I56" s="396"/>
      <c r="J56" s="396"/>
      <c r="K56" s="396"/>
      <c r="L56" s="396"/>
      <c r="M56" s="396"/>
      <c r="N56" s="396"/>
      <c r="O56" s="396"/>
      <c r="P56" s="396"/>
      <c r="Q56" s="396"/>
      <c r="R56" s="396"/>
      <c r="S56" s="396"/>
    </row>
    <row r="57" spans="2:19">
      <c r="B57" s="3285"/>
      <c r="C57" s="3347"/>
      <c r="D57" s="3285"/>
      <c r="E57" s="443"/>
      <c r="I57" s="396"/>
      <c r="J57" s="396"/>
      <c r="K57" s="396"/>
      <c r="L57" s="396"/>
      <c r="M57" s="396"/>
      <c r="N57" s="396"/>
      <c r="O57" s="396"/>
      <c r="P57" s="396"/>
      <c r="Q57" s="396"/>
      <c r="R57" s="396"/>
      <c r="S57" s="396"/>
    </row>
    <row r="58" spans="2:19" ht="14.45">
      <c r="B58" s="1394"/>
      <c r="C58" s="1413" t="s">
        <v>275</v>
      </c>
      <c r="D58" s="709"/>
      <c r="E58" s="293"/>
      <c r="I58" s="396"/>
      <c r="J58" s="396"/>
      <c r="K58" s="396"/>
      <c r="L58" s="396"/>
      <c r="M58" s="396"/>
      <c r="N58" s="396"/>
      <c r="O58" s="396"/>
      <c r="P58" s="396"/>
      <c r="Q58" s="396"/>
      <c r="R58" s="396"/>
      <c r="S58" s="396"/>
    </row>
    <row r="59" spans="2:19" ht="14.45">
      <c r="B59" s="1394">
        <v>1</v>
      </c>
      <c r="C59" s="2192" t="s">
        <v>276</v>
      </c>
      <c r="D59" s="729"/>
      <c r="E59" s="527"/>
      <c r="F59" s="385"/>
      <c r="I59" s="396"/>
      <c r="J59" s="396"/>
      <c r="K59" s="396"/>
      <c r="L59" s="396"/>
      <c r="M59" s="396"/>
      <c r="N59" s="396"/>
      <c r="O59" s="396"/>
      <c r="P59" s="396"/>
      <c r="Q59" s="396"/>
      <c r="R59" s="396"/>
      <c r="S59" s="396"/>
    </row>
    <row r="60" spans="2:19">
      <c r="B60" s="1394">
        <v>2</v>
      </c>
      <c r="C60" s="2192" t="s">
        <v>277</v>
      </c>
      <c r="D60" s="730">
        <v>1310851.5449999999</v>
      </c>
      <c r="E60" s="293"/>
      <c r="F60" s="385"/>
      <c r="G60" s="396"/>
      <c r="I60" s="396"/>
      <c r="J60" s="396"/>
      <c r="K60" s="396"/>
      <c r="L60" s="396"/>
      <c r="M60" s="396"/>
      <c r="N60" s="396"/>
      <c r="O60" s="396"/>
      <c r="P60" s="396"/>
      <c r="Q60" s="396"/>
      <c r="R60" s="396"/>
      <c r="S60" s="396"/>
    </row>
    <row r="61" spans="2:19">
      <c r="B61" s="1394">
        <v>3</v>
      </c>
      <c r="C61" s="2192" t="s">
        <v>278</v>
      </c>
      <c r="D61" s="731">
        <v>2189150.3229999999</v>
      </c>
      <c r="E61" s="293"/>
      <c r="F61" s="385"/>
      <c r="G61" s="396"/>
      <c r="I61" s="396"/>
      <c r="J61" s="396"/>
      <c r="K61" s="396"/>
      <c r="L61" s="396"/>
      <c r="M61" s="396"/>
      <c r="N61" s="396"/>
      <c r="O61" s="396"/>
      <c r="P61" s="396"/>
      <c r="Q61" s="396"/>
      <c r="R61" s="396"/>
      <c r="S61" s="396"/>
    </row>
    <row r="62" spans="2:19">
      <c r="B62" s="1394">
        <v>4</v>
      </c>
      <c r="C62" s="2192" t="s">
        <v>279</v>
      </c>
      <c r="D62" s="731">
        <v>1017982.159</v>
      </c>
      <c r="E62" s="293"/>
      <c r="F62" s="385"/>
      <c r="G62" s="396"/>
      <c r="I62" s="396"/>
      <c r="J62" s="396"/>
      <c r="K62" s="396"/>
      <c r="L62" s="396"/>
      <c r="M62" s="396"/>
      <c r="N62" s="396"/>
      <c r="O62" s="396"/>
      <c r="P62" s="396"/>
      <c r="Q62" s="396"/>
      <c r="R62" s="396"/>
      <c r="S62" s="396"/>
    </row>
    <row r="63" spans="2:19">
      <c r="B63" s="1394">
        <v>5</v>
      </c>
      <c r="C63" s="2192" t="s">
        <v>243</v>
      </c>
      <c r="D63" s="731">
        <v>210189.40700000001</v>
      </c>
      <c r="E63" s="293"/>
      <c r="F63" s="385"/>
      <c r="G63" s="396"/>
      <c r="I63" s="396"/>
      <c r="J63" s="396"/>
      <c r="K63" s="396"/>
      <c r="L63" s="396"/>
      <c r="M63" s="396"/>
      <c r="N63" s="396"/>
      <c r="O63" s="396"/>
      <c r="P63" s="396"/>
      <c r="Q63" s="396"/>
      <c r="R63" s="396"/>
      <c r="S63" s="396"/>
    </row>
    <row r="64" spans="2:19" ht="14.45">
      <c r="B64" s="1394">
        <v>6</v>
      </c>
      <c r="C64" s="2192" t="s">
        <v>281</v>
      </c>
      <c r="D64" s="729"/>
      <c r="E64" s="293"/>
      <c r="F64" s="385"/>
      <c r="G64" s="396"/>
      <c r="I64" s="396"/>
      <c r="J64" s="396"/>
      <c r="K64" s="396"/>
      <c r="L64" s="396"/>
      <c r="M64" s="396"/>
      <c r="N64" s="396"/>
      <c r="O64" s="396"/>
      <c r="P64" s="396"/>
      <c r="Q64" s="396"/>
      <c r="R64" s="396"/>
      <c r="S64" s="396"/>
    </row>
    <row r="65" spans="2:20" ht="14.45">
      <c r="B65" s="1394">
        <v>7</v>
      </c>
      <c r="C65" s="2192" t="s">
        <v>282</v>
      </c>
      <c r="D65" s="729"/>
      <c r="E65" s="293"/>
      <c r="F65" s="385"/>
      <c r="G65" s="396"/>
      <c r="I65" s="396"/>
      <c r="J65" s="396"/>
      <c r="K65" s="396"/>
      <c r="L65" s="396"/>
      <c r="M65" s="396"/>
      <c r="N65" s="396"/>
      <c r="O65" s="396"/>
      <c r="P65" s="396"/>
      <c r="Q65" s="396"/>
      <c r="R65" s="396"/>
      <c r="S65" s="396"/>
    </row>
    <row r="66" spans="2:20" ht="14.45">
      <c r="B66" s="1394"/>
      <c r="C66" s="2192" t="s">
        <v>401</v>
      </c>
      <c r="D66" s="729"/>
      <c r="E66" s="293"/>
      <c r="F66" s="385"/>
      <c r="G66" s="396"/>
      <c r="I66" s="396"/>
      <c r="J66" s="396"/>
      <c r="K66" s="396"/>
      <c r="L66" s="396"/>
      <c r="M66" s="396"/>
      <c r="N66" s="396"/>
      <c r="O66" s="396"/>
      <c r="P66" s="396"/>
      <c r="Q66" s="396"/>
      <c r="R66" s="396"/>
      <c r="S66" s="396"/>
    </row>
    <row r="67" spans="2:20" ht="14.45">
      <c r="B67" s="1394"/>
      <c r="C67" s="2195" t="s">
        <v>402</v>
      </c>
      <c r="D67" s="729"/>
      <c r="E67" s="293"/>
      <c r="F67" s="385"/>
      <c r="G67" s="396"/>
      <c r="I67" s="396"/>
      <c r="J67" s="396"/>
      <c r="K67" s="396"/>
      <c r="L67" s="396"/>
      <c r="M67" s="396"/>
      <c r="N67" s="396"/>
      <c r="O67" s="396"/>
      <c r="P67" s="396"/>
      <c r="Q67" s="396"/>
      <c r="R67" s="396"/>
      <c r="S67" s="396"/>
    </row>
    <row r="68" spans="2:20" ht="14.45">
      <c r="B68" s="1394">
        <v>8</v>
      </c>
      <c r="C68" s="2195" t="s">
        <v>403</v>
      </c>
      <c r="D68" s="729"/>
      <c r="E68" s="293"/>
      <c r="F68" s="385"/>
      <c r="G68" s="396"/>
      <c r="I68" s="396"/>
      <c r="J68" s="396"/>
      <c r="K68" s="396"/>
      <c r="L68" s="396"/>
      <c r="M68" s="396"/>
      <c r="N68" s="396"/>
      <c r="O68" s="396"/>
      <c r="P68" s="396"/>
      <c r="Q68" s="396"/>
      <c r="R68" s="396"/>
      <c r="S68" s="396"/>
    </row>
    <row r="69" spans="2:20" ht="14.45">
      <c r="B69" s="1394"/>
      <c r="C69" s="2192" t="s">
        <v>404</v>
      </c>
      <c r="D69" s="729"/>
      <c r="E69" s="293"/>
      <c r="F69" s="385"/>
      <c r="G69" s="396"/>
      <c r="I69" s="396"/>
      <c r="J69" s="396"/>
      <c r="K69" s="396"/>
      <c r="L69" s="396"/>
      <c r="M69" s="396"/>
      <c r="N69" s="396"/>
      <c r="O69" s="396"/>
      <c r="P69" s="396"/>
      <c r="Q69" s="396"/>
      <c r="R69" s="396"/>
      <c r="S69" s="396"/>
    </row>
    <row r="70" spans="2:20" ht="14.45">
      <c r="B70" s="1394"/>
      <c r="C70" s="2195" t="s">
        <v>405</v>
      </c>
      <c r="D70" s="729"/>
      <c r="E70" s="293"/>
      <c r="F70" s="385"/>
      <c r="G70" s="396"/>
      <c r="I70" s="396"/>
      <c r="J70" s="396"/>
      <c r="K70" s="396"/>
      <c r="L70" s="396"/>
      <c r="M70" s="396"/>
      <c r="N70" s="396"/>
      <c r="O70" s="396"/>
      <c r="P70" s="396"/>
      <c r="Q70" s="396"/>
      <c r="R70" s="396"/>
      <c r="S70" s="396"/>
    </row>
    <row r="71" spans="2:20" ht="26.45">
      <c r="B71" s="1396">
        <v>9</v>
      </c>
      <c r="C71" s="2208" t="s">
        <v>288</v>
      </c>
      <c r="D71" s="734">
        <v>17741589.903288599</v>
      </c>
      <c r="F71" s="385"/>
      <c r="G71" s="396"/>
      <c r="I71" s="396"/>
      <c r="J71" s="396"/>
      <c r="K71" s="396"/>
      <c r="L71" s="396"/>
      <c r="M71" s="396"/>
      <c r="N71" s="396"/>
      <c r="O71" s="396"/>
      <c r="P71" s="396"/>
      <c r="Q71" s="396"/>
      <c r="R71" s="396"/>
      <c r="S71" s="396"/>
    </row>
    <row r="72" spans="2:20">
      <c r="B72" s="1394">
        <v>10</v>
      </c>
      <c r="C72" s="2192" t="s">
        <v>289</v>
      </c>
      <c r="D72" s="741"/>
      <c r="E72" s="293"/>
      <c r="F72" s="385"/>
      <c r="G72" s="396"/>
      <c r="I72" s="396"/>
      <c r="J72" s="396"/>
      <c r="K72" s="396"/>
      <c r="L72" s="396"/>
      <c r="M72" s="396"/>
      <c r="N72" s="396"/>
      <c r="O72" s="396"/>
      <c r="P72" s="396"/>
      <c r="Q72" s="396"/>
      <c r="R72" s="396"/>
      <c r="S72" s="396"/>
    </row>
    <row r="73" spans="2:20">
      <c r="B73" s="1394">
        <v>11</v>
      </c>
      <c r="C73" s="2192" t="s">
        <v>290</v>
      </c>
      <c r="D73" s="731">
        <v>109852.97862000001</v>
      </c>
      <c r="E73" s="293"/>
      <c r="F73" s="385"/>
      <c r="G73" s="396"/>
      <c r="I73" s="396"/>
      <c r="J73" s="396"/>
      <c r="K73" s="396"/>
      <c r="L73" s="396"/>
      <c r="M73" s="396"/>
      <c r="N73" s="396"/>
      <c r="O73" s="396"/>
      <c r="P73" s="396"/>
      <c r="Q73" s="396"/>
      <c r="R73" s="396"/>
      <c r="S73" s="396"/>
    </row>
    <row r="74" spans="2:20">
      <c r="B74" s="1394">
        <v>12</v>
      </c>
      <c r="C74" s="2192" t="s">
        <v>291</v>
      </c>
      <c r="D74" s="731">
        <v>17631736.924668599</v>
      </c>
      <c r="E74" s="293"/>
      <c r="F74" s="385"/>
      <c r="G74" s="396"/>
      <c r="I74" s="396"/>
      <c r="J74" s="396"/>
      <c r="K74" s="396"/>
      <c r="L74" s="396"/>
      <c r="M74" s="396"/>
      <c r="N74" s="396"/>
      <c r="O74" s="396"/>
      <c r="P74" s="396"/>
      <c r="Q74" s="396"/>
      <c r="R74" s="396"/>
      <c r="S74" s="396"/>
    </row>
    <row r="75" spans="2:20" ht="26.45">
      <c r="B75" s="1394">
        <v>13</v>
      </c>
      <c r="C75" s="2192" t="s">
        <v>292</v>
      </c>
      <c r="D75" s="733"/>
      <c r="E75" s="293"/>
      <c r="F75" s="385"/>
      <c r="G75" s="396"/>
      <c r="I75" s="396"/>
      <c r="J75" s="396"/>
      <c r="K75" s="396"/>
      <c r="L75" s="396"/>
      <c r="M75" s="396"/>
      <c r="N75" s="396"/>
      <c r="O75" s="396"/>
      <c r="P75" s="396"/>
      <c r="Q75" s="396"/>
      <c r="R75" s="396"/>
      <c r="S75" s="396"/>
      <c r="T75" s="396"/>
    </row>
    <row r="76" spans="2:20">
      <c r="B76" s="1394">
        <v>14</v>
      </c>
      <c r="C76" s="1853" t="s">
        <v>293</v>
      </c>
      <c r="D76" s="733"/>
      <c r="E76" s="293"/>
      <c r="F76" s="385"/>
      <c r="G76" s="396"/>
      <c r="I76" s="396"/>
      <c r="J76" s="396"/>
      <c r="K76" s="396"/>
      <c r="L76" s="396"/>
      <c r="M76" s="396"/>
      <c r="N76" s="396"/>
      <c r="O76" s="396"/>
      <c r="P76" s="396"/>
      <c r="Q76" s="396"/>
      <c r="R76" s="396"/>
      <c r="S76" s="396"/>
      <c r="T76" s="396"/>
    </row>
    <row r="77" spans="2:20">
      <c r="B77" s="1394">
        <v>15</v>
      </c>
      <c r="C77" s="1853" t="s">
        <v>294</v>
      </c>
      <c r="D77" s="731">
        <v>1447779.734773282</v>
      </c>
      <c r="E77" s="293"/>
      <c r="F77" s="385"/>
      <c r="G77" s="396"/>
      <c r="I77" s="396"/>
      <c r="J77" s="396"/>
      <c r="K77" s="396"/>
      <c r="L77" s="396"/>
      <c r="M77" s="396"/>
      <c r="N77" s="396"/>
      <c r="O77" s="396"/>
      <c r="P77" s="396"/>
      <c r="Q77" s="396"/>
      <c r="R77" s="396"/>
      <c r="S77" s="396"/>
      <c r="T77" s="396"/>
    </row>
    <row r="78" spans="2:20">
      <c r="B78" s="1394">
        <v>16</v>
      </c>
      <c r="C78" s="1853" t="s">
        <v>295</v>
      </c>
      <c r="D78" s="731">
        <v>4549254.093130881</v>
      </c>
      <c r="E78" s="293"/>
      <c r="F78" s="385"/>
      <c r="G78" s="396"/>
      <c r="I78" s="396"/>
      <c r="J78" s="396"/>
      <c r="K78" s="396"/>
      <c r="L78" s="396"/>
      <c r="M78" s="396"/>
      <c r="N78" s="396"/>
      <c r="O78" s="396"/>
      <c r="P78" s="396"/>
      <c r="Q78" s="396"/>
      <c r="R78" s="396"/>
      <c r="S78" s="396"/>
      <c r="T78" s="396"/>
    </row>
    <row r="79" spans="2:20">
      <c r="B79" s="1394">
        <v>17</v>
      </c>
      <c r="C79" s="2195" t="s">
        <v>233</v>
      </c>
      <c r="D79" s="731">
        <v>1413464.7302232462</v>
      </c>
      <c r="E79" s="293"/>
      <c r="F79" s="385"/>
      <c r="G79" s="396"/>
      <c r="I79" s="396"/>
      <c r="J79" s="396"/>
      <c r="K79" s="396"/>
      <c r="L79" s="396"/>
      <c r="M79" s="396"/>
      <c r="N79" s="396"/>
      <c r="O79" s="396"/>
      <c r="P79" s="396"/>
      <c r="Q79" s="396"/>
      <c r="R79" s="396"/>
      <c r="S79" s="396"/>
      <c r="T79" s="396"/>
    </row>
    <row r="80" spans="2:20">
      <c r="B80" s="1394">
        <v>18</v>
      </c>
      <c r="C80" s="2192" t="s">
        <v>406</v>
      </c>
      <c r="D80" s="733"/>
      <c r="E80" s="293"/>
      <c r="F80" s="385"/>
      <c r="G80" s="396"/>
      <c r="I80" s="396"/>
      <c r="J80" s="396"/>
      <c r="K80" s="396"/>
      <c r="L80" s="396"/>
      <c r="M80" s="396"/>
      <c r="N80" s="396"/>
      <c r="O80" s="396"/>
      <c r="P80" s="396"/>
      <c r="Q80" s="396"/>
      <c r="R80" s="396"/>
      <c r="S80" s="396"/>
      <c r="T80" s="396"/>
    </row>
    <row r="81" spans="2:20" ht="13.9" thickBot="1">
      <c r="B81" s="1394">
        <v>19</v>
      </c>
      <c r="C81" s="2195" t="s">
        <v>234</v>
      </c>
      <c r="D81" s="736">
        <v>3918491.1059999992</v>
      </c>
      <c r="E81" s="293"/>
      <c r="F81" s="385"/>
      <c r="G81" s="396"/>
      <c r="I81" s="396"/>
      <c r="J81" s="396"/>
      <c r="K81" s="396"/>
      <c r="L81" s="396"/>
      <c r="M81" s="396"/>
      <c r="N81" s="396"/>
      <c r="O81" s="396"/>
      <c r="P81" s="396"/>
      <c r="Q81" s="396"/>
      <c r="R81" s="396"/>
      <c r="S81" s="396"/>
      <c r="T81" s="396"/>
    </row>
    <row r="82" spans="2:20" ht="27" thickBot="1">
      <c r="B82" s="1406">
        <v>20</v>
      </c>
      <c r="C82" s="1441" t="s">
        <v>299</v>
      </c>
      <c r="D82" s="1434">
        <v>33798753.001416005</v>
      </c>
      <c r="E82" s="293"/>
      <c r="F82" s="385"/>
      <c r="G82" s="396"/>
      <c r="I82" s="396"/>
      <c r="J82" s="396"/>
      <c r="K82" s="396"/>
      <c r="L82" s="396"/>
      <c r="M82" s="396"/>
      <c r="N82" s="396"/>
      <c r="O82" s="396"/>
      <c r="P82" s="396"/>
      <c r="Q82" s="396"/>
      <c r="R82" s="396"/>
      <c r="S82" s="396"/>
      <c r="T82" s="396"/>
    </row>
    <row r="83" spans="2:20" ht="14.45">
      <c r="B83" s="1394"/>
      <c r="C83" s="1413" t="s">
        <v>300</v>
      </c>
      <c r="D83" s="729"/>
      <c r="E83" s="293"/>
      <c r="F83" s="385"/>
      <c r="G83" s="396"/>
      <c r="I83" s="396"/>
      <c r="J83" s="396"/>
      <c r="K83" s="396"/>
      <c r="L83" s="396"/>
      <c r="M83" s="396"/>
      <c r="N83" s="396"/>
      <c r="O83" s="396"/>
      <c r="P83" s="396"/>
      <c r="Q83" s="396"/>
      <c r="R83" s="396"/>
      <c r="S83" s="396"/>
      <c r="T83" s="396"/>
    </row>
    <row r="84" spans="2:20" ht="14.45">
      <c r="B84" s="1394"/>
      <c r="C84" s="1415" t="s">
        <v>301</v>
      </c>
      <c r="D84" s="729"/>
      <c r="E84" s="293"/>
      <c r="F84" s="385"/>
      <c r="G84" s="396"/>
      <c r="I84" s="396"/>
      <c r="J84" s="396"/>
      <c r="K84" s="396"/>
      <c r="L84" s="396"/>
      <c r="M84" s="396"/>
      <c r="N84" s="396"/>
      <c r="O84" s="396"/>
      <c r="P84" s="396"/>
      <c r="Q84" s="396"/>
      <c r="R84" s="396"/>
      <c r="S84" s="396"/>
      <c r="T84" s="396"/>
    </row>
    <row r="85" spans="2:20">
      <c r="B85" s="1394">
        <v>21</v>
      </c>
      <c r="C85" s="2192" t="s">
        <v>302</v>
      </c>
      <c r="D85" s="731">
        <v>10647937.454</v>
      </c>
      <c r="E85" s="293"/>
      <c r="F85" s="385"/>
      <c r="G85" s="396"/>
      <c r="I85" s="396"/>
      <c r="J85" s="396"/>
      <c r="K85" s="396"/>
      <c r="L85" s="396"/>
      <c r="M85" s="396"/>
      <c r="N85" s="396"/>
      <c r="O85" s="396"/>
      <c r="P85" s="396"/>
      <c r="Q85" s="396"/>
      <c r="R85" s="396"/>
      <c r="S85" s="396"/>
      <c r="T85" s="396"/>
    </row>
    <row r="86" spans="2:20">
      <c r="B86" s="1394">
        <v>22</v>
      </c>
      <c r="C86" s="1853" t="s">
        <v>303</v>
      </c>
      <c r="D86" s="731">
        <v>306177.57699999999</v>
      </c>
      <c r="E86" s="293"/>
      <c r="F86" s="385"/>
      <c r="G86" s="396"/>
      <c r="I86" s="396"/>
      <c r="J86" s="396"/>
      <c r="K86" s="396"/>
      <c r="L86" s="396"/>
      <c r="M86" s="396"/>
      <c r="N86" s="396"/>
      <c r="O86" s="396"/>
      <c r="P86" s="396"/>
      <c r="Q86" s="396"/>
      <c r="R86" s="396"/>
      <c r="S86" s="396"/>
      <c r="T86" s="396"/>
    </row>
    <row r="87" spans="2:20">
      <c r="B87" s="1394">
        <v>23</v>
      </c>
      <c r="C87" s="1853" t="s">
        <v>304</v>
      </c>
      <c r="D87" s="731">
        <v>3351682.7507833526</v>
      </c>
      <c r="E87" s="293"/>
      <c r="F87" s="385"/>
      <c r="G87" s="396"/>
      <c r="I87" s="396"/>
      <c r="J87" s="396"/>
      <c r="K87" s="396"/>
      <c r="L87" s="396"/>
      <c r="M87" s="396"/>
      <c r="N87" s="396"/>
      <c r="O87" s="396"/>
      <c r="P87" s="396"/>
      <c r="Q87" s="396"/>
      <c r="R87" s="396"/>
      <c r="S87" s="396"/>
      <c r="T87" s="396"/>
    </row>
    <row r="88" spans="2:20">
      <c r="B88" s="1394">
        <v>24</v>
      </c>
      <c r="C88" s="1853" t="s">
        <v>305</v>
      </c>
      <c r="D88" s="731">
        <v>128212.45699999999</v>
      </c>
      <c r="E88" s="293"/>
      <c r="F88" s="385"/>
      <c r="G88" s="396"/>
      <c r="I88" s="396"/>
      <c r="J88" s="396"/>
      <c r="K88" s="396"/>
      <c r="L88" s="396"/>
      <c r="M88" s="396"/>
      <c r="N88" s="396"/>
      <c r="O88" s="396"/>
      <c r="P88" s="396"/>
      <c r="Q88" s="396"/>
      <c r="R88" s="396"/>
      <c r="S88" s="396"/>
      <c r="T88" s="396"/>
    </row>
    <row r="89" spans="2:20">
      <c r="B89" s="1394">
        <v>25</v>
      </c>
      <c r="C89" s="2192" t="s">
        <v>306</v>
      </c>
      <c r="D89" s="731">
        <v>295390.47699999996</v>
      </c>
      <c r="E89" s="293"/>
      <c r="F89" s="385"/>
      <c r="G89" s="396"/>
      <c r="I89" s="396"/>
      <c r="J89" s="396"/>
      <c r="K89" s="396"/>
      <c r="L89" s="396"/>
      <c r="M89" s="396"/>
      <c r="N89" s="396"/>
      <c r="O89" s="396"/>
      <c r="P89" s="396"/>
      <c r="Q89" s="396"/>
      <c r="R89" s="396"/>
      <c r="S89" s="396"/>
      <c r="T89" s="396"/>
    </row>
    <row r="90" spans="2:20" ht="13.9" thickBot="1">
      <c r="B90" s="1394">
        <v>26</v>
      </c>
      <c r="C90" s="2209" t="s">
        <v>307</v>
      </c>
      <c r="D90" s="736">
        <v>6510775.308958346</v>
      </c>
      <c r="E90" s="293"/>
      <c r="F90" s="385"/>
      <c r="G90" s="396"/>
      <c r="I90" s="396"/>
      <c r="J90" s="396"/>
      <c r="K90" s="396"/>
      <c r="L90" s="396"/>
      <c r="M90" s="396"/>
      <c r="N90" s="396"/>
      <c r="O90" s="396"/>
      <c r="P90" s="396"/>
      <c r="Q90" s="396"/>
      <c r="R90" s="396"/>
      <c r="S90" s="396"/>
      <c r="T90" s="396"/>
    </row>
    <row r="91" spans="2:20" ht="27" thickBot="1">
      <c r="B91" s="1397">
        <v>27</v>
      </c>
      <c r="C91" s="1414" t="s">
        <v>308</v>
      </c>
      <c r="D91" s="737">
        <v>21240176.024741698</v>
      </c>
      <c r="E91" s="293"/>
      <c r="F91" s="385"/>
      <c r="G91" s="396"/>
      <c r="I91" s="396"/>
      <c r="J91" s="396"/>
      <c r="K91" s="396"/>
      <c r="L91" s="396"/>
      <c r="M91" s="396"/>
      <c r="N91" s="396"/>
      <c r="O91" s="396"/>
      <c r="P91" s="396"/>
      <c r="Q91" s="396"/>
      <c r="R91" s="396"/>
      <c r="S91" s="396"/>
      <c r="T91" s="396"/>
    </row>
    <row r="92" spans="2:20">
      <c r="B92" s="1394"/>
      <c r="C92" s="1413" t="s">
        <v>309</v>
      </c>
      <c r="D92" s="735"/>
      <c r="E92" s="293"/>
      <c r="F92" s="385"/>
      <c r="G92" s="396"/>
      <c r="I92" s="396"/>
      <c r="J92" s="396"/>
      <c r="K92" s="396"/>
      <c r="L92" s="396"/>
      <c r="M92" s="396"/>
      <c r="N92" s="396"/>
      <c r="O92" s="396"/>
      <c r="P92" s="396"/>
      <c r="Q92" s="396"/>
      <c r="R92" s="396"/>
      <c r="S92" s="396"/>
      <c r="T92" s="396"/>
    </row>
    <row r="93" spans="2:20">
      <c r="B93" s="1394">
        <v>28</v>
      </c>
      <c r="C93" s="2192" t="s">
        <v>310</v>
      </c>
      <c r="D93" s="731">
        <v>8619971.7019999996</v>
      </c>
      <c r="E93" s="293"/>
      <c r="F93" s="385"/>
      <c r="G93" s="396"/>
      <c r="I93" s="396"/>
      <c r="J93" s="396"/>
      <c r="K93" s="396"/>
      <c r="L93" s="396"/>
      <c r="M93" s="396"/>
      <c r="N93" s="396"/>
      <c r="O93" s="396"/>
      <c r="P93" s="396"/>
      <c r="Q93" s="396"/>
      <c r="R93" s="396"/>
      <c r="S93" s="396"/>
      <c r="T93" s="396"/>
    </row>
    <row r="94" spans="2:20">
      <c r="B94" s="1394">
        <v>29</v>
      </c>
      <c r="C94" s="2192" t="s">
        <v>311</v>
      </c>
      <c r="D94" s="731">
        <v>-711155.321</v>
      </c>
      <c r="E94" s="293"/>
      <c r="F94" s="385"/>
      <c r="G94" s="396"/>
      <c r="I94" s="396"/>
      <c r="J94" s="396"/>
      <c r="K94" s="396"/>
      <c r="L94" s="396"/>
      <c r="M94" s="396"/>
      <c r="N94" s="396"/>
      <c r="O94" s="396"/>
      <c r="P94" s="396"/>
      <c r="Q94" s="396"/>
      <c r="R94" s="396"/>
      <c r="S94" s="396"/>
      <c r="T94" s="396"/>
    </row>
    <row r="95" spans="2:20">
      <c r="B95" s="1394">
        <v>30</v>
      </c>
      <c r="C95" s="2209" t="s">
        <v>312</v>
      </c>
      <c r="D95" s="733"/>
      <c r="E95" s="293"/>
      <c r="F95" s="385"/>
      <c r="G95" s="396"/>
      <c r="I95" s="396"/>
      <c r="J95" s="396"/>
      <c r="K95" s="396"/>
      <c r="L95" s="396"/>
      <c r="M95" s="396"/>
      <c r="N95" s="396"/>
      <c r="O95" s="396"/>
      <c r="P95" s="396"/>
      <c r="Q95" s="396"/>
      <c r="R95" s="396"/>
      <c r="S95" s="396"/>
      <c r="T95" s="396"/>
    </row>
    <row r="96" spans="2:20" ht="13.9" thickBot="1">
      <c r="B96" s="1394">
        <v>31</v>
      </c>
      <c r="C96" s="2209" t="s">
        <v>314</v>
      </c>
      <c r="D96" s="736">
        <v>4649761.0679599969</v>
      </c>
      <c r="E96" s="293"/>
      <c r="F96" s="385"/>
      <c r="G96" s="396"/>
      <c r="I96" s="396"/>
      <c r="J96" s="396"/>
      <c r="K96" s="396"/>
      <c r="L96" s="396"/>
      <c r="M96" s="396"/>
      <c r="N96" s="396"/>
      <c r="O96" s="396"/>
      <c r="P96" s="396"/>
      <c r="Q96" s="396"/>
      <c r="R96" s="396"/>
      <c r="S96" s="396"/>
      <c r="T96" s="396"/>
    </row>
    <row r="97" spans="2:20" ht="13.9" thickBot="1">
      <c r="B97" s="1397">
        <v>32</v>
      </c>
      <c r="C97" s="1414" t="s">
        <v>315</v>
      </c>
      <c r="D97" s="737">
        <v>12558577.448959995</v>
      </c>
      <c r="E97" s="293"/>
      <c r="F97" s="385"/>
      <c r="G97" s="396"/>
      <c r="I97" s="396"/>
      <c r="J97" s="396"/>
      <c r="K97" s="396"/>
      <c r="L97" s="396"/>
      <c r="M97" s="396"/>
      <c r="N97" s="396"/>
      <c r="O97" s="396"/>
      <c r="P97" s="396"/>
      <c r="Q97" s="396"/>
      <c r="R97" s="396"/>
      <c r="S97" s="396"/>
      <c r="T97" s="396"/>
    </row>
    <row r="98" spans="2:20" ht="27" thickBot="1">
      <c r="B98" s="1409">
        <v>33</v>
      </c>
      <c r="C98" s="1440" t="s">
        <v>322</v>
      </c>
      <c r="D98" s="1435">
        <v>33798752.473701693</v>
      </c>
      <c r="E98" s="293"/>
      <c r="F98" s="385"/>
      <c r="G98" s="396"/>
      <c r="I98" s="396"/>
      <c r="J98" s="396"/>
      <c r="K98" s="396"/>
      <c r="L98" s="396"/>
      <c r="M98" s="396"/>
      <c r="N98" s="396"/>
      <c r="O98" s="396"/>
      <c r="P98" s="396"/>
      <c r="Q98" s="396"/>
      <c r="R98" s="396"/>
      <c r="S98" s="396"/>
      <c r="T98" s="396"/>
    </row>
    <row r="99" spans="2:20">
      <c r="B99" s="196"/>
      <c r="C99" s="627"/>
      <c r="D99" s="383"/>
      <c r="E99" s="383"/>
      <c r="F99" s="293"/>
      <c r="I99" s="396"/>
      <c r="J99" s="396"/>
      <c r="K99" s="396"/>
      <c r="L99" s="396"/>
      <c r="M99" s="396"/>
      <c r="N99" s="396"/>
      <c r="O99" s="396"/>
      <c r="P99" s="396"/>
      <c r="Q99" s="396"/>
      <c r="R99" s="396"/>
      <c r="S99" s="396"/>
      <c r="T99" s="396"/>
    </row>
    <row r="100" spans="2:20">
      <c r="B100" s="196"/>
      <c r="C100" s="627"/>
      <c r="D100" s="383"/>
      <c r="E100" s="383"/>
      <c r="F100" s="293"/>
      <c r="H100" s="292">
        <v>82</v>
      </c>
      <c r="I100" s="396"/>
      <c r="J100" s="396"/>
      <c r="K100" s="396"/>
      <c r="L100" s="396"/>
      <c r="M100" s="396"/>
      <c r="N100" s="396"/>
      <c r="O100" s="396"/>
      <c r="P100" s="396"/>
      <c r="Q100" s="396"/>
      <c r="R100" s="396"/>
      <c r="S100" s="396"/>
      <c r="T100" s="396"/>
    </row>
    <row r="101" spans="2:20">
      <c r="B101" s="196"/>
      <c r="C101" s="627"/>
      <c r="D101" s="51"/>
      <c r="E101" s="293"/>
      <c r="F101" s="293"/>
      <c r="I101" s="396"/>
      <c r="J101" s="396"/>
      <c r="K101" s="396"/>
      <c r="L101" s="396"/>
      <c r="M101" s="396"/>
      <c r="N101" s="396"/>
      <c r="O101" s="396"/>
      <c r="P101" s="396"/>
      <c r="Q101" s="396"/>
      <c r="R101" s="396"/>
      <c r="S101" s="396"/>
      <c r="T101" s="396"/>
    </row>
    <row r="102" spans="2:20">
      <c r="B102" s="236" t="s">
        <v>412</v>
      </c>
      <c r="C102" s="236"/>
      <c r="D102" s="236"/>
      <c r="E102" s="236"/>
      <c r="F102" s="236"/>
      <c r="I102" s="396"/>
      <c r="J102" s="396"/>
      <c r="K102" s="396"/>
      <c r="L102" s="396"/>
      <c r="M102" s="396"/>
      <c r="N102" s="396"/>
      <c r="O102" s="396"/>
      <c r="P102" s="396"/>
      <c r="Q102" s="396"/>
      <c r="R102" s="396"/>
      <c r="S102" s="396"/>
      <c r="T102" s="396"/>
    </row>
    <row r="103" spans="2:20" ht="13.9" thickBot="1">
      <c r="B103" s="51"/>
      <c r="C103" s="51"/>
      <c r="D103" s="51"/>
      <c r="E103" s="51"/>
      <c r="F103" s="51"/>
      <c r="I103" s="396"/>
      <c r="J103" s="396"/>
      <c r="K103" s="396"/>
      <c r="L103" s="396"/>
      <c r="M103" s="396"/>
      <c r="N103" s="396"/>
      <c r="O103" s="396"/>
      <c r="P103" s="396"/>
      <c r="Q103" s="396"/>
      <c r="R103" s="396"/>
      <c r="S103" s="396"/>
      <c r="T103" s="396"/>
    </row>
    <row r="104" spans="2:20" ht="13.9" thickBot="1">
      <c r="B104" s="3350" t="s">
        <v>94</v>
      </c>
      <c r="C104" s="3351"/>
      <c r="D104" s="51"/>
      <c r="E104" s="51"/>
      <c r="F104" s="51"/>
      <c r="I104" s="396"/>
      <c r="J104" s="396"/>
      <c r="K104" s="396"/>
      <c r="L104" s="396"/>
      <c r="M104" s="396"/>
      <c r="N104" s="396"/>
      <c r="O104" s="396"/>
      <c r="P104" s="396"/>
      <c r="Q104" s="396"/>
      <c r="R104" s="396"/>
      <c r="S104" s="396"/>
      <c r="T104" s="396"/>
    </row>
    <row r="105" spans="2:20">
      <c r="B105" s="3284" t="s">
        <v>396</v>
      </c>
      <c r="C105" s="3346"/>
      <c r="D105" s="3283" t="s">
        <v>414</v>
      </c>
      <c r="E105" s="274"/>
      <c r="I105" s="396"/>
      <c r="J105" s="396"/>
      <c r="K105" s="396"/>
      <c r="L105" s="396"/>
      <c r="M105" s="396"/>
      <c r="N105" s="396"/>
      <c r="O105" s="396"/>
      <c r="P105" s="396"/>
      <c r="Q105" s="396"/>
      <c r="R105" s="396"/>
      <c r="S105" s="396"/>
      <c r="T105" s="396"/>
    </row>
    <row r="106" spans="2:20">
      <c r="B106" s="3284"/>
      <c r="C106" s="3346"/>
      <c r="D106" s="3284"/>
      <c r="E106" s="443"/>
      <c r="I106" s="396"/>
      <c r="J106" s="396"/>
      <c r="K106" s="396"/>
      <c r="L106" s="396"/>
      <c r="M106" s="396"/>
      <c r="N106" s="396"/>
      <c r="O106" s="396"/>
      <c r="P106" s="396"/>
      <c r="Q106" s="396"/>
      <c r="R106" s="396"/>
      <c r="S106" s="396"/>
      <c r="T106" s="396"/>
    </row>
    <row r="107" spans="2:20">
      <c r="B107" s="3285"/>
      <c r="C107" s="3347"/>
      <c r="D107" s="3285"/>
      <c r="E107" s="443"/>
      <c r="I107" s="396"/>
      <c r="J107" s="396"/>
      <c r="K107" s="396"/>
      <c r="L107" s="396"/>
      <c r="M107" s="396"/>
      <c r="N107" s="396"/>
      <c r="O107" s="396"/>
      <c r="P107" s="396"/>
      <c r="Q107" s="396"/>
      <c r="R107" s="396"/>
      <c r="S107" s="396"/>
      <c r="T107" s="396"/>
    </row>
    <row r="108" spans="2:20" ht="14.45">
      <c r="B108" s="1394"/>
      <c r="C108" s="1413" t="s">
        <v>275</v>
      </c>
      <c r="D108" s="709"/>
      <c r="E108" s="293"/>
      <c r="I108" s="396"/>
      <c r="J108" s="396"/>
      <c r="K108" s="396"/>
      <c r="L108" s="396"/>
      <c r="M108" s="396"/>
      <c r="N108" s="396"/>
      <c r="O108" s="396"/>
      <c r="P108" s="396"/>
      <c r="Q108" s="396"/>
      <c r="R108" s="396"/>
      <c r="S108" s="396"/>
      <c r="T108" s="396"/>
    </row>
    <row r="109" spans="2:20">
      <c r="B109" s="1394">
        <v>1</v>
      </c>
      <c r="C109" s="2192" t="s">
        <v>276</v>
      </c>
      <c r="D109" s="2995">
        <v>0</v>
      </c>
      <c r="E109" s="293"/>
      <c r="F109" s="385"/>
      <c r="G109" s="396"/>
      <c r="I109" s="396"/>
      <c r="J109" s="437"/>
      <c r="K109" s="396"/>
      <c r="L109" s="396"/>
      <c r="M109" s="396"/>
      <c r="N109" s="396"/>
      <c r="O109" s="396"/>
      <c r="P109" s="396"/>
      <c r="Q109" s="396"/>
      <c r="R109" s="396"/>
      <c r="S109" s="396"/>
      <c r="T109" s="396"/>
    </row>
    <row r="110" spans="2:20">
      <c r="B110" s="1394">
        <v>2</v>
      </c>
      <c r="C110" s="2192" t="s">
        <v>277</v>
      </c>
      <c r="D110" s="2995">
        <v>29000.839912164185</v>
      </c>
      <c r="E110" s="293"/>
      <c r="F110" s="385"/>
      <c r="G110" s="396"/>
      <c r="I110" s="396"/>
      <c r="J110" s="437"/>
      <c r="K110" s="396"/>
      <c r="L110" s="396"/>
      <c r="M110" s="396"/>
      <c r="N110" s="396"/>
      <c r="O110" s="396"/>
      <c r="P110" s="396"/>
      <c r="Q110" s="396"/>
      <c r="R110" s="396"/>
      <c r="S110" s="396"/>
      <c r="T110" s="396"/>
    </row>
    <row r="111" spans="2:20">
      <c r="B111" s="1394">
        <v>3</v>
      </c>
      <c r="C111" s="2192" t="s">
        <v>278</v>
      </c>
      <c r="D111" s="2995">
        <v>0</v>
      </c>
      <c r="E111" s="293"/>
      <c r="F111" s="385"/>
      <c r="G111" s="396"/>
      <c r="I111" s="396"/>
      <c r="J111" s="437"/>
      <c r="K111" s="396"/>
      <c r="L111" s="396"/>
      <c r="M111" s="396"/>
      <c r="N111" s="396"/>
      <c r="O111" s="396"/>
      <c r="P111" s="396"/>
      <c r="Q111" s="396"/>
      <c r="R111" s="396"/>
      <c r="S111" s="396"/>
      <c r="T111" s="396"/>
    </row>
    <row r="112" spans="2:20">
      <c r="B112" s="1394">
        <v>4</v>
      </c>
      <c r="C112" s="2192" t="s">
        <v>279</v>
      </c>
      <c r="D112" s="2995">
        <v>7073.0085411106902</v>
      </c>
      <c r="E112" s="293"/>
      <c r="F112" s="385"/>
      <c r="G112" s="396"/>
      <c r="I112" s="396"/>
      <c r="J112" s="437"/>
      <c r="K112" s="396"/>
      <c r="L112" s="396"/>
      <c r="M112" s="396"/>
      <c r="N112" s="396"/>
      <c r="O112" s="396"/>
      <c r="P112" s="396"/>
      <c r="Q112" s="396"/>
      <c r="R112" s="396"/>
      <c r="S112" s="396"/>
      <c r="T112" s="396"/>
    </row>
    <row r="113" spans="2:20">
      <c r="B113" s="1394">
        <v>5</v>
      </c>
      <c r="C113" s="2192" t="s">
        <v>243</v>
      </c>
      <c r="D113" s="2995">
        <v>44800.208658946503</v>
      </c>
      <c r="E113" s="293"/>
      <c r="F113" s="385"/>
      <c r="G113" s="396"/>
      <c r="I113" s="396"/>
      <c r="J113" s="437"/>
      <c r="K113" s="396"/>
      <c r="L113" s="396"/>
      <c r="M113" s="396"/>
      <c r="N113" s="396"/>
      <c r="O113" s="396"/>
      <c r="P113" s="396"/>
      <c r="Q113" s="396"/>
      <c r="R113" s="396"/>
      <c r="S113" s="396"/>
      <c r="T113" s="396"/>
    </row>
    <row r="114" spans="2:20">
      <c r="B114" s="1394">
        <v>6</v>
      </c>
      <c r="C114" s="2192" t="s">
        <v>281</v>
      </c>
      <c r="D114" s="2995"/>
      <c r="E114" s="293"/>
      <c r="F114" s="385"/>
      <c r="G114" s="396"/>
      <c r="I114" s="396"/>
      <c r="J114" s="437"/>
      <c r="K114" s="396"/>
      <c r="L114" s="396"/>
      <c r="M114" s="396"/>
      <c r="N114" s="396"/>
      <c r="O114" s="396"/>
      <c r="P114" s="396"/>
      <c r="Q114" s="396"/>
      <c r="R114" s="396"/>
      <c r="S114" s="396"/>
      <c r="T114" s="396"/>
    </row>
    <row r="115" spans="2:20">
      <c r="B115" s="1394">
        <v>7</v>
      </c>
      <c r="C115" s="2192" t="s">
        <v>282</v>
      </c>
      <c r="D115" s="2995"/>
      <c r="E115" s="293"/>
      <c r="F115" s="385"/>
      <c r="G115" s="396"/>
      <c r="I115" s="396"/>
      <c r="J115" s="437"/>
      <c r="K115" s="396"/>
      <c r="L115" s="396"/>
      <c r="M115" s="396"/>
      <c r="N115" s="396"/>
      <c r="O115" s="396"/>
      <c r="P115" s="396"/>
      <c r="Q115" s="396"/>
      <c r="R115" s="396"/>
      <c r="S115" s="396"/>
      <c r="T115" s="396"/>
    </row>
    <row r="116" spans="2:20">
      <c r="B116" s="1394"/>
      <c r="C116" s="2192" t="s">
        <v>401</v>
      </c>
      <c r="D116" s="2995">
        <v>419883</v>
      </c>
      <c r="E116" s="293"/>
      <c r="F116" s="385"/>
      <c r="G116" s="396"/>
      <c r="I116" s="396"/>
      <c r="J116" s="437"/>
      <c r="K116" s="396"/>
      <c r="L116" s="396"/>
      <c r="M116" s="396"/>
      <c r="N116" s="396"/>
      <c r="O116" s="396"/>
      <c r="P116" s="396"/>
      <c r="Q116" s="396"/>
      <c r="R116" s="396"/>
      <c r="S116" s="396"/>
      <c r="T116" s="396"/>
    </row>
    <row r="117" spans="2:20">
      <c r="B117" s="1394"/>
      <c r="C117" s="2195" t="s">
        <v>402</v>
      </c>
      <c r="D117" s="2995">
        <v>1808527</v>
      </c>
      <c r="E117" s="293"/>
      <c r="F117" s="385"/>
      <c r="G117" s="396"/>
      <c r="I117" s="396"/>
      <c r="J117" s="437"/>
      <c r="K117" s="396"/>
      <c r="L117" s="396"/>
      <c r="M117" s="396"/>
      <c r="N117" s="396"/>
      <c r="O117" s="396"/>
      <c r="P117" s="396"/>
      <c r="Q117" s="396"/>
      <c r="R117" s="396"/>
      <c r="S117" s="396"/>
      <c r="T117" s="396"/>
    </row>
    <row r="118" spans="2:20">
      <c r="B118" s="1394">
        <v>8</v>
      </c>
      <c r="C118" s="2195" t="s">
        <v>403</v>
      </c>
      <c r="D118" s="2995"/>
      <c r="E118" s="293"/>
      <c r="F118" s="385"/>
      <c r="G118" s="396"/>
      <c r="I118" s="396"/>
      <c r="J118" s="437"/>
      <c r="K118" s="396"/>
      <c r="L118" s="396"/>
      <c r="M118" s="396"/>
      <c r="N118" s="396"/>
      <c r="O118" s="396"/>
      <c r="P118" s="396"/>
      <c r="Q118" s="396"/>
      <c r="R118" s="396"/>
      <c r="S118" s="396"/>
      <c r="T118" s="396"/>
    </row>
    <row r="119" spans="2:20">
      <c r="B119" s="1394"/>
      <c r="C119" s="2192" t="s">
        <v>404</v>
      </c>
      <c r="D119" s="2995"/>
      <c r="E119" s="293"/>
      <c r="F119" s="385"/>
      <c r="G119" s="396"/>
      <c r="I119" s="396"/>
      <c r="J119" s="437"/>
      <c r="K119" s="396"/>
      <c r="L119" s="396"/>
      <c r="M119" s="396"/>
      <c r="N119" s="396"/>
      <c r="O119" s="396"/>
      <c r="P119" s="396"/>
      <c r="Q119" s="396"/>
      <c r="R119" s="396"/>
      <c r="S119" s="396"/>
      <c r="T119" s="396"/>
    </row>
    <row r="120" spans="2:20">
      <c r="B120" s="1394"/>
      <c r="C120" s="2195" t="s">
        <v>405</v>
      </c>
      <c r="D120" s="2995"/>
      <c r="E120" s="293"/>
      <c r="F120" s="385"/>
      <c r="G120" s="396"/>
      <c r="I120" s="396"/>
      <c r="J120" s="437"/>
      <c r="K120" s="396"/>
      <c r="L120" s="396"/>
      <c r="M120" s="396"/>
      <c r="N120" s="396"/>
      <c r="O120" s="396"/>
      <c r="P120" s="396"/>
      <c r="Q120" s="396"/>
      <c r="R120" s="396"/>
      <c r="S120" s="396"/>
      <c r="T120" s="396"/>
    </row>
    <row r="121" spans="2:20" ht="26.45">
      <c r="B121" s="1396">
        <v>9</v>
      </c>
      <c r="C121" s="2212" t="s">
        <v>288</v>
      </c>
      <c r="D121" s="2213">
        <v>1372775.3855126172</v>
      </c>
      <c r="F121" s="385"/>
      <c r="G121" s="396"/>
      <c r="I121" s="396"/>
      <c r="J121" s="437"/>
      <c r="K121" s="396"/>
      <c r="L121" s="396"/>
      <c r="M121" s="396"/>
      <c r="N121" s="396"/>
      <c r="O121" s="396"/>
      <c r="P121" s="396"/>
      <c r="Q121" s="396"/>
      <c r="R121" s="396"/>
      <c r="S121" s="396"/>
    </row>
    <row r="122" spans="2:20" ht="14.45">
      <c r="B122" s="1394">
        <v>10</v>
      </c>
      <c r="C122" s="2192" t="s">
        <v>289</v>
      </c>
      <c r="D122" s="729"/>
      <c r="E122" s="293"/>
      <c r="F122" s="385"/>
      <c r="G122" s="396"/>
      <c r="I122" s="396"/>
      <c r="J122" s="437"/>
      <c r="K122" s="396"/>
      <c r="L122" s="396"/>
      <c r="M122" s="396"/>
      <c r="N122" s="396"/>
      <c r="O122" s="396"/>
      <c r="P122" s="396"/>
      <c r="Q122" s="396"/>
      <c r="R122" s="396"/>
      <c r="S122" s="396"/>
      <c r="T122" s="396"/>
    </row>
    <row r="123" spans="2:20">
      <c r="B123" s="1394">
        <v>11</v>
      </c>
      <c r="C123" s="2192" t="s">
        <v>290</v>
      </c>
      <c r="D123" s="2995">
        <v>1284538.0768226171</v>
      </c>
      <c r="E123" s="293"/>
      <c r="F123" s="385"/>
      <c r="G123" s="396"/>
      <c r="I123" s="396"/>
      <c r="J123" s="437"/>
      <c r="K123" s="396"/>
      <c r="L123" s="396"/>
      <c r="M123" s="396"/>
      <c r="N123" s="396"/>
      <c r="O123" s="396"/>
      <c r="P123" s="396"/>
      <c r="Q123" s="396"/>
      <c r="R123" s="396"/>
      <c r="S123" s="396"/>
      <c r="T123" s="396"/>
    </row>
    <row r="124" spans="2:20">
      <c r="B124" s="1394">
        <v>12</v>
      </c>
      <c r="C124" s="2192" t="s">
        <v>291</v>
      </c>
      <c r="D124" s="731">
        <v>41746.406340000001</v>
      </c>
      <c r="E124" s="293"/>
      <c r="F124" s="385"/>
      <c r="G124" s="396"/>
      <c r="I124" s="396"/>
      <c r="J124" s="437"/>
      <c r="K124" s="396"/>
      <c r="L124" s="396"/>
      <c r="M124" s="396"/>
      <c r="N124" s="396"/>
      <c r="O124" s="396"/>
      <c r="P124" s="396"/>
      <c r="Q124" s="396"/>
      <c r="R124" s="396"/>
      <c r="S124" s="396"/>
      <c r="T124" s="396"/>
    </row>
    <row r="125" spans="2:20" ht="26.45">
      <c r="B125" s="1394">
        <v>13</v>
      </c>
      <c r="C125" s="2192" t="s">
        <v>292</v>
      </c>
      <c r="D125" s="2995">
        <v>46490.902350000004</v>
      </c>
      <c r="E125" s="293"/>
      <c r="F125" s="385"/>
      <c r="G125" s="396"/>
      <c r="I125" s="396"/>
      <c r="J125" s="437"/>
      <c r="K125" s="396"/>
      <c r="L125" s="396"/>
      <c r="M125" s="396"/>
      <c r="N125" s="396"/>
      <c r="O125" s="396"/>
      <c r="P125" s="396"/>
      <c r="Q125" s="396"/>
      <c r="R125" s="396"/>
      <c r="S125" s="396"/>
      <c r="T125" s="396"/>
    </row>
    <row r="126" spans="2:20">
      <c r="B126" s="1394">
        <v>14</v>
      </c>
      <c r="C126" s="1853" t="s">
        <v>293</v>
      </c>
      <c r="D126" s="733"/>
      <c r="E126" s="293"/>
      <c r="F126" s="385"/>
      <c r="G126" s="396"/>
      <c r="I126" s="396"/>
      <c r="J126" s="437"/>
      <c r="K126" s="396"/>
      <c r="L126" s="396"/>
      <c r="M126" s="396"/>
      <c r="N126" s="396"/>
      <c r="O126" s="396"/>
      <c r="P126" s="396"/>
      <c r="Q126" s="396"/>
      <c r="R126" s="396"/>
      <c r="S126" s="396"/>
      <c r="T126" s="396"/>
    </row>
    <row r="127" spans="2:20">
      <c r="B127" s="1394">
        <v>15</v>
      </c>
      <c r="C127" s="1853" t="s">
        <v>294</v>
      </c>
      <c r="D127" s="2211">
        <v>123635.81725401967</v>
      </c>
      <c r="E127" s="293"/>
      <c r="F127" s="385"/>
      <c r="G127" s="396"/>
      <c r="I127" s="396"/>
      <c r="J127" s="437"/>
      <c r="K127" s="396"/>
      <c r="L127" s="396"/>
      <c r="M127" s="396"/>
      <c r="N127" s="396"/>
      <c r="O127" s="396"/>
      <c r="P127" s="396"/>
      <c r="Q127" s="396"/>
      <c r="R127" s="396"/>
      <c r="S127" s="396"/>
      <c r="T127" s="396"/>
    </row>
    <row r="128" spans="2:20">
      <c r="B128" s="1394">
        <v>16</v>
      </c>
      <c r="C128" s="1853" t="s">
        <v>295</v>
      </c>
      <c r="D128" s="2995">
        <v>1021764.0101800004</v>
      </c>
      <c r="E128" s="293"/>
      <c r="F128" s="385"/>
      <c r="G128" s="396"/>
      <c r="I128" s="396"/>
      <c r="J128" s="437"/>
      <c r="K128" s="396"/>
      <c r="L128" s="396"/>
      <c r="M128" s="396"/>
      <c r="N128" s="396"/>
      <c r="O128" s="396"/>
      <c r="P128" s="396"/>
      <c r="Q128" s="396"/>
      <c r="R128" s="396"/>
      <c r="S128" s="396"/>
      <c r="T128" s="396"/>
    </row>
    <row r="129" spans="2:20">
      <c r="B129" s="1394">
        <v>17</v>
      </c>
      <c r="C129" s="2195" t="s">
        <v>296</v>
      </c>
      <c r="D129" s="2995">
        <v>179084</v>
      </c>
      <c r="E129" s="293"/>
      <c r="F129" s="385"/>
      <c r="G129" s="396"/>
      <c r="I129" s="396"/>
      <c r="J129" s="437"/>
      <c r="K129" s="396"/>
      <c r="L129" s="396"/>
      <c r="M129" s="396"/>
      <c r="N129" s="396"/>
      <c r="O129" s="396"/>
      <c r="P129" s="396"/>
      <c r="Q129" s="396"/>
      <c r="R129" s="396"/>
      <c r="S129" s="396"/>
      <c r="T129" s="396"/>
    </row>
    <row r="130" spans="2:20">
      <c r="B130" s="1394">
        <v>18</v>
      </c>
      <c r="C130" s="2192" t="s">
        <v>297</v>
      </c>
      <c r="D130" s="2995"/>
      <c r="E130" s="293"/>
      <c r="F130" s="385"/>
      <c r="G130" s="396"/>
      <c r="I130" s="396"/>
      <c r="J130" s="437"/>
      <c r="K130" s="396"/>
      <c r="L130" s="396"/>
      <c r="M130" s="396"/>
      <c r="N130" s="396"/>
      <c r="O130" s="396"/>
      <c r="P130" s="396"/>
      <c r="Q130" s="396"/>
      <c r="R130" s="396"/>
      <c r="S130" s="396"/>
      <c r="T130" s="396"/>
    </row>
    <row r="131" spans="2:20" ht="13.9" thickBot="1">
      <c r="B131" s="1394">
        <v>19</v>
      </c>
      <c r="C131" s="2195" t="s">
        <v>298</v>
      </c>
      <c r="D131" s="2995">
        <v>56305</v>
      </c>
      <c r="E131" s="293"/>
      <c r="F131" s="385"/>
      <c r="G131" s="396"/>
      <c r="I131" s="396"/>
      <c r="J131" s="437"/>
      <c r="K131" s="396"/>
      <c r="L131" s="396"/>
      <c r="M131" s="396"/>
      <c r="N131" s="396"/>
      <c r="O131" s="396"/>
      <c r="P131" s="396"/>
      <c r="Q131" s="396"/>
      <c r="R131" s="396"/>
      <c r="S131" s="396"/>
      <c r="T131" s="396"/>
    </row>
    <row r="132" spans="2:20" ht="27" thickBot="1">
      <c r="B132" s="1406">
        <v>20</v>
      </c>
      <c r="C132" s="1441" t="s">
        <v>299</v>
      </c>
      <c r="D132" s="1434">
        <v>5062848.2700588591</v>
      </c>
      <c r="E132" s="293"/>
      <c r="F132" s="385"/>
      <c r="G132" s="396"/>
      <c r="I132" s="396"/>
      <c r="J132" s="437"/>
      <c r="K132" s="396"/>
      <c r="L132" s="396"/>
      <c r="M132" s="396"/>
      <c r="N132" s="396"/>
      <c r="O132" s="396"/>
      <c r="P132" s="396"/>
      <c r="Q132" s="396"/>
      <c r="R132" s="396"/>
      <c r="S132" s="396"/>
      <c r="T132" s="396"/>
    </row>
    <row r="133" spans="2:20" ht="14.45">
      <c r="B133" s="1394"/>
      <c r="C133" s="1416" t="s">
        <v>300</v>
      </c>
      <c r="D133" s="729"/>
      <c r="E133" s="293"/>
      <c r="F133" s="385"/>
      <c r="G133" s="396"/>
      <c r="I133" s="396"/>
      <c r="J133" s="437"/>
      <c r="K133" s="396"/>
      <c r="L133" s="396"/>
      <c r="M133" s="396"/>
      <c r="N133" s="396"/>
      <c r="O133" s="396"/>
      <c r="P133" s="396"/>
      <c r="Q133" s="396"/>
      <c r="R133" s="396"/>
      <c r="S133" s="396"/>
      <c r="T133" s="396"/>
    </row>
    <row r="134" spans="2:20" ht="14.45">
      <c r="B134" s="1394"/>
      <c r="C134" s="1415" t="s">
        <v>301</v>
      </c>
      <c r="D134" s="729"/>
      <c r="E134" s="293"/>
      <c r="F134" s="385"/>
      <c r="G134" s="396"/>
      <c r="I134" s="396"/>
      <c r="J134" s="437"/>
      <c r="K134" s="396"/>
      <c r="L134" s="396"/>
      <c r="M134" s="396"/>
      <c r="N134" s="396"/>
      <c r="O134" s="396"/>
      <c r="P134" s="396"/>
      <c r="Q134" s="396"/>
      <c r="R134" s="396"/>
      <c r="S134" s="396"/>
      <c r="T134" s="396"/>
    </row>
    <row r="135" spans="2:20">
      <c r="B135" s="1394">
        <v>21</v>
      </c>
      <c r="C135" s="2192" t="s">
        <v>302</v>
      </c>
      <c r="D135" s="2211">
        <v>1068688.6416293834</v>
      </c>
      <c r="E135" s="293"/>
      <c r="F135" s="385"/>
      <c r="G135" s="396"/>
      <c r="I135" s="396"/>
      <c r="J135" s="437"/>
      <c r="K135" s="396"/>
      <c r="L135" s="396"/>
      <c r="M135" s="396"/>
      <c r="N135" s="396"/>
      <c r="O135" s="396"/>
      <c r="P135" s="396"/>
      <c r="Q135" s="396"/>
      <c r="R135" s="396"/>
      <c r="S135" s="396"/>
      <c r="T135" s="396"/>
    </row>
    <row r="136" spans="2:20">
      <c r="B136" s="1394">
        <v>22</v>
      </c>
      <c r="C136" s="1853" t="s">
        <v>303</v>
      </c>
      <c r="D136" s="731">
        <v>51898.474389999996</v>
      </c>
      <c r="E136" s="293"/>
      <c r="F136" s="385"/>
      <c r="G136" s="396"/>
      <c r="I136" s="396"/>
      <c r="J136" s="437"/>
      <c r="K136" s="396"/>
      <c r="L136" s="396"/>
      <c r="M136" s="396"/>
      <c r="N136" s="396"/>
      <c r="O136" s="396"/>
      <c r="P136" s="396"/>
      <c r="Q136" s="396"/>
      <c r="R136" s="396"/>
      <c r="S136" s="396"/>
      <c r="T136" s="396"/>
    </row>
    <row r="137" spans="2:20">
      <c r="B137" s="1394">
        <v>23</v>
      </c>
      <c r="C137" s="1853" t="s">
        <v>304</v>
      </c>
      <c r="D137" s="731">
        <v>344368.18846939818</v>
      </c>
      <c r="E137" s="293"/>
      <c r="F137" s="385"/>
      <c r="G137" s="396"/>
      <c r="I137" s="396"/>
      <c r="J137" s="437"/>
      <c r="K137" s="396"/>
      <c r="L137" s="396"/>
      <c r="M137" s="396"/>
      <c r="N137" s="396"/>
      <c r="O137" s="396"/>
      <c r="P137" s="396"/>
      <c r="Q137" s="396"/>
      <c r="R137" s="396"/>
      <c r="S137" s="396"/>
      <c r="T137" s="396"/>
    </row>
    <row r="138" spans="2:20">
      <c r="B138" s="1394">
        <v>24</v>
      </c>
      <c r="C138" s="1853" t="s">
        <v>305</v>
      </c>
      <c r="D138" s="2214"/>
      <c r="E138" s="293"/>
      <c r="F138" s="385"/>
      <c r="G138" s="396"/>
      <c r="I138" s="396"/>
      <c r="J138" s="437"/>
      <c r="K138" s="396"/>
      <c r="L138" s="396"/>
      <c r="M138" s="396"/>
      <c r="N138" s="396"/>
      <c r="O138" s="396"/>
      <c r="P138" s="396"/>
      <c r="Q138" s="396"/>
      <c r="R138" s="396"/>
      <c r="S138" s="396"/>
      <c r="T138" s="396"/>
    </row>
    <row r="139" spans="2:20">
      <c r="B139" s="1394">
        <v>25</v>
      </c>
      <c r="C139" s="2192" t="s">
        <v>306</v>
      </c>
      <c r="D139" s="733">
        <v>457154.81849999999</v>
      </c>
      <c r="E139" s="293"/>
      <c r="F139" s="385"/>
      <c r="G139" s="396"/>
      <c r="I139" s="396"/>
      <c r="J139" s="437"/>
      <c r="K139" s="396"/>
      <c r="L139" s="396"/>
      <c r="M139" s="396"/>
      <c r="N139" s="396"/>
      <c r="O139" s="396"/>
      <c r="P139" s="396"/>
      <c r="Q139" s="396"/>
      <c r="R139" s="396"/>
      <c r="S139" s="396"/>
      <c r="T139" s="396"/>
    </row>
    <row r="140" spans="2:20" ht="13.9" thickBot="1">
      <c r="B140" s="1394">
        <v>26</v>
      </c>
      <c r="C140" s="2209" t="s">
        <v>307</v>
      </c>
      <c r="D140" s="739">
        <v>320823</v>
      </c>
      <c r="E140" s="293"/>
      <c r="F140" s="385"/>
      <c r="G140" s="396"/>
      <c r="I140" s="396"/>
      <c r="J140" s="437"/>
      <c r="K140" s="396"/>
      <c r="L140" s="396"/>
      <c r="M140" s="396"/>
      <c r="N140" s="396"/>
      <c r="O140" s="396"/>
      <c r="P140" s="396"/>
      <c r="Q140" s="396"/>
      <c r="R140" s="396"/>
      <c r="S140" s="396"/>
      <c r="T140" s="396"/>
    </row>
    <row r="141" spans="2:20" ht="13.9" thickBot="1">
      <c r="B141" s="1397">
        <v>27</v>
      </c>
      <c r="C141" s="1414" t="s">
        <v>415</v>
      </c>
      <c r="D141" s="737">
        <v>2242933.1229887819</v>
      </c>
      <c r="E141" s="293"/>
      <c r="F141" s="385"/>
      <c r="G141" s="396"/>
      <c r="I141" s="396"/>
      <c r="J141" s="437"/>
      <c r="K141" s="396"/>
      <c r="L141" s="396"/>
      <c r="M141" s="396"/>
      <c r="N141" s="396"/>
      <c r="O141" s="396"/>
      <c r="P141" s="396"/>
      <c r="Q141" s="396"/>
      <c r="R141" s="396"/>
      <c r="S141" s="396"/>
      <c r="T141" s="396"/>
    </row>
    <row r="142" spans="2:20" ht="14.45">
      <c r="B142" s="1394"/>
      <c r="C142" s="1413" t="s">
        <v>409</v>
      </c>
      <c r="D142" s="729"/>
      <c r="E142" s="293"/>
      <c r="F142" s="385"/>
      <c r="G142" s="396"/>
      <c r="I142" s="396"/>
      <c r="J142" s="437"/>
      <c r="K142" s="396"/>
      <c r="L142" s="396"/>
      <c r="M142" s="396"/>
      <c r="N142" s="396"/>
      <c r="O142" s="396"/>
      <c r="P142" s="396"/>
      <c r="Q142" s="396"/>
      <c r="R142" s="396"/>
      <c r="S142" s="396"/>
      <c r="T142" s="396"/>
    </row>
    <row r="143" spans="2:20">
      <c r="B143" s="1394">
        <v>28</v>
      </c>
      <c r="C143" s="2192" t="s">
        <v>310</v>
      </c>
      <c r="D143" s="731">
        <v>1860001.3389999999</v>
      </c>
      <c r="E143" s="293"/>
      <c r="F143" s="385"/>
      <c r="G143" s="396"/>
      <c r="I143" s="396"/>
      <c r="J143" s="437"/>
      <c r="K143" s="396"/>
      <c r="L143" s="396"/>
      <c r="M143" s="396"/>
      <c r="N143" s="396"/>
      <c r="O143" s="396"/>
      <c r="P143" s="396"/>
      <c r="Q143" s="396"/>
      <c r="R143" s="396"/>
      <c r="S143" s="396"/>
      <c r="T143" s="396"/>
    </row>
    <row r="144" spans="2:20">
      <c r="B144" s="1394">
        <v>29</v>
      </c>
      <c r="C144" s="2192" t="s">
        <v>311</v>
      </c>
      <c r="D144" s="733"/>
      <c r="E144" s="293"/>
      <c r="F144" s="385"/>
      <c r="G144" s="396"/>
      <c r="I144" s="396"/>
      <c r="J144" s="437"/>
      <c r="K144" s="396"/>
      <c r="L144" s="396"/>
      <c r="M144" s="396"/>
      <c r="N144" s="396"/>
      <c r="O144" s="396"/>
      <c r="P144" s="396"/>
      <c r="Q144" s="396"/>
      <c r="R144" s="396"/>
      <c r="S144" s="396"/>
      <c r="T144" s="396"/>
    </row>
    <row r="145" spans="2:20">
      <c r="B145" s="1394">
        <v>30</v>
      </c>
      <c r="C145" s="2215" t="s">
        <v>312</v>
      </c>
      <c r="D145" s="731">
        <v>33541.031794469302</v>
      </c>
      <c r="E145" s="293"/>
      <c r="F145" s="385"/>
      <c r="G145" s="396"/>
      <c r="I145" s="396"/>
      <c r="J145" s="437"/>
      <c r="K145" s="396"/>
      <c r="L145" s="396"/>
      <c r="M145" s="396"/>
      <c r="N145" s="396"/>
      <c r="O145" s="396"/>
      <c r="P145" s="396"/>
      <c r="Q145" s="396"/>
      <c r="R145" s="396"/>
      <c r="S145" s="396"/>
      <c r="T145" s="396"/>
    </row>
    <row r="146" spans="2:20" ht="13.9" thickBot="1">
      <c r="B146" s="1394">
        <v>31</v>
      </c>
      <c r="C146" s="2215" t="s">
        <v>314</v>
      </c>
      <c r="D146" s="736">
        <v>926372</v>
      </c>
      <c r="E146" s="293"/>
      <c r="F146" s="385"/>
      <c r="G146" s="396"/>
      <c r="I146" s="396"/>
      <c r="J146" s="437"/>
      <c r="K146" s="396"/>
      <c r="L146" s="396"/>
      <c r="M146" s="396"/>
      <c r="N146" s="396"/>
      <c r="O146" s="396"/>
      <c r="P146" s="396"/>
      <c r="Q146" s="396"/>
      <c r="R146" s="396"/>
      <c r="S146" s="396"/>
      <c r="T146" s="396"/>
    </row>
    <row r="147" spans="2:20" ht="13.9" thickBot="1">
      <c r="B147" s="1397">
        <v>32</v>
      </c>
      <c r="C147" s="1414" t="s">
        <v>315</v>
      </c>
      <c r="D147" s="737">
        <v>2819914.3707944695</v>
      </c>
      <c r="E147" s="293"/>
      <c r="F147" s="385"/>
      <c r="G147" s="396"/>
      <c r="I147" s="396"/>
      <c r="J147" s="437"/>
      <c r="K147" s="396"/>
      <c r="L147" s="396"/>
      <c r="M147" s="396"/>
      <c r="N147" s="396"/>
      <c r="O147" s="396"/>
      <c r="P147" s="396"/>
      <c r="Q147" s="396"/>
      <c r="R147" s="396"/>
      <c r="S147" s="396"/>
      <c r="T147" s="396"/>
    </row>
    <row r="148" spans="2:20" ht="27" thickBot="1">
      <c r="B148" s="1409">
        <v>33</v>
      </c>
      <c r="C148" s="1440" t="s">
        <v>322</v>
      </c>
      <c r="D148" s="1435">
        <v>5062847.4937832514</v>
      </c>
      <c r="E148" s="293"/>
      <c r="F148" s="385"/>
      <c r="G148" s="396"/>
      <c r="I148" s="396"/>
      <c r="J148" s="437"/>
      <c r="K148" s="396"/>
      <c r="L148" s="396"/>
      <c r="M148" s="396"/>
      <c r="N148" s="396"/>
      <c r="O148" s="396"/>
      <c r="P148" s="396"/>
      <c r="Q148" s="396"/>
      <c r="R148" s="396"/>
      <c r="S148" s="396"/>
      <c r="T148" s="396"/>
    </row>
    <row r="149" spans="2:20">
      <c r="B149" s="274"/>
      <c r="C149" s="627"/>
      <c r="D149" s="383"/>
      <c r="E149" s="293"/>
      <c r="I149" s="396"/>
      <c r="J149" s="396"/>
      <c r="K149" s="396"/>
      <c r="L149" s="396"/>
      <c r="M149" s="396"/>
      <c r="N149" s="396"/>
      <c r="O149" s="396"/>
      <c r="P149" s="396"/>
      <c r="Q149" s="396"/>
      <c r="R149" s="396"/>
      <c r="S149" s="396"/>
      <c r="T149" s="396"/>
    </row>
    <row r="150" spans="2:20">
      <c r="B150" s="196"/>
      <c r="C150" s="627"/>
      <c r="D150" s="526"/>
      <c r="E150" s="383"/>
      <c r="F150" s="293"/>
      <c r="H150" s="292">
        <v>83</v>
      </c>
      <c r="I150" s="396"/>
      <c r="J150" s="396"/>
      <c r="K150" s="396"/>
      <c r="L150" s="396"/>
      <c r="M150" s="396"/>
      <c r="N150" s="396"/>
      <c r="O150" s="396"/>
      <c r="P150" s="396"/>
      <c r="Q150" s="396"/>
      <c r="R150" s="396"/>
      <c r="S150" s="396"/>
      <c r="T150" s="396"/>
    </row>
    <row r="151" spans="2:20">
      <c r="B151" s="274"/>
      <c r="C151" s="391"/>
      <c r="D151" s="544"/>
      <c r="E151" s="533"/>
      <c r="F151" s="293"/>
      <c r="I151" s="396"/>
      <c r="J151" s="396"/>
      <c r="K151" s="396"/>
      <c r="L151" s="396"/>
      <c r="M151" s="396"/>
      <c r="N151" s="396"/>
      <c r="O151" s="396"/>
      <c r="P151" s="396"/>
      <c r="Q151" s="396"/>
      <c r="R151" s="396"/>
      <c r="S151" s="396"/>
      <c r="T151" s="396"/>
    </row>
    <row r="152" spans="2:20">
      <c r="B152" s="236" t="s">
        <v>412</v>
      </c>
      <c r="D152" s="236"/>
      <c r="E152" s="236"/>
      <c r="F152" s="236"/>
      <c r="I152" s="396"/>
      <c r="J152" s="396"/>
      <c r="K152" s="396"/>
      <c r="L152" s="396"/>
      <c r="M152" s="396"/>
      <c r="N152" s="396"/>
      <c r="O152" s="396"/>
      <c r="P152" s="396"/>
      <c r="Q152" s="396"/>
      <c r="R152" s="396"/>
      <c r="S152" s="396"/>
      <c r="T152" s="396"/>
    </row>
    <row r="153" spans="2:20" ht="13.9" thickBot="1">
      <c r="B153" s="51"/>
      <c r="C153" s="51"/>
      <c r="D153" s="51"/>
      <c r="E153" s="51"/>
      <c r="F153" s="51"/>
      <c r="I153" s="396"/>
      <c r="J153" s="396"/>
      <c r="K153" s="396"/>
      <c r="L153" s="396"/>
      <c r="M153" s="396"/>
      <c r="N153" s="396"/>
      <c r="O153" s="396"/>
      <c r="P153" s="396"/>
      <c r="Q153" s="396"/>
      <c r="R153" s="396"/>
      <c r="S153" s="396"/>
      <c r="T153" s="396"/>
    </row>
    <row r="154" spans="2:20" ht="13.9" thickBot="1">
      <c r="B154" s="3344" t="s">
        <v>128</v>
      </c>
      <c r="C154" s="3345"/>
      <c r="D154" s="425"/>
      <c r="E154" s="532"/>
      <c r="F154" s="396"/>
      <c r="I154" s="396"/>
      <c r="J154" s="396"/>
      <c r="K154" s="396"/>
      <c r="L154" s="396"/>
      <c r="M154" s="396"/>
      <c r="N154" s="396"/>
      <c r="O154" s="396"/>
      <c r="P154" s="396"/>
      <c r="Q154" s="396"/>
      <c r="R154" s="396"/>
      <c r="S154" s="396"/>
      <c r="T154" s="396"/>
    </row>
    <row r="155" spans="2:20">
      <c r="B155" s="3284" t="s">
        <v>396</v>
      </c>
      <c r="C155" s="3342"/>
      <c r="D155" s="3283" t="s">
        <v>414</v>
      </c>
      <c r="E155" s="274"/>
      <c r="I155" s="396"/>
      <c r="J155" s="396"/>
      <c r="K155" s="396"/>
      <c r="L155" s="396"/>
      <c r="M155" s="396"/>
      <c r="N155" s="396"/>
      <c r="O155" s="396"/>
      <c r="P155" s="396"/>
      <c r="Q155" s="396"/>
      <c r="R155" s="396"/>
      <c r="S155" s="396"/>
      <c r="T155" s="396"/>
    </row>
    <row r="156" spans="2:20">
      <c r="B156" s="3284"/>
      <c r="C156" s="3342"/>
      <c r="D156" s="3284"/>
      <c r="E156" s="443"/>
      <c r="I156" s="396"/>
      <c r="J156" s="396"/>
      <c r="K156" s="396"/>
      <c r="L156" s="396"/>
      <c r="M156" s="396"/>
      <c r="N156" s="396"/>
      <c r="O156" s="396"/>
      <c r="P156" s="396"/>
      <c r="Q156" s="396"/>
      <c r="R156" s="396"/>
      <c r="S156" s="396"/>
      <c r="T156" s="396"/>
    </row>
    <row r="157" spans="2:20">
      <c r="B157" s="3285"/>
      <c r="C157" s="3342"/>
      <c r="D157" s="3285"/>
      <c r="E157" s="443"/>
      <c r="I157" s="396"/>
      <c r="J157" s="396"/>
      <c r="K157" s="396"/>
      <c r="L157" s="396"/>
      <c r="M157" s="396"/>
      <c r="N157" s="396"/>
      <c r="O157" s="396"/>
      <c r="P157" s="396"/>
      <c r="Q157" s="396"/>
      <c r="R157" s="396"/>
      <c r="S157" s="396"/>
      <c r="T157" s="396"/>
    </row>
    <row r="158" spans="2:20" ht="14.45">
      <c r="B158" s="1394"/>
      <c r="C158" s="1417" t="s">
        <v>275</v>
      </c>
      <c r="D158" s="2216"/>
      <c r="E158" s="293"/>
      <c r="I158" s="396"/>
      <c r="J158" s="396"/>
      <c r="K158" s="396"/>
      <c r="L158" s="396"/>
      <c r="M158" s="396"/>
      <c r="N158" s="396"/>
      <c r="O158" s="396"/>
      <c r="P158" s="396"/>
      <c r="Q158" s="396"/>
      <c r="R158" s="396"/>
      <c r="S158" s="396"/>
      <c r="T158" s="396"/>
    </row>
    <row r="159" spans="2:20">
      <c r="B159" s="1394">
        <v>1</v>
      </c>
      <c r="C159" s="1961" t="s">
        <v>276</v>
      </c>
      <c r="D159" s="741"/>
      <c r="E159" s="293"/>
      <c r="F159" s="385"/>
      <c r="I159" s="396"/>
      <c r="J159" s="396"/>
      <c r="K159" s="396"/>
      <c r="L159" s="396"/>
      <c r="M159" s="396"/>
      <c r="N159" s="396"/>
      <c r="O159" s="396"/>
      <c r="P159" s="396"/>
      <c r="Q159" s="396"/>
      <c r="R159" s="396"/>
      <c r="S159" s="396"/>
      <c r="T159" s="396"/>
    </row>
    <row r="160" spans="2:20">
      <c r="B160" s="1394">
        <v>2</v>
      </c>
      <c r="C160" s="1961" t="s">
        <v>277</v>
      </c>
      <c r="D160" s="742">
        <v>585</v>
      </c>
      <c r="E160" s="293"/>
      <c r="F160" s="385"/>
      <c r="G160" s="396"/>
      <c r="I160" s="396"/>
      <c r="J160" s="396"/>
      <c r="K160" s="396"/>
      <c r="L160" s="396"/>
      <c r="M160" s="396"/>
      <c r="N160" s="396"/>
      <c r="O160" s="396"/>
      <c r="P160" s="396"/>
      <c r="Q160" s="396"/>
      <c r="R160" s="396"/>
      <c r="S160" s="396"/>
      <c r="T160" s="396"/>
    </row>
    <row r="161" spans="2:20">
      <c r="B161" s="1394">
        <v>3</v>
      </c>
      <c r="C161" s="1961" t="s">
        <v>278</v>
      </c>
      <c r="D161" s="741"/>
      <c r="E161" s="293"/>
      <c r="F161" s="385"/>
      <c r="G161" s="396"/>
      <c r="I161" s="396"/>
      <c r="J161" s="396"/>
      <c r="K161" s="396"/>
      <c r="L161" s="396"/>
      <c r="M161" s="396"/>
      <c r="N161" s="396"/>
      <c r="O161" s="396"/>
      <c r="P161" s="396"/>
      <c r="Q161" s="396"/>
      <c r="R161" s="396"/>
      <c r="S161" s="396"/>
      <c r="T161" s="396"/>
    </row>
    <row r="162" spans="2:20">
      <c r="B162" s="1394">
        <v>4</v>
      </c>
      <c r="C162" s="2192" t="s">
        <v>279</v>
      </c>
      <c r="D162" s="741"/>
      <c r="E162" s="293"/>
      <c r="F162" s="385"/>
      <c r="G162" s="396"/>
      <c r="I162" s="396"/>
      <c r="J162" s="396"/>
      <c r="K162" s="396"/>
      <c r="L162" s="396"/>
      <c r="M162" s="396"/>
      <c r="N162" s="396"/>
      <c r="O162" s="396"/>
      <c r="P162" s="396"/>
      <c r="Q162" s="396"/>
      <c r="R162" s="396"/>
      <c r="S162" s="396"/>
      <c r="T162" s="396"/>
    </row>
    <row r="163" spans="2:20">
      <c r="B163" s="1394">
        <v>5</v>
      </c>
      <c r="C163" s="1961" t="s">
        <v>280</v>
      </c>
      <c r="D163" s="742">
        <v>192205</v>
      </c>
      <c r="E163" s="293"/>
      <c r="F163" s="385"/>
      <c r="G163" s="396"/>
      <c r="I163" s="396"/>
      <c r="J163" s="396"/>
      <c r="K163" s="396"/>
      <c r="L163" s="396"/>
      <c r="M163" s="396"/>
      <c r="N163" s="396"/>
      <c r="O163" s="396"/>
      <c r="P163" s="396"/>
      <c r="Q163" s="396"/>
      <c r="R163" s="396"/>
      <c r="S163" s="396"/>
      <c r="T163" s="396"/>
    </row>
    <row r="164" spans="2:20">
      <c r="B164" s="1394">
        <v>6</v>
      </c>
      <c r="C164" s="1961" t="s">
        <v>281</v>
      </c>
      <c r="D164" s="741"/>
      <c r="E164" s="293"/>
      <c r="F164" s="385"/>
      <c r="G164" s="396"/>
      <c r="I164" s="396"/>
      <c r="J164" s="396"/>
      <c r="K164" s="396"/>
      <c r="L164" s="396"/>
      <c r="M164" s="396"/>
      <c r="N164" s="396"/>
      <c r="O164" s="396"/>
      <c r="P164" s="396"/>
      <c r="Q164" s="396"/>
      <c r="R164" s="396"/>
      <c r="S164" s="396"/>
      <c r="T164" s="396"/>
    </row>
    <row r="165" spans="2:20">
      <c r="B165" s="1394">
        <v>7</v>
      </c>
      <c r="C165" s="1961" t="s">
        <v>282</v>
      </c>
      <c r="D165" s="742"/>
      <c r="E165" s="293"/>
      <c r="F165" s="385"/>
      <c r="G165" s="396"/>
      <c r="I165" s="396"/>
      <c r="J165" s="396"/>
      <c r="K165" s="396"/>
      <c r="L165" s="396"/>
      <c r="M165" s="396"/>
      <c r="N165" s="396"/>
      <c r="O165" s="396"/>
      <c r="P165" s="396"/>
      <c r="Q165" s="396"/>
      <c r="R165" s="396"/>
      <c r="S165" s="396"/>
      <c r="T165" s="396"/>
    </row>
    <row r="166" spans="2:20">
      <c r="B166" s="1394"/>
      <c r="C166" s="2192" t="s">
        <v>416</v>
      </c>
      <c r="D166" s="741"/>
      <c r="E166" s="293"/>
      <c r="F166" s="385"/>
      <c r="G166" s="396"/>
      <c r="I166" s="396"/>
      <c r="J166" s="396"/>
      <c r="K166" s="396"/>
      <c r="L166" s="396"/>
      <c r="M166" s="396"/>
      <c r="N166" s="396"/>
      <c r="O166" s="396"/>
      <c r="P166" s="396"/>
      <c r="Q166" s="396"/>
      <c r="R166" s="396"/>
      <c r="S166" s="396"/>
      <c r="T166" s="396"/>
    </row>
    <row r="167" spans="2:20">
      <c r="B167" s="1394"/>
      <c r="C167" s="2192" t="s">
        <v>417</v>
      </c>
      <c r="D167" s="742">
        <v>510000</v>
      </c>
      <c r="E167" s="293"/>
      <c r="F167" s="385"/>
      <c r="G167" s="396"/>
      <c r="I167" s="396"/>
      <c r="J167" s="396"/>
      <c r="K167" s="396"/>
      <c r="L167" s="396"/>
      <c r="M167" s="396"/>
      <c r="N167" s="396"/>
      <c r="O167" s="396"/>
      <c r="P167" s="396"/>
      <c r="Q167" s="396"/>
      <c r="R167" s="396"/>
      <c r="S167" s="396"/>
      <c r="T167" s="396"/>
    </row>
    <row r="168" spans="2:20">
      <c r="B168" s="1394">
        <v>8</v>
      </c>
      <c r="C168" s="1961" t="s">
        <v>285</v>
      </c>
      <c r="D168" s="741"/>
      <c r="E168" s="293"/>
      <c r="F168" s="385"/>
      <c r="G168" s="396"/>
      <c r="I168" s="396"/>
      <c r="J168" s="396"/>
      <c r="K168" s="396"/>
      <c r="L168" s="396"/>
      <c r="M168" s="396"/>
      <c r="N168" s="396"/>
      <c r="O168" s="396"/>
      <c r="P168" s="396"/>
      <c r="Q168" s="396"/>
      <c r="R168" s="396"/>
      <c r="S168" s="396"/>
      <c r="T168" s="396"/>
    </row>
    <row r="169" spans="2:20">
      <c r="B169" s="1394"/>
      <c r="C169" s="2192" t="s">
        <v>418</v>
      </c>
      <c r="D169" s="741"/>
      <c r="E169" s="293"/>
      <c r="F169" s="385"/>
      <c r="G169" s="396"/>
      <c r="I169" s="396"/>
      <c r="J169" s="396"/>
      <c r="K169" s="396"/>
      <c r="L169" s="396"/>
      <c r="M169" s="396"/>
      <c r="N169" s="396"/>
      <c r="O169" s="396"/>
      <c r="P169" s="396"/>
      <c r="Q169" s="396"/>
      <c r="R169" s="396"/>
      <c r="S169" s="396"/>
      <c r="T169" s="396"/>
    </row>
    <row r="170" spans="2:20">
      <c r="B170" s="1394"/>
      <c r="C170" s="2192" t="s">
        <v>419</v>
      </c>
      <c r="D170" s="741"/>
      <c r="E170" s="293"/>
      <c r="F170" s="385"/>
      <c r="G170" s="396"/>
      <c r="I170" s="396"/>
      <c r="J170" s="396"/>
      <c r="K170" s="396"/>
      <c r="L170" s="396"/>
      <c r="M170" s="396"/>
      <c r="N170" s="396"/>
      <c r="O170" s="396"/>
      <c r="P170" s="396"/>
      <c r="Q170" s="396"/>
      <c r="R170" s="396"/>
      <c r="S170" s="396"/>
      <c r="T170" s="396"/>
    </row>
    <row r="171" spans="2:20" ht="26.45">
      <c r="B171" s="1396">
        <v>9</v>
      </c>
      <c r="C171" s="2212" t="s">
        <v>288</v>
      </c>
      <c r="D171" s="743">
        <v>7476972</v>
      </c>
      <c r="F171" s="385"/>
      <c r="G171" s="396"/>
      <c r="I171" s="396"/>
      <c r="J171" s="396"/>
      <c r="K171" s="396"/>
      <c r="L171" s="396"/>
      <c r="M171" s="396"/>
      <c r="N171" s="396"/>
      <c r="O171" s="396"/>
      <c r="P171" s="396"/>
      <c r="Q171" s="396"/>
      <c r="R171" s="396"/>
      <c r="S171" s="396"/>
    </row>
    <row r="172" spans="2:20">
      <c r="B172" s="1394">
        <v>10</v>
      </c>
      <c r="C172" s="2192" t="s">
        <v>289</v>
      </c>
      <c r="D172" s="741"/>
      <c r="E172" s="293"/>
      <c r="F172" s="385"/>
      <c r="G172" s="396"/>
      <c r="I172" s="396"/>
      <c r="J172" s="396"/>
      <c r="K172" s="396"/>
      <c r="L172" s="396"/>
      <c r="M172" s="396"/>
      <c r="N172" s="396"/>
      <c r="O172" s="396"/>
      <c r="P172" s="396"/>
      <c r="Q172" s="396"/>
      <c r="R172" s="396"/>
      <c r="S172" s="396"/>
      <c r="T172" s="396"/>
    </row>
    <row r="173" spans="2:20">
      <c r="B173" s="1394">
        <v>11</v>
      </c>
      <c r="C173" s="2192" t="s">
        <v>290</v>
      </c>
      <c r="D173" s="742">
        <v>6705437</v>
      </c>
      <c r="E173" s="293"/>
      <c r="F173" s="385"/>
      <c r="G173" s="396"/>
      <c r="I173" s="396"/>
      <c r="J173" s="396"/>
      <c r="K173" s="396"/>
      <c r="L173" s="396"/>
      <c r="M173" s="396"/>
      <c r="N173" s="396"/>
      <c r="O173" s="396"/>
      <c r="P173" s="396"/>
      <c r="Q173" s="396"/>
      <c r="R173" s="396"/>
      <c r="S173" s="396"/>
      <c r="T173" s="396"/>
    </row>
    <row r="174" spans="2:20">
      <c r="B174" s="1394">
        <v>12</v>
      </c>
      <c r="C174" s="2192" t="s">
        <v>291</v>
      </c>
      <c r="D174" s="742">
        <v>170774</v>
      </c>
      <c r="E174" s="293"/>
      <c r="F174" s="385"/>
      <c r="G174" s="396"/>
      <c r="I174" s="396"/>
      <c r="J174" s="396"/>
      <c r="K174" s="396"/>
      <c r="L174" s="396"/>
      <c r="M174" s="396"/>
      <c r="N174" s="396"/>
      <c r="O174" s="396"/>
      <c r="P174" s="396"/>
      <c r="Q174" s="396"/>
      <c r="R174" s="396"/>
      <c r="S174" s="396"/>
      <c r="T174" s="396"/>
    </row>
    <row r="175" spans="2:20" ht="26.45">
      <c r="B175" s="1394">
        <v>13</v>
      </c>
      <c r="C175" s="2192" t="s">
        <v>292</v>
      </c>
      <c r="D175" s="742">
        <v>600761</v>
      </c>
      <c r="E175" s="293"/>
      <c r="F175" s="385"/>
      <c r="G175" s="396"/>
      <c r="I175" s="396"/>
      <c r="J175" s="396"/>
      <c r="K175" s="396"/>
      <c r="L175" s="396"/>
      <c r="M175" s="396"/>
      <c r="N175" s="396"/>
      <c r="O175" s="396"/>
      <c r="P175" s="396"/>
      <c r="Q175" s="396"/>
      <c r="R175" s="396"/>
      <c r="S175" s="396"/>
      <c r="T175" s="396"/>
    </row>
    <row r="176" spans="2:20">
      <c r="B176" s="1394">
        <v>14</v>
      </c>
      <c r="C176" s="1853" t="s">
        <v>293</v>
      </c>
      <c r="D176" s="741"/>
      <c r="E176" s="293"/>
      <c r="F176" s="385"/>
      <c r="G176" s="396"/>
      <c r="I176" s="396"/>
      <c r="J176" s="396"/>
      <c r="K176" s="396"/>
      <c r="L176" s="396"/>
      <c r="M176" s="396"/>
      <c r="N176" s="396"/>
      <c r="O176" s="396"/>
      <c r="P176" s="396"/>
      <c r="Q176" s="396"/>
      <c r="R176" s="396"/>
      <c r="S176" s="396"/>
      <c r="T176" s="396"/>
    </row>
    <row r="177" spans="2:20">
      <c r="B177" s="1394">
        <v>15</v>
      </c>
      <c r="C177" s="1853" t="s">
        <v>294</v>
      </c>
      <c r="D177" s="742">
        <v>358210</v>
      </c>
      <c r="E177" s="293"/>
      <c r="F177" s="385"/>
      <c r="G177" s="396"/>
      <c r="I177" s="396"/>
      <c r="J177" s="396"/>
      <c r="K177" s="396"/>
      <c r="L177" s="396"/>
      <c r="M177" s="396"/>
      <c r="N177" s="396"/>
      <c r="O177" s="396"/>
      <c r="P177" s="396"/>
      <c r="Q177" s="396"/>
      <c r="R177" s="396"/>
      <c r="S177" s="396"/>
      <c r="T177" s="396"/>
    </row>
    <row r="178" spans="2:20">
      <c r="B178" s="1394">
        <v>16</v>
      </c>
      <c r="C178" s="1853" t="s">
        <v>295</v>
      </c>
      <c r="D178" s="742">
        <v>1874339</v>
      </c>
      <c r="E178" s="293"/>
      <c r="F178" s="385"/>
      <c r="G178" s="396"/>
      <c r="I178" s="396"/>
      <c r="J178" s="396"/>
      <c r="K178" s="396"/>
      <c r="L178" s="396"/>
      <c r="M178" s="396"/>
      <c r="N178" s="396"/>
      <c r="O178" s="396"/>
      <c r="P178" s="396"/>
      <c r="Q178" s="396"/>
      <c r="R178" s="396"/>
      <c r="S178" s="396"/>
      <c r="T178" s="396"/>
    </row>
    <row r="179" spans="2:20">
      <c r="B179" s="1394">
        <v>17</v>
      </c>
      <c r="C179" s="1853" t="s">
        <v>296</v>
      </c>
      <c r="D179" s="742">
        <v>283363</v>
      </c>
      <c r="E179" s="383"/>
      <c r="F179" s="385"/>
      <c r="G179" s="396"/>
      <c r="I179" s="396"/>
      <c r="J179" s="396"/>
      <c r="K179" s="396"/>
      <c r="L179" s="396"/>
      <c r="M179" s="396"/>
      <c r="N179" s="396"/>
      <c r="O179" s="396"/>
      <c r="P179" s="396"/>
      <c r="Q179" s="396"/>
      <c r="R179" s="396"/>
      <c r="S179" s="396"/>
      <c r="T179" s="396"/>
    </row>
    <row r="180" spans="2:20">
      <c r="B180" s="1394">
        <v>18</v>
      </c>
      <c r="C180" s="1853" t="s">
        <v>297</v>
      </c>
      <c r="D180" s="742">
        <v>437951</v>
      </c>
      <c r="E180" s="293"/>
      <c r="F180" s="385"/>
      <c r="G180" s="396"/>
      <c r="I180" s="396"/>
      <c r="J180" s="396"/>
      <c r="K180" s="396"/>
      <c r="L180" s="396"/>
      <c r="M180" s="396"/>
      <c r="N180" s="396"/>
      <c r="O180" s="396"/>
      <c r="P180" s="396"/>
      <c r="Q180" s="396"/>
      <c r="R180" s="396"/>
      <c r="S180" s="396"/>
      <c r="T180" s="396"/>
    </row>
    <row r="181" spans="2:20" ht="13.9" thickBot="1">
      <c r="B181" s="1394">
        <v>19</v>
      </c>
      <c r="C181" s="2209" t="s">
        <v>298</v>
      </c>
      <c r="D181" s="744">
        <v>544602</v>
      </c>
      <c r="E181" s="293"/>
      <c r="F181" s="385"/>
      <c r="G181" s="396"/>
      <c r="I181" s="396"/>
      <c r="J181" s="396"/>
      <c r="K181" s="396"/>
      <c r="L181" s="396"/>
      <c r="M181" s="396"/>
      <c r="N181" s="396"/>
      <c r="O181" s="396"/>
      <c r="P181" s="396"/>
      <c r="Q181" s="396"/>
      <c r="R181" s="396"/>
      <c r="S181" s="396"/>
      <c r="T181" s="396"/>
    </row>
    <row r="182" spans="2:20" ht="27" thickBot="1">
      <c r="B182" s="1406">
        <v>20</v>
      </c>
      <c r="C182" s="1444" t="s">
        <v>299</v>
      </c>
      <c r="D182" s="1426">
        <v>11678227</v>
      </c>
      <c r="E182" s="293"/>
      <c r="F182" s="385"/>
      <c r="G182" s="396"/>
      <c r="I182" s="396"/>
      <c r="J182" s="396"/>
      <c r="K182" s="396"/>
      <c r="L182" s="396"/>
      <c r="M182" s="396"/>
      <c r="N182" s="396"/>
      <c r="O182" s="396"/>
      <c r="P182" s="396"/>
      <c r="Q182" s="396"/>
      <c r="R182" s="396"/>
      <c r="S182" s="396"/>
      <c r="T182" s="396"/>
    </row>
    <row r="183" spans="2:20">
      <c r="B183" s="1394"/>
      <c r="C183" s="1416" t="s">
        <v>300</v>
      </c>
      <c r="D183" s="741"/>
      <c r="E183" s="293"/>
      <c r="F183" s="385"/>
      <c r="G183" s="396"/>
      <c r="I183" s="396"/>
      <c r="J183" s="396"/>
      <c r="K183" s="396"/>
      <c r="L183" s="396"/>
      <c r="M183" s="396"/>
      <c r="N183" s="396"/>
      <c r="O183" s="396"/>
      <c r="P183" s="396"/>
      <c r="Q183" s="396"/>
      <c r="R183" s="396"/>
      <c r="S183" s="396"/>
      <c r="T183" s="396"/>
    </row>
    <row r="184" spans="2:20">
      <c r="B184" s="1394"/>
      <c r="C184" s="2217" t="s">
        <v>301</v>
      </c>
      <c r="D184" s="741"/>
      <c r="E184" s="293"/>
      <c r="F184" s="385"/>
      <c r="G184" s="396"/>
      <c r="I184" s="396"/>
      <c r="J184" s="396"/>
      <c r="K184" s="396"/>
      <c r="L184" s="396"/>
      <c r="M184" s="396"/>
      <c r="N184" s="396"/>
      <c r="O184" s="396"/>
      <c r="P184" s="396"/>
      <c r="Q184" s="396"/>
      <c r="R184" s="396"/>
      <c r="S184" s="396"/>
      <c r="T184" s="396"/>
    </row>
    <row r="185" spans="2:20">
      <c r="B185" s="1394">
        <v>21</v>
      </c>
      <c r="C185" s="1853" t="s">
        <v>302</v>
      </c>
      <c r="D185" s="742">
        <v>3700962</v>
      </c>
      <c r="E185" s="293"/>
      <c r="F185" s="385"/>
      <c r="G185" s="396"/>
      <c r="I185" s="396"/>
      <c r="J185" s="396"/>
      <c r="K185" s="396"/>
      <c r="L185" s="396"/>
      <c r="M185" s="396"/>
      <c r="N185" s="396"/>
      <c r="O185" s="396"/>
      <c r="P185" s="396"/>
      <c r="Q185" s="396"/>
      <c r="R185" s="396"/>
      <c r="S185" s="396"/>
      <c r="T185" s="396"/>
    </row>
    <row r="186" spans="2:20">
      <c r="B186" s="1394">
        <v>22</v>
      </c>
      <c r="C186" s="1853" t="s">
        <v>303</v>
      </c>
      <c r="D186" s="742">
        <v>61310</v>
      </c>
      <c r="E186" s="293"/>
      <c r="F186" s="385"/>
      <c r="G186" s="396"/>
      <c r="I186" s="396"/>
      <c r="J186" s="396"/>
      <c r="K186" s="396"/>
      <c r="L186" s="396"/>
      <c r="M186" s="396"/>
      <c r="N186" s="396"/>
      <c r="O186" s="396"/>
      <c r="P186" s="396"/>
      <c r="Q186" s="396"/>
      <c r="R186" s="396"/>
      <c r="S186" s="396"/>
      <c r="T186" s="396"/>
    </row>
    <row r="187" spans="2:20">
      <c r="B187" s="1394">
        <v>23</v>
      </c>
      <c r="C187" s="1853" t="s">
        <v>304</v>
      </c>
      <c r="D187" s="742">
        <v>1285307</v>
      </c>
      <c r="E187" s="293"/>
      <c r="F187" s="385"/>
      <c r="G187" s="396"/>
      <c r="I187" s="396"/>
      <c r="J187" s="396"/>
      <c r="K187" s="396"/>
      <c r="L187" s="396"/>
      <c r="M187" s="396"/>
      <c r="N187" s="396"/>
      <c r="O187" s="396"/>
      <c r="P187" s="396"/>
      <c r="Q187" s="396"/>
      <c r="R187" s="396"/>
      <c r="S187" s="396"/>
      <c r="T187" s="396"/>
    </row>
    <row r="188" spans="2:20">
      <c r="B188" s="1394">
        <v>24</v>
      </c>
      <c r="C188" s="1853" t="s">
        <v>305</v>
      </c>
      <c r="D188" s="741"/>
      <c r="E188" s="293"/>
      <c r="F188" s="385"/>
      <c r="G188" s="396"/>
      <c r="I188" s="396"/>
      <c r="J188" s="396"/>
      <c r="K188" s="396"/>
      <c r="L188" s="396"/>
      <c r="M188" s="396"/>
      <c r="N188" s="396"/>
      <c r="O188" s="396"/>
      <c r="P188" s="396"/>
      <c r="Q188" s="396"/>
      <c r="R188" s="396"/>
      <c r="S188" s="396"/>
      <c r="T188" s="396"/>
    </row>
    <row r="189" spans="2:20">
      <c r="B189" s="1394">
        <v>25</v>
      </c>
      <c r="C189" s="2192" t="s">
        <v>306</v>
      </c>
      <c r="D189" s="741"/>
      <c r="E189" s="293"/>
      <c r="F189" s="385"/>
      <c r="G189" s="396"/>
      <c r="I189" s="396"/>
      <c r="J189" s="396"/>
      <c r="K189" s="396"/>
      <c r="L189" s="396"/>
      <c r="M189" s="396"/>
      <c r="N189" s="396"/>
      <c r="O189" s="396"/>
      <c r="P189" s="396"/>
      <c r="Q189" s="396"/>
      <c r="R189" s="396"/>
      <c r="S189" s="396"/>
      <c r="T189" s="396"/>
    </row>
    <row r="190" spans="2:20" ht="13.9" thickBot="1">
      <c r="B190" s="1394">
        <v>26</v>
      </c>
      <c r="C190" s="2209" t="s">
        <v>307</v>
      </c>
      <c r="D190" s="744">
        <v>1674721</v>
      </c>
      <c r="E190" s="293"/>
      <c r="F190" s="385"/>
      <c r="G190" s="396"/>
      <c r="I190" s="396"/>
      <c r="J190" s="396"/>
      <c r="K190" s="396"/>
      <c r="L190" s="396"/>
      <c r="M190" s="396"/>
      <c r="N190" s="396"/>
      <c r="O190" s="396"/>
      <c r="P190" s="396"/>
      <c r="Q190" s="396"/>
      <c r="R190" s="396"/>
      <c r="S190" s="396"/>
      <c r="T190" s="396"/>
    </row>
    <row r="191" spans="2:20" ht="27" thickBot="1">
      <c r="B191" s="1397">
        <v>27</v>
      </c>
      <c r="C191" s="1418" t="s">
        <v>308</v>
      </c>
      <c r="D191" s="745">
        <v>6722300</v>
      </c>
      <c r="E191" s="293"/>
      <c r="F191" s="385"/>
      <c r="G191" s="396"/>
      <c r="I191" s="396"/>
      <c r="J191" s="396"/>
      <c r="K191" s="396"/>
      <c r="L191" s="396"/>
      <c r="M191" s="396"/>
      <c r="N191" s="396"/>
      <c r="O191" s="396"/>
      <c r="P191" s="396"/>
      <c r="Q191" s="396"/>
      <c r="R191" s="396"/>
      <c r="S191" s="396"/>
      <c r="T191" s="396"/>
    </row>
    <row r="192" spans="2:20">
      <c r="B192" s="1394"/>
      <c r="C192" s="1416" t="s">
        <v>309</v>
      </c>
      <c r="D192" s="741"/>
      <c r="E192" s="293"/>
      <c r="F192" s="385"/>
      <c r="G192" s="396"/>
      <c r="I192" s="396"/>
      <c r="J192" s="396"/>
      <c r="K192" s="396"/>
      <c r="L192" s="396"/>
      <c r="M192" s="396"/>
      <c r="N192" s="396"/>
      <c r="O192" s="396"/>
      <c r="P192" s="396"/>
      <c r="Q192" s="396"/>
      <c r="R192" s="396"/>
      <c r="S192" s="396"/>
      <c r="T192" s="396"/>
    </row>
    <row r="193" spans="2:20">
      <c r="B193" s="1394">
        <v>28</v>
      </c>
      <c r="C193" s="1961" t="s">
        <v>310</v>
      </c>
      <c r="D193" s="742">
        <v>1250000</v>
      </c>
      <c r="E193" s="293"/>
      <c r="F193" s="385"/>
      <c r="G193" s="396"/>
      <c r="I193" s="396"/>
      <c r="J193" s="396"/>
      <c r="K193" s="396"/>
      <c r="L193" s="396"/>
      <c r="M193" s="396"/>
      <c r="N193" s="396"/>
      <c r="O193" s="396"/>
      <c r="P193" s="396"/>
      <c r="Q193" s="396"/>
      <c r="R193" s="396"/>
      <c r="S193" s="396"/>
      <c r="T193" s="396"/>
    </row>
    <row r="194" spans="2:20">
      <c r="B194" s="1394">
        <v>29</v>
      </c>
      <c r="C194" s="1961" t="s">
        <v>311</v>
      </c>
      <c r="D194" s="741">
        <v>-66957</v>
      </c>
      <c r="E194" s="293"/>
      <c r="F194" s="385"/>
      <c r="G194" s="396"/>
      <c r="I194" s="396"/>
      <c r="J194" s="396"/>
      <c r="K194" s="396"/>
      <c r="L194" s="396"/>
      <c r="M194" s="396"/>
      <c r="N194" s="396"/>
      <c r="O194" s="396"/>
      <c r="P194" s="396"/>
      <c r="Q194" s="396"/>
      <c r="R194" s="396"/>
      <c r="S194" s="396"/>
      <c r="T194" s="396"/>
    </row>
    <row r="195" spans="2:20">
      <c r="B195" s="1394">
        <v>30</v>
      </c>
      <c r="C195" s="2215" t="s">
        <v>312</v>
      </c>
      <c r="D195" s="741"/>
      <c r="E195" s="293"/>
      <c r="F195" s="385"/>
      <c r="G195" s="396"/>
      <c r="I195" s="396"/>
      <c r="J195" s="396"/>
      <c r="K195" s="396"/>
      <c r="L195" s="396"/>
      <c r="M195" s="396"/>
      <c r="N195" s="396"/>
      <c r="O195" s="396"/>
      <c r="P195" s="396"/>
      <c r="Q195" s="396"/>
      <c r="R195" s="396"/>
      <c r="S195" s="396"/>
      <c r="T195" s="396"/>
    </row>
    <row r="196" spans="2:20" ht="13.9" thickBot="1">
      <c r="B196" s="1394">
        <v>31</v>
      </c>
      <c r="C196" s="2215" t="s">
        <v>314</v>
      </c>
      <c r="D196" s="744">
        <v>3772883</v>
      </c>
      <c r="E196" s="293"/>
      <c r="F196" s="385"/>
      <c r="G196" s="396"/>
      <c r="I196" s="396"/>
      <c r="J196" s="396"/>
      <c r="K196" s="396"/>
      <c r="L196" s="396"/>
      <c r="M196" s="396"/>
      <c r="N196" s="396"/>
      <c r="O196" s="396"/>
      <c r="P196" s="396"/>
      <c r="Q196" s="396"/>
      <c r="R196" s="396"/>
      <c r="S196" s="396"/>
      <c r="T196" s="396"/>
    </row>
    <row r="197" spans="2:20" ht="13.9" thickBot="1">
      <c r="B197" s="1397">
        <v>32</v>
      </c>
      <c r="C197" s="1418" t="s">
        <v>315</v>
      </c>
      <c r="D197" s="745">
        <v>4955926</v>
      </c>
      <c r="E197" s="293"/>
      <c r="F197" s="385"/>
      <c r="G197" s="396"/>
      <c r="I197" s="396"/>
      <c r="J197" s="396"/>
      <c r="K197" s="396"/>
      <c r="L197" s="396"/>
      <c r="M197" s="396"/>
      <c r="N197" s="396"/>
      <c r="O197" s="396"/>
      <c r="P197" s="396"/>
      <c r="Q197" s="396"/>
      <c r="R197" s="396"/>
      <c r="S197" s="396"/>
      <c r="T197" s="396"/>
    </row>
    <row r="198" spans="2:20" ht="27" thickBot="1">
      <c r="B198" s="1409">
        <v>33</v>
      </c>
      <c r="C198" s="1442" t="s">
        <v>317</v>
      </c>
      <c r="D198" s="1443">
        <v>11678226</v>
      </c>
      <c r="E198" s="293"/>
      <c r="F198" s="385"/>
      <c r="G198" s="396"/>
      <c r="I198" s="396"/>
      <c r="J198" s="396"/>
      <c r="K198" s="396"/>
      <c r="L198" s="396"/>
      <c r="M198" s="396"/>
      <c r="N198" s="396"/>
      <c r="O198" s="396"/>
      <c r="P198" s="396"/>
      <c r="Q198" s="396"/>
      <c r="R198" s="396"/>
      <c r="S198" s="396"/>
      <c r="T198" s="396"/>
    </row>
    <row r="199" spans="2:20">
      <c r="B199" s="196"/>
      <c r="C199" s="391"/>
      <c r="D199" s="544"/>
      <c r="E199" s="383"/>
      <c r="F199" s="293"/>
      <c r="I199" s="396"/>
      <c r="J199" s="396"/>
      <c r="K199" s="396"/>
      <c r="L199" s="396"/>
      <c r="M199" s="396"/>
      <c r="N199" s="396"/>
      <c r="O199" s="396"/>
      <c r="P199" s="396"/>
      <c r="Q199" s="396"/>
      <c r="R199" s="396"/>
      <c r="S199" s="396"/>
      <c r="T199" s="396"/>
    </row>
    <row r="200" spans="2:20">
      <c r="B200" s="196"/>
      <c r="C200" s="391"/>
      <c r="D200" s="544"/>
      <c r="E200" s="383"/>
      <c r="F200" s="293"/>
      <c r="H200" s="292">
        <v>84</v>
      </c>
      <c r="I200" s="396"/>
      <c r="J200" s="396"/>
      <c r="K200" s="396"/>
      <c r="L200" s="396"/>
      <c r="M200" s="396"/>
      <c r="N200" s="396"/>
      <c r="O200" s="396"/>
      <c r="P200" s="396"/>
      <c r="Q200" s="396"/>
      <c r="R200" s="396"/>
      <c r="S200" s="396"/>
      <c r="T200" s="396"/>
    </row>
    <row r="201" spans="2:20">
      <c r="B201" s="196"/>
      <c r="C201" s="391"/>
      <c r="D201" s="544"/>
      <c r="E201" s="383"/>
      <c r="F201" s="293"/>
      <c r="I201" s="396"/>
      <c r="J201" s="396"/>
      <c r="K201" s="396"/>
      <c r="L201" s="396"/>
      <c r="M201" s="396"/>
      <c r="N201" s="396"/>
      <c r="O201" s="396"/>
      <c r="P201" s="396"/>
      <c r="Q201" s="396"/>
      <c r="R201" s="396"/>
      <c r="S201" s="396"/>
      <c r="T201" s="396"/>
    </row>
    <row r="202" spans="2:20">
      <c r="B202" s="236" t="s">
        <v>412</v>
      </c>
      <c r="C202" s="236"/>
      <c r="D202" s="236"/>
      <c r="E202" s="236"/>
      <c r="F202" s="236"/>
      <c r="I202" s="396"/>
      <c r="J202" s="396"/>
      <c r="K202" s="396"/>
      <c r="L202" s="396"/>
      <c r="M202" s="396"/>
      <c r="N202" s="396"/>
      <c r="O202" s="396"/>
      <c r="P202" s="396"/>
      <c r="Q202" s="396"/>
      <c r="R202" s="396"/>
      <c r="S202" s="396"/>
      <c r="T202" s="396"/>
    </row>
    <row r="203" spans="2:20" ht="13.9" thickBot="1">
      <c r="B203" s="51"/>
      <c r="C203" s="51"/>
      <c r="D203" s="51"/>
      <c r="E203" s="51"/>
      <c r="F203" s="51"/>
      <c r="I203" s="396"/>
      <c r="J203" s="396"/>
      <c r="K203" s="396"/>
      <c r="L203" s="396"/>
      <c r="M203" s="396"/>
      <c r="N203" s="396"/>
      <c r="O203" s="396"/>
      <c r="P203" s="396"/>
      <c r="Q203" s="396"/>
      <c r="R203" s="396"/>
      <c r="S203" s="396"/>
      <c r="T203" s="396"/>
    </row>
    <row r="204" spans="2:20" ht="13.9" thickBot="1">
      <c r="B204" s="3344" t="s">
        <v>97</v>
      </c>
      <c r="C204" s="3345"/>
      <c r="D204" s="425"/>
      <c r="E204" s="532"/>
      <c r="F204" s="396"/>
      <c r="I204" s="396"/>
      <c r="J204" s="396"/>
      <c r="K204" s="396"/>
      <c r="L204" s="396"/>
      <c r="M204" s="396"/>
      <c r="N204" s="396"/>
      <c r="O204" s="396"/>
      <c r="P204" s="396"/>
      <c r="Q204" s="396"/>
      <c r="R204" s="396"/>
      <c r="S204" s="396"/>
      <c r="T204" s="396"/>
    </row>
    <row r="205" spans="2:20">
      <c r="B205" s="3284" t="s">
        <v>396</v>
      </c>
      <c r="C205" s="3342"/>
      <c r="D205" s="3283" t="s">
        <v>414</v>
      </c>
      <c r="E205" s="274"/>
      <c r="I205" s="396"/>
      <c r="J205" s="396"/>
      <c r="K205" s="396"/>
      <c r="L205" s="396"/>
      <c r="M205" s="396"/>
      <c r="N205" s="396"/>
      <c r="O205" s="396"/>
      <c r="P205" s="396"/>
      <c r="Q205" s="396"/>
      <c r="R205" s="396"/>
      <c r="S205" s="396"/>
      <c r="T205" s="396"/>
    </row>
    <row r="206" spans="2:20">
      <c r="B206" s="3284"/>
      <c r="C206" s="3342"/>
      <c r="D206" s="3284"/>
      <c r="E206" s="443"/>
      <c r="I206" s="396"/>
      <c r="J206" s="396"/>
      <c r="K206" s="396"/>
      <c r="L206" s="396"/>
      <c r="M206" s="396"/>
      <c r="N206" s="396"/>
      <c r="O206" s="396"/>
      <c r="P206" s="396"/>
      <c r="Q206" s="396"/>
      <c r="R206" s="396"/>
      <c r="S206" s="396"/>
      <c r="T206" s="396"/>
    </row>
    <row r="207" spans="2:20">
      <c r="B207" s="3285"/>
      <c r="C207" s="3343"/>
      <c r="D207" s="3285"/>
      <c r="E207" s="443"/>
      <c r="I207" s="396"/>
      <c r="J207" s="396"/>
      <c r="K207" s="396"/>
      <c r="L207" s="396"/>
      <c r="M207" s="396"/>
      <c r="N207" s="396"/>
      <c r="O207" s="396"/>
      <c r="P207" s="396"/>
      <c r="Q207" s="396"/>
      <c r="R207" s="396"/>
      <c r="S207" s="396"/>
      <c r="T207" s="396"/>
    </row>
    <row r="208" spans="2:20" ht="14.45">
      <c r="B208" s="1394"/>
      <c r="C208" s="1401" t="s">
        <v>275</v>
      </c>
      <c r="D208" s="709"/>
      <c r="E208" s="293"/>
      <c r="I208" s="396"/>
      <c r="J208" s="396"/>
      <c r="K208" s="396"/>
      <c r="L208" s="396"/>
      <c r="M208" s="396"/>
      <c r="N208" s="396"/>
      <c r="O208" s="396"/>
      <c r="P208" s="396"/>
      <c r="Q208" s="396"/>
      <c r="R208" s="396"/>
      <c r="S208" s="396"/>
      <c r="T208" s="396"/>
    </row>
    <row r="209" spans="2:20" ht="14.45">
      <c r="B209" s="1394">
        <v>1</v>
      </c>
      <c r="C209" s="2218" t="s">
        <v>276</v>
      </c>
      <c r="D209" s="729"/>
      <c r="E209" s="293"/>
      <c r="G209" s="396"/>
      <c r="I209" s="396"/>
      <c r="J209" s="396"/>
      <c r="K209" s="396"/>
      <c r="L209" s="396"/>
      <c r="M209" s="396"/>
      <c r="N209" s="396"/>
      <c r="O209" s="396"/>
      <c r="P209" s="396"/>
      <c r="Q209" s="396"/>
      <c r="R209" s="396"/>
      <c r="S209" s="396"/>
      <c r="T209" s="396"/>
    </row>
    <row r="210" spans="2:20">
      <c r="B210" s="1394">
        <v>2</v>
      </c>
      <c r="C210" s="2218" t="s">
        <v>277</v>
      </c>
      <c r="D210" s="730">
        <v>44986</v>
      </c>
      <c r="E210" s="293"/>
      <c r="G210" s="396"/>
      <c r="I210" s="396"/>
      <c r="J210" s="396"/>
      <c r="K210" s="396"/>
      <c r="L210" s="396"/>
      <c r="M210" s="396"/>
      <c r="N210" s="396"/>
      <c r="O210" s="396"/>
      <c r="P210" s="396"/>
      <c r="Q210" s="396"/>
      <c r="R210" s="396"/>
      <c r="S210" s="396"/>
      <c r="T210" s="396"/>
    </row>
    <row r="211" spans="2:20" ht="13.9" customHeight="1">
      <c r="B211" s="1394">
        <v>3</v>
      </c>
      <c r="C211" s="2218" t="s">
        <v>278</v>
      </c>
      <c r="D211" s="733"/>
      <c r="E211" s="293"/>
      <c r="G211" s="396"/>
      <c r="I211" s="396"/>
      <c r="J211" s="396"/>
      <c r="K211" s="396"/>
      <c r="L211" s="396"/>
      <c r="M211" s="396"/>
      <c r="N211" s="396"/>
      <c r="O211" s="396"/>
      <c r="P211" s="396"/>
      <c r="Q211" s="396"/>
      <c r="R211" s="396"/>
      <c r="S211" s="396"/>
      <c r="T211" s="396"/>
    </row>
    <row r="212" spans="2:20" ht="13.9" customHeight="1">
      <c r="B212" s="1394">
        <v>4</v>
      </c>
      <c r="C212" s="2203" t="s">
        <v>279</v>
      </c>
      <c r="D212" s="731">
        <v>239943</v>
      </c>
      <c r="E212" s="293"/>
      <c r="G212" s="396"/>
      <c r="I212" s="396"/>
      <c r="J212" s="396"/>
      <c r="K212" s="396"/>
      <c r="L212" s="396"/>
      <c r="M212" s="396"/>
      <c r="N212" s="396"/>
      <c r="O212" s="396"/>
      <c r="P212" s="396"/>
      <c r="Q212" s="396"/>
      <c r="R212" s="396"/>
      <c r="S212" s="396"/>
      <c r="T212" s="396"/>
    </row>
    <row r="213" spans="2:20">
      <c r="B213" s="1394">
        <v>5</v>
      </c>
      <c r="C213" s="2218" t="s">
        <v>280</v>
      </c>
      <c r="D213" s="731">
        <v>4322298</v>
      </c>
      <c r="E213" s="293"/>
      <c r="G213" s="396"/>
      <c r="I213" s="396"/>
      <c r="J213" s="396"/>
      <c r="K213" s="396"/>
      <c r="L213" s="396"/>
      <c r="M213" s="396"/>
      <c r="N213" s="396"/>
      <c r="O213" s="396"/>
      <c r="P213" s="396"/>
      <c r="Q213" s="396"/>
      <c r="R213" s="396"/>
      <c r="S213" s="396"/>
      <c r="T213" s="396"/>
    </row>
    <row r="214" spans="2:20">
      <c r="B214" s="1394">
        <v>6</v>
      </c>
      <c r="C214" s="2218" t="s">
        <v>281</v>
      </c>
      <c r="D214" s="731">
        <v>2409500</v>
      </c>
      <c r="E214" s="293"/>
      <c r="G214" s="396"/>
      <c r="I214" s="396"/>
      <c r="J214" s="396"/>
      <c r="K214" s="396"/>
      <c r="L214" s="396"/>
      <c r="M214" s="396"/>
      <c r="N214" s="396"/>
      <c r="O214" s="396"/>
      <c r="P214" s="396"/>
      <c r="Q214" s="396"/>
      <c r="R214" s="396"/>
      <c r="S214" s="396"/>
      <c r="T214" s="396"/>
    </row>
    <row r="215" spans="2:20" ht="14.45">
      <c r="B215" s="1394">
        <v>7</v>
      </c>
      <c r="C215" s="2218" t="s">
        <v>282</v>
      </c>
      <c r="D215" s="729"/>
      <c r="E215" s="293"/>
      <c r="G215" s="396"/>
      <c r="I215" s="396"/>
      <c r="J215" s="396"/>
      <c r="K215" s="396"/>
      <c r="L215" s="396"/>
      <c r="M215" s="396"/>
      <c r="N215" s="396"/>
      <c r="O215" s="396"/>
      <c r="P215" s="396"/>
      <c r="Q215" s="396"/>
      <c r="R215" s="396"/>
      <c r="S215" s="396"/>
      <c r="T215" s="396"/>
    </row>
    <row r="216" spans="2:20" ht="14.45">
      <c r="B216" s="1394"/>
      <c r="C216" s="2203" t="s">
        <v>416</v>
      </c>
      <c r="D216" s="729"/>
      <c r="E216" s="293"/>
      <c r="G216" s="396"/>
      <c r="I216" s="396"/>
      <c r="J216" s="396"/>
      <c r="K216" s="396"/>
      <c r="L216" s="396"/>
      <c r="M216" s="396"/>
      <c r="N216" s="396"/>
      <c r="O216" s="396"/>
      <c r="P216" s="396"/>
      <c r="Q216" s="396"/>
      <c r="R216" s="396"/>
      <c r="S216" s="396"/>
      <c r="T216" s="396"/>
    </row>
    <row r="217" spans="2:20" ht="14.45">
      <c r="B217" s="1394"/>
      <c r="C217" s="2203" t="s">
        <v>417</v>
      </c>
      <c r="D217" s="729"/>
      <c r="E217" s="293"/>
      <c r="G217" s="396"/>
      <c r="I217" s="396"/>
      <c r="J217" s="396"/>
      <c r="K217" s="396"/>
      <c r="L217" s="396"/>
      <c r="M217" s="396"/>
      <c r="N217" s="396"/>
      <c r="O217" s="396"/>
      <c r="P217" s="396"/>
      <c r="Q217" s="396"/>
      <c r="R217" s="396"/>
      <c r="S217" s="396"/>
      <c r="T217" s="396"/>
    </row>
    <row r="218" spans="2:20" ht="14.45">
      <c r="B218" s="1394">
        <v>8</v>
      </c>
      <c r="C218" s="2218" t="s">
        <v>285</v>
      </c>
      <c r="D218" s="729"/>
      <c r="E218" s="293"/>
      <c r="G218" s="396"/>
      <c r="I218" s="396"/>
      <c r="J218" s="396"/>
      <c r="K218" s="396"/>
      <c r="L218" s="396"/>
      <c r="M218" s="396"/>
      <c r="N218" s="396"/>
      <c r="O218" s="396"/>
      <c r="P218" s="396"/>
      <c r="Q218" s="396"/>
      <c r="R218" s="396"/>
      <c r="S218" s="396"/>
      <c r="T218" s="396"/>
    </row>
    <row r="219" spans="2:20" ht="14.45">
      <c r="B219" s="1394"/>
      <c r="C219" s="2203" t="s">
        <v>418</v>
      </c>
      <c r="D219" s="729"/>
      <c r="E219" s="293"/>
      <c r="G219" s="396"/>
      <c r="I219" s="396"/>
      <c r="J219" s="396"/>
      <c r="K219" s="396"/>
      <c r="L219" s="396"/>
      <c r="M219" s="396"/>
      <c r="N219" s="396"/>
      <c r="O219" s="396"/>
      <c r="P219" s="396"/>
      <c r="Q219" s="396"/>
      <c r="R219" s="396"/>
      <c r="S219" s="396"/>
      <c r="T219" s="396"/>
    </row>
    <row r="220" spans="2:20" ht="14.45">
      <c r="B220" s="1394"/>
      <c r="C220" s="2203" t="s">
        <v>419</v>
      </c>
      <c r="D220" s="729"/>
      <c r="E220" s="293"/>
      <c r="G220" s="396"/>
      <c r="I220" s="396"/>
      <c r="J220" s="396"/>
      <c r="K220" s="396"/>
      <c r="L220" s="396"/>
      <c r="M220" s="396"/>
      <c r="N220" s="396"/>
      <c r="O220" s="396"/>
      <c r="P220" s="396"/>
      <c r="Q220" s="396"/>
      <c r="R220" s="396"/>
      <c r="S220" s="396"/>
      <c r="T220" s="396"/>
    </row>
    <row r="221" spans="2:20" ht="26.45">
      <c r="B221" s="1396">
        <v>9</v>
      </c>
      <c r="C221" s="2212" t="s">
        <v>288</v>
      </c>
      <c r="D221" s="732">
        <v>17498488</v>
      </c>
      <c r="G221" s="396"/>
      <c r="I221" s="396"/>
      <c r="J221" s="396"/>
      <c r="K221" s="396"/>
      <c r="L221" s="396"/>
      <c r="M221" s="396"/>
      <c r="N221" s="396"/>
      <c r="O221" s="396"/>
      <c r="P221" s="396"/>
      <c r="Q221" s="396"/>
      <c r="R221" s="396"/>
      <c r="S221" s="396"/>
    </row>
    <row r="222" spans="2:20" ht="14.45">
      <c r="B222" s="1394">
        <v>10</v>
      </c>
      <c r="C222" s="2203" t="s">
        <v>289</v>
      </c>
      <c r="D222" s="729"/>
      <c r="E222" s="293"/>
      <c r="G222" s="396"/>
      <c r="I222" s="396"/>
      <c r="J222" s="396"/>
      <c r="K222" s="396"/>
      <c r="L222" s="396"/>
      <c r="M222" s="396"/>
      <c r="N222" s="396"/>
      <c r="O222" s="396"/>
      <c r="P222" s="396"/>
      <c r="Q222" s="396"/>
      <c r="R222" s="396"/>
      <c r="S222" s="396"/>
      <c r="T222" s="396"/>
    </row>
    <row r="223" spans="2:20" ht="14.45">
      <c r="B223" s="1394">
        <v>11</v>
      </c>
      <c r="C223" s="2203" t="s">
        <v>290</v>
      </c>
      <c r="D223" s="746">
        <v>9832652</v>
      </c>
      <c r="E223" s="293"/>
      <c r="G223" s="396"/>
      <c r="I223" s="396"/>
      <c r="J223" s="396"/>
      <c r="K223" s="396"/>
      <c r="L223" s="396"/>
      <c r="M223" s="396"/>
      <c r="N223" s="396"/>
      <c r="O223" s="396"/>
      <c r="P223" s="396"/>
      <c r="Q223" s="396"/>
      <c r="R223" s="396"/>
      <c r="S223" s="396"/>
      <c r="T223" s="396"/>
    </row>
    <row r="224" spans="2:20" ht="14.45">
      <c r="B224" s="1394">
        <v>12</v>
      </c>
      <c r="C224" s="2203" t="s">
        <v>291</v>
      </c>
      <c r="D224" s="746">
        <v>7665836</v>
      </c>
      <c r="E224" s="293"/>
      <c r="G224" s="396"/>
      <c r="I224" s="396"/>
      <c r="J224" s="396"/>
      <c r="K224" s="396"/>
      <c r="L224" s="396"/>
      <c r="M224" s="396"/>
      <c r="N224" s="396"/>
      <c r="O224" s="396"/>
      <c r="P224" s="396"/>
      <c r="Q224" s="396"/>
      <c r="R224" s="396"/>
      <c r="S224" s="396"/>
      <c r="T224" s="396"/>
    </row>
    <row r="225" spans="2:20" ht="26.45">
      <c r="B225" s="1394">
        <v>13</v>
      </c>
      <c r="C225" s="2203" t="s">
        <v>292</v>
      </c>
      <c r="D225" s="729"/>
      <c r="E225" s="293"/>
      <c r="G225" s="396"/>
      <c r="I225" s="396"/>
      <c r="J225" s="396"/>
      <c r="K225" s="396"/>
      <c r="L225" s="396"/>
      <c r="M225" s="396"/>
      <c r="N225" s="396"/>
      <c r="O225" s="396"/>
      <c r="P225" s="396"/>
      <c r="Q225" s="396"/>
      <c r="R225" s="396"/>
      <c r="S225" s="396"/>
      <c r="T225" s="396"/>
    </row>
    <row r="226" spans="2:20" ht="14.45">
      <c r="B226" s="1394">
        <v>14</v>
      </c>
      <c r="C226" s="2204" t="s">
        <v>293</v>
      </c>
      <c r="D226" s="729"/>
      <c r="E226" s="293"/>
      <c r="G226" s="396"/>
      <c r="I226" s="396"/>
      <c r="J226" s="396"/>
      <c r="K226" s="396"/>
      <c r="L226" s="396"/>
      <c r="M226" s="396"/>
      <c r="N226" s="396"/>
      <c r="O226" s="396"/>
      <c r="P226" s="396"/>
      <c r="Q226" s="396"/>
      <c r="R226" s="396"/>
      <c r="S226" s="396"/>
      <c r="T226" s="396"/>
    </row>
    <row r="227" spans="2:20">
      <c r="B227" s="1394">
        <v>15</v>
      </c>
      <c r="C227" s="2204" t="s">
        <v>294</v>
      </c>
      <c r="D227" s="731">
        <v>5279902</v>
      </c>
      <c r="E227" s="293"/>
      <c r="G227" s="396"/>
      <c r="I227" s="396"/>
      <c r="J227" s="396"/>
      <c r="K227" s="396"/>
      <c r="L227" s="396"/>
      <c r="M227" s="396"/>
      <c r="N227" s="396"/>
      <c r="O227" s="396"/>
      <c r="P227" s="396"/>
      <c r="Q227" s="396"/>
      <c r="R227" s="396"/>
      <c r="S227" s="396"/>
      <c r="T227" s="396"/>
    </row>
    <row r="228" spans="2:20">
      <c r="B228" s="1394">
        <v>16</v>
      </c>
      <c r="C228" s="2204" t="s">
        <v>295</v>
      </c>
      <c r="D228" s="731">
        <v>6843368</v>
      </c>
      <c r="E228" s="293"/>
      <c r="G228" s="396"/>
      <c r="I228" s="396"/>
      <c r="J228" s="396"/>
      <c r="K228" s="396"/>
      <c r="L228" s="396"/>
      <c r="M228" s="396"/>
      <c r="N228" s="396"/>
      <c r="O228" s="396"/>
      <c r="P228" s="396"/>
      <c r="Q228" s="396"/>
      <c r="R228" s="396"/>
      <c r="S228" s="396"/>
      <c r="T228" s="396"/>
    </row>
    <row r="229" spans="2:20">
      <c r="B229" s="1394">
        <v>17</v>
      </c>
      <c r="C229" s="2204" t="s">
        <v>296</v>
      </c>
      <c r="D229" s="731">
        <v>4513144</v>
      </c>
      <c r="E229" s="293"/>
      <c r="F229" s="396"/>
      <c r="G229" s="396"/>
      <c r="I229" s="396"/>
      <c r="J229" s="396"/>
      <c r="K229" s="396"/>
      <c r="L229" s="396"/>
      <c r="M229" s="396"/>
      <c r="N229" s="396"/>
      <c r="O229" s="396"/>
      <c r="P229" s="396"/>
      <c r="Q229" s="396"/>
      <c r="R229" s="396"/>
      <c r="S229" s="396"/>
      <c r="T229" s="396"/>
    </row>
    <row r="230" spans="2:20">
      <c r="B230" s="1394">
        <v>18</v>
      </c>
      <c r="C230" s="2204" t="s">
        <v>297</v>
      </c>
      <c r="D230" s="731">
        <v>1140051</v>
      </c>
      <c r="E230" s="293"/>
      <c r="G230" s="396"/>
      <c r="I230" s="396"/>
      <c r="J230" s="396"/>
      <c r="K230" s="396"/>
      <c r="L230" s="396"/>
      <c r="M230" s="396"/>
      <c r="N230" s="396"/>
      <c r="O230" s="396"/>
      <c r="P230" s="396"/>
      <c r="Q230" s="396"/>
      <c r="R230" s="396"/>
      <c r="S230" s="396"/>
      <c r="T230" s="396"/>
    </row>
    <row r="231" spans="2:20" ht="13.9" thickBot="1">
      <c r="B231" s="1394">
        <v>19</v>
      </c>
      <c r="C231" s="2205" t="s">
        <v>298</v>
      </c>
      <c r="D231" s="736">
        <v>410294</v>
      </c>
      <c r="E231" s="293"/>
      <c r="G231" s="396"/>
      <c r="I231" s="396"/>
      <c r="J231" s="396"/>
      <c r="K231" s="396"/>
      <c r="L231" s="396"/>
      <c r="M231" s="396"/>
      <c r="N231" s="396"/>
      <c r="O231" s="396"/>
      <c r="P231" s="396"/>
      <c r="Q231" s="396"/>
      <c r="R231" s="396"/>
      <c r="S231" s="396"/>
      <c r="T231" s="396"/>
    </row>
    <row r="232" spans="2:20" ht="27" thickBot="1">
      <c r="B232" s="1406">
        <v>20</v>
      </c>
      <c r="C232" s="1425" t="s">
        <v>299</v>
      </c>
      <c r="D232" s="1434">
        <v>42701974</v>
      </c>
      <c r="E232" s="293"/>
      <c r="G232" s="396"/>
      <c r="I232" s="396"/>
      <c r="J232" s="396"/>
      <c r="K232" s="396"/>
      <c r="L232" s="396"/>
      <c r="M232" s="396"/>
      <c r="N232" s="396"/>
      <c r="O232" s="396"/>
      <c r="P232" s="396"/>
      <c r="Q232" s="396"/>
      <c r="R232" s="396"/>
      <c r="S232" s="396"/>
      <c r="T232" s="396"/>
    </row>
    <row r="233" spans="2:20" ht="14.45">
      <c r="B233" s="1394"/>
      <c r="C233" s="1398" t="s">
        <v>300</v>
      </c>
      <c r="D233" s="729"/>
      <c r="E233" s="293"/>
      <c r="G233" s="396"/>
      <c r="I233" s="396"/>
      <c r="J233" s="396"/>
      <c r="K233" s="396"/>
      <c r="L233" s="396"/>
      <c r="M233" s="396"/>
      <c r="N233" s="396"/>
      <c r="O233" s="396"/>
      <c r="P233" s="396"/>
      <c r="Q233" s="396"/>
      <c r="R233" s="396"/>
      <c r="S233" s="396"/>
      <c r="T233" s="396"/>
    </row>
    <row r="234" spans="2:20" ht="14.45">
      <c r="B234" s="1394"/>
      <c r="C234" s="2219" t="s">
        <v>301</v>
      </c>
      <c r="D234" s="729"/>
      <c r="E234" s="293"/>
      <c r="G234" s="396"/>
      <c r="I234" s="396"/>
      <c r="J234" s="396"/>
      <c r="K234" s="396"/>
      <c r="L234" s="396"/>
      <c r="M234" s="396"/>
      <c r="N234" s="396"/>
      <c r="O234" s="396"/>
      <c r="P234" s="396"/>
      <c r="Q234" s="396"/>
      <c r="R234" s="396"/>
      <c r="S234" s="396"/>
      <c r="T234" s="396"/>
    </row>
    <row r="235" spans="2:20">
      <c r="B235" s="1394">
        <v>21</v>
      </c>
      <c r="C235" s="2204" t="s">
        <v>302</v>
      </c>
      <c r="D235" s="731">
        <v>14633114</v>
      </c>
      <c r="E235" s="293"/>
      <c r="G235" s="396"/>
      <c r="I235" s="396"/>
      <c r="J235" s="396"/>
      <c r="K235" s="396"/>
      <c r="L235" s="396"/>
      <c r="M235" s="396"/>
      <c r="N235" s="396"/>
      <c r="O235" s="396"/>
      <c r="P235" s="396"/>
      <c r="Q235" s="396"/>
      <c r="R235" s="396"/>
      <c r="S235" s="396"/>
      <c r="T235" s="396"/>
    </row>
    <row r="236" spans="2:20">
      <c r="B236" s="1394">
        <v>22</v>
      </c>
      <c r="C236" s="2204" t="s">
        <v>303</v>
      </c>
      <c r="D236" s="733"/>
      <c r="E236" s="293"/>
      <c r="G236" s="396"/>
      <c r="I236" s="396"/>
      <c r="J236" s="396"/>
      <c r="K236" s="396"/>
      <c r="L236" s="396"/>
      <c r="M236" s="396"/>
      <c r="N236" s="396"/>
      <c r="O236" s="396"/>
      <c r="P236" s="396"/>
      <c r="Q236" s="396"/>
      <c r="R236" s="396"/>
      <c r="S236" s="396"/>
      <c r="T236" s="396"/>
    </row>
    <row r="237" spans="2:20">
      <c r="B237" s="1394">
        <v>23</v>
      </c>
      <c r="C237" s="2204" t="s">
        <v>304</v>
      </c>
      <c r="D237" s="731">
        <v>6821626</v>
      </c>
      <c r="E237" s="293"/>
      <c r="G237" s="396"/>
      <c r="I237" s="396"/>
      <c r="J237" s="396"/>
      <c r="K237" s="396"/>
      <c r="L237" s="396"/>
      <c r="M237" s="396"/>
      <c r="N237" s="396"/>
      <c r="O237" s="396"/>
      <c r="P237" s="396"/>
      <c r="Q237" s="396"/>
      <c r="R237" s="396"/>
      <c r="S237" s="396"/>
      <c r="T237" s="396"/>
    </row>
    <row r="238" spans="2:20">
      <c r="B238" s="1394">
        <v>24</v>
      </c>
      <c r="C238" s="2204" t="s">
        <v>305</v>
      </c>
      <c r="D238" s="731">
        <v>520032</v>
      </c>
      <c r="E238" s="293"/>
      <c r="G238" s="396"/>
      <c r="I238" s="396"/>
      <c r="J238" s="396"/>
      <c r="K238" s="396"/>
      <c r="L238" s="396"/>
      <c r="M238" s="396"/>
      <c r="N238" s="396"/>
      <c r="O238" s="396"/>
      <c r="P238" s="396"/>
      <c r="Q238" s="396"/>
      <c r="R238" s="396"/>
      <c r="S238" s="396"/>
      <c r="T238" s="396"/>
    </row>
    <row r="239" spans="2:20">
      <c r="B239" s="1394">
        <v>25</v>
      </c>
      <c r="C239" s="2203" t="s">
        <v>306</v>
      </c>
      <c r="D239" s="731"/>
      <c r="E239" s="293"/>
      <c r="G239" s="396"/>
      <c r="I239" s="396"/>
      <c r="J239" s="396"/>
      <c r="K239" s="396"/>
      <c r="L239" s="396"/>
      <c r="M239" s="396"/>
      <c r="N239" s="396"/>
      <c r="O239" s="396"/>
      <c r="P239" s="396"/>
      <c r="Q239" s="396"/>
      <c r="R239" s="396"/>
      <c r="S239" s="396"/>
      <c r="T239" s="396"/>
    </row>
    <row r="240" spans="2:20" ht="13.9" thickBot="1">
      <c r="B240" s="1394">
        <v>26</v>
      </c>
      <c r="C240" s="2205" t="s">
        <v>307</v>
      </c>
      <c r="D240" s="736">
        <v>3555652</v>
      </c>
      <c r="E240" s="293"/>
      <c r="G240" s="396"/>
      <c r="I240" s="396"/>
      <c r="J240" s="396"/>
      <c r="K240" s="396"/>
      <c r="L240" s="396"/>
      <c r="M240" s="396"/>
      <c r="N240" s="396"/>
      <c r="O240" s="396"/>
      <c r="P240" s="396"/>
      <c r="Q240" s="396"/>
      <c r="R240" s="396"/>
      <c r="S240" s="396"/>
      <c r="T240" s="396"/>
    </row>
    <row r="241" spans="2:20" ht="27" thickBot="1">
      <c r="B241" s="1397">
        <v>27</v>
      </c>
      <c r="C241" s="1419" t="s">
        <v>308</v>
      </c>
      <c r="D241" s="737">
        <v>25530424</v>
      </c>
      <c r="E241" s="293"/>
      <c r="G241" s="396"/>
      <c r="I241" s="396"/>
      <c r="J241" s="396"/>
      <c r="K241" s="396"/>
      <c r="L241" s="396"/>
      <c r="M241" s="396"/>
      <c r="N241" s="396"/>
      <c r="O241" s="396"/>
      <c r="P241" s="396"/>
      <c r="Q241" s="396"/>
      <c r="R241" s="396"/>
      <c r="S241" s="396"/>
      <c r="T241" s="396"/>
    </row>
    <row r="242" spans="2:20">
      <c r="B242" s="1394"/>
      <c r="C242" s="1398" t="s">
        <v>309</v>
      </c>
      <c r="D242" s="735"/>
      <c r="E242" s="293"/>
      <c r="G242" s="396"/>
      <c r="I242" s="396"/>
      <c r="J242" s="396"/>
      <c r="K242" s="396"/>
      <c r="L242" s="396"/>
      <c r="M242" s="396"/>
      <c r="N242" s="396"/>
      <c r="O242" s="396"/>
      <c r="P242" s="396"/>
      <c r="Q242" s="396"/>
      <c r="R242" s="396"/>
      <c r="S242" s="396"/>
      <c r="T242" s="396"/>
    </row>
    <row r="243" spans="2:20">
      <c r="B243" s="1394">
        <v>28</v>
      </c>
      <c r="C243" s="2218" t="s">
        <v>310</v>
      </c>
      <c r="D243" s="731">
        <v>500200</v>
      </c>
      <c r="E243" s="293"/>
      <c r="G243" s="396"/>
      <c r="I243" s="396"/>
      <c r="J243" s="396"/>
      <c r="K243" s="396"/>
      <c r="L243" s="396"/>
      <c r="M243" s="396"/>
      <c r="N243" s="396"/>
      <c r="O243" s="396"/>
      <c r="P243" s="396"/>
      <c r="Q243" s="396"/>
      <c r="R243" s="396"/>
      <c r="S243" s="396"/>
      <c r="T243" s="396"/>
    </row>
    <row r="244" spans="2:20">
      <c r="B244" s="1394">
        <v>29</v>
      </c>
      <c r="C244" s="2218" t="s">
        <v>311</v>
      </c>
      <c r="D244" s="2211">
        <v>6654167</v>
      </c>
      <c r="E244" s="293"/>
      <c r="G244" s="396"/>
      <c r="I244" s="396"/>
      <c r="J244" s="396"/>
      <c r="K244" s="396"/>
      <c r="L244" s="396"/>
      <c r="M244" s="396"/>
      <c r="N244" s="396"/>
      <c r="O244" s="396"/>
      <c r="P244" s="396"/>
      <c r="Q244" s="396"/>
      <c r="R244" s="396"/>
      <c r="S244" s="396"/>
      <c r="T244" s="396"/>
    </row>
    <row r="245" spans="2:20">
      <c r="B245" s="1394">
        <v>30</v>
      </c>
      <c r="C245" s="2207" t="s">
        <v>312</v>
      </c>
      <c r="D245" s="731">
        <v>727580</v>
      </c>
      <c r="E245" s="293"/>
      <c r="G245" s="396"/>
      <c r="I245" s="396"/>
      <c r="J245" s="396"/>
      <c r="K245" s="396"/>
      <c r="L245" s="396"/>
      <c r="M245" s="396"/>
      <c r="N245" s="396"/>
      <c r="O245" s="396"/>
      <c r="P245" s="396"/>
      <c r="Q245" s="396"/>
      <c r="R245" s="396"/>
      <c r="S245" s="396"/>
      <c r="T245" s="396"/>
    </row>
    <row r="246" spans="2:20" ht="13.9" thickBot="1">
      <c r="B246" s="1394">
        <v>31</v>
      </c>
      <c r="C246" s="2207" t="s">
        <v>314</v>
      </c>
      <c r="D246" s="736">
        <v>9289603</v>
      </c>
      <c r="E246" s="293"/>
      <c r="G246" s="396"/>
      <c r="I246" s="396"/>
      <c r="J246" s="396"/>
      <c r="K246" s="396"/>
      <c r="L246" s="396"/>
      <c r="M246" s="396"/>
      <c r="N246" s="396"/>
      <c r="O246" s="396"/>
      <c r="P246" s="396"/>
      <c r="Q246" s="396"/>
      <c r="R246" s="396"/>
      <c r="S246" s="396"/>
      <c r="T246" s="396"/>
    </row>
    <row r="247" spans="2:20" ht="13.9" thickBot="1">
      <c r="B247" s="1397">
        <v>32</v>
      </c>
      <c r="C247" s="1419" t="s">
        <v>315</v>
      </c>
      <c r="D247" s="737">
        <v>17171550</v>
      </c>
      <c r="E247" s="293"/>
      <c r="G247" s="396"/>
      <c r="I247" s="396"/>
      <c r="J247" s="396"/>
      <c r="K247" s="396"/>
      <c r="L247" s="396"/>
      <c r="M247" s="396"/>
      <c r="N247" s="396"/>
      <c r="O247" s="396"/>
      <c r="P247" s="396"/>
      <c r="Q247" s="396"/>
      <c r="R247" s="396"/>
      <c r="S247" s="396"/>
      <c r="T247" s="396"/>
    </row>
    <row r="248" spans="2:20" ht="27" thickBot="1">
      <c r="B248" s="1409">
        <v>33</v>
      </c>
      <c r="C248" s="1430" t="s">
        <v>317</v>
      </c>
      <c r="D248" s="1435">
        <v>42701974</v>
      </c>
      <c r="E248" s="293"/>
      <c r="G248" s="396"/>
      <c r="I248" s="396"/>
      <c r="J248" s="396"/>
      <c r="K248" s="396"/>
      <c r="L248" s="396"/>
      <c r="M248" s="396"/>
      <c r="N248" s="396"/>
      <c r="O248" s="396"/>
      <c r="P248" s="396"/>
      <c r="Q248" s="396"/>
      <c r="R248" s="396"/>
      <c r="S248" s="396"/>
      <c r="T248" s="396"/>
    </row>
    <row r="249" spans="2:20">
      <c r="B249" s="274"/>
      <c r="C249" s="391"/>
      <c r="D249" s="544"/>
      <c r="E249" s="383"/>
      <c r="F249" s="293"/>
      <c r="I249" s="396"/>
      <c r="J249" s="396"/>
      <c r="K249" s="396"/>
      <c r="L249" s="396"/>
      <c r="M249" s="396"/>
      <c r="N249" s="396"/>
      <c r="O249" s="396"/>
      <c r="P249" s="396"/>
      <c r="Q249" s="396"/>
      <c r="R249" s="396"/>
      <c r="S249" s="396"/>
      <c r="T249" s="396"/>
    </row>
    <row r="250" spans="2:20">
      <c r="B250" s="274"/>
      <c r="C250" s="391"/>
      <c r="D250" s="544"/>
      <c r="E250" s="383"/>
      <c r="F250" s="293"/>
      <c r="H250" s="292">
        <v>85</v>
      </c>
      <c r="I250" s="396"/>
      <c r="J250" s="396"/>
      <c r="K250" s="396"/>
      <c r="L250" s="396"/>
      <c r="M250" s="396"/>
      <c r="N250" s="396"/>
      <c r="O250" s="396"/>
      <c r="P250" s="396"/>
      <c r="Q250" s="396"/>
      <c r="R250" s="396"/>
      <c r="S250" s="396"/>
      <c r="T250" s="396"/>
    </row>
    <row r="251" spans="2:20">
      <c r="B251" s="274"/>
      <c r="C251" s="391"/>
      <c r="D251" s="544"/>
      <c r="E251" s="383"/>
      <c r="F251" s="293"/>
      <c r="I251" s="396"/>
      <c r="J251" s="396"/>
      <c r="K251" s="396"/>
      <c r="L251" s="396"/>
      <c r="M251" s="396"/>
      <c r="N251" s="396"/>
      <c r="O251" s="396"/>
      <c r="P251" s="396"/>
      <c r="Q251" s="396"/>
      <c r="R251" s="396"/>
      <c r="S251" s="396"/>
      <c r="T251" s="396"/>
    </row>
    <row r="252" spans="2:20" ht="14.45">
      <c r="B252" s="3340" t="s">
        <v>420</v>
      </c>
      <c r="C252" s="3341"/>
      <c r="D252" s="3341"/>
      <c r="E252" s="3341"/>
      <c r="F252" s="3341"/>
      <c r="G252" s="3341"/>
      <c r="I252" s="396"/>
      <c r="J252" s="396"/>
      <c r="K252" s="396"/>
      <c r="L252" s="396"/>
      <c r="M252" s="396"/>
      <c r="N252" s="396"/>
      <c r="O252" s="396"/>
      <c r="P252" s="396"/>
      <c r="Q252" s="396"/>
      <c r="R252" s="396"/>
      <c r="S252" s="396"/>
      <c r="T252" s="396"/>
    </row>
    <row r="253" spans="2:20" ht="13.9" thickBot="1">
      <c r="B253" s="51"/>
      <c r="C253" s="51"/>
      <c r="D253" s="51"/>
      <c r="E253" s="51"/>
      <c r="F253" s="51"/>
      <c r="I253" s="396"/>
      <c r="J253" s="396"/>
      <c r="K253" s="396"/>
      <c r="L253" s="396"/>
      <c r="M253" s="396"/>
      <c r="N253" s="396"/>
      <c r="O253" s="396"/>
      <c r="P253" s="396"/>
      <c r="Q253" s="396"/>
      <c r="R253" s="396"/>
      <c r="S253" s="396"/>
      <c r="T253" s="396"/>
    </row>
    <row r="254" spans="2:20" ht="13.9" thickBot="1">
      <c r="B254" s="3344" t="s">
        <v>421</v>
      </c>
      <c r="C254" s="3345"/>
      <c r="D254" s="425"/>
      <c r="E254" s="532"/>
      <c r="F254" s="396"/>
      <c r="I254" s="396"/>
      <c r="J254" s="396"/>
      <c r="K254" s="396"/>
      <c r="L254" s="396"/>
      <c r="M254" s="396"/>
      <c r="N254" s="396"/>
      <c r="O254" s="396"/>
      <c r="P254" s="396"/>
      <c r="Q254" s="396"/>
      <c r="R254" s="396"/>
      <c r="S254" s="396"/>
      <c r="T254" s="396"/>
    </row>
    <row r="255" spans="2:20">
      <c r="B255" s="3284" t="s">
        <v>396</v>
      </c>
      <c r="C255" s="3346"/>
      <c r="D255" s="3283" t="s">
        <v>414</v>
      </c>
      <c r="E255" s="274"/>
      <c r="I255" s="396"/>
      <c r="J255" s="396"/>
      <c r="K255" s="396"/>
      <c r="L255" s="396"/>
      <c r="M255" s="396"/>
      <c r="N255" s="396"/>
      <c r="O255" s="396"/>
      <c r="P255" s="396"/>
      <c r="Q255" s="396"/>
      <c r="R255" s="396"/>
      <c r="S255" s="396"/>
      <c r="T255" s="396"/>
    </row>
    <row r="256" spans="2:20">
      <c r="B256" s="3284"/>
      <c r="C256" s="3346"/>
      <c r="D256" s="3284"/>
      <c r="E256" s="443"/>
      <c r="I256" s="396"/>
      <c r="J256" s="396"/>
      <c r="K256" s="396"/>
      <c r="L256" s="396"/>
      <c r="M256" s="396"/>
      <c r="N256" s="396"/>
      <c r="O256" s="396"/>
      <c r="P256" s="396"/>
      <c r="Q256" s="396"/>
      <c r="R256" s="396"/>
      <c r="S256" s="396"/>
      <c r="T256" s="396"/>
    </row>
    <row r="257" spans="2:20">
      <c r="B257" s="3285"/>
      <c r="C257" s="3347"/>
      <c r="D257" s="3285"/>
      <c r="E257" s="443"/>
      <c r="I257" s="396"/>
      <c r="J257" s="396"/>
      <c r="K257" s="396"/>
      <c r="L257" s="396"/>
      <c r="M257" s="396"/>
      <c r="N257" s="396"/>
      <c r="O257" s="396"/>
      <c r="P257" s="396"/>
      <c r="Q257" s="396"/>
      <c r="R257" s="396"/>
      <c r="S257" s="396"/>
      <c r="T257" s="396"/>
    </row>
    <row r="258" spans="2:20" ht="14.45">
      <c r="B258" s="1394"/>
      <c r="C258" s="1401" t="s">
        <v>275</v>
      </c>
      <c r="D258" s="2216"/>
      <c r="E258" s="293"/>
      <c r="I258" s="396"/>
      <c r="J258" s="396"/>
      <c r="K258" s="396"/>
      <c r="L258" s="396"/>
      <c r="M258" s="396"/>
      <c r="N258" s="396"/>
      <c r="O258" s="396"/>
      <c r="P258" s="396"/>
      <c r="Q258" s="396"/>
      <c r="R258" s="396"/>
      <c r="S258" s="396"/>
      <c r="T258" s="396"/>
    </row>
    <row r="259" spans="2:20">
      <c r="B259" s="1394">
        <v>1</v>
      </c>
      <c r="C259" s="2218" t="s">
        <v>276</v>
      </c>
      <c r="D259" s="741"/>
      <c r="E259" s="293"/>
      <c r="G259" s="396"/>
      <c r="I259" s="396"/>
      <c r="J259" s="396"/>
      <c r="K259" s="396"/>
      <c r="L259" s="396"/>
      <c r="M259" s="396"/>
      <c r="N259" s="396"/>
      <c r="O259" s="396"/>
      <c r="P259" s="396"/>
      <c r="Q259" s="396"/>
      <c r="R259" s="396"/>
      <c r="S259" s="396"/>
      <c r="T259" s="396"/>
    </row>
    <row r="260" spans="2:20">
      <c r="B260" s="1394">
        <v>2</v>
      </c>
      <c r="C260" s="2218" t="s">
        <v>277</v>
      </c>
      <c r="D260" s="742">
        <v>27379</v>
      </c>
      <c r="E260" s="293"/>
      <c r="G260" s="396"/>
      <c r="I260" s="396"/>
      <c r="J260" s="396"/>
      <c r="K260" s="396"/>
      <c r="L260" s="396"/>
      <c r="M260" s="396"/>
      <c r="N260" s="396"/>
      <c r="O260" s="396"/>
      <c r="P260" s="396"/>
      <c r="Q260" s="396"/>
      <c r="R260" s="396"/>
      <c r="S260" s="396"/>
      <c r="T260" s="396"/>
    </row>
    <row r="261" spans="2:20">
      <c r="B261" s="1394">
        <v>3</v>
      </c>
      <c r="C261" s="2218" t="s">
        <v>278</v>
      </c>
      <c r="D261" s="741"/>
      <c r="E261" s="293"/>
      <c r="G261" s="396"/>
      <c r="I261" s="396"/>
      <c r="J261" s="396"/>
      <c r="K261" s="396"/>
      <c r="L261" s="396"/>
      <c r="M261" s="396"/>
      <c r="N261" s="396"/>
      <c r="O261" s="396"/>
      <c r="P261" s="396"/>
      <c r="Q261" s="396"/>
      <c r="R261" s="396"/>
      <c r="S261" s="396"/>
      <c r="T261" s="396"/>
    </row>
    <row r="262" spans="2:20">
      <c r="B262" s="1394">
        <v>4</v>
      </c>
      <c r="C262" s="2192" t="s">
        <v>279</v>
      </c>
      <c r="D262" s="742">
        <v>329708</v>
      </c>
      <c r="E262" s="293"/>
      <c r="G262" s="396"/>
      <c r="I262" s="396"/>
      <c r="J262" s="396"/>
      <c r="K262" s="396"/>
      <c r="L262" s="396"/>
      <c r="M262" s="396"/>
      <c r="N262" s="396"/>
      <c r="O262" s="396"/>
      <c r="P262" s="396"/>
      <c r="Q262" s="396"/>
      <c r="R262" s="396"/>
      <c r="S262" s="396"/>
      <c r="T262" s="396"/>
    </row>
    <row r="263" spans="2:20">
      <c r="B263" s="1394">
        <v>5</v>
      </c>
      <c r="C263" s="2218" t="s">
        <v>280</v>
      </c>
      <c r="D263" s="742">
        <v>1071182</v>
      </c>
      <c r="E263" s="293"/>
      <c r="G263" s="396"/>
      <c r="I263" s="396"/>
      <c r="J263" s="396"/>
      <c r="K263" s="396"/>
      <c r="L263" s="396"/>
      <c r="M263" s="396"/>
      <c r="N263" s="396"/>
      <c r="O263" s="396"/>
      <c r="P263" s="396"/>
      <c r="Q263" s="396"/>
      <c r="R263" s="396"/>
      <c r="S263" s="396"/>
      <c r="T263" s="396"/>
    </row>
    <row r="264" spans="2:20">
      <c r="B264" s="1394">
        <v>6</v>
      </c>
      <c r="C264" s="2218" t="s">
        <v>281</v>
      </c>
      <c r="D264" s="741"/>
      <c r="E264" s="293"/>
      <c r="G264" s="396"/>
      <c r="I264" s="396"/>
      <c r="J264" s="396"/>
      <c r="K264" s="396"/>
      <c r="L264" s="396"/>
      <c r="M264" s="396"/>
      <c r="N264" s="396"/>
      <c r="O264" s="396"/>
      <c r="P264" s="396"/>
      <c r="Q264" s="396"/>
      <c r="R264" s="396"/>
      <c r="S264" s="396"/>
      <c r="T264" s="396"/>
    </row>
    <row r="265" spans="2:20">
      <c r="B265" s="1394">
        <v>7</v>
      </c>
      <c r="C265" s="2218" t="s">
        <v>282</v>
      </c>
      <c r="D265" s="741"/>
      <c r="E265" s="293"/>
      <c r="G265" s="396"/>
      <c r="I265" s="396"/>
      <c r="J265" s="396"/>
      <c r="K265" s="396"/>
      <c r="L265" s="396"/>
      <c r="M265" s="396"/>
      <c r="N265" s="396"/>
      <c r="O265" s="396"/>
      <c r="P265" s="396"/>
      <c r="Q265" s="396"/>
      <c r="R265" s="396"/>
      <c r="S265" s="396"/>
      <c r="T265" s="396"/>
    </row>
    <row r="266" spans="2:20" ht="17.25" customHeight="1">
      <c r="B266" s="1394"/>
      <c r="C266" s="2203" t="s">
        <v>416</v>
      </c>
      <c r="D266" s="742">
        <v>544260</v>
      </c>
      <c r="E266" s="293"/>
      <c r="G266" s="396"/>
      <c r="I266" s="396"/>
      <c r="J266" s="396"/>
      <c r="K266" s="396"/>
      <c r="L266" s="396"/>
      <c r="M266" s="396"/>
      <c r="N266" s="396"/>
      <c r="O266" s="396"/>
      <c r="P266" s="396"/>
      <c r="Q266" s="396"/>
      <c r="R266" s="396"/>
      <c r="S266" s="396"/>
      <c r="T266" s="396"/>
    </row>
    <row r="267" spans="2:20">
      <c r="B267" s="1394"/>
      <c r="C267" s="2203" t="s">
        <v>417</v>
      </c>
      <c r="D267" s="747"/>
      <c r="E267" s="293"/>
      <c r="G267" s="396"/>
      <c r="I267" s="396"/>
      <c r="J267" s="396"/>
      <c r="K267" s="396"/>
      <c r="L267" s="396"/>
      <c r="M267" s="396"/>
      <c r="N267" s="396"/>
      <c r="O267" s="396"/>
      <c r="P267" s="396"/>
      <c r="Q267" s="396"/>
      <c r="R267" s="396"/>
      <c r="S267" s="396"/>
      <c r="T267" s="396"/>
    </row>
    <row r="268" spans="2:20">
      <c r="B268" s="1394">
        <v>8</v>
      </c>
      <c r="C268" s="2218" t="s">
        <v>285</v>
      </c>
      <c r="D268" s="741"/>
      <c r="E268" s="293"/>
      <c r="G268" s="396"/>
      <c r="I268" s="396"/>
      <c r="J268" s="396"/>
      <c r="K268" s="396"/>
      <c r="L268" s="396"/>
      <c r="M268" s="396"/>
      <c r="N268" s="396"/>
      <c r="O268" s="396"/>
      <c r="P268" s="396"/>
      <c r="Q268" s="396"/>
      <c r="R268" s="396"/>
      <c r="S268" s="396"/>
      <c r="T268" s="396"/>
    </row>
    <row r="269" spans="2:20" ht="19.5" customHeight="1">
      <c r="B269" s="1394"/>
      <c r="C269" s="2203" t="s">
        <v>418</v>
      </c>
      <c r="D269" s="741"/>
      <c r="E269" s="293"/>
      <c r="G269" s="396"/>
      <c r="I269" s="396"/>
      <c r="J269" s="396"/>
      <c r="K269" s="396"/>
      <c r="L269" s="396"/>
      <c r="M269" s="396"/>
      <c r="N269" s="396"/>
      <c r="O269" s="396"/>
      <c r="P269" s="396"/>
      <c r="Q269" s="396"/>
      <c r="R269" s="396"/>
      <c r="S269" s="396"/>
      <c r="T269" s="396"/>
    </row>
    <row r="270" spans="2:20">
      <c r="B270" s="1394"/>
      <c r="C270" s="2203" t="s">
        <v>419</v>
      </c>
      <c r="D270" s="741"/>
      <c r="E270" s="293"/>
      <c r="G270" s="396"/>
      <c r="I270" s="396"/>
      <c r="J270" s="396"/>
      <c r="K270" s="396"/>
      <c r="L270" s="396"/>
      <c r="M270" s="396"/>
      <c r="N270" s="396"/>
      <c r="O270" s="396"/>
      <c r="P270" s="396"/>
      <c r="Q270" s="396"/>
      <c r="R270" s="396"/>
      <c r="S270" s="396"/>
      <c r="T270" s="396"/>
    </row>
    <row r="271" spans="2:20" ht="26.45">
      <c r="B271" s="1396">
        <v>9</v>
      </c>
      <c r="C271" s="2212" t="s">
        <v>288</v>
      </c>
      <c r="D271" s="743">
        <v>6433922</v>
      </c>
      <c r="G271" s="396"/>
      <c r="I271" s="396"/>
      <c r="J271" s="396"/>
      <c r="K271" s="396"/>
      <c r="L271" s="396"/>
      <c r="M271" s="396"/>
      <c r="N271" s="396"/>
      <c r="O271" s="396"/>
      <c r="P271" s="396"/>
      <c r="Q271" s="396"/>
      <c r="R271" s="396"/>
      <c r="S271" s="396"/>
    </row>
    <row r="272" spans="2:20">
      <c r="B272" s="1394">
        <v>10</v>
      </c>
      <c r="C272" s="2203" t="s">
        <v>289</v>
      </c>
      <c r="D272" s="742">
        <v>3179775</v>
      </c>
      <c r="E272" s="293"/>
      <c r="G272" s="396"/>
      <c r="I272" s="396"/>
      <c r="J272" s="396"/>
      <c r="K272" s="396"/>
      <c r="L272" s="396"/>
      <c r="M272" s="396"/>
      <c r="N272" s="396"/>
      <c r="O272" s="396"/>
      <c r="P272" s="396"/>
      <c r="Q272" s="396"/>
      <c r="R272" s="396"/>
      <c r="S272" s="396"/>
      <c r="T272" s="396"/>
    </row>
    <row r="273" spans="2:20">
      <c r="B273" s="1394">
        <v>11</v>
      </c>
      <c r="C273" s="2203" t="s">
        <v>290</v>
      </c>
      <c r="D273" s="742">
        <v>3244903</v>
      </c>
      <c r="E273" s="293"/>
      <c r="G273" s="396"/>
      <c r="I273" s="396"/>
      <c r="J273" s="396"/>
      <c r="K273" s="396"/>
      <c r="L273" s="396"/>
      <c r="M273" s="396"/>
      <c r="N273" s="396"/>
      <c r="O273" s="396"/>
      <c r="P273" s="396"/>
      <c r="Q273" s="396"/>
      <c r="R273" s="396"/>
      <c r="S273" s="396"/>
      <c r="T273" s="396"/>
    </row>
    <row r="274" spans="2:20">
      <c r="B274" s="1394">
        <v>12</v>
      </c>
      <c r="C274" s="2203" t="s">
        <v>291</v>
      </c>
      <c r="D274" s="742">
        <v>9244</v>
      </c>
      <c r="E274" s="293"/>
      <c r="G274" s="396"/>
      <c r="I274" s="396"/>
      <c r="J274" s="396"/>
      <c r="K274" s="396"/>
      <c r="L274" s="396"/>
      <c r="M274" s="396"/>
      <c r="N274" s="396"/>
      <c r="O274" s="396"/>
      <c r="P274" s="396"/>
      <c r="Q274" s="396"/>
      <c r="R274" s="396"/>
      <c r="S274" s="396"/>
      <c r="T274" s="396"/>
    </row>
    <row r="275" spans="2:20" ht="26.45">
      <c r="B275" s="1394">
        <v>13</v>
      </c>
      <c r="C275" s="2203" t="s">
        <v>292</v>
      </c>
      <c r="D275" s="741">
        <v>0</v>
      </c>
      <c r="E275" s="293"/>
      <c r="G275" s="396"/>
      <c r="I275" s="396"/>
      <c r="J275" s="396"/>
      <c r="K275" s="396"/>
      <c r="L275" s="396"/>
      <c r="M275" s="396"/>
      <c r="N275" s="396"/>
      <c r="O275" s="396"/>
      <c r="P275" s="396"/>
      <c r="Q275" s="396"/>
      <c r="R275" s="396"/>
      <c r="S275" s="396"/>
      <c r="T275" s="396"/>
    </row>
    <row r="276" spans="2:20">
      <c r="B276" s="1394">
        <v>14</v>
      </c>
      <c r="C276" s="2204" t="s">
        <v>293</v>
      </c>
      <c r="D276" s="741"/>
      <c r="E276" s="293"/>
      <c r="G276" s="396"/>
      <c r="I276" s="396"/>
      <c r="J276" s="396"/>
      <c r="K276" s="396"/>
      <c r="L276" s="396"/>
      <c r="M276" s="396"/>
      <c r="N276" s="396"/>
      <c r="O276" s="396"/>
      <c r="P276" s="396"/>
      <c r="Q276" s="396"/>
      <c r="R276" s="396"/>
      <c r="S276" s="396"/>
      <c r="T276" s="396"/>
    </row>
    <row r="277" spans="2:20">
      <c r="B277" s="1394">
        <v>15</v>
      </c>
      <c r="C277" s="2204" t="s">
        <v>294</v>
      </c>
      <c r="D277" s="742">
        <v>514123</v>
      </c>
      <c r="E277" s="293"/>
      <c r="G277" s="396"/>
      <c r="I277" s="396"/>
      <c r="J277" s="396"/>
      <c r="K277" s="396"/>
      <c r="L277" s="396"/>
      <c r="M277" s="396"/>
      <c r="N277" s="396"/>
      <c r="O277" s="396"/>
      <c r="P277" s="396"/>
      <c r="Q277" s="396"/>
      <c r="R277" s="396"/>
      <c r="S277" s="396"/>
      <c r="T277" s="396"/>
    </row>
    <row r="278" spans="2:20">
      <c r="B278" s="1394">
        <v>16</v>
      </c>
      <c r="C278" s="2204" t="s">
        <v>295</v>
      </c>
      <c r="D278" s="742">
        <v>1321254</v>
      </c>
      <c r="E278" s="293"/>
      <c r="G278" s="396"/>
      <c r="I278" s="396"/>
      <c r="J278" s="396"/>
      <c r="K278" s="396"/>
      <c r="L278" s="396"/>
      <c r="M278" s="396"/>
      <c r="N278" s="396"/>
      <c r="O278" s="396"/>
      <c r="P278" s="396"/>
      <c r="Q278" s="396"/>
      <c r="R278" s="396"/>
      <c r="S278" s="396"/>
      <c r="T278" s="396"/>
    </row>
    <row r="279" spans="2:20">
      <c r="B279" s="1394">
        <v>17</v>
      </c>
      <c r="C279" s="2204" t="s">
        <v>296</v>
      </c>
      <c r="D279" s="742">
        <v>96305</v>
      </c>
      <c r="E279" s="293"/>
      <c r="G279" s="396"/>
      <c r="I279" s="396"/>
      <c r="J279" s="396"/>
      <c r="K279" s="396"/>
      <c r="L279" s="396"/>
      <c r="M279" s="396"/>
      <c r="N279" s="396"/>
      <c r="O279" s="396"/>
      <c r="P279" s="396"/>
      <c r="Q279" s="396"/>
      <c r="R279" s="396"/>
      <c r="S279" s="396"/>
      <c r="T279" s="396"/>
    </row>
    <row r="280" spans="2:20">
      <c r="B280" s="1394">
        <v>18</v>
      </c>
      <c r="C280" s="2204" t="s">
        <v>297</v>
      </c>
      <c r="D280" s="741"/>
      <c r="E280" s="293"/>
      <c r="G280" s="396"/>
      <c r="I280" s="396"/>
      <c r="J280" s="396"/>
      <c r="K280" s="396"/>
      <c r="L280" s="396"/>
      <c r="M280" s="396"/>
      <c r="N280" s="396"/>
      <c r="O280" s="396"/>
      <c r="P280" s="396"/>
      <c r="Q280" s="396"/>
      <c r="R280" s="396"/>
      <c r="S280" s="396"/>
      <c r="T280" s="396"/>
    </row>
    <row r="281" spans="2:20" ht="13.9" thickBot="1">
      <c r="B281" s="1394">
        <v>19</v>
      </c>
      <c r="C281" s="2205" t="s">
        <v>298</v>
      </c>
      <c r="D281" s="744">
        <v>66658</v>
      </c>
      <c r="E281" s="293"/>
      <c r="G281" s="396"/>
      <c r="I281" s="396"/>
      <c r="J281" s="396"/>
      <c r="K281" s="396"/>
      <c r="L281" s="396"/>
      <c r="M281" s="396"/>
      <c r="N281" s="396"/>
      <c r="O281" s="396"/>
      <c r="P281" s="396"/>
      <c r="Q281" s="396"/>
      <c r="R281" s="396"/>
      <c r="S281" s="396"/>
      <c r="T281" s="396"/>
    </row>
    <row r="282" spans="2:20" ht="27" thickBot="1">
      <c r="B282" s="1406">
        <v>20</v>
      </c>
      <c r="C282" s="1425" t="s">
        <v>299</v>
      </c>
      <c r="D282" s="1426">
        <v>10404791.01</v>
      </c>
      <c r="E282" s="293"/>
      <c r="G282" s="396"/>
      <c r="I282" s="396"/>
      <c r="J282" s="396"/>
      <c r="K282" s="396"/>
      <c r="L282" s="396"/>
      <c r="M282" s="396"/>
      <c r="N282" s="396"/>
      <c r="O282" s="396"/>
      <c r="P282" s="396"/>
      <c r="Q282" s="396"/>
      <c r="R282" s="396"/>
      <c r="S282" s="396"/>
      <c r="T282" s="396"/>
    </row>
    <row r="283" spans="2:20">
      <c r="B283" s="1394"/>
      <c r="C283" s="1398" t="s">
        <v>300</v>
      </c>
      <c r="D283" s="741"/>
      <c r="E283" s="293"/>
      <c r="G283" s="396"/>
      <c r="I283" s="396"/>
      <c r="J283" s="396"/>
      <c r="K283" s="396"/>
      <c r="L283" s="396"/>
      <c r="M283" s="396"/>
      <c r="N283" s="396"/>
      <c r="O283" s="396"/>
      <c r="P283" s="396"/>
      <c r="Q283" s="396"/>
      <c r="R283" s="396"/>
      <c r="S283" s="396"/>
      <c r="T283" s="396"/>
    </row>
    <row r="284" spans="2:20">
      <c r="B284" s="1394"/>
      <c r="C284" s="2219" t="s">
        <v>301</v>
      </c>
      <c r="D284" s="741"/>
      <c r="E284" s="293"/>
      <c r="G284" s="396"/>
      <c r="I284" s="396"/>
      <c r="J284" s="396"/>
      <c r="K284" s="396"/>
      <c r="L284" s="396"/>
      <c r="M284" s="396"/>
      <c r="N284" s="396"/>
      <c r="O284" s="396"/>
      <c r="P284" s="396"/>
      <c r="Q284" s="396"/>
      <c r="R284" s="396"/>
      <c r="S284" s="396"/>
      <c r="T284" s="396"/>
    </row>
    <row r="285" spans="2:20">
      <c r="B285" s="1394">
        <v>21</v>
      </c>
      <c r="C285" s="2204" t="s">
        <v>302</v>
      </c>
      <c r="D285" s="742">
        <v>3249135</v>
      </c>
      <c r="E285" s="293"/>
      <c r="G285" s="396"/>
      <c r="I285" s="396"/>
      <c r="J285" s="396"/>
      <c r="K285" s="396"/>
      <c r="L285" s="396"/>
      <c r="M285" s="396"/>
      <c r="N285" s="396"/>
      <c r="O285" s="396"/>
      <c r="P285" s="396"/>
      <c r="Q285" s="396"/>
      <c r="R285" s="396"/>
      <c r="S285" s="396"/>
      <c r="T285" s="396"/>
    </row>
    <row r="286" spans="2:20">
      <c r="B286" s="1394">
        <v>22</v>
      </c>
      <c r="C286" s="2204" t="s">
        <v>303</v>
      </c>
      <c r="D286" s="742">
        <v>92257</v>
      </c>
      <c r="E286" s="293"/>
      <c r="G286" s="396"/>
      <c r="I286" s="396"/>
      <c r="J286" s="396"/>
      <c r="K286" s="396"/>
      <c r="L286" s="396"/>
      <c r="M286" s="396"/>
      <c r="N286" s="396"/>
      <c r="O286" s="396"/>
      <c r="P286" s="396"/>
      <c r="Q286" s="396"/>
      <c r="R286" s="396"/>
      <c r="S286" s="396"/>
      <c r="T286" s="396"/>
    </row>
    <row r="287" spans="2:20">
      <c r="B287" s="1394">
        <v>23</v>
      </c>
      <c r="C287" s="2204" t="s">
        <v>304</v>
      </c>
      <c r="D287" s="742">
        <v>513045</v>
      </c>
      <c r="E287" s="293"/>
      <c r="G287" s="396"/>
      <c r="I287" s="396"/>
      <c r="J287" s="396"/>
      <c r="K287" s="396"/>
      <c r="L287" s="396"/>
      <c r="M287" s="396"/>
      <c r="N287" s="396"/>
      <c r="O287" s="396"/>
      <c r="P287" s="396"/>
      <c r="Q287" s="396"/>
      <c r="R287" s="396"/>
      <c r="S287" s="396"/>
      <c r="T287" s="396"/>
    </row>
    <row r="288" spans="2:20">
      <c r="B288" s="1394">
        <v>24</v>
      </c>
      <c r="C288" s="2204" t="s">
        <v>305</v>
      </c>
      <c r="D288" s="741"/>
      <c r="E288" s="293"/>
      <c r="G288" s="396"/>
      <c r="I288" s="396"/>
      <c r="J288" s="396"/>
      <c r="K288" s="396"/>
      <c r="L288" s="396"/>
      <c r="M288" s="396"/>
      <c r="N288" s="396"/>
      <c r="O288" s="396"/>
      <c r="P288" s="396"/>
      <c r="Q288" s="396"/>
      <c r="R288" s="396"/>
      <c r="S288" s="396"/>
      <c r="T288" s="396"/>
    </row>
    <row r="289" spans="2:20">
      <c r="B289" s="1394">
        <v>25</v>
      </c>
      <c r="C289" s="2203" t="s">
        <v>306</v>
      </c>
      <c r="D289" s="742">
        <v>18983</v>
      </c>
      <c r="E289" s="293"/>
      <c r="G289" s="396"/>
      <c r="I289" s="396"/>
      <c r="J289" s="396"/>
      <c r="K289" s="396"/>
      <c r="L289" s="396"/>
      <c r="M289" s="396"/>
      <c r="N289" s="396"/>
      <c r="O289" s="396"/>
      <c r="P289" s="396"/>
      <c r="Q289" s="396"/>
      <c r="R289" s="396"/>
      <c r="S289" s="396"/>
      <c r="T289" s="396"/>
    </row>
    <row r="290" spans="2:20" ht="13.9" thickBot="1">
      <c r="B290" s="1394">
        <v>26</v>
      </c>
      <c r="C290" s="2205" t="s">
        <v>307</v>
      </c>
      <c r="D290" s="744">
        <v>1485598</v>
      </c>
      <c r="E290" s="293"/>
      <c r="G290" s="396"/>
      <c r="I290" s="396"/>
      <c r="J290" s="396"/>
      <c r="K290" s="396"/>
      <c r="L290" s="396"/>
      <c r="M290" s="396"/>
      <c r="N290" s="396"/>
      <c r="O290" s="396"/>
      <c r="P290" s="396"/>
      <c r="Q290" s="396"/>
      <c r="R290" s="396"/>
      <c r="S290" s="396"/>
      <c r="T290" s="396"/>
    </row>
    <row r="291" spans="2:20" ht="27" thickBot="1">
      <c r="B291" s="1397">
        <v>27</v>
      </c>
      <c r="C291" s="1419" t="s">
        <v>308</v>
      </c>
      <c r="D291" s="745">
        <v>5359018</v>
      </c>
      <c r="E291" s="293"/>
      <c r="G291" s="396"/>
      <c r="I291" s="396"/>
      <c r="J291" s="396"/>
      <c r="K291" s="396"/>
      <c r="L291" s="396"/>
      <c r="M291" s="396"/>
      <c r="N291" s="396"/>
      <c r="O291" s="396"/>
      <c r="P291" s="396"/>
      <c r="Q291" s="396"/>
      <c r="R291" s="396"/>
      <c r="S291" s="396"/>
      <c r="T291" s="396"/>
    </row>
    <row r="292" spans="2:20">
      <c r="B292" s="1394"/>
      <c r="C292" s="1398" t="s">
        <v>309</v>
      </c>
      <c r="D292" s="741"/>
      <c r="E292" s="293"/>
      <c r="G292" s="396"/>
      <c r="I292" s="396"/>
      <c r="J292" s="396"/>
      <c r="K292" s="396"/>
      <c r="L292" s="396"/>
      <c r="M292" s="396"/>
      <c r="N292" s="396"/>
      <c r="O292" s="396"/>
      <c r="P292" s="396"/>
      <c r="Q292" s="396"/>
      <c r="R292" s="396"/>
      <c r="S292" s="396"/>
      <c r="T292" s="396"/>
    </row>
    <row r="293" spans="2:20">
      <c r="B293" s="1394">
        <v>28</v>
      </c>
      <c r="C293" s="2218" t="s">
        <v>310</v>
      </c>
      <c r="D293" s="742">
        <v>2198316</v>
      </c>
      <c r="E293" s="293"/>
      <c r="G293" s="396"/>
      <c r="I293" s="396"/>
      <c r="J293" s="396"/>
      <c r="K293" s="396"/>
      <c r="L293" s="396"/>
      <c r="M293" s="396"/>
      <c r="N293" s="396"/>
      <c r="O293" s="396"/>
      <c r="P293" s="396"/>
      <c r="Q293" s="396"/>
      <c r="R293" s="396"/>
      <c r="S293" s="396"/>
      <c r="T293" s="396"/>
    </row>
    <row r="294" spans="2:20">
      <c r="B294" s="1394">
        <v>29</v>
      </c>
      <c r="C294" s="2218" t="s">
        <v>311</v>
      </c>
      <c r="D294" s="742">
        <v>-23501</v>
      </c>
      <c r="E294" s="293"/>
      <c r="G294" s="396"/>
      <c r="I294" s="396"/>
      <c r="J294" s="396"/>
      <c r="K294" s="396"/>
      <c r="L294" s="396"/>
      <c r="M294" s="396"/>
      <c r="N294" s="396"/>
      <c r="O294" s="396"/>
      <c r="P294" s="396"/>
      <c r="Q294" s="396"/>
      <c r="R294" s="396"/>
      <c r="S294" s="396"/>
      <c r="T294" s="396"/>
    </row>
    <row r="295" spans="2:20">
      <c r="B295" s="1394">
        <v>30</v>
      </c>
      <c r="C295" s="2207" t="s">
        <v>312</v>
      </c>
      <c r="D295" s="742">
        <v>924577</v>
      </c>
      <c r="E295" s="293"/>
      <c r="G295" s="396"/>
      <c r="I295" s="396"/>
      <c r="J295" s="396"/>
      <c r="K295" s="396"/>
      <c r="L295" s="396"/>
      <c r="M295" s="396"/>
      <c r="N295" s="396"/>
      <c r="O295" s="396"/>
      <c r="P295" s="396"/>
      <c r="Q295" s="396"/>
      <c r="R295" s="396"/>
      <c r="S295" s="396"/>
      <c r="T295" s="396"/>
    </row>
    <row r="296" spans="2:20" ht="13.9" thickBot="1">
      <c r="B296" s="1394">
        <v>31</v>
      </c>
      <c r="C296" s="2207" t="s">
        <v>314</v>
      </c>
      <c r="D296" s="744">
        <v>1946380</v>
      </c>
      <c r="E296" s="293"/>
      <c r="G296" s="396"/>
      <c r="I296" s="396"/>
      <c r="J296" s="396"/>
      <c r="K296" s="396"/>
      <c r="L296" s="396"/>
      <c r="M296" s="396"/>
      <c r="N296" s="396"/>
      <c r="O296" s="396"/>
      <c r="P296" s="396"/>
      <c r="Q296" s="396"/>
      <c r="R296" s="396"/>
      <c r="S296" s="396"/>
      <c r="T296" s="396"/>
    </row>
    <row r="297" spans="2:20" ht="13.9" thickBot="1">
      <c r="B297" s="1397">
        <v>32</v>
      </c>
      <c r="C297" s="1419" t="s">
        <v>315</v>
      </c>
      <c r="D297" s="745">
        <v>5045772</v>
      </c>
      <c r="E297" s="293"/>
      <c r="G297" s="396"/>
      <c r="I297" s="396"/>
      <c r="J297" s="396"/>
      <c r="K297" s="396"/>
      <c r="L297" s="396"/>
      <c r="M297" s="396"/>
      <c r="N297" s="396"/>
      <c r="O297" s="396"/>
      <c r="P297" s="396"/>
      <c r="Q297" s="396"/>
      <c r="R297" s="396"/>
      <c r="S297" s="396"/>
      <c r="T297" s="396"/>
    </row>
    <row r="298" spans="2:20" ht="27" thickBot="1">
      <c r="B298" s="1429">
        <v>33</v>
      </c>
      <c r="C298" s="1425" t="s">
        <v>317</v>
      </c>
      <c r="D298" s="1426">
        <v>10404790</v>
      </c>
      <c r="E298" s="293"/>
      <c r="G298" s="396"/>
      <c r="I298" s="396"/>
      <c r="J298" s="396"/>
      <c r="K298" s="396"/>
      <c r="L298" s="396"/>
      <c r="M298" s="396"/>
      <c r="N298" s="396"/>
      <c r="O298" s="396"/>
      <c r="P298" s="396"/>
      <c r="Q298" s="396"/>
      <c r="R298" s="396"/>
      <c r="S298" s="396"/>
      <c r="T298" s="396"/>
    </row>
    <row r="299" spans="2:20">
      <c r="B299" s="196"/>
      <c r="C299" s="391"/>
      <c r="D299" s="544"/>
      <c r="E299" s="383"/>
      <c r="F299" s="293"/>
      <c r="I299" s="396"/>
      <c r="J299" s="396"/>
      <c r="K299" s="396"/>
      <c r="L299" s="396"/>
      <c r="M299" s="396"/>
      <c r="N299" s="396"/>
      <c r="O299" s="396"/>
      <c r="P299" s="396"/>
      <c r="Q299" s="396"/>
      <c r="R299" s="396"/>
      <c r="S299" s="396"/>
      <c r="T299" s="396"/>
    </row>
    <row r="300" spans="2:20">
      <c r="B300" s="196"/>
      <c r="C300" s="391"/>
      <c r="D300" s="391"/>
      <c r="E300" s="293"/>
      <c r="F300" s="293"/>
      <c r="H300" s="292">
        <v>86</v>
      </c>
      <c r="I300" s="396"/>
      <c r="J300" s="396"/>
      <c r="K300" s="396"/>
      <c r="L300" s="396"/>
      <c r="M300" s="396"/>
      <c r="N300" s="396"/>
      <c r="O300" s="396"/>
      <c r="P300" s="396"/>
      <c r="Q300" s="396"/>
      <c r="R300" s="396"/>
      <c r="S300" s="396"/>
      <c r="T300" s="396"/>
    </row>
    <row r="301" spans="2:20">
      <c r="E301" s="396"/>
      <c r="F301" s="396"/>
      <c r="G301" s="396"/>
      <c r="H301" s="396"/>
      <c r="I301" s="396"/>
      <c r="J301" s="396"/>
      <c r="K301" s="396"/>
      <c r="L301" s="396"/>
      <c r="M301" s="396"/>
      <c r="N301" s="396"/>
      <c r="O301" s="396"/>
      <c r="P301" s="396"/>
      <c r="Q301" s="396"/>
      <c r="R301" s="396"/>
      <c r="S301" s="396"/>
      <c r="T301" s="396"/>
    </row>
    <row r="302" spans="2:20" ht="14.45">
      <c r="B302" s="1669" t="s">
        <v>420</v>
      </c>
      <c r="C302" s="236"/>
      <c r="D302" s="236"/>
      <c r="E302" s="236"/>
      <c r="F302" s="236"/>
      <c r="G302" s="396"/>
      <c r="H302" s="396"/>
      <c r="I302" s="396"/>
      <c r="J302" s="396"/>
      <c r="K302" s="396"/>
      <c r="L302" s="396"/>
      <c r="M302" s="396"/>
      <c r="N302" s="396"/>
      <c r="O302" s="396"/>
      <c r="P302" s="396"/>
      <c r="Q302" s="396"/>
      <c r="R302" s="396"/>
      <c r="S302" s="396"/>
      <c r="T302" s="396"/>
    </row>
    <row r="303" spans="2:20" ht="13.9" thickBot="1">
      <c r="B303" s="51"/>
      <c r="C303" s="51"/>
      <c r="D303" s="51"/>
      <c r="E303" s="51"/>
      <c r="F303" s="51"/>
      <c r="G303" s="396"/>
      <c r="H303" s="396"/>
      <c r="I303" s="396"/>
      <c r="J303" s="396"/>
      <c r="K303" s="396"/>
      <c r="L303" s="396"/>
      <c r="M303" s="396"/>
      <c r="N303" s="396"/>
      <c r="O303" s="396"/>
      <c r="P303" s="396"/>
      <c r="Q303" s="396"/>
      <c r="R303" s="396"/>
      <c r="S303" s="396"/>
      <c r="T303" s="396"/>
    </row>
    <row r="304" spans="2:20" ht="13.9" thickBot="1">
      <c r="B304" s="3344" t="s">
        <v>102</v>
      </c>
      <c r="C304" s="3345"/>
      <c r="D304" s="425"/>
      <c r="E304" s="532"/>
      <c r="F304" s="532"/>
      <c r="G304" s="396"/>
      <c r="H304" s="396"/>
      <c r="I304" s="396"/>
      <c r="J304" s="396"/>
      <c r="K304" s="396"/>
      <c r="L304" s="396"/>
      <c r="M304" s="396"/>
      <c r="N304" s="396"/>
      <c r="O304" s="396"/>
      <c r="P304" s="396"/>
      <c r="Q304" s="396"/>
      <c r="R304" s="396"/>
      <c r="S304" s="396"/>
      <c r="T304" s="396"/>
    </row>
    <row r="305" spans="2:20">
      <c r="B305" s="3284" t="s">
        <v>396</v>
      </c>
      <c r="C305" s="3346"/>
      <c r="D305" s="3283" t="s">
        <v>414</v>
      </c>
      <c r="E305" s="274"/>
      <c r="I305" s="396"/>
      <c r="J305" s="396"/>
      <c r="K305" s="396"/>
      <c r="L305" s="396"/>
      <c r="M305" s="396"/>
      <c r="N305" s="396"/>
      <c r="O305" s="396"/>
      <c r="P305" s="396"/>
      <c r="Q305" s="396"/>
      <c r="R305" s="396"/>
      <c r="S305" s="396"/>
      <c r="T305" s="396"/>
    </row>
    <row r="306" spans="2:20">
      <c r="B306" s="3284"/>
      <c r="C306" s="3346"/>
      <c r="D306" s="3284"/>
      <c r="E306" s="443"/>
      <c r="I306" s="396"/>
      <c r="J306" s="396"/>
      <c r="K306" s="396"/>
      <c r="L306" s="396"/>
      <c r="M306" s="396"/>
      <c r="N306" s="396"/>
      <c r="O306" s="396"/>
      <c r="P306" s="396"/>
      <c r="Q306" s="396"/>
      <c r="R306" s="396"/>
      <c r="S306" s="396"/>
      <c r="T306" s="396"/>
    </row>
    <row r="307" spans="2:20" ht="13.9" thickBot="1">
      <c r="B307" s="3285"/>
      <c r="C307" s="3347"/>
      <c r="D307" s="3285"/>
      <c r="E307" s="443"/>
      <c r="I307" s="396"/>
      <c r="J307" s="396"/>
      <c r="K307" s="396"/>
      <c r="L307" s="396"/>
      <c r="M307" s="396"/>
      <c r="N307" s="396"/>
      <c r="O307" s="396"/>
      <c r="P307" s="396"/>
      <c r="Q307" s="396"/>
      <c r="R307" s="396"/>
      <c r="S307" s="396"/>
      <c r="T307" s="396"/>
    </row>
    <row r="308" spans="2:20" ht="14.45">
      <c r="B308" s="1394"/>
      <c r="C308" s="1413" t="s">
        <v>275</v>
      </c>
      <c r="D308" s="2216"/>
      <c r="E308" s="293"/>
      <c r="I308" s="396"/>
      <c r="J308" s="396"/>
      <c r="K308" s="396"/>
      <c r="L308" s="396"/>
      <c r="M308" s="396"/>
      <c r="N308" s="396"/>
      <c r="O308" s="396"/>
      <c r="P308" s="396"/>
      <c r="Q308" s="396"/>
      <c r="R308" s="396"/>
      <c r="S308" s="396"/>
      <c r="T308" s="396"/>
    </row>
    <row r="309" spans="2:20" ht="14.45">
      <c r="B309" s="1394">
        <v>1</v>
      </c>
      <c r="C309" s="2192" t="s">
        <v>276</v>
      </c>
      <c r="D309" s="742">
        <v>360508</v>
      </c>
      <c r="E309" s="293"/>
      <c r="G309" s="396"/>
      <c r="I309" s="157"/>
      <c r="J309" s="396"/>
      <c r="K309" s="396"/>
      <c r="L309" s="396"/>
      <c r="M309" s="396"/>
      <c r="N309" s="396"/>
      <c r="O309" s="396"/>
      <c r="P309" s="396"/>
      <c r="Q309" s="396"/>
      <c r="R309" s="396"/>
      <c r="S309" s="396"/>
      <c r="T309" s="396"/>
    </row>
    <row r="310" spans="2:20" ht="14.45">
      <c r="B310" s="1394">
        <v>2</v>
      </c>
      <c r="C310" s="2192" t="s">
        <v>277</v>
      </c>
      <c r="D310" s="742">
        <v>662716</v>
      </c>
      <c r="E310" s="293"/>
      <c r="G310" s="396"/>
      <c r="I310" s="157"/>
      <c r="J310" s="396"/>
      <c r="K310" s="396"/>
      <c r="L310" s="396"/>
      <c r="M310" s="396"/>
      <c r="N310" s="396"/>
      <c r="O310" s="396"/>
      <c r="P310" s="396"/>
      <c r="Q310" s="396"/>
      <c r="R310" s="396"/>
      <c r="S310" s="396"/>
      <c r="T310" s="396"/>
    </row>
    <row r="311" spans="2:20" ht="14.45">
      <c r="B311" s="1394">
        <v>3</v>
      </c>
      <c r="C311" s="2192" t="s">
        <v>278</v>
      </c>
      <c r="D311" s="741"/>
      <c r="E311" s="293"/>
      <c r="G311" s="396"/>
      <c r="I311" s="157"/>
      <c r="J311" s="396"/>
      <c r="K311" s="396"/>
      <c r="L311" s="396"/>
      <c r="M311" s="396"/>
      <c r="N311" s="396"/>
      <c r="O311" s="396"/>
      <c r="P311" s="396"/>
      <c r="Q311" s="396"/>
      <c r="R311" s="396"/>
      <c r="S311" s="396"/>
      <c r="T311" s="396"/>
    </row>
    <row r="312" spans="2:20" ht="14.45">
      <c r="B312" s="1394">
        <v>4</v>
      </c>
      <c r="C312" s="2220" t="s">
        <v>279</v>
      </c>
      <c r="D312" s="741"/>
      <c r="E312" s="293"/>
      <c r="G312" s="396"/>
      <c r="I312" s="157"/>
      <c r="J312" s="396"/>
      <c r="K312" s="396"/>
      <c r="L312" s="396"/>
      <c r="M312" s="396"/>
      <c r="N312" s="396"/>
      <c r="O312" s="396"/>
      <c r="P312" s="396"/>
      <c r="Q312" s="396"/>
      <c r="R312" s="396"/>
      <c r="S312" s="396"/>
      <c r="T312" s="396"/>
    </row>
    <row r="313" spans="2:20" ht="14.45">
      <c r="B313" s="1394">
        <v>5</v>
      </c>
      <c r="C313" s="2192" t="s">
        <v>243</v>
      </c>
      <c r="D313" s="742">
        <v>305911</v>
      </c>
      <c r="E313" s="293"/>
      <c r="G313" s="396"/>
      <c r="I313" s="157"/>
      <c r="J313" s="396"/>
      <c r="K313" s="396"/>
      <c r="L313" s="396"/>
      <c r="M313" s="396"/>
      <c r="N313" s="396"/>
      <c r="O313" s="396"/>
      <c r="P313" s="396"/>
      <c r="Q313" s="396"/>
      <c r="R313" s="396"/>
      <c r="S313" s="396"/>
      <c r="T313" s="396"/>
    </row>
    <row r="314" spans="2:20" ht="14.45">
      <c r="B314" s="1394">
        <v>6</v>
      </c>
      <c r="C314" s="2192" t="s">
        <v>281</v>
      </c>
      <c r="D314" s="741"/>
      <c r="E314" s="293"/>
      <c r="G314" s="396"/>
      <c r="I314" s="157"/>
      <c r="J314" s="396"/>
      <c r="K314" s="396"/>
      <c r="L314" s="396"/>
      <c r="M314" s="396"/>
      <c r="N314" s="396"/>
      <c r="O314" s="396"/>
      <c r="P314" s="396"/>
      <c r="Q314" s="396"/>
      <c r="R314" s="396"/>
      <c r="S314" s="396"/>
      <c r="T314" s="396"/>
    </row>
    <row r="315" spans="2:20" ht="14.45">
      <c r="B315" s="1394">
        <v>7</v>
      </c>
      <c r="C315" s="2192" t="s">
        <v>282</v>
      </c>
      <c r="D315" s="741"/>
      <c r="E315" s="293"/>
      <c r="G315" s="396"/>
      <c r="I315" s="157"/>
      <c r="J315" s="396"/>
      <c r="K315" s="396"/>
      <c r="L315" s="396"/>
      <c r="M315" s="396"/>
      <c r="N315" s="396"/>
      <c r="O315" s="396"/>
      <c r="P315" s="396"/>
      <c r="Q315" s="396"/>
      <c r="R315" s="396"/>
      <c r="S315" s="396"/>
      <c r="T315" s="396"/>
    </row>
    <row r="316" spans="2:20" ht="14.45">
      <c r="B316" s="1394"/>
      <c r="C316" s="2192" t="s">
        <v>401</v>
      </c>
      <c r="D316" s="742"/>
      <c r="E316" s="293"/>
      <c r="G316" s="396"/>
      <c r="I316" s="157"/>
      <c r="J316" s="396"/>
      <c r="K316" s="396"/>
      <c r="L316" s="396"/>
      <c r="M316" s="396"/>
      <c r="N316" s="396"/>
      <c r="O316" s="396"/>
      <c r="P316" s="396"/>
      <c r="Q316" s="396"/>
      <c r="R316" s="396"/>
      <c r="S316" s="396"/>
      <c r="T316" s="396"/>
    </row>
    <row r="317" spans="2:20" ht="14.45">
      <c r="B317" s="1394"/>
      <c r="C317" s="2195" t="s">
        <v>402</v>
      </c>
      <c r="D317" s="747"/>
      <c r="E317" s="293"/>
      <c r="G317" s="396"/>
      <c r="I317" s="157"/>
      <c r="J317" s="396"/>
      <c r="K317" s="396"/>
      <c r="L317" s="396"/>
      <c r="M317" s="396"/>
      <c r="N317" s="396"/>
      <c r="O317" s="396"/>
      <c r="P317" s="396"/>
      <c r="Q317" s="396"/>
      <c r="R317" s="396"/>
      <c r="S317" s="396"/>
      <c r="T317" s="396"/>
    </row>
    <row r="318" spans="2:20" ht="14.45">
      <c r="B318" s="1394">
        <v>8</v>
      </c>
      <c r="C318" s="2195" t="s">
        <v>403</v>
      </c>
      <c r="D318" s="741"/>
      <c r="E318" s="293"/>
      <c r="G318" s="396"/>
      <c r="I318" s="157"/>
      <c r="J318" s="396"/>
      <c r="K318" s="396"/>
      <c r="L318" s="396"/>
      <c r="M318" s="396"/>
      <c r="N318" s="396"/>
      <c r="O318" s="396"/>
      <c r="P318" s="396"/>
      <c r="Q318" s="396"/>
      <c r="R318" s="396"/>
      <c r="S318" s="396"/>
      <c r="T318" s="396"/>
    </row>
    <row r="319" spans="2:20" ht="14.45">
      <c r="B319" s="1394"/>
      <c r="C319" s="2192" t="s">
        <v>404</v>
      </c>
      <c r="D319" s="741"/>
      <c r="E319" s="293"/>
      <c r="G319" s="396"/>
      <c r="I319" s="157"/>
      <c r="J319" s="396"/>
      <c r="K319" s="396"/>
      <c r="L319" s="396"/>
      <c r="M319" s="396"/>
      <c r="N319" s="396"/>
      <c r="O319" s="396"/>
      <c r="P319" s="396"/>
      <c r="Q319" s="396"/>
      <c r="R319" s="396"/>
      <c r="S319" s="396"/>
      <c r="T319" s="396"/>
    </row>
    <row r="320" spans="2:20" ht="14.45">
      <c r="B320" s="1394"/>
      <c r="C320" s="2195" t="s">
        <v>405</v>
      </c>
      <c r="D320" s="741"/>
      <c r="E320" s="293"/>
      <c r="G320" s="396"/>
      <c r="I320" s="157"/>
      <c r="J320" s="396"/>
      <c r="K320" s="396"/>
      <c r="L320" s="396"/>
      <c r="M320" s="396"/>
      <c r="N320" s="396"/>
      <c r="O320" s="396"/>
      <c r="P320" s="396"/>
      <c r="Q320" s="396"/>
      <c r="R320" s="396"/>
      <c r="S320" s="396"/>
      <c r="T320" s="396"/>
    </row>
    <row r="321" spans="2:20" ht="26.45">
      <c r="B321" s="1396">
        <v>9</v>
      </c>
      <c r="C321" s="2212" t="s">
        <v>288</v>
      </c>
      <c r="D321" s="743">
        <f>SUM(D322:D325)</f>
        <v>12344405</v>
      </c>
      <c r="G321" s="396"/>
      <c r="I321" s="157"/>
      <c r="J321" s="396"/>
      <c r="K321" s="396"/>
      <c r="L321" s="396"/>
      <c r="M321" s="396"/>
      <c r="N321" s="396"/>
      <c r="O321" s="396"/>
      <c r="P321" s="396"/>
      <c r="Q321" s="396"/>
      <c r="R321" s="396"/>
      <c r="S321" s="396"/>
    </row>
    <row r="322" spans="2:20" ht="14.45">
      <c r="B322" s="1394">
        <v>10</v>
      </c>
      <c r="C322" s="2192" t="s">
        <v>289</v>
      </c>
      <c r="D322" s="742">
        <v>4822415</v>
      </c>
      <c r="E322" s="293"/>
      <c r="G322" s="396"/>
      <c r="I322" s="157"/>
      <c r="J322" s="396"/>
      <c r="K322" s="396"/>
      <c r="L322" s="396"/>
      <c r="M322" s="396"/>
      <c r="N322" s="396"/>
      <c r="O322" s="396"/>
      <c r="P322" s="396"/>
      <c r="Q322" s="396"/>
      <c r="R322" s="396"/>
      <c r="S322" s="396"/>
      <c r="T322" s="396"/>
    </row>
    <row r="323" spans="2:20" ht="14.45">
      <c r="B323" s="1394">
        <v>11</v>
      </c>
      <c r="C323" s="2192" t="s">
        <v>290</v>
      </c>
      <c r="D323" s="742">
        <v>6542710</v>
      </c>
      <c r="E323" s="293"/>
      <c r="G323" s="396"/>
      <c r="I323" s="157"/>
      <c r="J323" s="396"/>
      <c r="K323" s="396"/>
      <c r="L323" s="396"/>
      <c r="M323" s="396"/>
      <c r="N323" s="396"/>
      <c r="O323" s="396"/>
      <c r="P323" s="396"/>
      <c r="Q323" s="396"/>
      <c r="R323" s="396"/>
      <c r="S323" s="396"/>
      <c r="T323" s="396"/>
    </row>
    <row r="324" spans="2:20" ht="14.45">
      <c r="B324" s="1394">
        <v>12</v>
      </c>
      <c r="C324" s="2192" t="s">
        <v>291</v>
      </c>
      <c r="D324" s="742">
        <v>979280</v>
      </c>
      <c r="E324" s="293"/>
      <c r="G324" s="396"/>
      <c r="I324" s="157"/>
      <c r="J324" s="396"/>
      <c r="K324" s="396"/>
      <c r="L324" s="396"/>
      <c r="M324" s="396"/>
      <c r="N324" s="396"/>
      <c r="O324" s="396"/>
      <c r="P324" s="396"/>
      <c r="Q324" s="396"/>
      <c r="R324" s="396"/>
      <c r="S324" s="396"/>
      <c r="T324" s="396"/>
    </row>
    <row r="325" spans="2:20" ht="26.45">
      <c r="B325" s="1394">
        <v>13</v>
      </c>
      <c r="C325" s="2192" t="s">
        <v>292</v>
      </c>
      <c r="D325" s="741"/>
      <c r="E325" s="293"/>
      <c r="G325" s="396"/>
      <c r="I325" s="157"/>
      <c r="J325" s="396"/>
      <c r="K325" s="396"/>
      <c r="L325" s="396"/>
      <c r="M325" s="396"/>
      <c r="N325" s="396"/>
      <c r="O325" s="396"/>
      <c r="P325" s="396"/>
      <c r="Q325" s="396"/>
      <c r="R325" s="396"/>
      <c r="S325" s="396"/>
      <c r="T325" s="396"/>
    </row>
    <row r="326" spans="2:20" ht="14.45">
      <c r="B326" s="1394">
        <v>14</v>
      </c>
      <c r="C326" s="1853" t="s">
        <v>293</v>
      </c>
      <c r="D326" s="741">
        <v>0</v>
      </c>
      <c r="E326" s="293"/>
      <c r="G326" s="396"/>
      <c r="I326" s="157"/>
      <c r="J326" s="396"/>
      <c r="K326" s="396"/>
      <c r="L326" s="396"/>
      <c r="M326" s="396"/>
      <c r="N326" s="396"/>
      <c r="O326" s="396"/>
      <c r="P326" s="396"/>
      <c r="Q326" s="396"/>
      <c r="R326" s="396"/>
      <c r="S326" s="396"/>
      <c r="T326" s="396"/>
    </row>
    <row r="327" spans="2:20" ht="14.45">
      <c r="B327" s="1394">
        <v>15</v>
      </c>
      <c r="C327" s="1853" t="s">
        <v>294</v>
      </c>
      <c r="D327" s="742">
        <v>3314822</v>
      </c>
      <c r="E327" s="293"/>
      <c r="G327" s="396"/>
      <c r="I327" s="157"/>
      <c r="J327" s="396"/>
      <c r="K327" s="396"/>
      <c r="L327" s="396"/>
      <c r="M327" s="396"/>
      <c r="N327" s="396"/>
      <c r="O327" s="396"/>
      <c r="P327" s="396"/>
      <c r="Q327" s="396"/>
      <c r="R327" s="396"/>
      <c r="S327" s="396"/>
      <c r="T327" s="396"/>
    </row>
    <row r="328" spans="2:20" ht="14.45">
      <c r="B328" s="1394">
        <v>16</v>
      </c>
      <c r="C328" s="1853" t="s">
        <v>295</v>
      </c>
      <c r="D328" s="742">
        <v>2864315</v>
      </c>
      <c r="E328" s="293"/>
      <c r="G328" s="396"/>
      <c r="I328" s="157"/>
      <c r="J328" s="396"/>
      <c r="K328" s="396"/>
      <c r="L328" s="396"/>
      <c r="M328" s="396"/>
      <c r="N328" s="396"/>
      <c r="O328" s="396"/>
      <c r="P328" s="396"/>
      <c r="Q328" s="396"/>
      <c r="R328" s="396"/>
      <c r="S328" s="396"/>
      <c r="T328" s="396"/>
    </row>
    <row r="329" spans="2:20" ht="14.45">
      <c r="B329" s="1394">
        <v>17</v>
      </c>
      <c r="C329" s="2195" t="s">
        <v>233</v>
      </c>
      <c r="D329" s="742">
        <f>724812+374365</f>
        <v>1099177</v>
      </c>
      <c r="E329" s="293"/>
      <c r="G329" s="396"/>
      <c r="I329" s="157"/>
      <c r="J329" s="396"/>
      <c r="K329" s="396"/>
      <c r="L329" s="396"/>
      <c r="M329" s="396"/>
      <c r="N329" s="396"/>
      <c r="O329" s="396"/>
      <c r="P329" s="396"/>
      <c r="Q329" s="396"/>
      <c r="R329" s="396"/>
      <c r="S329" s="396"/>
      <c r="T329" s="396"/>
    </row>
    <row r="330" spans="2:20" ht="14.45">
      <c r="B330" s="1394">
        <v>18</v>
      </c>
      <c r="C330" s="2192" t="s">
        <v>406</v>
      </c>
      <c r="D330" s="741">
        <v>788305</v>
      </c>
      <c r="E330" s="293"/>
      <c r="G330" s="396"/>
      <c r="I330" s="157"/>
      <c r="J330" s="396"/>
      <c r="K330" s="396"/>
      <c r="L330" s="396"/>
      <c r="M330" s="396"/>
      <c r="N330" s="396"/>
      <c r="O330" s="396"/>
      <c r="P330" s="396"/>
      <c r="Q330" s="396"/>
      <c r="R330" s="396"/>
      <c r="S330" s="396"/>
      <c r="T330" s="396"/>
    </row>
    <row r="331" spans="2:20" ht="15" thickBot="1">
      <c r="B331" s="1394">
        <v>19</v>
      </c>
      <c r="C331" s="2195" t="s">
        <v>234</v>
      </c>
      <c r="D331" s="744">
        <v>450736</v>
      </c>
      <c r="E331" s="293"/>
      <c r="G331" s="396"/>
      <c r="I331" s="157"/>
      <c r="J331" s="396"/>
      <c r="K331" s="396"/>
      <c r="L331" s="396"/>
      <c r="M331" s="396"/>
      <c r="N331" s="396"/>
      <c r="O331" s="396"/>
      <c r="P331" s="396"/>
      <c r="Q331" s="396"/>
      <c r="R331" s="396"/>
      <c r="S331" s="396"/>
      <c r="T331" s="396"/>
    </row>
    <row r="332" spans="2:20" ht="27" thickBot="1">
      <c r="B332" s="1406">
        <v>20</v>
      </c>
      <c r="C332" s="1441" t="s">
        <v>407</v>
      </c>
      <c r="D332" s="1426">
        <f>SUM(D309:D314)+D316+D317+D319+D320+SUM(D326:D331)+D321</f>
        <v>22190895</v>
      </c>
      <c r="E332" s="293"/>
      <c r="G332" s="396"/>
      <c r="I332" s="858"/>
      <c r="J332" s="396"/>
      <c r="K332" s="396"/>
      <c r="L332" s="396"/>
      <c r="M332" s="396"/>
      <c r="N332" s="396"/>
      <c r="O332" s="396"/>
      <c r="P332" s="396"/>
      <c r="Q332" s="396"/>
      <c r="R332" s="396"/>
      <c r="S332" s="396"/>
      <c r="T332" s="396"/>
    </row>
    <row r="333" spans="2:20" ht="14.45">
      <c r="B333" s="1394"/>
      <c r="C333" s="1416" t="s">
        <v>300</v>
      </c>
      <c r="D333" s="741"/>
      <c r="E333" s="293"/>
      <c r="G333" s="396"/>
      <c r="I333" s="157"/>
      <c r="J333" s="396"/>
      <c r="K333" s="396"/>
      <c r="L333" s="396"/>
      <c r="M333" s="396"/>
      <c r="N333" s="396"/>
      <c r="O333" s="396"/>
      <c r="P333" s="396"/>
      <c r="Q333" s="396"/>
      <c r="R333" s="396"/>
      <c r="S333" s="396"/>
      <c r="T333" s="396"/>
    </row>
    <row r="334" spans="2:20" ht="14.45">
      <c r="B334" s="1394"/>
      <c r="C334" s="1415" t="s">
        <v>301</v>
      </c>
      <c r="D334" s="741"/>
      <c r="E334" s="293"/>
      <c r="G334" s="396"/>
      <c r="I334" s="157"/>
      <c r="J334" s="396"/>
      <c r="K334" s="396"/>
      <c r="L334" s="396"/>
      <c r="M334" s="396"/>
      <c r="N334" s="396"/>
      <c r="O334" s="396"/>
      <c r="P334" s="396"/>
      <c r="Q334" s="396"/>
      <c r="R334" s="396"/>
      <c r="S334" s="396"/>
      <c r="T334" s="396"/>
    </row>
    <row r="335" spans="2:20">
      <c r="B335" s="1394">
        <v>21</v>
      </c>
      <c r="C335" s="2192" t="s">
        <v>302</v>
      </c>
      <c r="D335" s="742">
        <v>10226176</v>
      </c>
      <c r="E335" s="293"/>
      <c r="G335" s="396"/>
      <c r="I335" s="859"/>
      <c r="J335" s="396"/>
      <c r="K335" s="396"/>
      <c r="L335" s="396"/>
      <c r="M335" s="396"/>
      <c r="N335" s="396"/>
      <c r="O335" s="396"/>
      <c r="P335" s="396"/>
      <c r="Q335" s="396"/>
      <c r="R335" s="396"/>
      <c r="S335" s="396"/>
      <c r="T335" s="396"/>
    </row>
    <row r="336" spans="2:20">
      <c r="B336" s="1394">
        <v>22</v>
      </c>
      <c r="C336" s="1853" t="s">
        <v>303</v>
      </c>
      <c r="D336" s="742">
        <v>117589</v>
      </c>
      <c r="E336" s="293"/>
      <c r="G336" s="396"/>
      <c r="I336" s="859"/>
      <c r="J336" s="396"/>
      <c r="K336" s="396"/>
      <c r="L336" s="396"/>
      <c r="M336" s="396"/>
      <c r="N336" s="396"/>
      <c r="O336" s="396"/>
      <c r="P336" s="396"/>
      <c r="Q336" s="396"/>
      <c r="R336" s="396"/>
      <c r="S336" s="396"/>
      <c r="T336" s="396"/>
    </row>
    <row r="337" spans="2:20">
      <c r="B337" s="1394">
        <v>23</v>
      </c>
      <c r="C337" s="1853" t="s">
        <v>304</v>
      </c>
      <c r="D337" s="742">
        <v>1845036</v>
      </c>
      <c r="E337" s="293"/>
      <c r="G337" s="396"/>
      <c r="I337" s="859"/>
      <c r="J337" s="396"/>
      <c r="K337" s="396"/>
      <c r="L337" s="396"/>
      <c r="M337" s="396"/>
      <c r="N337" s="396"/>
      <c r="O337" s="396"/>
      <c r="P337" s="396"/>
      <c r="Q337" s="396"/>
      <c r="R337" s="396"/>
      <c r="S337" s="396"/>
      <c r="T337" s="396"/>
    </row>
    <row r="338" spans="2:20">
      <c r="B338" s="1394">
        <v>24</v>
      </c>
      <c r="C338" s="1853" t="s">
        <v>305</v>
      </c>
      <c r="D338" s="741">
        <v>355384</v>
      </c>
      <c r="E338" s="293"/>
      <c r="G338" s="396"/>
      <c r="I338" s="859"/>
      <c r="J338" s="396"/>
      <c r="K338" s="396"/>
      <c r="L338" s="396"/>
      <c r="M338" s="396"/>
      <c r="N338" s="396"/>
      <c r="O338" s="396"/>
      <c r="P338" s="396"/>
      <c r="Q338" s="396"/>
      <c r="R338" s="396"/>
      <c r="S338" s="396"/>
      <c r="T338" s="396"/>
    </row>
    <row r="339" spans="2:20">
      <c r="B339" s="1394">
        <v>25</v>
      </c>
      <c r="C339" s="2192" t="s">
        <v>306</v>
      </c>
      <c r="D339" s="742"/>
      <c r="E339" s="293"/>
      <c r="G339" s="396"/>
      <c r="I339" s="859"/>
      <c r="J339" s="396"/>
      <c r="K339" s="396"/>
      <c r="L339" s="396"/>
      <c r="M339" s="396"/>
      <c r="N339" s="396"/>
      <c r="O339" s="396"/>
      <c r="P339" s="396"/>
      <c r="Q339" s="396"/>
      <c r="R339" s="396"/>
      <c r="S339" s="396"/>
      <c r="T339" s="396"/>
    </row>
    <row r="340" spans="2:20" ht="13.9" thickBot="1">
      <c r="B340" s="1394">
        <v>26</v>
      </c>
      <c r="C340" s="2209" t="s">
        <v>307</v>
      </c>
      <c r="D340" s="744">
        <v>1905074</v>
      </c>
      <c r="E340" s="293"/>
      <c r="G340" s="396"/>
      <c r="I340" s="859"/>
      <c r="J340" s="396"/>
      <c r="K340" s="396"/>
      <c r="L340" s="396"/>
      <c r="M340" s="396"/>
      <c r="N340" s="396"/>
      <c r="O340" s="396"/>
      <c r="P340" s="396"/>
      <c r="Q340" s="396"/>
      <c r="R340" s="396"/>
      <c r="S340" s="396"/>
      <c r="T340" s="396"/>
    </row>
    <row r="341" spans="2:20" ht="27" thickBot="1">
      <c r="B341" s="1397">
        <v>27</v>
      </c>
      <c r="C341" s="1414" t="s">
        <v>408</v>
      </c>
      <c r="D341" s="745">
        <f>SUM(D335:D340)</f>
        <v>14449259</v>
      </c>
      <c r="E341" s="293"/>
      <c r="G341" s="396"/>
      <c r="I341" s="860"/>
      <c r="J341" s="396"/>
      <c r="K341" s="396"/>
      <c r="L341" s="396"/>
      <c r="M341" s="396"/>
      <c r="N341" s="396"/>
      <c r="O341" s="396"/>
      <c r="P341" s="396"/>
      <c r="Q341" s="396"/>
      <c r="R341" s="396"/>
      <c r="S341" s="396"/>
      <c r="T341" s="396"/>
    </row>
    <row r="342" spans="2:20" ht="14.45">
      <c r="B342" s="1394"/>
      <c r="C342" s="1413" t="s">
        <v>409</v>
      </c>
      <c r="D342" s="741"/>
      <c r="E342" s="293"/>
      <c r="G342" s="396"/>
      <c r="I342" s="157"/>
      <c r="J342" s="396"/>
      <c r="K342" s="396"/>
      <c r="L342" s="396"/>
      <c r="M342" s="396"/>
      <c r="N342" s="396"/>
      <c r="O342" s="396"/>
      <c r="P342" s="396"/>
      <c r="Q342" s="396"/>
      <c r="R342" s="396"/>
      <c r="S342" s="396"/>
      <c r="T342" s="396"/>
    </row>
    <row r="343" spans="2:20" ht="14.45">
      <c r="B343" s="1394">
        <v>28</v>
      </c>
      <c r="C343" s="2192" t="s">
        <v>410</v>
      </c>
      <c r="D343" s="742">
        <v>3131949</v>
      </c>
      <c r="E343" s="293"/>
      <c r="G343" s="396"/>
      <c r="I343" s="157"/>
      <c r="J343" s="396"/>
      <c r="K343" s="396"/>
      <c r="L343" s="396"/>
      <c r="M343" s="396"/>
      <c r="N343" s="396"/>
      <c r="O343" s="396"/>
      <c r="P343" s="396"/>
      <c r="Q343" s="396"/>
      <c r="R343" s="396"/>
      <c r="S343" s="396"/>
      <c r="T343" s="396"/>
    </row>
    <row r="344" spans="2:20" ht="14.45">
      <c r="B344" s="1394">
        <v>29</v>
      </c>
      <c r="C344" s="2192" t="s">
        <v>311</v>
      </c>
      <c r="D344" s="742">
        <v>-200903</v>
      </c>
      <c r="E344" s="293"/>
      <c r="G344" s="396"/>
      <c r="I344" s="157"/>
      <c r="J344" s="396"/>
      <c r="K344" s="396"/>
      <c r="L344" s="396"/>
      <c r="M344" s="396"/>
      <c r="N344" s="396"/>
      <c r="O344" s="396"/>
      <c r="P344" s="396"/>
      <c r="Q344" s="396"/>
      <c r="R344" s="396"/>
      <c r="S344" s="396"/>
      <c r="T344" s="396"/>
    </row>
    <row r="345" spans="2:20" ht="14.45">
      <c r="B345" s="1394">
        <v>30</v>
      </c>
      <c r="C345" s="2215" t="s">
        <v>312</v>
      </c>
      <c r="D345" s="742"/>
      <c r="E345" s="293"/>
      <c r="G345" s="396"/>
      <c r="I345" s="157"/>
      <c r="J345" s="396"/>
      <c r="K345" s="396"/>
      <c r="L345" s="396"/>
      <c r="M345" s="396"/>
      <c r="N345" s="396"/>
      <c r="O345" s="396"/>
      <c r="P345" s="396"/>
      <c r="Q345" s="396"/>
      <c r="R345" s="396"/>
      <c r="S345" s="396"/>
      <c r="T345" s="396"/>
    </row>
    <row r="346" spans="2:20" ht="15" thickBot="1">
      <c r="B346" s="1394">
        <v>31</v>
      </c>
      <c r="C346" s="2215" t="s">
        <v>314</v>
      </c>
      <c r="D346" s="744">
        <v>4810591</v>
      </c>
      <c r="E346" s="293"/>
      <c r="G346" s="396"/>
      <c r="I346" s="157"/>
      <c r="J346" s="396"/>
      <c r="K346" s="396"/>
      <c r="L346" s="396"/>
      <c r="M346" s="396"/>
      <c r="N346" s="396"/>
      <c r="O346" s="396"/>
      <c r="P346" s="396"/>
      <c r="Q346" s="396"/>
      <c r="R346" s="396"/>
      <c r="S346" s="396"/>
      <c r="T346" s="396"/>
    </row>
    <row r="347" spans="2:20" ht="15" thickBot="1">
      <c r="B347" s="1397">
        <v>32</v>
      </c>
      <c r="C347" s="1414" t="s">
        <v>315</v>
      </c>
      <c r="D347" s="745">
        <f>SUM(D343:D346)</f>
        <v>7741637</v>
      </c>
      <c r="E347" s="293"/>
      <c r="G347" s="396"/>
      <c r="I347" s="860"/>
      <c r="J347" s="396"/>
      <c r="K347" s="396"/>
      <c r="L347" s="396"/>
      <c r="M347" s="396"/>
      <c r="N347" s="396"/>
      <c r="O347" s="396"/>
      <c r="P347" s="396"/>
      <c r="Q347" s="396"/>
      <c r="R347" s="396"/>
      <c r="S347" s="396"/>
      <c r="T347" s="396"/>
    </row>
    <row r="348" spans="2:20" ht="27" thickBot="1">
      <c r="B348" s="1409">
        <v>33</v>
      </c>
      <c r="C348" s="1440" t="s">
        <v>322</v>
      </c>
      <c r="D348" s="1426">
        <f>+D341+D347+1</f>
        <v>22190897</v>
      </c>
      <c r="E348" s="293"/>
      <c r="G348" s="396"/>
      <c r="I348" s="860"/>
      <c r="J348" s="396"/>
      <c r="K348" s="396"/>
      <c r="L348" s="396"/>
      <c r="M348" s="396"/>
      <c r="N348" s="396"/>
      <c r="O348" s="396"/>
      <c r="P348" s="396"/>
      <c r="Q348" s="396"/>
      <c r="R348" s="396"/>
      <c r="S348" s="396"/>
      <c r="T348" s="396"/>
    </row>
    <row r="349" spans="2:20">
      <c r="B349" s="196"/>
      <c r="C349" s="627"/>
      <c r="D349" s="383"/>
      <c r="E349" s="383"/>
      <c r="F349" s="293"/>
      <c r="I349" s="396"/>
      <c r="J349" s="396"/>
      <c r="K349" s="396"/>
      <c r="L349" s="396"/>
      <c r="M349" s="396"/>
      <c r="N349" s="396"/>
      <c r="O349" s="396"/>
      <c r="P349" s="396"/>
      <c r="Q349" s="396"/>
      <c r="R349" s="396"/>
      <c r="S349" s="396"/>
      <c r="T349" s="396"/>
    </row>
    <row r="350" spans="2:20">
      <c r="B350" s="196"/>
      <c r="C350" s="627"/>
      <c r="D350" s="383"/>
      <c r="E350" s="383"/>
      <c r="F350" s="293"/>
      <c r="H350" s="292">
        <v>87</v>
      </c>
      <c r="I350" s="396"/>
      <c r="J350" s="396"/>
      <c r="K350" s="396"/>
      <c r="L350" s="396"/>
      <c r="M350" s="396"/>
      <c r="N350" s="396"/>
      <c r="O350" s="396"/>
      <c r="P350" s="396"/>
      <c r="Q350" s="396"/>
      <c r="R350" s="396"/>
      <c r="S350" s="396"/>
      <c r="T350" s="396"/>
    </row>
    <row r="351" spans="2:20">
      <c r="B351" s="196"/>
      <c r="C351" s="391"/>
      <c r="D351" s="391"/>
      <c r="E351" s="293"/>
      <c r="F351" s="293"/>
      <c r="I351" s="396"/>
      <c r="J351" s="396"/>
      <c r="K351" s="396"/>
      <c r="L351" s="396"/>
      <c r="M351" s="396"/>
      <c r="N351" s="396"/>
      <c r="O351" s="396"/>
      <c r="P351" s="396"/>
      <c r="Q351" s="396"/>
      <c r="R351" s="396"/>
      <c r="S351" s="396"/>
      <c r="T351" s="396"/>
    </row>
    <row r="352" spans="2:20" ht="14.45">
      <c r="B352" s="3340" t="s">
        <v>420</v>
      </c>
      <c r="C352" s="3341"/>
      <c r="D352" s="3341"/>
      <c r="E352" s="3341"/>
      <c r="F352" s="3341"/>
      <c r="G352" s="3341"/>
      <c r="I352" s="396"/>
      <c r="J352" s="396"/>
      <c r="K352" s="396"/>
      <c r="L352" s="396"/>
      <c r="M352" s="396"/>
      <c r="N352" s="396"/>
      <c r="O352" s="396"/>
      <c r="P352" s="396"/>
      <c r="Q352" s="396"/>
      <c r="R352" s="396"/>
      <c r="S352" s="396"/>
      <c r="T352" s="396"/>
    </row>
    <row r="353" spans="2:20" ht="13.9" thickBot="1">
      <c r="B353" s="51"/>
      <c r="C353" s="51"/>
      <c r="D353" s="51"/>
      <c r="E353" s="51"/>
      <c r="F353" s="51"/>
      <c r="I353" s="396"/>
      <c r="J353" s="396"/>
      <c r="K353" s="396"/>
      <c r="L353" s="396"/>
      <c r="M353" s="396"/>
      <c r="N353" s="396"/>
      <c r="O353" s="396"/>
      <c r="P353" s="396"/>
      <c r="Q353" s="396"/>
      <c r="R353" s="396"/>
      <c r="S353" s="396"/>
      <c r="T353" s="396"/>
    </row>
    <row r="354" spans="2:20" ht="13.9" thickBot="1">
      <c r="B354" s="3344" t="s">
        <v>104</v>
      </c>
      <c r="C354" s="3345"/>
      <c r="D354" s="425"/>
      <c r="E354" s="532"/>
      <c r="F354" s="396"/>
      <c r="I354" s="396"/>
      <c r="J354" s="396"/>
      <c r="K354" s="396"/>
      <c r="L354" s="396"/>
      <c r="M354" s="396"/>
      <c r="N354" s="396"/>
      <c r="O354" s="396"/>
      <c r="P354" s="396"/>
      <c r="Q354" s="396"/>
      <c r="R354" s="396"/>
      <c r="S354" s="396"/>
      <c r="T354" s="396"/>
    </row>
    <row r="355" spans="2:20">
      <c r="B355" s="3284" t="s">
        <v>396</v>
      </c>
      <c r="C355" s="3346"/>
      <c r="D355" s="3283" t="s">
        <v>414</v>
      </c>
      <c r="E355" s="274"/>
      <c r="I355" s="396"/>
      <c r="J355" s="396"/>
      <c r="K355" s="396"/>
      <c r="L355" s="396"/>
      <c r="M355" s="396"/>
      <c r="N355" s="396"/>
      <c r="O355" s="396"/>
      <c r="P355" s="396"/>
      <c r="Q355" s="396"/>
      <c r="R355" s="396"/>
      <c r="S355" s="396"/>
      <c r="T355" s="396"/>
    </row>
    <row r="356" spans="2:20">
      <c r="B356" s="3284"/>
      <c r="C356" s="3346"/>
      <c r="D356" s="3284"/>
      <c r="E356" s="443"/>
      <c r="I356" s="396"/>
      <c r="J356" s="396"/>
      <c r="K356" s="396"/>
      <c r="L356" s="396"/>
      <c r="M356" s="396"/>
      <c r="N356" s="396"/>
      <c r="O356" s="396"/>
      <c r="P356" s="396"/>
      <c r="Q356" s="396"/>
      <c r="R356" s="396"/>
      <c r="S356" s="396"/>
      <c r="T356" s="396"/>
    </row>
    <row r="357" spans="2:20">
      <c r="B357" s="3285"/>
      <c r="C357" s="3347"/>
      <c r="D357" s="3285"/>
      <c r="E357" s="443"/>
      <c r="I357" s="396"/>
      <c r="J357" s="396"/>
      <c r="K357" s="396"/>
      <c r="L357" s="396"/>
      <c r="M357" s="396"/>
      <c r="N357" s="396"/>
      <c r="O357" s="396"/>
      <c r="P357" s="396"/>
      <c r="Q357" s="396"/>
      <c r="R357" s="396"/>
      <c r="S357" s="396"/>
      <c r="T357" s="396"/>
    </row>
    <row r="358" spans="2:20" ht="14.45">
      <c r="B358" s="1394"/>
      <c r="C358" s="1401" t="s">
        <v>275</v>
      </c>
      <c r="D358" s="709"/>
      <c r="E358" s="293"/>
      <c r="I358" s="396"/>
      <c r="J358" s="396"/>
      <c r="K358" s="396"/>
      <c r="L358" s="396"/>
      <c r="M358" s="396"/>
      <c r="N358" s="396"/>
      <c r="O358" s="396"/>
      <c r="P358" s="396"/>
      <c r="Q358" s="396"/>
      <c r="R358" s="396"/>
      <c r="S358" s="396"/>
      <c r="T358" s="396"/>
    </row>
    <row r="359" spans="2:20" ht="14.45">
      <c r="B359" s="1394">
        <v>1</v>
      </c>
      <c r="C359" s="2218" t="s">
        <v>276</v>
      </c>
      <c r="D359" s="2996">
        <v>0</v>
      </c>
      <c r="E359" s="293"/>
      <c r="G359" s="396"/>
      <c r="I359" s="396"/>
      <c r="J359" s="396"/>
      <c r="K359" s="396"/>
      <c r="L359" s="396"/>
      <c r="M359" s="396"/>
      <c r="N359" s="396"/>
      <c r="O359" s="396"/>
      <c r="P359" s="396"/>
      <c r="Q359" s="396"/>
      <c r="R359" s="396"/>
      <c r="S359" s="396"/>
      <c r="T359" s="396"/>
    </row>
    <row r="360" spans="2:20">
      <c r="B360" s="1394">
        <v>2</v>
      </c>
      <c r="C360" s="2218" t="s">
        <v>277</v>
      </c>
      <c r="D360" s="2997">
        <v>4064</v>
      </c>
      <c r="E360" s="293"/>
      <c r="G360" s="396"/>
      <c r="I360" s="396"/>
      <c r="J360" s="396"/>
      <c r="K360" s="396"/>
      <c r="L360" s="396"/>
      <c r="M360" s="396"/>
      <c r="N360" s="396"/>
      <c r="O360" s="396"/>
      <c r="P360" s="396"/>
      <c r="Q360" s="396"/>
      <c r="R360" s="396"/>
      <c r="S360" s="396"/>
      <c r="T360" s="396"/>
    </row>
    <row r="361" spans="2:20">
      <c r="B361" s="1394">
        <v>3</v>
      </c>
      <c r="C361" s="2218" t="s">
        <v>278</v>
      </c>
      <c r="D361" s="2997">
        <v>0</v>
      </c>
      <c r="E361" s="293"/>
      <c r="G361" s="396"/>
      <c r="I361" s="396"/>
      <c r="J361" s="396"/>
      <c r="K361" s="396"/>
      <c r="L361" s="396"/>
      <c r="M361" s="396"/>
      <c r="N361" s="396"/>
      <c r="O361" s="396"/>
      <c r="P361" s="396"/>
      <c r="Q361" s="396"/>
      <c r="R361" s="396"/>
      <c r="S361" s="396"/>
      <c r="T361" s="396"/>
    </row>
    <row r="362" spans="2:20">
      <c r="B362" s="1394">
        <v>4</v>
      </c>
      <c r="C362" s="2220" t="s">
        <v>279</v>
      </c>
      <c r="D362" s="2997">
        <v>32755</v>
      </c>
      <c r="E362" s="293"/>
      <c r="G362" s="396"/>
      <c r="I362" s="396"/>
      <c r="J362" s="396"/>
      <c r="K362" s="396"/>
      <c r="L362" s="396"/>
      <c r="M362" s="396"/>
      <c r="N362" s="396"/>
      <c r="O362" s="396"/>
      <c r="P362" s="396"/>
      <c r="Q362" s="396"/>
      <c r="R362" s="396"/>
      <c r="S362" s="396"/>
      <c r="T362" s="396"/>
    </row>
    <row r="363" spans="2:20">
      <c r="B363" s="1394">
        <v>5</v>
      </c>
      <c r="C363" s="2218" t="s">
        <v>280</v>
      </c>
      <c r="D363" s="2997">
        <v>157816</v>
      </c>
      <c r="E363" s="293"/>
      <c r="G363" s="396"/>
      <c r="I363" s="396"/>
      <c r="J363" s="396"/>
      <c r="K363" s="396"/>
      <c r="L363" s="396"/>
      <c r="M363" s="396"/>
      <c r="N363" s="396"/>
      <c r="O363" s="396"/>
      <c r="P363" s="396"/>
      <c r="Q363" s="396"/>
      <c r="R363" s="396"/>
      <c r="S363" s="396"/>
      <c r="T363" s="396"/>
    </row>
    <row r="364" spans="2:20" ht="14.45">
      <c r="B364" s="1394">
        <v>6</v>
      </c>
      <c r="C364" s="2218" t="s">
        <v>281</v>
      </c>
      <c r="D364" s="2996">
        <v>0</v>
      </c>
      <c r="E364" s="293"/>
      <c r="G364" s="396"/>
      <c r="I364" s="396"/>
      <c r="J364" s="396"/>
      <c r="K364" s="396"/>
      <c r="L364" s="396"/>
      <c r="M364" s="396"/>
      <c r="N364" s="396"/>
      <c r="O364" s="396"/>
      <c r="P364" s="396"/>
      <c r="Q364" s="396"/>
      <c r="R364" s="396"/>
      <c r="S364" s="396"/>
      <c r="T364" s="396"/>
    </row>
    <row r="365" spans="2:20" ht="14.45">
      <c r="B365" s="1394">
        <v>7</v>
      </c>
      <c r="C365" s="2218" t="s">
        <v>282</v>
      </c>
      <c r="D365" s="2998"/>
      <c r="E365" s="293"/>
      <c r="G365" s="396"/>
      <c r="I365" s="396"/>
      <c r="J365" s="396"/>
      <c r="K365" s="396"/>
      <c r="L365" s="396"/>
      <c r="M365" s="396"/>
      <c r="N365" s="396"/>
      <c r="O365" s="396"/>
      <c r="P365" s="396"/>
      <c r="Q365" s="396"/>
      <c r="R365" s="396"/>
      <c r="S365" s="396"/>
      <c r="T365" s="396"/>
    </row>
    <row r="366" spans="2:20" ht="19.5" customHeight="1">
      <c r="B366" s="1394"/>
      <c r="C366" s="2203" t="s">
        <v>416</v>
      </c>
      <c r="D366" s="2999">
        <v>0</v>
      </c>
      <c r="E366" s="293"/>
      <c r="G366" s="396"/>
      <c r="I366" s="396"/>
      <c r="J366" s="396"/>
      <c r="K366" s="396"/>
      <c r="L366" s="396"/>
      <c r="M366" s="396"/>
      <c r="N366" s="396"/>
      <c r="O366" s="396"/>
      <c r="P366" s="396"/>
      <c r="Q366" s="396"/>
      <c r="R366" s="396"/>
      <c r="S366" s="396"/>
      <c r="T366" s="396"/>
    </row>
    <row r="367" spans="2:20" ht="14.45">
      <c r="B367" s="1394"/>
      <c r="C367" s="2203" t="s">
        <v>417</v>
      </c>
      <c r="D367" s="2999">
        <v>0</v>
      </c>
      <c r="E367" s="293"/>
      <c r="G367" s="396"/>
      <c r="I367" s="396"/>
      <c r="J367" s="396"/>
      <c r="K367" s="396"/>
      <c r="L367" s="396"/>
      <c r="M367" s="396"/>
      <c r="N367" s="396"/>
      <c r="O367" s="396"/>
      <c r="P367" s="396"/>
      <c r="Q367" s="396"/>
      <c r="R367" s="396"/>
      <c r="S367" s="396"/>
      <c r="T367" s="396"/>
    </row>
    <row r="368" spans="2:20" ht="14.45">
      <c r="B368" s="1394">
        <v>8</v>
      </c>
      <c r="C368" s="2218" t="s">
        <v>285</v>
      </c>
      <c r="D368" s="2998"/>
      <c r="E368" s="293"/>
      <c r="G368" s="396"/>
      <c r="I368" s="396"/>
      <c r="J368" s="396"/>
      <c r="K368" s="396"/>
      <c r="L368" s="396"/>
      <c r="M368" s="396"/>
      <c r="N368" s="396"/>
      <c r="O368" s="396"/>
      <c r="P368" s="396"/>
      <c r="Q368" s="396"/>
      <c r="R368" s="396"/>
      <c r="S368" s="396"/>
      <c r="T368" s="396"/>
    </row>
    <row r="369" spans="2:20" ht="18" customHeight="1">
      <c r="B369" s="1394"/>
      <c r="C369" s="2203" t="s">
        <v>418</v>
      </c>
      <c r="D369" s="2999">
        <v>0</v>
      </c>
      <c r="E369" s="293"/>
      <c r="G369" s="396"/>
      <c r="I369" s="396"/>
      <c r="J369" s="396"/>
      <c r="K369" s="396"/>
      <c r="L369" s="396"/>
      <c r="M369" s="396"/>
      <c r="N369" s="396"/>
      <c r="O369" s="396"/>
      <c r="P369" s="396"/>
      <c r="Q369" s="396"/>
      <c r="R369" s="396"/>
      <c r="S369" s="396"/>
      <c r="T369" s="396"/>
    </row>
    <row r="370" spans="2:20" ht="15" thickBot="1">
      <c r="B370" s="1394"/>
      <c r="C370" s="2203" t="s">
        <v>419</v>
      </c>
      <c r="D370" s="3000">
        <v>0</v>
      </c>
      <c r="E370" s="293"/>
      <c r="G370" s="396"/>
      <c r="I370" s="396"/>
      <c r="J370" s="396"/>
      <c r="K370" s="396"/>
      <c r="L370" s="396"/>
      <c r="M370" s="396"/>
      <c r="N370" s="396"/>
      <c r="O370" s="396"/>
      <c r="P370" s="396"/>
      <c r="Q370" s="396"/>
      <c r="R370" s="396"/>
      <c r="S370" s="396"/>
      <c r="T370" s="396"/>
    </row>
    <row r="371" spans="2:20" ht="27" customHeight="1" thickBot="1">
      <c r="B371" s="1396">
        <v>9</v>
      </c>
      <c r="C371" s="2212" t="s">
        <v>288</v>
      </c>
      <c r="D371" s="1426">
        <f>SUM(D372:D375)</f>
        <v>5195467</v>
      </c>
      <c r="G371" s="396"/>
      <c r="I371" s="396"/>
      <c r="J371" s="396"/>
      <c r="K371" s="396"/>
      <c r="L371" s="396"/>
      <c r="M371" s="396"/>
      <c r="N371" s="396"/>
      <c r="O371" s="396"/>
      <c r="P371" s="396"/>
      <c r="Q371" s="396"/>
      <c r="R371" s="396"/>
      <c r="S371" s="396"/>
    </row>
    <row r="372" spans="2:20" ht="14.45">
      <c r="B372" s="1394">
        <v>10</v>
      </c>
      <c r="C372" s="2203" t="s">
        <v>289</v>
      </c>
      <c r="D372" s="2996">
        <v>185485</v>
      </c>
      <c r="E372" s="293"/>
      <c r="G372" s="396"/>
      <c r="I372" s="396"/>
      <c r="J372" s="396"/>
      <c r="K372" s="396"/>
      <c r="L372" s="396"/>
      <c r="M372" s="396"/>
      <c r="N372" s="396"/>
      <c r="O372" s="396"/>
      <c r="P372" s="396"/>
      <c r="Q372" s="396"/>
      <c r="R372" s="396"/>
      <c r="S372" s="396"/>
      <c r="T372" s="396"/>
    </row>
    <row r="373" spans="2:20">
      <c r="B373" s="1394">
        <v>11</v>
      </c>
      <c r="C373" s="2203" t="s">
        <v>290</v>
      </c>
      <c r="D373" s="2997">
        <v>3229462</v>
      </c>
      <c r="E373" s="293"/>
      <c r="G373" s="396"/>
      <c r="I373" s="396"/>
      <c r="J373" s="396"/>
      <c r="K373" s="396"/>
      <c r="L373" s="396"/>
      <c r="M373" s="396"/>
      <c r="N373" s="396"/>
      <c r="O373" s="396"/>
      <c r="P373" s="396"/>
      <c r="Q373" s="396"/>
      <c r="R373" s="396"/>
      <c r="S373" s="396"/>
      <c r="T373" s="396"/>
    </row>
    <row r="374" spans="2:20">
      <c r="B374" s="1394">
        <v>12</v>
      </c>
      <c r="C374" s="2203" t="s">
        <v>291</v>
      </c>
      <c r="D374" s="2997">
        <v>1778658</v>
      </c>
      <c r="E374" s="293"/>
      <c r="G374" s="396"/>
      <c r="I374" s="396"/>
      <c r="J374" s="396"/>
      <c r="K374" s="396"/>
      <c r="L374" s="396"/>
      <c r="M374" s="396"/>
      <c r="N374" s="396"/>
      <c r="O374" s="396"/>
      <c r="P374" s="396"/>
      <c r="Q374" s="396"/>
      <c r="R374" s="396"/>
      <c r="S374" s="396"/>
      <c r="T374" s="396"/>
    </row>
    <row r="375" spans="2:20" ht="26.45">
      <c r="B375" s="1394">
        <v>13</v>
      </c>
      <c r="C375" s="2203" t="s">
        <v>292</v>
      </c>
      <c r="D375" s="2997">
        <v>1862</v>
      </c>
      <c r="E375" s="293"/>
      <c r="G375" s="396"/>
      <c r="I375" s="396"/>
      <c r="J375" s="396"/>
      <c r="K375" s="396"/>
      <c r="L375" s="396"/>
      <c r="M375" s="396"/>
      <c r="N375" s="396"/>
      <c r="O375" s="396"/>
      <c r="P375" s="396"/>
      <c r="Q375" s="396"/>
      <c r="R375" s="396"/>
      <c r="S375" s="396"/>
      <c r="T375" s="396"/>
    </row>
    <row r="376" spans="2:20">
      <c r="B376" s="1394">
        <v>14</v>
      </c>
      <c r="C376" s="2204" t="s">
        <v>293</v>
      </c>
      <c r="D376" s="2997">
        <v>0</v>
      </c>
      <c r="E376" s="293"/>
      <c r="G376" s="396"/>
      <c r="I376" s="396"/>
      <c r="J376" s="396"/>
      <c r="K376" s="396"/>
      <c r="L376" s="396"/>
      <c r="M376" s="396"/>
      <c r="N376" s="396"/>
      <c r="O376" s="396"/>
      <c r="P376" s="396"/>
      <c r="Q376" s="396"/>
      <c r="R376" s="396"/>
      <c r="S376" s="396"/>
      <c r="T376" s="396"/>
    </row>
    <row r="377" spans="2:20">
      <c r="B377" s="1394">
        <v>15</v>
      </c>
      <c r="C377" s="2204" t="s">
        <v>294</v>
      </c>
      <c r="D377" s="2997">
        <v>860069</v>
      </c>
      <c r="E377" s="293"/>
      <c r="G377" s="396"/>
      <c r="I377" s="396"/>
      <c r="J377" s="396"/>
      <c r="K377" s="396"/>
      <c r="L377" s="396"/>
      <c r="M377" s="396"/>
      <c r="N377" s="396"/>
      <c r="O377" s="396"/>
      <c r="P377" s="396"/>
      <c r="Q377" s="396"/>
      <c r="R377" s="396"/>
      <c r="S377" s="396"/>
      <c r="T377" s="396"/>
    </row>
    <row r="378" spans="2:20">
      <c r="B378" s="1394">
        <v>16</v>
      </c>
      <c r="C378" s="2204" t="s">
        <v>295</v>
      </c>
      <c r="D378" s="2997">
        <v>1835123</v>
      </c>
      <c r="E378" s="293"/>
      <c r="G378" s="396"/>
      <c r="I378" s="396"/>
      <c r="J378" s="396"/>
      <c r="K378" s="396"/>
      <c r="L378" s="396"/>
      <c r="M378" s="396"/>
      <c r="N378" s="396"/>
      <c r="O378" s="396"/>
      <c r="P378" s="396"/>
      <c r="Q378" s="396"/>
      <c r="R378" s="396"/>
      <c r="S378" s="396"/>
      <c r="T378" s="396"/>
    </row>
    <row r="379" spans="2:20">
      <c r="B379" s="1394">
        <v>17</v>
      </c>
      <c r="C379" s="2204" t="s">
        <v>296</v>
      </c>
      <c r="D379" s="2997">
        <v>221987</v>
      </c>
      <c r="E379" s="293"/>
      <c r="G379" s="396"/>
      <c r="I379" s="396"/>
      <c r="J379" s="396"/>
      <c r="K379" s="396"/>
      <c r="L379" s="396"/>
      <c r="M379" s="396"/>
      <c r="N379" s="396"/>
      <c r="O379" s="396"/>
      <c r="P379" s="396"/>
      <c r="Q379" s="396"/>
      <c r="R379" s="396"/>
      <c r="S379" s="396"/>
      <c r="T379" s="396"/>
    </row>
    <row r="380" spans="2:20">
      <c r="B380" s="1394">
        <v>18</v>
      </c>
      <c r="C380" s="2204" t="s">
        <v>297</v>
      </c>
      <c r="D380" s="2997">
        <v>163995</v>
      </c>
      <c r="E380" s="293"/>
      <c r="G380" s="396"/>
      <c r="I380" s="396"/>
      <c r="J380" s="396"/>
      <c r="K380" s="396"/>
      <c r="L380" s="396"/>
      <c r="M380" s="396"/>
      <c r="N380" s="396"/>
      <c r="O380" s="396"/>
      <c r="P380" s="396"/>
      <c r="Q380" s="396"/>
      <c r="R380" s="396"/>
      <c r="S380" s="396"/>
      <c r="T380" s="396"/>
    </row>
    <row r="381" spans="2:20" ht="13.9" thickBot="1">
      <c r="B381" s="1394">
        <v>19</v>
      </c>
      <c r="C381" s="2205" t="s">
        <v>298</v>
      </c>
      <c r="D381" s="2997">
        <v>77478</v>
      </c>
      <c r="E381" s="293"/>
      <c r="G381" s="396"/>
      <c r="I381" s="396"/>
      <c r="J381" s="396"/>
      <c r="K381" s="396"/>
      <c r="L381" s="396"/>
      <c r="M381" s="396"/>
      <c r="N381" s="396"/>
      <c r="O381" s="396"/>
      <c r="P381" s="396"/>
      <c r="Q381" s="396"/>
      <c r="R381" s="396"/>
      <c r="S381" s="396"/>
      <c r="T381" s="396"/>
    </row>
    <row r="382" spans="2:20" ht="27" thickBot="1">
      <c r="B382" s="1406">
        <v>20</v>
      </c>
      <c r="C382" s="1425" t="s">
        <v>299</v>
      </c>
      <c r="D382" s="1426">
        <v>8548754</v>
      </c>
      <c r="E382" s="293">
        <v>0</v>
      </c>
      <c r="G382" s="396"/>
      <c r="I382" s="396"/>
      <c r="J382" s="396"/>
      <c r="K382" s="396"/>
      <c r="L382" s="396"/>
      <c r="M382" s="396"/>
      <c r="N382" s="396"/>
      <c r="O382" s="396"/>
      <c r="P382" s="396"/>
      <c r="Q382" s="396"/>
      <c r="R382" s="396"/>
      <c r="S382" s="396"/>
      <c r="T382" s="396"/>
    </row>
    <row r="383" spans="2:20" ht="14.45">
      <c r="B383" s="1394"/>
      <c r="C383" s="1398" t="s">
        <v>300</v>
      </c>
      <c r="D383" s="3002"/>
      <c r="E383" s="293"/>
      <c r="G383" s="396"/>
      <c r="I383" s="396"/>
      <c r="J383" s="396"/>
      <c r="K383" s="396"/>
      <c r="L383" s="396"/>
      <c r="M383" s="396"/>
      <c r="N383" s="396"/>
      <c r="O383" s="396"/>
      <c r="P383" s="396"/>
      <c r="Q383" s="396"/>
      <c r="R383" s="396"/>
      <c r="S383" s="396"/>
      <c r="T383" s="396"/>
    </row>
    <row r="384" spans="2:20" ht="14.45">
      <c r="B384" s="1394"/>
      <c r="C384" s="2219" t="s">
        <v>301</v>
      </c>
      <c r="D384" s="2996"/>
      <c r="E384" s="293"/>
      <c r="G384" s="396"/>
      <c r="I384" s="396"/>
      <c r="J384" s="396"/>
      <c r="K384" s="396"/>
      <c r="L384" s="396"/>
      <c r="M384" s="396"/>
      <c r="N384" s="396"/>
      <c r="O384" s="396"/>
      <c r="P384" s="396"/>
      <c r="Q384" s="396"/>
      <c r="R384" s="396"/>
      <c r="S384" s="396"/>
      <c r="T384" s="396"/>
    </row>
    <row r="385" spans="2:20">
      <c r="B385" s="1394">
        <v>21</v>
      </c>
      <c r="C385" s="2204" t="s">
        <v>302</v>
      </c>
      <c r="D385" s="2997">
        <v>4181589</v>
      </c>
      <c r="E385" s="293"/>
      <c r="G385" s="396"/>
      <c r="I385" s="396"/>
      <c r="J385" s="396"/>
      <c r="K385" s="396"/>
      <c r="L385" s="396"/>
      <c r="M385" s="396"/>
      <c r="N385" s="396"/>
      <c r="O385" s="396"/>
      <c r="P385" s="396"/>
      <c r="Q385" s="396"/>
      <c r="R385" s="396"/>
      <c r="S385" s="396"/>
      <c r="T385" s="396"/>
    </row>
    <row r="386" spans="2:20">
      <c r="B386" s="1394">
        <v>22</v>
      </c>
      <c r="C386" s="2204" t="s">
        <v>303</v>
      </c>
      <c r="D386" s="2997">
        <v>93732</v>
      </c>
      <c r="E386" s="293"/>
      <c r="G386" s="396"/>
      <c r="I386" s="396"/>
      <c r="J386" s="396"/>
      <c r="K386" s="396"/>
      <c r="L386" s="396"/>
      <c r="M386" s="396"/>
      <c r="N386" s="396"/>
      <c r="O386" s="396"/>
      <c r="P386" s="396"/>
      <c r="Q386" s="396"/>
      <c r="R386" s="396"/>
      <c r="S386" s="396"/>
      <c r="T386" s="396"/>
    </row>
    <row r="387" spans="2:20">
      <c r="B387" s="1394">
        <v>23</v>
      </c>
      <c r="C387" s="2204" t="s">
        <v>304</v>
      </c>
      <c r="D387" s="2997">
        <v>732181</v>
      </c>
      <c r="E387" s="293"/>
      <c r="G387" s="396"/>
      <c r="I387" s="396"/>
      <c r="J387" s="396"/>
      <c r="K387" s="396"/>
      <c r="L387" s="396"/>
      <c r="M387" s="396"/>
      <c r="N387" s="396"/>
      <c r="O387" s="396"/>
      <c r="P387" s="396"/>
      <c r="Q387" s="396"/>
      <c r="R387" s="396"/>
      <c r="S387" s="396"/>
      <c r="T387" s="396"/>
    </row>
    <row r="388" spans="2:20">
      <c r="B388" s="1394">
        <v>24</v>
      </c>
      <c r="C388" s="2204" t="s">
        <v>305</v>
      </c>
      <c r="D388" s="2997">
        <v>0</v>
      </c>
      <c r="E388" s="293"/>
      <c r="G388" s="396"/>
      <c r="I388" s="396"/>
      <c r="J388" s="396"/>
      <c r="K388" s="396"/>
      <c r="L388" s="396"/>
      <c r="M388" s="396"/>
      <c r="N388" s="396"/>
      <c r="O388" s="396"/>
      <c r="P388" s="396"/>
      <c r="Q388" s="396"/>
      <c r="R388" s="396"/>
      <c r="S388" s="396"/>
      <c r="T388" s="396"/>
    </row>
    <row r="389" spans="2:20">
      <c r="B389" s="1394">
        <v>25</v>
      </c>
      <c r="C389" s="2203" t="s">
        <v>306</v>
      </c>
      <c r="D389" s="2997">
        <v>0</v>
      </c>
      <c r="E389" s="293"/>
      <c r="G389" s="396"/>
      <c r="I389" s="396"/>
      <c r="J389" s="396"/>
      <c r="K389" s="396"/>
      <c r="L389" s="396"/>
      <c r="M389" s="396"/>
      <c r="N389" s="396"/>
      <c r="O389" s="396"/>
      <c r="P389" s="396"/>
      <c r="Q389" s="396"/>
      <c r="R389" s="396"/>
      <c r="S389" s="396"/>
      <c r="T389" s="396"/>
    </row>
    <row r="390" spans="2:20" ht="13.9" thickBot="1">
      <c r="B390" s="1394">
        <v>26</v>
      </c>
      <c r="C390" s="2205" t="s">
        <v>307</v>
      </c>
      <c r="D390" s="2997">
        <v>1286265</v>
      </c>
      <c r="E390" s="293"/>
      <c r="G390" s="396"/>
      <c r="I390" s="396"/>
      <c r="J390" s="396"/>
      <c r="K390" s="396"/>
      <c r="L390" s="396"/>
      <c r="M390" s="396"/>
      <c r="N390" s="396"/>
      <c r="O390" s="396"/>
      <c r="P390" s="396"/>
      <c r="Q390" s="396"/>
      <c r="R390" s="396"/>
      <c r="S390" s="396"/>
      <c r="T390" s="396"/>
    </row>
    <row r="391" spans="2:20" ht="27" thickBot="1">
      <c r="B391" s="1397">
        <v>27</v>
      </c>
      <c r="C391" s="1419" t="s">
        <v>308</v>
      </c>
      <c r="D391" s="3003">
        <v>6293766</v>
      </c>
      <c r="E391" s="293"/>
      <c r="G391" s="396"/>
      <c r="I391" s="396"/>
      <c r="J391" s="396"/>
      <c r="K391" s="396"/>
      <c r="L391" s="396"/>
      <c r="M391" s="396"/>
      <c r="N391" s="396"/>
      <c r="O391" s="396"/>
      <c r="P391" s="396"/>
      <c r="Q391" s="396"/>
      <c r="R391" s="396"/>
      <c r="S391" s="396"/>
      <c r="T391" s="396"/>
    </row>
    <row r="392" spans="2:20" ht="14.45">
      <c r="B392" s="1394"/>
      <c r="C392" s="1398" t="s">
        <v>309</v>
      </c>
      <c r="D392" s="3002"/>
      <c r="E392" s="293"/>
      <c r="G392" s="396"/>
      <c r="I392" s="396"/>
      <c r="J392" s="396"/>
      <c r="K392" s="396"/>
      <c r="L392" s="396"/>
      <c r="M392" s="396"/>
      <c r="N392" s="396"/>
      <c r="O392" s="396"/>
      <c r="P392" s="396"/>
      <c r="Q392" s="396"/>
      <c r="R392" s="396"/>
      <c r="S392" s="396"/>
      <c r="T392" s="396"/>
    </row>
    <row r="393" spans="2:20">
      <c r="B393" s="1394">
        <v>28</v>
      </c>
      <c r="C393" s="2218" t="s">
        <v>310</v>
      </c>
      <c r="D393" s="2997">
        <v>1150000</v>
      </c>
      <c r="E393" s="293"/>
      <c r="G393" s="396"/>
      <c r="I393" s="396"/>
      <c r="J393" s="396"/>
      <c r="K393" s="396"/>
      <c r="L393" s="396"/>
      <c r="M393" s="396"/>
      <c r="N393" s="396"/>
      <c r="O393" s="396"/>
      <c r="P393" s="396"/>
      <c r="Q393" s="396"/>
      <c r="R393" s="396"/>
      <c r="S393" s="396"/>
      <c r="T393" s="396"/>
    </row>
    <row r="394" spans="2:20">
      <c r="B394" s="1394">
        <v>29</v>
      </c>
      <c r="C394" s="2218" t="s">
        <v>311</v>
      </c>
      <c r="D394" s="2997">
        <v>-165294</v>
      </c>
      <c r="E394" s="293"/>
      <c r="G394" s="396"/>
      <c r="I394" s="396"/>
      <c r="J394" s="396"/>
      <c r="K394" s="396"/>
      <c r="L394" s="396"/>
      <c r="M394" s="396"/>
      <c r="N394" s="396"/>
      <c r="O394" s="396"/>
      <c r="P394" s="396"/>
      <c r="Q394" s="396"/>
      <c r="R394" s="396"/>
      <c r="S394" s="396"/>
      <c r="T394" s="396"/>
    </row>
    <row r="395" spans="2:20">
      <c r="B395" s="1394">
        <v>30</v>
      </c>
      <c r="C395" s="2207" t="s">
        <v>312</v>
      </c>
      <c r="D395" s="2997">
        <v>0</v>
      </c>
      <c r="E395" s="293"/>
      <c r="G395" s="396"/>
      <c r="I395" s="396"/>
      <c r="J395" s="396"/>
      <c r="K395" s="396"/>
      <c r="L395" s="396"/>
      <c r="M395" s="396"/>
      <c r="N395" s="396"/>
      <c r="O395" s="396"/>
      <c r="P395" s="396"/>
      <c r="Q395" s="396"/>
      <c r="R395" s="396"/>
      <c r="S395" s="396"/>
      <c r="T395" s="396"/>
    </row>
    <row r="396" spans="2:20" ht="13.9" thickBot="1">
      <c r="B396" s="1394">
        <v>31</v>
      </c>
      <c r="C396" s="2207" t="s">
        <v>314</v>
      </c>
      <c r="D396" s="2997">
        <v>1270282</v>
      </c>
      <c r="E396" s="293"/>
      <c r="G396" s="396"/>
      <c r="I396" s="396"/>
      <c r="J396" s="396"/>
      <c r="K396" s="396"/>
      <c r="L396" s="396"/>
      <c r="M396" s="396"/>
      <c r="N396" s="396"/>
      <c r="O396" s="396"/>
      <c r="P396" s="396"/>
      <c r="Q396" s="396"/>
      <c r="R396" s="396"/>
      <c r="S396" s="396"/>
      <c r="T396" s="396"/>
    </row>
    <row r="397" spans="2:20" ht="13.9" thickBot="1">
      <c r="B397" s="1397">
        <v>32</v>
      </c>
      <c r="C397" s="1419" t="s">
        <v>315</v>
      </c>
      <c r="D397" s="3003">
        <v>2254988</v>
      </c>
      <c r="E397" s="293"/>
      <c r="G397" s="396"/>
      <c r="I397" s="396"/>
      <c r="J397" s="396"/>
      <c r="K397" s="396"/>
      <c r="L397" s="396"/>
      <c r="M397" s="396"/>
      <c r="N397" s="396"/>
      <c r="O397" s="396"/>
      <c r="P397" s="396"/>
      <c r="Q397" s="396"/>
      <c r="R397" s="396"/>
      <c r="S397" s="396"/>
      <c r="T397" s="396"/>
    </row>
    <row r="398" spans="2:20" ht="27" thickBot="1">
      <c r="B398" s="1409">
        <v>33</v>
      </c>
      <c r="C398" s="1430" t="s">
        <v>317</v>
      </c>
      <c r="D398" s="1426">
        <v>8548754</v>
      </c>
      <c r="E398" s="293"/>
      <c r="G398" s="396"/>
      <c r="I398" s="396"/>
      <c r="J398" s="396"/>
      <c r="K398" s="396"/>
      <c r="L398" s="396"/>
      <c r="M398" s="396"/>
      <c r="N398" s="396"/>
      <c r="O398" s="396"/>
      <c r="P398" s="396"/>
      <c r="Q398" s="396"/>
      <c r="R398" s="396"/>
      <c r="S398" s="396"/>
      <c r="T398" s="396"/>
    </row>
    <row r="399" spans="2:20">
      <c r="B399" s="274"/>
      <c r="C399" s="391"/>
      <c r="D399" s="544"/>
      <c r="E399" s="383"/>
      <c r="F399" s="293"/>
      <c r="I399" s="396"/>
      <c r="J399" s="396"/>
      <c r="K399" s="396"/>
      <c r="L399" s="396"/>
      <c r="M399" s="396"/>
      <c r="N399" s="396"/>
      <c r="O399" s="396"/>
      <c r="P399" s="396"/>
      <c r="Q399" s="396"/>
      <c r="R399" s="396"/>
      <c r="S399" s="396"/>
      <c r="T399" s="396"/>
    </row>
    <row r="400" spans="2:20">
      <c r="B400" s="274"/>
      <c r="C400" s="391"/>
      <c r="D400" s="544"/>
      <c r="E400" s="383"/>
      <c r="F400" s="293"/>
      <c r="H400" s="292">
        <v>88</v>
      </c>
      <c r="I400" s="396"/>
      <c r="J400" s="396"/>
      <c r="K400" s="396"/>
      <c r="L400" s="396"/>
      <c r="M400" s="396"/>
      <c r="N400" s="396"/>
      <c r="O400" s="396"/>
      <c r="P400" s="396"/>
      <c r="Q400" s="396"/>
      <c r="R400" s="396"/>
      <c r="S400" s="396"/>
      <c r="T400" s="396"/>
    </row>
    <row r="401" spans="2:20">
      <c r="B401" s="196"/>
      <c r="C401" s="391"/>
      <c r="D401" s="391"/>
      <c r="E401" s="545"/>
      <c r="F401" s="293"/>
      <c r="I401" s="396"/>
      <c r="J401" s="396"/>
      <c r="K401" s="396"/>
      <c r="L401" s="396"/>
      <c r="M401" s="396"/>
      <c r="N401" s="396"/>
      <c r="O401" s="396"/>
      <c r="P401" s="396"/>
      <c r="Q401" s="396"/>
      <c r="R401" s="396"/>
      <c r="S401" s="396"/>
      <c r="T401" s="396"/>
    </row>
    <row r="402" spans="2:20" ht="14.45">
      <c r="B402" s="3340" t="s">
        <v>420</v>
      </c>
      <c r="C402" s="3341"/>
      <c r="D402" s="3341"/>
      <c r="E402" s="3341"/>
      <c r="F402" s="3341"/>
      <c r="G402" s="3341"/>
      <c r="I402" s="396"/>
      <c r="J402" s="396"/>
      <c r="K402" s="396"/>
      <c r="L402" s="396"/>
      <c r="M402" s="396"/>
      <c r="N402" s="396"/>
      <c r="O402" s="396"/>
      <c r="P402" s="396"/>
      <c r="Q402" s="396"/>
      <c r="R402" s="396"/>
      <c r="S402" s="396"/>
      <c r="T402" s="396"/>
    </row>
    <row r="403" spans="2:20" ht="13.9" thickBot="1">
      <c r="B403" s="51"/>
      <c r="C403" s="51"/>
      <c r="D403" s="51"/>
      <c r="E403" s="51"/>
      <c r="F403" s="51"/>
      <c r="I403" s="396"/>
      <c r="J403" s="396"/>
      <c r="K403" s="396"/>
      <c r="L403" s="396"/>
      <c r="M403" s="396"/>
      <c r="N403" s="396"/>
      <c r="O403" s="396"/>
      <c r="P403" s="396"/>
      <c r="Q403" s="396"/>
      <c r="R403" s="396"/>
      <c r="S403" s="396"/>
      <c r="T403" s="396"/>
    </row>
    <row r="404" spans="2:20" ht="13.9" thickBot="1">
      <c r="B404" s="3344" t="s">
        <v>108</v>
      </c>
      <c r="C404" s="3345"/>
      <c r="D404" s="425"/>
      <c r="E404" s="532"/>
      <c r="F404" s="396"/>
      <c r="I404" s="396"/>
      <c r="J404" s="396"/>
      <c r="K404" s="396"/>
      <c r="L404" s="396"/>
      <c r="M404" s="396"/>
      <c r="N404" s="396"/>
      <c r="O404" s="396"/>
      <c r="P404" s="396"/>
      <c r="Q404" s="396"/>
      <c r="R404" s="396"/>
      <c r="S404" s="396"/>
      <c r="T404" s="396"/>
    </row>
    <row r="405" spans="2:20">
      <c r="B405" s="3284" t="s">
        <v>396</v>
      </c>
      <c r="C405" s="3346"/>
      <c r="D405" s="3283" t="s">
        <v>414</v>
      </c>
      <c r="E405" s="274"/>
      <c r="I405" s="396"/>
      <c r="J405" s="396"/>
      <c r="K405" s="396"/>
      <c r="L405" s="396"/>
      <c r="M405" s="396"/>
      <c r="N405" s="396"/>
      <c r="O405" s="396"/>
      <c r="P405" s="396"/>
      <c r="Q405" s="396"/>
      <c r="R405" s="396"/>
      <c r="S405" s="396"/>
      <c r="T405" s="396"/>
    </row>
    <row r="406" spans="2:20">
      <c r="B406" s="3284"/>
      <c r="C406" s="3346"/>
      <c r="D406" s="3284"/>
      <c r="E406" s="443"/>
      <c r="I406" s="396"/>
      <c r="J406" s="396"/>
      <c r="K406" s="396"/>
      <c r="L406" s="396"/>
      <c r="M406" s="396"/>
      <c r="N406" s="396"/>
      <c r="O406" s="396"/>
      <c r="P406" s="396"/>
      <c r="Q406" s="396"/>
      <c r="R406" s="396"/>
      <c r="S406" s="396"/>
      <c r="T406" s="396"/>
    </row>
    <row r="407" spans="2:20">
      <c r="B407" s="3285"/>
      <c r="C407" s="3347"/>
      <c r="D407" s="3285"/>
      <c r="E407" s="443"/>
      <c r="I407" s="396"/>
      <c r="J407" s="396"/>
      <c r="K407" s="396"/>
      <c r="L407" s="396"/>
      <c r="M407" s="396"/>
      <c r="N407" s="396"/>
      <c r="O407" s="396"/>
      <c r="P407" s="396"/>
      <c r="Q407" s="396"/>
      <c r="R407" s="396"/>
      <c r="S407" s="396"/>
      <c r="T407" s="396"/>
    </row>
    <row r="408" spans="2:20" ht="14.45">
      <c r="B408" s="1394"/>
      <c r="C408" s="1401" t="s">
        <v>275</v>
      </c>
      <c r="D408" s="2216"/>
      <c r="E408" s="293"/>
      <c r="I408" s="396"/>
      <c r="J408" s="396"/>
      <c r="K408" s="396"/>
      <c r="L408" s="396"/>
      <c r="M408" s="396"/>
      <c r="N408" s="396"/>
      <c r="O408" s="396"/>
      <c r="P408" s="396"/>
      <c r="Q408" s="396"/>
      <c r="R408" s="396"/>
      <c r="S408" s="396"/>
      <c r="T408" s="396"/>
    </row>
    <row r="409" spans="2:20">
      <c r="B409" s="1394">
        <v>1</v>
      </c>
      <c r="C409" s="2218" t="s">
        <v>276</v>
      </c>
      <c r="D409" s="741"/>
      <c r="E409" s="293"/>
      <c r="G409" s="396"/>
      <c r="I409" s="396"/>
      <c r="J409" s="396"/>
      <c r="K409" s="396"/>
      <c r="L409" s="396"/>
      <c r="M409" s="396"/>
      <c r="N409" s="396"/>
      <c r="O409" s="396"/>
      <c r="P409" s="396"/>
      <c r="Q409" s="396"/>
      <c r="R409" s="396"/>
      <c r="S409" s="396"/>
      <c r="T409" s="396"/>
    </row>
    <row r="410" spans="2:20">
      <c r="B410" s="1394">
        <v>2</v>
      </c>
      <c r="C410" s="2218" t="s">
        <v>277</v>
      </c>
      <c r="D410" s="742">
        <v>8620</v>
      </c>
      <c r="E410" s="293"/>
      <c r="G410" s="396"/>
      <c r="I410" s="396"/>
      <c r="J410" s="396"/>
      <c r="K410" s="396"/>
      <c r="L410" s="396"/>
      <c r="M410" s="396"/>
      <c r="N410" s="396"/>
      <c r="O410" s="396"/>
      <c r="P410" s="396"/>
      <c r="Q410" s="396"/>
      <c r="R410" s="396"/>
      <c r="S410" s="396"/>
      <c r="T410" s="396"/>
    </row>
    <row r="411" spans="2:20">
      <c r="B411" s="1394">
        <v>3</v>
      </c>
      <c r="C411" s="2218" t="s">
        <v>278</v>
      </c>
      <c r="D411" s="741"/>
      <c r="E411" s="293"/>
      <c r="G411" s="396"/>
      <c r="I411" s="396"/>
      <c r="J411" s="396"/>
      <c r="K411" s="396"/>
      <c r="L411" s="396"/>
      <c r="M411" s="396"/>
      <c r="N411" s="396"/>
      <c r="O411" s="396"/>
      <c r="P411" s="396"/>
      <c r="Q411" s="396"/>
      <c r="R411" s="396"/>
      <c r="S411" s="396"/>
      <c r="T411" s="396"/>
    </row>
    <row r="412" spans="2:20">
      <c r="B412" s="1394">
        <v>4</v>
      </c>
      <c r="C412" s="2220" t="s">
        <v>279</v>
      </c>
      <c r="D412" s="742"/>
      <c r="E412" s="293"/>
      <c r="G412" s="396"/>
      <c r="I412" s="396"/>
      <c r="J412" s="396"/>
      <c r="K412" s="396"/>
      <c r="L412" s="396"/>
      <c r="M412" s="396"/>
      <c r="N412" s="396"/>
      <c r="O412" s="396"/>
      <c r="P412" s="396"/>
      <c r="Q412" s="396"/>
      <c r="R412" s="396"/>
      <c r="S412" s="396"/>
      <c r="T412" s="396"/>
    </row>
    <row r="413" spans="2:20">
      <c r="B413" s="1394">
        <v>5</v>
      </c>
      <c r="C413" s="2218" t="s">
        <v>280</v>
      </c>
      <c r="D413" s="742">
        <v>112387</v>
      </c>
      <c r="E413" s="293"/>
      <c r="G413" s="396"/>
      <c r="I413" s="396"/>
      <c r="J413" s="396"/>
      <c r="K413" s="396"/>
      <c r="L413" s="396"/>
      <c r="M413" s="396"/>
      <c r="N413" s="396"/>
      <c r="O413" s="396"/>
      <c r="P413" s="396"/>
      <c r="Q413" s="396"/>
      <c r="R413" s="396"/>
      <c r="S413" s="396"/>
      <c r="T413" s="396"/>
    </row>
    <row r="414" spans="2:20">
      <c r="B414" s="1394">
        <v>6</v>
      </c>
      <c r="C414" s="2218" t="s">
        <v>281</v>
      </c>
      <c r="D414" s="741"/>
      <c r="E414" s="293"/>
      <c r="G414" s="396"/>
      <c r="I414" s="396"/>
      <c r="J414" s="396"/>
      <c r="K414" s="396"/>
      <c r="L414" s="396"/>
      <c r="M414" s="396"/>
      <c r="N414" s="396"/>
      <c r="O414" s="396"/>
      <c r="P414" s="396"/>
      <c r="Q414" s="396"/>
      <c r="R414" s="396"/>
      <c r="S414" s="396"/>
      <c r="T414" s="396"/>
    </row>
    <row r="415" spans="2:20">
      <c r="B415" s="1394">
        <v>7</v>
      </c>
      <c r="C415" s="2218" t="s">
        <v>282</v>
      </c>
      <c r="D415" s="741"/>
      <c r="E415" s="293"/>
      <c r="G415" s="396"/>
      <c r="I415" s="396"/>
      <c r="J415" s="396"/>
      <c r="K415" s="396"/>
      <c r="L415" s="396"/>
      <c r="M415" s="396"/>
      <c r="N415" s="396"/>
      <c r="O415" s="396"/>
      <c r="P415" s="396"/>
      <c r="Q415" s="396"/>
      <c r="R415" s="396"/>
      <c r="S415" s="396"/>
      <c r="T415" s="396"/>
    </row>
    <row r="416" spans="2:20" ht="18.75" customHeight="1">
      <c r="B416" s="1394"/>
      <c r="C416" s="2203" t="s">
        <v>416</v>
      </c>
      <c r="D416" s="741"/>
      <c r="E416" s="293"/>
      <c r="G416" s="396"/>
      <c r="I416" s="396"/>
      <c r="J416" s="396"/>
      <c r="K416" s="396"/>
      <c r="L416" s="396"/>
      <c r="M416" s="396"/>
      <c r="N416" s="396"/>
      <c r="O416" s="396"/>
      <c r="P416" s="396"/>
      <c r="Q416" s="396"/>
      <c r="R416" s="396"/>
      <c r="S416" s="396"/>
      <c r="T416" s="396"/>
    </row>
    <row r="417" spans="2:20">
      <c r="B417" s="1394"/>
      <c r="C417" s="2203" t="s">
        <v>417</v>
      </c>
      <c r="D417" s="741"/>
      <c r="E417" s="293"/>
      <c r="G417" s="396"/>
      <c r="I417" s="396"/>
      <c r="J417" s="396"/>
      <c r="K417" s="396"/>
      <c r="L417" s="396"/>
      <c r="M417" s="396"/>
      <c r="N417" s="396"/>
      <c r="O417" s="396"/>
      <c r="P417" s="396"/>
      <c r="Q417" s="396"/>
      <c r="R417" s="396"/>
      <c r="S417" s="396"/>
      <c r="T417" s="396"/>
    </row>
    <row r="418" spans="2:20">
      <c r="B418" s="1394">
        <v>8</v>
      </c>
      <c r="C418" s="2218" t="s">
        <v>285</v>
      </c>
      <c r="D418" s="742"/>
      <c r="E418" s="293"/>
      <c r="G418" s="396"/>
      <c r="I418" s="396"/>
      <c r="J418" s="396"/>
      <c r="K418" s="396"/>
      <c r="L418" s="396"/>
      <c r="M418" s="396"/>
      <c r="N418" s="396"/>
      <c r="O418" s="396"/>
      <c r="P418" s="396"/>
      <c r="Q418" s="396"/>
      <c r="R418" s="396"/>
      <c r="S418" s="396"/>
      <c r="T418" s="396"/>
    </row>
    <row r="419" spans="2:20">
      <c r="B419" s="1394"/>
      <c r="C419" s="2203" t="s">
        <v>418</v>
      </c>
      <c r="D419" s="741"/>
      <c r="E419" s="293"/>
      <c r="G419" s="396"/>
      <c r="I419" s="396"/>
      <c r="J419" s="396"/>
      <c r="K419" s="396"/>
      <c r="L419" s="396"/>
      <c r="M419" s="396"/>
      <c r="N419" s="396"/>
      <c r="O419" s="396"/>
      <c r="P419" s="396"/>
      <c r="Q419" s="396"/>
      <c r="R419" s="396"/>
      <c r="S419" s="396"/>
      <c r="T419" s="396"/>
    </row>
    <row r="420" spans="2:20">
      <c r="B420" s="1394"/>
      <c r="C420" s="2203" t="s">
        <v>419</v>
      </c>
      <c r="D420" s="742">
        <v>67772</v>
      </c>
      <c r="E420" s="293"/>
      <c r="G420" s="396"/>
      <c r="I420" s="396"/>
      <c r="J420" s="396"/>
      <c r="K420" s="396"/>
      <c r="L420" s="396"/>
      <c r="M420" s="396"/>
      <c r="N420" s="396"/>
      <c r="O420" s="396"/>
      <c r="P420" s="396"/>
      <c r="Q420" s="396"/>
      <c r="R420" s="396"/>
      <c r="S420" s="396"/>
      <c r="T420" s="396"/>
    </row>
    <row r="421" spans="2:20" ht="26.45">
      <c r="B421" s="1396">
        <v>9</v>
      </c>
      <c r="C421" s="2212" t="s">
        <v>288</v>
      </c>
      <c r="D421" s="743">
        <v>9001774</v>
      </c>
      <c r="G421" s="396"/>
      <c r="I421" s="396"/>
      <c r="J421" s="396"/>
      <c r="K421" s="396"/>
      <c r="L421" s="396"/>
      <c r="M421" s="396"/>
      <c r="N421" s="396"/>
      <c r="O421" s="396"/>
      <c r="P421" s="396"/>
      <c r="Q421" s="396"/>
      <c r="R421" s="396"/>
      <c r="S421" s="396"/>
    </row>
    <row r="422" spans="2:20">
      <c r="B422" s="1394">
        <v>10</v>
      </c>
      <c r="C422" s="2203" t="s">
        <v>289</v>
      </c>
      <c r="D422" s="741"/>
      <c r="E422" s="293"/>
      <c r="G422" s="396"/>
      <c r="I422" s="396"/>
      <c r="J422" s="396"/>
      <c r="K422" s="396"/>
      <c r="L422" s="396"/>
      <c r="M422" s="396"/>
      <c r="N422" s="396"/>
      <c r="O422" s="396"/>
      <c r="P422" s="396"/>
      <c r="Q422" s="396"/>
      <c r="R422" s="396"/>
      <c r="S422" s="396"/>
      <c r="T422" s="396"/>
    </row>
    <row r="423" spans="2:20">
      <c r="B423" s="1394">
        <v>11</v>
      </c>
      <c r="C423" s="2203" t="s">
        <v>290</v>
      </c>
      <c r="D423" s="742">
        <v>3455748</v>
      </c>
      <c r="E423" s="293"/>
      <c r="G423" s="396"/>
      <c r="I423" s="396"/>
      <c r="J423" s="396"/>
      <c r="K423" s="396"/>
      <c r="L423" s="396"/>
      <c r="M423" s="396"/>
      <c r="N423" s="396"/>
      <c r="O423" s="396"/>
      <c r="P423" s="396"/>
      <c r="Q423" s="396"/>
      <c r="R423" s="396"/>
      <c r="S423" s="396"/>
      <c r="T423" s="396"/>
    </row>
    <row r="424" spans="2:20">
      <c r="B424" s="1394">
        <v>12</v>
      </c>
      <c r="C424" s="2203" t="s">
        <v>291</v>
      </c>
      <c r="D424" s="742">
        <v>5546026</v>
      </c>
      <c r="E424" s="293"/>
      <c r="G424" s="396"/>
      <c r="I424" s="396"/>
      <c r="J424" s="396"/>
      <c r="K424" s="396"/>
      <c r="L424" s="396"/>
      <c r="M424" s="396"/>
      <c r="N424" s="396"/>
      <c r="O424" s="396"/>
      <c r="P424" s="396"/>
      <c r="Q424" s="396"/>
      <c r="R424" s="396"/>
      <c r="S424" s="396"/>
      <c r="T424" s="396"/>
    </row>
    <row r="425" spans="2:20" ht="26.45">
      <c r="B425" s="1394">
        <v>13</v>
      </c>
      <c r="C425" s="2203" t="s">
        <v>292</v>
      </c>
      <c r="D425" s="742"/>
      <c r="E425" s="293"/>
      <c r="G425" s="396"/>
      <c r="I425" s="396"/>
      <c r="J425" s="396"/>
      <c r="K425" s="396"/>
      <c r="L425" s="396"/>
      <c r="M425" s="396"/>
      <c r="N425" s="396"/>
      <c r="O425" s="396"/>
      <c r="P425" s="396"/>
      <c r="Q425" s="396"/>
      <c r="R425" s="396"/>
      <c r="S425" s="396"/>
      <c r="T425" s="396"/>
    </row>
    <row r="426" spans="2:20">
      <c r="B426" s="1394">
        <v>14</v>
      </c>
      <c r="C426" s="2204" t="s">
        <v>293</v>
      </c>
      <c r="D426" s="741"/>
      <c r="E426" s="293"/>
      <c r="G426" s="396"/>
      <c r="I426" s="396"/>
      <c r="J426" s="396"/>
      <c r="K426" s="396"/>
      <c r="L426" s="396"/>
      <c r="M426" s="396"/>
      <c r="N426" s="396"/>
      <c r="O426" s="396"/>
      <c r="P426" s="396"/>
      <c r="Q426" s="396"/>
      <c r="R426" s="396"/>
      <c r="S426" s="396"/>
      <c r="T426" s="396"/>
    </row>
    <row r="427" spans="2:20">
      <c r="B427" s="1394">
        <v>15</v>
      </c>
      <c r="C427" s="2204" t="s">
        <v>294</v>
      </c>
      <c r="D427" s="742">
        <v>895453</v>
      </c>
      <c r="E427" s="293"/>
      <c r="G427" s="396"/>
      <c r="I427" s="396"/>
      <c r="J427" s="396"/>
      <c r="K427" s="396"/>
      <c r="L427" s="396"/>
      <c r="M427" s="396"/>
      <c r="N427" s="396"/>
      <c r="O427" s="396"/>
      <c r="P427" s="396"/>
      <c r="Q427" s="396"/>
      <c r="R427" s="396"/>
      <c r="S427" s="396"/>
      <c r="T427" s="396"/>
    </row>
    <row r="428" spans="2:20">
      <c r="B428" s="1394">
        <v>16</v>
      </c>
      <c r="C428" s="2204" t="s">
        <v>295</v>
      </c>
      <c r="D428" s="742">
        <v>2076580</v>
      </c>
      <c r="E428" s="293"/>
      <c r="G428" s="396"/>
      <c r="I428" s="396"/>
      <c r="J428" s="396"/>
      <c r="K428" s="396"/>
      <c r="L428" s="396"/>
      <c r="M428" s="396"/>
      <c r="N428" s="396"/>
      <c r="O428" s="396"/>
      <c r="P428" s="396"/>
      <c r="Q428" s="396"/>
      <c r="R428" s="396"/>
      <c r="S428" s="396"/>
      <c r="T428" s="396"/>
    </row>
    <row r="429" spans="2:20">
      <c r="B429" s="1394">
        <v>17</v>
      </c>
      <c r="C429" s="2204" t="s">
        <v>296</v>
      </c>
      <c r="D429" s="742">
        <v>526307</v>
      </c>
      <c r="E429" s="293"/>
      <c r="G429" s="396"/>
      <c r="I429" s="396"/>
      <c r="J429" s="396"/>
      <c r="K429" s="396"/>
      <c r="L429" s="396"/>
      <c r="M429" s="396"/>
      <c r="N429" s="396"/>
      <c r="O429" s="396"/>
      <c r="P429" s="396"/>
      <c r="Q429" s="396"/>
      <c r="R429" s="396"/>
      <c r="S429" s="396"/>
      <c r="T429" s="396"/>
    </row>
    <row r="430" spans="2:20">
      <c r="B430" s="1394">
        <v>18</v>
      </c>
      <c r="C430" s="2204" t="s">
        <v>297</v>
      </c>
      <c r="D430" s="742">
        <v>219119</v>
      </c>
      <c r="E430" s="293"/>
      <c r="G430" s="396"/>
      <c r="I430" s="396"/>
      <c r="J430" s="396"/>
      <c r="K430" s="396"/>
      <c r="L430" s="396"/>
      <c r="M430" s="396"/>
      <c r="N430" s="396"/>
      <c r="O430" s="396"/>
      <c r="P430" s="396"/>
      <c r="Q430" s="396"/>
      <c r="R430" s="396"/>
      <c r="S430" s="396"/>
      <c r="T430" s="396"/>
    </row>
    <row r="431" spans="2:20" ht="13.9" thickBot="1">
      <c r="B431" s="1394">
        <v>19</v>
      </c>
      <c r="C431" s="2205" t="s">
        <v>298</v>
      </c>
      <c r="D431" s="744">
        <v>460603</v>
      </c>
      <c r="E431" s="293"/>
      <c r="G431" s="396"/>
      <c r="I431" s="396"/>
      <c r="J431" s="396"/>
      <c r="K431" s="396"/>
      <c r="L431" s="396"/>
      <c r="M431" s="396"/>
      <c r="N431" s="396"/>
      <c r="O431" s="396"/>
      <c r="P431" s="396"/>
      <c r="Q431" s="396"/>
      <c r="R431" s="396"/>
      <c r="S431" s="396"/>
      <c r="T431" s="396"/>
    </row>
    <row r="432" spans="2:20" ht="27" thickBot="1">
      <c r="B432" s="1406">
        <v>20</v>
      </c>
      <c r="C432" s="1425" t="s">
        <v>299</v>
      </c>
      <c r="D432" s="1426">
        <v>13368614</v>
      </c>
      <c r="E432" s="293"/>
      <c r="G432" s="396"/>
      <c r="I432" s="396"/>
      <c r="J432" s="396"/>
      <c r="K432" s="396"/>
      <c r="L432" s="396"/>
      <c r="M432" s="396"/>
      <c r="N432" s="396"/>
      <c r="O432" s="396"/>
      <c r="P432" s="396"/>
      <c r="Q432" s="396"/>
      <c r="R432" s="396"/>
      <c r="S432" s="396"/>
      <c r="T432" s="396"/>
    </row>
    <row r="433" spans="2:20">
      <c r="B433" s="1394"/>
      <c r="C433" s="1398" t="s">
        <v>300</v>
      </c>
      <c r="D433" s="741"/>
      <c r="E433" s="293"/>
      <c r="G433" s="396"/>
      <c r="I433" s="396"/>
      <c r="J433" s="396"/>
      <c r="K433" s="396"/>
      <c r="L433" s="396"/>
      <c r="M433" s="396"/>
      <c r="N433" s="396"/>
      <c r="O433" s="396"/>
      <c r="P433" s="396"/>
      <c r="Q433" s="396"/>
      <c r="R433" s="396"/>
      <c r="S433" s="396"/>
      <c r="T433" s="396"/>
    </row>
    <row r="434" spans="2:20">
      <c r="B434" s="1394"/>
      <c r="C434" s="2219" t="s">
        <v>301</v>
      </c>
      <c r="D434" s="741"/>
      <c r="E434" s="293"/>
      <c r="G434" s="396"/>
      <c r="I434" s="396"/>
      <c r="J434" s="396"/>
      <c r="K434" s="396"/>
      <c r="L434" s="396"/>
      <c r="M434" s="396"/>
      <c r="N434" s="396"/>
      <c r="O434" s="396"/>
      <c r="P434" s="396"/>
      <c r="Q434" s="396"/>
      <c r="R434" s="396"/>
      <c r="S434" s="396"/>
      <c r="T434" s="396"/>
    </row>
    <row r="435" spans="2:20">
      <c r="B435" s="1394">
        <v>21</v>
      </c>
      <c r="C435" s="2204" t="s">
        <v>302</v>
      </c>
      <c r="D435" s="742">
        <v>6865857</v>
      </c>
      <c r="E435" s="293"/>
      <c r="G435" s="396"/>
      <c r="I435" s="396"/>
      <c r="J435" s="396"/>
      <c r="K435" s="396"/>
      <c r="L435" s="396"/>
      <c r="M435" s="396"/>
      <c r="N435" s="396"/>
      <c r="O435" s="396"/>
      <c r="P435" s="396"/>
      <c r="Q435" s="396"/>
      <c r="R435" s="396"/>
      <c r="S435" s="396"/>
      <c r="T435" s="396"/>
    </row>
    <row r="436" spans="2:20">
      <c r="B436" s="1394">
        <v>22</v>
      </c>
      <c r="C436" s="2204" t="s">
        <v>303</v>
      </c>
      <c r="D436" s="742"/>
      <c r="E436" s="293"/>
      <c r="G436" s="396"/>
      <c r="I436" s="396"/>
      <c r="J436" s="396"/>
      <c r="K436" s="396"/>
      <c r="L436" s="396"/>
      <c r="M436" s="396"/>
      <c r="N436" s="396"/>
      <c r="O436" s="396"/>
      <c r="P436" s="396"/>
      <c r="Q436" s="396"/>
      <c r="R436" s="396"/>
      <c r="S436" s="396"/>
      <c r="T436" s="396"/>
    </row>
    <row r="437" spans="2:20">
      <c r="B437" s="1394">
        <v>23</v>
      </c>
      <c r="C437" s="2204" t="s">
        <v>304</v>
      </c>
      <c r="D437" s="742">
        <v>642778</v>
      </c>
      <c r="E437" s="293"/>
      <c r="G437" s="396"/>
      <c r="I437" s="396"/>
      <c r="J437" s="396"/>
      <c r="K437" s="396"/>
      <c r="L437" s="396"/>
      <c r="M437" s="396"/>
      <c r="N437" s="396"/>
      <c r="O437" s="396"/>
      <c r="P437" s="396"/>
      <c r="Q437" s="396"/>
      <c r="R437" s="396"/>
      <c r="S437" s="396"/>
      <c r="T437" s="396"/>
    </row>
    <row r="438" spans="2:20">
      <c r="B438" s="1394">
        <v>24</v>
      </c>
      <c r="C438" s="2204" t="s">
        <v>305</v>
      </c>
      <c r="D438" s="742"/>
      <c r="E438" s="293"/>
      <c r="G438" s="396"/>
      <c r="I438" s="396"/>
      <c r="J438" s="396"/>
      <c r="K438" s="396"/>
      <c r="L438" s="396"/>
      <c r="M438" s="396"/>
      <c r="N438" s="396"/>
      <c r="O438" s="396"/>
      <c r="P438" s="396"/>
      <c r="Q438" s="396"/>
      <c r="R438" s="396"/>
      <c r="S438" s="396"/>
      <c r="T438" s="396"/>
    </row>
    <row r="439" spans="2:20">
      <c r="B439" s="1394">
        <v>25</v>
      </c>
      <c r="C439" s="2203" t="s">
        <v>306</v>
      </c>
      <c r="D439" s="742"/>
      <c r="E439" s="293"/>
      <c r="G439" s="396"/>
      <c r="I439" s="396"/>
      <c r="J439" s="396"/>
      <c r="K439" s="396"/>
      <c r="L439" s="396"/>
      <c r="M439" s="396"/>
      <c r="N439" s="396"/>
      <c r="O439" s="396"/>
      <c r="P439" s="396"/>
      <c r="Q439" s="396"/>
      <c r="R439" s="396"/>
      <c r="S439" s="396"/>
      <c r="T439" s="396"/>
    </row>
    <row r="440" spans="2:20" ht="13.9" thickBot="1">
      <c r="B440" s="1394">
        <v>26</v>
      </c>
      <c r="C440" s="2205" t="s">
        <v>307</v>
      </c>
      <c r="D440" s="744">
        <v>2247081</v>
      </c>
      <c r="E440" s="293"/>
      <c r="G440" s="396"/>
      <c r="I440" s="396"/>
      <c r="J440" s="396"/>
      <c r="K440" s="396"/>
      <c r="L440" s="396"/>
      <c r="M440" s="396"/>
      <c r="N440" s="396"/>
      <c r="O440" s="396"/>
      <c r="P440" s="396"/>
      <c r="Q440" s="396"/>
      <c r="R440" s="396"/>
      <c r="S440" s="396"/>
      <c r="T440" s="396"/>
    </row>
    <row r="441" spans="2:20" ht="27" thickBot="1">
      <c r="B441" s="1397">
        <v>27</v>
      </c>
      <c r="C441" s="1419" t="s">
        <v>308</v>
      </c>
      <c r="D441" s="745">
        <v>9755716</v>
      </c>
      <c r="E441" s="293"/>
      <c r="G441" s="396"/>
      <c r="I441" s="396"/>
      <c r="J441" s="396"/>
      <c r="K441" s="396"/>
      <c r="L441" s="396"/>
      <c r="M441" s="396"/>
      <c r="N441" s="396"/>
      <c r="O441" s="396"/>
      <c r="P441" s="396"/>
      <c r="Q441" s="396"/>
      <c r="R441" s="396"/>
      <c r="S441" s="396"/>
      <c r="T441" s="396"/>
    </row>
    <row r="442" spans="2:20">
      <c r="B442" s="1394"/>
      <c r="C442" s="1398" t="s">
        <v>309</v>
      </c>
      <c r="D442" s="741"/>
      <c r="E442" s="293"/>
      <c r="G442" s="396"/>
      <c r="I442" s="396"/>
      <c r="J442" s="396"/>
      <c r="K442" s="396"/>
      <c r="L442" s="396"/>
      <c r="M442" s="396"/>
      <c r="N442" s="396"/>
      <c r="O442" s="396"/>
      <c r="P442" s="396"/>
      <c r="Q442" s="396"/>
      <c r="R442" s="396"/>
      <c r="S442" s="396"/>
      <c r="T442" s="396"/>
    </row>
    <row r="443" spans="2:20">
      <c r="B443" s="1394">
        <v>28</v>
      </c>
      <c r="C443" s="2218" t="s">
        <v>310</v>
      </c>
      <c r="D443" s="742">
        <v>800000</v>
      </c>
      <c r="E443" s="527"/>
      <c r="G443" s="396"/>
      <c r="I443" s="396"/>
      <c r="J443" s="396"/>
      <c r="K443" s="396"/>
      <c r="L443" s="396"/>
      <c r="M443" s="396"/>
      <c r="N443" s="396"/>
      <c r="O443" s="396"/>
      <c r="P443" s="396"/>
      <c r="Q443" s="396"/>
      <c r="R443" s="396"/>
      <c r="S443" s="396"/>
      <c r="T443" s="396"/>
    </row>
    <row r="444" spans="2:20">
      <c r="B444" s="1394">
        <v>29</v>
      </c>
      <c r="C444" s="2218" t="s">
        <v>311</v>
      </c>
      <c r="D444" s="742">
        <v>-1603018</v>
      </c>
      <c r="E444" s="293"/>
      <c r="G444" s="396"/>
      <c r="I444" s="396"/>
      <c r="J444" s="396"/>
      <c r="K444" s="396"/>
      <c r="L444" s="396"/>
      <c r="M444" s="396"/>
      <c r="N444" s="396"/>
      <c r="O444" s="396"/>
      <c r="P444" s="396"/>
      <c r="Q444" s="396"/>
      <c r="R444" s="396"/>
      <c r="S444" s="396"/>
      <c r="T444" s="396"/>
    </row>
    <row r="445" spans="2:20">
      <c r="B445" s="1394">
        <v>30</v>
      </c>
      <c r="C445" s="2207" t="s">
        <v>312</v>
      </c>
      <c r="D445" s="741"/>
      <c r="E445" s="293"/>
      <c r="G445" s="396"/>
      <c r="I445" s="396"/>
      <c r="J445" s="396"/>
      <c r="K445" s="396"/>
      <c r="L445" s="396"/>
      <c r="M445" s="396"/>
      <c r="N445" s="396"/>
      <c r="O445" s="396"/>
      <c r="P445" s="396"/>
      <c r="Q445" s="396"/>
      <c r="R445" s="396"/>
      <c r="S445" s="396"/>
      <c r="T445" s="396"/>
    </row>
    <row r="446" spans="2:20" ht="13.9" thickBot="1">
      <c r="B446" s="1394">
        <v>31</v>
      </c>
      <c r="C446" s="2207" t="s">
        <v>314</v>
      </c>
      <c r="D446" s="744">
        <v>4415920</v>
      </c>
      <c r="E446" s="293"/>
      <c r="G446" s="396"/>
      <c r="I446" s="396"/>
      <c r="J446" s="396"/>
      <c r="K446" s="396"/>
      <c r="L446" s="396"/>
      <c r="M446" s="396"/>
      <c r="N446" s="396"/>
      <c r="O446" s="396"/>
      <c r="P446" s="396"/>
      <c r="Q446" s="396"/>
      <c r="R446" s="396"/>
      <c r="S446" s="396"/>
      <c r="T446" s="396"/>
    </row>
    <row r="447" spans="2:20" ht="13.9" thickBot="1">
      <c r="B447" s="1397">
        <v>32</v>
      </c>
      <c r="C447" s="1419" t="s">
        <v>315</v>
      </c>
      <c r="D447" s="745">
        <v>3612902</v>
      </c>
      <c r="E447" s="293"/>
      <c r="G447" s="396"/>
      <c r="I447" s="396"/>
      <c r="J447" s="396"/>
      <c r="K447" s="396"/>
      <c r="L447" s="396"/>
      <c r="M447" s="396"/>
      <c r="N447" s="396"/>
      <c r="O447" s="396"/>
      <c r="P447" s="396"/>
      <c r="Q447" s="396"/>
      <c r="R447" s="396"/>
      <c r="S447" s="396"/>
      <c r="T447" s="396"/>
    </row>
    <row r="448" spans="2:20" ht="27" thickBot="1">
      <c r="B448" s="1429">
        <v>33</v>
      </c>
      <c r="C448" s="1425" t="s">
        <v>317</v>
      </c>
      <c r="D448" s="1426">
        <v>13368619</v>
      </c>
      <c r="E448" s="293"/>
      <c r="G448" s="396"/>
      <c r="I448" s="396"/>
      <c r="J448" s="396"/>
      <c r="K448" s="396"/>
      <c r="L448" s="396"/>
      <c r="M448" s="396"/>
      <c r="N448" s="396"/>
      <c r="O448" s="396"/>
      <c r="P448" s="396"/>
      <c r="Q448" s="396"/>
      <c r="R448" s="396"/>
      <c r="S448" s="396"/>
      <c r="T448" s="396"/>
    </row>
    <row r="449" spans="2:20">
      <c r="B449" s="196"/>
      <c r="C449" s="391"/>
      <c r="D449" s="544"/>
      <c r="E449" s="383" t="s">
        <v>1</v>
      </c>
      <c r="F449" s="293"/>
      <c r="I449" s="396"/>
      <c r="J449" s="396"/>
      <c r="K449" s="396"/>
      <c r="L449" s="396"/>
      <c r="M449" s="396"/>
      <c r="N449" s="396"/>
      <c r="O449" s="396"/>
      <c r="P449" s="396"/>
      <c r="Q449" s="396"/>
      <c r="R449" s="396"/>
      <c r="S449" s="396"/>
      <c r="T449" s="396"/>
    </row>
    <row r="450" spans="2:20">
      <c r="B450" s="196"/>
      <c r="C450" s="391"/>
      <c r="D450" s="544"/>
      <c r="E450" s="383"/>
      <c r="F450" s="293"/>
      <c r="H450" s="292">
        <v>89</v>
      </c>
      <c r="I450" s="396"/>
      <c r="J450" s="396"/>
      <c r="K450" s="396"/>
      <c r="L450" s="396"/>
      <c r="M450" s="396"/>
      <c r="N450" s="396"/>
      <c r="O450" s="396"/>
      <c r="P450" s="396"/>
      <c r="Q450" s="396"/>
      <c r="R450" s="396"/>
      <c r="S450" s="396"/>
      <c r="T450" s="396"/>
    </row>
    <row r="451" spans="2:20">
      <c r="B451" s="196"/>
      <c r="C451" s="391"/>
      <c r="D451" s="544"/>
      <c r="E451" s="383"/>
      <c r="F451" s="293"/>
      <c r="I451" s="396"/>
      <c r="J451" s="396"/>
      <c r="K451" s="396"/>
      <c r="L451" s="396"/>
      <c r="M451" s="396"/>
      <c r="N451" s="396"/>
      <c r="O451" s="396"/>
      <c r="P451" s="396"/>
      <c r="Q451" s="396"/>
      <c r="R451" s="396"/>
      <c r="S451" s="396"/>
      <c r="T451" s="396"/>
    </row>
    <row r="452" spans="2:20" ht="14.45">
      <c r="B452" s="3340" t="s">
        <v>420</v>
      </c>
      <c r="C452" s="3341"/>
      <c r="D452" s="3341"/>
      <c r="E452" s="3341"/>
      <c r="F452" s="3341"/>
      <c r="G452" s="3341"/>
      <c r="I452" s="396"/>
      <c r="J452" s="396"/>
      <c r="K452" s="396"/>
      <c r="L452" s="396"/>
      <c r="M452" s="396"/>
      <c r="N452" s="396"/>
      <c r="O452" s="396"/>
      <c r="P452" s="396"/>
      <c r="Q452" s="396"/>
      <c r="R452" s="396"/>
      <c r="S452" s="396"/>
      <c r="T452" s="396"/>
    </row>
    <row r="453" spans="2:20" ht="13.9" thickBot="1">
      <c r="B453" s="51"/>
      <c r="C453" s="51"/>
      <c r="D453" s="51"/>
      <c r="E453" s="51"/>
      <c r="F453" s="51"/>
      <c r="I453" s="396"/>
      <c r="J453" s="396"/>
      <c r="K453" s="396"/>
      <c r="L453" s="396"/>
      <c r="M453" s="396"/>
      <c r="N453" s="396"/>
      <c r="O453" s="396"/>
      <c r="P453" s="396"/>
      <c r="Q453" s="396"/>
      <c r="R453" s="396"/>
      <c r="S453" s="396"/>
      <c r="T453" s="396"/>
    </row>
    <row r="454" spans="2:20" ht="13.9" thickBot="1">
      <c r="B454" s="3344" t="s">
        <v>109</v>
      </c>
      <c r="C454" s="3345"/>
      <c r="D454" s="425"/>
      <c r="E454" s="532"/>
      <c r="F454" s="396"/>
      <c r="I454" s="396"/>
      <c r="J454" s="396"/>
      <c r="K454" s="396"/>
      <c r="L454" s="396"/>
      <c r="M454" s="396"/>
      <c r="N454" s="396"/>
      <c r="O454" s="396"/>
      <c r="P454" s="396"/>
      <c r="Q454" s="396"/>
      <c r="R454" s="396"/>
      <c r="S454" s="396"/>
      <c r="T454" s="396"/>
    </row>
    <row r="455" spans="2:20">
      <c r="B455" s="3283" t="s">
        <v>396</v>
      </c>
      <c r="C455" s="3349"/>
      <c r="D455" s="3283" t="s">
        <v>414</v>
      </c>
      <c r="E455" s="274"/>
      <c r="I455" s="396"/>
      <c r="J455" s="396"/>
      <c r="K455" s="396"/>
      <c r="L455" s="396"/>
      <c r="M455" s="396"/>
      <c r="N455" s="396"/>
      <c r="O455" s="396"/>
      <c r="P455" s="396"/>
      <c r="Q455" s="396"/>
      <c r="R455" s="396"/>
      <c r="S455" s="396"/>
      <c r="T455" s="396"/>
    </row>
    <row r="456" spans="2:20">
      <c r="B456" s="3284"/>
      <c r="C456" s="3342"/>
      <c r="D456" s="3284"/>
      <c r="E456" s="443"/>
      <c r="I456" s="396"/>
      <c r="J456" s="396"/>
      <c r="K456" s="396"/>
      <c r="L456" s="396"/>
      <c r="M456" s="396"/>
      <c r="N456" s="396"/>
      <c r="O456" s="396"/>
      <c r="P456" s="396"/>
      <c r="Q456" s="396"/>
      <c r="R456" s="396"/>
      <c r="S456" s="396"/>
      <c r="T456" s="396"/>
    </row>
    <row r="457" spans="2:20">
      <c r="B457" s="3285"/>
      <c r="C457" s="3343"/>
      <c r="D457" s="3285"/>
      <c r="E457" s="443"/>
      <c r="I457" s="396"/>
      <c r="J457" s="396"/>
      <c r="K457" s="396"/>
      <c r="L457" s="396"/>
      <c r="M457" s="396"/>
      <c r="N457" s="396"/>
      <c r="O457" s="396"/>
      <c r="P457" s="396"/>
      <c r="Q457" s="396"/>
      <c r="R457" s="396"/>
      <c r="S457" s="396"/>
      <c r="T457" s="396"/>
    </row>
    <row r="458" spans="2:20" ht="14.45">
      <c r="B458" s="1394"/>
      <c r="C458" s="1401" t="s">
        <v>275</v>
      </c>
      <c r="D458" s="709"/>
      <c r="E458" s="293"/>
      <c r="I458" s="396"/>
      <c r="J458" s="396"/>
      <c r="K458" s="396"/>
      <c r="L458" s="396"/>
      <c r="M458" s="396"/>
      <c r="N458" s="396"/>
      <c r="O458" s="396"/>
      <c r="P458" s="396"/>
      <c r="Q458" s="396"/>
      <c r="R458" s="396"/>
      <c r="S458" s="396"/>
      <c r="T458" s="396"/>
    </row>
    <row r="459" spans="2:20" ht="14.45">
      <c r="B459" s="1394">
        <v>1</v>
      </c>
      <c r="C459" s="2218" t="s">
        <v>276</v>
      </c>
      <c r="D459" s="710"/>
      <c r="E459" s="293"/>
      <c r="G459" s="396"/>
      <c r="I459" s="396"/>
      <c r="J459" s="396"/>
      <c r="K459" s="396"/>
      <c r="L459" s="396"/>
      <c r="M459" s="396"/>
      <c r="N459" s="396"/>
      <c r="O459" s="396"/>
      <c r="P459" s="396"/>
      <c r="Q459" s="396"/>
      <c r="R459" s="396"/>
      <c r="S459" s="396"/>
      <c r="T459" s="396"/>
    </row>
    <row r="460" spans="2:20">
      <c r="B460" s="1394">
        <v>2</v>
      </c>
      <c r="C460" s="2218" t="s">
        <v>277</v>
      </c>
      <c r="D460" s="684"/>
      <c r="E460" s="293"/>
      <c r="G460" s="396"/>
      <c r="I460" s="396"/>
      <c r="J460" s="396"/>
      <c r="K460" s="396"/>
      <c r="L460" s="396"/>
      <c r="M460" s="396"/>
      <c r="N460" s="396"/>
      <c r="O460" s="396"/>
      <c r="P460" s="396"/>
      <c r="Q460" s="396"/>
      <c r="R460" s="396"/>
      <c r="S460" s="396"/>
      <c r="T460" s="396"/>
    </row>
    <row r="461" spans="2:20">
      <c r="B461" s="1394">
        <v>3</v>
      </c>
      <c r="C461" s="2218" t="s">
        <v>278</v>
      </c>
      <c r="D461" s="684"/>
      <c r="E461" s="293"/>
      <c r="G461" s="396"/>
      <c r="I461" s="396"/>
      <c r="J461" s="396"/>
      <c r="K461" s="396"/>
      <c r="L461" s="396"/>
      <c r="M461" s="396"/>
      <c r="N461" s="396"/>
      <c r="O461" s="396"/>
      <c r="P461" s="396"/>
      <c r="Q461" s="396"/>
      <c r="R461" s="396"/>
      <c r="S461" s="396"/>
      <c r="T461" s="396"/>
    </row>
    <row r="462" spans="2:20">
      <c r="B462" s="1394">
        <v>4</v>
      </c>
      <c r="C462" s="2220" t="s">
        <v>279</v>
      </c>
      <c r="D462" s="684"/>
      <c r="E462" s="293"/>
      <c r="G462" s="396"/>
      <c r="I462" s="396"/>
      <c r="J462" s="396"/>
      <c r="K462" s="396"/>
      <c r="L462" s="396"/>
      <c r="M462" s="396"/>
      <c r="N462" s="396"/>
      <c r="O462" s="396"/>
      <c r="P462" s="396"/>
      <c r="Q462" s="396"/>
      <c r="R462" s="396"/>
      <c r="S462" s="396"/>
      <c r="T462" s="396"/>
    </row>
    <row r="463" spans="2:20">
      <c r="B463" s="1394">
        <v>5</v>
      </c>
      <c r="C463" s="2218" t="s">
        <v>280</v>
      </c>
      <c r="D463" s="683">
        <v>38084</v>
      </c>
      <c r="E463" s="293"/>
      <c r="G463" s="396"/>
      <c r="I463" s="396"/>
      <c r="J463" s="396"/>
      <c r="K463" s="396"/>
      <c r="L463" s="396"/>
      <c r="M463" s="396"/>
      <c r="N463" s="396"/>
      <c r="O463" s="396"/>
      <c r="P463" s="396"/>
      <c r="Q463" s="396"/>
      <c r="R463" s="396"/>
      <c r="S463" s="396"/>
      <c r="T463" s="396"/>
    </row>
    <row r="464" spans="2:20" ht="14.45">
      <c r="B464" s="1394">
        <v>6</v>
      </c>
      <c r="C464" s="2218" t="s">
        <v>281</v>
      </c>
      <c r="D464" s="710"/>
      <c r="E464" s="293"/>
      <c r="G464" s="396"/>
      <c r="I464" s="396"/>
      <c r="J464" s="396"/>
      <c r="K464" s="396"/>
      <c r="L464" s="396"/>
      <c r="M464" s="396"/>
      <c r="N464" s="396"/>
      <c r="O464" s="396"/>
      <c r="P464" s="396"/>
      <c r="Q464" s="396"/>
      <c r="R464" s="396"/>
      <c r="S464" s="396"/>
      <c r="T464" s="396"/>
    </row>
    <row r="465" spans="2:20" ht="14.45">
      <c r="B465" s="1394">
        <v>7</v>
      </c>
      <c r="C465" s="2218" t="s">
        <v>282</v>
      </c>
      <c r="D465" s="710"/>
      <c r="E465" s="293"/>
      <c r="G465" s="396"/>
      <c r="I465" s="396"/>
      <c r="J465" s="396"/>
      <c r="K465" s="396"/>
      <c r="L465" s="396"/>
      <c r="M465" s="396"/>
      <c r="N465" s="396"/>
      <c r="O465" s="396"/>
      <c r="P465" s="396"/>
      <c r="Q465" s="396"/>
      <c r="R465" s="396"/>
      <c r="S465" s="396"/>
      <c r="T465" s="396"/>
    </row>
    <row r="466" spans="2:20" ht="16.5" customHeight="1">
      <c r="B466" s="1394"/>
      <c r="C466" s="2203" t="s">
        <v>416</v>
      </c>
      <c r="D466" s="710"/>
      <c r="E466" s="293"/>
      <c r="G466" s="396"/>
      <c r="I466" s="396"/>
      <c r="J466" s="396"/>
      <c r="K466" s="396"/>
      <c r="L466" s="396"/>
      <c r="M466" s="396"/>
      <c r="N466" s="396"/>
      <c r="O466" s="396"/>
      <c r="P466" s="396"/>
      <c r="Q466" s="396"/>
      <c r="R466" s="396"/>
      <c r="S466" s="396"/>
      <c r="T466" s="396"/>
    </row>
    <row r="467" spans="2:20" ht="14.45">
      <c r="B467" s="1394"/>
      <c r="C467" s="2203" t="s">
        <v>417</v>
      </c>
      <c r="D467" s="710"/>
      <c r="E467" s="293"/>
      <c r="G467" s="396"/>
      <c r="I467" s="396"/>
      <c r="J467" s="396"/>
      <c r="K467" s="396"/>
      <c r="L467" s="396"/>
      <c r="M467" s="396"/>
      <c r="N467" s="396"/>
      <c r="O467" s="396"/>
      <c r="P467" s="396"/>
      <c r="Q467" s="396"/>
      <c r="R467" s="396"/>
      <c r="S467" s="396"/>
      <c r="T467" s="396"/>
    </row>
    <row r="468" spans="2:20" ht="15" customHeight="1">
      <c r="B468" s="1394">
        <v>8</v>
      </c>
      <c r="C468" s="2218" t="s">
        <v>285</v>
      </c>
      <c r="D468" s="710"/>
      <c r="E468" s="293"/>
      <c r="G468" s="396"/>
      <c r="I468" s="396"/>
      <c r="J468" s="396"/>
      <c r="K468" s="396"/>
      <c r="L468" s="396"/>
      <c r="M468" s="396"/>
      <c r="N468" s="396"/>
      <c r="O468" s="396"/>
      <c r="P468" s="396"/>
      <c r="Q468" s="396"/>
      <c r="R468" s="396"/>
      <c r="S468" s="396"/>
      <c r="T468" s="396"/>
    </row>
    <row r="469" spans="2:20" ht="17.25" customHeight="1">
      <c r="B469" s="1394"/>
      <c r="C469" s="2203" t="s">
        <v>418</v>
      </c>
      <c r="D469" s="710"/>
      <c r="E469" s="293"/>
      <c r="G469" s="396"/>
      <c r="I469" s="396"/>
      <c r="J469" s="396"/>
      <c r="K469" s="396"/>
      <c r="L469" s="396"/>
      <c r="M469" s="396"/>
      <c r="N469" s="396"/>
      <c r="O469" s="396"/>
      <c r="P469" s="396"/>
      <c r="Q469" s="396"/>
      <c r="R469" s="396"/>
      <c r="S469" s="396"/>
      <c r="T469" s="396"/>
    </row>
    <row r="470" spans="2:20" ht="14.45">
      <c r="B470" s="1394"/>
      <c r="C470" s="2203" t="s">
        <v>419</v>
      </c>
      <c r="D470" s="710"/>
      <c r="E470" s="293"/>
      <c r="G470" s="396"/>
      <c r="I470" s="396"/>
      <c r="J470" s="396"/>
      <c r="K470" s="396"/>
      <c r="L470" s="396"/>
      <c r="M470" s="396"/>
      <c r="N470" s="396"/>
      <c r="O470" s="396"/>
      <c r="P470" s="396"/>
      <c r="Q470" s="396"/>
      <c r="R470" s="396"/>
      <c r="S470" s="396"/>
      <c r="T470" s="396"/>
    </row>
    <row r="471" spans="2:20" ht="26.45">
      <c r="B471" s="1396">
        <v>9</v>
      </c>
      <c r="C471" s="2212" t="s">
        <v>288</v>
      </c>
      <c r="D471" s="1439">
        <v>1029045</v>
      </c>
      <c r="G471" s="396"/>
      <c r="I471" s="396"/>
      <c r="J471" s="396"/>
      <c r="K471" s="396"/>
      <c r="L471" s="396"/>
      <c r="M471" s="396"/>
      <c r="N471" s="396"/>
      <c r="O471" s="396"/>
      <c r="P471" s="396"/>
      <c r="Q471" s="396"/>
      <c r="R471" s="396"/>
      <c r="S471" s="396"/>
    </row>
    <row r="472" spans="2:20" ht="14.45">
      <c r="B472" s="1394">
        <v>10</v>
      </c>
      <c r="C472" s="2203" t="s">
        <v>289</v>
      </c>
      <c r="D472" s="3001">
        <v>867168</v>
      </c>
      <c r="E472" s="293"/>
      <c r="G472" s="396"/>
      <c r="I472" s="396"/>
      <c r="J472" s="396"/>
      <c r="K472" s="396"/>
      <c r="L472" s="396"/>
      <c r="M472" s="396"/>
      <c r="N472" s="396"/>
      <c r="O472" s="396"/>
      <c r="P472" s="396"/>
      <c r="Q472" s="396"/>
      <c r="R472" s="396"/>
      <c r="S472" s="396"/>
      <c r="T472" s="396"/>
    </row>
    <row r="473" spans="2:20">
      <c r="B473" s="1394">
        <v>11</v>
      </c>
      <c r="C473" s="2203" t="s">
        <v>290</v>
      </c>
      <c r="D473" s="683">
        <v>146803</v>
      </c>
      <c r="E473" s="293"/>
      <c r="G473" s="396"/>
      <c r="I473" s="396"/>
      <c r="J473" s="396"/>
      <c r="K473" s="396"/>
      <c r="L473" s="396"/>
      <c r="M473" s="396"/>
      <c r="N473" s="396"/>
      <c r="O473" s="396"/>
      <c r="P473" s="396"/>
      <c r="Q473" s="396"/>
      <c r="R473" s="396"/>
      <c r="S473" s="396"/>
      <c r="T473" s="396"/>
    </row>
    <row r="474" spans="2:20">
      <c r="B474" s="1394">
        <v>12</v>
      </c>
      <c r="C474" s="2203" t="s">
        <v>291</v>
      </c>
      <c r="D474" s="683">
        <v>8737</v>
      </c>
      <c r="E474" s="293"/>
      <c r="G474" s="396"/>
      <c r="I474" s="396"/>
      <c r="J474" s="396"/>
      <c r="K474" s="396"/>
      <c r="L474" s="396"/>
      <c r="M474" s="396"/>
      <c r="N474" s="396"/>
      <c r="O474" s="396"/>
      <c r="P474" s="396"/>
      <c r="Q474" s="396"/>
      <c r="R474" s="396"/>
      <c r="S474" s="396"/>
      <c r="T474" s="396"/>
    </row>
    <row r="475" spans="2:20" ht="26.45">
      <c r="B475" s="1394">
        <v>13</v>
      </c>
      <c r="C475" s="2203" t="s">
        <v>292</v>
      </c>
      <c r="D475" s="683">
        <v>6337</v>
      </c>
      <c r="E475" s="293"/>
      <c r="G475" s="396"/>
      <c r="I475" s="396"/>
      <c r="J475" s="396"/>
      <c r="K475" s="396"/>
      <c r="L475" s="396"/>
      <c r="M475" s="396"/>
      <c r="N475" s="396"/>
      <c r="O475" s="396"/>
      <c r="P475" s="396"/>
      <c r="Q475" s="396"/>
      <c r="R475" s="396"/>
      <c r="S475" s="396"/>
      <c r="T475" s="396"/>
    </row>
    <row r="476" spans="2:20">
      <c r="B476" s="1394">
        <v>14</v>
      </c>
      <c r="C476" s="2204" t="s">
        <v>293</v>
      </c>
      <c r="D476" s="684"/>
      <c r="E476" s="293"/>
      <c r="G476" s="396"/>
      <c r="I476" s="396"/>
      <c r="J476" s="396"/>
      <c r="K476" s="396"/>
      <c r="L476" s="396"/>
      <c r="M476" s="396"/>
      <c r="N476" s="396"/>
      <c r="O476" s="396"/>
      <c r="P476" s="396"/>
      <c r="Q476" s="396"/>
      <c r="R476" s="396"/>
      <c r="S476" s="396"/>
      <c r="T476" s="396"/>
    </row>
    <row r="477" spans="2:20">
      <c r="B477" s="1394">
        <v>15</v>
      </c>
      <c r="C477" s="2204" t="s">
        <v>294</v>
      </c>
      <c r="D477" s="683">
        <v>30731</v>
      </c>
      <c r="E477" s="293"/>
      <c r="G477" s="396"/>
      <c r="I477" s="396"/>
      <c r="J477" s="396"/>
      <c r="K477" s="396"/>
      <c r="L477" s="396"/>
      <c r="M477" s="396"/>
      <c r="N477" s="396"/>
      <c r="O477" s="396"/>
      <c r="P477" s="396"/>
      <c r="Q477" s="396"/>
      <c r="R477" s="396"/>
      <c r="S477" s="396"/>
      <c r="T477" s="396"/>
    </row>
    <row r="478" spans="2:20">
      <c r="B478" s="1394">
        <v>16</v>
      </c>
      <c r="C478" s="2204" t="s">
        <v>295</v>
      </c>
      <c r="D478" s="683">
        <v>143313</v>
      </c>
      <c r="E478" s="293"/>
      <c r="G478" s="396"/>
      <c r="I478" s="396"/>
      <c r="J478" s="396"/>
      <c r="K478" s="396"/>
      <c r="L478" s="396"/>
      <c r="M478" s="396"/>
      <c r="N478" s="396"/>
      <c r="O478" s="396"/>
      <c r="P478" s="396"/>
      <c r="Q478" s="396"/>
      <c r="R478" s="396"/>
      <c r="S478" s="396"/>
      <c r="T478" s="396"/>
    </row>
    <row r="479" spans="2:20">
      <c r="B479" s="1394">
        <v>17</v>
      </c>
      <c r="C479" s="2204" t="s">
        <v>296</v>
      </c>
      <c r="D479" s="683">
        <v>61163</v>
      </c>
      <c r="E479" s="293"/>
      <c r="G479" s="396"/>
      <c r="I479" s="396"/>
      <c r="J479" s="396"/>
      <c r="K479" s="396"/>
      <c r="L479" s="396"/>
      <c r="M479" s="396"/>
      <c r="N479" s="396"/>
      <c r="O479" s="396"/>
      <c r="P479" s="396"/>
      <c r="Q479" s="396"/>
      <c r="R479" s="396"/>
      <c r="S479" s="396"/>
      <c r="T479" s="396"/>
    </row>
    <row r="480" spans="2:20">
      <c r="B480" s="1394">
        <v>18</v>
      </c>
      <c r="C480" s="2204" t="s">
        <v>297</v>
      </c>
      <c r="D480" s="757"/>
      <c r="E480" s="293"/>
      <c r="G480" s="396"/>
      <c r="I480" s="396"/>
      <c r="J480" s="396"/>
      <c r="K480" s="396"/>
      <c r="L480" s="396"/>
      <c r="M480" s="396"/>
      <c r="N480" s="396"/>
      <c r="O480" s="396"/>
      <c r="P480" s="396"/>
      <c r="Q480" s="396"/>
      <c r="R480" s="396"/>
      <c r="S480" s="396"/>
      <c r="T480" s="396"/>
    </row>
    <row r="481" spans="2:20">
      <c r="B481" s="1394">
        <v>19</v>
      </c>
      <c r="C481" s="2205" t="s">
        <v>298</v>
      </c>
      <c r="D481" s="683">
        <v>7948</v>
      </c>
      <c r="E481" s="293"/>
      <c r="G481" s="396"/>
      <c r="I481" s="396"/>
      <c r="J481" s="396"/>
      <c r="K481" s="396"/>
      <c r="L481" s="396"/>
      <c r="M481" s="396"/>
      <c r="N481" s="396"/>
      <c r="O481" s="396"/>
      <c r="P481" s="396"/>
      <c r="Q481" s="396"/>
      <c r="R481" s="396"/>
      <c r="S481" s="396"/>
      <c r="T481" s="396"/>
    </row>
    <row r="482" spans="2:20" ht="26.45">
      <c r="B482" s="1406">
        <v>20</v>
      </c>
      <c r="C482" s="1425" t="s">
        <v>299</v>
      </c>
      <c r="D482" s="1439">
        <v>1310284</v>
      </c>
      <c r="E482" s="293"/>
      <c r="G482" s="396"/>
      <c r="I482" s="396"/>
      <c r="J482" s="396"/>
      <c r="K482" s="396"/>
      <c r="L482" s="396"/>
      <c r="M482" s="396"/>
      <c r="N482" s="396"/>
      <c r="O482" s="396"/>
      <c r="P482" s="396"/>
      <c r="Q482" s="396"/>
      <c r="R482" s="396"/>
      <c r="S482" s="396"/>
      <c r="T482" s="396"/>
    </row>
    <row r="483" spans="2:20" ht="14.45">
      <c r="B483" s="1394"/>
      <c r="C483" s="1398" t="s">
        <v>300</v>
      </c>
      <c r="D483" s="710"/>
      <c r="E483" s="293"/>
      <c r="G483" s="396"/>
      <c r="I483" s="396"/>
      <c r="J483" s="396"/>
      <c r="K483" s="396"/>
      <c r="L483" s="396"/>
      <c r="M483" s="396"/>
      <c r="N483" s="396"/>
      <c r="O483" s="396"/>
      <c r="P483" s="396"/>
      <c r="Q483" s="396"/>
      <c r="R483" s="396"/>
      <c r="S483" s="396"/>
      <c r="T483" s="396"/>
    </row>
    <row r="484" spans="2:20" ht="14.45">
      <c r="B484" s="1394"/>
      <c r="C484" s="2219" t="s">
        <v>301</v>
      </c>
      <c r="D484" s="710"/>
      <c r="E484" s="293"/>
      <c r="G484" s="396"/>
      <c r="I484" s="396"/>
      <c r="J484" s="396"/>
      <c r="K484" s="396"/>
      <c r="L484" s="396"/>
      <c r="M484" s="396"/>
      <c r="N484" s="396"/>
      <c r="O484" s="396"/>
      <c r="P484" s="396"/>
      <c r="Q484" s="396"/>
      <c r="R484" s="396"/>
      <c r="S484" s="396"/>
      <c r="T484" s="396"/>
    </row>
    <row r="485" spans="2:20">
      <c r="B485" s="1394">
        <v>21</v>
      </c>
      <c r="C485" s="2204" t="s">
        <v>302</v>
      </c>
      <c r="D485" s="683">
        <v>526442</v>
      </c>
      <c r="E485" s="293"/>
      <c r="G485" s="396"/>
      <c r="I485" s="396"/>
      <c r="J485" s="396"/>
      <c r="K485" s="396"/>
      <c r="L485" s="396"/>
      <c r="M485" s="396"/>
      <c r="N485" s="396"/>
      <c r="O485" s="396"/>
      <c r="P485" s="396"/>
      <c r="Q485" s="396"/>
      <c r="R485" s="396"/>
      <c r="S485" s="396"/>
      <c r="T485" s="396"/>
    </row>
    <row r="486" spans="2:20">
      <c r="B486" s="1394">
        <v>22</v>
      </c>
      <c r="C486" s="2204" t="s">
        <v>303</v>
      </c>
      <c r="D486" s="683">
        <v>14398</v>
      </c>
      <c r="E486" s="293"/>
      <c r="G486" s="396"/>
      <c r="I486" s="396"/>
      <c r="J486" s="396"/>
      <c r="K486" s="396"/>
      <c r="L486" s="396"/>
      <c r="M486" s="396"/>
      <c r="N486" s="396"/>
      <c r="O486" s="396"/>
      <c r="P486" s="396"/>
      <c r="Q486" s="396"/>
      <c r="R486" s="396"/>
      <c r="S486" s="396"/>
      <c r="T486" s="396"/>
    </row>
    <row r="487" spans="2:20">
      <c r="B487" s="1394">
        <v>23</v>
      </c>
      <c r="C487" s="2204" t="s">
        <v>304</v>
      </c>
      <c r="D487" s="683">
        <v>74102</v>
      </c>
      <c r="E487" s="293"/>
      <c r="G487" s="396"/>
      <c r="I487" s="396"/>
      <c r="J487" s="396"/>
      <c r="K487" s="396"/>
      <c r="L487" s="396"/>
      <c r="M487" s="396"/>
      <c r="N487" s="396"/>
      <c r="O487" s="396"/>
      <c r="P487" s="396"/>
      <c r="Q487" s="396"/>
      <c r="R487" s="396"/>
      <c r="S487" s="396"/>
      <c r="T487" s="396"/>
    </row>
    <row r="488" spans="2:20">
      <c r="B488" s="1394">
        <v>24</v>
      </c>
      <c r="C488" s="2204" t="s">
        <v>305</v>
      </c>
      <c r="D488" s="684"/>
      <c r="E488" s="293"/>
      <c r="G488" s="396"/>
      <c r="I488" s="396"/>
      <c r="J488" s="396"/>
      <c r="K488" s="396"/>
      <c r="L488" s="396"/>
      <c r="M488" s="396"/>
      <c r="N488" s="396"/>
      <c r="O488" s="396"/>
      <c r="P488" s="396"/>
      <c r="Q488" s="396"/>
      <c r="R488" s="396"/>
      <c r="S488" s="396"/>
      <c r="T488" s="396"/>
    </row>
    <row r="489" spans="2:20">
      <c r="B489" s="1394">
        <v>25</v>
      </c>
      <c r="C489" s="2203" t="s">
        <v>306</v>
      </c>
      <c r="D489" s="684"/>
      <c r="E489" s="293"/>
      <c r="G489" s="396"/>
      <c r="I489" s="396"/>
      <c r="J489" s="396"/>
      <c r="K489" s="396"/>
      <c r="L489" s="396"/>
      <c r="M489" s="396"/>
      <c r="N489" s="396"/>
      <c r="O489" s="396"/>
      <c r="P489" s="396"/>
      <c r="Q489" s="396"/>
      <c r="R489" s="396"/>
      <c r="S489" s="396"/>
      <c r="T489" s="396"/>
    </row>
    <row r="490" spans="2:20">
      <c r="B490" s="1394">
        <v>26</v>
      </c>
      <c r="C490" s="2205" t="s">
        <v>307</v>
      </c>
      <c r="D490" s="683">
        <v>342136</v>
      </c>
      <c r="E490" s="293"/>
      <c r="G490" s="396"/>
      <c r="I490" s="396"/>
      <c r="J490" s="396"/>
      <c r="K490" s="396"/>
      <c r="L490" s="396"/>
      <c r="M490" s="396"/>
      <c r="N490" s="396"/>
      <c r="O490" s="396"/>
      <c r="P490" s="396"/>
      <c r="Q490" s="396"/>
      <c r="R490" s="396"/>
      <c r="S490" s="396"/>
      <c r="T490" s="396"/>
    </row>
    <row r="491" spans="2:20" ht="26.45">
      <c r="B491" s="1397">
        <v>27</v>
      </c>
      <c r="C491" s="1419" t="s">
        <v>308</v>
      </c>
      <c r="D491" s="683">
        <v>957078</v>
      </c>
      <c r="E491" s="293"/>
      <c r="G491" s="396"/>
      <c r="I491" s="396"/>
      <c r="J491" s="396"/>
      <c r="K491" s="396"/>
      <c r="L491" s="396"/>
      <c r="M491" s="396"/>
      <c r="N491" s="396"/>
      <c r="O491" s="396"/>
      <c r="P491" s="396"/>
      <c r="Q491" s="396"/>
      <c r="R491" s="396"/>
      <c r="S491" s="396"/>
      <c r="T491" s="396"/>
    </row>
    <row r="492" spans="2:20" ht="14.45">
      <c r="B492" s="1394"/>
      <c r="C492" s="1398" t="s">
        <v>309</v>
      </c>
      <c r="D492" s="710"/>
      <c r="E492" s="293"/>
      <c r="G492" s="396"/>
      <c r="I492" s="396"/>
      <c r="J492" s="396"/>
      <c r="K492" s="396"/>
      <c r="L492" s="396"/>
      <c r="M492" s="396"/>
      <c r="N492" s="396"/>
      <c r="O492" s="396"/>
      <c r="P492" s="396"/>
      <c r="Q492" s="396"/>
      <c r="R492" s="396"/>
      <c r="S492" s="396"/>
      <c r="T492" s="396"/>
    </row>
    <row r="493" spans="2:20">
      <c r="B493" s="1394">
        <v>28</v>
      </c>
      <c r="C493" s="2218" t="s">
        <v>310</v>
      </c>
      <c r="D493" s="683">
        <v>1880022</v>
      </c>
      <c r="E493" s="293"/>
      <c r="G493" s="396"/>
      <c r="I493" s="396"/>
      <c r="J493" s="396"/>
      <c r="K493" s="396"/>
      <c r="L493" s="396"/>
      <c r="M493" s="396"/>
      <c r="N493" s="396"/>
      <c r="O493" s="396"/>
      <c r="P493" s="396"/>
      <c r="Q493" s="396"/>
      <c r="R493" s="396"/>
      <c r="S493" s="396"/>
      <c r="T493" s="396"/>
    </row>
    <row r="494" spans="2:20">
      <c r="B494" s="1394">
        <v>29</v>
      </c>
      <c r="C494" s="2218" t="s">
        <v>311</v>
      </c>
      <c r="D494" s="683">
        <v>7530</v>
      </c>
      <c r="E494" s="293"/>
      <c r="G494" s="396"/>
      <c r="I494" s="396"/>
      <c r="J494" s="396"/>
      <c r="K494" s="396"/>
      <c r="L494" s="396"/>
      <c r="M494" s="396"/>
      <c r="N494" s="396"/>
      <c r="O494" s="396"/>
      <c r="P494" s="396"/>
      <c r="Q494" s="396"/>
      <c r="R494" s="396"/>
      <c r="S494" s="396"/>
      <c r="T494" s="396"/>
    </row>
    <row r="495" spans="2:20">
      <c r="B495" s="1394">
        <v>30</v>
      </c>
      <c r="C495" s="2207" t="s">
        <v>312</v>
      </c>
      <c r="D495" s="684"/>
      <c r="E495" s="293"/>
      <c r="G495" s="396"/>
      <c r="I495" s="396"/>
      <c r="J495" s="396"/>
      <c r="K495" s="396"/>
      <c r="L495" s="396"/>
      <c r="M495" s="396"/>
      <c r="N495" s="396"/>
      <c r="O495" s="396"/>
      <c r="P495" s="396"/>
      <c r="Q495" s="396"/>
      <c r="R495" s="396"/>
      <c r="S495" s="396"/>
      <c r="T495" s="396"/>
    </row>
    <row r="496" spans="2:20">
      <c r="B496" s="1394">
        <v>31</v>
      </c>
      <c r="C496" s="2207" t="s">
        <v>314</v>
      </c>
      <c r="D496" s="683">
        <v>-1534346</v>
      </c>
      <c r="E496" s="293"/>
      <c r="G496" s="396"/>
      <c r="I496" s="396"/>
      <c r="J496" s="396"/>
      <c r="K496" s="396"/>
      <c r="L496" s="396"/>
      <c r="M496" s="396"/>
      <c r="N496" s="396"/>
      <c r="O496" s="396"/>
      <c r="P496" s="396"/>
      <c r="Q496" s="396"/>
      <c r="R496" s="396"/>
      <c r="S496" s="396"/>
      <c r="T496" s="396"/>
    </row>
    <row r="497" spans="2:20" ht="13.9" thickBot="1">
      <c r="B497" s="1397">
        <v>32</v>
      </c>
      <c r="C497" s="1419" t="s">
        <v>315</v>
      </c>
      <c r="D497" s="683">
        <v>353206</v>
      </c>
      <c r="E497" s="293"/>
      <c r="G497" s="396"/>
      <c r="I497" s="396"/>
      <c r="J497" s="396"/>
      <c r="K497" s="396"/>
      <c r="L497" s="396"/>
      <c r="M497" s="396"/>
      <c r="N497" s="396"/>
      <c r="O497" s="396"/>
      <c r="P497" s="396"/>
      <c r="Q497" s="396"/>
      <c r="R497" s="396"/>
      <c r="S497" s="396"/>
      <c r="T497" s="396"/>
    </row>
    <row r="498" spans="2:20" ht="27" thickBot="1">
      <c r="B498" s="1409">
        <v>33</v>
      </c>
      <c r="C498" s="1430" t="s">
        <v>317</v>
      </c>
      <c r="D498" s="1438">
        <v>1310285</v>
      </c>
      <c r="E498" s="293"/>
      <c r="G498" s="396"/>
      <c r="I498" s="396"/>
      <c r="J498" s="396"/>
      <c r="K498" s="396"/>
      <c r="L498" s="396"/>
      <c r="M498" s="396"/>
      <c r="N498" s="396"/>
      <c r="O498" s="396"/>
      <c r="P498" s="396"/>
      <c r="Q498" s="396"/>
      <c r="R498" s="396"/>
      <c r="S498" s="396"/>
      <c r="T498" s="396"/>
    </row>
    <row r="499" spans="2:20">
      <c r="B499" s="196"/>
      <c r="C499" s="391"/>
      <c r="D499" s="544"/>
      <c r="E499" s="383"/>
      <c r="F499" s="293"/>
      <c r="I499" s="396"/>
      <c r="J499" s="396"/>
      <c r="K499" s="396"/>
      <c r="L499" s="396"/>
      <c r="M499" s="396"/>
      <c r="N499" s="396"/>
      <c r="O499" s="396"/>
      <c r="P499" s="396"/>
      <c r="Q499" s="396"/>
      <c r="R499" s="396"/>
      <c r="S499" s="396"/>
      <c r="T499" s="396"/>
    </row>
    <row r="500" spans="2:20">
      <c r="B500" s="196"/>
      <c r="C500" s="391"/>
      <c r="D500" s="544"/>
      <c r="E500" s="383"/>
      <c r="F500" s="293"/>
      <c r="H500" s="385">
        <v>90</v>
      </c>
      <c r="I500" s="396"/>
      <c r="J500" s="396"/>
      <c r="K500" s="396"/>
      <c r="L500" s="396"/>
      <c r="M500" s="396"/>
      <c r="N500" s="396"/>
      <c r="O500" s="396"/>
      <c r="P500" s="396"/>
      <c r="Q500" s="396"/>
      <c r="R500" s="396"/>
      <c r="S500" s="396"/>
      <c r="T500" s="396"/>
    </row>
    <row r="501" spans="2:20">
      <c r="B501" s="196"/>
      <c r="C501" s="391"/>
      <c r="D501" s="544"/>
      <c r="E501" s="383"/>
      <c r="F501" s="293"/>
      <c r="I501" s="396"/>
      <c r="J501" s="396"/>
      <c r="K501" s="396"/>
      <c r="L501" s="396"/>
      <c r="M501" s="396"/>
      <c r="N501" s="396"/>
      <c r="O501" s="396"/>
      <c r="P501" s="396"/>
      <c r="Q501" s="396"/>
      <c r="R501" s="396"/>
      <c r="S501" s="396"/>
      <c r="T501" s="396"/>
    </row>
    <row r="502" spans="2:20" ht="14.45">
      <c r="B502" s="3340" t="s">
        <v>420</v>
      </c>
      <c r="C502" s="3341"/>
      <c r="D502" s="3341"/>
      <c r="E502" s="3341"/>
      <c r="F502" s="3341"/>
      <c r="G502" s="3341"/>
      <c r="I502" s="396"/>
      <c r="J502" s="396"/>
      <c r="K502" s="396"/>
      <c r="L502" s="396"/>
      <c r="M502" s="396"/>
      <c r="N502" s="396"/>
      <c r="O502" s="396"/>
      <c r="P502" s="396"/>
      <c r="Q502" s="396"/>
      <c r="R502" s="396"/>
      <c r="S502" s="396"/>
      <c r="T502" s="396"/>
    </row>
    <row r="503" spans="2:20" ht="13.9" thickBot="1">
      <c r="B503" s="51"/>
      <c r="C503" s="51"/>
      <c r="D503" s="51"/>
      <c r="E503" s="51"/>
      <c r="F503" s="51"/>
      <c r="I503" s="396"/>
      <c r="J503" s="396"/>
      <c r="K503" s="396"/>
      <c r="L503" s="396"/>
      <c r="M503" s="396"/>
      <c r="N503" s="396"/>
      <c r="O503" s="396"/>
      <c r="P503" s="396"/>
      <c r="Q503" s="396"/>
      <c r="R503" s="396"/>
      <c r="S503" s="396"/>
      <c r="T503" s="396"/>
    </row>
    <row r="504" spans="2:20" ht="13.9" thickBot="1">
      <c r="B504" s="3344" t="s">
        <v>110</v>
      </c>
      <c r="C504" s="3345"/>
      <c r="E504" s="396"/>
      <c r="F504" s="295"/>
      <c r="G504" s="532" t="s">
        <v>238</v>
      </c>
      <c r="I504" s="396"/>
      <c r="J504" s="396"/>
      <c r="K504" s="396"/>
      <c r="L504" s="396"/>
      <c r="M504" s="396"/>
      <c r="N504" s="396"/>
      <c r="O504" s="396"/>
      <c r="P504" s="396"/>
      <c r="Q504" s="396"/>
      <c r="R504" s="396"/>
      <c r="S504" s="396"/>
      <c r="T504" s="396"/>
    </row>
    <row r="505" spans="2:20">
      <c r="B505" s="3283" t="s">
        <v>396</v>
      </c>
      <c r="C505" s="3348"/>
      <c r="D505" s="3283" t="s">
        <v>397</v>
      </c>
      <c r="E505" s="3283" t="s">
        <v>422</v>
      </c>
      <c r="F505" s="3283" t="s">
        <v>423</v>
      </c>
      <c r="G505" s="3283" t="s">
        <v>424</v>
      </c>
      <c r="I505" s="396"/>
      <c r="J505" s="396"/>
      <c r="K505" s="396"/>
      <c r="L505" s="396"/>
      <c r="M505" s="396"/>
      <c r="N505" s="396"/>
      <c r="O505" s="396"/>
      <c r="P505" s="396"/>
      <c r="Q505" s="396"/>
      <c r="R505" s="396"/>
      <c r="S505" s="396"/>
      <c r="T505" s="396"/>
    </row>
    <row r="506" spans="2:20">
      <c r="B506" s="3284"/>
      <c r="C506" s="3346"/>
      <c r="D506" s="3284"/>
      <c r="E506" s="3284"/>
      <c r="F506" s="3284"/>
      <c r="G506" s="3284"/>
      <c r="I506" s="396"/>
      <c r="J506" s="396"/>
      <c r="K506" s="396"/>
      <c r="L506" s="396"/>
      <c r="M506" s="396"/>
      <c r="N506" s="396"/>
      <c r="O506" s="396"/>
      <c r="P506" s="396"/>
      <c r="Q506" s="396"/>
      <c r="R506" s="396"/>
      <c r="S506" s="396"/>
      <c r="T506" s="396"/>
    </row>
    <row r="507" spans="2:20">
      <c r="B507" s="3285"/>
      <c r="C507" s="3347"/>
      <c r="D507" s="3285"/>
      <c r="E507" s="3285"/>
      <c r="F507" s="3285"/>
      <c r="G507" s="3285"/>
      <c r="I507" s="396"/>
      <c r="J507" s="396"/>
      <c r="K507" s="396"/>
      <c r="L507" s="396"/>
      <c r="M507" s="396"/>
      <c r="N507" s="396"/>
      <c r="O507" s="396"/>
      <c r="P507" s="396"/>
      <c r="Q507" s="396"/>
      <c r="R507" s="396"/>
      <c r="S507" s="396"/>
      <c r="T507" s="396"/>
    </row>
    <row r="508" spans="2:20" ht="14.45">
      <c r="B508" s="1394"/>
      <c r="C508" s="1401" t="s">
        <v>275</v>
      </c>
      <c r="D508" s="709" t="s">
        <v>0</v>
      </c>
      <c r="E508" s="711" t="s">
        <v>0</v>
      </c>
      <c r="F508" s="1421"/>
      <c r="G508" s="709" t="s">
        <v>0</v>
      </c>
      <c r="I508" s="396"/>
      <c r="J508" s="396"/>
      <c r="K508" s="396"/>
      <c r="L508" s="396"/>
      <c r="M508" s="396"/>
      <c r="N508" s="396"/>
      <c r="O508" s="396"/>
      <c r="P508" s="396"/>
      <c r="Q508" s="396"/>
      <c r="R508" s="396"/>
      <c r="S508" s="396"/>
      <c r="T508" s="396"/>
    </row>
    <row r="509" spans="2:20">
      <c r="B509" s="1394">
        <v>1</v>
      </c>
      <c r="C509" s="2218" t="s">
        <v>276</v>
      </c>
      <c r="D509" s="741"/>
      <c r="E509" s="758"/>
      <c r="F509" s="2221"/>
      <c r="G509" s="741"/>
      <c r="I509" s="396"/>
      <c r="J509" s="396"/>
      <c r="K509" s="396"/>
      <c r="L509" s="396"/>
      <c r="M509" s="396"/>
      <c r="N509" s="396"/>
      <c r="O509" s="396"/>
      <c r="P509" s="396"/>
      <c r="Q509" s="396"/>
      <c r="R509" s="396"/>
      <c r="S509" s="396"/>
      <c r="T509" s="396"/>
    </row>
    <row r="510" spans="2:20">
      <c r="B510" s="1394">
        <v>2</v>
      </c>
      <c r="C510" s="2218" t="s">
        <v>277</v>
      </c>
      <c r="D510" s="742">
        <v>12253</v>
      </c>
      <c r="E510" s="758"/>
      <c r="F510" s="2221">
        <f t="shared" ref="F510:F548" si="2">+D510+E510</f>
        <v>12253</v>
      </c>
      <c r="G510" s="741"/>
      <c r="I510" s="396"/>
      <c r="J510" s="396"/>
      <c r="K510" s="396"/>
      <c r="L510" s="396"/>
      <c r="M510" s="396"/>
      <c r="N510" s="396"/>
      <c r="O510" s="396"/>
      <c r="P510" s="396"/>
      <c r="Q510" s="396"/>
      <c r="R510" s="396"/>
      <c r="S510" s="396"/>
      <c r="T510" s="396"/>
    </row>
    <row r="511" spans="2:20">
      <c r="B511" s="1394">
        <v>3</v>
      </c>
      <c r="C511" s="2218" t="s">
        <v>278</v>
      </c>
      <c r="D511" s="741">
        <v>0</v>
      </c>
      <c r="E511" s="758"/>
      <c r="F511" s="2221"/>
      <c r="G511" s="741"/>
      <c r="I511" s="396"/>
      <c r="J511" s="396"/>
      <c r="K511" s="396"/>
      <c r="L511" s="396"/>
      <c r="M511" s="396"/>
      <c r="N511" s="396"/>
      <c r="O511" s="396"/>
      <c r="P511" s="396"/>
      <c r="Q511" s="396"/>
      <c r="R511" s="396"/>
      <c r="S511" s="396"/>
      <c r="T511" s="396"/>
    </row>
    <row r="512" spans="2:20">
      <c r="B512" s="1394">
        <v>4</v>
      </c>
      <c r="C512" s="2220" t="s">
        <v>279</v>
      </c>
      <c r="D512" s="742">
        <v>1748</v>
      </c>
      <c r="E512" s="759">
        <v>28197</v>
      </c>
      <c r="F512" s="2221">
        <f t="shared" si="2"/>
        <v>29945</v>
      </c>
      <c r="G512" s="741"/>
      <c r="I512" s="396"/>
      <c r="J512" s="396"/>
      <c r="K512" s="396"/>
      <c r="L512" s="396"/>
      <c r="M512" s="396"/>
      <c r="N512" s="396"/>
      <c r="O512" s="396"/>
      <c r="P512" s="396"/>
      <c r="Q512" s="396"/>
      <c r="R512" s="396"/>
      <c r="S512" s="396"/>
      <c r="T512" s="396"/>
    </row>
    <row r="513" spans="2:20">
      <c r="B513" s="1394">
        <v>5</v>
      </c>
      <c r="C513" s="2218" t="s">
        <v>280</v>
      </c>
      <c r="D513" s="742">
        <v>22416</v>
      </c>
      <c r="E513" s="759">
        <v>9332</v>
      </c>
      <c r="F513" s="2221">
        <f t="shared" si="2"/>
        <v>31748</v>
      </c>
      <c r="G513" s="741"/>
      <c r="I513" s="396"/>
      <c r="J513" s="396"/>
      <c r="K513" s="396"/>
      <c r="L513" s="396"/>
      <c r="M513" s="396"/>
      <c r="N513" s="396"/>
      <c r="O513" s="396"/>
      <c r="P513" s="396"/>
      <c r="Q513" s="396"/>
      <c r="R513" s="396"/>
      <c r="S513" s="396"/>
      <c r="T513" s="396"/>
    </row>
    <row r="514" spans="2:20">
      <c r="B514" s="1394">
        <v>6</v>
      </c>
      <c r="C514" s="2218" t="s">
        <v>281</v>
      </c>
      <c r="D514" s="741"/>
      <c r="E514" s="759"/>
      <c r="F514" s="2221"/>
      <c r="G514" s="741"/>
      <c r="I514" s="396"/>
      <c r="J514" s="396"/>
      <c r="K514" s="396"/>
      <c r="L514" s="396"/>
      <c r="M514" s="396"/>
      <c r="N514" s="396"/>
      <c r="O514" s="396"/>
      <c r="P514" s="396"/>
      <c r="Q514" s="396"/>
      <c r="R514" s="396"/>
      <c r="S514" s="396"/>
      <c r="T514" s="396"/>
    </row>
    <row r="515" spans="2:20">
      <c r="B515" s="1394">
        <v>7</v>
      </c>
      <c r="C515" s="2218" t="s">
        <v>282</v>
      </c>
      <c r="D515" s="741"/>
      <c r="E515" s="759"/>
      <c r="F515" s="2221"/>
      <c r="G515" s="741"/>
      <c r="I515" s="396"/>
      <c r="J515" s="396"/>
      <c r="K515" s="396"/>
      <c r="L515" s="396"/>
      <c r="M515" s="396"/>
      <c r="N515" s="396"/>
      <c r="O515" s="396"/>
      <c r="P515" s="396"/>
      <c r="Q515" s="396"/>
      <c r="R515" s="396"/>
      <c r="S515" s="396"/>
      <c r="T515" s="396"/>
    </row>
    <row r="516" spans="2:20">
      <c r="B516" s="1394"/>
      <c r="C516" s="2203" t="s">
        <v>416</v>
      </c>
      <c r="D516" s="741"/>
      <c r="E516" s="759"/>
      <c r="F516" s="2221"/>
      <c r="G516" s="741"/>
      <c r="I516" s="396"/>
      <c r="J516" s="396"/>
      <c r="K516" s="396"/>
      <c r="L516" s="396"/>
      <c r="M516" s="396"/>
      <c r="N516" s="396"/>
      <c r="O516" s="396"/>
      <c r="P516" s="396"/>
      <c r="Q516" s="396"/>
      <c r="R516" s="396"/>
      <c r="S516" s="396"/>
      <c r="T516" s="396"/>
    </row>
    <row r="517" spans="2:20">
      <c r="B517" s="1394"/>
      <c r="C517" s="2203" t="s">
        <v>417</v>
      </c>
      <c r="D517" s="741"/>
      <c r="E517" s="759"/>
      <c r="F517" s="2221"/>
      <c r="G517" s="741"/>
      <c r="I517" s="396"/>
      <c r="J517" s="396"/>
      <c r="K517" s="396"/>
      <c r="L517" s="396"/>
      <c r="M517" s="396"/>
      <c r="N517" s="396"/>
      <c r="O517" s="396"/>
      <c r="P517" s="396"/>
      <c r="Q517" s="396"/>
      <c r="R517" s="396"/>
      <c r="S517" s="396"/>
      <c r="T517" s="396"/>
    </row>
    <row r="518" spans="2:20">
      <c r="B518" s="1394">
        <v>8</v>
      </c>
      <c r="C518" s="2218" t="s">
        <v>285</v>
      </c>
      <c r="D518" s="741"/>
      <c r="E518" s="758"/>
      <c r="F518" s="2221"/>
      <c r="G518" s="741"/>
      <c r="I518" s="396"/>
      <c r="J518" s="396"/>
      <c r="K518" s="396"/>
      <c r="L518" s="396"/>
      <c r="M518" s="396"/>
      <c r="N518" s="396"/>
      <c r="O518" s="396"/>
      <c r="P518" s="396"/>
      <c r="Q518" s="396"/>
      <c r="R518" s="396"/>
      <c r="S518" s="396"/>
      <c r="T518" s="396"/>
    </row>
    <row r="519" spans="2:20">
      <c r="B519" s="1394"/>
      <c r="C519" s="2203" t="s">
        <v>418</v>
      </c>
      <c r="D519" s="741"/>
      <c r="E519" s="758"/>
      <c r="F519" s="2221"/>
      <c r="G519" s="741"/>
      <c r="I519" s="396"/>
      <c r="J519" s="396"/>
      <c r="K519" s="396"/>
      <c r="L519" s="396"/>
      <c r="M519" s="396"/>
      <c r="N519" s="396"/>
      <c r="O519" s="396"/>
      <c r="P519" s="396"/>
      <c r="Q519" s="396"/>
      <c r="R519" s="396"/>
      <c r="S519" s="396"/>
      <c r="T519" s="396"/>
    </row>
    <row r="520" spans="2:20">
      <c r="B520" s="1394"/>
      <c r="C520" s="2203" t="s">
        <v>419</v>
      </c>
      <c r="D520" s="741"/>
      <c r="E520" s="758"/>
      <c r="F520" s="2221"/>
      <c r="G520" s="741"/>
      <c r="I520" s="396"/>
      <c r="J520" s="396"/>
      <c r="K520" s="396"/>
      <c r="L520" s="396"/>
      <c r="M520" s="396"/>
      <c r="N520" s="396"/>
      <c r="O520" s="396"/>
      <c r="P520" s="396"/>
      <c r="Q520" s="396"/>
      <c r="R520" s="396"/>
      <c r="S520" s="396"/>
      <c r="T520" s="396"/>
    </row>
    <row r="521" spans="2:20" ht="26.45">
      <c r="B521" s="1396">
        <v>9</v>
      </c>
      <c r="C521" s="2212" t="s">
        <v>288</v>
      </c>
      <c r="D521" s="743">
        <v>1019108</v>
      </c>
      <c r="E521" s="743">
        <v>20324396</v>
      </c>
      <c r="F521" s="1422">
        <f>SUM(F522:F525)</f>
        <v>21343504</v>
      </c>
      <c r="G521" s="743">
        <v>3577327</v>
      </c>
      <c r="I521" s="396"/>
      <c r="J521" s="396"/>
      <c r="K521" s="396"/>
      <c r="L521" s="396"/>
      <c r="M521" s="396"/>
      <c r="N521" s="396"/>
      <c r="O521" s="396"/>
      <c r="P521" s="396"/>
      <c r="Q521" s="396"/>
      <c r="R521" s="396"/>
      <c r="S521" s="396"/>
      <c r="T521" s="396"/>
    </row>
    <row r="522" spans="2:20">
      <c r="B522" s="1394">
        <v>10</v>
      </c>
      <c r="C522" s="2203" t="s">
        <v>289</v>
      </c>
      <c r="D522" s="741"/>
      <c r="E522" s="759">
        <v>55800</v>
      </c>
      <c r="F522" s="2221">
        <f t="shared" si="2"/>
        <v>55800</v>
      </c>
      <c r="G522" s="742">
        <v>1144951</v>
      </c>
      <c r="I522" s="396"/>
      <c r="J522" s="396"/>
      <c r="K522" s="396"/>
      <c r="L522" s="396"/>
      <c r="M522" s="396"/>
      <c r="N522" s="396"/>
      <c r="O522" s="396"/>
      <c r="P522" s="396"/>
      <c r="Q522" s="396"/>
      <c r="R522" s="396"/>
      <c r="S522" s="396"/>
      <c r="T522" s="396"/>
    </row>
    <row r="523" spans="2:20">
      <c r="B523" s="1394">
        <v>11</v>
      </c>
      <c r="C523" s="2203" t="s">
        <v>290</v>
      </c>
      <c r="D523" s="742">
        <v>1019108</v>
      </c>
      <c r="E523" s="759">
        <v>958871</v>
      </c>
      <c r="F523" s="2221">
        <f t="shared" si="2"/>
        <v>1977979</v>
      </c>
      <c r="G523" s="742">
        <v>601162</v>
      </c>
      <c r="I523" s="396"/>
      <c r="J523" s="396"/>
      <c r="K523" s="396"/>
      <c r="L523" s="396"/>
      <c r="M523" s="396"/>
      <c r="N523" s="396"/>
      <c r="O523" s="396"/>
      <c r="P523" s="396"/>
      <c r="Q523" s="396"/>
      <c r="R523" s="396"/>
      <c r="S523" s="396"/>
      <c r="T523" s="396"/>
    </row>
    <row r="524" spans="2:20">
      <c r="B524" s="1394">
        <v>12</v>
      </c>
      <c r="C524" s="2203" t="s">
        <v>291</v>
      </c>
      <c r="D524" s="741"/>
      <c r="E524" s="759">
        <v>19309725</v>
      </c>
      <c r="F524" s="2221">
        <f t="shared" si="2"/>
        <v>19309725</v>
      </c>
      <c r="G524" s="742">
        <v>1831214</v>
      </c>
      <c r="I524" s="396"/>
      <c r="J524" s="396"/>
      <c r="K524" s="396"/>
      <c r="L524" s="396"/>
      <c r="M524" s="396"/>
      <c r="N524" s="396"/>
      <c r="O524" s="396"/>
      <c r="P524" s="396"/>
      <c r="Q524" s="396"/>
      <c r="R524" s="396"/>
      <c r="S524" s="396"/>
      <c r="T524" s="396"/>
    </row>
    <row r="525" spans="2:20" ht="26.45">
      <c r="B525" s="1394">
        <v>13</v>
      </c>
      <c r="C525" s="2203" t="s">
        <v>292</v>
      </c>
      <c r="D525" s="741"/>
      <c r="E525" s="758"/>
      <c r="F525" s="2221"/>
      <c r="G525" s="741"/>
      <c r="I525" s="396"/>
      <c r="J525" s="396"/>
      <c r="K525" s="396"/>
      <c r="L525" s="396"/>
      <c r="M525" s="396"/>
      <c r="N525" s="396"/>
      <c r="O525" s="396"/>
      <c r="P525" s="396"/>
      <c r="Q525" s="396"/>
      <c r="R525" s="396"/>
      <c r="S525" s="396"/>
      <c r="T525" s="396"/>
    </row>
    <row r="526" spans="2:20">
      <c r="B526" s="1394">
        <v>14</v>
      </c>
      <c r="C526" s="2204" t="s">
        <v>293</v>
      </c>
      <c r="D526" s="741"/>
      <c r="E526" s="758"/>
      <c r="F526" s="2221"/>
      <c r="G526" s="741"/>
      <c r="I526" s="396"/>
      <c r="J526" s="396"/>
      <c r="K526" s="396"/>
      <c r="L526" s="396"/>
      <c r="M526" s="396"/>
      <c r="N526" s="396"/>
      <c r="O526" s="396"/>
      <c r="P526" s="396"/>
      <c r="Q526" s="396"/>
      <c r="R526" s="396"/>
      <c r="S526" s="396"/>
      <c r="T526" s="396"/>
    </row>
    <row r="527" spans="2:20">
      <c r="B527" s="1394">
        <v>15</v>
      </c>
      <c r="C527" s="2204" t="s">
        <v>294</v>
      </c>
      <c r="D527" s="742">
        <v>19993</v>
      </c>
      <c r="E527" s="758">
        <v>1680734</v>
      </c>
      <c r="F527" s="2221">
        <f t="shared" si="2"/>
        <v>1700727</v>
      </c>
      <c r="G527" s="742">
        <v>1417548</v>
      </c>
      <c r="I527" s="396"/>
      <c r="J527" s="396"/>
      <c r="K527" s="396"/>
      <c r="L527" s="396"/>
      <c r="M527" s="396"/>
      <c r="N527" s="396"/>
      <c r="O527" s="396"/>
      <c r="P527" s="396"/>
      <c r="Q527" s="396"/>
      <c r="R527" s="396"/>
      <c r="S527" s="396"/>
      <c r="T527" s="396"/>
    </row>
    <row r="528" spans="2:20">
      <c r="B528" s="1394">
        <v>16</v>
      </c>
      <c r="C528" s="2204" t="s">
        <v>295</v>
      </c>
      <c r="D528" s="742">
        <v>31527</v>
      </c>
      <c r="E528" s="759">
        <v>3285369</v>
      </c>
      <c r="F528" s="2221">
        <f t="shared" si="2"/>
        <v>3316896</v>
      </c>
      <c r="G528" s="742">
        <v>1746898</v>
      </c>
      <c r="I528" s="396"/>
      <c r="J528" s="396"/>
      <c r="K528" s="396"/>
      <c r="L528" s="396"/>
      <c r="M528" s="396"/>
      <c r="N528" s="396"/>
      <c r="O528" s="396"/>
      <c r="P528" s="396"/>
      <c r="Q528" s="396"/>
      <c r="R528" s="396"/>
      <c r="S528" s="396"/>
      <c r="T528" s="396"/>
    </row>
    <row r="529" spans="2:20">
      <c r="B529" s="1394">
        <v>17</v>
      </c>
      <c r="C529" s="2204" t="s">
        <v>296</v>
      </c>
      <c r="D529" s="742">
        <v>1127834</v>
      </c>
      <c r="E529" s="759">
        <v>50063</v>
      </c>
      <c r="F529" s="2221">
        <f t="shared" si="2"/>
        <v>1177897</v>
      </c>
      <c r="G529" s="741">
        <v>1000004</v>
      </c>
      <c r="I529" s="396"/>
      <c r="J529" s="396"/>
      <c r="K529" s="396"/>
      <c r="L529" s="396"/>
      <c r="M529" s="396"/>
      <c r="N529" s="396"/>
      <c r="O529" s="396"/>
      <c r="P529" s="396"/>
      <c r="Q529" s="396"/>
      <c r="R529" s="396"/>
      <c r="S529" s="396"/>
      <c r="T529" s="396"/>
    </row>
    <row r="530" spans="2:20">
      <c r="B530" s="1394">
        <v>18</v>
      </c>
      <c r="C530" s="2204" t="s">
        <v>297</v>
      </c>
      <c r="D530" s="741">
        <v>0</v>
      </c>
      <c r="E530" s="759">
        <v>619979</v>
      </c>
      <c r="F530" s="2221">
        <f t="shared" si="2"/>
        <v>619979</v>
      </c>
      <c r="G530" s="742">
        <v>220517</v>
      </c>
      <c r="I530" s="396"/>
      <c r="J530" s="396"/>
      <c r="K530" s="396"/>
      <c r="L530" s="396"/>
      <c r="M530" s="396"/>
      <c r="N530" s="396"/>
      <c r="O530" s="396"/>
      <c r="P530" s="396"/>
      <c r="Q530" s="396"/>
      <c r="R530" s="396"/>
      <c r="S530" s="396"/>
      <c r="T530" s="396"/>
    </row>
    <row r="531" spans="2:20" ht="13.9" thickBot="1">
      <c r="B531" s="1394">
        <v>19</v>
      </c>
      <c r="C531" s="2205" t="s">
        <v>298</v>
      </c>
      <c r="D531" s="744">
        <v>136231</v>
      </c>
      <c r="E531" s="761">
        <v>57217</v>
      </c>
      <c r="F531" s="2222">
        <f t="shared" si="2"/>
        <v>193448</v>
      </c>
      <c r="G531" s="744">
        <v>1220075</v>
      </c>
      <c r="I531" s="396"/>
      <c r="J531" s="396"/>
      <c r="K531" s="396"/>
      <c r="L531" s="396"/>
      <c r="M531" s="396"/>
      <c r="N531" s="396"/>
      <c r="O531" s="396"/>
      <c r="P531" s="396"/>
      <c r="Q531" s="396"/>
      <c r="R531" s="396"/>
      <c r="S531" s="396"/>
      <c r="T531" s="396"/>
    </row>
    <row r="532" spans="2:20" ht="27" thickBot="1">
      <c r="B532" s="1406">
        <v>20</v>
      </c>
      <c r="C532" s="1425" t="s">
        <v>299</v>
      </c>
      <c r="D532" s="1426">
        <v>2371110</v>
      </c>
      <c r="E532" s="1427">
        <v>26055287</v>
      </c>
      <c r="F532" s="1428">
        <f t="shared" si="2"/>
        <v>28426397</v>
      </c>
      <c r="G532" s="1426">
        <v>9182369</v>
      </c>
      <c r="I532" s="396"/>
      <c r="J532" s="396"/>
      <c r="K532" s="396"/>
      <c r="L532" s="396"/>
      <c r="M532" s="396"/>
      <c r="N532" s="396"/>
      <c r="O532" s="396"/>
      <c r="P532" s="396"/>
      <c r="Q532" s="396"/>
      <c r="R532" s="396"/>
      <c r="S532" s="396"/>
      <c r="T532" s="396"/>
    </row>
    <row r="533" spans="2:20">
      <c r="B533" s="1394"/>
      <c r="C533" s="1398" t="s">
        <v>300</v>
      </c>
      <c r="D533" s="741"/>
      <c r="E533" s="758"/>
      <c r="F533" s="1421"/>
      <c r="G533" s="741"/>
      <c r="I533" s="396"/>
      <c r="J533" s="396"/>
      <c r="K533" s="396"/>
      <c r="L533" s="396"/>
      <c r="M533" s="396"/>
      <c r="N533" s="396"/>
      <c r="O533" s="396"/>
      <c r="P533" s="396"/>
      <c r="Q533" s="396"/>
      <c r="R533" s="396"/>
      <c r="S533" s="396"/>
      <c r="T533" s="396"/>
    </row>
    <row r="534" spans="2:20">
      <c r="B534" s="1394"/>
      <c r="C534" s="2219" t="s">
        <v>301</v>
      </c>
      <c r="D534" s="741"/>
      <c r="E534" s="758"/>
      <c r="F534" s="2221"/>
      <c r="G534" s="741"/>
      <c r="I534" s="396"/>
      <c r="J534" s="396"/>
      <c r="K534" s="396"/>
      <c r="L534" s="396"/>
      <c r="M534" s="396"/>
      <c r="N534" s="396"/>
      <c r="O534" s="396"/>
      <c r="P534" s="396"/>
      <c r="Q534" s="396"/>
      <c r="R534" s="396"/>
      <c r="S534" s="396"/>
      <c r="T534" s="396"/>
    </row>
    <row r="535" spans="2:20">
      <c r="B535" s="1394">
        <v>21</v>
      </c>
      <c r="C535" s="2204" t="s">
        <v>302</v>
      </c>
      <c r="D535" s="742">
        <v>5478278</v>
      </c>
      <c r="E535" s="759">
        <v>5965606</v>
      </c>
      <c r="F535" s="2221">
        <f t="shared" si="2"/>
        <v>11443884</v>
      </c>
      <c r="G535" s="742">
        <v>5816009</v>
      </c>
      <c r="I535" s="396"/>
      <c r="J535" s="396"/>
      <c r="K535" s="396"/>
      <c r="L535" s="396"/>
      <c r="M535" s="396"/>
      <c r="N535" s="396"/>
      <c r="O535" s="396"/>
      <c r="P535" s="396"/>
      <c r="Q535" s="396"/>
      <c r="R535" s="396"/>
      <c r="S535" s="396"/>
      <c r="T535" s="396"/>
    </row>
    <row r="536" spans="2:20">
      <c r="B536" s="1394">
        <v>22</v>
      </c>
      <c r="C536" s="2204" t="s">
        <v>303</v>
      </c>
      <c r="D536" s="742">
        <v>10704</v>
      </c>
      <c r="E536" s="758"/>
      <c r="F536" s="2221">
        <f t="shared" si="2"/>
        <v>10704</v>
      </c>
      <c r="G536" s="741"/>
      <c r="I536" s="396"/>
      <c r="J536" s="396"/>
      <c r="K536" s="396"/>
      <c r="L536" s="396"/>
      <c r="M536" s="396"/>
      <c r="N536" s="396"/>
      <c r="O536" s="396"/>
      <c r="P536" s="396"/>
      <c r="Q536" s="396"/>
      <c r="R536" s="396"/>
      <c r="S536" s="396"/>
      <c r="T536" s="396"/>
    </row>
    <row r="537" spans="2:20">
      <c r="B537" s="1394">
        <v>23</v>
      </c>
      <c r="C537" s="2204" t="s">
        <v>304</v>
      </c>
      <c r="D537" s="742">
        <v>524541</v>
      </c>
      <c r="E537" s="759">
        <v>100607</v>
      </c>
      <c r="F537" s="2221">
        <f t="shared" si="2"/>
        <v>625148</v>
      </c>
      <c r="G537" s="742">
        <v>826019</v>
      </c>
      <c r="I537" s="396"/>
      <c r="J537" s="396"/>
      <c r="K537" s="396"/>
      <c r="L537" s="396"/>
      <c r="M537" s="396"/>
      <c r="N537" s="396"/>
      <c r="O537" s="396"/>
      <c r="P537" s="396"/>
      <c r="Q537" s="396"/>
      <c r="R537" s="396"/>
      <c r="S537" s="396"/>
      <c r="T537" s="396"/>
    </row>
    <row r="538" spans="2:20">
      <c r="B538" s="1394">
        <v>24</v>
      </c>
      <c r="C538" s="2204" t="s">
        <v>305</v>
      </c>
      <c r="D538" s="741"/>
      <c r="E538" s="758">
        <v>1079</v>
      </c>
      <c r="F538" s="2221"/>
      <c r="G538" s="741"/>
      <c r="I538" s="396"/>
      <c r="J538" s="396"/>
      <c r="K538" s="396"/>
      <c r="L538" s="396"/>
      <c r="M538" s="396"/>
      <c r="N538" s="396"/>
      <c r="O538" s="396"/>
      <c r="P538" s="396"/>
      <c r="Q538" s="396"/>
      <c r="R538" s="396"/>
      <c r="S538" s="396"/>
      <c r="T538" s="396"/>
    </row>
    <row r="539" spans="2:20">
      <c r="B539" s="1394">
        <v>25</v>
      </c>
      <c r="C539" s="2203" t="s">
        <v>306</v>
      </c>
      <c r="D539" s="742">
        <v>1806</v>
      </c>
      <c r="E539" s="759">
        <v>41074</v>
      </c>
      <c r="F539" s="2221">
        <f t="shared" si="2"/>
        <v>42880</v>
      </c>
      <c r="G539" s="741"/>
      <c r="I539" s="396"/>
      <c r="J539" s="396"/>
      <c r="K539" s="396"/>
      <c r="L539" s="396"/>
      <c r="M539" s="396"/>
      <c r="N539" s="396"/>
      <c r="O539" s="396"/>
      <c r="P539" s="396"/>
      <c r="Q539" s="396"/>
      <c r="R539" s="396"/>
      <c r="S539" s="396"/>
      <c r="T539" s="396"/>
    </row>
    <row r="540" spans="2:20" ht="13.9" thickBot="1">
      <c r="B540" s="1394">
        <v>26</v>
      </c>
      <c r="C540" s="2205" t="s">
        <v>307</v>
      </c>
      <c r="D540" s="744">
        <v>2006797</v>
      </c>
      <c r="E540" s="761">
        <v>2106675</v>
      </c>
      <c r="F540" s="2222">
        <f t="shared" si="2"/>
        <v>4113472</v>
      </c>
      <c r="G540" s="744">
        <v>42438</v>
      </c>
      <c r="I540" s="396"/>
      <c r="J540" s="396"/>
      <c r="K540" s="396"/>
      <c r="L540" s="396"/>
      <c r="M540" s="396"/>
      <c r="N540" s="396"/>
      <c r="O540" s="396"/>
      <c r="P540" s="396"/>
      <c r="Q540" s="396"/>
      <c r="R540" s="396"/>
      <c r="S540" s="396"/>
      <c r="T540" s="396"/>
    </row>
    <row r="541" spans="2:20" ht="27" thickBot="1">
      <c r="B541" s="1397">
        <v>27</v>
      </c>
      <c r="C541" s="1419" t="s">
        <v>308</v>
      </c>
      <c r="D541" s="745">
        <v>8022126</v>
      </c>
      <c r="E541" s="763">
        <v>8215041</v>
      </c>
      <c r="F541" s="1423">
        <f t="shared" si="2"/>
        <v>16237167</v>
      </c>
      <c r="G541" s="745">
        <v>6684466</v>
      </c>
      <c r="I541" s="396"/>
      <c r="J541" s="396"/>
      <c r="K541" s="396"/>
      <c r="L541" s="396"/>
      <c r="M541" s="396"/>
      <c r="N541" s="396"/>
      <c r="O541" s="396"/>
      <c r="P541" s="396"/>
      <c r="Q541" s="396"/>
      <c r="R541" s="396"/>
      <c r="S541" s="396"/>
      <c r="T541" s="396"/>
    </row>
    <row r="542" spans="2:20">
      <c r="B542" s="1394"/>
      <c r="C542" s="1398" t="s">
        <v>309</v>
      </c>
      <c r="D542" s="741"/>
      <c r="E542" s="1433"/>
      <c r="F542" s="1424"/>
      <c r="G542" s="762"/>
      <c r="I542" s="396"/>
      <c r="J542" s="396"/>
      <c r="K542" s="396"/>
      <c r="L542" s="396"/>
      <c r="M542" s="396"/>
      <c r="N542" s="396"/>
      <c r="O542" s="396"/>
      <c r="P542" s="396"/>
      <c r="Q542" s="396"/>
      <c r="R542" s="396"/>
      <c r="S542" s="396"/>
      <c r="T542" s="396"/>
    </row>
    <row r="543" spans="2:20">
      <c r="B543" s="1394">
        <v>28</v>
      </c>
      <c r="C543" s="2218" t="s">
        <v>310</v>
      </c>
      <c r="D543" s="741"/>
      <c r="E543" s="758"/>
      <c r="F543" s="2221"/>
      <c r="G543" s="741"/>
      <c r="I543" s="396"/>
      <c r="J543" s="396"/>
      <c r="K543" s="396"/>
      <c r="L543" s="396"/>
      <c r="M543" s="396"/>
      <c r="N543" s="396"/>
      <c r="O543" s="396"/>
      <c r="P543" s="396"/>
      <c r="Q543" s="396"/>
      <c r="R543" s="396"/>
      <c r="S543" s="396"/>
      <c r="T543" s="396"/>
    </row>
    <row r="544" spans="2:20">
      <c r="B544" s="1394">
        <v>29</v>
      </c>
      <c r="C544" s="2218" t="s">
        <v>311</v>
      </c>
      <c r="D544" s="741"/>
      <c r="E544" s="758"/>
      <c r="F544" s="2221"/>
      <c r="G544" s="741"/>
      <c r="I544" s="396"/>
      <c r="J544" s="396"/>
      <c r="K544" s="396"/>
      <c r="L544" s="396"/>
      <c r="M544" s="396"/>
      <c r="N544" s="396"/>
      <c r="O544" s="396"/>
      <c r="P544" s="396"/>
      <c r="Q544" s="396"/>
      <c r="R544" s="396"/>
      <c r="S544" s="396"/>
      <c r="T544" s="396"/>
    </row>
    <row r="545" spans="2:20">
      <c r="B545" s="1394">
        <v>30</v>
      </c>
      <c r="C545" s="2207" t="s">
        <v>312</v>
      </c>
      <c r="D545" s="741"/>
      <c r="E545" s="758"/>
      <c r="F545" s="2221"/>
      <c r="G545" s="741"/>
      <c r="I545" s="396"/>
      <c r="J545" s="396"/>
      <c r="K545" s="396"/>
      <c r="L545" s="396"/>
      <c r="M545" s="396"/>
      <c r="N545" s="396"/>
      <c r="O545" s="396"/>
      <c r="P545" s="396"/>
      <c r="Q545" s="396"/>
      <c r="R545" s="396"/>
      <c r="S545" s="396"/>
      <c r="T545" s="396"/>
    </row>
    <row r="546" spans="2:20" ht="13.9" thickBot="1">
      <c r="B546" s="1394">
        <v>31</v>
      </c>
      <c r="C546" s="2207" t="s">
        <v>314</v>
      </c>
      <c r="D546" s="744">
        <v>-5651016</v>
      </c>
      <c r="E546" s="761">
        <v>17840247</v>
      </c>
      <c r="F546" s="2222">
        <f t="shared" si="2"/>
        <v>12189231</v>
      </c>
      <c r="G546" s="744">
        <v>2497902</v>
      </c>
      <c r="I546" s="396"/>
      <c r="J546" s="396"/>
      <c r="K546" s="396"/>
      <c r="L546" s="396"/>
      <c r="M546" s="396"/>
      <c r="N546" s="396"/>
      <c r="O546" s="396"/>
      <c r="P546" s="396"/>
      <c r="Q546" s="396"/>
      <c r="R546" s="396"/>
      <c r="S546" s="396"/>
      <c r="T546" s="396"/>
    </row>
    <row r="547" spans="2:20" ht="13.9" thickBot="1">
      <c r="B547" s="1420">
        <v>32</v>
      </c>
      <c r="C547" s="1419" t="s">
        <v>315</v>
      </c>
      <c r="D547" s="745">
        <v>-5651016</v>
      </c>
      <c r="E547" s="763">
        <v>17840247</v>
      </c>
      <c r="F547" s="1423">
        <f t="shared" si="2"/>
        <v>12189231</v>
      </c>
      <c r="G547" s="745">
        <v>2497902</v>
      </c>
      <c r="I547" s="396"/>
      <c r="J547" s="396"/>
      <c r="K547" s="396"/>
      <c r="L547" s="396"/>
      <c r="M547" s="396"/>
      <c r="N547" s="396"/>
      <c r="O547" s="396"/>
      <c r="P547" s="396"/>
      <c r="Q547" s="396"/>
      <c r="R547" s="396"/>
      <c r="S547" s="396"/>
      <c r="T547" s="396"/>
    </row>
    <row r="548" spans="2:20" ht="27" thickBot="1">
      <c r="B548" s="1429">
        <v>33</v>
      </c>
      <c r="C548" s="1430" t="s">
        <v>317</v>
      </c>
      <c r="D548" s="1431">
        <v>2371110</v>
      </c>
      <c r="E548" s="1432">
        <v>26055288</v>
      </c>
      <c r="F548" s="1432">
        <f t="shared" si="2"/>
        <v>28426398</v>
      </c>
      <c r="G548" s="1431">
        <v>9182368</v>
      </c>
      <c r="I548" s="396"/>
      <c r="J548" s="396"/>
      <c r="K548" s="396"/>
      <c r="L548" s="396"/>
      <c r="M548" s="396"/>
      <c r="N548" s="396"/>
      <c r="O548" s="396"/>
      <c r="P548" s="396"/>
      <c r="Q548" s="396"/>
      <c r="R548" s="396"/>
      <c r="S548" s="396"/>
      <c r="T548" s="396"/>
    </row>
    <row r="549" spans="2:20">
      <c r="B549" s="196"/>
      <c r="C549" s="391"/>
      <c r="D549" s="544"/>
      <c r="E549" s="383"/>
      <c r="F549" s="293"/>
      <c r="I549" s="396"/>
      <c r="J549" s="396"/>
      <c r="K549" s="396"/>
      <c r="L549" s="396"/>
      <c r="M549" s="396"/>
      <c r="N549" s="396"/>
      <c r="O549" s="396"/>
      <c r="P549" s="396"/>
      <c r="Q549" s="396"/>
      <c r="R549" s="396"/>
      <c r="S549" s="396"/>
      <c r="T549" s="396"/>
    </row>
    <row r="550" spans="2:20">
      <c r="B550" s="196"/>
      <c r="C550" s="391"/>
      <c r="D550" s="544"/>
      <c r="E550" s="383"/>
      <c r="F550" s="293"/>
      <c r="H550" s="292">
        <v>91</v>
      </c>
      <c r="I550" s="396"/>
      <c r="J550" s="396"/>
      <c r="K550" s="396"/>
      <c r="L550" s="396"/>
      <c r="M550" s="396"/>
      <c r="N550" s="396"/>
      <c r="O550" s="396"/>
      <c r="P550" s="396"/>
      <c r="Q550" s="396"/>
      <c r="R550" s="396"/>
      <c r="S550" s="396"/>
      <c r="T550" s="396"/>
    </row>
    <row r="551" spans="2:20">
      <c r="B551" s="196"/>
      <c r="C551" s="391"/>
      <c r="D551" s="544"/>
      <c r="E551" s="383"/>
      <c r="F551" s="293"/>
      <c r="I551" s="396"/>
      <c r="J551" s="396"/>
      <c r="K551" s="396"/>
      <c r="L551" s="396"/>
      <c r="M551" s="396"/>
      <c r="N551" s="396"/>
      <c r="O551" s="396"/>
      <c r="P551" s="396"/>
      <c r="Q551" s="396"/>
      <c r="R551" s="396"/>
      <c r="S551" s="396"/>
      <c r="T551" s="396"/>
    </row>
    <row r="552" spans="2:20" ht="14.45">
      <c r="B552" s="3340" t="s">
        <v>420</v>
      </c>
      <c r="C552" s="3341"/>
      <c r="D552" s="3341"/>
      <c r="E552" s="3341"/>
      <c r="F552" s="3341"/>
      <c r="G552" s="3341"/>
      <c r="I552" s="396"/>
      <c r="J552" s="396"/>
      <c r="K552" s="396"/>
      <c r="L552" s="396"/>
      <c r="M552" s="396"/>
      <c r="N552" s="396"/>
      <c r="O552" s="396"/>
      <c r="P552" s="396"/>
      <c r="Q552" s="396"/>
      <c r="R552" s="396"/>
      <c r="S552" s="396"/>
      <c r="T552" s="396"/>
    </row>
    <row r="553" spans="2:20" ht="13.9" thickBot="1">
      <c r="B553" s="51"/>
      <c r="C553" s="51"/>
      <c r="D553" s="51"/>
      <c r="E553" s="51"/>
      <c r="F553" s="51"/>
      <c r="G553" s="396"/>
      <c r="I553" s="396"/>
      <c r="J553" s="396"/>
      <c r="K553" s="396"/>
      <c r="L553" s="396"/>
      <c r="M553" s="396"/>
      <c r="N553" s="396"/>
      <c r="O553" s="396"/>
      <c r="P553" s="396"/>
      <c r="Q553" s="396"/>
      <c r="R553" s="396"/>
      <c r="S553" s="396"/>
      <c r="T553" s="396"/>
    </row>
    <row r="554" spans="2:20" ht="13.9" thickBot="1">
      <c r="B554" s="3344" t="s">
        <v>111</v>
      </c>
      <c r="C554" s="3345"/>
      <c r="D554" s="425"/>
      <c r="E554" s="546"/>
      <c r="F554" s="396"/>
      <c r="I554" s="396"/>
      <c r="J554" s="396"/>
      <c r="K554" s="396"/>
      <c r="L554" s="396"/>
      <c r="M554" s="396"/>
      <c r="N554" s="396"/>
      <c r="O554" s="396"/>
      <c r="P554" s="396"/>
      <c r="Q554" s="396"/>
      <c r="R554" s="396"/>
      <c r="S554" s="396"/>
      <c r="T554" s="396"/>
    </row>
    <row r="555" spans="2:20">
      <c r="B555" s="3284" t="s">
        <v>396</v>
      </c>
      <c r="C555" s="3346"/>
      <c r="D555" s="3283" t="s">
        <v>414</v>
      </c>
      <c r="E555" s="274"/>
      <c r="I555" s="396"/>
      <c r="J555" s="396"/>
      <c r="K555" s="396"/>
      <c r="L555" s="396"/>
      <c r="M555" s="396"/>
      <c r="N555" s="396"/>
      <c r="O555" s="396"/>
      <c r="P555" s="396"/>
      <c r="Q555" s="396"/>
      <c r="R555" s="396"/>
      <c r="S555" s="396"/>
      <c r="T555" s="396"/>
    </row>
    <row r="556" spans="2:20">
      <c r="B556" s="3284"/>
      <c r="C556" s="3346"/>
      <c r="D556" s="3284"/>
      <c r="E556" s="443"/>
      <c r="I556" s="396"/>
      <c r="J556" s="396"/>
      <c r="K556" s="396"/>
      <c r="L556" s="396"/>
      <c r="M556" s="396"/>
      <c r="N556" s="396"/>
      <c r="O556" s="396"/>
      <c r="P556" s="396"/>
      <c r="Q556" s="396"/>
      <c r="R556" s="396"/>
      <c r="S556" s="396"/>
      <c r="T556" s="396"/>
    </row>
    <row r="557" spans="2:20">
      <c r="B557" s="3285"/>
      <c r="C557" s="3347"/>
      <c r="D557" s="3285"/>
      <c r="E557" s="443"/>
      <c r="I557" s="396"/>
      <c r="J557" s="396"/>
      <c r="K557" s="396"/>
      <c r="L557" s="396"/>
      <c r="M557" s="396"/>
      <c r="N557" s="396"/>
      <c r="O557" s="396"/>
      <c r="P557" s="396"/>
      <c r="Q557" s="396"/>
      <c r="R557" s="396"/>
      <c r="S557" s="396"/>
      <c r="T557" s="396"/>
    </row>
    <row r="558" spans="2:20" ht="14.45">
      <c r="B558" s="1394"/>
      <c r="C558" s="1401" t="s">
        <v>275</v>
      </c>
      <c r="D558" s="709"/>
      <c r="E558" s="293"/>
      <c r="I558" s="396"/>
      <c r="J558" s="396"/>
      <c r="K558" s="396"/>
      <c r="L558" s="396"/>
      <c r="M558" s="396"/>
      <c r="N558" s="396"/>
      <c r="O558" s="396"/>
      <c r="P558" s="396"/>
      <c r="Q558" s="396"/>
      <c r="R558" s="396"/>
      <c r="S558" s="396"/>
      <c r="T558" s="396"/>
    </row>
    <row r="559" spans="2:20">
      <c r="B559" s="1394">
        <v>1</v>
      </c>
      <c r="C559" s="2218" t="s">
        <v>276</v>
      </c>
      <c r="D559" s="741">
        <v>0</v>
      </c>
      <c r="E559" s="293"/>
      <c r="G559" s="396"/>
      <c r="I559" s="396"/>
      <c r="J559" s="396"/>
      <c r="K559" s="396"/>
      <c r="L559" s="396"/>
      <c r="M559" s="396"/>
      <c r="N559" s="396"/>
      <c r="O559" s="396"/>
      <c r="P559" s="396"/>
      <c r="Q559" s="396"/>
      <c r="R559" s="396"/>
      <c r="S559" s="396"/>
      <c r="T559" s="396"/>
    </row>
    <row r="560" spans="2:20">
      <c r="B560" s="1394">
        <v>2</v>
      </c>
      <c r="C560" s="2218" t="s">
        <v>277</v>
      </c>
      <c r="D560" s="730">
        <v>10581</v>
      </c>
      <c r="E560" s="293"/>
      <c r="G560" s="396"/>
      <c r="I560" s="396"/>
      <c r="J560" s="396"/>
      <c r="K560" s="396"/>
      <c r="L560" s="396"/>
      <c r="M560" s="396"/>
      <c r="N560" s="396"/>
      <c r="O560" s="396"/>
      <c r="P560" s="396"/>
      <c r="Q560" s="396"/>
      <c r="R560" s="396"/>
      <c r="S560" s="396"/>
      <c r="T560" s="396"/>
    </row>
    <row r="561" spans="2:20">
      <c r="B561" s="1394">
        <v>3</v>
      </c>
      <c r="C561" s="2218" t="s">
        <v>278</v>
      </c>
      <c r="D561" s="731"/>
      <c r="E561" s="293"/>
      <c r="G561" s="396"/>
      <c r="I561" s="396"/>
      <c r="J561" s="396"/>
      <c r="K561" s="396"/>
      <c r="L561" s="396"/>
      <c r="M561" s="396"/>
      <c r="N561" s="396"/>
      <c r="O561" s="396"/>
      <c r="P561" s="396"/>
      <c r="Q561" s="396"/>
      <c r="R561" s="396"/>
      <c r="S561" s="396"/>
      <c r="T561" s="396"/>
    </row>
    <row r="562" spans="2:20">
      <c r="B562" s="1394">
        <v>4</v>
      </c>
      <c r="C562" s="2220" t="s">
        <v>279</v>
      </c>
      <c r="D562" s="731">
        <v>95432</v>
      </c>
      <c r="E562" s="293"/>
      <c r="G562" s="396"/>
      <c r="I562" s="396"/>
      <c r="J562" s="396"/>
      <c r="K562" s="396"/>
      <c r="L562" s="396"/>
      <c r="M562" s="396"/>
      <c r="N562" s="396"/>
      <c r="O562" s="396"/>
      <c r="P562" s="396"/>
      <c r="Q562" s="396"/>
      <c r="R562" s="396"/>
      <c r="S562" s="396"/>
      <c r="T562" s="396"/>
    </row>
    <row r="563" spans="2:20">
      <c r="B563" s="1394">
        <v>5</v>
      </c>
      <c r="C563" s="2218" t="s">
        <v>280</v>
      </c>
      <c r="D563" s="731">
        <v>38805</v>
      </c>
      <c r="E563" s="293"/>
      <c r="G563" s="396"/>
      <c r="I563" s="396"/>
      <c r="J563" s="396"/>
      <c r="K563" s="396"/>
      <c r="L563" s="396"/>
      <c r="M563" s="396"/>
      <c r="N563" s="396"/>
      <c r="O563" s="396"/>
      <c r="P563" s="396"/>
      <c r="Q563" s="396"/>
      <c r="R563" s="396"/>
      <c r="S563" s="396"/>
      <c r="T563" s="396"/>
    </row>
    <row r="564" spans="2:20">
      <c r="B564" s="1394">
        <v>6</v>
      </c>
      <c r="C564" s="2218" t="s">
        <v>281</v>
      </c>
      <c r="D564" s="741"/>
      <c r="E564" s="293"/>
      <c r="G564" s="396"/>
      <c r="I564" s="396"/>
      <c r="J564" s="396"/>
      <c r="K564" s="396"/>
      <c r="L564" s="396"/>
      <c r="M564" s="396"/>
      <c r="N564" s="396"/>
      <c r="O564" s="396"/>
      <c r="P564" s="396"/>
      <c r="Q564" s="396"/>
      <c r="R564" s="396"/>
      <c r="S564" s="396"/>
      <c r="T564" s="396"/>
    </row>
    <row r="565" spans="2:20">
      <c r="B565" s="1394">
        <v>7</v>
      </c>
      <c r="C565" s="2218" t="s">
        <v>282</v>
      </c>
      <c r="D565" s="741"/>
      <c r="E565" s="293"/>
      <c r="G565" s="396"/>
      <c r="I565" s="396"/>
      <c r="J565" s="396"/>
      <c r="K565" s="396"/>
      <c r="L565" s="396"/>
      <c r="M565" s="396"/>
      <c r="N565" s="396"/>
      <c r="O565" s="396"/>
      <c r="P565" s="396"/>
      <c r="Q565" s="396"/>
      <c r="R565" s="396"/>
      <c r="S565" s="396"/>
      <c r="T565" s="396"/>
    </row>
    <row r="566" spans="2:20">
      <c r="B566" s="1394"/>
      <c r="C566" s="2203" t="s">
        <v>416</v>
      </c>
      <c r="D566" s="741"/>
      <c r="E566" s="293"/>
      <c r="G566" s="396"/>
      <c r="I566" s="396"/>
      <c r="J566" s="396"/>
      <c r="K566" s="396"/>
      <c r="L566" s="396"/>
      <c r="M566" s="396"/>
      <c r="N566" s="396"/>
      <c r="O566" s="396"/>
      <c r="P566" s="396"/>
      <c r="Q566" s="396"/>
      <c r="R566" s="396"/>
      <c r="S566" s="396"/>
      <c r="T566" s="396"/>
    </row>
    <row r="567" spans="2:20">
      <c r="B567" s="1394"/>
      <c r="C567" s="2203" t="s">
        <v>417</v>
      </c>
      <c r="D567" s="741"/>
      <c r="E567" s="293"/>
      <c r="G567" s="396"/>
      <c r="I567" s="396"/>
      <c r="J567" s="396"/>
      <c r="K567" s="396"/>
      <c r="L567" s="396"/>
      <c r="M567" s="396"/>
      <c r="N567" s="396"/>
      <c r="O567" s="396"/>
      <c r="P567" s="396"/>
      <c r="Q567" s="396"/>
      <c r="R567" s="396"/>
      <c r="S567" s="396"/>
      <c r="T567" s="396"/>
    </row>
    <row r="568" spans="2:20">
      <c r="B568" s="1394">
        <v>8</v>
      </c>
      <c r="C568" s="2218" t="s">
        <v>285</v>
      </c>
      <c r="D568" s="741"/>
      <c r="E568" s="293"/>
      <c r="G568" s="396"/>
      <c r="I568" s="396"/>
      <c r="J568" s="396"/>
      <c r="K568" s="396"/>
      <c r="L568" s="396"/>
      <c r="M568" s="396"/>
      <c r="N568" s="396"/>
      <c r="O568" s="396"/>
      <c r="P568" s="396"/>
      <c r="Q568" s="396"/>
      <c r="R568" s="396"/>
      <c r="S568" s="396"/>
      <c r="T568" s="396"/>
    </row>
    <row r="569" spans="2:20">
      <c r="B569" s="1394"/>
      <c r="C569" s="2203" t="s">
        <v>418</v>
      </c>
      <c r="D569" s="741"/>
      <c r="E569" s="293"/>
      <c r="G569" s="396"/>
      <c r="I569" s="396"/>
      <c r="J569" s="396"/>
      <c r="K569" s="396"/>
      <c r="L569" s="396"/>
      <c r="M569" s="396"/>
      <c r="N569" s="396"/>
      <c r="O569" s="396"/>
      <c r="P569" s="396"/>
      <c r="Q569" s="396"/>
      <c r="R569" s="396"/>
      <c r="S569" s="396"/>
      <c r="T569" s="396"/>
    </row>
    <row r="570" spans="2:20">
      <c r="B570" s="1394"/>
      <c r="C570" s="2203" t="s">
        <v>419</v>
      </c>
      <c r="D570" s="741"/>
      <c r="E570" s="293"/>
      <c r="G570" s="396"/>
      <c r="I570" s="396"/>
      <c r="J570" s="396"/>
      <c r="K570" s="396"/>
      <c r="L570" s="396"/>
      <c r="M570" s="396"/>
      <c r="N570" s="396"/>
      <c r="O570" s="396"/>
      <c r="P570" s="396"/>
      <c r="Q570" s="396"/>
      <c r="R570" s="396"/>
      <c r="S570" s="396"/>
      <c r="T570" s="396"/>
    </row>
    <row r="571" spans="2:20" ht="26.45">
      <c r="B571" s="1396">
        <v>9</v>
      </c>
      <c r="C571" s="2212" t="s">
        <v>288</v>
      </c>
      <c r="D571" s="743">
        <v>2399546</v>
      </c>
      <c r="G571" s="396"/>
      <c r="I571" s="396"/>
      <c r="J571" s="396"/>
      <c r="K571" s="396"/>
      <c r="L571" s="396"/>
      <c r="M571" s="396"/>
      <c r="N571" s="396"/>
      <c r="O571" s="396"/>
      <c r="P571" s="396"/>
      <c r="Q571" s="396"/>
      <c r="R571" s="396"/>
      <c r="S571" s="396"/>
      <c r="T571" s="396"/>
    </row>
    <row r="572" spans="2:20">
      <c r="B572" s="1394">
        <v>10</v>
      </c>
      <c r="C572" s="2203" t="s">
        <v>289</v>
      </c>
      <c r="D572" s="741"/>
      <c r="E572" s="293"/>
      <c r="G572" s="396"/>
      <c r="I572" s="396"/>
      <c r="J572" s="396"/>
      <c r="K572" s="396"/>
      <c r="L572" s="396"/>
      <c r="M572" s="396"/>
      <c r="N572" s="396"/>
      <c r="O572" s="396"/>
      <c r="P572" s="396"/>
      <c r="Q572" s="396"/>
      <c r="R572" s="396"/>
      <c r="S572" s="396"/>
      <c r="T572" s="396"/>
    </row>
    <row r="573" spans="2:20">
      <c r="B573" s="1394">
        <v>11</v>
      </c>
      <c r="C573" s="2203" t="s">
        <v>290</v>
      </c>
      <c r="D573" s="731">
        <v>2399546</v>
      </c>
      <c r="E573" s="293"/>
      <c r="G573" s="396"/>
      <c r="I573" s="396"/>
      <c r="J573" s="396"/>
      <c r="K573" s="396"/>
      <c r="L573" s="396"/>
      <c r="M573" s="396"/>
      <c r="N573" s="396"/>
      <c r="O573" s="396"/>
      <c r="P573" s="396"/>
      <c r="Q573" s="396"/>
      <c r="R573" s="396"/>
      <c r="S573" s="396"/>
      <c r="T573" s="396"/>
    </row>
    <row r="574" spans="2:20">
      <c r="B574" s="1394">
        <v>12</v>
      </c>
      <c r="C574" s="2203" t="s">
        <v>291</v>
      </c>
      <c r="D574" s="733"/>
      <c r="E574" s="293"/>
      <c r="G574" s="396"/>
      <c r="I574" s="396"/>
      <c r="J574" s="396"/>
      <c r="K574" s="396"/>
      <c r="L574" s="396"/>
      <c r="M574" s="396"/>
      <c r="N574" s="396"/>
      <c r="O574" s="396"/>
      <c r="P574" s="396"/>
      <c r="Q574" s="396"/>
      <c r="R574" s="396"/>
      <c r="S574" s="396"/>
      <c r="T574" s="396"/>
    </row>
    <row r="575" spans="2:20" ht="26.45">
      <c r="B575" s="1394">
        <v>13</v>
      </c>
      <c r="C575" s="2203" t="s">
        <v>292</v>
      </c>
      <c r="D575" s="733"/>
      <c r="E575" s="293"/>
      <c r="G575" s="396"/>
      <c r="I575" s="396"/>
      <c r="J575" s="396"/>
      <c r="K575" s="396"/>
      <c r="L575" s="396"/>
      <c r="M575" s="396"/>
      <c r="N575" s="396"/>
      <c r="O575" s="396"/>
      <c r="P575" s="396"/>
      <c r="Q575" s="396"/>
      <c r="R575" s="396"/>
      <c r="S575" s="396"/>
      <c r="T575" s="396"/>
    </row>
    <row r="576" spans="2:20">
      <c r="B576" s="1394">
        <v>14</v>
      </c>
      <c r="C576" s="2204" t="s">
        <v>293</v>
      </c>
      <c r="D576" s="733"/>
      <c r="E576" s="293"/>
      <c r="G576" s="396"/>
      <c r="I576" s="396"/>
      <c r="J576" s="396"/>
      <c r="K576" s="396"/>
      <c r="L576" s="396"/>
      <c r="M576" s="396"/>
      <c r="N576" s="396"/>
      <c r="O576" s="396"/>
      <c r="P576" s="396"/>
      <c r="Q576" s="396"/>
      <c r="R576" s="396"/>
      <c r="S576" s="396"/>
      <c r="T576" s="396"/>
    </row>
    <row r="577" spans="2:20">
      <c r="B577" s="1394">
        <v>15</v>
      </c>
      <c r="C577" s="2204" t="s">
        <v>294</v>
      </c>
      <c r="D577" s="731">
        <v>323062</v>
      </c>
      <c r="E577" s="293"/>
      <c r="G577" s="396"/>
      <c r="I577" s="396"/>
      <c r="J577" s="396"/>
      <c r="K577" s="396"/>
      <c r="L577" s="396"/>
      <c r="M577" s="396"/>
      <c r="N577" s="396"/>
      <c r="O577" s="396"/>
      <c r="P577" s="396"/>
      <c r="Q577" s="396"/>
      <c r="R577" s="396"/>
      <c r="S577" s="396"/>
      <c r="T577" s="396"/>
    </row>
    <row r="578" spans="2:20">
      <c r="B578" s="1394">
        <v>16</v>
      </c>
      <c r="C578" s="2204" t="s">
        <v>295</v>
      </c>
      <c r="D578" s="731">
        <v>691580</v>
      </c>
      <c r="E578" s="293"/>
      <c r="G578" s="396"/>
      <c r="I578" s="396"/>
      <c r="J578" s="396"/>
      <c r="K578" s="396"/>
      <c r="L578" s="396"/>
      <c r="M578" s="396"/>
      <c r="N578" s="396"/>
      <c r="O578" s="396"/>
      <c r="P578" s="396"/>
      <c r="Q578" s="396"/>
      <c r="R578" s="396"/>
      <c r="S578" s="396"/>
      <c r="T578" s="396"/>
    </row>
    <row r="579" spans="2:20">
      <c r="B579" s="1394">
        <v>17</v>
      </c>
      <c r="C579" s="2204" t="s">
        <v>296</v>
      </c>
      <c r="D579" s="731">
        <v>34763</v>
      </c>
      <c r="E579" s="383"/>
      <c r="G579" s="396"/>
      <c r="I579" s="396"/>
      <c r="J579" s="396"/>
      <c r="K579" s="396"/>
      <c r="L579" s="396"/>
      <c r="M579" s="396"/>
      <c r="N579" s="396"/>
      <c r="O579" s="396"/>
      <c r="P579" s="396"/>
      <c r="Q579" s="396"/>
      <c r="R579" s="396"/>
      <c r="S579" s="396"/>
      <c r="T579" s="396"/>
    </row>
    <row r="580" spans="2:20">
      <c r="B580" s="1394">
        <v>18</v>
      </c>
      <c r="C580" s="2204" t="s">
        <v>297</v>
      </c>
      <c r="D580" s="731">
        <v>157815</v>
      </c>
      <c r="E580" s="293"/>
      <c r="G580" s="396"/>
      <c r="I580" s="396"/>
      <c r="J580" s="396"/>
      <c r="K580" s="396"/>
      <c r="L580" s="396"/>
      <c r="M580" s="396"/>
      <c r="N580" s="396"/>
      <c r="O580" s="396"/>
      <c r="P580" s="396"/>
      <c r="Q580" s="396"/>
      <c r="R580" s="396"/>
      <c r="S580" s="396"/>
      <c r="T580" s="396"/>
    </row>
    <row r="581" spans="2:20" ht="13.9" thickBot="1">
      <c r="B581" s="1394">
        <v>19</v>
      </c>
      <c r="C581" s="2205" t="s">
        <v>298</v>
      </c>
      <c r="D581" s="736">
        <v>115089</v>
      </c>
      <c r="E581" s="293"/>
      <c r="G581" s="396"/>
      <c r="I581" s="396"/>
      <c r="J581" s="396"/>
      <c r="K581" s="396"/>
      <c r="L581" s="396"/>
      <c r="M581" s="396"/>
      <c r="N581" s="396"/>
      <c r="O581" s="396"/>
      <c r="P581" s="396"/>
      <c r="Q581" s="396"/>
      <c r="R581" s="396"/>
      <c r="S581" s="396"/>
      <c r="T581" s="396"/>
    </row>
    <row r="582" spans="2:20" ht="27" thickBot="1">
      <c r="B582" s="1406">
        <v>20</v>
      </c>
      <c r="C582" s="1425" t="s">
        <v>299</v>
      </c>
      <c r="D582" s="1434">
        <v>3866673</v>
      </c>
      <c r="E582" s="293"/>
      <c r="G582" s="396"/>
      <c r="I582" s="396"/>
      <c r="J582" s="396"/>
      <c r="K582" s="396"/>
      <c r="L582" s="396"/>
      <c r="M582" s="396"/>
      <c r="N582" s="396"/>
      <c r="O582" s="396"/>
      <c r="P582" s="396"/>
      <c r="Q582" s="396"/>
      <c r="R582" s="396"/>
      <c r="S582" s="396"/>
      <c r="T582" s="396"/>
    </row>
    <row r="583" spans="2:20">
      <c r="B583" s="1394"/>
      <c r="C583" s="1398" t="s">
        <v>300</v>
      </c>
      <c r="D583" s="741"/>
      <c r="E583" s="293"/>
      <c r="G583" s="396"/>
      <c r="I583" s="396"/>
      <c r="J583" s="396"/>
      <c r="K583" s="396"/>
      <c r="L583" s="396"/>
      <c r="M583" s="396"/>
      <c r="N583" s="396"/>
      <c r="O583" s="396"/>
      <c r="P583" s="396"/>
      <c r="Q583" s="396"/>
      <c r="R583" s="396"/>
      <c r="S583" s="396"/>
      <c r="T583" s="396"/>
    </row>
    <row r="584" spans="2:20">
      <c r="B584" s="1394"/>
      <c r="C584" s="2219" t="s">
        <v>301</v>
      </c>
      <c r="D584" s="741"/>
      <c r="E584" s="293"/>
      <c r="G584" s="396"/>
      <c r="I584" s="396"/>
      <c r="J584" s="396"/>
      <c r="K584" s="396"/>
      <c r="L584" s="396"/>
      <c r="M584" s="396"/>
      <c r="N584" s="396"/>
      <c r="O584" s="396"/>
      <c r="P584" s="396"/>
      <c r="Q584" s="396"/>
      <c r="R584" s="396"/>
      <c r="S584" s="396"/>
      <c r="T584" s="396"/>
    </row>
    <row r="585" spans="2:20">
      <c r="B585" s="1394">
        <v>21</v>
      </c>
      <c r="C585" s="2204" t="s">
        <v>302</v>
      </c>
      <c r="D585" s="731">
        <v>1715947</v>
      </c>
      <c r="E585" s="293"/>
      <c r="G585" s="396"/>
      <c r="I585" s="396"/>
      <c r="J585" s="396"/>
      <c r="K585" s="396"/>
      <c r="L585" s="396"/>
      <c r="M585" s="396"/>
      <c r="N585" s="396"/>
      <c r="O585" s="396"/>
      <c r="P585" s="396"/>
      <c r="Q585" s="396"/>
      <c r="R585" s="396"/>
      <c r="S585" s="396"/>
      <c r="T585" s="396"/>
    </row>
    <row r="586" spans="2:20">
      <c r="B586" s="1394">
        <v>22</v>
      </c>
      <c r="C586" s="2204" t="s">
        <v>303</v>
      </c>
      <c r="D586" s="731">
        <v>27369</v>
      </c>
      <c r="E586" s="293"/>
      <c r="G586" s="396"/>
      <c r="I586" s="396"/>
      <c r="J586" s="396"/>
      <c r="K586" s="396"/>
      <c r="L586" s="396"/>
      <c r="M586" s="396"/>
      <c r="N586" s="396"/>
      <c r="O586" s="396"/>
      <c r="P586" s="396"/>
      <c r="Q586" s="396"/>
      <c r="R586" s="396"/>
      <c r="S586" s="396"/>
      <c r="T586" s="396"/>
    </row>
    <row r="587" spans="2:20">
      <c r="B587" s="1394">
        <v>23</v>
      </c>
      <c r="C587" s="2204" t="s">
        <v>304</v>
      </c>
      <c r="D587" s="731">
        <v>201602</v>
      </c>
      <c r="E587" s="293"/>
      <c r="G587" s="396"/>
      <c r="I587" s="396"/>
      <c r="J587" s="396"/>
      <c r="K587" s="396"/>
      <c r="L587" s="396"/>
      <c r="M587" s="396"/>
      <c r="N587" s="396"/>
      <c r="O587" s="396"/>
      <c r="P587" s="396"/>
      <c r="Q587" s="396"/>
      <c r="R587" s="396"/>
      <c r="S587" s="396"/>
      <c r="T587" s="396"/>
    </row>
    <row r="588" spans="2:20">
      <c r="B588" s="1394">
        <v>24</v>
      </c>
      <c r="C588" s="2204" t="s">
        <v>305</v>
      </c>
      <c r="D588" s="731">
        <v>40020</v>
      </c>
      <c r="E588" s="293"/>
      <c r="G588" s="396"/>
      <c r="I588" s="396"/>
      <c r="J588" s="396"/>
      <c r="K588" s="396"/>
      <c r="L588" s="396"/>
      <c r="M588" s="396"/>
      <c r="N588" s="396"/>
      <c r="O588" s="396"/>
      <c r="P588" s="396"/>
      <c r="Q588" s="396"/>
      <c r="R588" s="396"/>
      <c r="S588" s="396"/>
      <c r="T588" s="396"/>
    </row>
    <row r="589" spans="2:20">
      <c r="B589" s="1394">
        <v>25</v>
      </c>
      <c r="C589" s="2203" t="s">
        <v>306</v>
      </c>
      <c r="D589" s="733"/>
      <c r="E589" s="293"/>
      <c r="G589" s="396"/>
      <c r="I589" s="396"/>
      <c r="J589" s="396"/>
      <c r="K589" s="396"/>
      <c r="L589" s="396"/>
      <c r="M589" s="396"/>
      <c r="N589" s="396"/>
      <c r="O589" s="396"/>
      <c r="P589" s="396"/>
      <c r="Q589" s="396"/>
      <c r="R589" s="396"/>
      <c r="S589" s="396"/>
      <c r="T589" s="396"/>
    </row>
    <row r="590" spans="2:20" ht="13.9" thickBot="1">
      <c r="B590" s="1394">
        <v>26</v>
      </c>
      <c r="C590" s="2205" t="s">
        <v>307</v>
      </c>
      <c r="D590" s="736">
        <v>570013</v>
      </c>
      <c r="E590" s="293"/>
      <c r="G590" s="396"/>
      <c r="I590" s="396"/>
      <c r="J590" s="396"/>
      <c r="K590" s="396"/>
      <c r="L590" s="396"/>
      <c r="M590" s="396"/>
      <c r="N590" s="396"/>
      <c r="O590" s="396"/>
      <c r="P590" s="396"/>
      <c r="Q590" s="396"/>
      <c r="R590" s="396"/>
      <c r="S590" s="396"/>
      <c r="T590" s="396"/>
    </row>
    <row r="591" spans="2:20" ht="27" thickBot="1">
      <c r="B591" s="1397">
        <v>27</v>
      </c>
      <c r="C591" s="1419" t="s">
        <v>308</v>
      </c>
      <c r="D591" s="737">
        <v>2554951</v>
      </c>
      <c r="E591" s="293"/>
      <c r="G591" s="396"/>
      <c r="I591" s="396"/>
      <c r="J591" s="396"/>
      <c r="K591" s="396"/>
      <c r="L591" s="396"/>
      <c r="M591" s="396"/>
      <c r="N591" s="396"/>
      <c r="O591" s="396"/>
      <c r="P591" s="396"/>
      <c r="Q591" s="396"/>
      <c r="R591" s="396"/>
      <c r="S591" s="396"/>
      <c r="T591" s="396"/>
    </row>
    <row r="592" spans="2:20">
      <c r="B592" s="1394"/>
      <c r="C592" s="1398" t="s">
        <v>309</v>
      </c>
      <c r="D592" s="756"/>
      <c r="E592" s="293"/>
      <c r="G592" s="396"/>
      <c r="I592" s="396"/>
      <c r="J592" s="396"/>
      <c r="K592" s="396"/>
      <c r="L592" s="396"/>
      <c r="M592" s="396"/>
      <c r="N592" s="396"/>
      <c r="O592" s="396"/>
      <c r="P592" s="396"/>
      <c r="Q592" s="396"/>
      <c r="R592" s="396"/>
      <c r="S592" s="396"/>
      <c r="T592" s="396"/>
    </row>
    <row r="593" spans="2:20">
      <c r="B593" s="1394">
        <v>28</v>
      </c>
      <c r="C593" s="2218" t="s">
        <v>310</v>
      </c>
      <c r="D593" s="731">
        <v>825000</v>
      </c>
      <c r="E593" s="383"/>
      <c r="F593" s="295"/>
      <c r="G593" s="396"/>
      <c r="I593" s="396"/>
      <c r="J593" s="396"/>
      <c r="K593" s="396"/>
      <c r="L593" s="396"/>
      <c r="M593" s="396"/>
      <c r="N593" s="396"/>
      <c r="O593" s="396"/>
      <c r="P593" s="396"/>
      <c r="Q593" s="396"/>
      <c r="R593" s="396"/>
      <c r="S593" s="396"/>
      <c r="T593" s="396"/>
    </row>
    <row r="594" spans="2:20">
      <c r="B594" s="1394">
        <v>29</v>
      </c>
      <c r="C594" s="2218" t="s">
        <v>311</v>
      </c>
      <c r="D594" s="733"/>
      <c r="E594" s="293"/>
      <c r="G594" s="396"/>
      <c r="I594" s="396"/>
      <c r="J594" s="396"/>
      <c r="K594" s="396"/>
      <c r="L594" s="396"/>
      <c r="M594" s="396"/>
      <c r="N594" s="396"/>
      <c r="O594" s="396"/>
      <c r="P594" s="396"/>
      <c r="Q594" s="396"/>
      <c r="R594" s="396"/>
      <c r="S594" s="396"/>
      <c r="T594" s="396"/>
    </row>
    <row r="595" spans="2:20">
      <c r="B595" s="1394">
        <v>30</v>
      </c>
      <c r="C595" s="2207" t="s">
        <v>312</v>
      </c>
      <c r="D595" s="733"/>
      <c r="E595" s="293" t="s">
        <v>425</v>
      </c>
      <c r="G595" s="396"/>
      <c r="I595" s="396"/>
      <c r="J595" s="396"/>
      <c r="K595" s="396"/>
      <c r="L595" s="396"/>
      <c r="M595" s="396"/>
      <c r="N595" s="396"/>
      <c r="O595" s="396"/>
      <c r="P595" s="396"/>
      <c r="Q595" s="396"/>
      <c r="R595" s="396"/>
      <c r="S595" s="396"/>
      <c r="T595" s="396"/>
    </row>
    <row r="596" spans="2:20" ht="13.9" thickBot="1">
      <c r="B596" s="1394">
        <v>31</v>
      </c>
      <c r="C596" s="2207" t="s">
        <v>314</v>
      </c>
      <c r="D596" s="736">
        <v>486722</v>
      </c>
      <c r="E596" s="293"/>
      <c r="G596" s="396"/>
      <c r="I596" s="396"/>
      <c r="J596" s="396"/>
      <c r="K596" s="396"/>
      <c r="L596" s="396"/>
      <c r="M596" s="396"/>
      <c r="N596" s="396"/>
      <c r="O596" s="396"/>
      <c r="P596" s="396"/>
      <c r="Q596" s="396"/>
      <c r="R596" s="396"/>
      <c r="S596" s="396"/>
      <c r="T596" s="396"/>
    </row>
    <row r="597" spans="2:20" ht="13.9" thickBot="1">
      <c r="B597" s="1397">
        <v>32</v>
      </c>
      <c r="C597" s="1419" t="s">
        <v>315</v>
      </c>
      <c r="D597" s="737">
        <v>1311722</v>
      </c>
      <c r="E597" s="293"/>
      <c r="G597" s="396"/>
      <c r="I597" s="396"/>
      <c r="J597" s="396"/>
      <c r="K597" s="396"/>
      <c r="L597" s="396"/>
      <c r="M597" s="396"/>
      <c r="N597" s="396"/>
      <c r="O597" s="396"/>
      <c r="P597" s="396"/>
      <c r="Q597" s="396"/>
      <c r="R597" s="396"/>
      <c r="S597" s="396"/>
      <c r="T597" s="396"/>
    </row>
    <row r="598" spans="2:20" ht="27" thickBot="1">
      <c r="B598" s="1409">
        <v>33</v>
      </c>
      <c r="C598" s="1430" t="s">
        <v>317</v>
      </c>
      <c r="D598" s="1435">
        <v>3866674</v>
      </c>
      <c r="E598" s="293"/>
      <c r="G598" s="396"/>
      <c r="I598" s="396"/>
      <c r="J598" s="396"/>
      <c r="K598" s="396"/>
      <c r="L598" s="396"/>
      <c r="M598" s="396"/>
      <c r="N598" s="396"/>
      <c r="O598" s="396"/>
      <c r="P598" s="396"/>
      <c r="Q598" s="396"/>
      <c r="R598" s="396"/>
      <c r="S598" s="396"/>
      <c r="T598" s="396"/>
    </row>
    <row r="599" spans="2:20">
      <c r="B599" s="196"/>
      <c r="C599" s="391"/>
      <c r="D599" s="544"/>
      <c r="E599" s="383"/>
      <c r="F599" s="293"/>
      <c r="I599" s="396"/>
      <c r="J599" s="396"/>
      <c r="K599" s="396"/>
      <c r="L599" s="396"/>
      <c r="M599" s="396"/>
      <c r="N599" s="396"/>
      <c r="O599" s="396"/>
      <c r="P599" s="396"/>
      <c r="Q599" s="396"/>
      <c r="R599" s="396"/>
      <c r="S599" s="396"/>
      <c r="T599" s="396"/>
    </row>
    <row r="600" spans="2:20">
      <c r="B600" s="196"/>
      <c r="C600" s="391"/>
      <c r="D600" s="544"/>
      <c r="E600" s="383"/>
      <c r="F600" s="293"/>
      <c r="H600" s="292">
        <v>92</v>
      </c>
      <c r="I600" s="396"/>
      <c r="J600" s="396"/>
      <c r="K600" s="396"/>
      <c r="L600" s="396"/>
      <c r="M600" s="396"/>
      <c r="N600" s="396"/>
      <c r="O600" s="396"/>
      <c r="P600" s="396"/>
      <c r="Q600" s="396"/>
      <c r="R600" s="396"/>
      <c r="S600" s="396"/>
      <c r="T600" s="396"/>
    </row>
    <row r="601" spans="2:20">
      <c r="B601" s="196"/>
      <c r="C601" s="391"/>
      <c r="D601" s="544"/>
      <c r="E601" s="383"/>
      <c r="F601" s="293"/>
      <c r="I601" s="396"/>
      <c r="J601" s="396"/>
      <c r="K601" s="396"/>
      <c r="L601" s="396"/>
      <c r="M601" s="396"/>
      <c r="N601" s="396"/>
      <c r="O601" s="396"/>
      <c r="P601" s="396"/>
      <c r="Q601" s="396"/>
      <c r="R601" s="396"/>
      <c r="S601" s="396"/>
      <c r="T601" s="396"/>
    </row>
    <row r="602" spans="2:20" ht="14.45">
      <c r="B602" s="3340" t="s">
        <v>420</v>
      </c>
      <c r="C602" s="3341"/>
      <c r="D602" s="3341"/>
      <c r="E602" s="3341"/>
      <c r="F602" s="3341"/>
      <c r="G602" s="3341"/>
      <c r="I602" s="396"/>
      <c r="J602" s="396"/>
      <c r="K602" s="396"/>
      <c r="L602" s="396"/>
      <c r="M602" s="396"/>
      <c r="N602" s="396"/>
      <c r="O602" s="396"/>
      <c r="P602" s="396"/>
      <c r="Q602" s="396"/>
      <c r="R602" s="396"/>
      <c r="S602" s="396"/>
      <c r="T602" s="396"/>
    </row>
    <row r="603" spans="2:20" ht="13.9" thickBot="1">
      <c r="B603" s="51"/>
      <c r="C603" s="51"/>
      <c r="D603" s="51"/>
      <c r="E603" s="51"/>
      <c r="F603" s="51"/>
      <c r="I603" s="396"/>
      <c r="J603" s="396"/>
      <c r="K603" s="396"/>
      <c r="L603" s="396"/>
      <c r="M603" s="396"/>
      <c r="N603" s="396"/>
      <c r="O603" s="396"/>
      <c r="P603" s="396"/>
      <c r="Q603" s="396"/>
      <c r="R603" s="396"/>
      <c r="S603" s="396"/>
      <c r="T603" s="396"/>
    </row>
    <row r="604" spans="2:20" ht="13.9" thickBot="1">
      <c r="B604" s="3344" t="s">
        <v>426</v>
      </c>
      <c r="C604" s="3345"/>
      <c r="D604" s="425"/>
      <c r="E604" s="532"/>
      <c r="F604" s="396"/>
      <c r="I604" s="396"/>
      <c r="J604" s="396"/>
      <c r="K604" s="396"/>
      <c r="L604" s="396"/>
      <c r="M604" s="396"/>
      <c r="N604" s="396"/>
      <c r="O604" s="396"/>
      <c r="P604" s="396"/>
      <c r="Q604" s="396"/>
      <c r="R604" s="396"/>
      <c r="S604" s="396"/>
      <c r="T604" s="396"/>
    </row>
    <row r="605" spans="2:20">
      <c r="B605" s="3284" t="s">
        <v>396</v>
      </c>
      <c r="C605" s="3346"/>
      <c r="D605" s="3283" t="s">
        <v>414</v>
      </c>
      <c r="E605" s="274"/>
      <c r="I605" s="396"/>
      <c r="J605" s="396"/>
      <c r="K605" s="396"/>
      <c r="L605" s="396"/>
      <c r="M605" s="396"/>
      <c r="N605" s="396"/>
      <c r="O605" s="396"/>
      <c r="P605" s="396"/>
      <c r="Q605" s="396"/>
      <c r="R605" s="396"/>
      <c r="S605" s="396"/>
      <c r="T605" s="396"/>
    </row>
    <row r="606" spans="2:20">
      <c r="B606" s="3284"/>
      <c r="C606" s="3346"/>
      <c r="D606" s="3284"/>
      <c r="E606" s="443"/>
      <c r="I606" s="396"/>
      <c r="J606" s="396"/>
      <c r="K606" s="396"/>
      <c r="L606" s="396"/>
      <c r="M606" s="396"/>
      <c r="N606" s="396"/>
      <c r="O606" s="396"/>
      <c r="P606" s="396"/>
      <c r="Q606" s="396"/>
      <c r="R606" s="396"/>
      <c r="S606" s="396"/>
      <c r="T606" s="396"/>
    </row>
    <row r="607" spans="2:20">
      <c r="B607" s="3285"/>
      <c r="C607" s="3347"/>
      <c r="D607" s="3285"/>
      <c r="E607" s="443"/>
      <c r="I607" s="396"/>
      <c r="J607" s="396"/>
      <c r="K607" s="396"/>
      <c r="L607" s="396"/>
      <c r="M607" s="396"/>
      <c r="N607" s="396"/>
      <c r="O607" s="396"/>
      <c r="P607" s="396"/>
      <c r="Q607" s="396"/>
      <c r="R607" s="396"/>
      <c r="S607" s="396"/>
      <c r="T607" s="396"/>
    </row>
    <row r="608" spans="2:20" ht="14.45">
      <c r="B608" s="1394"/>
      <c r="C608" s="1401" t="s">
        <v>275</v>
      </c>
      <c r="D608" s="709"/>
      <c r="E608" s="293"/>
      <c r="I608" s="396"/>
      <c r="J608" s="396"/>
      <c r="K608" s="396"/>
      <c r="L608" s="396"/>
      <c r="M608" s="396"/>
      <c r="N608" s="396"/>
      <c r="O608" s="396"/>
      <c r="P608" s="396"/>
      <c r="Q608" s="396"/>
      <c r="R608" s="396"/>
      <c r="S608" s="396"/>
      <c r="T608" s="396"/>
    </row>
    <row r="609" spans="2:20">
      <c r="B609" s="1394">
        <v>1</v>
      </c>
      <c r="C609" s="2218" t="s">
        <v>276</v>
      </c>
      <c r="D609" s="764"/>
      <c r="E609" s="293"/>
      <c r="I609" s="396"/>
      <c r="J609" s="396"/>
      <c r="K609" s="396"/>
      <c r="L609" s="396"/>
      <c r="M609" s="396"/>
      <c r="N609" s="396"/>
      <c r="O609" s="396"/>
      <c r="P609" s="396"/>
      <c r="Q609" s="396"/>
      <c r="R609" s="396"/>
      <c r="S609" s="396"/>
      <c r="T609" s="396"/>
    </row>
    <row r="610" spans="2:20">
      <c r="B610" s="1394">
        <v>2</v>
      </c>
      <c r="C610" s="2218" t="s">
        <v>277</v>
      </c>
      <c r="D610" s="765">
        <v>5426.1620000000003</v>
      </c>
      <c r="E610" s="293"/>
      <c r="G610" s="396"/>
      <c r="I610" s="396"/>
      <c r="J610" s="396"/>
      <c r="K610" s="396"/>
      <c r="L610" s="396"/>
      <c r="M610" s="396"/>
      <c r="N610" s="396"/>
      <c r="O610" s="396"/>
      <c r="P610" s="396"/>
      <c r="Q610" s="396"/>
      <c r="R610" s="396"/>
      <c r="S610" s="396"/>
      <c r="T610" s="396"/>
    </row>
    <row r="611" spans="2:20">
      <c r="B611" s="1394">
        <v>3</v>
      </c>
      <c r="C611" s="2218" t="s">
        <v>278</v>
      </c>
      <c r="D611" s="766">
        <v>187433.94500000001</v>
      </c>
      <c r="E611" s="293"/>
      <c r="G611" s="396"/>
      <c r="I611" s="396"/>
      <c r="J611" s="396"/>
      <c r="K611" s="396"/>
      <c r="L611" s="396"/>
      <c r="M611" s="396"/>
      <c r="N611" s="396"/>
      <c r="O611" s="396"/>
      <c r="P611" s="396"/>
      <c r="Q611" s="396"/>
      <c r="R611" s="396"/>
      <c r="S611" s="396"/>
      <c r="T611" s="396"/>
    </row>
    <row r="612" spans="2:20">
      <c r="B612" s="1394">
        <v>4</v>
      </c>
      <c r="C612" s="2220" t="s">
        <v>279</v>
      </c>
      <c r="D612" s="766">
        <v>332113.00199999998</v>
      </c>
      <c r="E612" s="293"/>
      <c r="G612" s="396"/>
      <c r="I612" s="396"/>
      <c r="J612" s="396"/>
      <c r="K612" s="396"/>
      <c r="L612" s="396"/>
      <c r="M612" s="396"/>
      <c r="N612" s="396"/>
      <c r="O612" s="396"/>
      <c r="P612" s="396"/>
      <c r="Q612" s="396"/>
      <c r="R612" s="396"/>
      <c r="S612" s="396"/>
      <c r="T612" s="396"/>
    </row>
    <row r="613" spans="2:20">
      <c r="B613" s="1394">
        <v>5</v>
      </c>
      <c r="C613" s="2218" t="s">
        <v>280</v>
      </c>
      <c r="D613" s="766">
        <v>49601</v>
      </c>
      <c r="E613" s="293"/>
      <c r="G613" s="396"/>
      <c r="I613" s="396"/>
      <c r="J613" s="396"/>
      <c r="K613" s="396"/>
      <c r="L613" s="396"/>
      <c r="M613" s="396"/>
      <c r="N613" s="396"/>
      <c r="O613" s="396"/>
      <c r="P613" s="396"/>
      <c r="Q613" s="396"/>
      <c r="R613" s="396"/>
      <c r="S613" s="396"/>
      <c r="T613" s="396"/>
    </row>
    <row r="614" spans="2:20">
      <c r="B614" s="1394">
        <v>6</v>
      </c>
      <c r="C614" s="2218" t="s">
        <v>281</v>
      </c>
      <c r="D614" s="741"/>
      <c r="E614" s="293"/>
      <c r="G614" s="396"/>
      <c r="I614" s="396"/>
      <c r="J614" s="396"/>
      <c r="K614" s="396"/>
      <c r="L614" s="396"/>
      <c r="M614" s="396"/>
      <c r="N614" s="396"/>
      <c r="O614" s="396"/>
      <c r="P614" s="396"/>
      <c r="Q614" s="396"/>
      <c r="R614" s="396"/>
      <c r="S614" s="396"/>
      <c r="T614" s="396"/>
    </row>
    <row r="615" spans="2:20">
      <c r="B615" s="1394">
        <v>7</v>
      </c>
      <c r="C615" s="2218" t="s">
        <v>282</v>
      </c>
      <c r="D615" s="741"/>
      <c r="E615" s="293"/>
      <c r="G615" s="396"/>
      <c r="I615" s="396"/>
      <c r="J615" s="396"/>
      <c r="K615" s="396"/>
      <c r="L615" s="396"/>
      <c r="M615" s="396"/>
      <c r="N615" s="396"/>
      <c r="O615" s="396"/>
      <c r="P615" s="396"/>
      <c r="Q615" s="396"/>
      <c r="R615" s="396"/>
      <c r="S615" s="396"/>
      <c r="T615" s="396"/>
    </row>
    <row r="616" spans="2:20">
      <c r="B616" s="1394"/>
      <c r="C616" s="2203" t="s">
        <v>416</v>
      </c>
      <c r="D616" s="741"/>
      <c r="E616" s="293"/>
      <c r="G616" s="396"/>
      <c r="I616" s="396"/>
      <c r="J616" s="396"/>
      <c r="K616" s="396"/>
      <c r="L616" s="396"/>
      <c r="M616" s="396"/>
      <c r="N616" s="396"/>
      <c r="O616" s="396"/>
      <c r="P616" s="396"/>
      <c r="Q616" s="396"/>
      <c r="R616" s="396"/>
      <c r="S616" s="396"/>
      <c r="T616" s="396"/>
    </row>
    <row r="617" spans="2:20">
      <c r="B617" s="1394"/>
      <c r="C617" s="2203" t="s">
        <v>417</v>
      </c>
      <c r="D617" s="741"/>
      <c r="E617" s="293"/>
      <c r="G617" s="396"/>
      <c r="I617" s="396"/>
      <c r="J617" s="396"/>
      <c r="K617" s="396"/>
      <c r="L617" s="396"/>
      <c r="M617" s="396"/>
      <c r="N617" s="396"/>
      <c r="O617" s="396"/>
      <c r="P617" s="396"/>
      <c r="Q617" s="396"/>
      <c r="R617" s="396"/>
      <c r="S617" s="396"/>
      <c r="T617" s="396"/>
    </row>
    <row r="618" spans="2:20">
      <c r="B618" s="1394">
        <v>8</v>
      </c>
      <c r="C618" s="2218" t="s">
        <v>285</v>
      </c>
      <c r="D618" s="741"/>
      <c r="E618" s="293"/>
      <c r="G618" s="396"/>
      <c r="I618" s="396"/>
      <c r="J618" s="396"/>
      <c r="K618" s="396"/>
      <c r="L618" s="396"/>
      <c r="M618" s="396"/>
      <c r="N618" s="396"/>
      <c r="O618" s="396"/>
      <c r="P618" s="396"/>
      <c r="Q618" s="396"/>
      <c r="R618" s="396"/>
      <c r="S618" s="396"/>
      <c r="T618" s="396"/>
    </row>
    <row r="619" spans="2:20" ht="16.5" customHeight="1">
      <c r="B619" s="1394"/>
      <c r="C619" s="2203" t="s">
        <v>418</v>
      </c>
      <c r="D619" s="741"/>
      <c r="E619" s="293"/>
      <c r="G619" s="396"/>
      <c r="I619" s="396"/>
      <c r="J619" s="396"/>
      <c r="K619" s="396"/>
      <c r="L619" s="396"/>
      <c r="M619" s="396"/>
      <c r="N619" s="396"/>
      <c r="O619" s="396"/>
      <c r="P619" s="396"/>
      <c r="Q619" s="396"/>
      <c r="R619" s="396"/>
      <c r="S619" s="396"/>
      <c r="T619" s="396"/>
    </row>
    <row r="620" spans="2:20">
      <c r="B620" s="1394"/>
      <c r="C620" s="2203" t="s">
        <v>419</v>
      </c>
      <c r="D620" s="741"/>
      <c r="E620" s="293"/>
      <c r="G620" s="396"/>
      <c r="I620" s="396"/>
      <c r="J620" s="396"/>
      <c r="K620" s="396"/>
      <c r="L620" s="396"/>
      <c r="M620" s="396"/>
      <c r="N620" s="396"/>
      <c r="O620" s="396"/>
      <c r="P620" s="396"/>
      <c r="Q620" s="396"/>
      <c r="R620" s="396"/>
      <c r="S620" s="396"/>
      <c r="T620" s="396"/>
    </row>
    <row r="621" spans="2:20" ht="26.45">
      <c r="B621" s="1396">
        <v>9</v>
      </c>
      <c r="C621" s="2212" t="s">
        <v>288</v>
      </c>
      <c r="D621" s="743">
        <v>8695211.7339999992</v>
      </c>
      <c r="G621" s="396"/>
      <c r="I621" s="396"/>
      <c r="J621" s="396"/>
      <c r="K621" s="396"/>
      <c r="L621" s="396"/>
      <c r="M621" s="396"/>
      <c r="N621" s="396"/>
      <c r="O621" s="396"/>
      <c r="P621" s="396"/>
      <c r="Q621" s="396"/>
      <c r="R621" s="396"/>
      <c r="S621" s="396"/>
    </row>
    <row r="622" spans="2:20">
      <c r="B622" s="1394">
        <v>10</v>
      </c>
      <c r="C622" s="2203" t="s">
        <v>289</v>
      </c>
      <c r="D622" s="741"/>
      <c r="E622" s="293"/>
      <c r="G622" s="396"/>
      <c r="I622" s="396"/>
      <c r="J622" s="396"/>
      <c r="K622" s="396"/>
      <c r="L622" s="396"/>
      <c r="M622" s="396"/>
      <c r="N622" s="396"/>
      <c r="O622" s="396"/>
      <c r="P622" s="396"/>
      <c r="Q622" s="396"/>
      <c r="R622" s="396"/>
      <c r="S622" s="396"/>
      <c r="T622" s="396"/>
    </row>
    <row r="623" spans="2:20">
      <c r="B623" s="1394">
        <v>11</v>
      </c>
      <c r="C623" s="2203" t="s">
        <v>290</v>
      </c>
      <c r="D623" s="766">
        <v>7917840.2894471977</v>
      </c>
      <c r="E623" s="293"/>
      <c r="G623" s="396"/>
      <c r="I623" s="396"/>
      <c r="J623" s="396"/>
      <c r="K623" s="396"/>
      <c r="L623" s="396"/>
      <c r="M623" s="396"/>
      <c r="N623" s="396"/>
      <c r="O623" s="396"/>
      <c r="P623" s="396"/>
      <c r="Q623" s="396"/>
      <c r="R623" s="396"/>
      <c r="S623" s="396"/>
      <c r="T623" s="396"/>
    </row>
    <row r="624" spans="2:20">
      <c r="B624" s="1394">
        <v>12</v>
      </c>
      <c r="C624" s="2203" t="s">
        <v>291</v>
      </c>
      <c r="D624" s="766">
        <v>777371.44455280132</v>
      </c>
      <c r="E624" s="293"/>
      <c r="G624" s="396"/>
      <c r="I624" s="396"/>
      <c r="J624" s="396"/>
      <c r="K624" s="396"/>
      <c r="L624" s="396"/>
      <c r="M624" s="396"/>
      <c r="N624" s="396"/>
      <c r="O624" s="396"/>
      <c r="P624" s="396"/>
      <c r="Q624" s="396"/>
      <c r="R624" s="396"/>
      <c r="S624" s="396"/>
      <c r="T624" s="396"/>
    </row>
    <row r="625" spans="2:20" ht="26.45">
      <c r="B625" s="1394">
        <v>13</v>
      </c>
      <c r="C625" s="2203" t="s">
        <v>292</v>
      </c>
      <c r="D625" s="766"/>
      <c r="E625" s="293"/>
      <c r="G625" s="396"/>
      <c r="I625" s="396"/>
      <c r="J625" s="396"/>
      <c r="K625" s="396"/>
      <c r="L625" s="396"/>
      <c r="M625" s="396"/>
      <c r="N625" s="396"/>
      <c r="O625" s="396"/>
      <c r="P625" s="396"/>
      <c r="Q625" s="396"/>
      <c r="R625" s="396"/>
      <c r="S625" s="396"/>
      <c r="T625" s="396"/>
    </row>
    <row r="626" spans="2:20">
      <c r="B626" s="1394">
        <v>14</v>
      </c>
      <c r="C626" s="2204" t="s">
        <v>293</v>
      </c>
      <c r="D626" s="764"/>
      <c r="E626" s="293"/>
      <c r="G626" s="396"/>
      <c r="I626" s="396"/>
      <c r="J626" s="396"/>
      <c r="K626" s="396"/>
      <c r="L626" s="396"/>
      <c r="M626" s="396"/>
      <c r="N626" s="396"/>
      <c r="O626" s="396"/>
      <c r="P626" s="396"/>
      <c r="Q626" s="396"/>
      <c r="R626" s="396"/>
      <c r="S626" s="396"/>
      <c r="T626" s="396"/>
    </row>
    <row r="627" spans="2:20">
      <c r="B627" s="1394">
        <v>15</v>
      </c>
      <c r="C627" s="2204" t="s">
        <v>294</v>
      </c>
      <c r="D627" s="766">
        <v>557603.473</v>
      </c>
      <c r="E627" s="293"/>
      <c r="G627" s="396"/>
      <c r="I627" s="396"/>
      <c r="J627" s="396"/>
      <c r="K627" s="396"/>
      <c r="L627" s="396"/>
      <c r="M627" s="396"/>
      <c r="N627" s="396"/>
      <c r="O627" s="396"/>
      <c r="P627" s="396"/>
      <c r="Q627" s="396"/>
      <c r="R627" s="396"/>
      <c r="S627" s="396"/>
      <c r="T627" s="396"/>
    </row>
    <row r="628" spans="2:20">
      <c r="B628" s="1394">
        <v>16</v>
      </c>
      <c r="C628" s="2204" t="s">
        <v>295</v>
      </c>
      <c r="D628" s="766">
        <v>1049725.74</v>
      </c>
      <c r="E628" s="293"/>
      <c r="G628" s="396"/>
      <c r="I628" s="396"/>
      <c r="J628" s="396"/>
      <c r="K628" s="396"/>
      <c r="L628" s="396"/>
      <c r="M628" s="396"/>
      <c r="N628" s="396"/>
      <c r="O628" s="396"/>
      <c r="P628" s="396"/>
      <c r="Q628" s="396"/>
      <c r="R628" s="396"/>
      <c r="S628" s="396"/>
      <c r="T628" s="396"/>
    </row>
    <row r="629" spans="2:20">
      <c r="B629" s="1394">
        <v>17</v>
      </c>
      <c r="C629" s="2204" t="s">
        <v>296</v>
      </c>
      <c r="D629" s="766">
        <v>206228.66800000001</v>
      </c>
      <c r="E629" s="383"/>
      <c r="G629" s="396"/>
      <c r="I629" s="396"/>
      <c r="J629" s="396"/>
      <c r="K629" s="396"/>
      <c r="L629" s="396"/>
      <c r="M629" s="396"/>
      <c r="N629" s="396"/>
      <c r="O629" s="396"/>
      <c r="P629" s="396"/>
      <c r="Q629" s="396"/>
      <c r="R629" s="396"/>
      <c r="S629" s="396"/>
      <c r="T629" s="396"/>
    </row>
    <row r="630" spans="2:20">
      <c r="B630" s="1394">
        <v>18</v>
      </c>
      <c r="C630" s="2204" t="s">
        <v>297</v>
      </c>
      <c r="D630" s="764"/>
      <c r="E630" s="293"/>
      <c r="G630" s="396"/>
      <c r="I630" s="396"/>
      <c r="J630" s="396"/>
      <c r="K630" s="396"/>
      <c r="L630" s="396"/>
      <c r="M630" s="396"/>
      <c r="N630" s="396"/>
      <c r="O630" s="396"/>
      <c r="P630" s="396"/>
      <c r="Q630" s="396"/>
      <c r="R630" s="396"/>
      <c r="S630" s="396"/>
      <c r="T630" s="396"/>
    </row>
    <row r="631" spans="2:20" ht="13.9" thickBot="1">
      <c r="B631" s="1394">
        <v>19</v>
      </c>
      <c r="C631" s="2205" t="s">
        <v>298</v>
      </c>
      <c r="D631" s="767">
        <v>154241.446</v>
      </c>
      <c r="E631" s="293"/>
      <c r="G631" s="396"/>
      <c r="I631" s="396"/>
      <c r="J631" s="396"/>
      <c r="K631" s="396"/>
      <c r="L631" s="396"/>
      <c r="M631" s="396"/>
      <c r="N631" s="396"/>
      <c r="O631" s="396"/>
      <c r="P631" s="396"/>
      <c r="Q631" s="396"/>
      <c r="R631" s="396"/>
      <c r="S631" s="396"/>
      <c r="T631" s="396"/>
    </row>
    <row r="632" spans="2:20" ht="27" thickBot="1">
      <c r="B632" s="1406">
        <v>20</v>
      </c>
      <c r="C632" s="1425" t="s">
        <v>299</v>
      </c>
      <c r="D632" s="1437">
        <v>11237583.169999998</v>
      </c>
      <c r="E632" s="293"/>
      <c r="G632" s="396"/>
      <c r="I632" s="396"/>
      <c r="J632" s="396"/>
      <c r="K632" s="396"/>
      <c r="L632" s="396"/>
      <c r="M632" s="396"/>
      <c r="N632" s="396"/>
      <c r="O632" s="396"/>
      <c r="P632" s="396"/>
      <c r="Q632" s="396"/>
      <c r="R632" s="396"/>
      <c r="S632" s="396"/>
      <c r="T632" s="396"/>
    </row>
    <row r="633" spans="2:20">
      <c r="B633" s="1394"/>
      <c r="C633" s="1398" t="s">
        <v>300</v>
      </c>
      <c r="D633" s="741"/>
      <c r="E633" s="293"/>
      <c r="G633" s="396"/>
      <c r="I633" s="396"/>
      <c r="J633" s="396"/>
      <c r="K633" s="396"/>
      <c r="L633" s="396"/>
      <c r="M633" s="396"/>
      <c r="N633" s="396"/>
      <c r="O633" s="396"/>
      <c r="P633" s="396"/>
      <c r="Q633" s="396"/>
      <c r="R633" s="396"/>
      <c r="S633" s="396"/>
      <c r="T633" s="396"/>
    </row>
    <row r="634" spans="2:20">
      <c r="B634" s="1394"/>
      <c r="C634" s="2219" t="s">
        <v>301</v>
      </c>
      <c r="D634" s="741"/>
      <c r="E634" s="293"/>
      <c r="G634" s="396"/>
      <c r="I634" s="396"/>
      <c r="J634" s="396"/>
      <c r="K634" s="396"/>
      <c r="L634" s="396"/>
      <c r="M634" s="396"/>
      <c r="N634" s="396"/>
      <c r="O634" s="396"/>
      <c r="P634" s="396"/>
      <c r="Q634" s="396"/>
      <c r="R634" s="396"/>
      <c r="S634" s="396"/>
      <c r="T634" s="396"/>
    </row>
    <row r="635" spans="2:20">
      <c r="B635" s="1394">
        <v>21</v>
      </c>
      <c r="C635" s="2204" t="s">
        <v>302</v>
      </c>
      <c r="D635" s="766">
        <v>4831701.8720000004</v>
      </c>
      <c r="E635" s="293"/>
      <c r="G635" s="396"/>
      <c r="I635" s="396"/>
      <c r="J635" s="396"/>
      <c r="K635" s="396"/>
      <c r="L635" s="396"/>
      <c r="M635" s="396"/>
      <c r="N635" s="396"/>
      <c r="O635" s="396"/>
      <c r="P635" s="396"/>
      <c r="Q635" s="396"/>
      <c r="R635" s="396"/>
      <c r="S635" s="396"/>
      <c r="T635" s="396"/>
    </row>
    <row r="636" spans="2:20">
      <c r="B636" s="1394">
        <v>22</v>
      </c>
      <c r="C636" s="2204" t="s">
        <v>303</v>
      </c>
      <c r="D636" s="766">
        <v>54075.334000000003</v>
      </c>
      <c r="E636" s="293"/>
      <c r="G636" s="396"/>
      <c r="I636" s="396"/>
      <c r="J636" s="396"/>
      <c r="K636" s="396"/>
      <c r="L636" s="396"/>
      <c r="M636" s="396"/>
      <c r="N636" s="396"/>
      <c r="O636" s="396"/>
      <c r="P636" s="396"/>
      <c r="Q636" s="396"/>
      <c r="R636" s="396"/>
      <c r="S636" s="396"/>
      <c r="T636" s="396"/>
    </row>
    <row r="637" spans="2:20">
      <c r="B637" s="1394">
        <v>23</v>
      </c>
      <c r="C637" s="2204" t="s">
        <v>304</v>
      </c>
      <c r="D637" s="766">
        <v>180790.71900000001</v>
      </c>
      <c r="E637" s="293"/>
      <c r="G637" s="396"/>
      <c r="I637" s="396"/>
      <c r="J637" s="396"/>
      <c r="K637" s="396"/>
      <c r="L637" s="396"/>
      <c r="M637" s="396"/>
      <c r="N637" s="396"/>
      <c r="O637" s="396"/>
      <c r="P637" s="396"/>
      <c r="Q637" s="396"/>
      <c r="R637" s="396"/>
      <c r="S637" s="396"/>
      <c r="T637" s="396"/>
    </row>
    <row r="638" spans="2:20">
      <c r="B638" s="1394">
        <v>24</v>
      </c>
      <c r="C638" s="2204" t="s">
        <v>305</v>
      </c>
      <c r="D638" s="764"/>
      <c r="E638" s="293"/>
      <c r="G638" s="396"/>
      <c r="I638" s="396"/>
      <c r="J638" s="396"/>
      <c r="K638" s="396"/>
      <c r="L638" s="396"/>
      <c r="M638" s="396"/>
      <c r="N638" s="396"/>
      <c r="O638" s="396"/>
      <c r="P638" s="396"/>
      <c r="Q638" s="396"/>
      <c r="R638" s="396"/>
      <c r="S638" s="396"/>
      <c r="T638" s="396"/>
    </row>
    <row r="639" spans="2:20">
      <c r="B639" s="1394">
        <v>25</v>
      </c>
      <c r="C639" s="2203" t="s">
        <v>306</v>
      </c>
      <c r="D639" s="764"/>
      <c r="E639" s="293"/>
      <c r="G639" s="396"/>
      <c r="I639" s="396"/>
      <c r="J639" s="396"/>
      <c r="K639" s="396"/>
      <c r="L639" s="396"/>
      <c r="M639" s="396"/>
      <c r="N639" s="396"/>
      <c r="O639" s="396"/>
      <c r="P639" s="396"/>
      <c r="Q639" s="396"/>
      <c r="R639" s="396"/>
      <c r="S639" s="396"/>
      <c r="T639" s="396"/>
    </row>
    <row r="640" spans="2:20" ht="13.9" thickBot="1">
      <c r="B640" s="1394">
        <v>26</v>
      </c>
      <c r="C640" s="2205" t="s">
        <v>307</v>
      </c>
      <c r="D640" s="767">
        <v>1519504.96823</v>
      </c>
      <c r="E640" s="293"/>
      <c r="G640" s="396"/>
      <c r="I640" s="396"/>
      <c r="J640" s="396"/>
      <c r="K640" s="396"/>
      <c r="L640" s="396"/>
      <c r="M640" s="396"/>
      <c r="N640" s="396"/>
      <c r="O640" s="396"/>
      <c r="P640" s="396"/>
      <c r="Q640" s="396"/>
      <c r="R640" s="396"/>
      <c r="S640" s="396"/>
      <c r="T640" s="396"/>
    </row>
    <row r="641" spans="2:20" ht="27" thickBot="1">
      <c r="B641" s="1397">
        <v>27</v>
      </c>
      <c r="C641" s="1419" t="s">
        <v>308</v>
      </c>
      <c r="D641" s="768">
        <v>6586072.8932299996</v>
      </c>
      <c r="E641" s="293"/>
      <c r="G641" s="396"/>
      <c r="I641" s="396"/>
      <c r="J641" s="396"/>
      <c r="K641" s="396"/>
      <c r="L641" s="396"/>
      <c r="M641" s="396"/>
      <c r="N641" s="396"/>
      <c r="O641" s="396"/>
      <c r="P641" s="396"/>
      <c r="Q641" s="396"/>
      <c r="R641" s="396"/>
      <c r="S641" s="396"/>
      <c r="T641" s="396"/>
    </row>
    <row r="642" spans="2:20">
      <c r="B642" s="1394"/>
      <c r="C642" s="1398" t="s">
        <v>309</v>
      </c>
      <c r="D642" s="789"/>
      <c r="E642" s="293"/>
      <c r="G642" s="396"/>
      <c r="I642" s="396"/>
      <c r="J642" s="396"/>
      <c r="K642" s="396"/>
      <c r="L642" s="396"/>
      <c r="M642" s="396"/>
      <c r="N642" s="396"/>
      <c r="O642" s="396"/>
      <c r="P642" s="396"/>
      <c r="Q642" s="396"/>
      <c r="R642" s="396"/>
      <c r="S642" s="396"/>
      <c r="T642" s="396"/>
    </row>
    <row r="643" spans="2:20">
      <c r="B643" s="1394">
        <v>28</v>
      </c>
      <c r="C643" s="2218" t="s">
        <v>310</v>
      </c>
      <c r="D643" s="766">
        <v>1350000</v>
      </c>
      <c r="E643" s="383"/>
      <c r="G643" s="396"/>
      <c r="I643" s="396"/>
      <c r="J643" s="396"/>
      <c r="K643" s="396"/>
      <c r="L643" s="396"/>
      <c r="M643" s="396"/>
      <c r="N643" s="396"/>
      <c r="O643" s="396"/>
      <c r="P643" s="396"/>
      <c r="Q643" s="396"/>
      <c r="R643" s="396"/>
      <c r="S643" s="396"/>
      <c r="T643" s="396"/>
    </row>
    <row r="644" spans="2:20">
      <c r="B644" s="1394">
        <v>29</v>
      </c>
      <c r="C644" s="2218" t="s">
        <v>311</v>
      </c>
      <c r="D644" s="766">
        <v>-42577</v>
      </c>
      <c r="E644" s="293"/>
      <c r="G644" s="396"/>
      <c r="I644" s="396"/>
      <c r="J644" s="396"/>
      <c r="K644" s="396"/>
      <c r="L644" s="396"/>
      <c r="M644" s="396"/>
      <c r="N644" s="396"/>
      <c r="O644" s="396"/>
      <c r="P644" s="396"/>
      <c r="Q644" s="396"/>
      <c r="R644" s="396"/>
      <c r="S644" s="396"/>
      <c r="T644" s="396"/>
    </row>
    <row r="645" spans="2:20">
      <c r="B645" s="1394">
        <v>30</v>
      </c>
      <c r="C645" s="2207" t="s">
        <v>312</v>
      </c>
      <c r="D645" s="764"/>
      <c r="E645" s="293"/>
      <c r="G645" s="396"/>
      <c r="I645" s="396"/>
      <c r="J645" s="396"/>
      <c r="K645" s="396"/>
      <c r="L645" s="396"/>
      <c r="M645" s="396"/>
      <c r="N645" s="396"/>
      <c r="O645" s="396"/>
      <c r="P645" s="396"/>
      <c r="Q645" s="396"/>
      <c r="R645" s="396"/>
      <c r="S645" s="396"/>
      <c r="T645" s="396"/>
    </row>
    <row r="646" spans="2:20" ht="13.9" thickBot="1">
      <c r="B646" s="1394">
        <v>31</v>
      </c>
      <c r="C646" s="2207" t="s">
        <v>314</v>
      </c>
      <c r="D646" s="767">
        <v>3344089.5901100002</v>
      </c>
      <c r="E646" s="293"/>
      <c r="G646" s="396"/>
      <c r="I646" s="396"/>
      <c r="J646" s="396"/>
      <c r="K646" s="396"/>
      <c r="L646" s="396"/>
      <c r="M646" s="396"/>
      <c r="N646" s="396"/>
      <c r="O646" s="396"/>
      <c r="P646" s="396"/>
      <c r="Q646" s="396"/>
      <c r="R646" s="396"/>
      <c r="S646" s="396"/>
      <c r="T646" s="396"/>
    </row>
    <row r="647" spans="2:20" ht="13.9" thickBot="1">
      <c r="B647" s="1397">
        <v>32</v>
      </c>
      <c r="C647" s="1419" t="s">
        <v>315</v>
      </c>
      <c r="D647" s="768">
        <v>4651512.5901100002</v>
      </c>
      <c r="E647" s="293"/>
      <c r="G647" s="396"/>
      <c r="I647" s="396"/>
      <c r="J647" s="396"/>
      <c r="K647" s="396"/>
      <c r="L647" s="396"/>
      <c r="M647" s="396"/>
      <c r="N647" s="396"/>
      <c r="O647" s="396"/>
      <c r="P647" s="396"/>
      <c r="Q647" s="396"/>
      <c r="R647" s="396"/>
      <c r="S647" s="396"/>
      <c r="T647" s="396"/>
    </row>
    <row r="648" spans="2:20" ht="27" thickBot="1">
      <c r="B648" s="1409">
        <v>33</v>
      </c>
      <c r="C648" s="1430" t="s">
        <v>317</v>
      </c>
      <c r="D648" s="1436">
        <v>11237584.483339999</v>
      </c>
      <c r="E648" s="293"/>
      <c r="G648" s="396"/>
      <c r="I648" s="396"/>
      <c r="J648" s="396"/>
      <c r="K648" s="396"/>
      <c r="L648" s="396"/>
      <c r="M648" s="396"/>
      <c r="N648" s="396"/>
      <c r="O648" s="396"/>
      <c r="P648" s="396"/>
      <c r="Q648" s="396"/>
      <c r="R648" s="396"/>
      <c r="S648" s="396"/>
      <c r="T648" s="396"/>
    </row>
    <row r="649" spans="2:20">
      <c r="B649" s="274"/>
      <c r="C649" s="391"/>
      <c r="D649" s="544"/>
      <c r="E649" s="383"/>
      <c r="F649" s="293"/>
      <c r="G649" s="396"/>
      <c r="I649" s="396"/>
      <c r="J649" s="396"/>
      <c r="K649" s="396"/>
      <c r="L649" s="396"/>
      <c r="M649" s="396"/>
      <c r="N649" s="396"/>
      <c r="O649" s="396"/>
      <c r="P649" s="396"/>
      <c r="Q649" s="396"/>
      <c r="R649" s="396"/>
      <c r="S649" s="396"/>
      <c r="T649" s="396"/>
    </row>
    <row r="650" spans="2:20">
      <c r="B650" s="274"/>
      <c r="C650" s="391"/>
      <c r="D650" s="544"/>
      <c r="E650" s="383"/>
      <c r="F650" s="293"/>
      <c r="H650" s="292">
        <v>93</v>
      </c>
      <c r="I650" s="396"/>
      <c r="J650" s="396"/>
      <c r="K650" s="396"/>
      <c r="L650" s="396"/>
      <c r="M650" s="396"/>
      <c r="N650" s="396"/>
      <c r="O650" s="396"/>
      <c r="P650" s="396"/>
      <c r="Q650" s="396"/>
      <c r="R650" s="396"/>
      <c r="S650" s="396"/>
      <c r="T650" s="396"/>
    </row>
    <row r="651" spans="2:20">
      <c r="B651" s="274"/>
      <c r="C651" s="391"/>
      <c r="D651" s="544"/>
      <c r="E651" s="383"/>
      <c r="F651" s="293"/>
      <c r="I651" s="396"/>
      <c r="J651" s="396"/>
      <c r="K651" s="396"/>
      <c r="L651" s="396"/>
      <c r="M651" s="396"/>
      <c r="N651" s="396"/>
      <c r="O651" s="396"/>
      <c r="P651" s="396"/>
      <c r="Q651" s="396"/>
      <c r="R651" s="396"/>
      <c r="S651" s="396"/>
      <c r="T651" s="396"/>
    </row>
    <row r="652" spans="2:20" ht="14.45">
      <c r="B652" s="3340" t="s">
        <v>427</v>
      </c>
      <c r="C652" s="3341"/>
      <c r="D652" s="3341"/>
      <c r="E652" s="3341"/>
      <c r="F652" s="3341"/>
      <c r="G652" s="3341"/>
      <c r="I652" s="396"/>
      <c r="J652" s="396"/>
      <c r="K652" s="396"/>
      <c r="L652" s="396"/>
      <c r="M652" s="396"/>
      <c r="N652" s="396"/>
      <c r="O652" s="396"/>
      <c r="P652" s="396"/>
      <c r="Q652" s="396"/>
      <c r="R652" s="396"/>
      <c r="S652" s="396"/>
      <c r="T652" s="396"/>
    </row>
    <row r="653" spans="2:20" ht="13.9" thickBot="1">
      <c r="B653" s="51"/>
      <c r="C653" s="51"/>
      <c r="D653" s="51"/>
      <c r="E653" s="51"/>
      <c r="F653" s="51"/>
      <c r="I653" s="396"/>
      <c r="J653" s="396"/>
      <c r="K653" s="396"/>
      <c r="L653" s="396"/>
      <c r="M653" s="396"/>
      <c r="N653" s="396"/>
      <c r="O653" s="396"/>
      <c r="P653" s="396"/>
      <c r="Q653" s="396"/>
      <c r="R653" s="396"/>
      <c r="S653" s="396"/>
      <c r="T653" s="396"/>
    </row>
    <row r="654" spans="2:20" ht="13.9" thickBot="1">
      <c r="B654" s="3344" t="s">
        <v>114</v>
      </c>
      <c r="C654" s="3345"/>
      <c r="D654" s="425"/>
      <c r="E654" s="51"/>
      <c r="F654" s="51"/>
      <c r="I654" s="396"/>
      <c r="J654" s="396"/>
      <c r="K654" s="396"/>
      <c r="L654" s="396"/>
      <c r="M654" s="396"/>
      <c r="N654" s="396"/>
      <c r="O654" s="396"/>
      <c r="P654" s="396"/>
      <c r="Q654" s="396"/>
      <c r="R654" s="396"/>
      <c r="S654" s="396"/>
      <c r="T654" s="396"/>
    </row>
    <row r="655" spans="2:20">
      <c r="B655" s="3284" t="s">
        <v>396</v>
      </c>
      <c r="C655" s="3346"/>
      <c r="D655" s="3283" t="s">
        <v>414</v>
      </c>
      <c r="E655" s="51"/>
      <c r="F655" s="51"/>
      <c r="I655" s="396"/>
      <c r="J655" s="396"/>
      <c r="K655" s="396"/>
      <c r="L655" s="396"/>
      <c r="M655" s="396"/>
      <c r="N655" s="396"/>
      <c r="O655" s="396"/>
      <c r="P655" s="396"/>
      <c r="Q655" s="396"/>
      <c r="R655" s="396"/>
      <c r="S655" s="396"/>
      <c r="T655" s="396"/>
    </row>
    <row r="656" spans="2:20">
      <c r="B656" s="3284"/>
      <c r="C656" s="3346"/>
      <c r="D656" s="3284"/>
      <c r="E656" s="51"/>
      <c r="F656" s="51"/>
      <c r="I656" s="396"/>
      <c r="J656" s="396"/>
      <c r="K656" s="396"/>
      <c r="L656" s="396"/>
      <c r="M656" s="396"/>
      <c r="N656" s="396"/>
      <c r="O656" s="396"/>
      <c r="P656" s="396"/>
      <c r="Q656" s="396"/>
      <c r="R656" s="396"/>
      <c r="S656" s="396"/>
      <c r="T656" s="396"/>
    </row>
    <row r="657" spans="2:20">
      <c r="B657" s="3285"/>
      <c r="C657" s="3347"/>
      <c r="D657" s="3285"/>
      <c r="E657" s="51"/>
      <c r="F657" s="51"/>
      <c r="I657" s="396"/>
      <c r="J657" s="396"/>
      <c r="K657" s="396"/>
      <c r="L657" s="396"/>
      <c r="M657" s="396"/>
      <c r="N657" s="396"/>
      <c r="O657" s="396"/>
      <c r="P657" s="396"/>
      <c r="Q657" s="396"/>
      <c r="R657" s="396"/>
      <c r="S657" s="396"/>
      <c r="T657" s="396"/>
    </row>
    <row r="658" spans="2:20" ht="14.45">
      <c r="B658" s="1394"/>
      <c r="C658" s="1401" t="s">
        <v>275</v>
      </c>
      <c r="D658" s="709"/>
      <c r="E658" s="51"/>
      <c r="F658" s="51"/>
      <c r="I658" s="396"/>
      <c r="J658" s="396"/>
      <c r="K658" s="396"/>
      <c r="L658" s="396"/>
      <c r="M658" s="396"/>
      <c r="N658" s="396"/>
      <c r="O658" s="396"/>
      <c r="P658" s="396"/>
      <c r="Q658" s="396"/>
      <c r="R658" s="396"/>
      <c r="S658" s="396"/>
      <c r="T658" s="396"/>
    </row>
    <row r="659" spans="2:20">
      <c r="B659" s="1394">
        <v>1</v>
      </c>
      <c r="C659" s="2218" t="s">
        <v>276</v>
      </c>
      <c r="D659" s="741"/>
      <c r="E659" s="51"/>
      <c r="F659" s="641"/>
      <c r="I659" s="396"/>
      <c r="J659" s="396"/>
      <c r="K659" s="396"/>
      <c r="L659" s="396"/>
      <c r="M659" s="396"/>
      <c r="N659" s="396"/>
      <c r="O659" s="396"/>
      <c r="P659" s="396"/>
      <c r="Q659" s="396"/>
      <c r="R659" s="396"/>
      <c r="S659" s="396"/>
      <c r="T659" s="396"/>
    </row>
    <row r="660" spans="2:20">
      <c r="B660" s="1394">
        <v>2</v>
      </c>
      <c r="C660" s="1681" t="s">
        <v>277</v>
      </c>
      <c r="D660" s="756"/>
      <c r="E660" s="51"/>
      <c r="F660" s="641"/>
      <c r="I660" s="396"/>
      <c r="J660" s="396"/>
      <c r="K660" s="396"/>
      <c r="L660" s="396"/>
      <c r="M660" s="396"/>
      <c r="N660" s="396"/>
      <c r="O660" s="396"/>
      <c r="P660" s="396"/>
      <c r="Q660" s="396"/>
      <c r="R660" s="396"/>
      <c r="S660" s="396"/>
      <c r="T660" s="396"/>
    </row>
    <row r="661" spans="2:20">
      <c r="B661" s="1394">
        <v>3</v>
      </c>
      <c r="C661" s="2218" t="s">
        <v>278</v>
      </c>
      <c r="D661" s="733"/>
      <c r="E661" s="51"/>
      <c r="F661" s="641"/>
      <c r="I661" s="396"/>
      <c r="J661" s="396"/>
      <c r="K661" s="396"/>
      <c r="L661" s="396"/>
      <c r="M661" s="396"/>
      <c r="N661" s="396"/>
      <c r="O661" s="396"/>
      <c r="P661" s="396"/>
      <c r="Q661" s="396"/>
      <c r="R661" s="396"/>
      <c r="S661" s="396"/>
      <c r="T661" s="396"/>
    </row>
    <row r="662" spans="2:20">
      <c r="B662" s="1394">
        <v>4</v>
      </c>
      <c r="C662" s="2220" t="s">
        <v>279</v>
      </c>
      <c r="D662" s="733"/>
      <c r="E662" s="51"/>
      <c r="F662" s="641"/>
      <c r="G662" s="396"/>
      <c r="I662" s="396"/>
      <c r="J662" s="396"/>
      <c r="K662" s="396"/>
      <c r="L662" s="396"/>
      <c r="M662" s="396"/>
      <c r="N662" s="396"/>
      <c r="O662" s="396"/>
      <c r="P662" s="396"/>
      <c r="Q662" s="396"/>
      <c r="R662" s="396"/>
      <c r="S662" s="396"/>
      <c r="T662" s="396"/>
    </row>
    <row r="663" spans="2:20">
      <c r="B663" s="1394">
        <v>5</v>
      </c>
      <c r="C663" s="2218" t="s">
        <v>280</v>
      </c>
      <c r="D663" s="731">
        <v>94684</v>
      </c>
      <c r="E663" s="51"/>
      <c r="F663" s="641"/>
      <c r="G663" s="396"/>
      <c r="I663" s="396"/>
      <c r="J663" s="396"/>
      <c r="K663" s="396"/>
      <c r="L663" s="396"/>
      <c r="M663" s="396"/>
      <c r="N663" s="396"/>
      <c r="O663" s="396"/>
      <c r="P663" s="396"/>
      <c r="Q663" s="396"/>
      <c r="R663" s="396"/>
      <c r="S663" s="396"/>
      <c r="T663" s="396"/>
    </row>
    <row r="664" spans="2:20">
      <c r="B664" s="1394">
        <v>6</v>
      </c>
      <c r="C664" s="2218" t="s">
        <v>281</v>
      </c>
      <c r="D664" s="731">
        <v>98300</v>
      </c>
      <c r="E664" s="51"/>
      <c r="F664" s="641"/>
      <c r="G664" s="396"/>
      <c r="I664" s="396"/>
      <c r="J664" s="396"/>
      <c r="K664" s="396"/>
      <c r="L664" s="396"/>
      <c r="M664" s="396"/>
      <c r="N664" s="396"/>
      <c r="O664" s="396"/>
      <c r="P664" s="396"/>
      <c r="Q664" s="396"/>
      <c r="R664" s="396"/>
      <c r="S664" s="396"/>
      <c r="T664" s="396"/>
    </row>
    <row r="665" spans="2:20">
      <c r="B665" s="1394">
        <v>7</v>
      </c>
      <c r="C665" s="2218" t="s">
        <v>282</v>
      </c>
      <c r="D665" s="741"/>
      <c r="E665" s="51"/>
      <c r="F665" s="641"/>
      <c r="G665" s="396"/>
      <c r="I665" s="396"/>
      <c r="J665" s="396"/>
      <c r="K665" s="396"/>
      <c r="L665" s="396"/>
      <c r="M665" s="396"/>
      <c r="N665" s="396"/>
      <c r="O665" s="396"/>
      <c r="P665" s="396"/>
      <c r="Q665" s="396"/>
      <c r="R665" s="396"/>
      <c r="S665" s="396"/>
      <c r="T665" s="396"/>
    </row>
    <row r="666" spans="2:20">
      <c r="B666" s="1394"/>
      <c r="C666" s="2203" t="s">
        <v>416</v>
      </c>
      <c r="D666" s="741"/>
      <c r="E666" s="51"/>
      <c r="F666" s="641"/>
      <c r="G666" s="396"/>
      <c r="I666" s="396"/>
      <c r="J666" s="396"/>
      <c r="K666" s="396"/>
      <c r="L666" s="396"/>
      <c r="M666" s="396"/>
      <c r="N666" s="396"/>
      <c r="O666" s="396"/>
      <c r="P666" s="396"/>
      <c r="Q666" s="396"/>
      <c r="R666" s="396"/>
      <c r="S666" s="396"/>
      <c r="T666" s="396"/>
    </row>
    <row r="667" spans="2:20">
      <c r="B667" s="1394"/>
      <c r="C667" s="2203" t="s">
        <v>417</v>
      </c>
      <c r="D667" s="741"/>
      <c r="E667" s="51"/>
      <c r="F667" s="641"/>
      <c r="G667" s="396"/>
      <c r="I667" s="396"/>
      <c r="J667" s="396"/>
      <c r="K667" s="396"/>
      <c r="L667" s="396"/>
      <c r="M667" s="396"/>
      <c r="N667" s="396"/>
      <c r="O667" s="396"/>
      <c r="P667" s="396"/>
      <c r="Q667" s="396"/>
      <c r="R667" s="396"/>
      <c r="S667" s="396"/>
      <c r="T667" s="396"/>
    </row>
    <row r="668" spans="2:20">
      <c r="B668" s="1394">
        <v>8</v>
      </c>
      <c r="C668" s="2218" t="s">
        <v>285</v>
      </c>
      <c r="D668" s="741"/>
      <c r="E668" s="51"/>
      <c r="F668" s="641"/>
      <c r="G668" s="396"/>
      <c r="I668" s="396"/>
      <c r="J668" s="396"/>
      <c r="K668" s="396"/>
      <c r="L668" s="396"/>
      <c r="M668" s="396"/>
      <c r="N668" s="396"/>
      <c r="O668" s="396"/>
      <c r="P668" s="396"/>
      <c r="Q668" s="396"/>
      <c r="R668" s="396"/>
      <c r="S668" s="396"/>
      <c r="T668" s="396"/>
    </row>
    <row r="669" spans="2:20">
      <c r="B669" s="1394"/>
      <c r="C669" s="2203" t="s">
        <v>418</v>
      </c>
      <c r="D669" s="741"/>
      <c r="E669" s="51"/>
      <c r="F669" s="641"/>
      <c r="G669" s="396"/>
      <c r="I669" s="396"/>
      <c r="J669" s="396"/>
      <c r="K669" s="396"/>
      <c r="L669" s="396"/>
      <c r="M669" s="396"/>
      <c r="N669" s="396"/>
      <c r="O669" s="396"/>
      <c r="P669" s="396"/>
      <c r="Q669" s="396"/>
      <c r="R669" s="396"/>
      <c r="S669" s="396"/>
      <c r="T669" s="396"/>
    </row>
    <row r="670" spans="2:20">
      <c r="B670" s="1394"/>
      <c r="C670" s="2203" t="s">
        <v>419</v>
      </c>
      <c r="D670" s="741"/>
      <c r="E670" s="51"/>
      <c r="F670" s="641"/>
      <c r="G670" s="396"/>
      <c r="I670" s="396"/>
      <c r="J670" s="396"/>
      <c r="K670" s="396"/>
      <c r="L670" s="396"/>
      <c r="M670" s="396"/>
      <c r="N670" s="396"/>
      <c r="O670" s="396"/>
      <c r="P670" s="396"/>
      <c r="Q670" s="396"/>
      <c r="R670" s="396"/>
      <c r="S670" s="396"/>
      <c r="T670" s="396"/>
    </row>
    <row r="671" spans="2:20" ht="26.45">
      <c r="B671" s="1396">
        <v>9</v>
      </c>
      <c r="C671" s="2212" t="s">
        <v>288</v>
      </c>
      <c r="D671" s="743">
        <v>766374</v>
      </c>
      <c r="E671" s="51"/>
      <c r="F671" s="641"/>
      <c r="G671" s="396"/>
      <c r="I671" s="396"/>
      <c r="J671" s="396"/>
      <c r="K671" s="396"/>
      <c r="L671" s="396"/>
      <c r="M671" s="396"/>
      <c r="N671" s="396"/>
      <c r="O671" s="396"/>
      <c r="P671" s="396"/>
      <c r="Q671" s="396"/>
      <c r="R671" s="396"/>
      <c r="S671" s="396"/>
      <c r="T671" s="396"/>
    </row>
    <row r="672" spans="2:20">
      <c r="B672" s="1394">
        <v>10</v>
      </c>
      <c r="C672" s="2203" t="s">
        <v>289</v>
      </c>
      <c r="D672" s="741"/>
      <c r="E672" s="51"/>
      <c r="F672" s="641"/>
      <c r="G672" s="396"/>
      <c r="I672" s="396"/>
      <c r="J672" s="396"/>
      <c r="K672" s="396"/>
      <c r="L672" s="396"/>
      <c r="M672" s="396"/>
      <c r="N672" s="396"/>
      <c r="O672" s="396"/>
      <c r="P672" s="396"/>
      <c r="Q672" s="396"/>
      <c r="R672" s="396"/>
      <c r="S672" s="396"/>
      <c r="T672" s="396"/>
    </row>
    <row r="673" spans="2:20">
      <c r="B673" s="1394">
        <v>11</v>
      </c>
      <c r="C673" s="2203" t="s">
        <v>290</v>
      </c>
      <c r="D673" s="731">
        <v>686889</v>
      </c>
      <c r="E673" s="51"/>
      <c r="F673" s="641"/>
      <c r="G673" s="396"/>
      <c r="I673" s="396"/>
      <c r="J673" s="396"/>
      <c r="K673" s="396"/>
      <c r="L673" s="396"/>
      <c r="M673" s="396"/>
      <c r="N673" s="396"/>
      <c r="O673" s="396"/>
      <c r="P673" s="396"/>
      <c r="Q673" s="396"/>
      <c r="R673" s="396"/>
      <c r="S673" s="396"/>
      <c r="T673" s="396"/>
    </row>
    <row r="674" spans="2:20">
      <c r="B674" s="1394">
        <v>12</v>
      </c>
      <c r="C674" s="2203" t="s">
        <v>291</v>
      </c>
      <c r="D674" s="733"/>
      <c r="E674" s="51"/>
      <c r="F674" s="641"/>
      <c r="G674" s="396"/>
      <c r="I674" s="396"/>
      <c r="J674" s="396"/>
      <c r="K674" s="396"/>
      <c r="L674" s="396"/>
      <c r="M674" s="396"/>
      <c r="N674" s="396"/>
      <c r="O674" s="396"/>
      <c r="P674" s="396"/>
      <c r="Q674" s="396"/>
      <c r="R674" s="396"/>
      <c r="S674" s="396"/>
      <c r="T674" s="396"/>
    </row>
    <row r="675" spans="2:20" ht="26.45">
      <c r="B675" s="1394">
        <v>13</v>
      </c>
      <c r="C675" s="2203" t="s">
        <v>292</v>
      </c>
      <c r="D675" s="731">
        <v>79485</v>
      </c>
      <c r="E675" s="51"/>
      <c r="F675" s="641"/>
      <c r="G675" s="396"/>
      <c r="I675" s="396"/>
      <c r="J675" s="396"/>
      <c r="K675" s="396"/>
      <c r="L675" s="396"/>
      <c r="M675" s="396"/>
      <c r="N675" s="396"/>
      <c r="O675" s="396"/>
      <c r="P675" s="396"/>
      <c r="Q675" s="396"/>
      <c r="R675" s="396"/>
      <c r="S675" s="396"/>
      <c r="T675" s="396"/>
    </row>
    <row r="676" spans="2:20">
      <c r="B676" s="1394">
        <v>14</v>
      </c>
      <c r="C676" s="2204" t="s">
        <v>293</v>
      </c>
      <c r="D676" s="733"/>
      <c r="E676" s="51"/>
      <c r="F676" s="641"/>
      <c r="G676" s="396"/>
      <c r="I676" s="396"/>
      <c r="J676" s="396"/>
      <c r="K676" s="396"/>
      <c r="L676" s="396"/>
      <c r="M676" s="396"/>
      <c r="N676" s="396"/>
      <c r="O676" s="396"/>
      <c r="P676" s="396"/>
      <c r="Q676" s="396"/>
      <c r="R676" s="396"/>
      <c r="S676" s="396"/>
      <c r="T676" s="396"/>
    </row>
    <row r="677" spans="2:20">
      <c r="B677" s="1394">
        <v>15</v>
      </c>
      <c r="C677" s="2204" t="s">
        <v>294</v>
      </c>
      <c r="D677" s="731">
        <v>31366</v>
      </c>
      <c r="E677" s="51"/>
      <c r="F677" s="641"/>
      <c r="G677" s="396"/>
      <c r="I677" s="396"/>
      <c r="J677" s="396"/>
      <c r="K677" s="396"/>
      <c r="L677" s="396"/>
      <c r="M677" s="396"/>
      <c r="N677" s="396"/>
      <c r="O677" s="396"/>
      <c r="P677" s="396"/>
      <c r="Q677" s="396"/>
      <c r="R677" s="396"/>
      <c r="S677" s="396"/>
      <c r="T677" s="396"/>
    </row>
    <row r="678" spans="2:20">
      <c r="B678" s="1394">
        <v>16</v>
      </c>
      <c r="C678" s="2204" t="s">
        <v>295</v>
      </c>
      <c r="D678" s="731">
        <v>259846</v>
      </c>
      <c r="E678" s="51"/>
      <c r="F678" s="641"/>
      <c r="G678" s="396"/>
      <c r="I678" s="396"/>
      <c r="J678" s="396"/>
      <c r="K678" s="396"/>
      <c r="L678" s="396"/>
      <c r="M678" s="396"/>
      <c r="N678" s="396"/>
      <c r="O678" s="396"/>
      <c r="P678" s="396"/>
      <c r="Q678" s="396"/>
      <c r="R678" s="396"/>
      <c r="S678" s="396"/>
      <c r="T678" s="396"/>
    </row>
    <row r="679" spans="2:20">
      <c r="B679" s="1394">
        <v>17</v>
      </c>
      <c r="C679" s="2204" t="s">
        <v>296</v>
      </c>
      <c r="D679" s="731">
        <v>144166</v>
      </c>
      <c r="E679" s="51"/>
      <c r="F679" s="641"/>
      <c r="G679" s="396"/>
      <c r="I679" s="396"/>
      <c r="J679" s="396"/>
      <c r="K679" s="396"/>
      <c r="L679" s="396"/>
      <c r="M679" s="396"/>
      <c r="N679" s="396"/>
      <c r="O679" s="396"/>
      <c r="P679" s="396"/>
      <c r="Q679" s="396"/>
      <c r="R679" s="396"/>
      <c r="S679" s="396"/>
      <c r="T679" s="396"/>
    </row>
    <row r="680" spans="2:20">
      <c r="B680" s="1394">
        <v>18</v>
      </c>
      <c r="C680" s="2204" t="s">
        <v>297</v>
      </c>
      <c r="D680" s="733">
        <v>54080</v>
      </c>
      <c r="E680" s="51"/>
      <c r="F680" s="641"/>
      <c r="G680" s="396"/>
      <c r="I680" s="396"/>
      <c r="J680" s="396"/>
      <c r="K680" s="396"/>
      <c r="L680" s="396"/>
      <c r="M680" s="396"/>
      <c r="N680" s="396"/>
      <c r="O680" s="396"/>
      <c r="P680" s="396"/>
      <c r="Q680" s="396"/>
      <c r="R680" s="396"/>
      <c r="S680" s="396"/>
      <c r="T680" s="396"/>
    </row>
    <row r="681" spans="2:20" ht="13.9" thickBot="1">
      <c r="B681" s="1394">
        <v>19</v>
      </c>
      <c r="C681" s="2205" t="s">
        <v>298</v>
      </c>
      <c r="D681" s="736">
        <v>28161</v>
      </c>
      <c r="E681" s="51"/>
      <c r="F681" s="641"/>
      <c r="G681" s="396"/>
      <c r="I681" s="396"/>
      <c r="J681" s="396"/>
      <c r="K681" s="396"/>
      <c r="L681" s="396"/>
      <c r="M681" s="396"/>
      <c r="N681" s="396"/>
      <c r="O681" s="396"/>
      <c r="P681" s="396"/>
      <c r="Q681" s="396"/>
      <c r="R681" s="396"/>
      <c r="S681" s="396"/>
      <c r="T681" s="396"/>
    </row>
    <row r="682" spans="2:20" ht="27" thickBot="1">
      <c r="B682" s="1397">
        <v>20</v>
      </c>
      <c r="C682" s="1419" t="s">
        <v>299</v>
      </c>
      <c r="D682" s="737">
        <v>1476977</v>
      </c>
      <c r="E682" s="51"/>
      <c r="F682" s="641"/>
      <c r="G682" s="396"/>
      <c r="I682" s="396"/>
      <c r="J682" s="396"/>
      <c r="K682" s="396"/>
      <c r="L682" s="396"/>
      <c r="M682" s="396"/>
      <c r="N682" s="396"/>
      <c r="O682" s="396"/>
      <c r="P682" s="396"/>
      <c r="Q682" s="396"/>
      <c r="R682" s="396"/>
      <c r="S682" s="396"/>
      <c r="T682" s="396"/>
    </row>
    <row r="683" spans="2:20">
      <c r="B683" s="1394"/>
      <c r="C683" s="1398" t="s">
        <v>300</v>
      </c>
      <c r="D683" s="741"/>
      <c r="E683" s="51"/>
      <c r="F683" s="641"/>
      <c r="G683" s="396"/>
      <c r="I683" s="396"/>
      <c r="J683" s="396"/>
      <c r="K683" s="396"/>
      <c r="L683" s="396"/>
      <c r="M683" s="396"/>
      <c r="N683" s="396"/>
      <c r="O683" s="396"/>
      <c r="P683" s="396"/>
      <c r="Q683" s="396"/>
      <c r="R683" s="396"/>
      <c r="S683" s="396"/>
      <c r="T683" s="396"/>
    </row>
    <row r="684" spans="2:20">
      <c r="B684" s="1394"/>
      <c r="C684" s="2219" t="s">
        <v>301</v>
      </c>
      <c r="D684" s="741"/>
      <c r="E684" s="51"/>
      <c r="F684" s="641"/>
      <c r="G684" s="396"/>
      <c r="I684" s="396"/>
      <c r="J684" s="396"/>
      <c r="K684" s="396"/>
      <c r="L684" s="396"/>
      <c r="M684" s="396"/>
      <c r="N684" s="396"/>
      <c r="O684" s="396"/>
      <c r="P684" s="396"/>
      <c r="Q684" s="396"/>
      <c r="R684" s="396"/>
      <c r="S684" s="396"/>
      <c r="T684" s="396"/>
    </row>
    <row r="685" spans="2:20">
      <c r="B685" s="1394">
        <v>21</v>
      </c>
      <c r="C685" s="2204" t="s">
        <v>302</v>
      </c>
      <c r="D685" s="731">
        <v>566468</v>
      </c>
      <c r="E685" s="51"/>
      <c r="F685" s="641"/>
      <c r="G685" s="396"/>
      <c r="I685" s="396"/>
      <c r="J685" s="396"/>
      <c r="K685" s="396"/>
      <c r="L685" s="396"/>
      <c r="M685" s="396"/>
      <c r="N685" s="396"/>
      <c r="O685" s="396"/>
      <c r="P685" s="396"/>
      <c r="Q685" s="396"/>
      <c r="R685" s="396"/>
      <c r="S685" s="396"/>
      <c r="T685" s="396"/>
    </row>
    <row r="686" spans="2:20">
      <c r="B686" s="1394">
        <v>22</v>
      </c>
      <c r="C686" s="2204" t="s">
        <v>303</v>
      </c>
      <c r="D686" s="731">
        <v>9077</v>
      </c>
      <c r="E686" s="51"/>
      <c r="F686" s="641"/>
      <c r="G686" s="396"/>
      <c r="I686" s="396"/>
      <c r="J686" s="396"/>
      <c r="K686" s="396"/>
      <c r="L686" s="396"/>
      <c r="M686" s="396"/>
      <c r="N686" s="396"/>
      <c r="O686" s="396"/>
      <c r="P686" s="396"/>
      <c r="Q686" s="396"/>
      <c r="R686" s="396"/>
      <c r="S686" s="396"/>
      <c r="T686" s="396"/>
    </row>
    <row r="687" spans="2:20">
      <c r="B687" s="1394">
        <v>23</v>
      </c>
      <c r="C687" s="2204" t="s">
        <v>304</v>
      </c>
      <c r="D687" s="731">
        <v>15489</v>
      </c>
      <c r="E687" s="51"/>
      <c r="F687" s="641"/>
      <c r="G687" s="396"/>
      <c r="I687" s="396"/>
      <c r="J687" s="396"/>
      <c r="K687" s="396"/>
      <c r="L687" s="396"/>
      <c r="M687" s="396"/>
      <c r="N687" s="396"/>
      <c r="O687" s="396"/>
      <c r="P687" s="396"/>
      <c r="Q687" s="396"/>
      <c r="R687" s="396"/>
      <c r="S687" s="396"/>
      <c r="T687" s="396"/>
    </row>
    <row r="688" spans="2:20">
      <c r="B688" s="1394">
        <v>24</v>
      </c>
      <c r="C688" s="2204" t="s">
        <v>305</v>
      </c>
      <c r="D688" s="733"/>
      <c r="E688" s="51"/>
      <c r="F688" s="641"/>
      <c r="G688" s="396"/>
      <c r="I688" s="396"/>
      <c r="J688" s="396"/>
      <c r="K688" s="396"/>
      <c r="L688" s="396"/>
      <c r="M688" s="396"/>
      <c r="N688" s="396"/>
      <c r="O688" s="396"/>
      <c r="P688" s="396"/>
      <c r="Q688" s="396"/>
      <c r="R688" s="396"/>
      <c r="S688" s="396"/>
      <c r="T688" s="396"/>
    </row>
    <row r="689" spans="2:20">
      <c r="B689" s="1394">
        <v>25</v>
      </c>
      <c r="C689" s="2203" t="s">
        <v>306</v>
      </c>
      <c r="D689" s="733"/>
      <c r="E689" s="51"/>
      <c r="F689" s="641"/>
      <c r="G689" s="396"/>
      <c r="I689" s="396"/>
      <c r="J689" s="396"/>
      <c r="K689" s="396"/>
      <c r="L689" s="396"/>
      <c r="M689" s="396"/>
      <c r="N689" s="396"/>
      <c r="O689" s="396"/>
      <c r="P689" s="396"/>
      <c r="Q689" s="396"/>
      <c r="R689" s="396"/>
      <c r="S689" s="396"/>
      <c r="T689" s="396"/>
    </row>
    <row r="690" spans="2:20" ht="13.9" thickBot="1">
      <c r="B690" s="1394">
        <v>26</v>
      </c>
      <c r="C690" s="2205" t="s">
        <v>307</v>
      </c>
      <c r="D690" s="736">
        <v>184007</v>
      </c>
      <c r="E690" s="51"/>
      <c r="F690" s="641"/>
      <c r="G690" s="396"/>
      <c r="I690" s="396"/>
      <c r="J690" s="396"/>
      <c r="K690" s="396"/>
      <c r="L690" s="396"/>
      <c r="M690" s="396"/>
      <c r="N690" s="396"/>
      <c r="O690" s="396"/>
      <c r="P690" s="396"/>
      <c r="Q690" s="396"/>
      <c r="R690" s="396"/>
      <c r="S690" s="396"/>
      <c r="T690" s="396"/>
    </row>
    <row r="691" spans="2:20" ht="27" thickBot="1">
      <c r="B691" s="1406">
        <v>27</v>
      </c>
      <c r="C691" s="1425" t="s">
        <v>308</v>
      </c>
      <c r="D691" s="1434">
        <v>775041</v>
      </c>
      <c r="E691" s="51"/>
      <c r="F691" s="641"/>
      <c r="G691" s="396"/>
      <c r="I691" s="396"/>
      <c r="J691" s="396"/>
      <c r="K691" s="396"/>
      <c r="L691" s="396"/>
      <c r="M691" s="396"/>
      <c r="N691" s="396"/>
      <c r="O691" s="396"/>
      <c r="P691" s="396"/>
      <c r="Q691" s="396"/>
      <c r="R691" s="396"/>
      <c r="S691" s="396"/>
      <c r="T691" s="396"/>
    </row>
    <row r="692" spans="2:20">
      <c r="B692" s="1394"/>
      <c r="C692" s="1398" t="s">
        <v>309</v>
      </c>
      <c r="D692" s="741"/>
      <c r="E692" s="51"/>
      <c r="F692" s="641"/>
      <c r="G692" s="396"/>
      <c r="I692" s="396"/>
      <c r="J692" s="396"/>
      <c r="K692" s="396"/>
      <c r="L692" s="396"/>
      <c r="M692" s="396"/>
      <c r="N692" s="396"/>
      <c r="O692" s="396"/>
      <c r="P692" s="396"/>
      <c r="Q692" s="396"/>
      <c r="R692" s="396"/>
      <c r="S692" s="396"/>
      <c r="T692" s="396"/>
    </row>
    <row r="693" spans="2:20">
      <c r="B693" s="1394">
        <v>28</v>
      </c>
      <c r="C693" s="2218" t="s">
        <v>310</v>
      </c>
      <c r="D693" s="731">
        <v>508996</v>
      </c>
      <c r="E693" s="51"/>
      <c r="F693" s="641"/>
      <c r="G693" s="396"/>
      <c r="I693" s="396"/>
      <c r="J693" s="396"/>
      <c r="K693" s="396"/>
      <c r="L693" s="396"/>
      <c r="M693" s="396"/>
      <c r="N693" s="396"/>
      <c r="O693" s="396"/>
      <c r="P693" s="396"/>
      <c r="Q693" s="396"/>
      <c r="R693" s="396"/>
      <c r="S693" s="396"/>
      <c r="T693" s="396"/>
    </row>
    <row r="694" spans="2:20">
      <c r="B694" s="1394">
        <v>29</v>
      </c>
      <c r="C694" s="2218" t="s">
        <v>311</v>
      </c>
      <c r="D694" s="733"/>
      <c r="E694" s="51"/>
      <c r="F694" s="641"/>
      <c r="G694" s="396"/>
      <c r="I694" s="396"/>
      <c r="J694" s="396"/>
      <c r="K694" s="396"/>
      <c r="L694" s="396"/>
      <c r="M694" s="396"/>
      <c r="N694" s="396"/>
      <c r="O694" s="396"/>
      <c r="P694" s="396"/>
      <c r="Q694" s="396"/>
      <c r="R694" s="396"/>
      <c r="S694" s="396"/>
      <c r="T694" s="396"/>
    </row>
    <row r="695" spans="2:20">
      <c r="B695" s="1394">
        <v>30</v>
      </c>
      <c r="C695" s="2207" t="s">
        <v>312</v>
      </c>
      <c r="D695" s="733"/>
      <c r="E695" s="51"/>
      <c r="F695" s="641"/>
      <c r="G695" s="396"/>
      <c r="I695" s="396"/>
      <c r="J695" s="396"/>
      <c r="K695" s="396"/>
      <c r="L695" s="396"/>
      <c r="M695" s="396"/>
      <c r="N695" s="396"/>
      <c r="O695" s="396"/>
      <c r="P695" s="396"/>
      <c r="Q695" s="396"/>
      <c r="R695" s="396"/>
      <c r="S695" s="396"/>
      <c r="T695" s="396"/>
    </row>
    <row r="696" spans="2:20" ht="13.9" thickBot="1">
      <c r="B696" s="1394">
        <v>31</v>
      </c>
      <c r="C696" s="2207" t="s">
        <v>314</v>
      </c>
      <c r="D696" s="736">
        <v>192940</v>
      </c>
      <c r="E696" s="51"/>
      <c r="F696" s="641"/>
      <c r="G696" s="396"/>
      <c r="I696" s="396"/>
      <c r="J696" s="396"/>
      <c r="K696" s="396"/>
      <c r="L696" s="396"/>
      <c r="M696" s="396"/>
      <c r="N696" s="396"/>
      <c r="O696" s="396"/>
      <c r="P696" s="396"/>
      <c r="Q696" s="396"/>
      <c r="R696" s="396"/>
      <c r="S696" s="396"/>
      <c r="T696" s="396"/>
    </row>
    <row r="697" spans="2:20" ht="13.9" thickBot="1">
      <c r="B697" s="1397">
        <v>32</v>
      </c>
      <c r="C697" s="1419" t="s">
        <v>315</v>
      </c>
      <c r="D697" s="737">
        <v>701936</v>
      </c>
      <c r="E697" s="51"/>
      <c r="F697" s="641"/>
      <c r="G697" s="396"/>
      <c r="I697" s="396"/>
      <c r="J697" s="396"/>
      <c r="K697" s="396"/>
      <c r="L697" s="396"/>
      <c r="M697" s="396"/>
      <c r="N697" s="396"/>
      <c r="O697" s="396"/>
      <c r="P697" s="396"/>
      <c r="Q697" s="396"/>
      <c r="R697" s="396"/>
      <c r="S697" s="396"/>
      <c r="T697" s="396"/>
    </row>
    <row r="698" spans="2:20" ht="27" thickBot="1">
      <c r="B698" s="1409">
        <v>33</v>
      </c>
      <c r="C698" s="1430" t="s">
        <v>317</v>
      </c>
      <c r="D698" s="1435">
        <v>1476977</v>
      </c>
      <c r="E698" s="51"/>
      <c r="F698" s="641"/>
      <c r="G698" s="396"/>
      <c r="I698" s="396"/>
      <c r="J698" s="396"/>
      <c r="K698" s="396"/>
      <c r="L698" s="396"/>
      <c r="M698" s="396"/>
      <c r="N698" s="396"/>
      <c r="O698" s="396"/>
      <c r="P698" s="396"/>
      <c r="Q698" s="396"/>
      <c r="R698" s="396"/>
      <c r="S698" s="396"/>
      <c r="T698" s="396"/>
    </row>
    <row r="699" spans="2:20">
      <c r="B699" s="196"/>
      <c r="C699" s="391"/>
      <c r="D699" s="544"/>
      <c r="E699" s="51"/>
      <c r="F699" s="51"/>
      <c r="I699" s="396"/>
      <c r="J699" s="396"/>
      <c r="K699" s="396"/>
      <c r="L699" s="396"/>
      <c r="M699" s="396"/>
      <c r="N699" s="396"/>
      <c r="O699" s="396"/>
      <c r="P699" s="396"/>
      <c r="Q699" s="396"/>
      <c r="R699" s="396"/>
      <c r="S699" s="396"/>
      <c r="T699" s="396"/>
    </row>
    <row r="700" spans="2:20">
      <c r="B700" s="196"/>
      <c r="C700" s="391"/>
      <c r="D700" s="544"/>
      <c r="E700" s="51"/>
      <c r="F700" s="51"/>
      <c r="H700" s="292">
        <v>94</v>
      </c>
      <c r="I700" s="396"/>
      <c r="J700" s="396"/>
      <c r="K700" s="396"/>
      <c r="L700" s="396"/>
      <c r="M700" s="396"/>
      <c r="N700" s="396"/>
      <c r="O700" s="396"/>
      <c r="P700" s="396"/>
      <c r="Q700" s="396"/>
      <c r="R700" s="396"/>
      <c r="S700" s="396"/>
      <c r="T700" s="396"/>
    </row>
    <row r="701" spans="2:20">
      <c r="B701" s="196"/>
      <c r="C701" s="391"/>
      <c r="D701" s="544"/>
      <c r="E701" s="51"/>
      <c r="F701" s="51"/>
      <c r="I701" s="396"/>
      <c r="J701" s="396"/>
      <c r="K701" s="396"/>
      <c r="L701" s="396"/>
      <c r="M701" s="396"/>
      <c r="N701" s="396"/>
      <c r="O701" s="396"/>
      <c r="P701" s="396"/>
      <c r="Q701" s="396"/>
      <c r="R701" s="396"/>
      <c r="S701" s="396"/>
      <c r="T701" s="396"/>
    </row>
    <row r="702" spans="2:20" ht="14.45">
      <c r="B702" s="3340" t="s">
        <v>420</v>
      </c>
      <c r="C702" s="3341"/>
      <c r="D702" s="3341"/>
      <c r="E702" s="3341"/>
      <c r="F702" s="3341"/>
      <c r="G702" s="3341"/>
      <c r="I702" s="396"/>
      <c r="J702" s="396"/>
      <c r="K702" s="396"/>
      <c r="L702" s="396"/>
      <c r="M702" s="396"/>
      <c r="N702" s="396"/>
      <c r="O702" s="396"/>
      <c r="P702" s="396"/>
      <c r="Q702" s="396"/>
      <c r="R702" s="396"/>
      <c r="S702" s="396"/>
      <c r="T702" s="396"/>
    </row>
    <row r="703" spans="2:20">
      <c r="B703" s="196"/>
      <c r="C703" s="391"/>
      <c r="D703" s="544"/>
      <c r="E703" s="51"/>
      <c r="F703" s="51"/>
      <c r="I703" s="396"/>
      <c r="J703" s="396"/>
      <c r="K703" s="396"/>
      <c r="L703" s="396"/>
      <c r="M703" s="396"/>
      <c r="N703" s="396"/>
      <c r="O703" s="396"/>
      <c r="P703" s="396"/>
      <c r="Q703" s="396"/>
      <c r="R703" s="396"/>
      <c r="S703" s="396"/>
      <c r="T703" s="396"/>
    </row>
    <row r="704" spans="2:20" ht="13.9" thickBot="1">
      <c r="B704" s="196"/>
      <c r="C704" s="391"/>
      <c r="D704" s="544"/>
      <c r="E704" s="51"/>
      <c r="F704" s="51"/>
      <c r="I704" s="396"/>
      <c r="J704" s="396"/>
      <c r="K704" s="396"/>
      <c r="L704" s="396"/>
      <c r="M704" s="396"/>
      <c r="N704" s="396"/>
      <c r="O704" s="396"/>
      <c r="P704" s="396"/>
      <c r="Q704" s="396"/>
      <c r="R704" s="396"/>
      <c r="S704" s="396"/>
      <c r="T704" s="396"/>
    </row>
    <row r="705" spans="2:20" ht="13.9" thickBot="1">
      <c r="B705" s="3344" t="s">
        <v>115</v>
      </c>
      <c r="C705" s="3345"/>
      <c r="D705" s="425"/>
      <c r="E705" s="532"/>
      <c r="F705" s="396"/>
      <c r="I705" s="396"/>
      <c r="J705" s="396"/>
      <c r="K705" s="396"/>
      <c r="L705" s="396"/>
      <c r="M705" s="396"/>
      <c r="N705" s="396"/>
      <c r="O705" s="396"/>
      <c r="P705" s="396"/>
      <c r="Q705" s="396"/>
      <c r="R705" s="396"/>
      <c r="S705" s="396"/>
      <c r="T705" s="396"/>
    </row>
    <row r="706" spans="2:20">
      <c r="B706" s="3284" t="s">
        <v>396</v>
      </c>
      <c r="C706" s="3342"/>
      <c r="D706" s="3283" t="s">
        <v>414</v>
      </c>
      <c r="E706" s="274"/>
      <c r="I706" s="396"/>
      <c r="J706" s="396"/>
      <c r="K706" s="396"/>
      <c r="L706" s="396"/>
      <c r="M706" s="396"/>
      <c r="N706" s="396"/>
      <c r="O706" s="396"/>
      <c r="P706" s="396"/>
      <c r="Q706" s="396"/>
      <c r="R706" s="396"/>
      <c r="S706" s="396"/>
      <c r="T706" s="396"/>
    </row>
    <row r="707" spans="2:20">
      <c r="B707" s="3284"/>
      <c r="C707" s="3342"/>
      <c r="D707" s="3284"/>
      <c r="E707" s="443"/>
      <c r="I707" s="396"/>
      <c r="J707" s="396"/>
      <c r="K707" s="396"/>
      <c r="L707" s="396"/>
      <c r="M707" s="396"/>
      <c r="N707" s="396"/>
      <c r="O707" s="396"/>
      <c r="P707" s="396"/>
      <c r="Q707" s="396"/>
      <c r="R707" s="396"/>
      <c r="S707" s="396"/>
      <c r="T707" s="396"/>
    </row>
    <row r="708" spans="2:20">
      <c r="B708" s="3285"/>
      <c r="C708" s="3343"/>
      <c r="D708" s="3285"/>
      <c r="E708" s="443"/>
      <c r="I708" s="396"/>
      <c r="J708" s="396"/>
      <c r="K708" s="396"/>
      <c r="L708" s="396"/>
      <c r="M708" s="396"/>
      <c r="N708" s="396"/>
      <c r="O708" s="396"/>
      <c r="P708" s="396"/>
      <c r="Q708" s="396"/>
      <c r="R708" s="396"/>
      <c r="S708" s="396"/>
      <c r="T708" s="396"/>
    </row>
    <row r="709" spans="2:20" ht="14.45">
      <c r="B709" s="1394"/>
      <c r="C709" s="1401" t="s">
        <v>275</v>
      </c>
      <c r="D709" s="2223"/>
      <c r="E709" s="293"/>
      <c r="I709" s="396"/>
      <c r="J709" s="396"/>
      <c r="K709" s="396"/>
      <c r="L709" s="396"/>
      <c r="M709" s="396"/>
      <c r="N709" s="396"/>
      <c r="O709" s="396"/>
      <c r="P709" s="396"/>
      <c r="Q709" s="396"/>
      <c r="R709" s="396"/>
      <c r="S709" s="396"/>
      <c r="T709" s="396"/>
    </row>
    <row r="710" spans="2:20">
      <c r="B710" s="1394">
        <v>1</v>
      </c>
      <c r="C710" s="2218" t="s">
        <v>276</v>
      </c>
      <c r="D710" s="749"/>
      <c r="E710" s="293"/>
      <c r="I710" s="396"/>
      <c r="J710" s="396"/>
      <c r="K710" s="396"/>
      <c r="L710" s="396"/>
      <c r="M710" s="396"/>
      <c r="N710" s="396"/>
      <c r="O710" s="396"/>
      <c r="P710" s="396"/>
      <c r="Q710" s="396"/>
      <c r="R710" s="396"/>
      <c r="S710" s="396"/>
      <c r="T710" s="396"/>
    </row>
    <row r="711" spans="2:20">
      <c r="B711" s="1394">
        <v>2</v>
      </c>
      <c r="C711" s="2218" t="s">
        <v>277</v>
      </c>
      <c r="D711" s="750">
        <v>37588</v>
      </c>
      <c r="E711" s="293"/>
      <c r="G711" s="396"/>
      <c r="I711" s="396"/>
      <c r="J711" s="396"/>
      <c r="K711" s="396"/>
      <c r="L711" s="396"/>
      <c r="M711" s="396"/>
      <c r="N711" s="396"/>
      <c r="O711" s="396"/>
      <c r="P711" s="396"/>
      <c r="Q711" s="396"/>
      <c r="R711" s="396"/>
      <c r="S711" s="396"/>
      <c r="T711" s="396"/>
    </row>
    <row r="712" spans="2:20">
      <c r="B712" s="1394">
        <v>3</v>
      </c>
      <c r="C712" s="2218" t="s">
        <v>278</v>
      </c>
      <c r="D712" s="769"/>
      <c r="E712" s="293"/>
      <c r="G712" s="396"/>
      <c r="I712" s="396"/>
      <c r="J712" s="396"/>
      <c r="K712" s="396"/>
      <c r="L712" s="396"/>
      <c r="M712" s="396"/>
      <c r="N712" s="396"/>
      <c r="O712" s="396"/>
      <c r="P712" s="396"/>
      <c r="Q712" s="396"/>
      <c r="R712" s="396"/>
      <c r="S712" s="396"/>
      <c r="T712" s="396"/>
    </row>
    <row r="713" spans="2:20">
      <c r="B713" s="1394">
        <v>4</v>
      </c>
      <c r="C713" s="2220" t="s">
        <v>279</v>
      </c>
      <c r="D713" s="770">
        <v>168431</v>
      </c>
      <c r="E713" s="293"/>
      <c r="G713" s="396"/>
      <c r="I713" s="396"/>
      <c r="J713" s="396"/>
      <c r="K713" s="396"/>
      <c r="L713" s="396"/>
      <c r="M713" s="396"/>
      <c r="N713" s="396"/>
      <c r="O713" s="396"/>
      <c r="P713" s="396"/>
      <c r="Q713" s="396"/>
      <c r="R713" s="396"/>
      <c r="S713" s="396"/>
      <c r="T713" s="396"/>
    </row>
    <row r="714" spans="2:20">
      <c r="B714" s="1394">
        <v>5</v>
      </c>
      <c r="C714" s="2218" t="s">
        <v>280</v>
      </c>
      <c r="D714" s="770">
        <v>12656634</v>
      </c>
      <c r="E714" s="293"/>
      <c r="G714" s="396"/>
      <c r="I714" s="396"/>
      <c r="J714" s="396"/>
      <c r="K714" s="396"/>
      <c r="L714" s="396"/>
      <c r="M714" s="396"/>
      <c r="N714" s="396"/>
      <c r="O714" s="396"/>
      <c r="P714" s="396"/>
      <c r="Q714" s="396"/>
      <c r="R714" s="396"/>
      <c r="S714" s="396"/>
      <c r="T714" s="396"/>
    </row>
    <row r="715" spans="2:20">
      <c r="B715" s="1394">
        <v>6</v>
      </c>
      <c r="C715" s="2218" t="s">
        <v>281</v>
      </c>
      <c r="D715" s="770">
        <v>2080100</v>
      </c>
      <c r="E715" s="293"/>
      <c r="G715" s="396"/>
      <c r="I715" s="396"/>
      <c r="J715" s="396"/>
      <c r="K715" s="396"/>
      <c r="L715" s="396"/>
      <c r="M715" s="396"/>
      <c r="N715" s="396"/>
      <c r="O715" s="396"/>
      <c r="P715" s="396"/>
      <c r="Q715" s="396"/>
      <c r="R715" s="396"/>
      <c r="S715" s="396"/>
      <c r="T715" s="396"/>
    </row>
    <row r="716" spans="2:20">
      <c r="B716" s="1394">
        <v>7</v>
      </c>
      <c r="C716" s="2218" t="s">
        <v>282</v>
      </c>
      <c r="D716" s="748"/>
      <c r="E716" s="293"/>
      <c r="G716" s="396"/>
      <c r="I716" s="396"/>
      <c r="J716" s="396"/>
      <c r="K716" s="396"/>
      <c r="L716" s="396"/>
      <c r="M716" s="396"/>
      <c r="N716" s="396"/>
      <c r="O716" s="396"/>
      <c r="P716" s="396"/>
      <c r="Q716" s="396"/>
      <c r="R716" s="396"/>
      <c r="S716" s="396"/>
      <c r="T716" s="396"/>
    </row>
    <row r="717" spans="2:20" ht="12.75" customHeight="1">
      <c r="B717" s="1394"/>
      <c r="C717" s="2203" t="s">
        <v>416</v>
      </c>
      <c r="D717" s="749"/>
      <c r="E717" s="293"/>
      <c r="G717" s="396"/>
      <c r="I717" s="396"/>
      <c r="J717" s="396"/>
      <c r="K717" s="396"/>
      <c r="L717" s="396"/>
      <c r="M717" s="396"/>
      <c r="N717" s="396"/>
      <c r="O717" s="396"/>
      <c r="P717" s="396"/>
      <c r="Q717" s="396"/>
      <c r="R717" s="396"/>
      <c r="S717" s="396"/>
      <c r="T717" s="396"/>
    </row>
    <row r="718" spans="2:20">
      <c r="B718" s="1394"/>
      <c r="C718" s="2203" t="s">
        <v>417</v>
      </c>
      <c r="D718" s="770">
        <v>19634852</v>
      </c>
      <c r="E718" s="293"/>
      <c r="G718" s="396"/>
      <c r="I718" s="396"/>
      <c r="J718" s="396"/>
      <c r="K718" s="396"/>
      <c r="L718" s="396"/>
      <c r="M718" s="396"/>
      <c r="N718" s="396"/>
      <c r="O718" s="396"/>
      <c r="P718" s="396"/>
      <c r="Q718" s="396"/>
      <c r="R718" s="396"/>
      <c r="S718" s="396"/>
      <c r="T718" s="396"/>
    </row>
    <row r="719" spans="2:20">
      <c r="B719" s="1394">
        <v>8</v>
      </c>
      <c r="C719" s="2218" t="s">
        <v>285</v>
      </c>
      <c r="D719" s="748"/>
      <c r="E719" s="293"/>
      <c r="G719" s="396"/>
      <c r="I719" s="396"/>
      <c r="J719" s="396"/>
      <c r="K719" s="396"/>
      <c r="L719" s="396"/>
      <c r="M719" s="396"/>
      <c r="N719" s="396"/>
      <c r="O719" s="396"/>
      <c r="P719" s="396"/>
      <c r="Q719" s="396"/>
      <c r="R719" s="396"/>
      <c r="S719" s="396"/>
      <c r="T719" s="396"/>
    </row>
    <row r="720" spans="2:20" ht="15.75" customHeight="1">
      <c r="B720" s="1394"/>
      <c r="C720" s="2203" t="s">
        <v>418</v>
      </c>
      <c r="D720" s="749"/>
      <c r="E720" s="293"/>
      <c r="G720" s="396"/>
      <c r="I720" s="396"/>
      <c r="J720" s="396"/>
      <c r="K720" s="396"/>
      <c r="L720" s="396"/>
      <c r="M720" s="396"/>
      <c r="N720" s="396"/>
      <c r="O720" s="396"/>
      <c r="P720" s="396"/>
      <c r="Q720" s="396"/>
      <c r="R720" s="396"/>
      <c r="S720" s="396"/>
      <c r="T720" s="396"/>
    </row>
    <row r="721" spans="2:20">
      <c r="B721" s="1394"/>
      <c r="C721" s="2203" t="s">
        <v>419</v>
      </c>
      <c r="D721" s="770">
        <v>198673</v>
      </c>
      <c r="E721" s="293"/>
      <c r="G721" s="396"/>
      <c r="I721" s="396"/>
      <c r="J721" s="396"/>
      <c r="K721" s="396"/>
      <c r="L721" s="396"/>
      <c r="M721" s="396"/>
      <c r="N721" s="396"/>
      <c r="O721" s="396"/>
      <c r="P721" s="396"/>
      <c r="Q721" s="396"/>
      <c r="R721" s="396"/>
      <c r="S721" s="396"/>
      <c r="T721" s="396"/>
    </row>
    <row r="722" spans="2:20" ht="26.45">
      <c r="B722" s="1396">
        <v>9</v>
      </c>
      <c r="C722" s="2212" t="s">
        <v>288</v>
      </c>
      <c r="D722" s="754">
        <v>38792052</v>
      </c>
      <c r="G722" s="396"/>
      <c r="I722" s="396"/>
      <c r="J722" s="396"/>
      <c r="K722" s="396"/>
      <c r="L722" s="396"/>
      <c r="M722" s="396"/>
      <c r="N722" s="396"/>
      <c r="O722" s="396"/>
      <c r="P722" s="396"/>
      <c r="Q722" s="396"/>
      <c r="R722" s="396"/>
      <c r="S722" s="396"/>
    </row>
    <row r="723" spans="2:20">
      <c r="B723" s="1394">
        <v>10</v>
      </c>
      <c r="C723" s="2203" t="s">
        <v>289</v>
      </c>
      <c r="D723" s="770">
        <v>2499794</v>
      </c>
      <c r="E723" s="293"/>
      <c r="G723" s="396"/>
      <c r="I723" s="396"/>
      <c r="J723" s="396"/>
      <c r="K723" s="396"/>
      <c r="L723" s="396"/>
      <c r="M723" s="396"/>
      <c r="N723" s="396"/>
      <c r="O723" s="396"/>
      <c r="P723" s="396"/>
      <c r="Q723" s="396"/>
      <c r="R723" s="396"/>
      <c r="S723" s="396"/>
      <c r="T723" s="396"/>
    </row>
    <row r="724" spans="2:20">
      <c r="B724" s="1394">
        <v>11</v>
      </c>
      <c r="C724" s="2203" t="s">
        <v>290</v>
      </c>
      <c r="D724" s="770">
        <v>21018160</v>
      </c>
      <c r="E724" s="293"/>
      <c r="G724" s="396"/>
      <c r="I724" s="396"/>
      <c r="J724" s="396"/>
      <c r="K724" s="396"/>
      <c r="L724" s="396"/>
      <c r="M724" s="396"/>
      <c r="N724" s="396"/>
      <c r="O724" s="396"/>
      <c r="P724" s="396"/>
      <c r="Q724" s="396"/>
      <c r="R724" s="396"/>
      <c r="S724" s="396"/>
      <c r="T724" s="396"/>
    </row>
    <row r="725" spans="2:20">
      <c r="B725" s="1394">
        <v>12</v>
      </c>
      <c r="C725" s="2203" t="s">
        <v>291</v>
      </c>
      <c r="D725" s="770">
        <v>10902219</v>
      </c>
      <c r="E725" s="293"/>
      <c r="G725" s="396"/>
      <c r="I725" s="396"/>
      <c r="J725" s="396"/>
      <c r="K725" s="396"/>
      <c r="L725" s="396"/>
      <c r="M725" s="396"/>
      <c r="N725" s="396"/>
      <c r="O725" s="396"/>
      <c r="P725" s="396"/>
      <c r="Q725" s="396"/>
      <c r="R725" s="396"/>
      <c r="S725" s="396"/>
      <c r="T725" s="396"/>
    </row>
    <row r="726" spans="2:20" ht="26.45">
      <c r="B726" s="1394">
        <v>13</v>
      </c>
      <c r="C726" s="2203" t="s">
        <v>292</v>
      </c>
      <c r="D726" s="770">
        <v>4371879</v>
      </c>
      <c r="E726" s="293"/>
      <c r="G726" s="396"/>
      <c r="I726" s="396"/>
      <c r="J726" s="396"/>
      <c r="K726" s="396"/>
      <c r="L726" s="396"/>
      <c r="M726" s="396"/>
      <c r="N726" s="396"/>
      <c r="O726" s="396"/>
      <c r="P726" s="396"/>
      <c r="Q726" s="396"/>
      <c r="R726" s="396"/>
      <c r="S726" s="396"/>
      <c r="T726" s="396"/>
    </row>
    <row r="727" spans="2:20">
      <c r="B727" s="1394">
        <v>14</v>
      </c>
      <c r="C727" s="2204" t="s">
        <v>293</v>
      </c>
      <c r="D727" s="769"/>
      <c r="E727" s="293"/>
      <c r="G727" s="396"/>
      <c r="I727" s="396"/>
      <c r="J727" s="396"/>
      <c r="K727" s="396"/>
      <c r="L727" s="396"/>
      <c r="M727" s="396"/>
      <c r="N727" s="396"/>
      <c r="O727" s="396"/>
      <c r="P727" s="396"/>
      <c r="Q727" s="396"/>
      <c r="R727" s="396"/>
      <c r="S727" s="396"/>
      <c r="T727" s="396"/>
    </row>
    <row r="728" spans="2:20">
      <c r="B728" s="1394">
        <v>15</v>
      </c>
      <c r="C728" s="2204" t="s">
        <v>294</v>
      </c>
      <c r="D728" s="770">
        <v>3236518</v>
      </c>
      <c r="E728" s="293"/>
      <c r="G728" s="396"/>
      <c r="I728" s="396"/>
      <c r="J728" s="396"/>
      <c r="K728" s="396"/>
      <c r="L728" s="396"/>
      <c r="M728" s="396"/>
      <c r="N728" s="396"/>
      <c r="O728" s="396"/>
      <c r="P728" s="396"/>
      <c r="Q728" s="396"/>
      <c r="R728" s="396"/>
      <c r="S728" s="396"/>
      <c r="T728" s="396"/>
    </row>
    <row r="729" spans="2:20">
      <c r="B729" s="1394">
        <v>16</v>
      </c>
      <c r="C729" s="2204" t="s">
        <v>295</v>
      </c>
      <c r="D729" s="770">
        <v>5485287</v>
      </c>
      <c r="E729" s="293"/>
      <c r="G729" s="396"/>
      <c r="I729" s="396"/>
      <c r="J729" s="396"/>
      <c r="K729" s="396"/>
      <c r="L729" s="396"/>
      <c r="M729" s="396"/>
      <c r="N729" s="396"/>
      <c r="O729" s="396"/>
      <c r="P729" s="396"/>
      <c r="Q729" s="396"/>
      <c r="R729" s="396"/>
      <c r="S729" s="396"/>
      <c r="T729" s="396"/>
    </row>
    <row r="730" spans="2:20">
      <c r="B730" s="1394">
        <v>17</v>
      </c>
      <c r="C730" s="2204" t="s">
        <v>296</v>
      </c>
      <c r="D730" s="770">
        <v>1203358</v>
      </c>
      <c r="E730" s="383"/>
      <c r="G730" s="396"/>
      <c r="I730" s="396"/>
      <c r="J730" s="396"/>
      <c r="K730" s="396"/>
      <c r="L730" s="396"/>
      <c r="M730" s="396"/>
      <c r="N730" s="396"/>
      <c r="O730" s="396"/>
      <c r="P730" s="396"/>
      <c r="Q730" s="396"/>
      <c r="R730" s="396"/>
      <c r="S730" s="396"/>
      <c r="T730" s="396"/>
    </row>
    <row r="731" spans="2:20">
      <c r="B731" s="1394">
        <v>18</v>
      </c>
      <c r="C731" s="2204" t="s">
        <v>297</v>
      </c>
      <c r="D731" s="770">
        <v>520172</v>
      </c>
      <c r="E731" s="293"/>
      <c r="G731" s="396"/>
      <c r="I731" s="396"/>
      <c r="J731" s="396"/>
      <c r="K731" s="396"/>
      <c r="L731" s="396"/>
      <c r="M731" s="396"/>
      <c r="N731" s="396"/>
      <c r="O731" s="396"/>
      <c r="P731" s="396"/>
      <c r="Q731" s="396"/>
      <c r="R731" s="396"/>
      <c r="S731" s="396"/>
      <c r="T731" s="396"/>
    </row>
    <row r="732" spans="2:20" ht="13.9" thickBot="1">
      <c r="B732" s="1394">
        <v>19</v>
      </c>
      <c r="C732" s="2205" t="s">
        <v>298</v>
      </c>
      <c r="D732" s="772">
        <v>3419642</v>
      </c>
      <c r="E732" s="293"/>
      <c r="G732" s="396"/>
      <c r="I732" s="396"/>
      <c r="J732" s="396"/>
      <c r="K732" s="396"/>
      <c r="L732" s="396"/>
      <c r="M732" s="396"/>
      <c r="N732" s="396"/>
      <c r="O732" s="396"/>
      <c r="P732" s="396"/>
      <c r="Q732" s="396"/>
      <c r="R732" s="396"/>
      <c r="S732" s="396"/>
      <c r="T732" s="396"/>
    </row>
    <row r="733" spans="2:20" ht="27" thickBot="1">
      <c r="B733" s="1406">
        <v>20</v>
      </c>
      <c r="C733" s="1425" t="s">
        <v>299</v>
      </c>
      <c r="D733" s="1434">
        <v>87433307</v>
      </c>
      <c r="E733" s="293"/>
      <c r="G733" s="396"/>
      <c r="I733" s="396"/>
      <c r="J733" s="396"/>
      <c r="K733" s="396"/>
      <c r="L733" s="396"/>
      <c r="M733" s="396"/>
      <c r="N733" s="396"/>
      <c r="O733" s="396"/>
      <c r="P733" s="396"/>
      <c r="Q733" s="396"/>
      <c r="R733" s="396"/>
      <c r="S733" s="396"/>
      <c r="T733" s="396"/>
    </row>
    <row r="734" spans="2:20">
      <c r="B734" s="1394"/>
      <c r="C734" s="1398" t="s">
        <v>300</v>
      </c>
      <c r="D734" s="749"/>
      <c r="E734" s="293"/>
      <c r="G734" s="396"/>
      <c r="I734" s="396"/>
      <c r="J734" s="396"/>
      <c r="K734" s="396"/>
      <c r="L734" s="396"/>
      <c r="M734" s="396"/>
      <c r="N734" s="396"/>
      <c r="O734" s="396"/>
      <c r="P734" s="396"/>
      <c r="Q734" s="396"/>
      <c r="R734" s="396"/>
      <c r="S734" s="396"/>
      <c r="T734" s="396"/>
    </row>
    <row r="735" spans="2:20">
      <c r="B735" s="1394"/>
      <c r="C735" s="2219" t="s">
        <v>301</v>
      </c>
      <c r="D735" s="749"/>
      <c r="E735" s="293"/>
      <c r="G735" s="396"/>
      <c r="I735" s="396"/>
      <c r="J735" s="396"/>
      <c r="K735" s="396"/>
      <c r="L735" s="396"/>
      <c r="M735" s="396"/>
      <c r="N735" s="396"/>
      <c r="O735" s="396"/>
      <c r="P735" s="396"/>
      <c r="Q735" s="396"/>
      <c r="R735" s="396"/>
      <c r="S735" s="396"/>
      <c r="T735" s="396"/>
    </row>
    <row r="736" spans="2:20">
      <c r="B736" s="1394">
        <v>21</v>
      </c>
      <c r="C736" s="2204" t="s">
        <v>302</v>
      </c>
      <c r="D736" s="770">
        <v>21593273</v>
      </c>
      <c r="E736" s="293"/>
      <c r="G736" s="396"/>
      <c r="I736" s="396"/>
      <c r="J736" s="396"/>
      <c r="K736" s="396"/>
      <c r="L736" s="396"/>
      <c r="M736" s="396"/>
      <c r="N736" s="396"/>
      <c r="O736" s="396"/>
      <c r="P736" s="396"/>
      <c r="Q736" s="396"/>
      <c r="R736" s="396"/>
      <c r="S736" s="396"/>
      <c r="T736" s="396"/>
    </row>
    <row r="737" spans="2:20">
      <c r="B737" s="1394">
        <v>22</v>
      </c>
      <c r="C737" s="2204" t="s">
        <v>303</v>
      </c>
      <c r="D737" s="770">
        <v>777878</v>
      </c>
      <c r="E737" s="293"/>
      <c r="G737" s="396"/>
      <c r="I737" s="396"/>
      <c r="J737" s="396"/>
      <c r="K737" s="396"/>
      <c r="L737" s="396"/>
      <c r="M737" s="396"/>
      <c r="N737" s="396"/>
      <c r="O737" s="396"/>
      <c r="P737" s="396"/>
      <c r="Q737" s="396"/>
      <c r="R737" s="396"/>
      <c r="S737" s="396"/>
      <c r="T737" s="396"/>
    </row>
    <row r="738" spans="2:20">
      <c r="B738" s="1394">
        <v>23</v>
      </c>
      <c r="C738" s="2204" t="s">
        <v>304</v>
      </c>
      <c r="D738" s="770">
        <v>1485967</v>
      </c>
      <c r="E738" s="293"/>
      <c r="G738" s="396"/>
      <c r="I738" s="396"/>
      <c r="J738" s="396"/>
      <c r="K738" s="396"/>
      <c r="L738" s="396"/>
      <c r="M738" s="396"/>
      <c r="N738" s="396"/>
      <c r="O738" s="396"/>
      <c r="P738" s="396"/>
      <c r="Q738" s="396"/>
      <c r="R738" s="396"/>
      <c r="S738" s="396"/>
      <c r="T738" s="396"/>
    </row>
    <row r="739" spans="2:20">
      <c r="B739" s="1394">
        <v>24</v>
      </c>
      <c r="C739" s="2204" t="s">
        <v>305</v>
      </c>
      <c r="D739" s="769"/>
      <c r="E739" s="293"/>
      <c r="G739" s="396"/>
      <c r="I739" s="396"/>
      <c r="J739" s="396"/>
      <c r="K739" s="396"/>
      <c r="L739" s="396"/>
      <c r="M739" s="396"/>
      <c r="N739" s="396"/>
      <c r="O739" s="396"/>
      <c r="P739" s="396"/>
      <c r="Q739" s="396"/>
      <c r="R739" s="396"/>
      <c r="S739" s="396"/>
      <c r="T739" s="396"/>
    </row>
    <row r="740" spans="2:20">
      <c r="B740" s="1394">
        <v>25</v>
      </c>
      <c r="C740" s="2203" t="s">
        <v>306</v>
      </c>
      <c r="D740" s="769"/>
      <c r="E740" s="293"/>
      <c r="G740" s="396"/>
      <c r="I740" s="396"/>
      <c r="J740" s="396"/>
      <c r="K740" s="396"/>
      <c r="L740" s="396"/>
      <c r="M740" s="396"/>
      <c r="N740" s="396"/>
      <c r="O740" s="396"/>
      <c r="P740" s="396"/>
      <c r="Q740" s="396"/>
      <c r="R740" s="396"/>
      <c r="S740" s="396"/>
      <c r="T740" s="396"/>
    </row>
    <row r="741" spans="2:20" ht="13.9" thickBot="1">
      <c r="B741" s="1394">
        <v>26</v>
      </c>
      <c r="C741" s="2205" t="s">
        <v>307</v>
      </c>
      <c r="D741" s="772">
        <v>7015941</v>
      </c>
      <c r="E741" s="293"/>
      <c r="G741" s="396"/>
      <c r="I741" s="396"/>
      <c r="J741" s="396"/>
      <c r="K741" s="396"/>
      <c r="L741" s="396"/>
      <c r="M741" s="396"/>
      <c r="N741" s="396"/>
      <c r="O741" s="396"/>
      <c r="P741" s="396"/>
      <c r="Q741" s="396"/>
      <c r="R741" s="396"/>
      <c r="S741" s="396"/>
      <c r="T741" s="396"/>
    </row>
    <row r="742" spans="2:20" ht="27" thickBot="1">
      <c r="B742" s="1397">
        <v>27</v>
      </c>
      <c r="C742" s="1419" t="s">
        <v>308</v>
      </c>
      <c r="D742" s="737">
        <v>30873059</v>
      </c>
      <c r="E742" s="293"/>
      <c r="G742" s="396"/>
      <c r="I742" s="396"/>
      <c r="J742" s="396"/>
      <c r="K742" s="396"/>
      <c r="L742" s="396"/>
      <c r="M742" s="396"/>
      <c r="N742" s="396"/>
      <c r="O742" s="396"/>
      <c r="P742" s="396"/>
      <c r="Q742" s="396"/>
      <c r="R742" s="396"/>
      <c r="S742" s="396"/>
      <c r="T742" s="396"/>
    </row>
    <row r="743" spans="2:20">
      <c r="B743" s="1394"/>
      <c r="C743" s="1398" t="s">
        <v>309</v>
      </c>
      <c r="D743" s="771"/>
      <c r="E743" s="293"/>
      <c r="G743" s="396"/>
      <c r="I743" s="396"/>
      <c r="J743" s="396"/>
      <c r="K743" s="396"/>
      <c r="L743" s="396"/>
      <c r="M743" s="396"/>
      <c r="N743" s="396"/>
      <c r="O743" s="396"/>
      <c r="P743" s="396"/>
      <c r="Q743" s="396"/>
      <c r="R743" s="396"/>
      <c r="S743" s="396"/>
      <c r="T743" s="396"/>
    </row>
    <row r="744" spans="2:20">
      <c r="B744" s="1394">
        <v>28</v>
      </c>
      <c r="C744" s="2218" t="s">
        <v>310</v>
      </c>
      <c r="D744" s="770">
        <v>6000000</v>
      </c>
      <c r="E744" s="293"/>
      <c r="G744" s="396"/>
      <c r="I744" s="396"/>
      <c r="J744" s="396"/>
      <c r="K744" s="396"/>
      <c r="L744" s="396"/>
      <c r="M744" s="396"/>
      <c r="N744" s="396"/>
      <c r="O744" s="396"/>
      <c r="P744" s="396"/>
      <c r="Q744" s="396"/>
      <c r="R744" s="396"/>
      <c r="S744" s="396"/>
      <c r="T744" s="396"/>
    </row>
    <row r="745" spans="2:20">
      <c r="B745" s="1394">
        <v>29</v>
      </c>
      <c r="C745" s="2218" t="s">
        <v>311</v>
      </c>
      <c r="D745" s="770">
        <v>-1184506</v>
      </c>
      <c r="E745" s="293"/>
      <c r="G745" s="396"/>
      <c r="I745" s="396"/>
      <c r="J745" s="396"/>
      <c r="K745" s="396"/>
      <c r="L745" s="396"/>
      <c r="M745" s="396"/>
      <c r="N745" s="396"/>
      <c r="O745" s="396"/>
      <c r="P745" s="396"/>
      <c r="Q745" s="396"/>
      <c r="R745" s="396"/>
      <c r="S745" s="396"/>
      <c r="T745" s="396"/>
    </row>
    <row r="746" spans="2:20">
      <c r="B746" s="1394">
        <v>30</v>
      </c>
      <c r="C746" s="2207" t="s">
        <v>312</v>
      </c>
      <c r="D746" s="770">
        <v>9203609</v>
      </c>
      <c r="E746" s="293"/>
      <c r="G746" s="396"/>
      <c r="I746" s="396"/>
      <c r="J746" s="396"/>
      <c r="K746" s="396"/>
      <c r="L746" s="396"/>
      <c r="M746" s="396"/>
      <c r="N746" s="396"/>
      <c r="O746" s="396"/>
      <c r="P746" s="396"/>
      <c r="Q746" s="396"/>
      <c r="R746" s="396"/>
      <c r="S746" s="396"/>
      <c r="T746" s="396"/>
    </row>
    <row r="747" spans="2:20" ht="13.9" thickBot="1">
      <c r="B747" s="1394">
        <v>31</v>
      </c>
      <c r="C747" s="2207" t="s">
        <v>314</v>
      </c>
      <c r="D747" s="772">
        <v>42541143</v>
      </c>
      <c r="E747" s="293"/>
      <c r="G747" s="396"/>
      <c r="I747" s="396"/>
      <c r="J747" s="396"/>
      <c r="K747" s="396"/>
      <c r="L747" s="396"/>
      <c r="M747" s="396"/>
      <c r="N747" s="396"/>
      <c r="O747" s="396"/>
      <c r="P747" s="396"/>
      <c r="Q747" s="396"/>
      <c r="R747" s="396"/>
      <c r="S747" s="396"/>
      <c r="T747" s="396"/>
    </row>
    <row r="748" spans="2:20" ht="13.9" thickBot="1">
      <c r="B748" s="1397">
        <v>32</v>
      </c>
      <c r="C748" s="1419" t="s">
        <v>315</v>
      </c>
      <c r="D748" s="737">
        <v>56560246</v>
      </c>
      <c r="E748" s="293"/>
      <c r="G748" s="396"/>
      <c r="I748" s="396"/>
      <c r="J748" s="396"/>
      <c r="K748" s="396"/>
      <c r="L748" s="396"/>
      <c r="M748" s="396"/>
      <c r="N748" s="396"/>
      <c r="O748" s="396"/>
      <c r="P748" s="396"/>
      <c r="Q748" s="396"/>
      <c r="R748" s="396"/>
      <c r="S748" s="396"/>
      <c r="T748" s="396"/>
    </row>
    <row r="749" spans="2:20" ht="27" thickBot="1">
      <c r="B749" s="1409">
        <v>33</v>
      </c>
      <c r="C749" s="1430" t="s">
        <v>317</v>
      </c>
      <c r="D749" s="1434">
        <v>87433305</v>
      </c>
      <c r="E749" s="293"/>
      <c r="G749" s="396"/>
      <c r="I749" s="396"/>
      <c r="J749" s="396"/>
      <c r="K749" s="396"/>
      <c r="L749" s="396"/>
      <c r="M749" s="396"/>
      <c r="N749" s="396"/>
      <c r="O749" s="396"/>
      <c r="P749" s="396"/>
      <c r="Q749" s="396"/>
      <c r="R749" s="396"/>
      <c r="S749" s="396"/>
      <c r="T749" s="396"/>
    </row>
    <row r="750" spans="2:20">
      <c r="B750" s="196"/>
      <c r="C750" s="391"/>
      <c r="D750" s="544"/>
      <c r="E750" s="383"/>
      <c r="F750" s="293"/>
      <c r="I750" s="396"/>
      <c r="J750" s="396"/>
      <c r="K750" s="396"/>
      <c r="L750" s="396"/>
      <c r="M750" s="396"/>
      <c r="N750" s="396"/>
      <c r="O750" s="396"/>
      <c r="P750" s="396"/>
      <c r="Q750" s="396"/>
      <c r="R750" s="396"/>
      <c r="S750" s="396"/>
      <c r="T750" s="396"/>
    </row>
    <row r="751" spans="2:20">
      <c r="B751" s="196"/>
      <c r="C751" s="391"/>
      <c r="D751" s="544"/>
      <c r="E751" s="383"/>
      <c r="F751" s="293"/>
      <c r="H751" s="292">
        <v>95</v>
      </c>
      <c r="I751" s="396"/>
      <c r="J751" s="396"/>
      <c r="K751" s="396"/>
      <c r="L751" s="396"/>
      <c r="M751" s="396"/>
      <c r="N751" s="396"/>
      <c r="O751" s="396"/>
      <c r="P751" s="396"/>
      <c r="Q751" s="396"/>
      <c r="R751" s="396"/>
      <c r="S751" s="396"/>
      <c r="T751" s="396"/>
    </row>
    <row r="753" spans="3:3">
      <c r="C753" s="52"/>
    </row>
  </sheetData>
  <mergeCells count="76">
    <mergeCell ref="B4:C4"/>
    <mergeCell ref="B5:B7"/>
    <mergeCell ref="C5:C7"/>
    <mergeCell ref="D5:D7"/>
    <mergeCell ref="E5:E7"/>
    <mergeCell ref="G5:G7"/>
    <mergeCell ref="B54:C54"/>
    <mergeCell ref="B55:B57"/>
    <mergeCell ref="C55:C57"/>
    <mergeCell ref="D55:D57"/>
    <mergeCell ref="F5:F7"/>
    <mergeCell ref="C50:E50"/>
    <mergeCell ref="B254:C254"/>
    <mergeCell ref="B104:C104"/>
    <mergeCell ref="B105:B107"/>
    <mergeCell ref="C105:C107"/>
    <mergeCell ref="D105:D107"/>
    <mergeCell ref="B154:C154"/>
    <mergeCell ref="B155:B157"/>
    <mergeCell ref="C155:C157"/>
    <mergeCell ref="D155:D157"/>
    <mergeCell ref="B204:C204"/>
    <mergeCell ref="B205:B207"/>
    <mergeCell ref="C205:C207"/>
    <mergeCell ref="D205:D207"/>
    <mergeCell ref="B252:G252"/>
    <mergeCell ref="B255:B257"/>
    <mergeCell ref="C255:C257"/>
    <mergeCell ref="D255:D257"/>
    <mergeCell ref="B304:C304"/>
    <mergeCell ref="B305:B307"/>
    <mergeCell ref="C305:C307"/>
    <mergeCell ref="D305:D307"/>
    <mergeCell ref="B454:C454"/>
    <mergeCell ref="B352:G352"/>
    <mergeCell ref="B354:C354"/>
    <mergeCell ref="B355:B357"/>
    <mergeCell ref="C355:C357"/>
    <mergeCell ref="D355:D357"/>
    <mergeCell ref="B402:G402"/>
    <mergeCell ref="B404:C404"/>
    <mergeCell ref="B405:B407"/>
    <mergeCell ref="C405:C407"/>
    <mergeCell ref="D405:D407"/>
    <mergeCell ref="B452:G452"/>
    <mergeCell ref="B455:B457"/>
    <mergeCell ref="C455:C457"/>
    <mergeCell ref="D455:D457"/>
    <mergeCell ref="B502:G502"/>
    <mergeCell ref="B504:C504"/>
    <mergeCell ref="C505:C507"/>
    <mergeCell ref="D505:D507"/>
    <mergeCell ref="E505:E507"/>
    <mergeCell ref="F505:F507"/>
    <mergeCell ref="D605:D607"/>
    <mergeCell ref="B602:G602"/>
    <mergeCell ref="B604:C604"/>
    <mergeCell ref="B605:B607"/>
    <mergeCell ref="C605:C607"/>
    <mergeCell ref="G505:G507"/>
    <mergeCell ref="B552:G552"/>
    <mergeCell ref="B554:C554"/>
    <mergeCell ref="B555:B557"/>
    <mergeCell ref="C555:C557"/>
    <mergeCell ref="D555:D557"/>
    <mergeCell ref="B505:B507"/>
    <mergeCell ref="B652:G652"/>
    <mergeCell ref="B706:B708"/>
    <mergeCell ref="C706:C708"/>
    <mergeCell ref="D706:D708"/>
    <mergeCell ref="B654:C654"/>
    <mergeCell ref="B655:B657"/>
    <mergeCell ref="C655:C657"/>
    <mergeCell ref="D655:D657"/>
    <mergeCell ref="B702:G702"/>
    <mergeCell ref="B705:C705"/>
  </mergeCells>
  <pageMargins left="0.7" right="0.17" top="0.7" bottom="0.75" header="0.56999999999999995" footer="0.3"/>
  <pageSetup paperSize="9" scale="69" orientation="portrait" r:id="rId1"/>
  <rowBreaks count="14" manualBreakCount="14">
    <brk id="50" max="7" man="1"/>
    <brk id="100" max="7" man="1"/>
    <brk id="150" max="7" man="1"/>
    <brk id="200" max="7" man="1"/>
    <brk id="250" max="7" man="1"/>
    <brk id="300" max="7" man="1"/>
    <brk id="350" max="7" man="1"/>
    <brk id="400" max="7" man="1"/>
    <brk id="450" max="7" man="1"/>
    <brk id="500" max="7" man="1"/>
    <brk id="550" max="7" man="1"/>
    <brk id="600" max="7" man="1"/>
    <brk id="650" max="7" man="1"/>
    <brk id="700" max="7" man="1"/>
  </rowBreaks>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6699"/>
  </sheetPr>
  <dimension ref="A1:O750"/>
  <sheetViews>
    <sheetView showGridLines="0" view="pageBreakPreview" topLeftCell="D398" zoomScale="90" zoomScaleNormal="100" zoomScaleSheetLayoutView="90" workbookViewId="0">
      <selection activeCell="D398" sqref="D398"/>
    </sheetView>
  </sheetViews>
  <sheetFormatPr defaultColWidth="9.140625" defaultRowHeight="13.15"/>
  <cols>
    <col min="1" max="1" width="3.42578125" style="292" customWidth="1"/>
    <col min="2" max="2" width="4.5703125" style="292" customWidth="1"/>
    <col min="3" max="3" width="44.28515625" style="413" customWidth="1"/>
    <col min="4" max="4" width="16.28515625" style="292" customWidth="1"/>
    <col min="5" max="5" width="15.28515625" style="292" customWidth="1"/>
    <col min="6" max="6" width="17.42578125" style="292" customWidth="1"/>
    <col min="7" max="7" width="18.85546875" style="292" customWidth="1"/>
    <col min="8" max="8" width="12.85546875" style="292" customWidth="1"/>
    <col min="9" max="9" width="16" style="292" customWidth="1"/>
    <col min="10" max="10" width="13.7109375" style="292" customWidth="1"/>
    <col min="11" max="11" width="10.7109375" style="292" customWidth="1"/>
    <col min="12" max="12" width="12.5703125" style="292" customWidth="1"/>
    <col min="13" max="13" width="7" style="292" customWidth="1"/>
    <col min="14" max="14" width="14" style="292" customWidth="1"/>
    <col min="15" max="15" width="12.7109375" style="292" bestFit="1" customWidth="1"/>
    <col min="16" max="16384" width="9.140625" style="292"/>
  </cols>
  <sheetData>
    <row r="1" spans="2:13">
      <c r="C1" s="292"/>
    </row>
    <row r="2" spans="2:13" ht="14.45">
      <c r="B2" s="1669" t="s">
        <v>428</v>
      </c>
      <c r="C2" s="236"/>
      <c r="D2" s="236"/>
      <c r="E2" s="236"/>
      <c r="F2" s="236"/>
    </row>
    <row r="3" spans="2:13" ht="13.9" thickBot="1">
      <c r="B3" s="236"/>
    </row>
    <row r="4" spans="2:13" ht="13.9" thickBot="1">
      <c r="B4" s="3344" t="s">
        <v>266</v>
      </c>
      <c r="C4" s="3345"/>
      <c r="F4" s="295"/>
      <c r="G4" s="532" t="s">
        <v>238</v>
      </c>
    </row>
    <row r="5" spans="2:13">
      <c r="B5" s="3283" t="s">
        <v>396</v>
      </c>
      <c r="C5" s="3348"/>
      <c r="D5" s="3283" t="s">
        <v>397</v>
      </c>
      <c r="E5" s="3283" t="s">
        <v>398</v>
      </c>
      <c r="F5" s="3283" t="s">
        <v>399</v>
      </c>
      <c r="G5" s="3355" t="s">
        <v>400</v>
      </c>
    </row>
    <row r="6" spans="2:13">
      <c r="B6" s="3284"/>
      <c r="C6" s="3346"/>
      <c r="D6" s="3284"/>
      <c r="E6" s="3284"/>
      <c r="F6" s="3284"/>
      <c r="G6" s="3356"/>
    </row>
    <row r="7" spans="2:13" ht="13.9" thickBot="1">
      <c r="B7" s="3285"/>
      <c r="C7" s="3347"/>
      <c r="D7" s="3285"/>
      <c r="E7" s="3285"/>
      <c r="F7" s="3285"/>
      <c r="G7" s="3357"/>
    </row>
    <row r="8" spans="2:13">
      <c r="B8" s="1451"/>
      <c r="C8" s="1452" t="s">
        <v>275</v>
      </c>
      <c r="D8" s="503"/>
      <c r="E8" s="547"/>
      <c r="F8" s="1455"/>
      <c r="G8" s="548"/>
    </row>
    <row r="9" spans="2:13">
      <c r="B9" s="1453">
        <v>1</v>
      </c>
      <c r="C9" s="2224" t="s">
        <v>276</v>
      </c>
      <c r="D9" s="2225">
        <v>396906</v>
      </c>
      <c r="E9" s="2225">
        <f t="shared" ref="E9:E20" si="0">+E509</f>
        <v>0</v>
      </c>
      <c r="F9" s="2221">
        <f>+D9+E9</f>
        <v>396906</v>
      </c>
      <c r="G9" s="2225">
        <f>+G509</f>
        <v>0</v>
      </c>
      <c r="H9" s="396"/>
      <c r="I9" s="794"/>
      <c r="J9" s="514"/>
      <c r="K9" s="794"/>
      <c r="L9" s="549"/>
      <c r="M9" s="599"/>
    </row>
    <row r="10" spans="2:13">
      <c r="B10" s="1453">
        <v>2</v>
      </c>
      <c r="C10" s="2224" t="s">
        <v>277</v>
      </c>
      <c r="D10" s="2225">
        <v>1868079.1067599999</v>
      </c>
      <c r="E10" s="2225">
        <f t="shared" si="0"/>
        <v>0</v>
      </c>
      <c r="F10" s="2221">
        <f>+D10+E10</f>
        <v>1868079.1067599999</v>
      </c>
      <c r="G10" s="2225">
        <f>+G510</f>
        <v>0</v>
      </c>
      <c r="H10" s="396"/>
      <c r="I10" s="794"/>
      <c r="J10" s="514"/>
      <c r="K10" s="794"/>
      <c r="L10" s="549"/>
      <c r="M10" s="599"/>
    </row>
    <row r="11" spans="2:13">
      <c r="B11" s="1453">
        <v>3</v>
      </c>
      <c r="C11" s="2224" t="s">
        <v>278</v>
      </c>
      <c r="D11" s="2225">
        <v>896663.61400000006</v>
      </c>
      <c r="E11" s="2225">
        <f t="shared" si="0"/>
        <v>0</v>
      </c>
      <c r="F11" s="2221">
        <f t="shared" ref="F11:F31" si="1">+D11+E11</f>
        <v>896663.61400000006</v>
      </c>
      <c r="G11" s="2225">
        <f>+G511</f>
        <v>0</v>
      </c>
      <c r="H11" s="396"/>
      <c r="I11" s="794"/>
      <c r="J11" s="514"/>
      <c r="K11" s="794"/>
      <c r="L11" s="549"/>
      <c r="M11" s="599"/>
    </row>
    <row r="12" spans="2:13">
      <c r="B12" s="1453">
        <v>4</v>
      </c>
      <c r="C12" s="2224" t="s">
        <v>429</v>
      </c>
      <c r="D12" s="2225">
        <v>1736234.649</v>
      </c>
      <c r="E12" s="2225">
        <f t="shared" si="0"/>
        <v>61043</v>
      </c>
      <c r="F12" s="2221">
        <f t="shared" si="1"/>
        <v>1797277.649</v>
      </c>
      <c r="G12" s="2225"/>
      <c r="H12" s="396"/>
      <c r="I12" s="794"/>
      <c r="J12" s="514"/>
      <c r="K12" s="794"/>
      <c r="L12" s="549"/>
      <c r="M12" s="599"/>
    </row>
    <row r="13" spans="2:13">
      <c r="B13" s="1453">
        <v>5</v>
      </c>
      <c r="C13" s="2224" t="s">
        <v>243</v>
      </c>
      <c r="D13" s="2225">
        <v>18940081.954</v>
      </c>
      <c r="E13" s="2225">
        <f t="shared" si="0"/>
        <v>12529</v>
      </c>
      <c r="F13" s="2221">
        <f t="shared" si="1"/>
        <v>18952610.954</v>
      </c>
      <c r="G13" s="2225">
        <f t="shared" ref="G13:G20" si="2">+G513</f>
        <v>0</v>
      </c>
      <c r="H13" s="396"/>
      <c r="I13" s="794"/>
      <c r="J13" s="514"/>
      <c r="K13" s="794"/>
      <c r="L13" s="549"/>
      <c r="M13" s="599"/>
    </row>
    <row r="14" spans="2:13">
      <c r="B14" s="1453">
        <v>6</v>
      </c>
      <c r="C14" s="2224" t="s">
        <v>281</v>
      </c>
      <c r="D14" s="2225">
        <v>2205700</v>
      </c>
      <c r="E14" s="2225">
        <f t="shared" si="0"/>
        <v>0</v>
      </c>
      <c r="F14" s="2221">
        <f t="shared" si="1"/>
        <v>2205700</v>
      </c>
      <c r="G14" s="2225">
        <f t="shared" si="2"/>
        <v>0</v>
      </c>
      <c r="H14" s="396"/>
      <c r="I14" s="794"/>
      <c r="J14" s="514"/>
      <c r="K14" s="794"/>
      <c r="L14" s="549"/>
      <c r="M14" s="599"/>
    </row>
    <row r="15" spans="2:13">
      <c r="B15" s="1453">
        <v>7</v>
      </c>
      <c r="C15" s="2224" t="s">
        <v>282</v>
      </c>
      <c r="D15" s="2225">
        <v>0</v>
      </c>
      <c r="E15" s="2225">
        <f t="shared" si="0"/>
        <v>0</v>
      </c>
      <c r="F15" s="2221">
        <f t="shared" si="1"/>
        <v>0</v>
      </c>
      <c r="G15" s="2225">
        <f t="shared" si="2"/>
        <v>0</v>
      </c>
      <c r="H15" s="396"/>
      <c r="I15" s="794"/>
      <c r="J15" s="514"/>
      <c r="K15" s="794"/>
      <c r="L15" s="549"/>
      <c r="M15" s="599"/>
    </row>
    <row r="16" spans="2:13">
      <c r="B16" s="1453"/>
      <c r="C16" s="2224" t="s">
        <v>401</v>
      </c>
      <c r="D16" s="2225">
        <v>942392</v>
      </c>
      <c r="E16" s="2225">
        <f t="shared" si="0"/>
        <v>0</v>
      </c>
      <c r="F16" s="2221">
        <f t="shared" si="1"/>
        <v>942392</v>
      </c>
      <c r="G16" s="2225">
        <f t="shared" si="2"/>
        <v>0</v>
      </c>
      <c r="H16" s="396"/>
      <c r="I16" s="794"/>
      <c r="J16" s="514"/>
      <c r="K16" s="794"/>
      <c r="L16" s="549"/>
      <c r="M16" s="599"/>
    </row>
    <row r="17" spans="2:15">
      <c r="B17" s="1453"/>
      <c r="C17" s="3146" t="s">
        <v>402</v>
      </c>
      <c r="D17" s="2225">
        <v>20870875</v>
      </c>
      <c r="E17" s="2225">
        <f t="shared" si="0"/>
        <v>0</v>
      </c>
      <c r="F17" s="2221">
        <f t="shared" si="1"/>
        <v>20870875</v>
      </c>
      <c r="G17" s="2225">
        <f t="shared" si="2"/>
        <v>0</v>
      </c>
      <c r="H17" s="396"/>
      <c r="I17" s="794"/>
      <c r="J17" s="514"/>
      <c r="K17" s="794"/>
      <c r="L17" s="549"/>
      <c r="M17" s="599"/>
    </row>
    <row r="18" spans="2:15">
      <c r="B18" s="1453">
        <v>8</v>
      </c>
      <c r="C18" s="3146" t="s">
        <v>403</v>
      </c>
      <c r="D18" s="2225">
        <v>0</v>
      </c>
      <c r="E18" s="2225">
        <f t="shared" si="0"/>
        <v>0</v>
      </c>
      <c r="F18" s="2221">
        <f t="shared" si="1"/>
        <v>0</v>
      </c>
      <c r="G18" s="2225">
        <f t="shared" si="2"/>
        <v>0</v>
      </c>
      <c r="H18" s="396"/>
      <c r="I18" s="794"/>
      <c r="J18" s="514"/>
      <c r="K18" s="794"/>
      <c r="L18" s="549"/>
      <c r="M18" s="599"/>
    </row>
    <row r="19" spans="2:15">
      <c r="B19" s="1453"/>
      <c r="C19" s="2224" t="s">
        <v>404</v>
      </c>
      <c r="D19" s="2225">
        <v>0</v>
      </c>
      <c r="E19" s="2225">
        <f t="shared" si="0"/>
        <v>0</v>
      </c>
      <c r="F19" s="2221">
        <f t="shared" si="1"/>
        <v>0</v>
      </c>
      <c r="G19" s="2225">
        <f t="shared" si="2"/>
        <v>0</v>
      </c>
      <c r="H19" s="396"/>
      <c r="I19" s="794"/>
      <c r="J19" s="514"/>
      <c r="K19" s="794"/>
      <c r="L19" s="549"/>
      <c r="M19" s="599"/>
    </row>
    <row r="20" spans="2:15">
      <c r="B20" s="1453"/>
      <c r="C20" s="3146" t="s">
        <v>405</v>
      </c>
      <c r="D20" s="2225">
        <v>266254</v>
      </c>
      <c r="E20" s="2225">
        <f t="shared" si="0"/>
        <v>0</v>
      </c>
      <c r="F20" s="2221">
        <f t="shared" si="1"/>
        <v>266254</v>
      </c>
      <c r="G20" s="2225">
        <f t="shared" si="2"/>
        <v>0</v>
      </c>
      <c r="H20" s="396"/>
      <c r="I20" s="794"/>
      <c r="J20" s="514"/>
      <c r="K20" s="794"/>
      <c r="L20" s="549"/>
      <c r="M20" s="599"/>
    </row>
    <row r="21" spans="2:15" ht="26.45">
      <c r="B21" s="2226">
        <v>9</v>
      </c>
      <c r="C21" s="2227" t="s">
        <v>288</v>
      </c>
      <c r="D21" s="2228">
        <v>118561874.24813493</v>
      </c>
      <c r="E21" s="2228">
        <f>SUM(E22:E25)</f>
        <v>19666178</v>
      </c>
      <c r="F21" s="2229">
        <f>+D21+E21</f>
        <v>138228052.24813491</v>
      </c>
      <c r="G21" s="2228">
        <v>2087676</v>
      </c>
      <c r="H21" s="396"/>
      <c r="I21" s="794"/>
      <c r="J21" s="514"/>
      <c r="K21" s="794"/>
      <c r="L21" s="549"/>
      <c r="M21" s="599"/>
    </row>
    <row r="22" spans="2:15">
      <c r="B22" s="1453">
        <v>10</v>
      </c>
      <c r="C22" s="1454" t="s">
        <v>289</v>
      </c>
      <c r="D22" s="2225">
        <v>6371324</v>
      </c>
      <c r="E22" s="2225">
        <f t="shared" ref="E22:E31" si="3">+E522</f>
        <v>29982</v>
      </c>
      <c r="F22" s="2221">
        <f t="shared" si="1"/>
        <v>6401306</v>
      </c>
      <c r="G22" s="2225">
        <v>703316</v>
      </c>
      <c r="H22" s="396"/>
      <c r="I22" s="794"/>
      <c r="J22" s="514"/>
      <c r="K22" s="794"/>
      <c r="L22" s="549"/>
      <c r="M22" s="599"/>
    </row>
    <row r="23" spans="2:15">
      <c r="B23" s="1453">
        <v>11</v>
      </c>
      <c r="C23" s="2224" t="s">
        <v>290</v>
      </c>
      <c r="D23" s="2225">
        <v>55342016.236052416</v>
      </c>
      <c r="E23" s="2225">
        <f t="shared" si="3"/>
        <v>4522342</v>
      </c>
      <c r="F23" s="2221">
        <f t="shared" si="1"/>
        <v>59864358.236052416</v>
      </c>
      <c r="G23" s="2225">
        <v>467416</v>
      </c>
      <c r="H23" s="396"/>
      <c r="I23" s="794"/>
      <c r="J23" s="514"/>
      <c r="K23" s="794"/>
      <c r="L23" s="549"/>
      <c r="M23" s="599"/>
    </row>
    <row r="24" spans="2:15">
      <c r="B24" s="1453">
        <v>12</v>
      </c>
      <c r="C24" s="2224" t="s">
        <v>291</v>
      </c>
      <c r="D24" s="2225">
        <v>47649511.296792522</v>
      </c>
      <c r="E24" s="2225">
        <f t="shared" si="3"/>
        <v>15113854</v>
      </c>
      <c r="F24" s="2221">
        <f t="shared" si="1"/>
        <v>62763365.296792522</v>
      </c>
      <c r="G24" s="2225">
        <v>916944</v>
      </c>
      <c r="H24" s="396"/>
      <c r="I24" s="794"/>
      <c r="J24" s="514"/>
      <c r="K24" s="794"/>
      <c r="L24" s="549"/>
      <c r="M24" s="599"/>
    </row>
    <row r="25" spans="2:15" ht="26.45">
      <c r="B25" s="1453">
        <v>13</v>
      </c>
      <c r="C25" s="2224" t="s">
        <v>292</v>
      </c>
      <c r="D25" s="2225">
        <v>9199022.7152899988</v>
      </c>
      <c r="E25" s="2225">
        <f t="shared" si="3"/>
        <v>0</v>
      </c>
      <c r="F25" s="2221">
        <f t="shared" si="1"/>
        <v>9199022.7152899988</v>
      </c>
      <c r="G25" s="2225">
        <v>0</v>
      </c>
      <c r="H25" s="396"/>
      <c r="I25" s="794"/>
      <c r="J25" s="514"/>
      <c r="K25" s="794"/>
      <c r="L25" s="549"/>
      <c r="M25" s="599"/>
    </row>
    <row r="26" spans="2:15">
      <c r="B26" s="1453">
        <v>14</v>
      </c>
      <c r="C26" s="2230" t="s">
        <v>293</v>
      </c>
      <c r="D26" s="2225">
        <v>0</v>
      </c>
      <c r="E26" s="2225">
        <f t="shared" si="3"/>
        <v>0</v>
      </c>
      <c r="F26" s="2221">
        <f t="shared" si="1"/>
        <v>0</v>
      </c>
      <c r="G26" s="2225">
        <v>0</v>
      </c>
      <c r="H26" s="396"/>
      <c r="I26" s="794"/>
      <c r="J26" s="514"/>
      <c r="K26" s="794"/>
      <c r="L26" s="549"/>
      <c r="M26" s="599"/>
    </row>
    <row r="27" spans="2:15">
      <c r="B27" s="1453">
        <v>15</v>
      </c>
      <c r="C27" s="2230" t="s">
        <v>294</v>
      </c>
      <c r="D27" s="2225">
        <v>14838220.822660584</v>
      </c>
      <c r="E27" s="2225">
        <f t="shared" si="3"/>
        <v>0</v>
      </c>
      <c r="F27" s="2221">
        <f t="shared" si="1"/>
        <v>14838220.822660584</v>
      </c>
      <c r="G27" s="2225">
        <v>1082149</v>
      </c>
      <c r="H27" s="396"/>
      <c r="I27" s="794"/>
      <c r="J27" s="514"/>
      <c r="K27" s="794"/>
      <c r="L27" s="549"/>
      <c r="M27" s="599"/>
    </row>
    <row r="28" spans="2:15">
      <c r="B28" s="1453">
        <v>16</v>
      </c>
      <c r="C28" s="2230" t="s">
        <v>295</v>
      </c>
      <c r="D28" s="2225">
        <v>27025162.799360011</v>
      </c>
      <c r="E28" s="2225">
        <f t="shared" si="3"/>
        <v>2171519</v>
      </c>
      <c r="F28" s="2221">
        <f t="shared" si="1"/>
        <v>29196681.799360011</v>
      </c>
      <c r="G28" s="2225">
        <v>1590481</v>
      </c>
      <c r="H28" s="396"/>
      <c r="I28" s="794"/>
      <c r="J28" s="514"/>
      <c r="K28" s="794"/>
      <c r="L28" s="549"/>
      <c r="M28" s="599"/>
    </row>
    <row r="29" spans="2:15" s="295" customFormat="1">
      <c r="B29" s="1453">
        <v>17</v>
      </c>
      <c r="C29" s="3146" t="s">
        <v>233</v>
      </c>
      <c r="D29" s="2225">
        <v>8564102.0969003886</v>
      </c>
      <c r="E29" s="2225">
        <f t="shared" si="3"/>
        <v>1049259</v>
      </c>
      <c r="F29" s="2221">
        <f t="shared" si="1"/>
        <v>9613361.0969003886</v>
      </c>
      <c r="G29" s="2225">
        <v>24</v>
      </c>
      <c r="H29" s="396"/>
      <c r="I29" s="794"/>
      <c r="J29" s="628"/>
      <c r="K29" s="794"/>
      <c r="L29" s="549"/>
      <c r="M29" s="599"/>
    </row>
    <row r="30" spans="2:15">
      <c r="B30" s="1453">
        <v>18</v>
      </c>
      <c r="C30" s="2224" t="s">
        <v>406</v>
      </c>
      <c r="D30" s="2225">
        <v>3013910</v>
      </c>
      <c r="E30" s="2225">
        <f t="shared" si="3"/>
        <v>526263</v>
      </c>
      <c r="F30" s="2221">
        <f t="shared" si="1"/>
        <v>3540173</v>
      </c>
      <c r="G30" s="2225">
        <v>252059</v>
      </c>
      <c r="H30" s="396"/>
      <c r="I30" s="794"/>
      <c r="J30" s="514"/>
      <c r="K30" s="794"/>
      <c r="L30" s="549"/>
      <c r="M30" s="599"/>
    </row>
    <row r="31" spans="2:15" ht="13.9" thickBot="1">
      <c r="B31" s="1453">
        <v>19</v>
      </c>
      <c r="C31" s="3146" t="s">
        <v>234</v>
      </c>
      <c r="D31" s="2225">
        <v>7771748.0669999998</v>
      </c>
      <c r="E31" s="2231">
        <f t="shared" si="3"/>
        <v>32515</v>
      </c>
      <c r="F31" s="2221">
        <f t="shared" si="1"/>
        <v>7804263.0669999998</v>
      </c>
      <c r="G31" s="2231">
        <v>520519</v>
      </c>
      <c r="H31" s="396"/>
      <c r="I31" s="794"/>
      <c r="J31" s="514"/>
      <c r="K31" s="794"/>
      <c r="L31" s="549"/>
      <c r="M31" s="599"/>
    </row>
    <row r="32" spans="2:15" s="295" customFormat="1" ht="27" thickBot="1">
      <c r="B32" s="1406">
        <v>20</v>
      </c>
      <c r="C32" s="1441" t="s">
        <v>407</v>
      </c>
      <c r="D32" s="1428">
        <v>227898201.35781592</v>
      </c>
      <c r="E32" s="1428">
        <f>SUM(E9:E14)+E16+E17+E20+E21+E26+E27+E28+E29+E30+E31</f>
        <v>23519306</v>
      </c>
      <c r="F32" s="1428">
        <f>+D32+E32</f>
        <v>251417507.35781592</v>
      </c>
      <c r="G32" s="1428">
        <v>5532908</v>
      </c>
      <c r="H32" s="396"/>
      <c r="I32" s="794"/>
      <c r="J32" s="628"/>
      <c r="K32" s="794"/>
      <c r="L32" s="549"/>
      <c r="M32" s="599"/>
      <c r="N32" s="628"/>
      <c r="O32" s="550"/>
    </row>
    <row r="33" spans="2:13">
      <c r="B33" s="1394"/>
      <c r="C33" s="1416" t="s">
        <v>300</v>
      </c>
      <c r="D33" s="503">
        <v>0</v>
      </c>
      <c r="E33" s="503">
        <f t="shared" ref="E33:E40" si="4">+E533</f>
        <v>0</v>
      </c>
      <c r="F33" s="1421">
        <v>0</v>
      </c>
      <c r="G33" s="503">
        <v>0</v>
      </c>
      <c r="H33" s="396"/>
      <c r="I33" s="794"/>
      <c r="J33" s="514"/>
      <c r="K33" s="794"/>
      <c r="L33" s="549"/>
      <c r="M33" s="599"/>
    </row>
    <row r="34" spans="2:13">
      <c r="B34" s="1394"/>
      <c r="C34" s="1415" t="s">
        <v>301</v>
      </c>
      <c r="D34" s="2225">
        <v>0</v>
      </c>
      <c r="E34" s="2225">
        <f t="shared" si="4"/>
        <v>0</v>
      </c>
      <c r="F34" s="2221">
        <f>+D34+E34</f>
        <v>0</v>
      </c>
      <c r="G34" s="2225">
        <v>0</v>
      </c>
      <c r="H34" s="396"/>
      <c r="I34" s="794"/>
      <c r="J34" s="514"/>
      <c r="K34" s="794"/>
      <c r="L34" s="549"/>
      <c r="M34" s="599"/>
    </row>
    <row r="35" spans="2:13">
      <c r="B35" s="1394">
        <v>21</v>
      </c>
      <c r="C35" s="2192" t="s">
        <v>302</v>
      </c>
      <c r="D35" s="2225">
        <v>80322118.571999997</v>
      </c>
      <c r="E35" s="2225">
        <f t="shared" si="4"/>
        <v>3383563</v>
      </c>
      <c r="F35" s="2221">
        <f>+D35+E35</f>
        <v>83705681.571999997</v>
      </c>
      <c r="G35" s="2225">
        <v>4327311</v>
      </c>
      <c r="H35" s="396"/>
      <c r="I35" s="794"/>
      <c r="J35" s="514"/>
      <c r="K35" s="794"/>
      <c r="L35" s="549"/>
      <c r="M35" s="599"/>
    </row>
    <row r="36" spans="2:13">
      <c r="B36" s="1394">
        <v>22</v>
      </c>
      <c r="C36" s="1853" t="s">
        <v>303</v>
      </c>
      <c r="D36" s="2225">
        <v>1890253.9519999998</v>
      </c>
      <c r="E36" s="2225">
        <f t="shared" si="4"/>
        <v>0</v>
      </c>
      <c r="F36" s="2221">
        <f t="shared" ref="F36:F46" si="5">+D36+E36</f>
        <v>1890253.9519999998</v>
      </c>
      <c r="G36" s="2225">
        <v>0</v>
      </c>
      <c r="H36" s="396"/>
      <c r="I36" s="794"/>
      <c r="J36" s="514"/>
      <c r="K36" s="794"/>
      <c r="L36" s="549"/>
      <c r="M36" s="599"/>
    </row>
    <row r="37" spans="2:13">
      <c r="B37" s="1394">
        <v>23</v>
      </c>
      <c r="C37" s="1853" t="s">
        <v>304</v>
      </c>
      <c r="D37" s="2225">
        <v>13419304.324420907</v>
      </c>
      <c r="E37" s="2225">
        <f t="shared" si="4"/>
        <v>7371</v>
      </c>
      <c r="F37" s="2221">
        <f t="shared" si="5"/>
        <v>13426675.324420907</v>
      </c>
      <c r="G37" s="2225">
        <v>774131</v>
      </c>
      <c r="H37" s="396"/>
      <c r="I37" s="794"/>
      <c r="J37" s="514"/>
      <c r="K37" s="794"/>
      <c r="L37" s="549"/>
      <c r="M37" s="599"/>
    </row>
    <row r="38" spans="2:13">
      <c r="B38" s="1394">
        <v>24</v>
      </c>
      <c r="C38" s="1853" t="s">
        <v>305</v>
      </c>
      <c r="D38" s="2225">
        <v>1297867.8419999999</v>
      </c>
      <c r="E38" s="2225">
        <f t="shared" si="4"/>
        <v>0</v>
      </c>
      <c r="F38" s="2221">
        <f t="shared" si="5"/>
        <v>1297867.8419999999</v>
      </c>
      <c r="G38" s="2225">
        <v>0</v>
      </c>
      <c r="H38" s="396"/>
      <c r="I38" s="794"/>
      <c r="J38" s="514"/>
      <c r="K38" s="794"/>
      <c r="L38" s="549"/>
      <c r="M38" s="599"/>
    </row>
    <row r="39" spans="2:13">
      <c r="B39" s="1394">
        <v>25</v>
      </c>
      <c r="C39" s="2192" t="s">
        <v>306</v>
      </c>
      <c r="D39" s="2225">
        <v>997729.96799999999</v>
      </c>
      <c r="E39" s="2225">
        <f t="shared" si="4"/>
        <v>84370</v>
      </c>
      <c r="F39" s="2221">
        <f t="shared" si="5"/>
        <v>1082099.9679999999</v>
      </c>
      <c r="G39" s="2225">
        <v>0</v>
      </c>
      <c r="H39" s="396"/>
      <c r="I39" s="794"/>
      <c r="J39" s="514"/>
      <c r="K39" s="794"/>
      <c r="L39" s="549"/>
      <c r="M39" s="599"/>
    </row>
    <row r="40" spans="2:13" ht="13.9" thickBot="1">
      <c r="B40" s="1394">
        <v>26</v>
      </c>
      <c r="C40" s="2209" t="s">
        <v>307</v>
      </c>
      <c r="D40" s="2225">
        <v>21296420.654664401</v>
      </c>
      <c r="E40" s="2231">
        <f t="shared" si="4"/>
        <v>1317112</v>
      </c>
      <c r="F40" s="2222">
        <f t="shared" si="5"/>
        <v>22613532.654664401</v>
      </c>
      <c r="G40" s="2231">
        <v>43481</v>
      </c>
      <c r="H40" s="396"/>
      <c r="I40" s="794"/>
      <c r="J40" s="514"/>
      <c r="K40" s="794"/>
      <c r="L40" s="549"/>
      <c r="M40" s="599"/>
    </row>
    <row r="41" spans="2:13" s="295" customFormat="1" ht="13.9" thickBot="1">
      <c r="B41" s="1397">
        <v>27</v>
      </c>
      <c r="C41" s="1414" t="s">
        <v>408</v>
      </c>
      <c r="D41" s="504">
        <v>119223695.3130853</v>
      </c>
      <c r="E41" s="504">
        <f>SUM(E35:E40)</f>
        <v>4792416</v>
      </c>
      <c r="F41" s="1423">
        <f>+D41+E41</f>
        <v>124016111.3130853</v>
      </c>
      <c r="G41" s="504">
        <v>5144923</v>
      </c>
      <c r="H41" s="396"/>
      <c r="I41" s="794"/>
      <c r="J41" s="628"/>
      <c r="K41" s="794"/>
      <c r="L41" s="549"/>
      <c r="M41" s="599"/>
    </row>
    <row r="42" spans="2:13">
      <c r="B42" s="1394"/>
      <c r="C42" s="1413" t="s">
        <v>409</v>
      </c>
      <c r="D42" s="503">
        <v>0</v>
      </c>
      <c r="E42" s="503">
        <f t="shared" ref="E42:E47" si="6">+E542</f>
        <v>0</v>
      </c>
      <c r="F42" s="1421">
        <f t="shared" si="5"/>
        <v>0</v>
      </c>
      <c r="G42" s="503">
        <v>0</v>
      </c>
      <c r="H42" s="396"/>
      <c r="I42" s="794"/>
      <c r="J42" s="514"/>
      <c r="K42" s="794"/>
      <c r="L42" s="549"/>
      <c r="M42" s="599"/>
    </row>
    <row r="43" spans="2:13" s="295" customFormat="1">
      <c r="B43" s="1394">
        <v>28</v>
      </c>
      <c r="C43" s="2192" t="s">
        <v>410</v>
      </c>
      <c r="D43" s="2225">
        <v>30074455.702</v>
      </c>
      <c r="E43" s="2225">
        <f t="shared" si="6"/>
        <v>0</v>
      </c>
      <c r="F43" s="2221">
        <f t="shared" si="5"/>
        <v>30074455.702</v>
      </c>
      <c r="G43" s="2225">
        <v>0</v>
      </c>
      <c r="H43" s="396"/>
      <c r="I43" s="794"/>
      <c r="J43" s="628"/>
      <c r="K43" s="794"/>
      <c r="L43" s="549"/>
      <c r="M43" s="599"/>
    </row>
    <row r="44" spans="2:13">
      <c r="B44" s="1394">
        <v>29</v>
      </c>
      <c r="C44" s="2192" t="s">
        <v>311</v>
      </c>
      <c r="D44" s="2225">
        <v>9612305.6270000003</v>
      </c>
      <c r="E44" s="2225">
        <f t="shared" si="6"/>
        <v>0</v>
      </c>
      <c r="F44" s="2221">
        <f t="shared" si="5"/>
        <v>9612305.6270000003</v>
      </c>
      <c r="G44" s="2225">
        <v>0</v>
      </c>
      <c r="H44" s="396"/>
      <c r="I44" s="794"/>
      <c r="J44" s="514"/>
      <c r="K44" s="794"/>
      <c r="L44" s="549"/>
      <c r="M44" s="599"/>
    </row>
    <row r="45" spans="2:13">
      <c r="B45" s="1394">
        <v>30</v>
      </c>
      <c r="C45" s="2215" t="s">
        <v>312</v>
      </c>
      <c r="D45" s="2225">
        <v>10379581</v>
      </c>
      <c r="E45" s="2225">
        <f t="shared" si="6"/>
        <v>0</v>
      </c>
      <c r="F45" s="2221">
        <f t="shared" si="5"/>
        <v>10379581</v>
      </c>
      <c r="G45" s="2225">
        <v>0</v>
      </c>
      <c r="H45" s="396"/>
      <c r="I45" s="794"/>
      <c r="J45" s="514"/>
      <c r="K45" s="794"/>
      <c r="L45" s="549"/>
      <c r="M45" s="599"/>
    </row>
    <row r="46" spans="2:13" ht="13.9" thickBot="1">
      <c r="B46" s="1394">
        <v>31</v>
      </c>
      <c r="C46" s="2215" t="s">
        <v>314</v>
      </c>
      <c r="D46" s="2231">
        <v>58608167.80443</v>
      </c>
      <c r="E46" s="2231">
        <f t="shared" si="6"/>
        <v>18726892</v>
      </c>
      <c r="F46" s="2222">
        <f t="shared" si="5"/>
        <v>77335059.804430008</v>
      </c>
      <c r="G46" s="2231">
        <v>387985</v>
      </c>
      <c r="H46" s="396"/>
      <c r="I46" s="794"/>
      <c r="J46" s="514"/>
      <c r="K46" s="794"/>
      <c r="L46" s="549"/>
      <c r="M46" s="599"/>
    </row>
    <row r="47" spans="2:13" s="295" customFormat="1" ht="13.9" thickBot="1">
      <c r="B47" s="1397">
        <v>32</v>
      </c>
      <c r="C47" s="1414" t="s">
        <v>315</v>
      </c>
      <c r="D47" s="504">
        <v>108674510.13343</v>
      </c>
      <c r="E47" s="504">
        <f t="shared" si="6"/>
        <v>18726892</v>
      </c>
      <c r="F47" s="1423">
        <f>+D47+E47</f>
        <v>127401402.13343</v>
      </c>
      <c r="G47" s="504">
        <v>387985</v>
      </c>
      <c r="H47" s="396"/>
      <c r="I47" s="794"/>
      <c r="J47" s="628"/>
      <c r="K47" s="794"/>
      <c r="L47" s="549"/>
      <c r="M47" s="599"/>
    </row>
    <row r="48" spans="2:13" s="295" customFormat="1" ht="27" thickBot="1">
      <c r="B48" s="1409">
        <v>33</v>
      </c>
      <c r="C48" s="1441" t="s">
        <v>322</v>
      </c>
      <c r="D48" s="1428">
        <v>227898206.44651532</v>
      </c>
      <c r="E48" s="1428">
        <f>+E47+E41</f>
        <v>23519308</v>
      </c>
      <c r="F48" s="1428">
        <f>+F41+F47</f>
        <v>251417513.44651532</v>
      </c>
      <c r="G48" s="1428">
        <v>5532908</v>
      </c>
      <c r="H48" s="396"/>
      <c r="I48" s="794"/>
      <c r="J48" s="628"/>
      <c r="K48" s="794"/>
      <c r="L48" s="549"/>
      <c r="M48" s="599"/>
    </row>
    <row r="49" spans="2:9" s="295" customFormat="1">
      <c r="B49" s="274"/>
      <c r="C49" s="627"/>
      <c r="D49" s="383"/>
      <c r="E49" s="383"/>
      <c r="F49" s="383"/>
      <c r="G49" s="383"/>
      <c r="I49" s="396"/>
    </row>
    <row r="50" spans="2:9" ht="21" customHeight="1">
      <c r="C50" s="3269" t="s">
        <v>411</v>
      </c>
      <c r="D50" s="3269"/>
      <c r="E50" s="396"/>
      <c r="F50" s="396"/>
      <c r="G50" s="396">
        <v>96</v>
      </c>
      <c r="I50" s="396"/>
    </row>
    <row r="51" spans="2:9">
      <c r="B51" s="196"/>
      <c r="C51" s="627"/>
      <c r="D51" s="383"/>
      <c r="E51" s="293"/>
      <c r="F51" s="293"/>
    </row>
    <row r="52" spans="2:9" ht="14.45">
      <c r="B52" s="3340" t="s">
        <v>430</v>
      </c>
      <c r="C52" s="3341"/>
      <c r="D52" s="3341"/>
      <c r="E52" s="3341"/>
      <c r="F52" s="3341"/>
      <c r="G52" s="3341"/>
    </row>
    <row r="53" spans="2:9" ht="13.9" thickBot="1">
      <c r="B53" s="51" t="s">
        <v>431</v>
      </c>
      <c r="C53" s="51"/>
      <c r="D53" s="51"/>
      <c r="E53" s="51"/>
      <c r="F53" s="51"/>
      <c r="G53" s="51"/>
    </row>
    <row r="54" spans="2:9" ht="13.9" thickBot="1">
      <c r="B54" s="3344" t="s">
        <v>413</v>
      </c>
      <c r="C54" s="3345"/>
      <c r="D54" s="425"/>
      <c r="E54" s="396"/>
      <c r="F54" s="396"/>
    </row>
    <row r="55" spans="2:9">
      <c r="B55" s="3284" t="s">
        <v>396</v>
      </c>
      <c r="C55" s="3346"/>
      <c r="D55" s="3283" t="s">
        <v>414</v>
      </c>
      <c r="E55" s="274"/>
      <c r="F55" s="274"/>
    </row>
    <row r="56" spans="2:9">
      <c r="B56" s="3284"/>
      <c r="C56" s="3346"/>
      <c r="D56" s="3284"/>
      <c r="E56" s="443"/>
      <c r="F56" s="443"/>
    </row>
    <row r="57" spans="2:9">
      <c r="B57" s="3285"/>
      <c r="C57" s="3347"/>
      <c r="D57" s="3285"/>
      <c r="E57" s="443"/>
      <c r="F57" s="443"/>
    </row>
    <row r="58" spans="2:9" ht="13.9">
      <c r="B58" s="1451"/>
      <c r="C58" s="1456" t="s">
        <v>275</v>
      </c>
      <c r="D58" s="712" t="s">
        <v>0</v>
      </c>
      <c r="E58" s="293"/>
      <c r="F58" s="293"/>
    </row>
    <row r="59" spans="2:9">
      <c r="B59" s="1453">
        <v>1</v>
      </c>
      <c r="C59" s="2232" t="s">
        <v>276</v>
      </c>
      <c r="D59" s="741"/>
      <c r="E59" s="293"/>
      <c r="F59" s="293"/>
      <c r="H59" s="514"/>
      <c r="I59" s="396"/>
    </row>
    <row r="60" spans="2:9">
      <c r="B60" s="1453">
        <v>2</v>
      </c>
      <c r="C60" s="2232" t="s">
        <v>277</v>
      </c>
      <c r="D60" s="730">
        <v>1400508.203</v>
      </c>
      <c r="E60" s="293"/>
      <c r="F60" s="293"/>
      <c r="H60" s="514"/>
      <c r="I60" s="396"/>
    </row>
    <row r="61" spans="2:9">
      <c r="B61" s="1453">
        <v>3</v>
      </c>
      <c r="C61" s="2232" t="s">
        <v>278</v>
      </c>
      <c r="D61" s="731">
        <v>652382.04</v>
      </c>
      <c r="E61" s="293"/>
      <c r="F61" s="293"/>
      <c r="H61" s="514"/>
      <c r="I61" s="396"/>
    </row>
    <row r="62" spans="2:9">
      <c r="B62" s="1453">
        <v>4</v>
      </c>
      <c r="C62" s="2224" t="s">
        <v>429</v>
      </c>
      <c r="D62" s="731">
        <v>368508.88899999997</v>
      </c>
      <c r="E62" s="293"/>
      <c r="F62" s="293"/>
      <c r="H62" s="514"/>
      <c r="I62" s="396"/>
    </row>
    <row r="63" spans="2:9">
      <c r="B63" s="1453">
        <v>5</v>
      </c>
      <c r="C63" s="2232" t="s">
        <v>243</v>
      </c>
      <c r="D63" s="731">
        <v>267865.55300000001</v>
      </c>
      <c r="E63" s="293"/>
      <c r="F63" s="293"/>
      <c r="H63" s="514"/>
      <c r="I63" s="396"/>
    </row>
    <row r="64" spans="2:9">
      <c r="B64" s="1453">
        <v>6</v>
      </c>
      <c r="C64" s="2232" t="s">
        <v>281</v>
      </c>
      <c r="D64" s="733"/>
      <c r="E64" s="293"/>
      <c r="F64" s="293"/>
      <c r="H64" s="514"/>
      <c r="I64" s="396"/>
    </row>
    <row r="65" spans="2:9">
      <c r="B65" s="1453">
        <v>7</v>
      </c>
      <c r="C65" s="2232" t="s">
        <v>282</v>
      </c>
      <c r="D65" s="741"/>
      <c r="E65" s="293"/>
      <c r="F65" s="293"/>
      <c r="H65" s="514"/>
      <c r="I65" s="396"/>
    </row>
    <row r="66" spans="2:9">
      <c r="B66" s="1453"/>
      <c r="C66" s="2232" t="s">
        <v>401</v>
      </c>
      <c r="D66" s="741"/>
      <c r="E66" s="293"/>
      <c r="F66" s="293"/>
      <c r="H66" s="514"/>
      <c r="I66" s="396"/>
    </row>
    <row r="67" spans="2:9">
      <c r="B67" s="1453"/>
      <c r="C67" s="1457" t="s">
        <v>402</v>
      </c>
      <c r="D67" s="741"/>
      <c r="E67" s="293"/>
      <c r="F67" s="293"/>
      <c r="H67" s="514"/>
      <c r="I67" s="396"/>
    </row>
    <row r="68" spans="2:9">
      <c r="B68" s="1453">
        <v>8</v>
      </c>
      <c r="C68" s="1457" t="s">
        <v>403</v>
      </c>
      <c r="D68" s="741"/>
      <c r="E68" s="293"/>
      <c r="F68" s="293"/>
      <c r="H68" s="514"/>
      <c r="I68" s="396"/>
    </row>
    <row r="69" spans="2:9">
      <c r="B69" s="1453"/>
      <c r="C69" s="2232" t="s">
        <v>404</v>
      </c>
      <c r="D69" s="741"/>
      <c r="E69" s="293"/>
      <c r="F69" s="293"/>
      <c r="H69" s="514"/>
      <c r="I69" s="396"/>
    </row>
    <row r="70" spans="2:9">
      <c r="B70" s="1453"/>
      <c r="C70" s="1457" t="s">
        <v>405</v>
      </c>
      <c r="D70" s="741"/>
      <c r="E70" s="293"/>
      <c r="F70" s="293"/>
      <c r="H70" s="514"/>
      <c r="I70" s="396"/>
    </row>
    <row r="71" spans="2:9" ht="26.45">
      <c r="B71" s="2226">
        <v>9</v>
      </c>
      <c r="C71" s="2233" t="s">
        <v>288</v>
      </c>
      <c r="D71" s="743">
        <v>16993643.209844936</v>
      </c>
      <c r="E71" s="293"/>
      <c r="F71" s="293"/>
      <c r="H71" s="514"/>
      <c r="I71" s="396"/>
    </row>
    <row r="72" spans="2:9">
      <c r="B72" s="1453">
        <v>10</v>
      </c>
      <c r="C72" s="1458" t="s">
        <v>289</v>
      </c>
      <c r="D72" s="741"/>
      <c r="E72" s="293"/>
      <c r="F72" s="293"/>
      <c r="H72" s="514"/>
      <c r="I72" s="396"/>
    </row>
    <row r="73" spans="2:9">
      <c r="B73" s="1453">
        <v>11</v>
      </c>
      <c r="C73" s="2232" t="s">
        <v>290</v>
      </c>
      <c r="D73" s="731">
        <v>884356.51419984933</v>
      </c>
      <c r="E73" s="293"/>
      <c r="F73" s="293"/>
      <c r="H73" s="514"/>
      <c r="I73" s="396"/>
    </row>
    <row r="74" spans="2:9">
      <c r="B74" s="1453">
        <v>12</v>
      </c>
      <c r="C74" s="2232" t="s">
        <v>291</v>
      </c>
      <c r="D74" s="731">
        <v>16109286.695645086</v>
      </c>
      <c r="E74" s="293"/>
      <c r="F74" s="293"/>
      <c r="H74" s="514"/>
      <c r="I74" s="396"/>
    </row>
    <row r="75" spans="2:9" ht="26.45">
      <c r="B75" s="1453">
        <v>13</v>
      </c>
      <c r="C75" s="2232" t="s">
        <v>292</v>
      </c>
      <c r="D75" s="733"/>
      <c r="E75" s="293"/>
      <c r="F75" s="293"/>
      <c r="H75" s="514"/>
      <c r="I75" s="396"/>
    </row>
    <row r="76" spans="2:9">
      <c r="B76" s="1453">
        <v>14</v>
      </c>
      <c r="C76" s="2234" t="s">
        <v>293</v>
      </c>
      <c r="D76" s="733"/>
      <c r="E76" s="293"/>
      <c r="F76" s="293"/>
      <c r="H76" s="514"/>
      <c r="I76" s="396"/>
    </row>
    <row r="77" spans="2:9">
      <c r="B77" s="1453">
        <v>15</v>
      </c>
      <c r="C77" s="2234" t="s">
        <v>294</v>
      </c>
      <c r="D77" s="731">
        <v>1366258.8226605835</v>
      </c>
      <c r="E77" s="293"/>
      <c r="F77" s="293"/>
      <c r="H77" s="514"/>
      <c r="I77" s="396"/>
    </row>
    <row r="78" spans="2:9">
      <c r="B78" s="1453">
        <v>16</v>
      </c>
      <c r="C78" s="2234" t="s">
        <v>295</v>
      </c>
      <c r="D78" s="731">
        <v>3619241.2210900108</v>
      </c>
      <c r="E78" s="293"/>
      <c r="F78" s="293"/>
      <c r="H78" s="514"/>
      <c r="I78" s="396"/>
    </row>
    <row r="79" spans="2:9">
      <c r="B79" s="1453">
        <v>17</v>
      </c>
      <c r="C79" s="1457" t="s">
        <v>233</v>
      </c>
      <c r="D79" s="731">
        <v>1081204.0969003874</v>
      </c>
      <c r="E79" s="293"/>
      <c r="F79" s="293"/>
      <c r="H79" s="514"/>
      <c r="I79" s="396"/>
    </row>
    <row r="80" spans="2:9">
      <c r="B80" s="1453">
        <v>18</v>
      </c>
      <c r="C80" s="2232" t="s">
        <v>406</v>
      </c>
      <c r="D80" s="733"/>
      <c r="E80" s="293"/>
      <c r="F80" s="293"/>
      <c r="H80" s="514"/>
      <c r="I80" s="396"/>
    </row>
    <row r="81" spans="2:9" ht="13.9" thickBot="1">
      <c r="B81" s="1453">
        <v>19</v>
      </c>
      <c r="C81" s="2235" t="s">
        <v>234</v>
      </c>
      <c r="D81" s="736">
        <v>1831624.067</v>
      </c>
      <c r="E81" s="293"/>
      <c r="F81" s="293"/>
      <c r="H81" s="514"/>
      <c r="I81" s="396"/>
    </row>
    <row r="82" spans="2:9" ht="27" thickBot="1">
      <c r="B82" s="1406">
        <v>20</v>
      </c>
      <c r="C82" s="1425" t="s">
        <v>299</v>
      </c>
      <c r="D82" s="1434">
        <v>27581234.102495916</v>
      </c>
      <c r="E82" s="293"/>
      <c r="F82" s="293"/>
      <c r="H82" s="514"/>
      <c r="I82" s="396"/>
    </row>
    <row r="83" spans="2:9">
      <c r="B83" s="1394"/>
      <c r="C83" s="1398" t="s">
        <v>300</v>
      </c>
      <c r="D83" s="741"/>
      <c r="E83" s="293"/>
      <c r="F83" s="293"/>
      <c r="H83" s="514"/>
      <c r="I83" s="396"/>
    </row>
    <row r="84" spans="2:9">
      <c r="B84" s="1394"/>
      <c r="C84" s="2219" t="s">
        <v>301</v>
      </c>
      <c r="D84" s="741"/>
      <c r="E84" s="293"/>
      <c r="F84" s="293"/>
      <c r="H84" s="514"/>
      <c r="I84" s="396"/>
    </row>
    <row r="85" spans="2:9">
      <c r="B85" s="1394">
        <v>21</v>
      </c>
      <c r="C85" s="2204" t="s">
        <v>302</v>
      </c>
      <c r="D85" s="731">
        <v>9981319.4260000009</v>
      </c>
      <c r="E85" s="293"/>
      <c r="F85" s="293"/>
      <c r="H85" s="514"/>
      <c r="I85" s="396"/>
    </row>
    <row r="86" spans="2:9">
      <c r="B86" s="1394">
        <v>22</v>
      </c>
      <c r="C86" s="2204" t="s">
        <v>303</v>
      </c>
      <c r="D86" s="731">
        <v>312816.94</v>
      </c>
      <c r="E86" s="293"/>
      <c r="F86" s="293"/>
      <c r="H86" s="514"/>
      <c r="I86" s="396"/>
    </row>
    <row r="87" spans="2:9">
      <c r="B87" s="1394">
        <v>23</v>
      </c>
      <c r="C87" s="2204" t="s">
        <v>304</v>
      </c>
      <c r="D87" s="731">
        <v>1707741.3244209064</v>
      </c>
      <c r="E87" s="293"/>
      <c r="F87" s="293"/>
      <c r="H87" s="514"/>
      <c r="I87" s="396"/>
    </row>
    <row r="88" spans="2:9">
      <c r="B88" s="1394">
        <v>24</v>
      </c>
      <c r="C88" s="2204" t="s">
        <v>305</v>
      </c>
      <c r="D88" s="731">
        <v>133514.842</v>
      </c>
      <c r="E88" s="293"/>
      <c r="F88" s="293"/>
      <c r="H88" s="514"/>
      <c r="I88" s="396"/>
    </row>
    <row r="89" spans="2:9">
      <c r="B89" s="1394">
        <v>25</v>
      </c>
      <c r="C89" s="2203" t="s">
        <v>306</v>
      </c>
      <c r="D89" s="731">
        <v>226048.96799999999</v>
      </c>
      <c r="E89" s="293"/>
      <c r="F89" s="293"/>
      <c r="H89" s="514"/>
      <c r="I89" s="396"/>
    </row>
    <row r="90" spans="2:9" ht="13.9" thickBot="1">
      <c r="B90" s="1394">
        <v>26</v>
      </c>
      <c r="C90" s="2205" t="s">
        <v>307</v>
      </c>
      <c r="D90" s="736">
        <v>2929272.5806643991</v>
      </c>
      <c r="E90" s="293"/>
      <c r="F90" s="293"/>
      <c r="H90" s="514"/>
      <c r="I90" s="396"/>
    </row>
    <row r="91" spans="2:9" ht="13.9" thickBot="1">
      <c r="B91" s="1397">
        <v>27</v>
      </c>
      <c r="C91" s="1419" t="s">
        <v>308</v>
      </c>
      <c r="D91" s="737">
        <v>15290714.081085306</v>
      </c>
      <c r="E91" s="293"/>
      <c r="F91" s="293"/>
      <c r="H91" s="514"/>
      <c r="I91" s="396"/>
    </row>
    <row r="92" spans="2:9">
      <c r="B92" s="1394"/>
      <c r="C92" s="1398" t="s">
        <v>309</v>
      </c>
      <c r="D92" s="735"/>
      <c r="E92" s="293"/>
      <c r="F92" s="293"/>
      <c r="H92" s="514"/>
      <c r="I92" s="396"/>
    </row>
    <row r="93" spans="2:9">
      <c r="B93" s="1394">
        <v>28</v>
      </c>
      <c r="C93" s="2218" t="s">
        <v>310</v>
      </c>
      <c r="D93" s="731">
        <v>8619971.7019999996</v>
      </c>
      <c r="E93" s="293"/>
      <c r="F93" s="293"/>
      <c r="H93" s="514"/>
      <c r="I93" s="396"/>
    </row>
    <row r="94" spans="2:9">
      <c r="B94" s="1394">
        <v>29</v>
      </c>
      <c r="C94" s="2218" t="s">
        <v>311</v>
      </c>
      <c r="D94" s="731">
        <v>52320.627</v>
      </c>
      <c r="E94" s="293"/>
      <c r="F94" s="293"/>
      <c r="H94" s="514"/>
      <c r="I94" s="396"/>
    </row>
    <row r="95" spans="2:9">
      <c r="B95" s="1394">
        <v>30</v>
      </c>
      <c r="C95" s="2207" t="s">
        <v>312</v>
      </c>
      <c r="D95" s="733"/>
      <c r="E95" s="293"/>
      <c r="F95" s="293"/>
      <c r="H95" s="514"/>
      <c r="I95" s="396"/>
    </row>
    <row r="96" spans="2:9" ht="13.9" thickBot="1">
      <c r="B96" s="1394">
        <v>31</v>
      </c>
      <c r="C96" s="2207" t="s">
        <v>314</v>
      </c>
      <c r="D96" s="736">
        <v>3618229.8044299986</v>
      </c>
      <c r="E96" s="293"/>
      <c r="F96" s="293"/>
      <c r="H96" s="514"/>
      <c r="I96" s="396"/>
    </row>
    <row r="97" spans="2:9" ht="13.9" thickBot="1">
      <c r="B97" s="1397">
        <v>32</v>
      </c>
      <c r="C97" s="1400" t="s">
        <v>315</v>
      </c>
      <c r="D97" s="737">
        <v>12290522.133429999</v>
      </c>
      <c r="E97" s="293"/>
      <c r="F97" s="293"/>
      <c r="H97" s="514"/>
      <c r="I97" s="396"/>
    </row>
    <row r="98" spans="2:9" ht="27" thickBot="1">
      <c r="B98" s="1409">
        <v>33</v>
      </c>
      <c r="C98" s="1459" t="s">
        <v>322</v>
      </c>
      <c r="D98" s="1435">
        <v>27581237.214515306</v>
      </c>
      <c r="E98" s="293"/>
      <c r="F98" s="293"/>
      <c r="H98" s="514"/>
      <c r="I98" s="396"/>
    </row>
    <row r="99" spans="2:9">
      <c r="B99" s="274"/>
      <c r="C99" s="1105"/>
      <c r="D99" s="293"/>
      <c r="E99" s="293"/>
      <c r="F99" s="293"/>
    </row>
    <row r="100" spans="2:9">
      <c r="B100" s="274"/>
      <c r="C100" s="627"/>
      <c r="D100" s="293"/>
      <c r="E100" s="293"/>
      <c r="F100" s="293"/>
      <c r="G100" s="292">
        <v>97</v>
      </c>
    </row>
    <row r="101" spans="2:9">
      <c r="B101" s="274"/>
      <c r="C101" s="627"/>
      <c r="D101" s="293"/>
      <c r="E101" s="293"/>
      <c r="F101" s="293"/>
    </row>
    <row r="102" spans="2:9" ht="14.45">
      <c r="B102" s="3340" t="s">
        <v>432</v>
      </c>
      <c r="C102" s="3341"/>
      <c r="D102" s="3341"/>
      <c r="E102" s="3341"/>
      <c r="F102" s="3341"/>
      <c r="G102" s="3341"/>
    </row>
    <row r="103" spans="2:9" ht="13.9" thickBot="1">
      <c r="B103" s="51" t="s">
        <v>431</v>
      </c>
      <c r="C103" s="51"/>
      <c r="D103" s="51"/>
      <c r="E103" s="51"/>
      <c r="F103" s="51"/>
      <c r="G103" s="51"/>
    </row>
    <row r="104" spans="2:9" ht="13.9" thickBot="1">
      <c r="B104" s="3344" t="s">
        <v>94</v>
      </c>
      <c r="C104" s="3345"/>
      <c r="D104" s="425"/>
      <c r="E104" s="396"/>
      <c r="F104" s="396"/>
    </row>
    <row r="105" spans="2:9">
      <c r="B105" s="3284" t="s">
        <v>396</v>
      </c>
      <c r="C105" s="3342"/>
      <c r="D105" s="3283" t="s">
        <v>414</v>
      </c>
      <c r="E105" s="274"/>
      <c r="F105" s="274"/>
    </row>
    <row r="106" spans="2:9">
      <c r="B106" s="3284"/>
      <c r="C106" s="3342"/>
      <c r="D106" s="3284"/>
      <c r="E106" s="443"/>
      <c r="F106" s="443"/>
    </row>
    <row r="107" spans="2:9">
      <c r="B107" s="3285"/>
      <c r="C107" s="3343"/>
      <c r="D107" s="3285"/>
      <c r="E107" s="443"/>
      <c r="F107" s="443"/>
    </row>
    <row r="108" spans="2:9" ht="13.9">
      <c r="B108" s="1394"/>
      <c r="C108" s="1401" t="s">
        <v>275</v>
      </c>
      <c r="D108" s="712"/>
      <c r="E108" s="293"/>
      <c r="F108" s="293"/>
    </row>
    <row r="109" spans="2:9" ht="13.9">
      <c r="B109" s="1453">
        <v>1</v>
      </c>
      <c r="C109" s="2203" t="s">
        <v>276</v>
      </c>
      <c r="D109" s="3004">
        <v>0</v>
      </c>
      <c r="E109" s="293"/>
      <c r="F109" s="293"/>
      <c r="H109" s="514"/>
      <c r="I109" s="396"/>
    </row>
    <row r="110" spans="2:9">
      <c r="B110" s="1453">
        <v>2</v>
      </c>
      <c r="C110" s="2203" t="s">
        <v>277</v>
      </c>
      <c r="D110" s="3005">
        <v>29839</v>
      </c>
      <c r="E110" s="293"/>
      <c r="F110" s="293"/>
      <c r="H110" s="514"/>
      <c r="I110" s="396"/>
    </row>
    <row r="111" spans="2:9">
      <c r="B111" s="1453">
        <v>3</v>
      </c>
      <c r="C111" s="2203" t="s">
        <v>278</v>
      </c>
      <c r="D111" s="2997"/>
      <c r="E111" s="293"/>
      <c r="F111" s="293"/>
      <c r="H111" s="514"/>
      <c r="I111" s="396"/>
    </row>
    <row r="112" spans="2:9">
      <c r="B112" s="1453">
        <v>4</v>
      </c>
      <c r="C112" s="2224" t="s">
        <v>429</v>
      </c>
      <c r="D112" s="3006">
        <v>21550</v>
      </c>
      <c r="E112" s="293"/>
      <c r="F112" s="293"/>
      <c r="H112" s="514"/>
      <c r="I112" s="396"/>
    </row>
    <row r="113" spans="2:9">
      <c r="B113" s="1453">
        <v>5</v>
      </c>
      <c r="C113" s="2203" t="s">
        <v>243</v>
      </c>
      <c r="D113" s="3006">
        <v>45917</v>
      </c>
      <c r="E113" s="293"/>
      <c r="F113" s="293"/>
      <c r="H113" s="514"/>
      <c r="I113" s="396"/>
    </row>
    <row r="114" spans="2:9">
      <c r="B114" s="1453">
        <v>6</v>
      </c>
      <c r="C114" s="2203" t="s">
        <v>281</v>
      </c>
      <c r="D114" s="3006">
        <v>48600</v>
      </c>
      <c r="E114" s="293"/>
      <c r="F114" s="293"/>
      <c r="H114" s="514"/>
      <c r="I114" s="396"/>
    </row>
    <row r="115" spans="2:9">
      <c r="B115" s="1453">
        <v>7</v>
      </c>
      <c r="C115" s="2203" t="s">
        <v>282</v>
      </c>
      <c r="D115" s="3006"/>
      <c r="E115" s="293"/>
      <c r="F115" s="293"/>
      <c r="H115" s="514"/>
      <c r="I115" s="396"/>
    </row>
    <row r="116" spans="2:9">
      <c r="B116" s="1453"/>
      <c r="C116" s="2203" t="s">
        <v>401</v>
      </c>
      <c r="D116" s="3007">
        <v>398132</v>
      </c>
      <c r="E116" s="293"/>
      <c r="F116" s="293"/>
      <c r="H116" s="514"/>
      <c r="I116" s="396"/>
    </row>
    <row r="117" spans="2:9">
      <c r="B117" s="1453"/>
      <c r="C117" s="2235" t="s">
        <v>402</v>
      </c>
      <c r="D117" s="3005">
        <v>726023</v>
      </c>
      <c r="E117" s="293"/>
      <c r="F117" s="293"/>
      <c r="H117" s="514"/>
      <c r="I117" s="396"/>
    </row>
    <row r="118" spans="2:9" ht="13.9">
      <c r="B118" s="1453">
        <v>8</v>
      </c>
      <c r="C118" s="2235" t="s">
        <v>403</v>
      </c>
      <c r="D118" s="3004"/>
      <c r="E118" s="293"/>
      <c r="F118" s="293"/>
      <c r="H118" s="514"/>
      <c r="I118" s="396"/>
    </row>
    <row r="119" spans="2:9" ht="13.9">
      <c r="B119" s="1453"/>
      <c r="C119" s="2203" t="s">
        <v>404</v>
      </c>
      <c r="D119" s="3004">
        <v>0</v>
      </c>
      <c r="E119" s="293"/>
      <c r="F119" s="293"/>
      <c r="H119" s="514"/>
      <c r="I119" s="396"/>
    </row>
    <row r="120" spans="2:9" ht="13.9">
      <c r="B120" s="1453"/>
      <c r="C120" s="2235" t="s">
        <v>405</v>
      </c>
      <c r="D120" s="3004">
        <v>0</v>
      </c>
      <c r="E120" s="293"/>
      <c r="F120" s="293"/>
      <c r="H120" s="514"/>
      <c r="I120" s="396"/>
    </row>
    <row r="121" spans="2:9" ht="26.45">
      <c r="B121" s="2226">
        <v>9</v>
      </c>
      <c r="C121" s="2212" t="s">
        <v>288</v>
      </c>
      <c r="D121" s="3004">
        <f>SUM(D122:D125)</f>
        <v>1046609</v>
      </c>
      <c r="E121" s="293"/>
      <c r="F121" s="293"/>
      <c r="H121" s="514"/>
      <c r="I121" s="396"/>
    </row>
    <row r="122" spans="2:9" ht="13.9">
      <c r="B122" s="1453">
        <v>10</v>
      </c>
      <c r="C122" s="2203" t="s">
        <v>289</v>
      </c>
      <c r="D122" s="3004">
        <v>0</v>
      </c>
      <c r="E122" s="293"/>
      <c r="F122" s="293"/>
      <c r="H122" s="514"/>
      <c r="I122" s="396"/>
    </row>
    <row r="123" spans="2:9">
      <c r="B123" s="1453">
        <v>11</v>
      </c>
      <c r="C123" s="2203" t="s">
        <v>290</v>
      </c>
      <c r="D123" s="3007">
        <v>954104</v>
      </c>
      <c r="E123" s="293"/>
      <c r="F123" s="293"/>
      <c r="H123" s="514"/>
      <c r="I123" s="396"/>
    </row>
    <row r="124" spans="2:9">
      <c r="B124" s="1453">
        <v>12</v>
      </c>
      <c r="C124" s="2203" t="s">
        <v>291</v>
      </c>
      <c r="D124" s="3008">
        <v>36867</v>
      </c>
      <c r="E124" s="293"/>
      <c r="F124" s="293"/>
      <c r="H124" s="514"/>
      <c r="I124" s="396"/>
    </row>
    <row r="125" spans="2:9" ht="26.45">
      <c r="B125" s="1453">
        <v>13</v>
      </c>
      <c r="C125" s="2203" t="s">
        <v>292</v>
      </c>
      <c r="D125" s="3008">
        <v>55638</v>
      </c>
      <c r="E125" s="293"/>
      <c r="F125" s="293"/>
      <c r="H125" s="514"/>
      <c r="I125" s="396"/>
    </row>
    <row r="126" spans="2:9">
      <c r="B126" s="1453">
        <v>14</v>
      </c>
      <c r="C126" s="2204" t="s">
        <v>293</v>
      </c>
      <c r="D126" s="3007"/>
      <c r="E126" s="293"/>
      <c r="F126" s="293"/>
      <c r="H126" s="514"/>
      <c r="I126" s="396"/>
    </row>
    <row r="127" spans="2:9">
      <c r="B127" s="1453">
        <v>15</v>
      </c>
      <c r="C127" s="2204" t="s">
        <v>294</v>
      </c>
      <c r="D127" s="3009">
        <v>270618</v>
      </c>
      <c r="E127" s="293"/>
      <c r="F127" s="293"/>
      <c r="H127" s="514"/>
      <c r="I127" s="396"/>
    </row>
    <row r="128" spans="2:9">
      <c r="B128" s="1453">
        <v>16</v>
      </c>
      <c r="C128" s="2204" t="s">
        <v>295</v>
      </c>
      <c r="D128" s="3008">
        <v>767090</v>
      </c>
      <c r="E128" s="293"/>
      <c r="F128" s="293"/>
      <c r="H128" s="514"/>
      <c r="I128" s="396"/>
    </row>
    <row r="129" spans="2:9">
      <c r="B129" s="1453">
        <v>17</v>
      </c>
      <c r="C129" s="2204" t="s">
        <v>296</v>
      </c>
      <c r="D129" s="3008">
        <v>120855</v>
      </c>
      <c r="E129" s="293"/>
      <c r="F129" s="293"/>
      <c r="G129" s="396"/>
      <c r="H129" s="514"/>
      <c r="I129" s="396"/>
    </row>
    <row r="130" spans="2:9">
      <c r="B130" s="1453">
        <v>18</v>
      </c>
      <c r="C130" s="2204" t="s">
        <v>297</v>
      </c>
      <c r="D130" s="3006"/>
      <c r="E130" s="293"/>
      <c r="F130" s="293"/>
      <c r="H130" s="514"/>
      <c r="I130" s="396"/>
    </row>
    <row r="131" spans="2:9" ht="13.9" thickBot="1">
      <c r="B131" s="1453">
        <v>19</v>
      </c>
      <c r="C131" s="2205" t="s">
        <v>298</v>
      </c>
      <c r="D131" s="3010">
        <v>48157</v>
      </c>
      <c r="E131" s="293"/>
      <c r="F131" s="293"/>
      <c r="H131" s="514"/>
      <c r="I131" s="396"/>
    </row>
    <row r="132" spans="2:9" ht="27" thickBot="1">
      <c r="B132" s="1406">
        <v>20</v>
      </c>
      <c r="C132" s="1425" t="s">
        <v>299</v>
      </c>
      <c r="D132" s="3011">
        <f>+SUM(D109:D114)+D116+D117+D119+D120+D121+SUM(D126:D131)</f>
        <v>3523390</v>
      </c>
      <c r="E132" s="293"/>
      <c r="F132" s="293"/>
      <c r="H132" s="514"/>
      <c r="I132" s="396"/>
    </row>
    <row r="133" spans="2:9" ht="13.9">
      <c r="B133" s="1394"/>
      <c r="C133" s="2219" t="s">
        <v>300</v>
      </c>
      <c r="D133" s="3012"/>
      <c r="E133" s="293"/>
      <c r="F133" s="293"/>
      <c r="H133" s="514"/>
      <c r="I133" s="396"/>
    </row>
    <row r="134" spans="2:9" ht="13.9">
      <c r="B134" s="1394"/>
      <c r="C134" s="2219" t="s">
        <v>301</v>
      </c>
      <c r="D134" s="3004"/>
      <c r="E134" s="293"/>
      <c r="F134" s="293"/>
      <c r="H134" s="514"/>
      <c r="I134" s="396"/>
    </row>
    <row r="135" spans="2:9">
      <c r="B135" s="1394">
        <v>21</v>
      </c>
      <c r="C135" s="2204" t="s">
        <v>302</v>
      </c>
      <c r="D135" s="3005">
        <v>906282</v>
      </c>
      <c r="E135" s="293"/>
      <c r="F135" s="293"/>
      <c r="H135" s="514"/>
      <c r="I135" s="396"/>
    </row>
    <row r="136" spans="2:9">
      <c r="B136" s="1394">
        <v>22</v>
      </c>
      <c r="C136" s="2204" t="s">
        <v>303</v>
      </c>
      <c r="D136" s="3005">
        <v>54512</v>
      </c>
      <c r="E136" s="293"/>
      <c r="F136" s="293"/>
      <c r="H136" s="514"/>
      <c r="I136" s="396"/>
    </row>
    <row r="137" spans="2:9">
      <c r="B137" s="1394">
        <v>23</v>
      </c>
      <c r="C137" s="2204" t="s">
        <v>304</v>
      </c>
      <c r="D137" s="3005">
        <v>265304</v>
      </c>
      <c r="E137" s="293"/>
      <c r="F137" s="293"/>
      <c r="H137" s="514"/>
      <c r="I137" s="396"/>
    </row>
    <row r="138" spans="2:9">
      <c r="B138" s="1394">
        <v>24</v>
      </c>
      <c r="C138" s="2204" t="s">
        <v>305</v>
      </c>
      <c r="D138" s="2997"/>
      <c r="E138" s="293"/>
      <c r="F138" s="293"/>
      <c r="H138" s="514"/>
      <c r="I138" s="396"/>
    </row>
    <row r="139" spans="2:9">
      <c r="B139" s="1394">
        <v>25</v>
      </c>
      <c r="C139" s="2203" t="s">
        <v>306</v>
      </c>
      <c r="D139" s="3005">
        <v>429027</v>
      </c>
      <c r="E139" s="293"/>
      <c r="F139" s="293"/>
      <c r="H139" s="514"/>
      <c r="I139" s="396"/>
    </row>
    <row r="140" spans="2:9" ht="13.9" thickBot="1">
      <c r="B140" s="1394">
        <v>26</v>
      </c>
      <c r="C140" s="2205" t="s">
        <v>307</v>
      </c>
      <c r="D140" s="3013">
        <v>257187</v>
      </c>
      <c r="E140" s="293"/>
      <c r="F140" s="293"/>
      <c r="H140" s="514"/>
      <c r="I140" s="396"/>
    </row>
    <row r="141" spans="2:9" ht="13.9" thickBot="1">
      <c r="B141" s="1397">
        <v>27</v>
      </c>
      <c r="C141" s="1400" t="s">
        <v>415</v>
      </c>
      <c r="D141" s="3014">
        <f>SUM(D135:D140)</f>
        <v>1912312</v>
      </c>
      <c r="E141" s="293"/>
      <c r="F141" s="293"/>
      <c r="H141" s="514"/>
      <c r="I141" s="396"/>
    </row>
    <row r="142" spans="2:9">
      <c r="B142" s="1394"/>
      <c r="C142" s="1401" t="s">
        <v>409</v>
      </c>
      <c r="D142" s="3015"/>
      <c r="E142" s="293"/>
      <c r="F142" s="293"/>
      <c r="H142" s="514"/>
      <c r="I142" s="396"/>
    </row>
    <row r="143" spans="2:9">
      <c r="B143" s="1394">
        <v>28</v>
      </c>
      <c r="C143" s="2218" t="s">
        <v>310</v>
      </c>
      <c r="D143" s="3005">
        <v>1860001</v>
      </c>
      <c r="E143" s="293"/>
      <c r="F143" s="293"/>
      <c r="H143" s="514"/>
      <c r="I143" s="396"/>
    </row>
    <row r="144" spans="2:9">
      <c r="B144" s="1394">
        <v>29</v>
      </c>
      <c r="C144" s="2218" t="s">
        <v>311</v>
      </c>
      <c r="D144" s="3005">
        <v>33541</v>
      </c>
      <c r="E144" s="293"/>
      <c r="F144" s="293"/>
      <c r="H144" s="514"/>
      <c r="I144" s="396"/>
    </row>
    <row r="145" spans="2:9">
      <c r="B145" s="1394">
        <v>30</v>
      </c>
      <c r="C145" s="2207" t="s">
        <v>312</v>
      </c>
      <c r="D145" s="2997"/>
      <c r="E145" s="293"/>
      <c r="F145" s="293"/>
      <c r="H145" s="514"/>
      <c r="I145" s="396"/>
    </row>
    <row r="146" spans="2:9" ht="13.9" thickBot="1">
      <c r="B146" s="1394">
        <v>31</v>
      </c>
      <c r="C146" s="2207" t="s">
        <v>314</v>
      </c>
      <c r="D146" s="3007">
        <v>-282464</v>
      </c>
      <c r="E146" s="293"/>
      <c r="F146" s="293"/>
      <c r="H146" s="514"/>
      <c r="I146" s="396"/>
    </row>
    <row r="147" spans="2:9" ht="13.9" thickBot="1">
      <c r="B147" s="1397">
        <v>32</v>
      </c>
      <c r="C147" s="1400" t="s">
        <v>315</v>
      </c>
      <c r="D147" s="3016">
        <f>SUM(D143:D146)</f>
        <v>1611078</v>
      </c>
      <c r="E147" s="293"/>
      <c r="F147" s="293"/>
      <c r="H147" s="514"/>
      <c r="I147" s="396"/>
    </row>
    <row r="148" spans="2:9" ht="27" thickBot="1">
      <c r="B148" s="1409">
        <v>33</v>
      </c>
      <c r="C148" s="1459" t="s">
        <v>322</v>
      </c>
      <c r="D148" s="3017">
        <f>+D141+D147</f>
        <v>3523390</v>
      </c>
      <c r="E148" s="293"/>
      <c r="F148" s="293"/>
      <c r="H148" s="514"/>
      <c r="I148" s="396"/>
    </row>
    <row r="149" spans="2:9">
      <c r="B149" s="274"/>
      <c r="C149" s="627"/>
      <c r="D149" s="383"/>
      <c r="E149" s="293"/>
      <c r="F149" s="293"/>
    </row>
    <row r="150" spans="2:9">
      <c r="B150" s="274"/>
      <c r="C150" s="627"/>
      <c r="D150" s="383"/>
      <c r="E150" s="293"/>
      <c r="F150" s="293"/>
      <c r="G150" s="292">
        <v>98</v>
      </c>
    </row>
    <row r="151" spans="2:9">
      <c r="B151" s="274"/>
      <c r="C151" s="391"/>
      <c r="D151" s="533"/>
      <c r="E151" s="293"/>
      <c r="F151" s="293"/>
    </row>
    <row r="152" spans="2:9" ht="14.45">
      <c r="B152" s="3340" t="s">
        <v>430</v>
      </c>
      <c r="C152" s="3341"/>
      <c r="D152" s="3341"/>
      <c r="E152" s="3341"/>
      <c r="F152" s="3341"/>
      <c r="G152" s="3341"/>
    </row>
    <row r="153" spans="2:9" ht="13.9" thickBot="1">
      <c r="B153" s="51" t="s">
        <v>431</v>
      </c>
      <c r="C153" s="51"/>
      <c r="D153" s="51"/>
      <c r="E153" s="51"/>
      <c r="F153" s="51"/>
      <c r="G153" s="51"/>
    </row>
    <row r="154" spans="2:9" ht="13.9" thickBot="1">
      <c r="B154" s="3344" t="s">
        <v>128</v>
      </c>
      <c r="C154" s="3345"/>
      <c r="D154" s="425"/>
      <c r="E154" s="396"/>
      <c r="F154" s="396"/>
    </row>
    <row r="155" spans="2:9">
      <c r="B155" s="3284" t="s">
        <v>396</v>
      </c>
      <c r="C155" s="3346"/>
      <c r="D155" s="3283" t="s">
        <v>414</v>
      </c>
      <c r="E155" s="274"/>
      <c r="F155" s="274"/>
    </row>
    <row r="156" spans="2:9">
      <c r="B156" s="3284"/>
      <c r="C156" s="3346"/>
      <c r="D156" s="3284"/>
      <c r="E156" s="443"/>
      <c r="F156" s="443"/>
    </row>
    <row r="157" spans="2:9">
      <c r="B157" s="3285"/>
      <c r="C157" s="3347"/>
      <c r="D157" s="3285"/>
      <c r="E157" s="443"/>
      <c r="F157" s="443"/>
    </row>
    <row r="158" spans="2:9" ht="13.9">
      <c r="B158" s="1394"/>
      <c r="C158" s="1416" t="s">
        <v>275</v>
      </c>
      <c r="D158" s="712"/>
      <c r="E158" s="293"/>
      <c r="F158" s="293"/>
    </row>
    <row r="159" spans="2:9">
      <c r="B159" s="1453">
        <v>1</v>
      </c>
      <c r="C159" s="1961" t="s">
        <v>276</v>
      </c>
      <c r="D159" s="741"/>
      <c r="E159" s="293"/>
      <c r="F159" s="293"/>
      <c r="H159" s="514"/>
      <c r="I159" s="514"/>
    </row>
    <row r="160" spans="2:9">
      <c r="B160" s="1453">
        <v>2</v>
      </c>
      <c r="C160" s="1961" t="s">
        <v>277</v>
      </c>
      <c r="D160" s="742">
        <v>2404</v>
      </c>
      <c r="E160" s="293"/>
      <c r="F160" s="293"/>
      <c r="H160" s="514"/>
      <c r="I160" s="514"/>
    </row>
    <row r="161" spans="2:9">
      <c r="B161" s="1453">
        <v>3</v>
      </c>
      <c r="C161" s="1961" t="s">
        <v>278</v>
      </c>
      <c r="D161" s="741"/>
      <c r="E161" s="293"/>
      <c r="F161" s="293"/>
      <c r="H161" s="514"/>
      <c r="I161" s="514"/>
    </row>
    <row r="162" spans="2:9">
      <c r="B162" s="1453">
        <v>4</v>
      </c>
      <c r="C162" s="2224" t="s">
        <v>429</v>
      </c>
      <c r="D162" s="741">
        <v>122802</v>
      </c>
      <c r="E162" s="293"/>
      <c r="F162" s="293"/>
      <c r="H162" s="514"/>
      <c r="I162" s="514"/>
    </row>
    <row r="163" spans="2:9">
      <c r="B163" s="1453">
        <v>5</v>
      </c>
      <c r="C163" s="1961" t="s">
        <v>280</v>
      </c>
      <c r="D163" s="2236">
        <v>61963</v>
      </c>
      <c r="E163" s="293"/>
      <c r="F163" s="293"/>
      <c r="H163" s="514"/>
      <c r="I163" s="514"/>
    </row>
    <row r="164" spans="2:9">
      <c r="B164" s="1453">
        <v>6</v>
      </c>
      <c r="C164" s="1961" t="s">
        <v>281</v>
      </c>
      <c r="D164" s="766"/>
      <c r="E164" s="293"/>
      <c r="F164" s="293"/>
      <c r="H164" s="514"/>
      <c r="I164" s="514"/>
    </row>
    <row r="165" spans="2:9">
      <c r="B165" s="1453">
        <v>7</v>
      </c>
      <c r="C165" s="1961" t="s">
        <v>282</v>
      </c>
      <c r="D165" s="2237"/>
      <c r="E165" s="293"/>
      <c r="F165" s="293"/>
      <c r="H165" s="514"/>
      <c r="I165" s="514"/>
    </row>
    <row r="166" spans="2:9">
      <c r="B166" s="1453"/>
      <c r="C166" s="2192" t="s">
        <v>416</v>
      </c>
      <c r="D166" s="741"/>
      <c r="E166" s="293"/>
      <c r="F166" s="293"/>
      <c r="H166" s="514"/>
      <c r="I166" s="514"/>
    </row>
    <row r="167" spans="2:9">
      <c r="B167" s="1453"/>
      <c r="C167" s="2192" t="s">
        <v>417</v>
      </c>
      <c r="D167" s="741">
        <v>510000</v>
      </c>
      <c r="E167" s="293"/>
      <c r="F167" s="293"/>
      <c r="H167" s="514"/>
      <c r="I167" s="514"/>
    </row>
    <row r="168" spans="2:9">
      <c r="B168" s="1453">
        <v>8</v>
      </c>
      <c r="C168" s="1961" t="s">
        <v>285</v>
      </c>
      <c r="D168" s="741"/>
      <c r="E168" s="293"/>
      <c r="F168" s="293"/>
      <c r="H168" s="514"/>
      <c r="I168" s="514"/>
    </row>
    <row r="169" spans="2:9">
      <c r="B169" s="1453"/>
      <c r="C169" s="2192" t="s">
        <v>418</v>
      </c>
      <c r="D169" s="741"/>
      <c r="E169" s="293"/>
      <c r="F169" s="293"/>
      <c r="H169" s="514"/>
      <c r="I169" s="514"/>
    </row>
    <row r="170" spans="2:9">
      <c r="B170" s="1453"/>
      <c r="C170" s="2192" t="s">
        <v>419</v>
      </c>
      <c r="D170" s="741"/>
      <c r="E170" s="293"/>
      <c r="F170" s="293"/>
      <c r="H170" s="514"/>
      <c r="I170" s="514"/>
    </row>
    <row r="171" spans="2:9" ht="26.45">
      <c r="B171" s="2226">
        <v>9</v>
      </c>
      <c r="C171" s="2196" t="s">
        <v>288</v>
      </c>
      <c r="D171" s="743">
        <v>5654866</v>
      </c>
      <c r="E171" s="293"/>
      <c r="F171" s="293"/>
      <c r="H171" s="514"/>
      <c r="I171" s="514"/>
    </row>
    <row r="172" spans="2:9">
      <c r="B172" s="1453">
        <v>10</v>
      </c>
      <c r="C172" s="2192" t="s">
        <v>289</v>
      </c>
      <c r="D172" s="741"/>
      <c r="E172" s="293"/>
      <c r="F172" s="293"/>
      <c r="H172" s="514"/>
      <c r="I172" s="514"/>
    </row>
    <row r="173" spans="2:9">
      <c r="B173" s="1453">
        <v>11</v>
      </c>
      <c r="C173" s="2192" t="s">
        <v>290</v>
      </c>
      <c r="D173" s="2236">
        <v>4738139</v>
      </c>
      <c r="E173" s="293"/>
      <c r="F173" s="293"/>
      <c r="H173" s="514"/>
      <c r="I173" s="514"/>
    </row>
    <row r="174" spans="2:9">
      <c r="B174" s="1453">
        <v>12</v>
      </c>
      <c r="C174" s="2192" t="s">
        <v>291</v>
      </c>
      <c r="D174" s="766">
        <v>53848</v>
      </c>
      <c r="E174" s="293"/>
      <c r="F174" s="293"/>
      <c r="H174" s="514"/>
      <c r="I174" s="514"/>
    </row>
    <row r="175" spans="2:9" ht="26.45">
      <c r="B175" s="1453">
        <v>13</v>
      </c>
      <c r="C175" s="2192" t="s">
        <v>292</v>
      </c>
      <c r="D175" s="766">
        <v>862879</v>
      </c>
      <c r="E175" s="293"/>
      <c r="F175" s="293"/>
      <c r="H175" s="514"/>
      <c r="I175" s="514"/>
    </row>
    <row r="176" spans="2:9">
      <c r="B176" s="1453">
        <v>14</v>
      </c>
      <c r="C176" s="1853" t="s">
        <v>293</v>
      </c>
      <c r="D176" s="756"/>
      <c r="E176" s="293"/>
      <c r="F176" s="293"/>
      <c r="H176" s="514"/>
      <c r="I176" s="514"/>
    </row>
    <row r="177" spans="2:9">
      <c r="B177" s="1453">
        <v>15</v>
      </c>
      <c r="C177" s="1853" t="s">
        <v>294</v>
      </c>
      <c r="D177" s="2236">
        <v>376208</v>
      </c>
      <c r="E177" s="293"/>
      <c r="F177" s="293"/>
      <c r="H177" s="514"/>
      <c r="I177" s="514"/>
    </row>
    <row r="178" spans="2:9">
      <c r="B178" s="1453">
        <v>16</v>
      </c>
      <c r="C178" s="1853" t="s">
        <v>295</v>
      </c>
      <c r="D178" s="766">
        <v>1174068</v>
      </c>
      <c r="E178" s="293"/>
      <c r="F178" s="293"/>
      <c r="H178" s="514"/>
      <c r="I178" s="514"/>
    </row>
    <row r="179" spans="2:9">
      <c r="B179" s="1453">
        <v>17</v>
      </c>
      <c r="C179" s="1853" t="s">
        <v>296</v>
      </c>
      <c r="D179" s="766">
        <v>130310</v>
      </c>
      <c r="E179" s="383"/>
      <c r="F179" s="383"/>
      <c r="H179" s="514"/>
      <c r="I179" s="514"/>
    </row>
    <row r="180" spans="2:9">
      <c r="B180" s="1453">
        <v>18</v>
      </c>
      <c r="C180" s="1853" t="s">
        <v>297</v>
      </c>
      <c r="D180" s="766">
        <v>349103</v>
      </c>
      <c r="E180" s="293"/>
      <c r="F180" s="293"/>
      <c r="H180" s="514"/>
      <c r="I180" s="514"/>
    </row>
    <row r="181" spans="2:9" ht="13.9" thickBot="1">
      <c r="B181" s="1453">
        <v>19</v>
      </c>
      <c r="C181" s="2209" t="s">
        <v>298</v>
      </c>
      <c r="D181" s="767">
        <v>96452</v>
      </c>
      <c r="E181" s="293"/>
      <c r="F181" s="293"/>
      <c r="H181" s="514"/>
      <c r="I181" s="514"/>
    </row>
    <row r="182" spans="2:9" ht="27" thickBot="1">
      <c r="B182" s="1406">
        <v>20</v>
      </c>
      <c r="C182" s="1444" t="s">
        <v>299</v>
      </c>
      <c r="D182" s="1462">
        <v>8478176</v>
      </c>
      <c r="E182" s="293"/>
      <c r="F182" s="293"/>
      <c r="H182" s="514"/>
      <c r="I182" s="514"/>
    </row>
    <row r="183" spans="2:9">
      <c r="B183" s="1394"/>
      <c r="C183" s="2217" t="s">
        <v>300</v>
      </c>
      <c r="D183" s="741"/>
      <c r="E183" s="293"/>
      <c r="F183" s="293"/>
      <c r="H183" s="514"/>
      <c r="I183" s="514"/>
    </row>
    <row r="184" spans="2:9">
      <c r="B184" s="1394"/>
      <c r="C184" s="2217" t="s">
        <v>301</v>
      </c>
      <c r="D184" s="741"/>
      <c r="E184" s="293"/>
      <c r="F184" s="293"/>
      <c r="H184" s="514"/>
      <c r="I184" s="514"/>
    </row>
    <row r="185" spans="2:9">
      <c r="B185" s="1394">
        <v>21</v>
      </c>
      <c r="C185" s="1853" t="s">
        <v>302</v>
      </c>
      <c r="D185" s="2236">
        <v>2967601</v>
      </c>
      <c r="E185" s="293"/>
      <c r="F185" s="293"/>
      <c r="H185" s="514"/>
      <c r="I185" s="514"/>
    </row>
    <row r="186" spans="2:9">
      <c r="B186" s="1394">
        <v>22</v>
      </c>
      <c r="C186" s="1853" t="s">
        <v>303</v>
      </c>
      <c r="D186" s="766">
        <v>51547</v>
      </c>
      <c r="E186" s="293"/>
      <c r="F186" s="293"/>
      <c r="H186" s="514"/>
      <c r="I186" s="514"/>
    </row>
    <row r="187" spans="2:9">
      <c r="B187" s="1394">
        <v>23</v>
      </c>
      <c r="C187" s="1853" t="s">
        <v>304</v>
      </c>
      <c r="D187" s="766">
        <v>837901</v>
      </c>
      <c r="E187" s="293"/>
      <c r="F187" s="293"/>
      <c r="H187" s="514"/>
      <c r="I187" s="514"/>
    </row>
    <row r="188" spans="2:9">
      <c r="B188" s="1394">
        <v>24</v>
      </c>
      <c r="C188" s="1853" t="s">
        <v>305</v>
      </c>
      <c r="D188" s="2210"/>
      <c r="E188" s="293"/>
      <c r="F188" s="293"/>
      <c r="H188" s="514"/>
      <c r="I188" s="514"/>
    </row>
    <row r="189" spans="2:9">
      <c r="B189" s="1394">
        <v>25</v>
      </c>
      <c r="C189" s="2192" t="s">
        <v>306</v>
      </c>
      <c r="D189" s="756"/>
      <c r="E189" s="293"/>
      <c r="F189" s="293"/>
      <c r="H189" s="514"/>
      <c r="I189" s="514"/>
    </row>
    <row r="190" spans="2:9" ht="13.9" thickBot="1">
      <c r="B190" s="1394">
        <v>26</v>
      </c>
      <c r="C190" s="2209" t="s">
        <v>307</v>
      </c>
      <c r="D190" s="2238">
        <v>1112692</v>
      </c>
      <c r="E190" s="293"/>
      <c r="F190" s="293"/>
      <c r="H190" s="514"/>
      <c r="I190" s="514"/>
    </row>
    <row r="191" spans="2:9" ht="13.9" thickBot="1">
      <c r="B191" s="1397">
        <v>27</v>
      </c>
      <c r="C191" s="1418" t="s">
        <v>308</v>
      </c>
      <c r="D191" s="774">
        <v>4969741</v>
      </c>
      <c r="E191" s="293"/>
      <c r="F191" s="293"/>
      <c r="H191" s="514"/>
      <c r="I191" s="514"/>
    </row>
    <row r="192" spans="2:9">
      <c r="B192" s="1394"/>
      <c r="C192" s="1416" t="s">
        <v>309</v>
      </c>
      <c r="D192" s="756"/>
      <c r="E192" s="293"/>
      <c r="F192" s="293"/>
      <c r="H192" s="514"/>
      <c r="I192" s="514"/>
    </row>
    <row r="193" spans="2:9">
      <c r="B193" s="1394">
        <v>28</v>
      </c>
      <c r="C193" s="1961" t="s">
        <v>310</v>
      </c>
      <c r="D193" s="2236">
        <v>1250000</v>
      </c>
      <c r="E193" s="293"/>
      <c r="F193" s="293"/>
      <c r="H193" s="514"/>
      <c r="I193" s="514"/>
    </row>
    <row r="194" spans="2:9">
      <c r="B194" s="1394">
        <v>29</v>
      </c>
      <c r="C194" s="1961" t="s">
        <v>311</v>
      </c>
      <c r="D194" s="766">
        <v>-4551</v>
      </c>
      <c r="E194" s="293"/>
      <c r="F194" s="293"/>
      <c r="H194" s="514"/>
      <c r="I194" s="514"/>
    </row>
    <row r="195" spans="2:9">
      <c r="B195" s="1394">
        <v>30</v>
      </c>
      <c r="C195" s="2215" t="s">
        <v>312</v>
      </c>
      <c r="D195" s="756"/>
      <c r="E195" s="293"/>
      <c r="F195" s="293"/>
      <c r="H195" s="514"/>
      <c r="I195" s="514"/>
    </row>
    <row r="196" spans="2:9" ht="13.9" thickBot="1">
      <c r="B196" s="1394">
        <v>31</v>
      </c>
      <c r="C196" s="2215" t="s">
        <v>314</v>
      </c>
      <c r="D196" s="2238">
        <v>2262986</v>
      </c>
      <c r="E196" s="293"/>
      <c r="F196" s="293"/>
      <c r="H196" s="514"/>
      <c r="I196" s="514"/>
    </row>
    <row r="197" spans="2:9" ht="13.9" thickBot="1">
      <c r="B197" s="1397">
        <v>32</v>
      </c>
      <c r="C197" s="1418" t="s">
        <v>315</v>
      </c>
      <c r="D197" s="774">
        <v>3508435</v>
      </c>
      <c r="E197" s="293"/>
      <c r="F197" s="293"/>
      <c r="H197" s="514"/>
      <c r="I197" s="514"/>
    </row>
    <row r="198" spans="2:9" ht="27" thickBot="1">
      <c r="B198" s="1409">
        <v>33</v>
      </c>
      <c r="C198" s="1444" t="s">
        <v>317</v>
      </c>
      <c r="D198" s="1460">
        <v>8478176</v>
      </c>
      <c r="E198" s="293"/>
      <c r="F198" s="293"/>
      <c r="H198" s="514"/>
      <c r="I198" s="514"/>
    </row>
    <row r="199" spans="2:9">
      <c r="B199" s="274"/>
      <c r="C199" s="391"/>
      <c r="D199" s="383"/>
      <c r="E199" s="293"/>
      <c r="F199" s="293"/>
    </row>
    <row r="200" spans="2:9">
      <c r="B200" s="274"/>
      <c r="C200" s="391"/>
      <c r="D200" s="383"/>
      <c r="E200" s="293"/>
      <c r="F200" s="293"/>
      <c r="G200" s="292">
        <v>99</v>
      </c>
    </row>
    <row r="201" spans="2:9">
      <c r="B201" s="274"/>
      <c r="C201" s="391"/>
      <c r="D201" s="383"/>
      <c r="E201" s="293"/>
      <c r="F201" s="293"/>
    </row>
    <row r="202" spans="2:9" ht="14.45">
      <c r="B202" s="3340" t="s">
        <v>433</v>
      </c>
      <c r="C202" s="3341"/>
      <c r="D202" s="3341"/>
      <c r="E202" s="3341"/>
      <c r="F202" s="3341"/>
      <c r="G202" s="3341"/>
    </row>
    <row r="203" spans="2:9" ht="13.9" thickBot="1">
      <c r="B203" s="51" t="s">
        <v>431</v>
      </c>
      <c r="C203" s="51"/>
      <c r="D203" s="51"/>
      <c r="E203" s="51"/>
      <c r="F203" s="51"/>
      <c r="G203" s="51"/>
    </row>
    <row r="204" spans="2:9" ht="13.9" thickBot="1">
      <c r="B204" s="3344" t="s">
        <v>97</v>
      </c>
      <c r="C204" s="3345"/>
      <c r="D204" s="425"/>
      <c r="E204" s="396"/>
      <c r="F204" s="396"/>
    </row>
    <row r="205" spans="2:9">
      <c r="B205" s="3284" t="s">
        <v>396</v>
      </c>
      <c r="C205" s="3342"/>
      <c r="D205" s="3283" t="s">
        <v>414</v>
      </c>
      <c r="E205" s="274"/>
      <c r="F205" s="274"/>
    </row>
    <row r="206" spans="2:9">
      <c r="B206" s="3284"/>
      <c r="C206" s="3342"/>
      <c r="D206" s="3284"/>
      <c r="E206" s="443"/>
      <c r="F206" s="443"/>
    </row>
    <row r="207" spans="2:9">
      <c r="B207" s="3285"/>
      <c r="C207" s="3343"/>
      <c r="D207" s="3285"/>
      <c r="E207" s="443"/>
      <c r="F207" s="443"/>
    </row>
    <row r="208" spans="2:9" ht="13.9">
      <c r="B208" s="1394"/>
      <c r="C208" s="1401" t="s">
        <v>275</v>
      </c>
      <c r="D208" s="712"/>
      <c r="E208" s="293"/>
      <c r="F208" s="293"/>
    </row>
    <row r="209" spans="2:6">
      <c r="B209" s="1453">
        <v>1</v>
      </c>
      <c r="C209" s="2218" t="s">
        <v>276</v>
      </c>
      <c r="D209" s="741"/>
      <c r="E209" s="293"/>
      <c r="F209" s="293"/>
    </row>
    <row r="210" spans="2:6">
      <c r="B210" s="1453">
        <v>2</v>
      </c>
      <c r="C210" s="2218" t="s">
        <v>277</v>
      </c>
      <c r="D210" s="730">
        <v>22861</v>
      </c>
      <c r="E210" s="293"/>
      <c r="F210" s="293"/>
    </row>
    <row r="211" spans="2:6">
      <c r="B211" s="1453">
        <v>3</v>
      </c>
      <c r="C211" s="2218" t="s">
        <v>278</v>
      </c>
      <c r="D211" s="733"/>
      <c r="E211" s="293"/>
      <c r="F211" s="293"/>
    </row>
    <row r="212" spans="2:6">
      <c r="B212" s="1453">
        <v>4</v>
      </c>
      <c r="C212" s="2232" t="s">
        <v>429</v>
      </c>
      <c r="D212" s="731">
        <v>205634</v>
      </c>
      <c r="E212" s="293"/>
      <c r="F212" s="293"/>
    </row>
    <row r="213" spans="2:6">
      <c r="B213" s="1453">
        <v>5</v>
      </c>
      <c r="C213" s="2218" t="s">
        <v>280</v>
      </c>
      <c r="D213" s="731">
        <v>4149976</v>
      </c>
      <c r="E213" s="293"/>
      <c r="F213" s="293"/>
    </row>
    <row r="214" spans="2:6">
      <c r="B214" s="1453">
        <v>6</v>
      </c>
      <c r="C214" s="2218" t="s">
        <v>281</v>
      </c>
      <c r="D214" s="731">
        <v>139500</v>
      </c>
      <c r="E214" s="293"/>
      <c r="F214" s="293"/>
    </row>
    <row r="215" spans="2:6">
      <c r="B215" s="1453">
        <v>7</v>
      </c>
      <c r="C215" s="2218" t="s">
        <v>282</v>
      </c>
      <c r="D215" s="741"/>
      <c r="E215" s="293"/>
      <c r="F215" s="293"/>
    </row>
    <row r="216" spans="2:6">
      <c r="B216" s="1453"/>
      <c r="C216" s="2203" t="s">
        <v>416</v>
      </c>
      <c r="D216" s="741"/>
      <c r="E216" s="293"/>
      <c r="F216" s="293"/>
    </row>
    <row r="217" spans="2:6">
      <c r="B217" s="1453"/>
      <c r="C217" s="2203" t="s">
        <v>417</v>
      </c>
      <c r="D217" s="741"/>
      <c r="E217" s="293"/>
      <c r="F217" s="293"/>
    </row>
    <row r="218" spans="2:6">
      <c r="B218" s="1453">
        <v>8</v>
      </c>
      <c r="C218" s="2218" t="s">
        <v>285</v>
      </c>
      <c r="D218" s="741"/>
      <c r="E218" s="293"/>
      <c r="F218" s="293"/>
    </row>
    <row r="219" spans="2:6">
      <c r="B219" s="1453"/>
      <c r="C219" s="2203" t="s">
        <v>418</v>
      </c>
      <c r="D219" s="741"/>
      <c r="E219" s="293"/>
      <c r="F219" s="293"/>
    </row>
    <row r="220" spans="2:6">
      <c r="B220" s="1453"/>
      <c r="C220" s="2203" t="s">
        <v>419</v>
      </c>
      <c r="D220" s="741"/>
      <c r="E220" s="293"/>
      <c r="F220" s="293"/>
    </row>
    <row r="221" spans="2:6" ht="26.45">
      <c r="B221" s="2226">
        <v>9</v>
      </c>
      <c r="C221" s="2212" t="s">
        <v>288</v>
      </c>
      <c r="D221" s="743">
        <v>17427766</v>
      </c>
      <c r="E221" s="293"/>
      <c r="F221" s="293"/>
    </row>
    <row r="222" spans="2:6">
      <c r="B222" s="1453">
        <v>10</v>
      </c>
      <c r="C222" s="2203" t="s">
        <v>289</v>
      </c>
      <c r="D222" s="741"/>
      <c r="E222" s="293"/>
      <c r="F222" s="293"/>
    </row>
    <row r="223" spans="2:6">
      <c r="B223" s="1453">
        <v>11</v>
      </c>
      <c r="C223" s="2203" t="s">
        <v>290</v>
      </c>
      <c r="D223" s="731">
        <v>8979677</v>
      </c>
      <c r="E223" s="293"/>
      <c r="F223" s="293"/>
    </row>
    <row r="224" spans="2:6">
      <c r="B224" s="1453">
        <v>12</v>
      </c>
      <c r="C224" s="2203" t="s">
        <v>291</v>
      </c>
      <c r="D224" s="731">
        <v>8448089</v>
      </c>
      <c r="E224" s="293"/>
      <c r="F224" s="293"/>
    </row>
    <row r="225" spans="2:7" ht="26.45">
      <c r="B225" s="1453">
        <v>13</v>
      </c>
      <c r="C225" s="2203" t="s">
        <v>292</v>
      </c>
      <c r="D225" s="733"/>
      <c r="E225" s="293"/>
      <c r="F225" s="293"/>
    </row>
    <row r="226" spans="2:7">
      <c r="B226" s="1453">
        <v>14</v>
      </c>
      <c r="C226" s="2204" t="s">
        <v>293</v>
      </c>
      <c r="D226" s="733"/>
      <c r="E226" s="293"/>
      <c r="F226" s="293"/>
    </row>
    <row r="227" spans="2:7">
      <c r="B227" s="1453">
        <v>15</v>
      </c>
      <c r="C227" s="2204" t="s">
        <v>294</v>
      </c>
      <c r="D227" s="731">
        <v>4821855</v>
      </c>
      <c r="E227" s="293"/>
      <c r="F227" s="293"/>
    </row>
    <row r="228" spans="2:7">
      <c r="B228" s="1453">
        <v>16</v>
      </c>
      <c r="C228" s="2204" t="s">
        <v>295</v>
      </c>
      <c r="D228" s="731">
        <v>5190204</v>
      </c>
      <c r="E228" s="293"/>
      <c r="F228" s="293"/>
    </row>
    <row r="229" spans="2:7">
      <c r="B229" s="1453">
        <v>17</v>
      </c>
      <c r="C229" s="2204" t="s">
        <v>296</v>
      </c>
      <c r="D229" s="731">
        <v>3529008</v>
      </c>
      <c r="E229" s="293"/>
      <c r="F229" s="293"/>
      <c r="G229" s="396"/>
    </row>
    <row r="230" spans="2:7">
      <c r="B230" s="1453">
        <v>18</v>
      </c>
      <c r="C230" s="2204" t="s">
        <v>297</v>
      </c>
      <c r="D230" s="731">
        <v>1048559</v>
      </c>
      <c r="E230" s="293"/>
      <c r="F230" s="293"/>
    </row>
    <row r="231" spans="2:7" ht="13.9" thickBot="1">
      <c r="B231" s="1453">
        <v>19</v>
      </c>
      <c r="C231" s="2205" t="s">
        <v>298</v>
      </c>
      <c r="D231" s="736">
        <v>113305</v>
      </c>
      <c r="E231" s="293"/>
      <c r="F231" s="293"/>
    </row>
    <row r="232" spans="2:7" ht="27" thickBot="1">
      <c r="B232" s="1406">
        <v>20</v>
      </c>
      <c r="C232" s="1425" t="s">
        <v>299</v>
      </c>
      <c r="D232" s="1434">
        <v>36648668</v>
      </c>
      <c r="E232" s="293"/>
      <c r="F232" s="293"/>
    </row>
    <row r="233" spans="2:7">
      <c r="B233" s="1394"/>
      <c r="C233" s="2219" t="s">
        <v>300</v>
      </c>
      <c r="D233" s="741"/>
      <c r="E233" s="293"/>
      <c r="F233" s="293"/>
    </row>
    <row r="234" spans="2:7">
      <c r="B234" s="1394"/>
      <c r="C234" s="2219" t="s">
        <v>301</v>
      </c>
      <c r="D234" s="741"/>
      <c r="E234" s="293"/>
      <c r="F234" s="293"/>
    </row>
    <row r="235" spans="2:7">
      <c r="B235" s="1394">
        <v>21</v>
      </c>
      <c r="C235" s="2204" t="s">
        <v>302</v>
      </c>
      <c r="D235" s="731">
        <v>14231847</v>
      </c>
      <c r="E235" s="293"/>
      <c r="F235" s="293"/>
    </row>
    <row r="236" spans="2:7">
      <c r="B236" s="1394">
        <v>22</v>
      </c>
      <c r="C236" s="2204" t="s">
        <v>303</v>
      </c>
      <c r="D236" s="733"/>
      <c r="E236" s="293"/>
      <c r="F236" s="293"/>
    </row>
    <row r="237" spans="2:7">
      <c r="B237" s="1394">
        <v>23</v>
      </c>
      <c r="C237" s="2204" t="s">
        <v>304</v>
      </c>
      <c r="D237" s="731">
        <v>4263222</v>
      </c>
      <c r="E237" s="293"/>
      <c r="F237" s="293"/>
    </row>
    <row r="238" spans="2:7">
      <c r="B238" s="1394">
        <v>24</v>
      </c>
      <c r="C238" s="2204" t="s">
        <v>305</v>
      </c>
      <c r="D238" s="731">
        <v>389419</v>
      </c>
      <c r="E238" s="293"/>
      <c r="F238" s="293"/>
    </row>
    <row r="239" spans="2:7">
      <c r="B239" s="1394">
        <v>25</v>
      </c>
      <c r="C239" s="2203" t="s">
        <v>306</v>
      </c>
      <c r="D239" s="731">
        <v>241240</v>
      </c>
      <c r="E239" s="293"/>
      <c r="F239" s="293"/>
    </row>
    <row r="240" spans="2:7" ht="13.9" thickBot="1">
      <c r="B240" s="1394">
        <v>26</v>
      </c>
      <c r="C240" s="2205" t="s">
        <v>307</v>
      </c>
      <c r="D240" s="736">
        <v>3054836</v>
      </c>
      <c r="E240" s="293"/>
      <c r="F240" s="293"/>
    </row>
    <row r="241" spans="2:7" ht="13.9" thickBot="1">
      <c r="B241" s="1397">
        <v>27</v>
      </c>
      <c r="C241" s="1419" t="s">
        <v>308</v>
      </c>
      <c r="D241" s="737">
        <v>22180564</v>
      </c>
      <c r="E241" s="293"/>
      <c r="F241" s="293"/>
    </row>
    <row r="242" spans="2:7">
      <c r="B242" s="1394"/>
      <c r="C242" s="1398" t="s">
        <v>309</v>
      </c>
      <c r="D242" s="741"/>
      <c r="E242" s="293"/>
      <c r="F242" s="293"/>
    </row>
    <row r="243" spans="2:7">
      <c r="B243" s="1394">
        <v>28</v>
      </c>
      <c r="C243" s="2218" t="s">
        <v>310</v>
      </c>
      <c r="D243" s="2211">
        <v>500200</v>
      </c>
      <c r="E243" s="293"/>
      <c r="F243" s="293"/>
    </row>
    <row r="244" spans="2:7">
      <c r="B244" s="1394">
        <v>29</v>
      </c>
      <c r="C244" s="2218" t="s">
        <v>311</v>
      </c>
      <c r="D244" s="731">
        <v>7024489</v>
      </c>
      <c r="E244" s="293"/>
      <c r="F244" s="293"/>
    </row>
    <row r="245" spans="2:7">
      <c r="B245" s="1394">
        <v>30</v>
      </c>
      <c r="C245" s="2207" t="s">
        <v>312</v>
      </c>
      <c r="D245" s="731">
        <v>494239</v>
      </c>
      <c r="E245" s="293"/>
      <c r="F245" s="293"/>
    </row>
    <row r="246" spans="2:7" ht="13.9" thickBot="1">
      <c r="B246" s="1394">
        <v>31</v>
      </c>
      <c r="C246" s="2207" t="s">
        <v>314</v>
      </c>
      <c r="D246" s="736">
        <v>6449176</v>
      </c>
      <c r="E246" s="293"/>
      <c r="F246" s="293"/>
    </row>
    <row r="247" spans="2:7" ht="13.9" thickBot="1">
      <c r="B247" s="1397">
        <v>32</v>
      </c>
      <c r="C247" s="1419" t="s">
        <v>315</v>
      </c>
      <c r="D247" s="737">
        <v>14468104</v>
      </c>
      <c r="E247" s="293"/>
      <c r="F247" s="293"/>
    </row>
    <row r="248" spans="2:7" ht="27" thickBot="1">
      <c r="B248" s="1409">
        <v>33</v>
      </c>
      <c r="C248" s="1425" t="s">
        <v>317</v>
      </c>
      <c r="D248" s="1435">
        <v>36648668</v>
      </c>
      <c r="E248" s="293"/>
      <c r="F248" s="293"/>
    </row>
    <row r="249" spans="2:7">
      <c r="B249" s="274"/>
      <c r="C249" s="391"/>
      <c r="D249" s="383"/>
      <c r="E249" s="293"/>
      <c r="F249" s="293"/>
    </row>
    <row r="250" spans="2:7">
      <c r="B250" s="274"/>
      <c r="C250" s="391"/>
      <c r="D250" s="383"/>
      <c r="E250" s="293"/>
      <c r="F250" s="293"/>
      <c r="G250" s="292">
        <v>100</v>
      </c>
    </row>
    <row r="251" spans="2:7">
      <c r="B251" s="274"/>
      <c r="C251" s="391"/>
      <c r="D251" s="383"/>
      <c r="E251" s="293"/>
      <c r="F251" s="293"/>
    </row>
    <row r="252" spans="2:7" ht="14.45">
      <c r="B252" s="3340" t="s">
        <v>430</v>
      </c>
      <c r="C252" s="3341"/>
      <c r="D252" s="3341"/>
      <c r="E252" s="3341"/>
      <c r="F252" s="3341"/>
      <c r="G252" s="3341"/>
    </row>
    <row r="253" spans="2:7" ht="13.9" thickBot="1">
      <c r="B253" s="51" t="s">
        <v>431</v>
      </c>
      <c r="C253" s="51"/>
      <c r="D253" s="51"/>
      <c r="E253" s="51"/>
      <c r="F253" s="51"/>
      <c r="G253" s="51"/>
    </row>
    <row r="254" spans="2:7" ht="13.9" thickBot="1">
      <c r="B254" s="3344" t="s">
        <v>421</v>
      </c>
      <c r="C254" s="3345"/>
      <c r="D254" s="425"/>
      <c r="E254" s="396"/>
      <c r="F254" s="396"/>
    </row>
    <row r="255" spans="2:7">
      <c r="B255" s="3284" t="s">
        <v>396</v>
      </c>
      <c r="C255" s="3346"/>
      <c r="D255" s="3283" t="s">
        <v>414</v>
      </c>
      <c r="E255" s="274"/>
      <c r="F255" s="274"/>
    </row>
    <row r="256" spans="2:7">
      <c r="B256" s="3284"/>
      <c r="C256" s="3346"/>
      <c r="D256" s="3284"/>
      <c r="E256" s="443"/>
      <c r="F256" s="443"/>
    </row>
    <row r="257" spans="2:6">
      <c r="B257" s="3285"/>
      <c r="C257" s="3347"/>
      <c r="D257" s="3285"/>
      <c r="E257" s="443"/>
      <c r="F257" s="443"/>
    </row>
    <row r="258" spans="2:6" ht="13.9">
      <c r="B258" s="1394"/>
      <c r="C258" s="1401" t="s">
        <v>275</v>
      </c>
      <c r="D258" s="2239"/>
      <c r="E258" s="293"/>
      <c r="F258" s="293"/>
    </row>
    <row r="259" spans="2:6">
      <c r="B259" s="1453">
        <v>1</v>
      </c>
      <c r="C259" s="1961" t="s">
        <v>276</v>
      </c>
      <c r="D259" s="741"/>
      <c r="E259" s="293"/>
      <c r="F259" s="293"/>
    </row>
    <row r="260" spans="2:6">
      <c r="B260" s="1453">
        <v>2</v>
      </c>
      <c r="C260" s="1961" t="s">
        <v>277</v>
      </c>
      <c r="D260" s="742">
        <v>22145</v>
      </c>
      <c r="E260" s="293"/>
      <c r="F260" s="293"/>
    </row>
    <row r="261" spans="2:6">
      <c r="B261" s="1453">
        <v>3</v>
      </c>
      <c r="C261" s="1961" t="s">
        <v>278</v>
      </c>
      <c r="D261" s="741"/>
      <c r="E261" s="293"/>
      <c r="F261" s="293"/>
    </row>
    <row r="262" spans="2:6">
      <c r="B262" s="1453">
        <v>4</v>
      </c>
      <c r="C262" s="2224" t="s">
        <v>429</v>
      </c>
      <c r="D262" s="741">
        <v>328837</v>
      </c>
      <c r="E262" s="293"/>
      <c r="F262" s="293"/>
    </row>
    <row r="263" spans="2:6">
      <c r="B263" s="1453">
        <v>5</v>
      </c>
      <c r="C263" s="1961" t="s">
        <v>280</v>
      </c>
      <c r="D263" s="742">
        <v>978950</v>
      </c>
      <c r="E263" s="293"/>
      <c r="F263" s="293"/>
    </row>
    <row r="264" spans="2:6">
      <c r="B264" s="1453">
        <v>6</v>
      </c>
      <c r="C264" s="1961" t="s">
        <v>281</v>
      </c>
      <c r="D264" s="741"/>
      <c r="E264" s="293"/>
      <c r="F264" s="293"/>
    </row>
    <row r="265" spans="2:6">
      <c r="B265" s="1453">
        <v>7</v>
      </c>
      <c r="C265" s="1961" t="s">
        <v>282</v>
      </c>
      <c r="D265" s="741"/>
      <c r="E265" s="293"/>
      <c r="F265" s="293"/>
    </row>
    <row r="266" spans="2:6">
      <c r="B266" s="1453"/>
      <c r="C266" s="2192" t="s">
        <v>416</v>
      </c>
      <c r="D266" s="742">
        <v>544260</v>
      </c>
      <c r="E266" s="293"/>
      <c r="F266" s="293"/>
    </row>
    <row r="267" spans="2:6">
      <c r="B267" s="1453"/>
      <c r="C267" s="2192" t="s">
        <v>417</v>
      </c>
      <c r="D267" s="741"/>
      <c r="E267" s="293"/>
      <c r="F267" s="293"/>
    </row>
    <row r="268" spans="2:6">
      <c r="B268" s="1453">
        <v>8</v>
      </c>
      <c r="C268" s="1961" t="s">
        <v>285</v>
      </c>
      <c r="D268" s="741"/>
      <c r="E268" s="293"/>
      <c r="F268" s="293"/>
    </row>
    <row r="269" spans="2:6">
      <c r="B269" s="1453"/>
      <c r="C269" s="2192" t="s">
        <v>418</v>
      </c>
      <c r="D269" s="741"/>
      <c r="E269" s="293"/>
      <c r="F269" s="293"/>
    </row>
    <row r="270" spans="2:6">
      <c r="B270" s="1453"/>
      <c r="C270" s="2192" t="s">
        <v>419</v>
      </c>
      <c r="D270" s="741"/>
      <c r="E270" s="293"/>
      <c r="F270" s="293"/>
    </row>
    <row r="271" spans="2:6" ht="26.45">
      <c r="B271" s="2226">
        <v>9</v>
      </c>
      <c r="C271" s="2196" t="s">
        <v>288</v>
      </c>
      <c r="D271" s="743">
        <v>5850389</v>
      </c>
      <c r="E271" s="293"/>
      <c r="F271" s="293"/>
    </row>
    <row r="272" spans="2:6">
      <c r="B272" s="1453">
        <v>10</v>
      </c>
      <c r="C272" s="2192" t="s">
        <v>289</v>
      </c>
      <c r="D272" s="742">
        <v>2878042</v>
      </c>
      <c r="E272" s="293"/>
      <c r="F272" s="293"/>
    </row>
    <row r="273" spans="2:6">
      <c r="B273" s="1453">
        <v>11</v>
      </c>
      <c r="C273" s="2192" t="s">
        <v>290</v>
      </c>
      <c r="D273" s="742">
        <v>2959674</v>
      </c>
      <c r="E273" s="293"/>
      <c r="F273" s="293"/>
    </row>
    <row r="274" spans="2:6">
      <c r="B274" s="1453">
        <v>12</v>
      </c>
      <c r="C274" s="2192" t="s">
        <v>291</v>
      </c>
      <c r="D274" s="742">
        <v>12673</v>
      </c>
      <c r="E274" s="293"/>
      <c r="F274" s="293"/>
    </row>
    <row r="275" spans="2:6" ht="26.45">
      <c r="B275" s="1453">
        <v>13</v>
      </c>
      <c r="C275" s="2192" t="s">
        <v>292</v>
      </c>
      <c r="D275" s="741"/>
      <c r="E275" s="293"/>
      <c r="F275" s="293"/>
    </row>
    <row r="276" spans="2:6">
      <c r="B276" s="1453">
        <v>14</v>
      </c>
      <c r="C276" s="1853" t="s">
        <v>293</v>
      </c>
      <c r="D276" s="741"/>
      <c r="E276" s="293"/>
      <c r="F276" s="293"/>
    </row>
    <row r="277" spans="2:6">
      <c r="B277" s="1453">
        <v>15</v>
      </c>
      <c r="C277" s="1853" t="s">
        <v>294</v>
      </c>
      <c r="D277" s="742">
        <v>615328</v>
      </c>
      <c r="E277" s="293"/>
      <c r="F277" s="293"/>
    </row>
    <row r="278" spans="2:6">
      <c r="B278" s="1453">
        <v>16</v>
      </c>
      <c r="C278" s="1853" t="s">
        <v>295</v>
      </c>
      <c r="D278" s="742">
        <v>1010997</v>
      </c>
      <c r="E278" s="293"/>
      <c r="F278" s="293"/>
    </row>
    <row r="279" spans="2:6">
      <c r="B279" s="1453">
        <v>17</v>
      </c>
      <c r="C279" s="1853" t="s">
        <v>296</v>
      </c>
      <c r="D279" s="742">
        <v>184077</v>
      </c>
      <c r="E279" s="293"/>
      <c r="F279" s="293"/>
    </row>
    <row r="280" spans="2:6">
      <c r="B280" s="1453">
        <v>18</v>
      </c>
      <c r="C280" s="1853" t="s">
        <v>297</v>
      </c>
      <c r="D280" s="741"/>
      <c r="E280" s="293"/>
      <c r="F280" s="293"/>
    </row>
    <row r="281" spans="2:6" ht="13.9" thickBot="1">
      <c r="B281" s="1453">
        <v>19</v>
      </c>
      <c r="C281" s="2209" t="s">
        <v>298</v>
      </c>
      <c r="D281" s="744">
        <v>267833</v>
      </c>
      <c r="E281" s="293"/>
      <c r="F281" s="293"/>
    </row>
    <row r="282" spans="2:6" ht="27" thickBot="1">
      <c r="B282" s="1406">
        <v>20</v>
      </c>
      <c r="C282" s="1444" t="s">
        <v>299</v>
      </c>
      <c r="D282" s="1426">
        <v>9802816</v>
      </c>
      <c r="E282" s="293"/>
      <c r="F282" s="293"/>
    </row>
    <row r="283" spans="2:6">
      <c r="B283" s="1394"/>
      <c r="C283" s="2217" t="s">
        <v>300</v>
      </c>
      <c r="D283" s="741"/>
      <c r="E283" s="293"/>
      <c r="F283" s="293"/>
    </row>
    <row r="284" spans="2:6">
      <c r="B284" s="1394"/>
      <c r="C284" s="2217" t="s">
        <v>301</v>
      </c>
      <c r="D284" s="741"/>
      <c r="E284" s="293"/>
      <c r="F284" s="293"/>
    </row>
    <row r="285" spans="2:6">
      <c r="B285" s="1394">
        <v>21</v>
      </c>
      <c r="C285" s="1853" t="s">
        <v>302</v>
      </c>
      <c r="D285" s="742">
        <v>3126800</v>
      </c>
      <c r="E285" s="293"/>
      <c r="F285" s="293"/>
    </row>
    <row r="286" spans="2:6">
      <c r="B286" s="1394">
        <v>22</v>
      </c>
      <c r="C286" s="1853" t="s">
        <v>303</v>
      </c>
      <c r="D286" s="742">
        <v>65598</v>
      </c>
      <c r="E286" s="293"/>
      <c r="F286" s="293"/>
    </row>
    <row r="287" spans="2:6">
      <c r="B287" s="1394">
        <v>23</v>
      </c>
      <c r="C287" s="1853" t="s">
        <v>304</v>
      </c>
      <c r="D287" s="742">
        <v>622123</v>
      </c>
      <c r="E287" s="293"/>
      <c r="F287" s="293"/>
    </row>
    <row r="288" spans="2:6">
      <c r="B288" s="1394">
        <v>24</v>
      </c>
      <c r="C288" s="1853" t="s">
        <v>305</v>
      </c>
      <c r="D288" s="741"/>
      <c r="E288" s="293"/>
      <c r="F288" s="293"/>
    </row>
    <row r="289" spans="2:7">
      <c r="B289" s="1394">
        <v>25</v>
      </c>
      <c r="C289" s="2192" t="s">
        <v>306</v>
      </c>
      <c r="D289" s="742">
        <v>21874</v>
      </c>
      <c r="E289" s="293"/>
      <c r="F289" s="293"/>
    </row>
    <row r="290" spans="2:7" ht="13.9" thickBot="1">
      <c r="B290" s="1394">
        <v>26</v>
      </c>
      <c r="C290" s="2209" t="s">
        <v>307</v>
      </c>
      <c r="D290" s="744">
        <v>1346763</v>
      </c>
      <c r="E290" s="293"/>
      <c r="F290" s="293"/>
    </row>
    <row r="291" spans="2:7" ht="13.9" thickBot="1">
      <c r="B291" s="1397">
        <v>27</v>
      </c>
      <c r="C291" s="1418" t="s">
        <v>308</v>
      </c>
      <c r="D291" s="745">
        <v>5183158</v>
      </c>
      <c r="E291" s="293"/>
      <c r="F291" s="293"/>
    </row>
    <row r="292" spans="2:7">
      <c r="B292" s="1394"/>
      <c r="C292" s="1416" t="s">
        <v>309</v>
      </c>
      <c r="D292" s="741"/>
      <c r="E292" s="293"/>
      <c r="F292" s="293"/>
    </row>
    <row r="293" spans="2:7">
      <c r="B293" s="1394">
        <v>28</v>
      </c>
      <c r="C293" s="1961" t="s">
        <v>310</v>
      </c>
      <c r="D293" s="742">
        <v>2198316</v>
      </c>
      <c r="E293" s="293"/>
      <c r="F293" s="293"/>
    </row>
    <row r="294" spans="2:7">
      <c r="B294" s="1394">
        <v>29</v>
      </c>
      <c r="C294" s="1961" t="s">
        <v>311</v>
      </c>
      <c r="D294" s="742">
        <v>-28355</v>
      </c>
      <c r="E294" s="293"/>
      <c r="F294" s="293"/>
    </row>
    <row r="295" spans="2:7">
      <c r="B295" s="1394">
        <v>30</v>
      </c>
      <c r="C295" s="2215" t="s">
        <v>312</v>
      </c>
      <c r="D295" s="742">
        <v>681733</v>
      </c>
      <c r="E295" s="293"/>
      <c r="F295" s="293"/>
    </row>
    <row r="296" spans="2:7" ht="13.9" thickBot="1">
      <c r="B296" s="1394">
        <v>31</v>
      </c>
      <c r="C296" s="2215" t="s">
        <v>314</v>
      </c>
      <c r="D296" s="744">
        <v>1767966</v>
      </c>
      <c r="E296" s="293"/>
      <c r="F296" s="293"/>
    </row>
    <row r="297" spans="2:7" ht="13.9" thickBot="1">
      <c r="B297" s="1397">
        <v>32</v>
      </c>
      <c r="C297" s="1418" t="s">
        <v>315</v>
      </c>
      <c r="D297" s="745">
        <v>4619660</v>
      </c>
      <c r="E297" s="293"/>
      <c r="F297" s="293"/>
    </row>
    <row r="298" spans="2:7" ht="27" thickBot="1">
      <c r="B298" s="1409">
        <v>33</v>
      </c>
      <c r="C298" s="1444" t="s">
        <v>317</v>
      </c>
      <c r="D298" s="1426">
        <v>9802818</v>
      </c>
      <c r="E298" s="293"/>
      <c r="F298" s="293"/>
    </row>
    <row r="299" spans="2:7">
      <c r="B299" s="274"/>
      <c r="C299" s="391"/>
      <c r="D299" s="383"/>
      <c r="E299" s="293"/>
      <c r="F299" s="293"/>
    </row>
    <row r="300" spans="2:7">
      <c r="B300" s="274"/>
      <c r="C300" s="391"/>
      <c r="D300" s="383"/>
      <c r="E300" s="293"/>
      <c r="F300" s="293"/>
      <c r="G300" s="292">
        <v>101</v>
      </c>
    </row>
    <row r="301" spans="2:7">
      <c r="D301" s="396"/>
      <c r="E301" s="396"/>
      <c r="F301" s="396"/>
      <c r="G301" s="396"/>
    </row>
    <row r="302" spans="2:7" ht="14.45">
      <c r="B302" s="3340" t="s">
        <v>432</v>
      </c>
      <c r="C302" s="3341"/>
      <c r="D302" s="3341"/>
      <c r="E302" s="3341"/>
      <c r="F302" s="3341"/>
      <c r="G302" s="3341"/>
    </row>
    <row r="303" spans="2:7" ht="13.9" thickBot="1">
      <c r="B303" s="51" t="s">
        <v>431</v>
      </c>
      <c r="C303" s="51"/>
      <c r="D303" s="51"/>
      <c r="E303" s="51"/>
      <c r="F303" s="51"/>
      <c r="G303" s="51"/>
    </row>
    <row r="304" spans="2:7" ht="13.9" thickBot="1">
      <c r="B304" s="3344" t="s">
        <v>102</v>
      </c>
      <c r="C304" s="3345"/>
      <c r="D304" s="425"/>
      <c r="E304" s="396"/>
      <c r="F304" s="396"/>
      <c r="G304" s="396"/>
    </row>
    <row r="305" spans="2:9">
      <c r="B305" s="3284" t="s">
        <v>396</v>
      </c>
      <c r="C305" s="3346"/>
      <c r="D305" s="3283" t="s">
        <v>414</v>
      </c>
      <c r="E305" s="274"/>
      <c r="F305" s="274"/>
    </row>
    <row r="306" spans="2:9">
      <c r="B306" s="3284"/>
      <c r="C306" s="3346"/>
      <c r="D306" s="3284"/>
      <c r="E306" s="443"/>
      <c r="F306" s="443"/>
    </row>
    <row r="307" spans="2:9">
      <c r="B307" s="3285"/>
      <c r="C307" s="3346"/>
      <c r="D307" s="3285"/>
      <c r="E307" s="443"/>
      <c r="F307" s="443"/>
    </row>
    <row r="308" spans="2:9" ht="13.9">
      <c r="B308" s="1451"/>
      <c r="C308" s="1463" t="s">
        <v>275</v>
      </c>
      <c r="D308" s="2239"/>
      <c r="E308" s="293"/>
      <c r="F308" s="293"/>
    </row>
    <row r="309" spans="2:9">
      <c r="B309" s="1453">
        <v>1</v>
      </c>
      <c r="C309" s="2232" t="s">
        <v>276</v>
      </c>
      <c r="D309" s="742">
        <v>360508</v>
      </c>
      <c r="E309" s="293"/>
      <c r="F309" s="293"/>
      <c r="H309" s="514"/>
      <c r="I309" s="396"/>
    </row>
    <row r="310" spans="2:9">
      <c r="B310" s="1453">
        <v>2</v>
      </c>
      <c r="C310" s="2232" t="s">
        <v>277</v>
      </c>
      <c r="D310" s="742">
        <v>333313</v>
      </c>
      <c r="E310" s="293"/>
      <c r="F310" s="293"/>
      <c r="H310" s="514"/>
      <c r="I310" s="396"/>
    </row>
    <row r="311" spans="2:9">
      <c r="B311" s="1453">
        <v>3</v>
      </c>
      <c r="C311" s="2232" t="s">
        <v>278</v>
      </c>
      <c r="D311" s="741"/>
      <c r="E311" s="293"/>
      <c r="F311" s="293"/>
      <c r="H311" s="514"/>
      <c r="I311" s="396"/>
    </row>
    <row r="312" spans="2:9">
      <c r="B312" s="1453">
        <v>4</v>
      </c>
      <c r="C312" s="2224" t="s">
        <v>429</v>
      </c>
      <c r="D312" s="742"/>
      <c r="E312" s="293"/>
      <c r="F312" s="293"/>
      <c r="H312" s="514"/>
      <c r="I312" s="396"/>
    </row>
    <row r="313" spans="2:9">
      <c r="B313" s="1453">
        <v>5</v>
      </c>
      <c r="C313" s="2232" t="s">
        <v>243</v>
      </c>
      <c r="D313" s="742">
        <v>314197</v>
      </c>
      <c r="E313" s="293"/>
      <c r="F313" s="293"/>
      <c r="H313" s="514"/>
      <c r="I313" s="396"/>
    </row>
    <row r="314" spans="2:9">
      <c r="B314" s="1453">
        <v>6</v>
      </c>
      <c r="C314" s="2232" t="s">
        <v>281</v>
      </c>
      <c r="D314" s="741"/>
      <c r="E314" s="293"/>
      <c r="F314" s="293"/>
      <c r="H314" s="514"/>
      <c r="I314" s="396"/>
    </row>
    <row r="315" spans="2:9">
      <c r="B315" s="1453">
        <v>7</v>
      </c>
      <c r="C315" s="2232" t="s">
        <v>282</v>
      </c>
      <c r="D315" s="741"/>
      <c r="E315" s="293"/>
      <c r="F315" s="293"/>
      <c r="H315" s="514"/>
      <c r="I315" s="396"/>
    </row>
    <row r="316" spans="2:9">
      <c r="B316" s="1453"/>
      <c r="C316" s="2232" t="s">
        <v>401</v>
      </c>
      <c r="D316" s="741"/>
      <c r="E316" s="293"/>
      <c r="F316" s="293"/>
      <c r="H316" s="514"/>
      <c r="I316" s="396"/>
    </row>
    <row r="317" spans="2:9">
      <c r="B317" s="1453"/>
      <c r="C317" s="1457" t="s">
        <v>402</v>
      </c>
      <c r="D317" s="741"/>
      <c r="E317" s="293"/>
      <c r="F317" s="293"/>
      <c r="H317" s="514"/>
      <c r="I317" s="396"/>
    </row>
    <row r="318" spans="2:9">
      <c r="B318" s="1453">
        <v>8</v>
      </c>
      <c r="C318" s="1457" t="s">
        <v>403</v>
      </c>
      <c r="D318" s="741"/>
      <c r="E318" s="293"/>
      <c r="F318" s="293"/>
      <c r="H318" s="514"/>
      <c r="I318" s="396"/>
    </row>
    <row r="319" spans="2:9">
      <c r="B319" s="1453"/>
      <c r="C319" s="2232" t="s">
        <v>404</v>
      </c>
      <c r="D319" s="741"/>
      <c r="E319" s="293"/>
      <c r="F319" s="293"/>
      <c r="H319" s="514"/>
      <c r="I319" s="396"/>
    </row>
    <row r="320" spans="2:9">
      <c r="B320" s="1453"/>
      <c r="C320" s="1457" t="s">
        <v>405</v>
      </c>
      <c r="D320" s="741"/>
      <c r="E320" s="293"/>
      <c r="F320" s="293"/>
      <c r="H320" s="514"/>
      <c r="I320" s="396"/>
    </row>
    <row r="321" spans="2:9" ht="26.45">
      <c r="B321" s="2226">
        <v>9</v>
      </c>
      <c r="C321" s="2233" t="s">
        <v>288</v>
      </c>
      <c r="D321" s="743">
        <v>10414835</v>
      </c>
      <c r="E321" s="293"/>
      <c r="F321" s="293"/>
      <c r="H321" s="514"/>
      <c r="I321" s="396"/>
    </row>
    <row r="322" spans="2:9">
      <c r="B322" s="1453">
        <v>10</v>
      </c>
      <c r="C322" s="1458" t="s">
        <v>289</v>
      </c>
      <c r="D322" s="742">
        <v>2976413</v>
      </c>
      <c r="E322" s="293"/>
      <c r="F322" s="293"/>
      <c r="H322" s="514"/>
      <c r="I322" s="396"/>
    </row>
    <row r="323" spans="2:9">
      <c r="B323" s="1453">
        <v>11</v>
      </c>
      <c r="C323" s="2232" t="s">
        <v>290</v>
      </c>
      <c r="D323" s="742">
        <v>6156754</v>
      </c>
      <c r="E323" s="293"/>
      <c r="F323" s="293"/>
      <c r="H323" s="514"/>
      <c r="I323" s="396"/>
    </row>
    <row r="324" spans="2:9">
      <c r="B324" s="1453">
        <v>12</v>
      </c>
      <c r="C324" s="2232" t="s">
        <v>291</v>
      </c>
      <c r="D324" s="742">
        <v>1281668</v>
      </c>
      <c r="E324" s="293"/>
      <c r="F324" s="293"/>
      <c r="H324" s="514"/>
      <c r="I324" s="396"/>
    </row>
    <row r="325" spans="2:9" ht="26.45">
      <c r="B325" s="1453">
        <v>13</v>
      </c>
      <c r="C325" s="2232" t="s">
        <v>292</v>
      </c>
      <c r="D325" s="741"/>
      <c r="E325" s="293"/>
      <c r="F325" s="293"/>
      <c r="H325" s="514"/>
      <c r="I325" s="396"/>
    </row>
    <row r="326" spans="2:9">
      <c r="B326" s="1453">
        <v>14</v>
      </c>
      <c r="C326" s="2234" t="s">
        <v>293</v>
      </c>
      <c r="D326" s="741"/>
      <c r="E326" s="293"/>
      <c r="F326" s="293"/>
      <c r="H326" s="514"/>
      <c r="I326" s="396"/>
    </row>
    <row r="327" spans="2:9">
      <c r="B327" s="1453">
        <v>15</v>
      </c>
      <c r="C327" s="2234" t="s">
        <v>294</v>
      </c>
      <c r="D327" s="742">
        <v>2815926</v>
      </c>
      <c r="E327" s="293"/>
      <c r="F327" s="293"/>
      <c r="H327" s="514"/>
      <c r="I327" s="396"/>
    </row>
    <row r="328" spans="2:9">
      <c r="B328" s="1453">
        <v>16</v>
      </c>
      <c r="C328" s="2234" t="s">
        <v>295</v>
      </c>
      <c r="D328" s="742">
        <v>3286844</v>
      </c>
      <c r="E328" s="293"/>
      <c r="F328" s="293"/>
      <c r="H328" s="514"/>
      <c r="I328" s="396"/>
    </row>
    <row r="329" spans="2:9">
      <c r="B329" s="1453">
        <v>17</v>
      </c>
      <c r="C329" s="1457" t="s">
        <v>233</v>
      </c>
      <c r="D329" s="742">
        <v>736706</v>
      </c>
      <c r="E329" s="293"/>
      <c r="F329" s="293"/>
      <c r="H329" s="514"/>
      <c r="I329" s="396"/>
    </row>
    <row r="330" spans="2:9">
      <c r="B330" s="1453">
        <v>18</v>
      </c>
      <c r="C330" s="2232" t="s">
        <v>406</v>
      </c>
      <c r="D330" s="742">
        <v>666187</v>
      </c>
      <c r="E330" s="293"/>
      <c r="F330" s="293"/>
      <c r="H330" s="514"/>
      <c r="I330" s="396"/>
    </row>
    <row r="331" spans="2:9" ht="13.9" thickBot="1">
      <c r="B331" s="1453">
        <v>19</v>
      </c>
      <c r="C331" s="1457" t="s">
        <v>234</v>
      </c>
      <c r="D331" s="742">
        <v>384290</v>
      </c>
      <c r="E331" s="293"/>
      <c r="F331" s="293"/>
      <c r="H331" s="514"/>
      <c r="I331" s="396"/>
    </row>
    <row r="332" spans="2:9" ht="27" thickBot="1">
      <c r="B332" s="1406">
        <v>20</v>
      </c>
      <c r="C332" s="1441" t="s">
        <v>407</v>
      </c>
      <c r="D332" s="1464">
        <v>19312806</v>
      </c>
      <c r="E332" s="293"/>
      <c r="F332" s="293"/>
      <c r="H332" s="514"/>
      <c r="I332" s="396"/>
    </row>
    <row r="333" spans="2:9">
      <c r="B333" s="1394"/>
      <c r="C333" s="1416" t="s">
        <v>300</v>
      </c>
      <c r="D333" s="773"/>
      <c r="E333" s="293"/>
      <c r="F333" s="293"/>
      <c r="H333" s="514"/>
      <c r="I333" s="396"/>
    </row>
    <row r="334" spans="2:9">
      <c r="B334" s="1394"/>
      <c r="C334" s="1415" t="s">
        <v>301</v>
      </c>
      <c r="D334" s="749"/>
      <c r="E334" s="293"/>
      <c r="F334" s="293"/>
      <c r="H334" s="514"/>
      <c r="I334" s="396"/>
    </row>
    <row r="335" spans="2:9">
      <c r="B335" s="1394">
        <v>21</v>
      </c>
      <c r="C335" s="2192" t="s">
        <v>302</v>
      </c>
      <c r="D335" s="750">
        <v>8528968</v>
      </c>
      <c r="E335" s="293"/>
      <c r="F335" s="293"/>
      <c r="H335" s="514"/>
      <c r="I335" s="396"/>
    </row>
    <row r="336" spans="2:9">
      <c r="B336" s="1394">
        <v>22</v>
      </c>
      <c r="C336" s="1853" t="s">
        <v>303</v>
      </c>
      <c r="D336" s="750">
        <v>137732</v>
      </c>
      <c r="E336" s="293"/>
      <c r="F336" s="293"/>
      <c r="H336" s="514"/>
      <c r="I336" s="396"/>
    </row>
    <row r="337" spans="2:9">
      <c r="B337" s="1394">
        <v>23</v>
      </c>
      <c r="C337" s="1853" t="s">
        <v>304</v>
      </c>
      <c r="D337" s="750">
        <v>1807001</v>
      </c>
      <c r="E337" s="293"/>
      <c r="F337" s="293"/>
      <c r="H337" s="514"/>
      <c r="I337" s="396"/>
    </row>
    <row r="338" spans="2:9">
      <c r="B338" s="1394">
        <v>24</v>
      </c>
      <c r="C338" s="1853" t="s">
        <v>305</v>
      </c>
      <c r="D338" s="750">
        <v>641510</v>
      </c>
      <c r="E338" s="293"/>
      <c r="F338" s="293"/>
      <c r="H338" s="514"/>
      <c r="I338" s="396"/>
    </row>
    <row r="339" spans="2:9">
      <c r="B339" s="1394">
        <v>25</v>
      </c>
      <c r="C339" s="2192" t="s">
        <v>306</v>
      </c>
      <c r="D339" s="751"/>
      <c r="E339" s="293"/>
      <c r="F339" s="293"/>
      <c r="H339" s="514"/>
      <c r="I339" s="396"/>
    </row>
    <row r="340" spans="2:9" ht="13.9" thickBot="1">
      <c r="B340" s="1394">
        <v>26</v>
      </c>
      <c r="C340" s="2209" t="s">
        <v>307</v>
      </c>
      <c r="D340" s="752">
        <v>1320182</v>
      </c>
      <c r="E340" s="293"/>
      <c r="F340" s="293"/>
      <c r="H340" s="514"/>
      <c r="I340" s="396"/>
    </row>
    <row r="341" spans="2:9" ht="13.9" thickBot="1">
      <c r="B341" s="1397">
        <v>27</v>
      </c>
      <c r="C341" s="1414" t="s">
        <v>408</v>
      </c>
      <c r="D341" s="753">
        <v>12435393</v>
      </c>
      <c r="E341" s="293"/>
      <c r="F341" s="293"/>
      <c r="H341" s="514"/>
      <c r="I341" s="396"/>
    </row>
    <row r="342" spans="2:9">
      <c r="B342" s="1394"/>
      <c r="C342" s="1413" t="s">
        <v>409</v>
      </c>
      <c r="D342" s="749"/>
      <c r="E342" s="293"/>
      <c r="F342" s="293"/>
      <c r="H342" s="514"/>
      <c r="I342" s="396"/>
    </row>
    <row r="343" spans="2:9">
      <c r="B343" s="1394">
        <v>28</v>
      </c>
      <c r="C343" s="2192" t="s">
        <v>410</v>
      </c>
      <c r="D343" s="748">
        <v>3131949</v>
      </c>
      <c r="E343" s="293"/>
      <c r="F343" s="293"/>
      <c r="H343" s="514"/>
      <c r="I343" s="396"/>
    </row>
    <row r="344" spans="2:9">
      <c r="B344" s="1394">
        <v>29</v>
      </c>
      <c r="C344" s="2192" t="s">
        <v>311</v>
      </c>
      <c r="D344" s="748">
        <v>-21298</v>
      </c>
      <c r="E344" s="293"/>
      <c r="F344" s="293"/>
      <c r="H344" s="514"/>
      <c r="I344" s="396"/>
    </row>
    <row r="345" spans="2:9">
      <c r="B345" s="1394">
        <v>30</v>
      </c>
      <c r="C345" s="2215" t="s">
        <v>312</v>
      </c>
      <c r="D345" s="749"/>
      <c r="E345" s="293"/>
      <c r="F345" s="293"/>
      <c r="H345" s="514"/>
      <c r="I345" s="396"/>
    </row>
    <row r="346" spans="2:9" ht="13.9" thickBot="1">
      <c r="B346" s="1394">
        <v>31</v>
      </c>
      <c r="C346" s="2215" t="s">
        <v>314</v>
      </c>
      <c r="D346" s="755">
        <v>3766761</v>
      </c>
      <c r="E346" s="293"/>
      <c r="F346" s="293"/>
      <c r="H346" s="514"/>
      <c r="I346" s="396"/>
    </row>
    <row r="347" spans="2:9" ht="13.9" thickBot="1">
      <c r="B347" s="1397">
        <v>32</v>
      </c>
      <c r="C347" s="1400" t="s">
        <v>315</v>
      </c>
      <c r="D347" s="745">
        <v>6877412</v>
      </c>
      <c r="E347" s="293"/>
      <c r="F347" s="293"/>
      <c r="H347" s="514"/>
      <c r="I347" s="396"/>
    </row>
    <row r="348" spans="2:9" ht="27" thickBot="1">
      <c r="B348" s="1409">
        <v>33</v>
      </c>
      <c r="C348" s="1465" t="s">
        <v>322</v>
      </c>
      <c r="D348" s="1426">
        <v>19312805</v>
      </c>
      <c r="E348" s="293"/>
      <c r="F348" s="293"/>
      <c r="H348" s="514"/>
      <c r="I348" s="396"/>
    </row>
    <row r="349" spans="2:9">
      <c r="B349" s="196"/>
      <c r="C349" s="627"/>
      <c r="D349" s="383"/>
      <c r="E349" s="293"/>
      <c r="F349" s="293"/>
    </row>
    <row r="350" spans="2:9">
      <c r="B350" s="196"/>
      <c r="C350" s="627"/>
      <c r="D350" s="383"/>
      <c r="E350" s="293"/>
      <c r="F350" s="293"/>
      <c r="G350" s="292">
        <v>102</v>
      </c>
    </row>
    <row r="351" spans="2:9">
      <c r="B351" s="274"/>
      <c r="C351" s="391"/>
      <c r="D351" s="383"/>
      <c r="E351" s="293"/>
      <c r="F351" s="293"/>
    </row>
    <row r="352" spans="2:9" ht="14.45">
      <c r="B352" s="3340" t="s">
        <v>432</v>
      </c>
      <c r="C352" s="3341"/>
      <c r="D352" s="3341"/>
      <c r="E352" s="3341"/>
      <c r="F352" s="3341"/>
      <c r="G352" s="3341"/>
    </row>
    <row r="353" spans="2:7" ht="13.9" thickBot="1">
      <c r="B353" s="51" t="s">
        <v>431</v>
      </c>
      <c r="C353" s="51"/>
      <c r="D353" s="51"/>
      <c r="E353" s="51"/>
      <c r="F353" s="51"/>
      <c r="G353" s="51"/>
    </row>
    <row r="354" spans="2:7" ht="13.9" thickBot="1">
      <c r="B354" s="3344" t="s">
        <v>104</v>
      </c>
      <c r="C354" s="3345"/>
      <c r="D354" s="425"/>
      <c r="E354" s="396"/>
      <c r="F354" s="396"/>
    </row>
    <row r="355" spans="2:7">
      <c r="B355" s="3284" t="s">
        <v>396</v>
      </c>
      <c r="C355" s="3346"/>
      <c r="D355" s="3283" t="s">
        <v>414</v>
      </c>
      <c r="E355" s="274"/>
      <c r="F355" s="274"/>
    </row>
    <row r="356" spans="2:7">
      <c r="B356" s="3284"/>
      <c r="C356" s="3346"/>
      <c r="D356" s="3284"/>
      <c r="E356" s="443"/>
      <c r="F356" s="443"/>
    </row>
    <row r="357" spans="2:7">
      <c r="B357" s="3285"/>
      <c r="C357" s="3347"/>
      <c r="D357" s="3285"/>
      <c r="E357" s="443"/>
      <c r="F357" s="443"/>
    </row>
    <row r="358" spans="2:7" ht="13.9">
      <c r="B358" s="1394"/>
      <c r="C358" s="1401" t="s">
        <v>275</v>
      </c>
      <c r="D358" s="712"/>
      <c r="E358" s="293"/>
      <c r="F358" s="293"/>
    </row>
    <row r="359" spans="2:7">
      <c r="B359" s="1453">
        <v>1</v>
      </c>
      <c r="C359" s="1961" t="s">
        <v>276</v>
      </c>
      <c r="D359" s="741"/>
      <c r="E359" s="293"/>
      <c r="F359" s="293"/>
    </row>
    <row r="360" spans="2:7">
      <c r="B360" s="1453">
        <v>2</v>
      </c>
      <c r="C360" s="1961" t="s">
        <v>277</v>
      </c>
      <c r="D360" s="742">
        <v>5341</v>
      </c>
      <c r="E360" s="293"/>
      <c r="F360" s="293"/>
    </row>
    <row r="361" spans="2:7">
      <c r="B361" s="1453">
        <v>3</v>
      </c>
      <c r="C361" s="1961" t="s">
        <v>278</v>
      </c>
      <c r="D361" s="741"/>
      <c r="E361" s="293"/>
      <c r="F361" s="293"/>
    </row>
    <row r="362" spans="2:7">
      <c r="B362" s="1453">
        <v>4</v>
      </c>
      <c r="C362" s="2224" t="s">
        <v>429</v>
      </c>
      <c r="D362" s="742">
        <v>32812</v>
      </c>
      <c r="E362" s="293"/>
      <c r="F362" s="293"/>
    </row>
    <row r="363" spans="2:7">
      <c r="B363" s="1453">
        <v>5</v>
      </c>
      <c r="C363" s="1961" t="s">
        <v>280</v>
      </c>
      <c r="D363" s="742">
        <v>141494</v>
      </c>
      <c r="E363" s="293"/>
      <c r="F363" s="293"/>
    </row>
    <row r="364" spans="2:7">
      <c r="B364" s="1453">
        <v>6</v>
      </c>
      <c r="C364" s="1961" t="s">
        <v>281</v>
      </c>
      <c r="D364" s="741"/>
      <c r="E364" s="293"/>
      <c r="F364" s="293"/>
    </row>
    <row r="365" spans="2:7">
      <c r="B365" s="1453">
        <v>7</v>
      </c>
      <c r="C365" s="1961" t="s">
        <v>282</v>
      </c>
      <c r="D365" s="741"/>
      <c r="E365" s="293"/>
      <c r="F365" s="293"/>
    </row>
    <row r="366" spans="2:7">
      <c r="B366" s="1453"/>
      <c r="C366" s="2192" t="s">
        <v>416</v>
      </c>
      <c r="D366" s="741"/>
      <c r="E366" s="293"/>
      <c r="F366" s="293"/>
    </row>
    <row r="367" spans="2:7">
      <c r="B367" s="1453"/>
      <c r="C367" s="2192" t="s">
        <v>417</v>
      </c>
      <c r="D367" s="741"/>
      <c r="E367" s="293"/>
      <c r="F367" s="293"/>
    </row>
    <row r="368" spans="2:7">
      <c r="B368" s="1453">
        <v>8</v>
      </c>
      <c r="C368" s="1961" t="s">
        <v>285</v>
      </c>
      <c r="D368" s="741"/>
      <c r="E368" s="293"/>
      <c r="F368" s="293"/>
    </row>
    <row r="369" spans="2:6">
      <c r="B369" s="1453"/>
      <c r="C369" s="2192" t="s">
        <v>418</v>
      </c>
      <c r="D369" s="741"/>
      <c r="E369" s="293"/>
      <c r="F369" s="293"/>
    </row>
    <row r="370" spans="2:6">
      <c r="B370" s="1453"/>
      <c r="C370" s="2192" t="s">
        <v>419</v>
      </c>
      <c r="D370" s="741"/>
      <c r="E370" s="293"/>
      <c r="F370" s="293"/>
    </row>
    <row r="371" spans="2:6" ht="26.45">
      <c r="B371" s="2226">
        <v>9</v>
      </c>
      <c r="C371" s="2196" t="s">
        <v>288</v>
      </c>
      <c r="D371" s="743">
        <v>4426983</v>
      </c>
      <c r="E371" s="293"/>
      <c r="F371" s="293"/>
    </row>
    <row r="372" spans="2:6">
      <c r="B372" s="1453">
        <v>10</v>
      </c>
      <c r="C372" s="2192" t="s">
        <v>289</v>
      </c>
      <c r="D372" s="741"/>
      <c r="E372" s="293"/>
      <c r="F372" s="293"/>
    </row>
    <row r="373" spans="2:6">
      <c r="B373" s="1453">
        <v>11</v>
      </c>
      <c r="C373" s="2192" t="s">
        <v>290</v>
      </c>
      <c r="D373" s="730">
        <v>3292568</v>
      </c>
      <c r="E373" s="293"/>
      <c r="F373" s="293"/>
    </row>
    <row r="374" spans="2:6">
      <c r="B374" s="1453">
        <v>12</v>
      </c>
      <c r="C374" s="2192" t="s">
        <v>291</v>
      </c>
      <c r="D374" s="730">
        <v>937585</v>
      </c>
      <c r="E374" s="293"/>
      <c r="F374" s="293"/>
    </row>
    <row r="375" spans="2:6" ht="26.45">
      <c r="B375" s="1453">
        <v>13</v>
      </c>
      <c r="C375" s="2192" t="s">
        <v>292</v>
      </c>
      <c r="D375" s="730">
        <v>196830</v>
      </c>
      <c r="E375" s="293"/>
      <c r="F375" s="293"/>
    </row>
    <row r="376" spans="2:6">
      <c r="B376" s="1453">
        <v>14</v>
      </c>
      <c r="C376" s="1853" t="s">
        <v>293</v>
      </c>
      <c r="D376" s="756"/>
      <c r="E376" s="293"/>
      <c r="F376" s="293"/>
    </row>
    <row r="377" spans="2:6">
      <c r="B377" s="1453">
        <v>15</v>
      </c>
      <c r="C377" s="1853" t="s">
        <v>294</v>
      </c>
      <c r="D377" s="730">
        <v>755197</v>
      </c>
      <c r="E377" s="293"/>
      <c r="F377" s="293"/>
    </row>
    <row r="378" spans="2:6">
      <c r="B378" s="1453">
        <v>16</v>
      </c>
      <c r="C378" s="1853" t="s">
        <v>295</v>
      </c>
      <c r="D378" s="730">
        <v>1240175</v>
      </c>
      <c r="E378" s="293"/>
      <c r="F378" s="293"/>
    </row>
    <row r="379" spans="2:6">
      <c r="B379" s="1453">
        <v>17</v>
      </c>
      <c r="C379" s="1853" t="s">
        <v>296</v>
      </c>
      <c r="D379" s="730">
        <v>272255</v>
      </c>
      <c r="E379" s="293"/>
      <c r="F379" s="293"/>
    </row>
    <row r="380" spans="2:6">
      <c r="B380" s="1453">
        <v>18</v>
      </c>
      <c r="C380" s="1853" t="s">
        <v>297</v>
      </c>
      <c r="D380" s="730">
        <v>157710</v>
      </c>
      <c r="E380" s="293"/>
      <c r="F380" s="293"/>
    </row>
    <row r="381" spans="2:6" ht="13.9" thickBot="1">
      <c r="B381" s="1453">
        <v>19</v>
      </c>
      <c r="C381" s="2209" t="s">
        <v>298</v>
      </c>
      <c r="D381" s="739">
        <v>536814</v>
      </c>
      <c r="E381" s="293"/>
      <c r="F381" s="293"/>
    </row>
    <row r="382" spans="2:6" ht="27" thickBot="1">
      <c r="B382" s="1406">
        <v>20</v>
      </c>
      <c r="C382" s="1444" t="s">
        <v>299</v>
      </c>
      <c r="D382" s="1434">
        <v>7568781</v>
      </c>
      <c r="E382" s="293"/>
      <c r="F382" s="293"/>
    </row>
    <row r="383" spans="2:6">
      <c r="B383" s="1394"/>
      <c r="C383" s="2217" t="s">
        <v>300</v>
      </c>
      <c r="D383" s="741"/>
      <c r="E383" s="293"/>
      <c r="F383" s="293"/>
    </row>
    <row r="384" spans="2:6">
      <c r="B384" s="1394"/>
      <c r="C384" s="2217" t="s">
        <v>301</v>
      </c>
      <c r="D384" s="741"/>
      <c r="E384" s="293"/>
      <c r="F384" s="293"/>
    </row>
    <row r="385" spans="2:7">
      <c r="B385" s="1394">
        <v>21</v>
      </c>
      <c r="C385" s="1853" t="s">
        <v>302</v>
      </c>
      <c r="D385" s="730">
        <v>3735922</v>
      </c>
      <c r="E385" s="293"/>
      <c r="F385" s="293"/>
    </row>
    <row r="386" spans="2:7">
      <c r="B386" s="1394">
        <v>22</v>
      </c>
      <c r="C386" s="1853" t="s">
        <v>303</v>
      </c>
      <c r="D386" s="730">
        <v>101839</v>
      </c>
      <c r="E386" s="293"/>
      <c r="F386" s="293"/>
    </row>
    <row r="387" spans="2:7">
      <c r="B387" s="1394">
        <v>23</v>
      </c>
      <c r="C387" s="1853" t="s">
        <v>304</v>
      </c>
      <c r="D387" s="730">
        <v>632458</v>
      </c>
      <c r="E387" s="293"/>
      <c r="F387" s="293"/>
    </row>
    <row r="388" spans="2:7">
      <c r="B388" s="1394">
        <v>24</v>
      </c>
      <c r="C388" s="1853" t="s">
        <v>305</v>
      </c>
      <c r="D388" s="756"/>
      <c r="E388" s="293"/>
      <c r="F388" s="293"/>
    </row>
    <row r="389" spans="2:7">
      <c r="B389" s="1394">
        <v>25</v>
      </c>
      <c r="C389" s="2192" t="s">
        <v>306</v>
      </c>
      <c r="D389" s="756"/>
      <c r="E389" s="293"/>
      <c r="F389" s="293"/>
    </row>
    <row r="390" spans="2:7" ht="13.9" thickBot="1">
      <c r="B390" s="1394">
        <v>26</v>
      </c>
      <c r="C390" s="2209" t="s">
        <v>307</v>
      </c>
      <c r="D390" s="739">
        <v>857939</v>
      </c>
      <c r="E390" s="293"/>
      <c r="F390" s="293"/>
    </row>
    <row r="391" spans="2:7" ht="13.9" thickBot="1">
      <c r="B391" s="1397">
        <v>27</v>
      </c>
      <c r="C391" s="1418" t="s">
        <v>308</v>
      </c>
      <c r="D391" s="737">
        <v>5328158</v>
      </c>
      <c r="E391" s="293"/>
      <c r="F391" s="293"/>
    </row>
    <row r="392" spans="2:7">
      <c r="B392" s="1394"/>
      <c r="C392" s="1416" t="s">
        <v>309</v>
      </c>
      <c r="D392" s="741"/>
      <c r="E392" s="293"/>
      <c r="F392" s="293"/>
    </row>
    <row r="393" spans="2:7">
      <c r="B393" s="1394">
        <v>28</v>
      </c>
      <c r="C393" s="1961" t="s">
        <v>310</v>
      </c>
      <c r="D393" s="730">
        <v>1150000</v>
      </c>
      <c r="E393" s="293"/>
      <c r="F393" s="293"/>
    </row>
    <row r="394" spans="2:7">
      <c r="B394" s="1394">
        <v>29</v>
      </c>
      <c r="C394" s="1961" t="s">
        <v>311</v>
      </c>
      <c r="D394" s="730">
        <v>-5244</v>
      </c>
      <c r="E394" s="293"/>
      <c r="F394" s="293"/>
    </row>
    <row r="395" spans="2:7">
      <c r="B395" s="1394">
        <v>30</v>
      </c>
      <c r="C395" s="2215" t="s">
        <v>312</v>
      </c>
      <c r="D395" s="756"/>
      <c r="E395" s="293"/>
      <c r="F395" s="293"/>
    </row>
    <row r="396" spans="2:7" ht="13.9" thickBot="1">
      <c r="B396" s="1394">
        <v>31</v>
      </c>
      <c r="C396" s="2215" t="s">
        <v>314</v>
      </c>
      <c r="D396" s="739">
        <v>1095867</v>
      </c>
      <c r="E396" s="293"/>
      <c r="F396" s="293"/>
    </row>
    <row r="397" spans="2:7" ht="13.9" thickBot="1">
      <c r="B397" s="1397">
        <v>32</v>
      </c>
      <c r="C397" s="1418" t="s">
        <v>315</v>
      </c>
      <c r="D397" s="737">
        <f>SUM(D393:D396)</f>
        <v>2240623</v>
      </c>
      <c r="E397" s="293"/>
      <c r="F397" s="293"/>
    </row>
    <row r="398" spans="2:7" ht="27" thickBot="1">
      <c r="B398" s="1409">
        <v>33</v>
      </c>
      <c r="C398" s="1444" t="s">
        <v>317</v>
      </c>
      <c r="D398" s="1435">
        <v>7568781</v>
      </c>
      <c r="E398" s="293"/>
      <c r="F398" s="293"/>
    </row>
    <row r="399" spans="2:7">
      <c r="B399" s="274"/>
      <c r="C399" s="391"/>
      <c r="D399" s="383"/>
      <c r="E399" s="293"/>
      <c r="F399" s="293"/>
    </row>
    <row r="400" spans="2:7">
      <c r="B400" s="274"/>
      <c r="C400" s="391"/>
      <c r="D400" s="383"/>
      <c r="E400" s="293"/>
      <c r="F400" s="293"/>
      <c r="G400" s="292">
        <v>103</v>
      </c>
    </row>
    <row r="401" spans="2:7">
      <c r="B401" s="274"/>
      <c r="C401" s="391"/>
      <c r="D401" s="383"/>
      <c r="E401" s="293"/>
      <c r="F401" s="293"/>
    </row>
    <row r="402" spans="2:7" ht="14.45">
      <c r="B402" s="3340" t="s">
        <v>432</v>
      </c>
      <c r="C402" s="3341"/>
      <c r="D402" s="3341"/>
      <c r="E402" s="3341"/>
      <c r="F402" s="3341"/>
      <c r="G402" s="3341"/>
    </row>
    <row r="403" spans="2:7" ht="13.9" thickBot="1">
      <c r="B403" s="51" t="s">
        <v>431</v>
      </c>
      <c r="C403" s="51"/>
      <c r="D403" s="51"/>
      <c r="E403" s="51"/>
      <c r="F403" s="51"/>
      <c r="G403" s="51"/>
    </row>
    <row r="404" spans="2:7" ht="13.9" thickBot="1">
      <c r="B404" s="3344" t="s">
        <v>108</v>
      </c>
      <c r="C404" s="3345"/>
      <c r="D404" s="425"/>
      <c r="E404" s="396"/>
      <c r="F404" s="396"/>
    </row>
    <row r="405" spans="2:7">
      <c r="B405" s="3283" t="s">
        <v>396</v>
      </c>
      <c r="C405" s="3349"/>
      <c r="D405" s="3283" t="s">
        <v>414</v>
      </c>
      <c r="E405" s="274"/>
      <c r="F405" s="274"/>
    </row>
    <row r="406" spans="2:7">
      <c r="B406" s="3284"/>
      <c r="C406" s="3342"/>
      <c r="D406" s="3284"/>
      <c r="E406" s="443"/>
      <c r="F406" s="443"/>
    </row>
    <row r="407" spans="2:7">
      <c r="B407" s="3285"/>
      <c r="C407" s="3343"/>
      <c r="D407" s="3285"/>
      <c r="E407" s="443"/>
      <c r="F407" s="443"/>
    </row>
    <row r="408" spans="2:7" ht="13.9">
      <c r="B408" s="1394"/>
      <c r="C408" s="1401" t="s">
        <v>275</v>
      </c>
      <c r="D408" s="2239"/>
      <c r="E408" s="293"/>
      <c r="F408" s="293"/>
    </row>
    <row r="409" spans="2:7">
      <c r="B409" s="1453">
        <v>1</v>
      </c>
      <c r="C409" s="1961" t="s">
        <v>276</v>
      </c>
      <c r="D409" s="741"/>
      <c r="E409" s="293"/>
      <c r="F409" s="293"/>
    </row>
    <row r="410" spans="2:7">
      <c r="B410" s="1453">
        <v>2</v>
      </c>
      <c r="C410" s="1961" t="s">
        <v>277</v>
      </c>
      <c r="D410" s="742">
        <v>18252</v>
      </c>
      <c r="E410" s="293"/>
      <c r="F410" s="293"/>
    </row>
    <row r="411" spans="2:7">
      <c r="B411" s="1453">
        <v>3</v>
      </c>
      <c r="C411" s="1961" t="s">
        <v>278</v>
      </c>
      <c r="D411" s="741"/>
      <c r="E411" s="293"/>
      <c r="F411" s="293"/>
    </row>
    <row r="412" spans="2:7">
      <c r="B412" s="1453">
        <v>4</v>
      </c>
      <c r="C412" s="2224" t="s">
        <v>429</v>
      </c>
      <c r="D412" s="742">
        <v>257952</v>
      </c>
      <c r="E412" s="293"/>
      <c r="F412" s="293"/>
    </row>
    <row r="413" spans="2:7">
      <c r="B413" s="1453">
        <v>5</v>
      </c>
      <c r="C413" s="1961" t="s">
        <v>280</v>
      </c>
      <c r="D413" s="742">
        <v>95118</v>
      </c>
      <c r="E413" s="293"/>
      <c r="F413" s="293"/>
    </row>
    <row r="414" spans="2:7">
      <c r="B414" s="1453">
        <v>6</v>
      </c>
      <c r="C414" s="1961" t="s">
        <v>281</v>
      </c>
      <c r="D414" s="741"/>
      <c r="E414" s="293"/>
      <c r="F414" s="293"/>
    </row>
    <row r="415" spans="2:7">
      <c r="B415" s="1453">
        <v>7</v>
      </c>
      <c r="C415" s="1961" t="s">
        <v>282</v>
      </c>
      <c r="D415" s="741"/>
      <c r="E415" s="293"/>
      <c r="F415" s="293"/>
    </row>
    <row r="416" spans="2:7">
      <c r="B416" s="1453"/>
      <c r="C416" s="2192" t="s">
        <v>416</v>
      </c>
      <c r="D416" s="741"/>
      <c r="E416" s="293"/>
      <c r="F416" s="293"/>
    </row>
    <row r="417" spans="2:6">
      <c r="B417" s="1453"/>
      <c r="C417" s="2192" t="s">
        <v>417</v>
      </c>
      <c r="D417" s="741"/>
      <c r="E417" s="293"/>
      <c r="F417" s="293"/>
    </row>
    <row r="418" spans="2:6">
      <c r="B418" s="1453">
        <v>8</v>
      </c>
      <c r="C418" s="1961" t="s">
        <v>285</v>
      </c>
      <c r="D418" s="741"/>
      <c r="E418" s="293"/>
      <c r="F418" s="293"/>
    </row>
    <row r="419" spans="2:6">
      <c r="B419" s="1453"/>
      <c r="C419" s="2192" t="s">
        <v>418</v>
      </c>
      <c r="D419" s="741"/>
      <c r="E419" s="293"/>
      <c r="F419" s="293"/>
    </row>
    <row r="420" spans="2:6">
      <c r="B420" s="1453"/>
      <c r="C420" s="2192" t="s">
        <v>419</v>
      </c>
      <c r="D420" s="741">
        <v>67581</v>
      </c>
      <c r="E420" s="293"/>
      <c r="F420" s="293"/>
    </row>
    <row r="421" spans="2:6" ht="26.45">
      <c r="B421" s="2226">
        <v>9</v>
      </c>
      <c r="C421" s="2196" t="s">
        <v>288</v>
      </c>
      <c r="D421" s="743">
        <v>8443284</v>
      </c>
      <c r="E421" s="293"/>
      <c r="F421" s="293"/>
    </row>
    <row r="422" spans="2:6">
      <c r="B422" s="1453">
        <v>10</v>
      </c>
      <c r="C422" s="2192" t="s">
        <v>289</v>
      </c>
      <c r="D422" s="741"/>
      <c r="E422" s="293"/>
      <c r="F422" s="293"/>
    </row>
    <row r="423" spans="2:6">
      <c r="B423" s="1453">
        <v>11</v>
      </c>
      <c r="C423" s="2192" t="s">
        <v>290</v>
      </c>
      <c r="D423" s="742">
        <v>3773955</v>
      </c>
      <c r="E423" s="293"/>
      <c r="F423" s="293"/>
    </row>
    <row r="424" spans="2:6">
      <c r="B424" s="1453">
        <v>12</v>
      </c>
      <c r="C424" s="2192" t="s">
        <v>291</v>
      </c>
      <c r="D424" s="742">
        <v>2783096</v>
      </c>
      <c r="E424" s="293"/>
      <c r="F424" s="293"/>
    </row>
    <row r="425" spans="2:6" ht="26.45">
      <c r="B425" s="1453">
        <v>13</v>
      </c>
      <c r="C425" s="2192" t="s">
        <v>292</v>
      </c>
      <c r="D425" s="742">
        <v>1886233</v>
      </c>
      <c r="E425" s="293"/>
      <c r="F425" s="293"/>
    </row>
    <row r="426" spans="2:6">
      <c r="B426" s="1453">
        <v>14</v>
      </c>
      <c r="C426" s="1853" t="s">
        <v>293</v>
      </c>
      <c r="D426" s="741"/>
      <c r="E426" s="293"/>
      <c r="F426" s="293"/>
    </row>
    <row r="427" spans="2:6">
      <c r="B427" s="1453">
        <v>15</v>
      </c>
      <c r="C427" s="1853" t="s">
        <v>294</v>
      </c>
      <c r="D427" s="742">
        <v>1083078</v>
      </c>
      <c r="E427" s="293"/>
      <c r="F427" s="293"/>
    </row>
    <row r="428" spans="2:6">
      <c r="B428" s="1453">
        <v>16</v>
      </c>
      <c r="C428" s="1853" t="s">
        <v>295</v>
      </c>
      <c r="D428" s="742">
        <v>1331479</v>
      </c>
      <c r="E428" s="293"/>
      <c r="F428" s="293"/>
    </row>
    <row r="429" spans="2:6">
      <c r="B429" s="1453">
        <v>17</v>
      </c>
      <c r="C429" s="1853" t="s">
        <v>296</v>
      </c>
      <c r="D429" s="742">
        <v>198234</v>
      </c>
      <c r="E429" s="293"/>
      <c r="F429" s="293"/>
    </row>
    <row r="430" spans="2:6">
      <c r="B430" s="1453">
        <v>18</v>
      </c>
      <c r="C430" s="1853" t="s">
        <v>297</v>
      </c>
      <c r="D430" s="742">
        <v>169674</v>
      </c>
      <c r="E430" s="293"/>
      <c r="F430" s="293"/>
    </row>
    <row r="431" spans="2:6" ht="13.9" thickBot="1">
      <c r="B431" s="1453">
        <v>19</v>
      </c>
      <c r="C431" s="2209" t="s">
        <v>298</v>
      </c>
      <c r="D431" s="744">
        <v>335990</v>
      </c>
      <c r="E431" s="293"/>
      <c r="F431" s="293"/>
    </row>
    <row r="432" spans="2:6" ht="27" thickBot="1">
      <c r="B432" s="1406">
        <v>20</v>
      </c>
      <c r="C432" s="1444" t="s">
        <v>299</v>
      </c>
      <c r="D432" s="1426">
        <v>12000641</v>
      </c>
      <c r="E432" s="293"/>
      <c r="F432" s="293"/>
    </row>
    <row r="433" spans="2:6">
      <c r="B433" s="1394"/>
      <c r="C433" s="2217" t="s">
        <v>300</v>
      </c>
      <c r="D433" s="741"/>
      <c r="E433" s="293"/>
      <c r="F433" s="293"/>
    </row>
    <row r="434" spans="2:6">
      <c r="B434" s="1394"/>
      <c r="C434" s="2217" t="s">
        <v>301</v>
      </c>
      <c r="D434" s="741"/>
      <c r="E434" s="293"/>
      <c r="F434" s="293"/>
    </row>
    <row r="435" spans="2:6">
      <c r="B435" s="1394">
        <v>21</v>
      </c>
      <c r="C435" s="1853" t="s">
        <v>302</v>
      </c>
      <c r="D435" s="742">
        <v>6149464</v>
      </c>
      <c r="E435" s="293"/>
      <c r="F435" s="293"/>
    </row>
    <row r="436" spans="2:6">
      <c r="B436" s="1394">
        <v>22</v>
      </c>
      <c r="C436" s="1853" t="s">
        <v>303</v>
      </c>
      <c r="D436" s="742">
        <v>45883</v>
      </c>
      <c r="E436" s="293"/>
      <c r="F436" s="293"/>
    </row>
    <row r="437" spans="2:6">
      <c r="B437" s="1394">
        <v>23</v>
      </c>
      <c r="C437" s="1853" t="s">
        <v>304</v>
      </c>
      <c r="D437" s="742">
        <v>501689</v>
      </c>
      <c r="E437" s="293"/>
      <c r="F437" s="293"/>
    </row>
    <row r="438" spans="2:6">
      <c r="B438" s="1394">
        <v>24</v>
      </c>
      <c r="C438" s="1853" t="s">
        <v>305</v>
      </c>
      <c r="D438" s="742">
        <v>100931</v>
      </c>
      <c r="E438" s="293"/>
      <c r="F438" s="293"/>
    </row>
    <row r="439" spans="2:6">
      <c r="B439" s="1394">
        <v>25</v>
      </c>
      <c r="C439" s="2192" t="s">
        <v>306</v>
      </c>
      <c r="D439" s="741">
        <v>78201</v>
      </c>
      <c r="E439" s="293"/>
      <c r="F439" s="293"/>
    </row>
    <row r="440" spans="2:6" ht="13.9" thickBot="1">
      <c r="B440" s="1394">
        <v>26</v>
      </c>
      <c r="C440" s="2209" t="s">
        <v>307</v>
      </c>
      <c r="D440" s="744">
        <v>1120454</v>
      </c>
      <c r="E440" s="293"/>
      <c r="F440" s="293"/>
    </row>
    <row r="441" spans="2:6" ht="13.9" thickBot="1">
      <c r="B441" s="1397">
        <v>27</v>
      </c>
      <c r="C441" s="1418" t="s">
        <v>308</v>
      </c>
      <c r="D441" s="745">
        <v>7996622</v>
      </c>
      <c r="E441" s="293"/>
      <c r="F441" s="293"/>
    </row>
    <row r="442" spans="2:6">
      <c r="B442" s="1394"/>
      <c r="C442" s="1416" t="s">
        <v>309</v>
      </c>
      <c r="D442" s="741"/>
      <c r="E442" s="293"/>
      <c r="F442" s="293"/>
    </row>
    <row r="443" spans="2:6">
      <c r="B443" s="1394">
        <v>28</v>
      </c>
      <c r="C443" s="1961" t="s">
        <v>310</v>
      </c>
      <c r="D443" s="2240">
        <v>800000</v>
      </c>
      <c r="E443" s="527"/>
      <c r="F443" s="527"/>
    </row>
    <row r="444" spans="2:6">
      <c r="B444" s="1394">
        <v>29</v>
      </c>
      <c r="C444" s="1961" t="s">
        <v>311</v>
      </c>
      <c r="D444" s="2241">
        <v>-186769</v>
      </c>
      <c r="E444" s="293"/>
      <c r="F444" s="293"/>
    </row>
    <row r="445" spans="2:6">
      <c r="B445" s="1394">
        <v>30</v>
      </c>
      <c r="C445" s="2215" t="s">
        <v>312</v>
      </c>
      <c r="D445" s="741">
        <v>0</v>
      </c>
      <c r="E445" s="293"/>
      <c r="F445" s="293"/>
    </row>
    <row r="446" spans="2:6" ht="13.9" thickBot="1">
      <c r="B446" s="1394">
        <v>31</v>
      </c>
      <c r="C446" s="2215" t="s">
        <v>314</v>
      </c>
      <c r="D446" s="744">
        <v>3390787</v>
      </c>
      <c r="E446" s="293"/>
      <c r="F446" s="293"/>
    </row>
    <row r="447" spans="2:6" ht="13.9" thickBot="1">
      <c r="B447" s="1397">
        <v>32</v>
      </c>
      <c r="C447" s="1418" t="s">
        <v>315</v>
      </c>
      <c r="D447" s="745">
        <v>4004018</v>
      </c>
      <c r="E447" s="293"/>
      <c r="F447" s="293"/>
    </row>
    <row r="448" spans="2:6" ht="27" thickBot="1">
      <c r="B448" s="1409">
        <v>33</v>
      </c>
      <c r="C448" s="1444" t="s">
        <v>317</v>
      </c>
      <c r="D448" s="1431">
        <v>12000641</v>
      </c>
      <c r="E448" s="293"/>
      <c r="F448" s="293"/>
    </row>
    <row r="449" spans="2:7">
      <c r="B449" s="274"/>
      <c r="C449" s="391"/>
      <c r="D449" s="383"/>
      <c r="E449" s="293"/>
      <c r="F449" s="293"/>
    </row>
    <row r="450" spans="2:7">
      <c r="B450" s="274"/>
      <c r="C450" s="391"/>
      <c r="D450" s="383"/>
      <c r="E450" s="293"/>
      <c r="F450" s="293"/>
      <c r="G450" s="292">
        <v>104</v>
      </c>
    </row>
    <row r="451" spans="2:7">
      <c r="B451" s="274"/>
      <c r="C451" s="391"/>
      <c r="D451" s="383"/>
      <c r="E451" s="293"/>
      <c r="F451" s="293"/>
    </row>
    <row r="452" spans="2:7" ht="14.45">
      <c r="B452" s="3340" t="s">
        <v>430</v>
      </c>
      <c r="C452" s="3341"/>
      <c r="D452" s="3341"/>
      <c r="E452" s="3341"/>
      <c r="F452" s="3341"/>
      <c r="G452" s="3341"/>
    </row>
    <row r="453" spans="2:7" ht="13.9" thickBot="1">
      <c r="B453" s="51" t="s">
        <v>431</v>
      </c>
      <c r="C453" s="51"/>
      <c r="D453" s="51"/>
      <c r="E453" s="51"/>
      <c r="F453" s="51"/>
      <c r="G453" s="51"/>
    </row>
    <row r="454" spans="2:7" ht="13.9" thickBot="1">
      <c r="B454" s="3344" t="s">
        <v>109</v>
      </c>
      <c r="C454" s="3345"/>
      <c r="D454" s="425"/>
      <c r="E454" s="396"/>
      <c r="F454" s="396"/>
    </row>
    <row r="455" spans="2:7">
      <c r="B455" s="3284" t="s">
        <v>396</v>
      </c>
      <c r="C455" s="3346"/>
      <c r="D455" s="3283" t="s">
        <v>414</v>
      </c>
      <c r="E455" s="274"/>
      <c r="F455" s="274"/>
    </row>
    <row r="456" spans="2:7">
      <c r="B456" s="3284"/>
      <c r="C456" s="3346"/>
      <c r="D456" s="3284"/>
      <c r="E456" s="443"/>
      <c r="F456" s="443"/>
    </row>
    <row r="457" spans="2:7">
      <c r="B457" s="3285"/>
      <c r="C457" s="3347"/>
      <c r="D457" s="3285"/>
      <c r="E457" s="443"/>
      <c r="F457" s="443"/>
    </row>
    <row r="458" spans="2:7" ht="13.9">
      <c r="B458" s="1394"/>
      <c r="C458" s="1401" t="s">
        <v>275</v>
      </c>
      <c r="D458" s="712"/>
      <c r="E458" s="293"/>
      <c r="F458" s="293"/>
    </row>
    <row r="459" spans="2:7">
      <c r="B459" s="1453">
        <v>1</v>
      </c>
      <c r="C459" s="1961" t="s">
        <v>276</v>
      </c>
      <c r="D459" s="741"/>
      <c r="E459" s="293"/>
      <c r="F459" s="293"/>
    </row>
    <row r="460" spans="2:7">
      <c r="B460" s="1453">
        <v>2</v>
      </c>
      <c r="C460" s="1961" t="s">
        <v>277</v>
      </c>
      <c r="D460" s="730"/>
      <c r="E460" s="293"/>
      <c r="F460" s="293"/>
    </row>
    <row r="461" spans="2:7">
      <c r="B461" s="1453">
        <v>3</v>
      </c>
      <c r="C461" s="1961" t="s">
        <v>278</v>
      </c>
      <c r="D461" s="756"/>
      <c r="E461" s="293"/>
      <c r="F461" s="293"/>
    </row>
    <row r="462" spans="2:7">
      <c r="B462" s="1453">
        <v>4</v>
      </c>
      <c r="C462" s="2224" t="s">
        <v>429</v>
      </c>
      <c r="D462" s="756"/>
      <c r="E462" s="293"/>
      <c r="F462" s="293"/>
    </row>
    <row r="463" spans="2:7">
      <c r="B463" s="1453">
        <v>5</v>
      </c>
      <c r="C463" s="1961" t="s">
        <v>280</v>
      </c>
      <c r="D463" s="730">
        <v>29754</v>
      </c>
      <c r="E463" s="293"/>
      <c r="F463" s="293"/>
    </row>
    <row r="464" spans="2:7">
      <c r="B464" s="1453">
        <v>6</v>
      </c>
      <c r="C464" s="1961" t="s">
        <v>281</v>
      </c>
      <c r="D464" s="741"/>
      <c r="E464" s="293"/>
      <c r="F464" s="293"/>
    </row>
    <row r="465" spans="2:6">
      <c r="B465" s="1453">
        <v>7</v>
      </c>
      <c r="C465" s="1961" t="s">
        <v>282</v>
      </c>
      <c r="D465" s="741"/>
      <c r="E465" s="293"/>
      <c r="F465" s="293"/>
    </row>
    <row r="466" spans="2:6">
      <c r="B466" s="1453"/>
      <c r="C466" s="2192" t="s">
        <v>416</v>
      </c>
      <c r="D466" s="741"/>
      <c r="E466" s="293"/>
      <c r="F466" s="293"/>
    </row>
    <row r="467" spans="2:6">
      <c r="B467" s="1453"/>
      <c r="C467" s="2192" t="s">
        <v>417</v>
      </c>
      <c r="D467" s="741"/>
      <c r="E467" s="293"/>
      <c r="F467" s="293"/>
    </row>
    <row r="468" spans="2:6">
      <c r="B468" s="1453">
        <v>8</v>
      </c>
      <c r="C468" s="1961" t="s">
        <v>285</v>
      </c>
      <c r="D468" s="741"/>
      <c r="E468" s="293"/>
      <c r="F468" s="293"/>
    </row>
    <row r="469" spans="2:6">
      <c r="B469" s="1453"/>
      <c r="C469" s="2192" t="s">
        <v>418</v>
      </c>
      <c r="D469" s="741"/>
      <c r="E469" s="293"/>
      <c r="F469" s="293"/>
    </row>
    <row r="470" spans="2:6">
      <c r="B470" s="1453"/>
      <c r="C470" s="2192" t="s">
        <v>419</v>
      </c>
      <c r="D470" s="741"/>
      <c r="E470" s="293"/>
      <c r="F470" s="293"/>
    </row>
    <row r="471" spans="2:6" ht="26.45">
      <c r="B471" s="2226">
        <v>9</v>
      </c>
      <c r="C471" s="2196" t="s">
        <v>288</v>
      </c>
      <c r="D471" s="743">
        <v>1051277</v>
      </c>
      <c r="E471" s="293"/>
      <c r="F471" s="293"/>
    </row>
    <row r="472" spans="2:6">
      <c r="B472" s="1453">
        <v>10</v>
      </c>
      <c r="C472" s="2192" t="s">
        <v>289</v>
      </c>
      <c r="D472" s="741"/>
      <c r="E472" s="293"/>
      <c r="F472" s="293"/>
    </row>
    <row r="473" spans="2:6">
      <c r="B473" s="1453">
        <v>11</v>
      </c>
      <c r="C473" s="2192" t="s">
        <v>290</v>
      </c>
      <c r="D473" s="730">
        <v>350434</v>
      </c>
      <c r="E473" s="293"/>
      <c r="F473" s="293"/>
    </row>
    <row r="474" spans="2:6">
      <c r="B474" s="1453">
        <v>12</v>
      </c>
      <c r="C474" s="2192" t="s">
        <v>291</v>
      </c>
      <c r="D474" s="730">
        <v>687176</v>
      </c>
      <c r="E474" s="293"/>
      <c r="F474" s="293"/>
    </row>
    <row r="475" spans="2:6" ht="26.45">
      <c r="B475" s="1453">
        <v>13</v>
      </c>
      <c r="C475" s="2192" t="s">
        <v>292</v>
      </c>
      <c r="D475" s="730">
        <v>13667</v>
      </c>
      <c r="E475" s="293"/>
      <c r="F475" s="293"/>
    </row>
    <row r="476" spans="2:6">
      <c r="B476" s="1453">
        <v>14</v>
      </c>
      <c r="C476" s="1853" t="s">
        <v>293</v>
      </c>
      <c r="D476" s="756"/>
      <c r="E476" s="293"/>
      <c r="F476" s="293"/>
    </row>
    <row r="477" spans="2:6">
      <c r="B477" s="1453">
        <v>15</v>
      </c>
      <c r="C477" s="1853" t="s">
        <v>294</v>
      </c>
      <c r="D477" s="730">
        <v>32769</v>
      </c>
      <c r="E477" s="293"/>
      <c r="F477" s="293"/>
    </row>
    <row r="478" spans="2:6">
      <c r="B478" s="1453">
        <v>16</v>
      </c>
      <c r="C478" s="1853" t="s">
        <v>295</v>
      </c>
      <c r="D478" s="730">
        <v>121270</v>
      </c>
      <c r="E478" s="293"/>
      <c r="F478" s="293"/>
    </row>
    <row r="479" spans="2:6">
      <c r="B479" s="1453">
        <v>17</v>
      </c>
      <c r="C479" s="1853" t="s">
        <v>296</v>
      </c>
      <c r="D479" s="730">
        <v>80334</v>
      </c>
      <c r="E479" s="293"/>
      <c r="F479" s="293"/>
    </row>
    <row r="480" spans="2:6">
      <c r="B480" s="1453">
        <v>18</v>
      </c>
      <c r="C480" s="1853" t="s">
        <v>297</v>
      </c>
      <c r="D480" s="730"/>
      <c r="E480" s="293"/>
      <c r="F480" s="293"/>
    </row>
    <row r="481" spans="2:6" ht="13.9" thickBot="1">
      <c r="B481" s="1453">
        <v>19</v>
      </c>
      <c r="C481" s="2209" t="s">
        <v>298</v>
      </c>
      <c r="D481" s="739">
        <v>11583</v>
      </c>
      <c r="E481" s="293"/>
      <c r="F481" s="293"/>
    </row>
    <row r="482" spans="2:6" ht="27" thickBot="1">
      <c r="B482" s="1406">
        <v>20</v>
      </c>
      <c r="C482" s="1444" t="s">
        <v>299</v>
      </c>
      <c r="D482" s="1462">
        <v>1326987</v>
      </c>
      <c r="E482" s="293"/>
      <c r="F482" s="293"/>
    </row>
    <row r="483" spans="2:6">
      <c r="B483" s="1394"/>
      <c r="C483" s="2217" t="s">
        <v>300</v>
      </c>
      <c r="D483" s="741"/>
      <c r="E483" s="293"/>
      <c r="F483" s="293"/>
    </row>
    <row r="484" spans="2:6">
      <c r="B484" s="1394"/>
      <c r="C484" s="2217" t="s">
        <v>301</v>
      </c>
      <c r="D484" s="741"/>
      <c r="E484" s="293"/>
      <c r="F484" s="293"/>
    </row>
    <row r="485" spans="2:6">
      <c r="B485" s="1394">
        <v>21</v>
      </c>
      <c r="C485" s="1853" t="s">
        <v>302</v>
      </c>
      <c r="D485" s="730">
        <v>405449</v>
      </c>
      <c r="E485" s="293"/>
      <c r="F485" s="293"/>
    </row>
    <row r="486" spans="2:6">
      <c r="B486" s="1394">
        <v>22</v>
      </c>
      <c r="C486" s="1853" t="s">
        <v>303</v>
      </c>
      <c r="D486" s="730">
        <v>10978</v>
      </c>
      <c r="E486" s="293"/>
      <c r="F486" s="293"/>
    </row>
    <row r="487" spans="2:6">
      <c r="B487" s="1394">
        <v>23</v>
      </c>
      <c r="C487" s="1853" t="s">
        <v>304</v>
      </c>
      <c r="D487" s="730">
        <v>89102</v>
      </c>
      <c r="E487" s="293"/>
      <c r="F487" s="293"/>
    </row>
    <row r="488" spans="2:6">
      <c r="B488" s="1394">
        <v>24</v>
      </c>
      <c r="C488" s="1853" t="s">
        <v>305</v>
      </c>
      <c r="D488" s="756"/>
      <c r="E488" s="293"/>
      <c r="F488" s="293"/>
    </row>
    <row r="489" spans="2:6">
      <c r="B489" s="1394">
        <v>25</v>
      </c>
      <c r="C489" s="2192" t="s">
        <v>306</v>
      </c>
      <c r="D489" s="756"/>
      <c r="E489" s="293"/>
      <c r="F489" s="293"/>
    </row>
    <row r="490" spans="2:6" ht="13.9" thickBot="1">
      <c r="B490" s="1394">
        <v>26</v>
      </c>
      <c r="C490" s="2209" t="s">
        <v>307</v>
      </c>
      <c r="D490" s="739">
        <v>404808</v>
      </c>
      <c r="E490" s="293"/>
      <c r="F490" s="293"/>
    </row>
    <row r="491" spans="2:6" ht="13.9" thickBot="1">
      <c r="B491" s="1397">
        <v>27</v>
      </c>
      <c r="C491" s="1418" t="s">
        <v>308</v>
      </c>
      <c r="D491" s="774">
        <v>910337</v>
      </c>
      <c r="E491" s="293"/>
      <c r="F491" s="293"/>
    </row>
    <row r="492" spans="2:6">
      <c r="B492" s="1394"/>
      <c r="C492" s="1416" t="s">
        <v>309</v>
      </c>
      <c r="D492" s="741"/>
      <c r="E492" s="293"/>
      <c r="F492" s="293"/>
    </row>
    <row r="493" spans="2:6">
      <c r="B493" s="1394">
        <v>28</v>
      </c>
      <c r="C493" s="1961" t="s">
        <v>310</v>
      </c>
      <c r="D493" s="730">
        <v>1880022</v>
      </c>
      <c r="E493" s="293"/>
      <c r="F493" s="293"/>
    </row>
    <row r="494" spans="2:6">
      <c r="B494" s="1394">
        <v>29</v>
      </c>
      <c r="C494" s="1961" t="s">
        <v>311</v>
      </c>
      <c r="D494" s="730">
        <v>7235</v>
      </c>
      <c r="E494" s="293"/>
      <c r="F494" s="293"/>
    </row>
    <row r="495" spans="2:6">
      <c r="B495" s="1394">
        <v>30</v>
      </c>
      <c r="C495" s="2215" t="s">
        <v>312</v>
      </c>
      <c r="D495" s="756"/>
      <c r="E495" s="293"/>
      <c r="F495" s="293"/>
    </row>
    <row r="496" spans="2:6" ht="13.9" thickBot="1">
      <c r="B496" s="1394">
        <v>31</v>
      </c>
      <c r="C496" s="2215" t="s">
        <v>314</v>
      </c>
      <c r="D496" s="739">
        <v>-1470606</v>
      </c>
      <c r="E496" s="293"/>
      <c r="F496" s="293"/>
    </row>
    <row r="497" spans="2:11" ht="13.9" thickBot="1">
      <c r="B497" s="1397">
        <v>32</v>
      </c>
      <c r="C497" s="1418" t="s">
        <v>315</v>
      </c>
      <c r="D497" s="774">
        <v>416651</v>
      </c>
      <c r="E497" s="293"/>
      <c r="F497" s="293"/>
    </row>
    <row r="498" spans="2:11" ht="27" thickBot="1">
      <c r="B498" s="1409">
        <v>33</v>
      </c>
      <c r="C498" s="1444" t="s">
        <v>317</v>
      </c>
      <c r="D498" s="1460">
        <v>1326988</v>
      </c>
      <c r="E498" s="293"/>
      <c r="F498" s="293"/>
    </row>
    <row r="499" spans="2:11">
      <c r="B499" s="274"/>
      <c r="C499" s="391"/>
      <c r="D499" s="383"/>
      <c r="E499" s="293"/>
      <c r="F499" s="293"/>
    </row>
    <row r="500" spans="2:11">
      <c r="B500" s="274"/>
      <c r="C500" s="391"/>
      <c r="D500" s="383"/>
      <c r="E500" s="293"/>
      <c r="F500" s="293"/>
      <c r="G500" s="292">
        <v>105</v>
      </c>
    </row>
    <row r="501" spans="2:11">
      <c r="B501" s="274"/>
      <c r="C501" s="391"/>
      <c r="D501" s="383"/>
      <c r="E501" s="293"/>
      <c r="F501" s="293"/>
    </row>
    <row r="502" spans="2:11" ht="14.45">
      <c r="B502" s="3340" t="s">
        <v>430</v>
      </c>
      <c r="C502" s="3341"/>
      <c r="D502" s="3341"/>
      <c r="E502" s="3341"/>
      <c r="F502" s="3341"/>
      <c r="G502" s="3341"/>
    </row>
    <row r="503" spans="2:11" ht="13.9" thickBot="1">
      <c r="B503" s="51" t="s">
        <v>431</v>
      </c>
      <c r="C503" s="51"/>
      <c r="D503" s="51"/>
      <c r="E503" s="51"/>
      <c r="F503" s="51"/>
      <c r="G503" s="51"/>
    </row>
    <row r="504" spans="2:11" ht="13.9" thickBot="1">
      <c r="B504" s="3344" t="s">
        <v>110</v>
      </c>
      <c r="C504" s="3345"/>
      <c r="D504" s="396"/>
      <c r="E504" s="396"/>
      <c r="F504" s="550"/>
      <c r="G504" s="532" t="s">
        <v>238</v>
      </c>
    </row>
    <row r="505" spans="2:11">
      <c r="B505" s="3283" t="s">
        <v>396</v>
      </c>
      <c r="C505" s="3349"/>
      <c r="D505" s="3283" t="s">
        <v>397</v>
      </c>
      <c r="E505" s="3307" t="s">
        <v>422</v>
      </c>
      <c r="F505" s="3283" t="s">
        <v>423</v>
      </c>
      <c r="G505" s="3336" t="s">
        <v>424</v>
      </c>
    </row>
    <row r="506" spans="2:11">
      <c r="B506" s="3284"/>
      <c r="C506" s="3342"/>
      <c r="D506" s="3284"/>
      <c r="E506" s="3353"/>
      <c r="F506" s="3284"/>
      <c r="G506" s="3338"/>
    </row>
    <row r="507" spans="2:11" ht="13.9" thickBot="1">
      <c r="B507" s="3285"/>
      <c r="C507" s="3343"/>
      <c r="D507" s="3285"/>
      <c r="E507" s="3354"/>
      <c r="F507" s="3285"/>
      <c r="G507" s="3337"/>
    </row>
    <row r="508" spans="2:11" ht="13.9">
      <c r="B508" s="1394"/>
      <c r="C508" s="1401" t="s">
        <v>275</v>
      </c>
      <c r="D508" s="775"/>
      <c r="E508" s="714"/>
      <c r="F508" s="1421"/>
      <c r="G508" s="713"/>
    </row>
    <row r="509" spans="2:11">
      <c r="B509" s="1453">
        <v>1</v>
      </c>
      <c r="C509" s="2218" t="s">
        <v>276</v>
      </c>
      <c r="D509" s="741">
        <v>0</v>
      </c>
      <c r="E509" s="776"/>
      <c r="F509" s="2221"/>
      <c r="G509" s="758"/>
      <c r="I509" s="794"/>
      <c r="K509" s="551"/>
    </row>
    <row r="510" spans="2:11">
      <c r="B510" s="1453">
        <v>2</v>
      </c>
      <c r="C510" s="2218" t="s">
        <v>277</v>
      </c>
      <c r="D510" s="744">
        <v>19673</v>
      </c>
      <c r="E510" s="530"/>
      <c r="F510" s="2222"/>
      <c r="G510" s="777"/>
      <c r="I510" s="794"/>
      <c r="K510" s="551"/>
    </row>
    <row r="511" spans="2:11">
      <c r="B511" s="1453">
        <v>3</v>
      </c>
      <c r="C511" s="2218" t="s">
        <v>278</v>
      </c>
      <c r="D511" s="778">
        <v>0</v>
      </c>
      <c r="E511" s="779"/>
      <c r="F511" s="1466"/>
      <c r="G511" s="780"/>
      <c r="I511" s="794"/>
      <c r="K511" s="551"/>
    </row>
    <row r="512" spans="2:11">
      <c r="B512" s="1453">
        <v>4</v>
      </c>
      <c r="C512" s="2232" t="s">
        <v>429</v>
      </c>
      <c r="D512" s="742">
        <v>1103</v>
      </c>
      <c r="E512" s="781">
        <v>61043</v>
      </c>
      <c r="F512" s="1421"/>
      <c r="G512" s="758"/>
      <c r="I512" s="794"/>
      <c r="K512" s="551"/>
    </row>
    <row r="513" spans="2:11">
      <c r="B513" s="1453">
        <v>5</v>
      </c>
      <c r="C513" s="2218" t="s">
        <v>280</v>
      </c>
      <c r="D513" s="742">
        <v>22766</v>
      </c>
      <c r="E513" s="2242">
        <v>12529</v>
      </c>
      <c r="F513" s="2221"/>
      <c r="G513" s="758"/>
      <c r="I513" s="794"/>
      <c r="K513" s="551"/>
    </row>
    <row r="514" spans="2:11">
      <c r="B514" s="1453">
        <v>6</v>
      </c>
      <c r="C514" s="2218" t="s">
        <v>281</v>
      </c>
      <c r="D514" s="741"/>
      <c r="E514" s="776"/>
      <c r="F514" s="2221">
        <f t="shared" ref="F514:F548" si="7">+D514+E514</f>
        <v>0</v>
      </c>
      <c r="G514" s="758"/>
      <c r="I514" s="794"/>
      <c r="K514" s="551"/>
    </row>
    <row r="515" spans="2:11">
      <c r="B515" s="1453">
        <v>7</v>
      </c>
      <c r="C515" s="2218" t="s">
        <v>282</v>
      </c>
      <c r="D515" s="741"/>
      <c r="E515" s="776"/>
      <c r="F515" s="2221">
        <f t="shared" si="7"/>
        <v>0</v>
      </c>
      <c r="G515" s="758"/>
      <c r="I515" s="794"/>
      <c r="K515" s="551"/>
    </row>
    <row r="516" spans="2:11">
      <c r="B516" s="1453"/>
      <c r="C516" s="2203" t="s">
        <v>416</v>
      </c>
      <c r="D516" s="741"/>
      <c r="E516" s="776"/>
      <c r="F516" s="2221">
        <f t="shared" si="7"/>
        <v>0</v>
      </c>
      <c r="G516" s="758"/>
      <c r="I516" s="794"/>
      <c r="K516" s="551"/>
    </row>
    <row r="517" spans="2:11">
      <c r="B517" s="1453"/>
      <c r="C517" s="2203" t="s">
        <v>417</v>
      </c>
      <c r="D517" s="741"/>
      <c r="E517" s="776"/>
      <c r="F517" s="2221">
        <f t="shared" si="7"/>
        <v>0</v>
      </c>
      <c r="G517" s="758"/>
      <c r="I517" s="794"/>
      <c r="K517" s="551"/>
    </row>
    <row r="518" spans="2:11">
      <c r="B518" s="1453">
        <v>8</v>
      </c>
      <c r="C518" s="2218" t="s">
        <v>285</v>
      </c>
      <c r="D518" s="741"/>
      <c r="E518" s="776"/>
      <c r="F518" s="2221">
        <f t="shared" si="7"/>
        <v>0</v>
      </c>
      <c r="G518" s="758"/>
      <c r="I518" s="794"/>
      <c r="K518" s="551"/>
    </row>
    <row r="519" spans="2:11">
      <c r="B519" s="1453"/>
      <c r="C519" s="2203" t="s">
        <v>418</v>
      </c>
      <c r="D519" s="741"/>
      <c r="E519" s="776"/>
      <c r="F519" s="2221">
        <f t="shared" si="7"/>
        <v>0</v>
      </c>
      <c r="G519" s="758"/>
      <c r="I519" s="794"/>
      <c r="K519" s="551"/>
    </row>
    <row r="520" spans="2:11">
      <c r="B520" s="1453"/>
      <c r="C520" s="2203" t="s">
        <v>419</v>
      </c>
      <c r="D520" s="741"/>
      <c r="E520" s="776"/>
      <c r="F520" s="2221">
        <f t="shared" si="7"/>
        <v>0</v>
      </c>
      <c r="G520" s="758"/>
      <c r="I520" s="794"/>
      <c r="K520" s="551"/>
    </row>
    <row r="521" spans="2:11" ht="26.45">
      <c r="B521" s="2226">
        <v>9</v>
      </c>
      <c r="C521" s="2212" t="s">
        <v>288</v>
      </c>
      <c r="D521" s="743">
        <v>619832</v>
      </c>
      <c r="E521" s="786">
        <v>19666178</v>
      </c>
      <c r="F521" s="2229">
        <f>+D521+E521</f>
        <v>20286010</v>
      </c>
      <c r="G521" s="760">
        <v>2087676</v>
      </c>
      <c r="I521" s="794"/>
      <c r="K521" s="551"/>
    </row>
    <row r="522" spans="2:11">
      <c r="B522" s="1453">
        <v>10</v>
      </c>
      <c r="C522" s="2203" t="s">
        <v>289</v>
      </c>
      <c r="D522" s="741"/>
      <c r="E522" s="782">
        <v>29982</v>
      </c>
      <c r="F522" s="2221">
        <f>+D522+E522</f>
        <v>29982</v>
      </c>
      <c r="G522" s="759">
        <v>703316</v>
      </c>
      <c r="I522" s="794"/>
      <c r="K522" s="551"/>
    </row>
    <row r="523" spans="2:11">
      <c r="B523" s="1453">
        <v>11</v>
      </c>
      <c r="C523" s="2203" t="s">
        <v>290</v>
      </c>
      <c r="D523" s="742">
        <v>619832</v>
      </c>
      <c r="E523" s="782">
        <v>4522342</v>
      </c>
      <c r="F523" s="2221">
        <f t="shared" si="7"/>
        <v>5142174</v>
      </c>
      <c r="G523" s="759">
        <v>467416</v>
      </c>
      <c r="I523" s="794"/>
      <c r="K523" s="551"/>
    </row>
    <row r="524" spans="2:11">
      <c r="B524" s="1453">
        <v>12</v>
      </c>
      <c r="C524" s="2203" t="s">
        <v>291</v>
      </c>
      <c r="D524" s="741"/>
      <c r="E524" s="782">
        <v>15113854</v>
      </c>
      <c r="F524" s="2221">
        <f t="shared" si="7"/>
        <v>15113854</v>
      </c>
      <c r="G524" s="759">
        <v>916944</v>
      </c>
      <c r="I524" s="794"/>
      <c r="K524" s="551"/>
    </row>
    <row r="525" spans="2:11" ht="26.45">
      <c r="B525" s="1453">
        <v>13</v>
      </c>
      <c r="C525" s="2203" t="s">
        <v>292</v>
      </c>
      <c r="D525" s="741"/>
      <c r="E525" s="776"/>
      <c r="F525" s="2221">
        <f t="shared" si="7"/>
        <v>0</v>
      </c>
      <c r="G525" s="758"/>
      <c r="I525" s="794"/>
      <c r="K525" s="551"/>
    </row>
    <row r="526" spans="2:11">
      <c r="B526" s="1453">
        <v>14</v>
      </c>
      <c r="C526" s="2204" t="s">
        <v>293</v>
      </c>
      <c r="D526" s="741"/>
      <c r="E526" s="776"/>
      <c r="F526" s="2221">
        <f t="shared" si="7"/>
        <v>0</v>
      </c>
      <c r="G526" s="758"/>
      <c r="I526" s="794"/>
      <c r="K526" s="551"/>
    </row>
    <row r="527" spans="2:11">
      <c r="B527" s="1453">
        <v>15</v>
      </c>
      <c r="C527" s="2204" t="s">
        <v>294</v>
      </c>
      <c r="D527" s="742">
        <v>19993</v>
      </c>
      <c r="E527" s="776"/>
      <c r="F527" s="2221">
        <f t="shared" si="7"/>
        <v>19993</v>
      </c>
      <c r="G527" s="759">
        <v>1082149</v>
      </c>
      <c r="I527" s="794"/>
      <c r="K527" s="551"/>
    </row>
    <row r="528" spans="2:11">
      <c r="B528" s="1453">
        <v>16</v>
      </c>
      <c r="C528" s="2204" t="s">
        <v>295</v>
      </c>
      <c r="D528" s="742">
        <v>29265</v>
      </c>
      <c r="E528" s="782">
        <v>2171519</v>
      </c>
      <c r="F528" s="2221">
        <f t="shared" si="7"/>
        <v>2200784</v>
      </c>
      <c r="G528" s="759">
        <v>1590481</v>
      </c>
      <c r="I528" s="794"/>
      <c r="K528" s="551"/>
    </row>
    <row r="529" spans="2:11">
      <c r="B529" s="1453">
        <v>17</v>
      </c>
      <c r="C529" s="2204" t="s">
        <v>296</v>
      </c>
      <c r="D529" s="783">
        <v>1002986</v>
      </c>
      <c r="E529" s="782">
        <v>1049259</v>
      </c>
      <c r="F529" s="2221">
        <f t="shared" si="7"/>
        <v>2052245</v>
      </c>
      <c r="G529" s="758">
        <v>24</v>
      </c>
      <c r="I529" s="794"/>
      <c r="K529" s="551"/>
    </row>
    <row r="530" spans="2:11">
      <c r="B530" s="1453">
        <v>18</v>
      </c>
      <c r="C530" s="2204" t="s">
        <v>297</v>
      </c>
      <c r="D530" s="2237">
        <v>72</v>
      </c>
      <c r="E530" s="782">
        <v>526263</v>
      </c>
      <c r="F530" s="2221">
        <f t="shared" si="7"/>
        <v>526335</v>
      </c>
      <c r="G530" s="759">
        <v>252059</v>
      </c>
      <c r="I530" s="794"/>
      <c r="K530" s="551"/>
    </row>
    <row r="531" spans="2:11" ht="13.9" thickBot="1">
      <c r="B531" s="1453">
        <v>19</v>
      </c>
      <c r="C531" s="2205" t="s">
        <v>298</v>
      </c>
      <c r="D531" s="783">
        <v>160727</v>
      </c>
      <c r="E531" s="781">
        <v>32515</v>
      </c>
      <c r="F531" s="2222">
        <f t="shared" si="7"/>
        <v>193242</v>
      </c>
      <c r="G531" s="761">
        <v>520519</v>
      </c>
      <c r="I531" s="794"/>
      <c r="K531" s="551"/>
    </row>
    <row r="532" spans="2:11" ht="27" thickBot="1">
      <c r="B532" s="1406">
        <v>20</v>
      </c>
      <c r="C532" s="1425" t="s">
        <v>299</v>
      </c>
      <c r="D532" s="1468">
        <v>1876417</v>
      </c>
      <c r="E532" s="1469">
        <v>23519306</v>
      </c>
      <c r="F532" s="1428">
        <f t="shared" si="7"/>
        <v>25395723</v>
      </c>
      <c r="G532" s="1470">
        <v>5532908</v>
      </c>
      <c r="I532" s="794"/>
      <c r="K532" s="551"/>
    </row>
    <row r="533" spans="2:11">
      <c r="B533" s="1394"/>
      <c r="C533" s="1398" t="s">
        <v>300</v>
      </c>
      <c r="D533" s="741"/>
      <c r="E533" s="776"/>
      <c r="F533" s="1421">
        <f t="shared" si="7"/>
        <v>0</v>
      </c>
      <c r="G533" s="758"/>
      <c r="I533" s="794"/>
      <c r="K533" s="551"/>
    </row>
    <row r="534" spans="2:11">
      <c r="B534" s="1394"/>
      <c r="C534" s="2219" t="s">
        <v>301</v>
      </c>
      <c r="D534" s="741"/>
      <c r="E534" s="776"/>
      <c r="F534" s="2221">
        <f t="shared" si="7"/>
        <v>0</v>
      </c>
      <c r="G534" s="758"/>
      <c r="I534" s="794"/>
      <c r="K534" s="551"/>
    </row>
    <row r="535" spans="2:11">
      <c r="B535" s="1394">
        <v>21</v>
      </c>
      <c r="C535" s="2204" t="s">
        <v>302</v>
      </c>
      <c r="D535" s="742">
        <v>2706142</v>
      </c>
      <c r="E535" s="782">
        <v>3383563</v>
      </c>
      <c r="F535" s="2221">
        <f t="shared" si="7"/>
        <v>6089705</v>
      </c>
      <c r="G535" s="759">
        <v>4327311</v>
      </c>
      <c r="I535" s="794"/>
      <c r="K535" s="551"/>
    </row>
    <row r="536" spans="2:11">
      <c r="B536" s="1394">
        <v>22</v>
      </c>
      <c r="C536" s="2204" t="s">
        <v>303</v>
      </c>
      <c r="D536" s="742">
        <v>29677</v>
      </c>
      <c r="E536" s="776"/>
      <c r="F536" s="2221">
        <f t="shared" si="7"/>
        <v>29677</v>
      </c>
      <c r="G536" s="758"/>
      <c r="I536" s="794"/>
      <c r="K536" s="551"/>
    </row>
    <row r="537" spans="2:11">
      <c r="B537" s="1394">
        <v>23</v>
      </c>
      <c r="C537" s="2204" t="s">
        <v>304</v>
      </c>
      <c r="D537" s="742">
        <v>524541</v>
      </c>
      <c r="E537" s="782">
        <v>7371</v>
      </c>
      <c r="F537" s="2221">
        <f t="shared" si="7"/>
        <v>531912</v>
      </c>
      <c r="G537" s="759">
        <v>774131</v>
      </c>
      <c r="I537" s="794"/>
      <c r="K537" s="551"/>
    </row>
    <row r="538" spans="2:11">
      <c r="B538" s="1394">
        <v>24</v>
      </c>
      <c r="C538" s="2204" t="s">
        <v>305</v>
      </c>
      <c r="D538" s="741"/>
      <c r="E538" s="776"/>
      <c r="F538" s="2221">
        <f t="shared" si="7"/>
        <v>0</v>
      </c>
      <c r="G538" s="758"/>
      <c r="I538" s="794"/>
      <c r="K538" s="551"/>
    </row>
    <row r="539" spans="2:11">
      <c r="B539" s="1394">
        <v>25</v>
      </c>
      <c r="C539" s="2203" t="s">
        <v>306</v>
      </c>
      <c r="D539" s="742">
        <v>1339</v>
      </c>
      <c r="E539" s="776">
        <v>84370</v>
      </c>
      <c r="F539" s="2221">
        <f t="shared" si="7"/>
        <v>85709</v>
      </c>
      <c r="G539" s="759"/>
      <c r="I539" s="794"/>
      <c r="K539" s="551"/>
    </row>
    <row r="540" spans="2:11" ht="13.9" thickBot="1">
      <c r="B540" s="1394">
        <v>26</v>
      </c>
      <c r="C540" s="2205" t="s">
        <v>307</v>
      </c>
      <c r="D540" s="744">
        <v>347559</v>
      </c>
      <c r="E540" s="1106">
        <v>1317112</v>
      </c>
      <c r="F540" s="2222">
        <f t="shared" si="7"/>
        <v>1664671</v>
      </c>
      <c r="G540" s="787">
        <v>43481</v>
      </c>
      <c r="I540" s="794"/>
      <c r="K540" s="551"/>
    </row>
    <row r="541" spans="2:11" ht="13.9" thickBot="1">
      <c r="B541" s="1397">
        <v>27</v>
      </c>
      <c r="C541" s="1419" t="s">
        <v>308</v>
      </c>
      <c r="D541" s="745">
        <v>3609258</v>
      </c>
      <c r="E541" s="788">
        <v>4792416</v>
      </c>
      <c r="F541" s="1423">
        <f t="shared" si="7"/>
        <v>8401674</v>
      </c>
      <c r="G541" s="763">
        <v>5144923</v>
      </c>
      <c r="I541" s="794"/>
      <c r="K541" s="551"/>
    </row>
    <row r="542" spans="2:11">
      <c r="B542" s="1394"/>
      <c r="C542" s="1398" t="s">
        <v>309</v>
      </c>
      <c r="D542" s="741"/>
      <c r="E542" s="784"/>
      <c r="F542" s="1421">
        <f t="shared" si="7"/>
        <v>0</v>
      </c>
      <c r="G542" s="785"/>
      <c r="I542" s="794"/>
      <c r="K542" s="551"/>
    </row>
    <row r="543" spans="2:11">
      <c r="B543" s="1394">
        <v>28</v>
      </c>
      <c r="C543" s="2218" t="s">
        <v>310</v>
      </c>
      <c r="D543" s="741"/>
      <c r="E543" s="776"/>
      <c r="F543" s="2221">
        <f t="shared" si="7"/>
        <v>0</v>
      </c>
      <c r="G543" s="758"/>
      <c r="I543" s="794"/>
      <c r="K543" s="551"/>
    </row>
    <row r="544" spans="2:11">
      <c r="B544" s="1394">
        <v>29</v>
      </c>
      <c r="C544" s="2218" t="s">
        <v>311</v>
      </c>
      <c r="D544" s="741"/>
      <c r="E544" s="776"/>
      <c r="F544" s="2221">
        <f t="shared" si="7"/>
        <v>0</v>
      </c>
      <c r="G544" s="758"/>
      <c r="I544" s="794"/>
      <c r="K544" s="551"/>
    </row>
    <row r="545" spans="2:11">
      <c r="B545" s="1394">
        <v>30</v>
      </c>
      <c r="C545" s="2207" t="s">
        <v>312</v>
      </c>
      <c r="D545" s="741"/>
      <c r="E545" s="776"/>
      <c r="F545" s="2221">
        <f t="shared" si="7"/>
        <v>0</v>
      </c>
      <c r="G545" s="758"/>
      <c r="I545" s="794"/>
      <c r="K545" s="551"/>
    </row>
    <row r="546" spans="2:11" ht="13.9" thickBot="1">
      <c r="B546" s="1394">
        <v>31</v>
      </c>
      <c r="C546" s="2207" t="s">
        <v>314</v>
      </c>
      <c r="D546" s="744">
        <v>-1732840</v>
      </c>
      <c r="E546" s="781">
        <v>18726892</v>
      </c>
      <c r="F546" s="2222">
        <f t="shared" si="7"/>
        <v>16994052</v>
      </c>
      <c r="G546" s="761">
        <v>387985</v>
      </c>
      <c r="I546" s="794"/>
      <c r="K546" s="551"/>
    </row>
    <row r="547" spans="2:11" ht="13.9" thickBot="1">
      <c r="B547" s="1397">
        <v>32</v>
      </c>
      <c r="C547" s="1419" t="s">
        <v>315</v>
      </c>
      <c r="D547" s="745">
        <v>-1732840</v>
      </c>
      <c r="E547" s="788">
        <v>18726892</v>
      </c>
      <c r="F547" s="1423">
        <f t="shared" si="7"/>
        <v>16994052</v>
      </c>
      <c r="G547" s="763">
        <v>387985</v>
      </c>
      <c r="I547" s="794"/>
      <c r="K547" s="551"/>
    </row>
    <row r="548" spans="2:11" ht="27" thickBot="1">
      <c r="B548" s="1409">
        <v>33</v>
      </c>
      <c r="C548" s="1425" t="s">
        <v>317</v>
      </c>
      <c r="D548" s="1431">
        <v>1876418</v>
      </c>
      <c r="E548" s="1671">
        <v>23519308</v>
      </c>
      <c r="F548" s="1467">
        <f t="shared" si="7"/>
        <v>25395726</v>
      </c>
      <c r="G548" s="1432">
        <v>5532908</v>
      </c>
      <c r="I548" s="794"/>
      <c r="K548" s="551"/>
    </row>
    <row r="549" spans="2:11">
      <c r="B549" s="274"/>
      <c r="C549" s="391"/>
      <c r="D549" s="383"/>
      <c r="E549" s="293"/>
      <c r="F549" s="293"/>
    </row>
    <row r="550" spans="2:11">
      <c r="B550" s="274"/>
      <c r="C550" s="391"/>
      <c r="D550" s="383"/>
      <c r="E550" s="293"/>
      <c r="F550" s="293"/>
      <c r="G550" s="292">
        <v>106</v>
      </c>
    </row>
    <row r="551" spans="2:11">
      <c r="B551" s="274"/>
      <c r="C551" s="391"/>
      <c r="D551" s="383"/>
      <c r="E551" s="293"/>
      <c r="F551" s="293"/>
    </row>
    <row r="552" spans="2:11" ht="14.45">
      <c r="B552" s="3340" t="s">
        <v>430</v>
      </c>
      <c r="C552" s="3341"/>
      <c r="D552" s="3341"/>
      <c r="E552" s="3341"/>
      <c r="F552" s="3341"/>
      <c r="G552" s="3341"/>
    </row>
    <row r="553" spans="2:11" ht="13.9" thickBot="1">
      <c r="B553" s="51" t="s">
        <v>431</v>
      </c>
      <c r="C553" s="51"/>
      <c r="D553" s="51"/>
      <c r="E553" s="51"/>
      <c r="F553" s="51"/>
      <c r="G553" s="51"/>
    </row>
    <row r="554" spans="2:11" ht="13.9" thickBot="1">
      <c r="B554" s="3344" t="s">
        <v>111</v>
      </c>
      <c r="C554" s="3345"/>
      <c r="D554" s="425"/>
      <c r="E554" s="396"/>
      <c r="F554" s="396"/>
    </row>
    <row r="555" spans="2:11">
      <c r="B555" s="3284" t="s">
        <v>396</v>
      </c>
      <c r="C555" s="3346"/>
      <c r="D555" s="3283" t="s">
        <v>414</v>
      </c>
      <c r="E555" s="274"/>
      <c r="F555" s="274"/>
    </row>
    <row r="556" spans="2:11">
      <c r="B556" s="3284"/>
      <c r="C556" s="3346"/>
      <c r="D556" s="3284"/>
      <c r="E556" s="443"/>
      <c r="F556" s="443"/>
    </row>
    <row r="557" spans="2:11">
      <c r="B557" s="3285"/>
      <c r="C557" s="3347"/>
      <c r="D557" s="3285"/>
      <c r="E557" s="443"/>
      <c r="F557" s="443"/>
    </row>
    <row r="558" spans="2:11" ht="13.9">
      <c r="B558" s="1394"/>
      <c r="C558" s="1401" t="s">
        <v>275</v>
      </c>
      <c r="D558" s="712"/>
      <c r="E558" s="293"/>
      <c r="F558" s="293"/>
    </row>
    <row r="559" spans="2:11">
      <c r="B559" s="1453">
        <v>1</v>
      </c>
      <c r="C559" s="1961" t="s">
        <v>276</v>
      </c>
      <c r="D559" s="741"/>
      <c r="E559" s="293"/>
      <c r="F559" s="293"/>
    </row>
    <row r="560" spans="2:11">
      <c r="B560" s="1453">
        <v>2</v>
      </c>
      <c r="C560" s="1961" t="s">
        <v>277</v>
      </c>
      <c r="D560" s="730">
        <v>5545</v>
      </c>
      <c r="E560" s="293"/>
      <c r="F560" s="293"/>
    </row>
    <row r="561" spans="2:6">
      <c r="B561" s="1453">
        <v>3</v>
      </c>
      <c r="C561" s="1961" t="s">
        <v>278</v>
      </c>
      <c r="D561" s="730"/>
      <c r="E561" s="293"/>
      <c r="F561" s="293"/>
    </row>
    <row r="562" spans="2:6">
      <c r="B562" s="1453">
        <v>4</v>
      </c>
      <c r="C562" s="2224" t="s">
        <v>429</v>
      </c>
      <c r="D562" s="730">
        <v>104988</v>
      </c>
      <c r="E562" s="293"/>
      <c r="F562" s="293"/>
    </row>
    <row r="563" spans="2:6">
      <c r="B563" s="1453">
        <v>5</v>
      </c>
      <c r="C563" s="1961" t="s">
        <v>280</v>
      </c>
      <c r="D563" s="730">
        <v>33725</v>
      </c>
      <c r="E563" s="293"/>
      <c r="F563" s="293"/>
    </row>
    <row r="564" spans="2:6">
      <c r="B564" s="1453">
        <v>6</v>
      </c>
      <c r="C564" s="1961" t="s">
        <v>281</v>
      </c>
      <c r="D564" s="756"/>
      <c r="E564" s="293"/>
      <c r="F564" s="293"/>
    </row>
    <row r="565" spans="2:6">
      <c r="B565" s="1453">
        <v>7</v>
      </c>
      <c r="C565" s="1961" t="s">
        <v>282</v>
      </c>
      <c r="D565" s="741"/>
      <c r="E565" s="293"/>
      <c r="F565" s="293"/>
    </row>
    <row r="566" spans="2:6">
      <c r="B566" s="1453"/>
      <c r="C566" s="2192" t="s">
        <v>416</v>
      </c>
      <c r="D566" s="741"/>
      <c r="E566" s="293"/>
      <c r="F566" s="293"/>
    </row>
    <row r="567" spans="2:6">
      <c r="B567" s="1453"/>
      <c r="C567" s="2192" t="s">
        <v>417</v>
      </c>
      <c r="D567" s="741"/>
      <c r="E567" s="293"/>
      <c r="F567" s="293"/>
    </row>
    <row r="568" spans="2:6">
      <c r="B568" s="1453">
        <v>8</v>
      </c>
      <c r="C568" s="1961" t="s">
        <v>285</v>
      </c>
      <c r="D568" s="741"/>
      <c r="E568" s="293"/>
      <c r="F568" s="293"/>
    </row>
    <row r="569" spans="2:6">
      <c r="B569" s="1453"/>
      <c r="C569" s="2192" t="s">
        <v>418</v>
      </c>
      <c r="D569" s="741"/>
      <c r="E569" s="293"/>
      <c r="F569" s="293"/>
    </row>
    <row r="570" spans="2:6">
      <c r="B570" s="1453"/>
      <c r="C570" s="2192" t="s">
        <v>419</v>
      </c>
      <c r="D570" s="741"/>
      <c r="E570" s="293"/>
      <c r="F570" s="293"/>
    </row>
    <row r="571" spans="2:6" ht="26.45">
      <c r="B571" s="2226">
        <v>9</v>
      </c>
      <c r="C571" s="2196" t="s">
        <v>288</v>
      </c>
      <c r="D571" s="743">
        <v>1465879</v>
      </c>
      <c r="E571" s="293"/>
      <c r="F571" s="293"/>
    </row>
    <row r="572" spans="2:6">
      <c r="B572" s="1453">
        <v>10</v>
      </c>
      <c r="C572" s="2192" t="s">
        <v>289</v>
      </c>
      <c r="D572" s="741"/>
      <c r="E572" s="293"/>
      <c r="F572" s="293"/>
    </row>
    <row r="573" spans="2:6">
      <c r="B573" s="1453">
        <v>11</v>
      </c>
      <c r="C573" s="2192" t="s">
        <v>290</v>
      </c>
      <c r="D573" s="730">
        <v>1465879</v>
      </c>
      <c r="E573" s="293"/>
      <c r="F573" s="293"/>
    </row>
    <row r="574" spans="2:6">
      <c r="B574" s="1453">
        <v>12</v>
      </c>
      <c r="C574" s="2192" t="s">
        <v>291</v>
      </c>
      <c r="D574" s="756"/>
      <c r="E574" s="293"/>
      <c r="F574" s="293"/>
    </row>
    <row r="575" spans="2:6" ht="26.45">
      <c r="B575" s="1453">
        <v>13</v>
      </c>
      <c r="C575" s="2192" t="s">
        <v>292</v>
      </c>
      <c r="D575" s="756"/>
      <c r="E575" s="293"/>
      <c r="F575" s="293"/>
    </row>
    <row r="576" spans="2:6">
      <c r="B576" s="1453">
        <v>14</v>
      </c>
      <c r="C576" s="1853" t="s">
        <v>293</v>
      </c>
      <c r="D576" s="756"/>
      <c r="E576" s="293"/>
      <c r="F576" s="293"/>
    </row>
    <row r="577" spans="2:6">
      <c r="B577" s="1453">
        <v>15</v>
      </c>
      <c r="C577" s="1853" t="s">
        <v>294</v>
      </c>
      <c r="D577" s="730">
        <v>132816</v>
      </c>
      <c r="E577" s="293"/>
      <c r="F577" s="293"/>
    </row>
    <row r="578" spans="2:6">
      <c r="B578" s="1453">
        <v>16</v>
      </c>
      <c r="C578" s="1853" t="s">
        <v>295</v>
      </c>
      <c r="D578" s="730">
        <v>599503</v>
      </c>
      <c r="E578" s="293"/>
      <c r="F578" s="293"/>
    </row>
    <row r="579" spans="2:6">
      <c r="B579" s="1453">
        <v>17</v>
      </c>
      <c r="C579" s="1853" t="s">
        <v>296</v>
      </c>
      <c r="D579" s="730">
        <v>15260</v>
      </c>
      <c r="E579" s="383"/>
      <c r="F579" s="383"/>
    </row>
    <row r="580" spans="2:6">
      <c r="B580" s="1453">
        <v>18</v>
      </c>
      <c r="C580" s="1853" t="s">
        <v>297</v>
      </c>
      <c r="D580" s="730">
        <v>138783</v>
      </c>
      <c r="E580" s="293"/>
      <c r="F580" s="293"/>
    </row>
    <row r="581" spans="2:6" ht="13.9" thickBot="1">
      <c r="B581" s="1453">
        <v>19</v>
      </c>
      <c r="C581" s="2209" t="s">
        <v>298</v>
      </c>
      <c r="D581" s="739">
        <v>698104</v>
      </c>
      <c r="E581" s="293"/>
      <c r="F581" s="293"/>
    </row>
    <row r="582" spans="2:6" ht="27" thickBot="1">
      <c r="B582" s="1406">
        <v>20</v>
      </c>
      <c r="C582" s="1444" t="s">
        <v>299</v>
      </c>
      <c r="D582" s="1462">
        <v>3194603</v>
      </c>
      <c r="E582" s="293"/>
      <c r="F582" s="293"/>
    </row>
    <row r="583" spans="2:6">
      <c r="B583" s="1394"/>
      <c r="C583" s="2217" t="s">
        <v>300</v>
      </c>
      <c r="D583" s="741"/>
      <c r="E583" s="293"/>
      <c r="F583" s="293"/>
    </row>
    <row r="584" spans="2:6">
      <c r="B584" s="1394"/>
      <c r="C584" s="2217" t="s">
        <v>301</v>
      </c>
      <c r="D584" s="741"/>
      <c r="E584" s="293"/>
      <c r="F584" s="293"/>
    </row>
    <row r="585" spans="2:6">
      <c r="B585" s="1394">
        <v>21</v>
      </c>
      <c r="C585" s="1853" t="s">
        <v>302</v>
      </c>
      <c r="D585" s="730">
        <v>1499160.4</v>
      </c>
      <c r="E585" s="293"/>
      <c r="F585" s="293"/>
    </row>
    <row r="586" spans="2:6">
      <c r="B586" s="1394">
        <v>22</v>
      </c>
      <c r="C586" s="1853" t="s">
        <v>303</v>
      </c>
      <c r="D586" s="730">
        <v>19307.400000000001</v>
      </c>
      <c r="E586" s="293"/>
      <c r="F586" s="293"/>
    </row>
    <row r="587" spans="2:6">
      <c r="B587" s="1394">
        <v>23</v>
      </c>
      <c r="C587" s="1853" t="s">
        <v>304</v>
      </c>
      <c r="D587" s="730">
        <v>106739</v>
      </c>
      <c r="E587" s="293"/>
      <c r="F587" s="293"/>
    </row>
    <row r="588" spans="2:6">
      <c r="B588" s="1394">
        <v>24</v>
      </c>
      <c r="C588" s="1853" t="s">
        <v>305</v>
      </c>
      <c r="D588" s="730">
        <v>32493</v>
      </c>
      <c r="E588" s="293"/>
      <c r="F588" s="293"/>
    </row>
    <row r="589" spans="2:6">
      <c r="B589" s="1394">
        <v>25</v>
      </c>
      <c r="C589" s="2192" t="s">
        <v>306</v>
      </c>
      <c r="D589" s="756"/>
      <c r="E589" s="293"/>
      <c r="F589" s="293"/>
    </row>
    <row r="590" spans="2:6" ht="13.9" thickBot="1">
      <c r="B590" s="1394">
        <v>26</v>
      </c>
      <c r="C590" s="2209" t="s">
        <v>307</v>
      </c>
      <c r="D590" s="739">
        <v>382766</v>
      </c>
      <c r="E590" s="293"/>
      <c r="F590" s="293"/>
    </row>
    <row r="591" spans="2:6" ht="13.9" thickBot="1">
      <c r="B591" s="1397">
        <v>27</v>
      </c>
      <c r="C591" s="1418" t="s">
        <v>308</v>
      </c>
      <c r="D591" s="774">
        <v>2040465.7999999998</v>
      </c>
      <c r="E591" s="293"/>
      <c r="F591" s="293"/>
    </row>
    <row r="592" spans="2:6">
      <c r="B592" s="1394"/>
      <c r="C592" s="1416" t="s">
        <v>309</v>
      </c>
      <c r="D592" s="756"/>
      <c r="E592" s="293"/>
      <c r="F592" s="293"/>
    </row>
    <row r="593" spans="2:7">
      <c r="B593" s="1394">
        <v>28</v>
      </c>
      <c r="C593" s="1961" t="s">
        <v>310</v>
      </c>
      <c r="D593" s="730">
        <v>825000</v>
      </c>
      <c r="E593" s="383"/>
      <c r="F593" s="383"/>
      <c r="G593" s="295"/>
    </row>
    <row r="594" spans="2:7">
      <c r="B594" s="1394">
        <v>29</v>
      </c>
      <c r="C594" s="1961" t="s">
        <v>311</v>
      </c>
      <c r="D594" s="756"/>
      <c r="E594" s="293"/>
      <c r="F594" s="293"/>
    </row>
    <row r="595" spans="2:7">
      <c r="B595" s="1394">
        <v>30</v>
      </c>
      <c r="C595" s="2215" t="s">
        <v>312</v>
      </c>
      <c r="D595" s="756"/>
      <c r="E595" s="293"/>
      <c r="F595" s="293"/>
    </row>
    <row r="596" spans="2:7" ht="13.9" thickBot="1">
      <c r="B596" s="1394">
        <v>31</v>
      </c>
      <c r="C596" s="2215" t="s">
        <v>314</v>
      </c>
      <c r="D596" s="739">
        <v>329137</v>
      </c>
      <c r="E596" s="293"/>
      <c r="F596" s="293"/>
    </row>
    <row r="597" spans="2:7" ht="13.9" thickBot="1">
      <c r="B597" s="1397">
        <v>32</v>
      </c>
      <c r="C597" s="1418" t="s">
        <v>315</v>
      </c>
      <c r="D597" s="737">
        <v>1154137</v>
      </c>
      <c r="E597" s="293"/>
      <c r="F597" s="293"/>
    </row>
    <row r="598" spans="2:7" ht="27" thickBot="1">
      <c r="B598" s="1409">
        <v>33</v>
      </c>
      <c r="C598" s="1444" t="s">
        <v>317</v>
      </c>
      <c r="D598" s="1460">
        <v>3194602.8</v>
      </c>
      <c r="E598" s="293"/>
      <c r="F598" s="293"/>
    </row>
    <row r="599" spans="2:7">
      <c r="B599" s="274"/>
      <c r="C599" s="391"/>
      <c r="D599" s="383"/>
      <c r="E599" s="293"/>
      <c r="F599" s="293"/>
    </row>
    <row r="600" spans="2:7">
      <c r="B600" s="274"/>
      <c r="C600" s="391"/>
      <c r="D600" s="383"/>
      <c r="E600" s="293"/>
      <c r="F600" s="293"/>
      <c r="G600" s="292">
        <v>107</v>
      </c>
    </row>
    <row r="601" spans="2:7">
      <c r="B601" s="274"/>
      <c r="C601" s="391"/>
      <c r="D601" s="383"/>
      <c r="E601" s="293"/>
      <c r="F601" s="293"/>
    </row>
    <row r="602" spans="2:7" ht="14.45">
      <c r="B602" s="3340" t="s">
        <v>430</v>
      </c>
      <c r="C602" s="3341"/>
      <c r="D602" s="3341"/>
      <c r="E602" s="3341"/>
      <c r="F602" s="3341"/>
      <c r="G602" s="3341"/>
    </row>
    <row r="603" spans="2:7" ht="13.9" thickBot="1">
      <c r="B603" s="51" t="s">
        <v>431</v>
      </c>
      <c r="C603" s="51"/>
      <c r="D603" s="51"/>
      <c r="E603" s="51"/>
      <c r="F603" s="51"/>
      <c r="G603" s="51"/>
    </row>
    <row r="604" spans="2:7" ht="17.25" customHeight="1" thickBot="1">
      <c r="B604" s="3344" t="s">
        <v>426</v>
      </c>
      <c r="C604" s="3345"/>
      <c r="D604" s="425"/>
      <c r="E604" s="396"/>
      <c r="F604" s="396"/>
    </row>
    <row r="605" spans="2:7">
      <c r="B605" s="3284" t="s">
        <v>396</v>
      </c>
      <c r="C605" s="3346"/>
      <c r="D605" s="3283" t="s">
        <v>414</v>
      </c>
      <c r="E605" s="274"/>
      <c r="F605" s="274"/>
    </row>
    <row r="606" spans="2:7">
      <c r="B606" s="3284"/>
      <c r="C606" s="3346"/>
      <c r="D606" s="3284"/>
      <c r="E606" s="443"/>
      <c r="F606" s="443"/>
    </row>
    <row r="607" spans="2:7" ht="13.9" thickBot="1">
      <c r="B607" s="3285"/>
      <c r="C607" s="3347"/>
      <c r="D607" s="3285"/>
      <c r="E607" s="443"/>
      <c r="F607" s="443"/>
    </row>
    <row r="608" spans="2:7" ht="13.9">
      <c r="B608" s="1394"/>
      <c r="C608" s="1401" t="s">
        <v>275</v>
      </c>
      <c r="D608" s="712"/>
      <c r="E608" s="293"/>
      <c r="F608" s="293"/>
    </row>
    <row r="609" spans="2:6" ht="13.9">
      <c r="B609" s="1453">
        <v>1</v>
      </c>
      <c r="C609" s="1961" t="s">
        <v>276</v>
      </c>
      <c r="D609" s="740">
        <v>0</v>
      </c>
      <c r="E609" s="293"/>
      <c r="F609" s="293"/>
    </row>
    <row r="610" spans="2:6">
      <c r="B610" s="1453">
        <v>2</v>
      </c>
      <c r="C610" s="1961" t="s">
        <v>277</v>
      </c>
      <c r="D610" s="765">
        <v>8197.9037599999901</v>
      </c>
      <c r="E610" s="293"/>
      <c r="F610" s="293"/>
    </row>
    <row r="611" spans="2:6">
      <c r="B611" s="1453">
        <v>3</v>
      </c>
      <c r="C611" s="1961" t="s">
        <v>278</v>
      </c>
      <c r="D611" s="765">
        <v>244281.57399999999</v>
      </c>
      <c r="E611" s="293"/>
      <c r="F611" s="293"/>
    </row>
    <row r="612" spans="2:6">
      <c r="B612" s="1453">
        <v>4</v>
      </c>
      <c r="C612" s="2224" t="s">
        <v>429</v>
      </c>
      <c r="D612" s="765">
        <v>49674.76</v>
      </c>
      <c r="E612" s="293"/>
      <c r="F612" s="293"/>
    </row>
    <row r="613" spans="2:6">
      <c r="B613" s="1453">
        <v>5</v>
      </c>
      <c r="C613" s="1961" t="s">
        <v>280</v>
      </c>
      <c r="D613" s="765">
        <v>73849.400999999998</v>
      </c>
      <c r="E613" s="293"/>
      <c r="F613" s="293"/>
    </row>
    <row r="614" spans="2:6">
      <c r="B614" s="1453">
        <v>6</v>
      </c>
      <c r="C614" s="1961" t="s">
        <v>281</v>
      </c>
      <c r="D614" s="789"/>
      <c r="E614" s="293"/>
      <c r="F614" s="293"/>
    </row>
    <row r="615" spans="2:6">
      <c r="B615" s="1453">
        <v>7</v>
      </c>
      <c r="C615" s="1961" t="s">
        <v>282</v>
      </c>
      <c r="D615" s="789"/>
      <c r="E615" s="293"/>
      <c r="F615" s="293"/>
    </row>
    <row r="616" spans="2:6">
      <c r="B616" s="1453"/>
      <c r="C616" s="2192" t="s">
        <v>416</v>
      </c>
      <c r="D616" s="789"/>
      <c r="E616" s="293"/>
      <c r="F616" s="293"/>
    </row>
    <row r="617" spans="2:6">
      <c r="B617" s="1453"/>
      <c r="C617" s="2192" t="s">
        <v>417</v>
      </c>
      <c r="D617" s="789"/>
      <c r="E617" s="293"/>
      <c r="F617" s="293"/>
    </row>
    <row r="618" spans="2:6">
      <c r="B618" s="1453">
        <v>8</v>
      </c>
      <c r="C618" s="1961" t="s">
        <v>285</v>
      </c>
      <c r="D618" s="789"/>
      <c r="E618" s="293"/>
      <c r="F618" s="293"/>
    </row>
    <row r="619" spans="2:6">
      <c r="B619" s="1453"/>
      <c r="C619" s="2192" t="s">
        <v>418</v>
      </c>
      <c r="D619" s="789"/>
      <c r="E619" s="293"/>
      <c r="F619" s="293"/>
    </row>
    <row r="620" spans="2:6">
      <c r="B620" s="1453"/>
      <c r="C620" s="2192" t="s">
        <v>419</v>
      </c>
      <c r="D620" s="789"/>
      <c r="E620" s="293"/>
      <c r="F620" s="293"/>
    </row>
    <row r="621" spans="2:6" ht="26.45">
      <c r="B621" s="2226">
        <v>9</v>
      </c>
      <c r="C621" s="2196" t="s">
        <v>288</v>
      </c>
      <c r="D621" s="790">
        <v>9038785.0382899996</v>
      </c>
      <c r="E621" s="293"/>
      <c r="F621" s="293"/>
    </row>
    <row r="622" spans="2:6">
      <c r="B622" s="1453">
        <v>10</v>
      </c>
      <c r="C622" s="2192" t="s">
        <v>289</v>
      </c>
      <c r="D622" s="789"/>
      <c r="E622" s="293"/>
      <c r="F622" s="293"/>
    </row>
    <row r="623" spans="2:6">
      <c r="B623" s="1453">
        <v>11</v>
      </c>
      <c r="C623" s="2192" t="s">
        <v>290</v>
      </c>
      <c r="D623" s="765">
        <v>5703427.721852567</v>
      </c>
      <c r="E623" s="293"/>
      <c r="F623" s="293"/>
    </row>
    <row r="624" spans="2:6">
      <c r="B624" s="1453">
        <v>12</v>
      </c>
      <c r="C624" s="2192" t="s">
        <v>291</v>
      </c>
      <c r="D624" s="765">
        <v>2476302.6011474323</v>
      </c>
      <c r="E624" s="293"/>
      <c r="F624" s="293"/>
    </row>
    <row r="625" spans="2:6" ht="26.45">
      <c r="B625" s="1453">
        <v>13</v>
      </c>
      <c r="C625" s="2192" t="s">
        <v>292</v>
      </c>
      <c r="D625" s="765">
        <v>859054.71528999996</v>
      </c>
      <c r="E625" s="293"/>
      <c r="F625" s="293"/>
    </row>
    <row r="626" spans="2:6">
      <c r="B626" s="1453">
        <v>14</v>
      </c>
      <c r="C626" s="1853" t="s">
        <v>293</v>
      </c>
      <c r="D626" s="789"/>
      <c r="E626" s="293"/>
      <c r="F626" s="293"/>
    </row>
    <row r="627" spans="2:6">
      <c r="B627" s="1453">
        <v>15</v>
      </c>
      <c r="C627" s="1853" t="s">
        <v>294</v>
      </c>
      <c r="D627" s="2236">
        <v>421008</v>
      </c>
      <c r="E627" s="293"/>
      <c r="F627" s="293"/>
    </row>
    <row r="628" spans="2:6">
      <c r="B628" s="1453">
        <v>16</v>
      </c>
      <c r="C628" s="1853" t="s">
        <v>295</v>
      </c>
      <c r="D628" s="766">
        <v>1032801.5782700001</v>
      </c>
      <c r="E628" s="293"/>
      <c r="F628" s="293"/>
    </row>
    <row r="629" spans="2:6">
      <c r="B629" s="1453">
        <v>17</v>
      </c>
      <c r="C629" s="1853" t="s">
        <v>296</v>
      </c>
      <c r="D629" s="766">
        <v>117800</v>
      </c>
      <c r="E629" s="383"/>
      <c r="F629" s="383"/>
    </row>
    <row r="630" spans="2:6">
      <c r="B630" s="1453">
        <v>18</v>
      </c>
      <c r="C630" s="1853" t="s">
        <v>297</v>
      </c>
      <c r="D630" s="2243"/>
      <c r="E630" s="293"/>
      <c r="F630" s="293"/>
    </row>
    <row r="631" spans="2:6" ht="13.9" thickBot="1">
      <c r="B631" s="1453">
        <v>19</v>
      </c>
      <c r="C631" s="2209" t="s">
        <v>298</v>
      </c>
      <c r="D631" s="2238">
        <v>68316</v>
      </c>
      <c r="E631" s="293"/>
      <c r="F631" s="293"/>
    </row>
    <row r="632" spans="2:6" ht="27" thickBot="1">
      <c r="B632" s="1406">
        <v>20</v>
      </c>
      <c r="C632" s="1444" t="s">
        <v>299</v>
      </c>
      <c r="D632" s="1471">
        <v>11054714.25532</v>
      </c>
      <c r="E632" s="293"/>
      <c r="F632" s="293"/>
    </row>
    <row r="633" spans="2:6">
      <c r="B633" s="1394"/>
      <c r="C633" s="1416" t="s">
        <v>300</v>
      </c>
      <c r="D633" s="789"/>
      <c r="E633" s="293"/>
      <c r="F633" s="293"/>
    </row>
    <row r="634" spans="2:6">
      <c r="B634" s="1394"/>
      <c r="C634" s="2217" t="s">
        <v>301</v>
      </c>
      <c r="D634" s="789"/>
      <c r="E634" s="293"/>
      <c r="F634" s="293"/>
    </row>
    <row r="635" spans="2:6">
      <c r="B635" s="1394">
        <v>21</v>
      </c>
      <c r="C635" s="1853" t="s">
        <v>302</v>
      </c>
      <c r="D635" s="2236">
        <v>4831513.7460000003</v>
      </c>
      <c r="E635" s="293"/>
      <c r="F635" s="293"/>
    </row>
    <row r="636" spans="2:6">
      <c r="B636" s="1394">
        <v>22</v>
      </c>
      <c r="C636" s="1853" t="s">
        <v>303</v>
      </c>
      <c r="D636" s="766">
        <v>50647.612000000001</v>
      </c>
      <c r="E636" s="293"/>
      <c r="F636" s="293"/>
    </row>
    <row r="637" spans="2:6">
      <c r="B637" s="1394">
        <v>23</v>
      </c>
      <c r="C637" s="1853" t="s">
        <v>304</v>
      </c>
      <c r="D637" s="766">
        <v>244382</v>
      </c>
      <c r="E637" s="293"/>
      <c r="F637" s="293"/>
    </row>
    <row r="638" spans="2:6">
      <c r="B638" s="1394">
        <v>24</v>
      </c>
      <c r="C638" s="1853" t="s">
        <v>305</v>
      </c>
      <c r="D638" s="789"/>
      <c r="E638" s="293"/>
      <c r="F638" s="293"/>
    </row>
    <row r="639" spans="2:6">
      <c r="B639" s="1394">
        <v>25</v>
      </c>
      <c r="C639" s="2192" t="s">
        <v>306</v>
      </c>
      <c r="D639" s="789"/>
      <c r="E639" s="293"/>
      <c r="F639" s="293"/>
    </row>
    <row r="640" spans="2:6" ht="13.9" thickBot="1">
      <c r="B640" s="1394">
        <v>26</v>
      </c>
      <c r="C640" s="2209" t="s">
        <v>307</v>
      </c>
      <c r="D640" s="2238">
        <v>935075.07400000002</v>
      </c>
      <c r="E640" s="293"/>
      <c r="F640" s="293"/>
    </row>
    <row r="641" spans="2:7" ht="13.9" thickBot="1">
      <c r="B641" s="1397">
        <v>27</v>
      </c>
      <c r="C641" s="1418" t="s">
        <v>308</v>
      </c>
      <c r="D641" s="791">
        <v>6061618.432</v>
      </c>
      <c r="E641" s="293"/>
      <c r="F641" s="293"/>
    </row>
    <row r="642" spans="2:7">
      <c r="B642" s="1394"/>
      <c r="C642" s="1416" t="s">
        <v>309</v>
      </c>
      <c r="D642" s="789"/>
      <c r="E642" s="293"/>
      <c r="F642" s="293"/>
    </row>
    <row r="643" spans="2:7">
      <c r="B643" s="1394">
        <v>28</v>
      </c>
      <c r="C643" s="1961" t="s">
        <v>310</v>
      </c>
      <c r="D643" s="2236">
        <v>1350000</v>
      </c>
      <c r="E643" s="383"/>
      <c r="F643" s="383"/>
    </row>
    <row r="644" spans="2:7">
      <c r="B644" s="1394">
        <v>29</v>
      </c>
      <c r="C644" s="1961" t="s">
        <v>311</v>
      </c>
      <c r="D644" s="766">
        <v>-7589</v>
      </c>
      <c r="E644" s="293"/>
      <c r="F644" s="293"/>
    </row>
    <row r="645" spans="2:7">
      <c r="B645" s="1394">
        <v>30</v>
      </c>
      <c r="C645" s="2215" t="s">
        <v>312</v>
      </c>
      <c r="D645" s="789"/>
      <c r="E645" s="293"/>
      <c r="F645" s="293"/>
    </row>
    <row r="646" spans="2:7" ht="13.9" thickBot="1">
      <c r="B646" s="1394">
        <v>31</v>
      </c>
      <c r="C646" s="2215" t="s">
        <v>314</v>
      </c>
      <c r="D646" s="2238">
        <v>3650685</v>
      </c>
      <c r="E646" s="293"/>
      <c r="F646" s="293"/>
    </row>
    <row r="647" spans="2:7" ht="13.9" thickBot="1">
      <c r="B647" s="1397">
        <v>32</v>
      </c>
      <c r="C647" s="1418" t="s">
        <v>315</v>
      </c>
      <c r="D647" s="791">
        <v>4993096</v>
      </c>
      <c r="E647" s="293"/>
      <c r="F647" s="293"/>
    </row>
    <row r="648" spans="2:7" ht="27" thickBot="1">
      <c r="B648" s="1409">
        <v>33</v>
      </c>
      <c r="C648" s="1442" t="s">
        <v>317</v>
      </c>
      <c r="D648" s="1472">
        <v>11054713.432</v>
      </c>
      <c r="E648" s="293"/>
      <c r="F648" s="293"/>
    </row>
    <row r="649" spans="2:7">
      <c r="B649" s="274"/>
      <c r="C649" s="391"/>
      <c r="D649" s="383"/>
      <c r="E649" s="293"/>
      <c r="F649" s="293"/>
    </row>
    <row r="650" spans="2:7">
      <c r="B650" s="274"/>
      <c r="C650" s="391"/>
      <c r="D650" s="383"/>
      <c r="E650" s="293"/>
      <c r="F650" s="293"/>
      <c r="G650" s="292">
        <v>108</v>
      </c>
    </row>
    <row r="651" spans="2:7">
      <c r="B651" s="274"/>
      <c r="C651" s="391"/>
      <c r="D651" s="383"/>
      <c r="E651" s="293"/>
      <c r="F651" s="293"/>
    </row>
    <row r="652" spans="2:7" ht="14.45">
      <c r="B652" s="3340" t="s">
        <v>430</v>
      </c>
      <c r="C652" s="3341"/>
      <c r="D652" s="3341"/>
      <c r="E652" s="3341"/>
      <c r="F652" s="3341"/>
      <c r="G652" s="3341"/>
    </row>
    <row r="653" spans="2:7" ht="13.9" thickBot="1">
      <c r="B653" s="51" t="s">
        <v>431</v>
      </c>
      <c r="C653" s="51"/>
      <c r="D653" s="51"/>
      <c r="E653" s="51"/>
      <c r="F653" s="51"/>
      <c r="G653" s="51"/>
    </row>
    <row r="654" spans="2:7" ht="13.9" thickBot="1">
      <c r="B654" s="3344" t="s">
        <v>135</v>
      </c>
      <c r="C654" s="3345"/>
      <c r="D654" s="425"/>
      <c r="E654" s="396"/>
      <c r="F654" s="396"/>
    </row>
    <row r="655" spans="2:7">
      <c r="B655" s="3284" t="s">
        <v>396</v>
      </c>
      <c r="C655" s="3346"/>
      <c r="D655" s="3283" t="s">
        <v>414</v>
      </c>
      <c r="E655" s="274"/>
      <c r="F655" s="274"/>
    </row>
    <row r="656" spans="2:7">
      <c r="B656" s="3284"/>
      <c r="C656" s="3346"/>
      <c r="D656" s="3284"/>
      <c r="E656" s="443"/>
      <c r="F656" s="443"/>
    </row>
    <row r="657" spans="2:9">
      <c r="B657" s="3285"/>
      <c r="C657" s="3347"/>
      <c r="D657" s="3285"/>
      <c r="E657" s="443"/>
      <c r="F657" s="443"/>
    </row>
    <row r="658" spans="2:9">
      <c r="B658" s="1394"/>
      <c r="C658" s="1401" t="s">
        <v>275</v>
      </c>
      <c r="D658" s="793"/>
      <c r="E658" s="293"/>
      <c r="F658" s="293"/>
    </row>
    <row r="659" spans="2:9">
      <c r="B659" s="1453">
        <v>1</v>
      </c>
      <c r="C659" s="1961" t="s">
        <v>276</v>
      </c>
      <c r="D659" s="741"/>
      <c r="E659" s="293"/>
      <c r="F659" s="293"/>
      <c r="H659" s="514"/>
      <c r="I659" s="396"/>
    </row>
    <row r="660" spans="2:9">
      <c r="B660" s="1453">
        <v>2</v>
      </c>
      <c r="C660" s="2218" t="s">
        <v>277</v>
      </c>
      <c r="D660" s="756"/>
      <c r="E660" s="293"/>
      <c r="F660" s="293"/>
      <c r="H660" s="514"/>
      <c r="I660" s="396"/>
    </row>
    <row r="661" spans="2:9">
      <c r="B661" s="1453">
        <v>3</v>
      </c>
      <c r="C661" s="1961" t="s">
        <v>278</v>
      </c>
      <c r="D661" s="733"/>
      <c r="E661" s="293"/>
      <c r="F661" s="293"/>
      <c r="H661" s="514"/>
      <c r="I661" s="396"/>
    </row>
    <row r="662" spans="2:9">
      <c r="B662" s="1453">
        <v>4</v>
      </c>
      <c r="C662" s="2224" t="s">
        <v>429</v>
      </c>
      <c r="D662" s="733">
        <v>71780</v>
      </c>
      <c r="E662" s="293"/>
      <c r="F662" s="293"/>
      <c r="H662" s="514"/>
      <c r="I662" s="396"/>
    </row>
    <row r="663" spans="2:9">
      <c r="B663" s="1453">
        <v>5</v>
      </c>
      <c r="C663" s="1961" t="s">
        <v>280</v>
      </c>
      <c r="D663" s="731">
        <v>84812</v>
      </c>
      <c r="E663" s="293"/>
      <c r="F663" s="293"/>
      <c r="H663" s="514"/>
      <c r="I663" s="396"/>
    </row>
    <row r="664" spans="2:9">
      <c r="B664" s="1453">
        <v>6</v>
      </c>
      <c r="C664" s="1961" t="s">
        <v>281</v>
      </c>
      <c r="D664" s="731">
        <v>75000</v>
      </c>
      <c r="E664" s="293"/>
      <c r="F664" s="293"/>
      <c r="H664" s="514"/>
      <c r="I664" s="396"/>
    </row>
    <row r="665" spans="2:9">
      <c r="B665" s="1453">
        <v>7</v>
      </c>
      <c r="C665" s="1961" t="s">
        <v>282</v>
      </c>
      <c r="D665" s="741"/>
      <c r="E665" s="293"/>
      <c r="F665" s="293"/>
      <c r="H665" s="514"/>
      <c r="I665" s="396"/>
    </row>
    <row r="666" spans="2:9">
      <c r="B666" s="1453"/>
      <c r="C666" s="2192" t="s">
        <v>416</v>
      </c>
      <c r="D666" s="741"/>
      <c r="E666" s="293"/>
      <c r="F666" s="293"/>
      <c r="H666" s="514"/>
      <c r="I666" s="396"/>
    </row>
    <row r="667" spans="2:9">
      <c r="B667" s="1453"/>
      <c r="C667" s="2192" t="s">
        <v>417</v>
      </c>
      <c r="D667" s="741"/>
      <c r="E667" s="293"/>
      <c r="F667" s="293"/>
      <c r="H667" s="514"/>
      <c r="I667" s="396"/>
    </row>
    <row r="668" spans="2:9">
      <c r="B668" s="1453">
        <v>8</v>
      </c>
      <c r="C668" s="1961" t="s">
        <v>285</v>
      </c>
      <c r="D668" s="741"/>
      <c r="E668" s="293"/>
      <c r="F668" s="293"/>
      <c r="H668" s="514"/>
      <c r="I668" s="396"/>
    </row>
    <row r="669" spans="2:9">
      <c r="B669" s="1453"/>
      <c r="C669" s="2192" t="s">
        <v>418</v>
      </c>
      <c r="D669" s="741"/>
      <c r="E669" s="293"/>
      <c r="F669" s="293"/>
      <c r="H669" s="514"/>
      <c r="I669" s="396"/>
    </row>
    <row r="670" spans="2:9">
      <c r="B670" s="1453"/>
      <c r="C670" s="2192" t="s">
        <v>419</v>
      </c>
      <c r="D670" s="741"/>
      <c r="E670" s="293"/>
      <c r="F670" s="293"/>
      <c r="H670" s="514"/>
      <c r="I670" s="396"/>
    </row>
    <row r="671" spans="2:9" ht="26.45">
      <c r="B671" s="2226">
        <v>9</v>
      </c>
      <c r="C671" s="2196" t="s">
        <v>288</v>
      </c>
      <c r="D671" s="743">
        <v>784668</v>
      </c>
      <c r="E671" s="293"/>
      <c r="F671" s="293"/>
      <c r="H671" s="514"/>
      <c r="I671" s="396"/>
    </row>
    <row r="672" spans="2:9">
      <c r="B672" s="1453">
        <v>10</v>
      </c>
      <c r="C672" s="2192" t="s">
        <v>289</v>
      </c>
      <c r="D672" s="741"/>
      <c r="E672" s="293"/>
      <c r="F672" s="293"/>
      <c r="H672" s="514"/>
      <c r="I672" s="396"/>
    </row>
    <row r="673" spans="2:9">
      <c r="B673" s="1453">
        <v>11</v>
      </c>
      <c r="C673" s="2192" t="s">
        <v>290</v>
      </c>
      <c r="D673" s="731">
        <v>669151</v>
      </c>
      <c r="E673" s="293"/>
      <c r="F673" s="293"/>
      <c r="H673" s="514"/>
      <c r="I673" s="396"/>
    </row>
    <row r="674" spans="2:9">
      <c r="B674" s="1453">
        <v>12</v>
      </c>
      <c r="C674" s="2192" t="s">
        <v>291</v>
      </c>
      <c r="D674" s="733"/>
      <c r="E674" s="293"/>
      <c r="F674" s="293"/>
      <c r="H674" s="514"/>
      <c r="I674" s="396"/>
    </row>
    <row r="675" spans="2:9" ht="26.45">
      <c r="B675" s="1453">
        <v>13</v>
      </c>
      <c r="C675" s="2192" t="s">
        <v>292</v>
      </c>
      <c r="D675" s="731">
        <v>115517</v>
      </c>
      <c r="E675" s="293"/>
      <c r="F675" s="293"/>
      <c r="H675" s="514"/>
      <c r="I675" s="396"/>
    </row>
    <row r="676" spans="2:9">
      <c r="B676" s="1453">
        <v>14</v>
      </c>
      <c r="C676" s="1853" t="s">
        <v>293</v>
      </c>
      <c r="D676" s="733"/>
      <c r="E676" s="293"/>
      <c r="F676" s="293"/>
      <c r="H676" s="514"/>
      <c r="I676" s="396"/>
    </row>
    <row r="677" spans="2:9">
      <c r="B677" s="1453">
        <v>15</v>
      </c>
      <c r="C677" s="1853" t="s">
        <v>294</v>
      </c>
      <c r="D677" s="731">
        <v>37084</v>
      </c>
      <c r="E677" s="293"/>
      <c r="F677" s="293"/>
      <c r="H677" s="514"/>
      <c r="I677" s="396"/>
    </row>
    <row r="678" spans="2:9">
      <c r="B678" s="1453">
        <v>16</v>
      </c>
      <c r="C678" s="1853" t="s">
        <v>295</v>
      </c>
      <c r="D678" s="731">
        <v>151869</v>
      </c>
      <c r="E678" s="293"/>
      <c r="F678" s="293"/>
      <c r="H678" s="514"/>
      <c r="I678" s="396"/>
    </row>
    <row r="679" spans="2:9">
      <c r="B679" s="1453">
        <v>17</v>
      </c>
      <c r="C679" s="1853" t="s">
        <v>296</v>
      </c>
      <c r="D679" s="731">
        <v>50451</v>
      </c>
      <c r="E679" s="293"/>
      <c r="F679" s="293"/>
      <c r="H679" s="514"/>
      <c r="I679" s="396"/>
    </row>
    <row r="680" spans="2:9">
      <c r="B680" s="1453">
        <v>18</v>
      </c>
      <c r="C680" s="1853" t="s">
        <v>297</v>
      </c>
      <c r="D680" s="733"/>
      <c r="E680" s="293"/>
      <c r="F680" s="293"/>
      <c r="H680" s="514"/>
      <c r="I680" s="396"/>
    </row>
    <row r="681" spans="2:9" ht="13.9" thickBot="1">
      <c r="B681" s="1453">
        <v>19</v>
      </c>
      <c r="C681" s="2209" t="s">
        <v>298</v>
      </c>
      <c r="D681" s="736">
        <v>80557</v>
      </c>
      <c r="E681" s="293"/>
      <c r="F681" s="293"/>
      <c r="H681" s="514"/>
      <c r="I681" s="396"/>
    </row>
    <row r="682" spans="2:9" ht="27" thickBot="1">
      <c r="B682" s="1406">
        <v>20</v>
      </c>
      <c r="C682" s="1444" t="s">
        <v>299</v>
      </c>
      <c r="D682" s="1434">
        <v>1336221</v>
      </c>
      <c r="E682" s="293"/>
      <c r="F682" s="293"/>
      <c r="H682" s="514"/>
      <c r="I682" s="396"/>
    </row>
    <row r="683" spans="2:9">
      <c r="B683" s="1394"/>
      <c r="C683" s="2217" t="s">
        <v>300</v>
      </c>
      <c r="D683" s="741"/>
      <c r="E683" s="293"/>
      <c r="F683" s="293"/>
      <c r="H683" s="514"/>
      <c r="I683" s="396"/>
    </row>
    <row r="684" spans="2:9">
      <c r="B684" s="1394"/>
      <c r="C684" s="2217" t="s">
        <v>301</v>
      </c>
      <c r="D684" s="741"/>
      <c r="E684" s="293"/>
      <c r="F684" s="293"/>
      <c r="H684" s="514"/>
      <c r="I684" s="396"/>
    </row>
    <row r="685" spans="2:9">
      <c r="B685" s="1394">
        <v>21</v>
      </c>
      <c r="C685" s="1853" t="s">
        <v>302</v>
      </c>
      <c r="D685" s="731">
        <v>372103</v>
      </c>
      <c r="E685" s="293"/>
      <c r="F685" s="293"/>
      <c r="H685" s="514"/>
      <c r="I685" s="396"/>
    </row>
    <row r="686" spans="2:9">
      <c r="B686" s="1394">
        <v>22</v>
      </c>
      <c r="C686" s="1853" t="s">
        <v>303</v>
      </c>
      <c r="D686" s="731">
        <v>9155</v>
      </c>
      <c r="E686" s="293"/>
      <c r="F686" s="293"/>
      <c r="H686" s="514"/>
      <c r="I686" s="396"/>
    </row>
    <row r="687" spans="2:9">
      <c r="B687" s="1394">
        <v>23</v>
      </c>
      <c r="C687" s="1853" t="s">
        <v>304</v>
      </c>
      <c r="D687" s="731">
        <v>43905</v>
      </c>
      <c r="E687" s="293"/>
      <c r="F687" s="293"/>
      <c r="H687" s="514"/>
      <c r="I687" s="396"/>
    </row>
    <row r="688" spans="2:9">
      <c r="B688" s="1394">
        <v>24</v>
      </c>
      <c r="C688" s="1853" t="s">
        <v>305</v>
      </c>
      <c r="D688" s="733"/>
      <c r="E688" s="293"/>
      <c r="F688" s="293"/>
      <c r="H688" s="514"/>
      <c r="I688" s="396"/>
    </row>
    <row r="689" spans="2:9">
      <c r="B689" s="1394">
        <v>25</v>
      </c>
      <c r="C689" s="2192" t="s">
        <v>306</v>
      </c>
      <c r="D689" s="733"/>
      <c r="E689" s="293"/>
      <c r="F689" s="293"/>
      <c r="H689" s="514"/>
      <c r="I689" s="396"/>
    </row>
    <row r="690" spans="2:9" ht="13.9" thickBot="1">
      <c r="B690" s="1394">
        <v>26</v>
      </c>
      <c r="C690" s="2209" t="s">
        <v>307</v>
      </c>
      <c r="D690" s="736">
        <v>170507</v>
      </c>
      <c r="E690" s="293"/>
      <c r="F690" s="293"/>
      <c r="H690" s="514"/>
      <c r="I690" s="396"/>
    </row>
    <row r="691" spans="2:9" ht="13.9" thickBot="1">
      <c r="B691" s="1397">
        <v>27</v>
      </c>
      <c r="C691" s="1418" t="s">
        <v>308</v>
      </c>
      <c r="D691" s="738">
        <v>595670</v>
      </c>
      <c r="E691" s="293"/>
      <c r="F691" s="293"/>
      <c r="H691" s="514"/>
      <c r="I691" s="396"/>
    </row>
    <row r="692" spans="2:9">
      <c r="B692" s="1394"/>
      <c r="C692" s="1416" t="s">
        <v>309</v>
      </c>
      <c r="D692" s="741"/>
      <c r="E692" s="293"/>
      <c r="F692" s="293"/>
      <c r="H692" s="514"/>
      <c r="I692" s="396"/>
    </row>
    <row r="693" spans="2:9">
      <c r="B693" s="1394">
        <v>28</v>
      </c>
      <c r="C693" s="1961" t="s">
        <v>310</v>
      </c>
      <c r="D693" s="731">
        <v>508996</v>
      </c>
      <c r="E693" s="293"/>
      <c r="F693" s="293"/>
      <c r="H693" s="514"/>
      <c r="I693" s="396"/>
    </row>
    <row r="694" spans="2:9">
      <c r="B694" s="1394">
        <v>29</v>
      </c>
      <c r="C694" s="1961" t="s">
        <v>311</v>
      </c>
      <c r="D694" s="733"/>
      <c r="E694" s="293"/>
      <c r="F694" s="293"/>
      <c r="H694" s="514"/>
      <c r="I694" s="396"/>
    </row>
    <row r="695" spans="2:9">
      <c r="B695" s="1394">
        <v>30</v>
      </c>
      <c r="C695" s="2215" t="s">
        <v>312</v>
      </c>
      <c r="D695" s="733"/>
      <c r="E695" s="293"/>
      <c r="F695" s="293"/>
      <c r="H695" s="514"/>
      <c r="I695" s="396"/>
    </row>
    <row r="696" spans="2:9" ht="13.9" thickBot="1">
      <c r="B696" s="1394">
        <v>31</v>
      </c>
      <c r="C696" s="2215" t="s">
        <v>314</v>
      </c>
      <c r="D696" s="736">
        <v>231555</v>
      </c>
      <c r="E696" s="293"/>
      <c r="F696" s="293"/>
      <c r="H696" s="514"/>
      <c r="I696" s="396"/>
    </row>
    <row r="697" spans="2:9" ht="13.9" thickBot="1">
      <c r="B697" s="1397">
        <v>32</v>
      </c>
      <c r="C697" s="1418" t="s">
        <v>315</v>
      </c>
      <c r="D697" s="737">
        <v>740551</v>
      </c>
      <c r="E697" s="293"/>
      <c r="F697" s="293"/>
      <c r="H697" s="514"/>
      <c r="I697" s="396"/>
    </row>
    <row r="698" spans="2:9" ht="27" thickBot="1">
      <c r="B698" s="1409">
        <v>33</v>
      </c>
      <c r="C698" s="1444" t="s">
        <v>317</v>
      </c>
      <c r="D698" s="1434">
        <v>1336221</v>
      </c>
      <c r="E698" s="293"/>
      <c r="F698" s="293"/>
      <c r="H698" s="514"/>
      <c r="I698" s="396"/>
    </row>
    <row r="699" spans="2:9">
      <c r="B699" s="274"/>
      <c r="C699" s="391"/>
      <c r="D699" s="383" t="s">
        <v>1</v>
      </c>
      <c r="E699" s="293"/>
      <c r="F699" s="293"/>
    </row>
    <row r="700" spans="2:9">
      <c r="B700" s="274"/>
      <c r="C700" s="391"/>
      <c r="D700" s="383"/>
      <c r="E700" s="293"/>
      <c r="F700" s="293"/>
      <c r="G700" s="292">
        <v>109</v>
      </c>
    </row>
    <row r="701" spans="2:9">
      <c r="B701" s="274"/>
      <c r="C701" s="391"/>
      <c r="D701" s="383"/>
      <c r="E701" s="293"/>
      <c r="F701" s="293"/>
    </row>
    <row r="702" spans="2:9" ht="14.45">
      <c r="B702" s="3340" t="s">
        <v>432</v>
      </c>
      <c r="C702" s="3341"/>
      <c r="D702" s="3341"/>
      <c r="E702" s="3341"/>
      <c r="F702" s="3341"/>
      <c r="G702" s="3341"/>
    </row>
    <row r="703" spans="2:9" ht="13.9" thickBot="1">
      <c r="B703" s="51" t="s">
        <v>431</v>
      </c>
      <c r="C703" s="51"/>
      <c r="D703" s="51"/>
      <c r="E703" s="51"/>
      <c r="F703" s="51"/>
      <c r="G703" s="51"/>
    </row>
    <row r="704" spans="2:9" ht="13.9" thickBot="1">
      <c r="B704" s="3344" t="s">
        <v>115</v>
      </c>
      <c r="C704" s="3345"/>
      <c r="D704" s="425"/>
      <c r="E704" s="396"/>
      <c r="F704" s="396"/>
    </row>
    <row r="705" spans="2:6" ht="45.6">
      <c r="B705" s="1327" t="s">
        <v>396</v>
      </c>
      <c r="C705" s="1448"/>
      <c r="D705" s="1473" t="s">
        <v>434</v>
      </c>
      <c r="E705" s="274"/>
      <c r="F705" s="274"/>
    </row>
    <row r="706" spans="2:6" ht="14.45" thickBot="1">
      <c r="B706" s="1394"/>
      <c r="C706" s="1401" t="s">
        <v>275</v>
      </c>
      <c r="D706" s="2244"/>
      <c r="E706" s="293"/>
      <c r="F706" s="293"/>
    </row>
    <row r="707" spans="2:6" ht="13.9">
      <c r="B707" s="1453">
        <v>1</v>
      </c>
      <c r="C707" s="2218" t="s">
        <v>276</v>
      </c>
      <c r="D707" s="792">
        <v>36398</v>
      </c>
      <c r="E707" s="293"/>
      <c r="F707" s="293"/>
    </row>
    <row r="708" spans="2:6">
      <c r="B708" s="1453">
        <v>2</v>
      </c>
      <c r="C708" s="2218" t="s">
        <v>277</v>
      </c>
      <c r="D708" s="730"/>
      <c r="E708" s="293"/>
      <c r="F708" s="293"/>
    </row>
    <row r="709" spans="2:6">
      <c r="B709" s="1453">
        <v>3</v>
      </c>
      <c r="C709" s="2218" t="s">
        <v>278</v>
      </c>
      <c r="D709" s="756"/>
      <c r="E709" s="293"/>
      <c r="F709" s="293"/>
    </row>
    <row r="710" spans="2:6">
      <c r="B710" s="1453">
        <v>4</v>
      </c>
      <c r="C710" s="2232" t="s">
        <v>429</v>
      </c>
      <c r="D710" s="730">
        <v>170593</v>
      </c>
      <c r="E710" s="293"/>
      <c r="F710" s="293"/>
    </row>
    <row r="711" spans="2:6">
      <c r="B711" s="1453">
        <v>5</v>
      </c>
      <c r="C711" s="2218" t="s">
        <v>280</v>
      </c>
      <c r="D711" s="730">
        <v>12639695</v>
      </c>
      <c r="E711" s="293"/>
      <c r="F711" s="293"/>
    </row>
    <row r="712" spans="2:6">
      <c r="B712" s="1453">
        <v>6</v>
      </c>
      <c r="C712" s="2218" t="s">
        <v>281</v>
      </c>
      <c r="D712" s="730">
        <v>1942600</v>
      </c>
      <c r="E712" s="293"/>
      <c r="F712" s="293"/>
    </row>
    <row r="713" spans="2:6">
      <c r="B713" s="1453">
        <v>7</v>
      </c>
      <c r="C713" s="2218" t="s">
        <v>282</v>
      </c>
      <c r="D713" s="756"/>
      <c r="E713" s="293"/>
      <c r="F713" s="293"/>
    </row>
    <row r="714" spans="2:6">
      <c r="B714" s="1453"/>
      <c r="C714" s="2203" t="s">
        <v>416</v>
      </c>
      <c r="D714" s="756"/>
      <c r="E714" s="293"/>
      <c r="F714" s="293"/>
    </row>
    <row r="715" spans="2:6">
      <c r="B715" s="1453"/>
      <c r="C715" s="2203" t="s">
        <v>417</v>
      </c>
      <c r="D715" s="730">
        <v>19634852</v>
      </c>
      <c r="E715" s="293"/>
      <c r="F715" s="293"/>
    </row>
    <row r="716" spans="2:6">
      <c r="B716" s="1453">
        <v>8</v>
      </c>
      <c r="C716" s="2218" t="s">
        <v>285</v>
      </c>
      <c r="D716" s="756"/>
      <c r="E716" s="293"/>
      <c r="F716" s="293"/>
    </row>
    <row r="717" spans="2:6">
      <c r="B717" s="1453"/>
      <c r="C717" s="2203" t="s">
        <v>418</v>
      </c>
      <c r="D717" s="756"/>
      <c r="E717" s="293"/>
      <c r="F717" s="293"/>
    </row>
    <row r="718" spans="2:6">
      <c r="B718" s="1453"/>
      <c r="C718" s="2203" t="s">
        <v>419</v>
      </c>
      <c r="D718" s="730">
        <v>198673</v>
      </c>
      <c r="E718" s="293"/>
      <c r="F718" s="293"/>
    </row>
    <row r="719" spans="2:6" ht="26.45">
      <c r="B719" s="2245">
        <v>9</v>
      </c>
      <c r="C719" s="2212" t="s">
        <v>288</v>
      </c>
      <c r="D719" s="1474">
        <v>35343058</v>
      </c>
      <c r="E719" s="293"/>
      <c r="F719" s="293"/>
    </row>
    <row r="720" spans="2:6">
      <c r="B720" s="1453">
        <v>10</v>
      </c>
      <c r="C720" s="2203" t="s">
        <v>289</v>
      </c>
      <c r="D720" s="730">
        <v>516869</v>
      </c>
      <c r="E720" s="293"/>
      <c r="F720" s="293"/>
    </row>
    <row r="721" spans="2:6">
      <c r="B721" s="1453">
        <v>11</v>
      </c>
      <c r="C721" s="2203" t="s">
        <v>290</v>
      </c>
      <c r="D721" s="730">
        <v>14794065</v>
      </c>
      <c r="E721" s="293"/>
      <c r="F721" s="293"/>
    </row>
    <row r="722" spans="2:6">
      <c r="B722" s="1453">
        <v>12</v>
      </c>
      <c r="C722" s="2203" t="s">
        <v>291</v>
      </c>
      <c r="D722" s="730">
        <v>14822920</v>
      </c>
      <c r="E722" s="293"/>
      <c r="F722" s="293"/>
    </row>
    <row r="723" spans="2:6" ht="26.45">
      <c r="B723" s="1453">
        <v>13</v>
      </c>
      <c r="C723" s="2203" t="s">
        <v>292</v>
      </c>
      <c r="D723" s="730">
        <v>5209204</v>
      </c>
      <c r="E723" s="293"/>
      <c r="F723" s="293"/>
    </row>
    <row r="724" spans="2:6">
      <c r="B724" s="1453">
        <v>14</v>
      </c>
      <c r="C724" s="2204" t="s">
        <v>293</v>
      </c>
      <c r="D724" s="756"/>
      <c r="E724" s="293"/>
      <c r="F724" s="293"/>
    </row>
    <row r="725" spans="2:6">
      <c r="B725" s="1453">
        <v>15</v>
      </c>
      <c r="C725" s="2204" t="s">
        <v>294</v>
      </c>
      <c r="D725" s="730">
        <v>2090082</v>
      </c>
      <c r="E725" s="293"/>
      <c r="F725" s="293"/>
    </row>
    <row r="726" spans="2:6">
      <c r="B726" s="1453">
        <v>16</v>
      </c>
      <c r="C726" s="2204" t="s">
        <v>295</v>
      </c>
      <c r="D726" s="730">
        <v>7470356</v>
      </c>
      <c r="E726" s="293"/>
      <c r="F726" s="293"/>
    </row>
    <row r="727" spans="2:6">
      <c r="B727" s="1453">
        <v>17</v>
      </c>
      <c r="C727" s="2204" t="s">
        <v>296</v>
      </c>
      <c r="D727" s="730">
        <v>1044622</v>
      </c>
      <c r="E727" s="383"/>
      <c r="F727" s="383"/>
    </row>
    <row r="728" spans="2:6">
      <c r="B728" s="1453">
        <v>18</v>
      </c>
      <c r="C728" s="2204" t="s">
        <v>297</v>
      </c>
      <c r="D728" s="730">
        <v>483822</v>
      </c>
      <c r="E728" s="293"/>
      <c r="F728" s="293"/>
    </row>
    <row r="729" spans="2:6" ht="13.9" thickBot="1">
      <c r="B729" s="1453">
        <v>19</v>
      </c>
      <c r="C729" s="2205" t="s">
        <v>298</v>
      </c>
      <c r="D729" s="739">
        <v>3137996</v>
      </c>
      <c r="E729" s="293"/>
      <c r="F729" s="293"/>
    </row>
    <row r="730" spans="2:6" ht="27" thickBot="1">
      <c r="B730" s="1406">
        <v>20</v>
      </c>
      <c r="C730" s="1425" t="s">
        <v>299</v>
      </c>
      <c r="D730" s="1462">
        <v>84192747</v>
      </c>
      <c r="E730" s="293"/>
      <c r="F730" s="293"/>
    </row>
    <row r="731" spans="2:6">
      <c r="B731" s="1394"/>
      <c r="C731" s="1398" t="s">
        <v>300</v>
      </c>
      <c r="D731" s="756"/>
      <c r="E731" s="293"/>
      <c r="F731" s="293"/>
    </row>
    <row r="732" spans="2:6">
      <c r="B732" s="1394"/>
      <c r="C732" s="2219" t="s">
        <v>301</v>
      </c>
      <c r="D732" s="756"/>
      <c r="E732" s="293"/>
      <c r="F732" s="293"/>
    </row>
    <row r="733" spans="2:6">
      <c r="B733" s="1394">
        <v>21</v>
      </c>
      <c r="C733" s="2204" t="s">
        <v>302</v>
      </c>
      <c r="D733" s="730">
        <v>20879547</v>
      </c>
      <c r="E733" s="293"/>
      <c r="F733" s="293"/>
    </row>
    <row r="734" spans="2:6">
      <c r="B734" s="1394">
        <v>22</v>
      </c>
      <c r="C734" s="2204" t="s">
        <v>303</v>
      </c>
      <c r="D734" s="730">
        <v>1000561</v>
      </c>
      <c r="E734" s="293"/>
      <c r="F734" s="293"/>
    </row>
    <row r="735" spans="2:6">
      <c r="B735" s="1394">
        <v>23</v>
      </c>
      <c r="C735" s="2204" t="s">
        <v>304</v>
      </c>
      <c r="D735" s="730">
        <v>1773196</v>
      </c>
      <c r="E735" s="293"/>
      <c r="F735" s="293"/>
    </row>
    <row r="736" spans="2:6">
      <c r="B736" s="1394">
        <v>24</v>
      </c>
      <c r="C736" s="2204" t="s">
        <v>305</v>
      </c>
      <c r="D736" s="756"/>
      <c r="E736" s="293"/>
      <c r="F736" s="293"/>
    </row>
    <row r="737" spans="1:7">
      <c r="B737" s="1394">
        <v>25</v>
      </c>
      <c r="C737" s="2203" t="s">
        <v>306</v>
      </c>
      <c r="D737" s="756"/>
      <c r="E737" s="293"/>
      <c r="F737" s="293"/>
    </row>
    <row r="738" spans="1:7" ht="13.9" thickBot="1">
      <c r="B738" s="1394">
        <v>26</v>
      </c>
      <c r="C738" s="2205" t="s">
        <v>307</v>
      </c>
      <c r="D738" s="739">
        <v>7056380</v>
      </c>
      <c r="E738" s="293"/>
      <c r="F738" s="293"/>
    </row>
    <row r="739" spans="1:7" ht="13.9" thickBot="1">
      <c r="B739" s="1397">
        <v>27</v>
      </c>
      <c r="C739" s="1419" t="s">
        <v>308</v>
      </c>
      <c r="D739" s="774">
        <v>30709684</v>
      </c>
      <c r="E739" s="293"/>
      <c r="F739" s="293"/>
    </row>
    <row r="740" spans="1:7">
      <c r="B740" s="1394"/>
      <c r="C740" s="1398" t="s">
        <v>309</v>
      </c>
      <c r="D740" s="756"/>
      <c r="E740" s="293"/>
      <c r="F740" s="293"/>
    </row>
    <row r="741" spans="1:7">
      <c r="B741" s="1394">
        <v>28</v>
      </c>
      <c r="C741" s="2218" t="s">
        <v>310</v>
      </c>
      <c r="D741" s="730">
        <v>6000000</v>
      </c>
      <c r="E741" s="293"/>
      <c r="F741" s="293"/>
    </row>
    <row r="742" spans="1:7">
      <c r="B742" s="1394">
        <v>29</v>
      </c>
      <c r="C742" s="2218" t="s">
        <v>311</v>
      </c>
      <c r="D742" s="730">
        <v>2748526</v>
      </c>
      <c r="E742" s="293"/>
      <c r="F742" s="293"/>
    </row>
    <row r="743" spans="1:7">
      <c r="B743" s="1394">
        <v>30</v>
      </c>
      <c r="C743" s="2207" t="s">
        <v>312</v>
      </c>
      <c r="D743" s="730">
        <v>9203609</v>
      </c>
      <c r="E743" s="293"/>
      <c r="F743" s="293"/>
    </row>
    <row r="744" spans="1:7" ht="13.9" thickBot="1">
      <c r="B744" s="1394">
        <v>31</v>
      </c>
      <c r="C744" s="2207" t="s">
        <v>314</v>
      </c>
      <c r="D744" s="739">
        <v>35530928</v>
      </c>
      <c r="E744" s="293"/>
      <c r="F744" s="293"/>
    </row>
    <row r="745" spans="1:7" ht="13.9" thickBot="1">
      <c r="B745" s="1397">
        <v>32</v>
      </c>
      <c r="C745" s="1419" t="s">
        <v>315</v>
      </c>
      <c r="D745" s="774">
        <v>53483063</v>
      </c>
      <c r="E745" s="293"/>
      <c r="F745" s="293"/>
    </row>
    <row r="746" spans="1:7" ht="27" thickBot="1">
      <c r="A746" s="1475"/>
      <c r="B746" s="1409">
        <v>33</v>
      </c>
      <c r="C746" s="1430" t="s">
        <v>317</v>
      </c>
      <c r="D746" s="1460">
        <v>84192747</v>
      </c>
      <c r="E746" s="293"/>
      <c r="F746" s="293"/>
    </row>
    <row r="747" spans="1:7">
      <c r="B747" s="274"/>
      <c r="C747" s="391"/>
      <c r="D747" s="383"/>
      <c r="E747" s="293"/>
      <c r="F747" s="293"/>
    </row>
    <row r="748" spans="1:7">
      <c r="B748" s="274"/>
      <c r="C748" s="391"/>
      <c r="D748" s="383"/>
      <c r="E748" s="293"/>
      <c r="F748" s="293"/>
      <c r="G748" s="292">
        <v>110</v>
      </c>
    </row>
    <row r="750" spans="1:7">
      <c r="C750" s="52"/>
    </row>
  </sheetData>
  <mergeCells count="78">
    <mergeCell ref="B4:C4"/>
    <mergeCell ref="B5:B7"/>
    <mergeCell ref="C5:C7"/>
    <mergeCell ref="D5:D7"/>
    <mergeCell ref="E5:E7"/>
    <mergeCell ref="B152:G152"/>
    <mergeCell ref="G5:G7"/>
    <mergeCell ref="B52:G52"/>
    <mergeCell ref="B54:C54"/>
    <mergeCell ref="B55:B57"/>
    <mergeCell ref="C55:C57"/>
    <mergeCell ref="D55:D57"/>
    <mergeCell ref="F5:F7"/>
    <mergeCell ref="B102:G102"/>
    <mergeCell ref="B104:C104"/>
    <mergeCell ref="B105:B107"/>
    <mergeCell ref="C105:C107"/>
    <mergeCell ref="D105:D107"/>
    <mergeCell ref="C50:D50"/>
    <mergeCell ref="B255:B257"/>
    <mergeCell ref="C255:C257"/>
    <mergeCell ref="D255:D257"/>
    <mergeCell ref="B154:C154"/>
    <mergeCell ref="B155:B157"/>
    <mergeCell ref="C155:C157"/>
    <mergeCell ref="D155:D157"/>
    <mergeCell ref="B202:G202"/>
    <mergeCell ref="B204:C204"/>
    <mergeCell ref="B205:B207"/>
    <mergeCell ref="C205:C207"/>
    <mergeCell ref="D205:D207"/>
    <mergeCell ref="B252:G252"/>
    <mergeCell ref="B254:C254"/>
    <mergeCell ref="B302:G302"/>
    <mergeCell ref="B304:C304"/>
    <mergeCell ref="B305:B307"/>
    <mergeCell ref="C305:C307"/>
    <mergeCell ref="D305:D307"/>
    <mergeCell ref="B352:G352"/>
    <mergeCell ref="B354:C354"/>
    <mergeCell ref="B355:B357"/>
    <mergeCell ref="C355:C357"/>
    <mergeCell ref="D355:D357"/>
    <mergeCell ref="B502:G502"/>
    <mergeCell ref="B402:G402"/>
    <mergeCell ref="B404:C404"/>
    <mergeCell ref="B405:B407"/>
    <mergeCell ref="C405:C407"/>
    <mergeCell ref="D405:D407"/>
    <mergeCell ref="B452:G452"/>
    <mergeCell ref="B454:C454"/>
    <mergeCell ref="B455:B457"/>
    <mergeCell ref="C455:C457"/>
    <mergeCell ref="D455:D457"/>
    <mergeCell ref="B504:C504"/>
    <mergeCell ref="B505:B507"/>
    <mergeCell ref="C505:C507"/>
    <mergeCell ref="D505:D507"/>
    <mergeCell ref="E505:E507"/>
    <mergeCell ref="G505:G507"/>
    <mergeCell ref="B552:G552"/>
    <mergeCell ref="B554:C554"/>
    <mergeCell ref="B555:B557"/>
    <mergeCell ref="C555:C557"/>
    <mergeCell ref="D555:D557"/>
    <mergeCell ref="F505:F507"/>
    <mergeCell ref="B704:C704"/>
    <mergeCell ref="B602:G602"/>
    <mergeCell ref="B604:C604"/>
    <mergeCell ref="B605:B607"/>
    <mergeCell ref="C605:C607"/>
    <mergeCell ref="D605:D607"/>
    <mergeCell ref="B652:G652"/>
    <mergeCell ref="B654:C654"/>
    <mergeCell ref="B655:B657"/>
    <mergeCell ref="C655:C657"/>
    <mergeCell ref="D655:D657"/>
    <mergeCell ref="B702:G702"/>
  </mergeCells>
  <pageMargins left="0.7" right="0.7" top="0.75" bottom="0.75" header="0.3" footer="0.3"/>
  <pageSetup paperSize="9" scale="65" orientation="portrait" r:id="rId1"/>
  <rowBreaks count="14" manualBreakCount="14">
    <brk id="50" max="16383" man="1"/>
    <brk id="100" max="16383" man="1"/>
    <brk id="150" max="16383" man="1"/>
    <brk id="200" max="16383" man="1"/>
    <brk id="250" max="16383" man="1"/>
    <brk id="300" max="16383" man="1"/>
    <brk id="350" max="16383" man="1"/>
    <brk id="400" max="16383" man="1"/>
    <brk id="450" max="16383" man="1"/>
    <brk id="500" max="16383" man="1"/>
    <brk id="550" max="16383" man="1"/>
    <brk id="600" max="16383" man="1"/>
    <brk id="650" max="16383" man="1"/>
    <brk id="700" max="16383" man="1"/>
  </rowBreaks>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F6699"/>
  </sheetPr>
  <dimension ref="A1:U603"/>
  <sheetViews>
    <sheetView showGridLines="0" view="pageBreakPreview" topLeftCell="A406" zoomScale="90" zoomScaleNormal="100" zoomScaleSheetLayoutView="90" workbookViewId="0">
      <pane xSplit="2" topLeftCell="J499" activePane="topRight" state="frozen"/>
      <selection pane="topRight" activeCell="J499" sqref="J499"/>
    </sheetView>
  </sheetViews>
  <sheetFormatPr defaultColWidth="9.140625" defaultRowHeight="13.5" customHeight="1"/>
  <cols>
    <col min="1" max="1" width="5.85546875" style="514" customWidth="1"/>
    <col min="2" max="2" width="31.140625" style="413" customWidth="1"/>
    <col min="3" max="3" width="15.42578125" style="292" customWidth="1"/>
    <col min="4" max="4" width="13.7109375" style="292" customWidth="1"/>
    <col min="5" max="5" width="15.5703125" style="292" customWidth="1"/>
    <col min="6" max="6" width="16" style="292" customWidth="1"/>
    <col min="7" max="7" width="14.7109375" style="292" bestFit="1" customWidth="1"/>
    <col min="8" max="8" width="14" style="292" customWidth="1"/>
    <col min="9" max="9" width="14.5703125" style="292" customWidth="1"/>
    <col min="10" max="10" width="16.42578125" style="292" customWidth="1"/>
    <col min="11" max="11" width="16.42578125" style="394" customWidth="1"/>
    <col min="12" max="12" width="15.140625" style="292" customWidth="1"/>
    <col min="13" max="15" width="14.85546875" style="292" bestFit="1" customWidth="1"/>
    <col min="16" max="17" width="16" style="292" bestFit="1" customWidth="1"/>
    <col min="18" max="18" width="15.7109375" style="292" bestFit="1" customWidth="1"/>
    <col min="19" max="19" width="14.85546875" style="292" bestFit="1" customWidth="1"/>
    <col min="20" max="20" width="16" style="292" bestFit="1" customWidth="1"/>
    <col min="21" max="21" width="14.85546875" style="292" bestFit="1" customWidth="1"/>
    <col min="22" max="16384" width="9.140625" style="292"/>
  </cols>
  <sheetData>
    <row r="1" spans="1:21" ht="13.5" customHeight="1">
      <c r="B1" s="292"/>
    </row>
    <row r="2" spans="1:21" ht="13.5" customHeight="1">
      <c r="B2" s="295" t="s">
        <v>435</v>
      </c>
      <c r="C2" s="295"/>
      <c r="D2" s="295"/>
    </row>
    <row r="3" spans="1:21" ht="13.5" customHeight="1" thickBot="1">
      <c r="B3" s="295"/>
    </row>
    <row r="4" spans="1:21" ht="13.5" customHeight="1" thickBot="1">
      <c r="B4" s="1476" t="s">
        <v>266</v>
      </c>
      <c r="I4" s="551"/>
      <c r="J4" s="532" t="s">
        <v>238</v>
      </c>
    </row>
    <row r="5" spans="1:21" s="52" customFormat="1" ht="13.5" customHeight="1" thickBot="1">
      <c r="A5" s="414"/>
      <c r="B5" s="3377"/>
      <c r="C5" s="3380">
        <v>2022</v>
      </c>
      <c r="D5" s="3381"/>
      <c r="E5" s="3381"/>
      <c r="F5" s="3381"/>
      <c r="G5" s="3381"/>
      <c r="H5" s="3381"/>
      <c r="I5" s="3381"/>
      <c r="J5" s="3381"/>
      <c r="K5" s="3382"/>
      <c r="M5" s="236"/>
      <c r="N5" s="236"/>
      <c r="O5" s="236"/>
      <c r="P5" s="236"/>
      <c r="Q5" s="236"/>
      <c r="R5" s="236"/>
      <c r="S5" s="236"/>
      <c r="T5" s="236"/>
      <c r="U5" s="236"/>
    </row>
    <row r="6" spans="1:21" s="52" customFormat="1" ht="13.5" customHeight="1" thickBot="1">
      <c r="A6" s="415"/>
      <c r="B6" s="3378"/>
      <c r="C6" s="3362" t="s">
        <v>436</v>
      </c>
      <c r="D6" s="3362" t="s">
        <v>437</v>
      </c>
      <c r="E6" s="3359" t="s">
        <v>438</v>
      </c>
      <c r="F6" s="3361"/>
      <c r="G6" s="3364" t="s">
        <v>439</v>
      </c>
      <c r="H6" s="3364" t="s">
        <v>440</v>
      </c>
      <c r="I6" s="3404" t="s">
        <v>398</v>
      </c>
      <c r="J6" s="3384" t="s">
        <v>118</v>
      </c>
      <c r="K6" s="3384" t="s">
        <v>441</v>
      </c>
      <c r="M6" s="236"/>
      <c r="N6" s="236"/>
      <c r="O6" s="236"/>
      <c r="P6" s="236"/>
      <c r="Q6" s="236"/>
      <c r="R6" s="236"/>
      <c r="S6" s="279"/>
      <c r="T6" s="279"/>
      <c r="U6" s="279"/>
    </row>
    <row r="7" spans="1:21" s="52" customFormat="1" ht="27" customHeight="1" thickBot="1">
      <c r="A7" s="415"/>
      <c r="B7" s="3379"/>
      <c r="C7" s="3363"/>
      <c r="D7" s="3363"/>
      <c r="E7" s="1461" t="s">
        <v>442</v>
      </c>
      <c r="F7" s="1461" t="s">
        <v>443</v>
      </c>
      <c r="G7" s="3365"/>
      <c r="H7" s="3365"/>
      <c r="I7" s="3405"/>
      <c r="J7" s="3385"/>
      <c r="K7" s="3385"/>
      <c r="M7" s="236"/>
      <c r="N7" s="236"/>
      <c r="O7" s="274"/>
      <c r="P7" s="274"/>
      <c r="Q7" s="236"/>
      <c r="R7" s="236"/>
      <c r="S7" s="279"/>
      <c r="T7" s="279"/>
      <c r="U7" s="279"/>
    </row>
    <row r="8" spans="1:21" s="52" customFormat="1" ht="13.5" customHeight="1">
      <c r="A8" s="427"/>
      <c r="B8" s="1478" t="s">
        <v>342</v>
      </c>
      <c r="C8" s="3075">
        <f t="shared" ref="C8:H11" si="0">+C46+C84+C122+C160+C204+C247+C288+C326+C364+C402+C440+C478+C516+C554</f>
        <v>20508482.848287743</v>
      </c>
      <c r="D8" s="3076">
        <f t="shared" si="0"/>
        <v>4333918.7021839116</v>
      </c>
      <c r="E8" s="3075">
        <f t="shared" si="0"/>
        <v>2646270.7835700274</v>
      </c>
      <c r="F8" s="3076">
        <f t="shared" si="0"/>
        <v>62816778.992170006</v>
      </c>
      <c r="G8" s="3075">
        <f t="shared" si="0"/>
        <v>18419594.715600003</v>
      </c>
      <c r="H8" s="3076">
        <f t="shared" si="0"/>
        <v>13805138.625269799</v>
      </c>
      <c r="I8" s="3075">
        <f>+I402</f>
        <v>8063134</v>
      </c>
      <c r="J8" s="3077">
        <f>SUM(C8:I8)</f>
        <v>130593318.66708149</v>
      </c>
      <c r="K8" s="3075">
        <f>+K402</f>
        <v>3107308</v>
      </c>
      <c r="L8" s="305"/>
      <c r="M8" s="305"/>
      <c r="N8" s="305"/>
      <c r="O8" s="305"/>
      <c r="P8" s="305"/>
      <c r="Q8" s="305"/>
      <c r="R8" s="305"/>
      <c r="S8" s="305"/>
      <c r="T8" s="305"/>
      <c r="U8" s="305"/>
    </row>
    <row r="9" spans="1:21" s="52" customFormat="1" ht="13.5" customHeight="1">
      <c r="A9" s="427"/>
      <c r="B9" s="2246" t="s">
        <v>444</v>
      </c>
      <c r="C9" s="1866">
        <f t="shared" si="0"/>
        <v>-274336.26836920698</v>
      </c>
      <c r="D9" s="1865">
        <f t="shared" si="0"/>
        <v>-368062.07175890001</v>
      </c>
      <c r="E9" s="1866">
        <f t="shared" si="0"/>
        <v>0</v>
      </c>
      <c r="F9" s="1865">
        <f t="shared" si="0"/>
        <v>-29192.726640000001</v>
      </c>
      <c r="G9" s="1866">
        <f t="shared" si="0"/>
        <v>-13550</v>
      </c>
      <c r="H9" s="1865">
        <f t="shared" si="0"/>
        <v>-264381.93967766908</v>
      </c>
      <c r="I9" s="1866">
        <f t="shared" ref="I9:I19" si="1">+I403</f>
        <v>0</v>
      </c>
      <c r="J9" s="2247">
        <f>SUM(C9:I9)</f>
        <v>-949523.00644577609</v>
      </c>
      <c r="K9" s="1866">
        <f>+K403</f>
        <v>0</v>
      </c>
      <c r="L9" s="305"/>
      <c r="M9" s="305"/>
      <c r="N9" s="305"/>
      <c r="O9" s="305"/>
      <c r="P9" s="305"/>
      <c r="Q9" s="305"/>
      <c r="R9" s="305"/>
      <c r="S9" s="305"/>
      <c r="T9" s="305"/>
      <c r="U9" s="305"/>
    </row>
    <row r="10" spans="1:21" s="52" customFormat="1" ht="13.5" customHeight="1">
      <c r="A10" s="427"/>
      <c r="B10" s="2246" t="s">
        <v>445</v>
      </c>
      <c r="C10" s="1866">
        <f t="shared" si="0"/>
        <v>-5606032.6338</v>
      </c>
      <c r="D10" s="1865">
        <f t="shared" si="0"/>
        <v>-41043.802940000001</v>
      </c>
      <c r="E10" s="1866">
        <f t="shared" si="0"/>
        <v>0</v>
      </c>
      <c r="F10" s="1865">
        <f t="shared" si="0"/>
        <v>-1336080.5533636</v>
      </c>
      <c r="G10" s="1866">
        <f t="shared" si="0"/>
        <v>1362</v>
      </c>
      <c r="H10" s="1865">
        <f t="shared" si="0"/>
        <v>-832564.24177999992</v>
      </c>
      <c r="I10" s="1866">
        <f t="shared" si="1"/>
        <v>0</v>
      </c>
      <c r="J10" s="2247">
        <f>SUM(C10:I10)</f>
        <v>-7814359.2318835994</v>
      </c>
      <c r="K10" s="1866">
        <f>+K404</f>
        <v>0</v>
      </c>
      <c r="L10" s="305"/>
      <c r="M10" s="305"/>
      <c r="N10" s="305"/>
      <c r="O10" s="305"/>
      <c r="P10" s="305"/>
      <c r="Q10" s="305"/>
      <c r="R10" s="305"/>
      <c r="S10" s="305"/>
      <c r="T10" s="305"/>
      <c r="U10" s="305"/>
    </row>
    <row r="11" spans="1:21" s="52" customFormat="1" ht="13.5" customHeight="1">
      <c r="A11" s="427"/>
      <c r="B11" s="2246" t="s">
        <v>446</v>
      </c>
      <c r="C11" s="1866">
        <f t="shared" si="0"/>
        <v>-10517639.237424091</v>
      </c>
      <c r="D11" s="1865">
        <f t="shared" si="0"/>
        <v>-2651622.7502937303</v>
      </c>
      <c r="E11" s="1866">
        <f t="shared" si="0"/>
        <v>-168863</v>
      </c>
      <c r="F11" s="1865">
        <f t="shared" si="0"/>
        <v>-1498862.636972565</v>
      </c>
      <c r="G11" s="1866">
        <f t="shared" si="0"/>
        <v>-678224.12488999998</v>
      </c>
      <c r="H11" s="1865">
        <f t="shared" si="0"/>
        <v>-8048975.5688235182</v>
      </c>
      <c r="I11" s="1866">
        <f t="shared" si="1"/>
        <v>-168491</v>
      </c>
      <c r="J11" s="2247">
        <f>SUM(C11:I11)</f>
        <v>-23732678.318403903</v>
      </c>
      <c r="K11" s="1866">
        <f>+K405</f>
        <v>-515524</v>
      </c>
      <c r="L11" s="305"/>
      <c r="M11" s="305"/>
      <c r="N11" s="305"/>
      <c r="O11" s="305"/>
      <c r="P11" s="305"/>
      <c r="Q11" s="305"/>
      <c r="R11" s="305"/>
      <c r="S11" s="305"/>
      <c r="T11" s="305"/>
      <c r="U11" s="305"/>
    </row>
    <row r="12" spans="1:21" s="236" customFormat="1" ht="13.5" customHeight="1">
      <c r="A12" s="428"/>
      <c r="B12" s="2248" t="s">
        <v>447</v>
      </c>
      <c r="C12" s="2249">
        <f>SUM(C8:C11)</f>
        <v>4110474.7086944468</v>
      </c>
      <c r="D12" s="2250">
        <f t="shared" ref="D12:I12" si="2">SUM(D8:D11)</f>
        <v>1273190.0771912816</v>
      </c>
      <c r="E12" s="2249">
        <f t="shared" si="2"/>
        <v>2477407.7835700274</v>
      </c>
      <c r="F12" s="2250">
        <f t="shared" si="2"/>
        <v>59952643.075193845</v>
      </c>
      <c r="G12" s="2249">
        <f t="shared" si="2"/>
        <v>17729182.590710003</v>
      </c>
      <c r="H12" s="2250">
        <f t="shared" si="2"/>
        <v>4659216.8749886118</v>
      </c>
      <c r="I12" s="2249">
        <f t="shared" si="2"/>
        <v>7894643</v>
      </c>
      <c r="J12" s="2251">
        <f>SUM(J8:J11)</f>
        <v>98096758.11034821</v>
      </c>
      <c r="K12" s="2249">
        <f>SUM(K8:K11)</f>
        <v>2591784</v>
      </c>
      <c r="L12" s="305"/>
      <c r="M12" s="305"/>
      <c r="N12" s="305"/>
      <c r="O12" s="305"/>
      <c r="P12" s="305"/>
      <c r="Q12" s="305"/>
      <c r="R12" s="305"/>
      <c r="S12" s="305"/>
      <c r="T12" s="305"/>
      <c r="U12" s="305"/>
    </row>
    <row r="13" spans="1:21" s="52" customFormat="1" ht="13.5" customHeight="1">
      <c r="A13" s="427"/>
      <c r="B13" s="2246" t="s">
        <v>448</v>
      </c>
      <c r="C13" s="1866">
        <f t="shared" ref="C13:H13" si="3">+C51+C89+C127+C165+C209+C252+C293+C331+C369+C407+C445+C483+C521+C559</f>
        <v>-465769.90945532348</v>
      </c>
      <c r="D13" s="1865">
        <f t="shared" si="3"/>
        <v>-24538.712333454409</v>
      </c>
      <c r="E13" s="1866">
        <f t="shared" si="3"/>
        <v>-37815.495785568615</v>
      </c>
      <c r="F13" s="1865">
        <f t="shared" si="3"/>
        <v>-1898495.0626086306</v>
      </c>
      <c r="G13" s="1866">
        <f t="shared" si="3"/>
        <v>1306638.6985456422</v>
      </c>
      <c r="H13" s="1865">
        <f t="shared" si="3"/>
        <v>-469086.42610830168</v>
      </c>
      <c r="I13" s="1866">
        <f t="shared" si="1"/>
        <v>-492729</v>
      </c>
      <c r="J13" s="2247">
        <f>SUM(C13:I13)</f>
        <v>-2081795.9077456365</v>
      </c>
      <c r="K13" s="1866">
        <f>+K407</f>
        <v>155038</v>
      </c>
      <c r="L13" s="305"/>
      <c r="M13" s="305"/>
      <c r="N13" s="305"/>
      <c r="O13" s="305"/>
      <c r="P13" s="305"/>
      <c r="Q13" s="305"/>
      <c r="R13" s="305"/>
      <c r="S13" s="305"/>
      <c r="T13" s="305"/>
      <c r="U13" s="305"/>
    </row>
    <row r="14" spans="1:21" s="236" customFormat="1" ht="13.5" customHeight="1">
      <c r="A14" s="428"/>
      <c r="B14" s="2248" t="s">
        <v>449</v>
      </c>
      <c r="C14" s="2249">
        <f>SUM(C12:C13)</f>
        <v>3644704.7992391232</v>
      </c>
      <c r="D14" s="2250">
        <f t="shared" ref="D14:J14" si="4">SUM(D12:D13)</f>
        <v>1248651.3648578271</v>
      </c>
      <c r="E14" s="2249">
        <f t="shared" si="4"/>
        <v>2439592.2877844586</v>
      </c>
      <c r="F14" s="2250">
        <f t="shared" si="4"/>
        <v>58054148.012585215</v>
      </c>
      <c r="G14" s="2249">
        <f t="shared" si="4"/>
        <v>19035821.289255645</v>
      </c>
      <c r="H14" s="2250">
        <f t="shared" si="4"/>
        <v>4190130.4488803102</v>
      </c>
      <c r="I14" s="2249">
        <f t="shared" si="4"/>
        <v>7401914</v>
      </c>
      <c r="J14" s="2251">
        <f t="shared" si="4"/>
        <v>96014962.20260258</v>
      </c>
      <c r="K14" s="2249">
        <f>SUM(K12:K13)</f>
        <v>2746822</v>
      </c>
      <c r="L14" s="305"/>
      <c r="M14" s="305"/>
      <c r="N14" s="305"/>
      <c r="O14" s="305"/>
      <c r="P14" s="305"/>
      <c r="Q14" s="305"/>
      <c r="R14" s="305"/>
      <c r="S14" s="305"/>
      <c r="T14" s="305"/>
      <c r="U14" s="305"/>
    </row>
    <row r="15" spans="1:21" s="52" customFormat="1" ht="13.5" customHeight="1">
      <c r="A15" s="427"/>
      <c r="B15" s="2246"/>
      <c r="C15" s="1866">
        <f>+C53+C91+C129+C167+C211+C254+C295+C333+C371+C409+C447+C485+C523+C561</f>
        <v>0</v>
      </c>
      <c r="D15" s="1865">
        <v>0</v>
      </c>
      <c r="E15" s="1866">
        <v>0</v>
      </c>
      <c r="F15" s="1865">
        <v>0</v>
      </c>
      <c r="G15" s="1866">
        <v>0</v>
      </c>
      <c r="H15" s="1865">
        <v>0</v>
      </c>
      <c r="I15" s="1866">
        <f t="shared" si="1"/>
        <v>0</v>
      </c>
      <c r="J15" s="2247">
        <v>0</v>
      </c>
      <c r="K15" s="1866">
        <f>+K409</f>
        <v>0</v>
      </c>
      <c r="L15" s="305"/>
      <c r="M15" s="305"/>
      <c r="N15" s="305"/>
      <c r="O15" s="305"/>
      <c r="P15" s="305"/>
      <c r="Q15" s="305"/>
      <c r="R15" s="305"/>
      <c r="S15" s="305"/>
      <c r="T15" s="305"/>
      <c r="U15" s="305"/>
    </row>
    <row r="16" spans="1:21" s="236" customFormat="1" ht="13.5" customHeight="1">
      <c r="A16" s="428"/>
      <c r="B16" s="2248" t="s">
        <v>450</v>
      </c>
      <c r="C16" s="2249">
        <f>SUM(C17:C19)</f>
        <v>-3235815.0813179072</v>
      </c>
      <c r="D16" s="2250">
        <f t="shared" ref="D16:I16" si="5">SUM(D17:D19)</f>
        <v>-998541.45282711403</v>
      </c>
      <c r="E16" s="2249">
        <f t="shared" si="5"/>
        <v>-2194341.4734289823</v>
      </c>
      <c r="F16" s="2250">
        <f t="shared" si="5"/>
        <v>-45059014.222987086</v>
      </c>
      <c r="G16" s="2249">
        <f t="shared" si="5"/>
        <v>-22984355.377941966</v>
      </c>
      <c r="H16" s="2250">
        <f t="shared" si="5"/>
        <v>-2997051.1941210167</v>
      </c>
      <c r="I16" s="2249">
        <f t="shared" si="5"/>
        <v>-2653770</v>
      </c>
      <c r="J16" s="2251">
        <f>SUM(J17:J19)</f>
        <v>-80122888.802624077</v>
      </c>
      <c r="K16" s="2249">
        <f>SUM(K17:K19)</f>
        <v>-3122963</v>
      </c>
      <c r="L16" s="305"/>
      <c r="M16" s="305"/>
      <c r="N16" s="305"/>
      <c r="O16" s="305"/>
      <c r="P16" s="305"/>
      <c r="Q16" s="305"/>
      <c r="R16" s="305"/>
      <c r="S16" s="305"/>
      <c r="T16" s="305"/>
      <c r="U16" s="305"/>
    </row>
    <row r="17" spans="1:21" s="52" customFormat="1" ht="27.75" customHeight="1">
      <c r="A17" s="427"/>
      <c r="B17" s="2246" t="s">
        <v>451</v>
      </c>
      <c r="C17" s="1866">
        <f t="shared" ref="C17:H19" si="6">+C55+C93+C131+C169+C213+C256+C297+C335+C373+C411+C449+C487+C525+C563</f>
        <v>-2115643.3968015276</v>
      </c>
      <c r="D17" s="1865">
        <f t="shared" si="6"/>
        <v>-410595.43768124643</v>
      </c>
      <c r="E17" s="1866">
        <f t="shared" si="6"/>
        <v>-1329782.94013</v>
      </c>
      <c r="F17" s="1865">
        <f t="shared" si="6"/>
        <v>-34158543.237367228</v>
      </c>
      <c r="G17" s="1866">
        <f t="shared" si="6"/>
        <v>-20382215.162688725</v>
      </c>
      <c r="H17" s="1865">
        <f t="shared" si="6"/>
        <v>-1775176.0428167866</v>
      </c>
      <c r="I17" s="1866">
        <f t="shared" si="1"/>
        <v>-1319977</v>
      </c>
      <c r="J17" s="2247">
        <f>SUM(C17:I17)</f>
        <v>-61491933.217485517</v>
      </c>
      <c r="K17" s="1866">
        <f>+K411</f>
        <v>-2461372</v>
      </c>
      <c r="L17" s="305"/>
      <c r="M17" s="305"/>
      <c r="N17" s="305"/>
      <c r="O17" s="305"/>
      <c r="P17" s="305"/>
      <c r="Q17" s="305"/>
      <c r="R17" s="305"/>
      <c r="S17" s="305"/>
      <c r="T17" s="305"/>
      <c r="U17" s="305"/>
    </row>
    <row r="18" spans="1:21" s="52" customFormat="1" ht="26.25" customHeight="1">
      <c r="A18" s="427"/>
      <c r="B18" s="2246" t="s">
        <v>452</v>
      </c>
      <c r="C18" s="1866">
        <f t="shared" si="6"/>
        <v>-290308.68451637961</v>
      </c>
      <c r="D18" s="1865">
        <f t="shared" si="6"/>
        <v>-128042.0151458676</v>
      </c>
      <c r="E18" s="1866">
        <f t="shared" si="6"/>
        <v>-65273.533298982242</v>
      </c>
      <c r="F18" s="1865">
        <f t="shared" si="6"/>
        <v>-6356488.9856198616</v>
      </c>
      <c r="G18" s="1866">
        <f t="shared" si="6"/>
        <v>-1171294.2152532407</v>
      </c>
      <c r="H18" s="1865">
        <f t="shared" si="6"/>
        <v>-509982.15130423009</v>
      </c>
      <c r="I18" s="1866">
        <f t="shared" si="1"/>
        <v>-1225100</v>
      </c>
      <c r="J18" s="2247">
        <f>SUM(C18:I18)</f>
        <v>-9746489.5851385612</v>
      </c>
      <c r="K18" s="1866">
        <f>+K412</f>
        <v>-661591</v>
      </c>
      <c r="L18" s="305"/>
      <c r="M18" s="305"/>
      <c r="N18" s="305"/>
      <c r="O18" s="305"/>
      <c r="P18" s="305"/>
      <c r="Q18" s="305"/>
      <c r="R18" s="305"/>
      <c r="S18" s="305"/>
      <c r="T18" s="305"/>
      <c r="U18" s="305"/>
    </row>
    <row r="19" spans="1:21" s="52" customFormat="1" ht="25.5" customHeight="1">
      <c r="A19" s="427"/>
      <c r="B19" s="2246" t="s">
        <v>453</v>
      </c>
      <c r="C19" s="1866">
        <f t="shared" si="6"/>
        <v>-829863</v>
      </c>
      <c r="D19" s="1865">
        <f t="shared" si="6"/>
        <v>-459904</v>
      </c>
      <c r="E19" s="1866">
        <f t="shared" si="6"/>
        <v>-799285</v>
      </c>
      <c r="F19" s="1865">
        <f t="shared" si="6"/>
        <v>-4543982</v>
      </c>
      <c r="G19" s="1866">
        <f t="shared" si="6"/>
        <v>-1430846</v>
      </c>
      <c r="H19" s="1865">
        <f t="shared" si="6"/>
        <v>-711893</v>
      </c>
      <c r="I19" s="1866">
        <f t="shared" si="1"/>
        <v>-108693</v>
      </c>
      <c r="J19" s="2247">
        <f>SUM(C19:I19)</f>
        <v>-8884466</v>
      </c>
      <c r="K19" s="1866">
        <f>+K413</f>
        <v>0</v>
      </c>
      <c r="L19" s="305"/>
      <c r="M19" s="305"/>
      <c r="N19" s="305"/>
      <c r="O19" s="305"/>
      <c r="P19" s="305"/>
      <c r="Q19" s="305"/>
      <c r="R19" s="305"/>
      <c r="S19" s="305"/>
      <c r="T19" s="305"/>
      <c r="U19" s="305"/>
    </row>
    <row r="20" spans="1:21" s="236" customFormat="1" ht="13.5" customHeight="1">
      <c r="A20" s="428"/>
      <c r="B20" s="2252" t="s">
        <v>454</v>
      </c>
      <c r="C20" s="2249">
        <f>+C14+C16</f>
        <v>408889.71792121604</v>
      </c>
      <c r="D20" s="2250">
        <f t="shared" ref="D20:I20" si="7">+D14+D16</f>
        <v>250109.91203071305</v>
      </c>
      <c r="E20" s="2249">
        <f t="shared" si="7"/>
        <v>245250.81435547629</v>
      </c>
      <c r="F20" s="2250">
        <f t="shared" si="7"/>
        <v>12995133.78959813</v>
      </c>
      <c r="G20" s="2249">
        <f t="shared" si="7"/>
        <v>-3948534.0886863209</v>
      </c>
      <c r="H20" s="2250">
        <f t="shared" si="7"/>
        <v>1193079.2547592935</v>
      </c>
      <c r="I20" s="2249">
        <f t="shared" si="7"/>
        <v>4748144</v>
      </c>
      <c r="J20" s="2251">
        <f>+J14+J16</f>
        <v>15892073.399978504</v>
      </c>
      <c r="K20" s="2249">
        <f>+K14+K16</f>
        <v>-376141</v>
      </c>
      <c r="L20" s="305"/>
      <c r="M20" s="305"/>
      <c r="N20" s="305"/>
      <c r="O20" s="305"/>
      <c r="P20" s="305"/>
      <c r="Q20" s="305"/>
      <c r="R20" s="305"/>
      <c r="S20" s="305"/>
      <c r="T20" s="305"/>
      <c r="U20" s="305"/>
    </row>
    <row r="21" spans="1:21" s="52" customFormat="1" ht="13.5" customHeight="1">
      <c r="A21" s="427"/>
      <c r="B21" s="2253"/>
      <c r="C21" s="1866"/>
      <c r="D21" s="1865"/>
      <c r="E21" s="1866"/>
      <c r="F21" s="1865"/>
      <c r="G21" s="1866"/>
      <c r="H21" s="1865"/>
      <c r="I21" s="1866"/>
      <c r="J21" s="2247">
        <v>0</v>
      </c>
      <c r="K21" s="1866">
        <f>+K415</f>
        <v>0</v>
      </c>
      <c r="L21" s="305"/>
      <c r="M21" s="305"/>
      <c r="N21" s="305"/>
      <c r="O21" s="305"/>
      <c r="P21" s="305"/>
      <c r="Q21" s="305"/>
      <c r="R21" s="305"/>
      <c r="S21" s="305"/>
      <c r="T21" s="305"/>
      <c r="U21" s="305"/>
    </row>
    <row r="22" spans="1:21" s="52" customFormat="1" ht="13.5" customHeight="1">
      <c r="A22" s="427"/>
      <c r="B22" s="2248" t="s">
        <v>455</v>
      </c>
      <c r="C22" s="2254"/>
      <c r="D22" s="2255"/>
      <c r="E22" s="2254"/>
      <c r="F22" s="2255"/>
      <c r="G22" s="2254"/>
      <c r="H22" s="2255"/>
      <c r="I22" s="2254"/>
      <c r="J22" s="2251">
        <f>SUM(J23:J27)</f>
        <v>36326234.780880004</v>
      </c>
      <c r="K22" s="2249">
        <v>1574141</v>
      </c>
      <c r="L22" s="305"/>
      <c r="M22" s="305"/>
      <c r="N22" s="491"/>
      <c r="O22" s="305"/>
      <c r="P22" s="305"/>
      <c r="Q22" s="305"/>
      <c r="R22" s="305"/>
      <c r="S22" s="305"/>
      <c r="T22" s="305"/>
      <c r="U22" s="305"/>
    </row>
    <row r="23" spans="1:21" s="52" customFormat="1" ht="13.5" customHeight="1">
      <c r="A23" s="427"/>
      <c r="B23" s="2246" t="s">
        <v>456</v>
      </c>
      <c r="C23" s="2254"/>
      <c r="D23" s="2255"/>
      <c r="E23" s="2254"/>
      <c r="F23" s="2255"/>
      <c r="G23" s="2254"/>
      <c r="H23" s="2255"/>
      <c r="I23" s="2254"/>
      <c r="J23" s="2247">
        <f>+I61+I99+I137+I175+I219+I262+I303+I341+I379+J417+I455+I493+I531+I569</f>
        <v>2351937</v>
      </c>
      <c r="K23" s="1866">
        <v>0</v>
      </c>
      <c r="L23" s="305"/>
      <c r="M23" s="305"/>
      <c r="N23" s="305"/>
      <c r="O23" s="305"/>
      <c r="P23" s="305"/>
      <c r="Q23" s="305"/>
      <c r="R23" s="305"/>
      <c r="S23" s="305"/>
      <c r="T23" s="305"/>
      <c r="U23" s="305"/>
    </row>
    <row r="24" spans="1:21" s="52" customFormat="1" ht="13.5" customHeight="1">
      <c r="A24" s="427"/>
      <c r="B24" s="2246" t="s">
        <v>457</v>
      </c>
      <c r="C24" s="2254"/>
      <c r="D24" s="2255"/>
      <c r="E24" s="2254"/>
      <c r="F24" s="2255"/>
      <c r="G24" s="2254"/>
      <c r="H24" s="2255"/>
      <c r="I24" s="2254"/>
      <c r="J24" s="2247">
        <f>+I62+I100+I138+I176+I220+I263+I304+I342+I380+J418+I456+I494+I532+I570</f>
        <v>22866654.016249999</v>
      </c>
      <c r="K24" s="1866">
        <v>274487</v>
      </c>
      <c r="L24" s="305"/>
      <c r="M24" s="305"/>
      <c r="N24" s="305"/>
      <c r="O24" s="305"/>
      <c r="P24" s="305"/>
      <c r="Q24" s="305"/>
      <c r="R24" s="305"/>
      <c r="S24" s="305"/>
      <c r="T24" s="305"/>
      <c r="U24" s="305"/>
    </row>
    <row r="25" spans="1:21" s="52" customFormat="1" ht="13.5" customHeight="1">
      <c r="A25" s="427"/>
      <c r="B25" s="2246" t="s">
        <v>458</v>
      </c>
      <c r="C25" s="2254"/>
      <c r="D25" s="2255"/>
      <c r="E25" s="2254"/>
      <c r="F25" s="2255"/>
      <c r="G25" s="2254"/>
      <c r="H25" s="2255"/>
      <c r="I25" s="2254"/>
      <c r="J25" s="2247">
        <f>+I63+I101+I139+I177+I221+I264+I305+I343+I381+J419+I457+I495+I533+I571</f>
        <v>978755.11312999995</v>
      </c>
      <c r="K25" s="1866">
        <v>0</v>
      </c>
      <c r="L25" s="305"/>
      <c r="M25" s="305"/>
      <c r="N25" s="305"/>
      <c r="O25" s="305"/>
      <c r="P25" s="305"/>
      <c r="Q25" s="305"/>
      <c r="R25" s="305"/>
      <c r="S25" s="305"/>
      <c r="T25" s="305"/>
      <c r="U25" s="305"/>
    </row>
    <row r="26" spans="1:21" s="52" customFormat="1" ht="13.5" customHeight="1">
      <c r="A26" s="427"/>
      <c r="B26" s="2246" t="s">
        <v>459</v>
      </c>
      <c r="C26" s="2254"/>
      <c r="D26" s="2255"/>
      <c r="E26" s="2254"/>
      <c r="F26" s="2255"/>
      <c r="G26" s="2254"/>
      <c r="H26" s="2255"/>
      <c r="I26" s="2254"/>
      <c r="J26" s="2247">
        <f>+I64+I102+I140+I178+I222+I265+I306+I344+I382+J420+I458+I496+I534+I572</f>
        <v>-298457.34850000008</v>
      </c>
      <c r="K26" s="1866">
        <v>0</v>
      </c>
      <c r="L26" s="305"/>
      <c r="M26" s="305"/>
      <c r="N26" s="305"/>
      <c r="O26" s="305"/>
      <c r="P26" s="305"/>
      <c r="Q26" s="305"/>
      <c r="R26" s="305"/>
      <c r="S26" s="305"/>
      <c r="T26" s="305"/>
      <c r="U26" s="305"/>
    </row>
    <row r="27" spans="1:21" s="52" customFormat="1" ht="13.5" customHeight="1">
      <c r="A27" s="427"/>
      <c r="B27" s="2246" t="s">
        <v>460</v>
      </c>
      <c r="C27" s="2254"/>
      <c r="D27" s="2255"/>
      <c r="E27" s="2254"/>
      <c r="F27" s="2255"/>
      <c r="G27" s="2254"/>
      <c r="H27" s="2255"/>
      <c r="I27" s="2254"/>
      <c r="J27" s="2247">
        <f>+I65+I103+I141+I179+I223+I266+I307+I345+I383+J421+I459+I497+I535+I573</f>
        <v>10427346</v>
      </c>
      <c r="K27" s="1866">
        <v>1299654</v>
      </c>
      <c r="L27" s="305"/>
      <c r="M27" s="305"/>
      <c r="N27" s="305"/>
      <c r="O27" s="305"/>
      <c r="P27" s="305"/>
      <c r="Q27" s="305"/>
      <c r="R27" s="305"/>
      <c r="S27" s="305"/>
      <c r="T27" s="305"/>
      <c r="U27" s="305"/>
    </row>
    <row r="28" spans="1:21" s="52" customFormat="1" ht="13.15" customHeight="1">
      <c r="A28" s="427"/>
      <c r="B28" s="2246"/>
      <c r="C28" s="2254"/>
      <c r="D28" s="2255"/>
      <c r="E28" s="2254"/>
      <c r="F28" s="2255"/>
      <c r="G28" s="2254"/>
      <c r="H28" s="2255"/>
      <c r="I28" s="2254"/>
      <c r="J28" s="2247"/>
      <c r="K28" s="1866">
        <f t="shared" ref="K28:K36" si="8">+K422</f>
        <v>0</v>
      </c>
      <c r="L28" s="305"/>
      <c r="M28" s="305"/>
      <c r="N28" s="305"/>
      <c r="O28" s="305"/>
      <c r="P28" s="305"/>
      <c r="Q28" s="305"/>
      <c r="R28" s="305"/>
      <c r="S28" s="305"/>
      <c r="T28" s="305"/>
      <c r="U28" s="305"/>
    </row>
    <row r="29" spans="1:21" s="52" customFormat="1" ht="13.5" customHeight="1">
      <c r="A29" s="427"/>
      <c r="B29" s="2248" t="s">
        <v>461</v>
      </c>
      <c r="C29" s="2254"/>
      <c r="D29" s="2255"/>
      <c r="E29" s="2254"/>
      <c r="F29" s="2255"/>
      <c r="G29" s="2254"/>
      <c r="H29" s="2255"/>
      <c r="I29" s="2254"/>
      <c r="J29" s="2251">
        <f>+I67+I105+I143+I181+I225+I268+I309+I347+I385+J423+I461+I499+I537+I575</f>
        <v>-23542852.574779999</v>
      </c>
      <c r="K29" s="2249">
        <f>SUM(K30:K31)</f>
        <v>-36152</v>
      </c>
      <c r="L29" s="305"/>
      <c r="M29" s="305"/>
      <c r="N29" s="305"/>
      <c r="O29" s="305"/>
      <c r="P29" s="305"/>
      <c r="Q29" s="305"/>
      <c r="R29" s="305"/>
      <c r="S29" s="305"/>
      <c r="T29" s="305"/>
      <c r="U29" s="305"/>
    </row>
    <row r="30" spans="1:21" s="52" customFormat="1" ht="24.75" customHeight="1">
      <c r="A30" s="427"/>
      <c r="B30" s="2246" t="s">
        <v>462</v>
      </c>
      <c r="C30" s="2254"/>
      <c r="D30" s="2255"/>
      <c r="E30" s="2254"/>
      <c r="F30" s="2255"/>
      <c r="G30" s="2254"/>
      <c r="H30" s="2255"/>
      <c r="I30" s="2254"/>
      <c r="J30" s="2247">
        <f>+I68+I106+I144+I182+I226+I269+I310+I348+I386+J424+I462+I500+I538+I576</f>
        <v>-23542852.574779999</v>
      </c>
      <c r="K30" s="1866">
        <f t="shared" si="8"/>
        <v>-36152</v>
      </c>
      <c r="L30" s="305"/>
      <c r="M30" s="305"/>
      <c r="N30" s="305"/>
      <c r="O30" s="305"/>
      <c r="P30" s="305"/>
      <c r="Q30" s="305"/>
      <c r="R30" s="305"/>
      <c r="S30" s="305"/>
      <c r="T30" s="305"/>
      <c r="U30" s="305"/>
    </row>
    <row r="31" spans="1:21" s="52" customFormat="1" ht="30" customHeight="1">
      <c r="A31" s="427"/>
      <c r="B31" s="2246" t="s">
        <v>463</v>
      </c>
      <c r="C31" s="2254"/>
      <c r="D31" s="2255"/>
      <c r="E31" s="2254"/>
      <c r="F31" s="2255"/>
      <c r="G31" s="2254"/>
      <c r="H31" s="2255"/>
      <c r="I31" s="2254"/>
      <c r="J31" s="2247">
        <f>+I69+I107+I145+I183+I227+I270+I311+I349+I387+J425+I463+I501+I539+I577</f>
        <v>0</v>
      </c>
      <c r="K31" s="1866">
        <f t="shared" si="8"/>
        <v>0</v>
      </c>
      <c r="L31" s="305"/>
      <c r="M31" s="305"/>
      <c r="N31" s="305"/>
      <c r="O31" s="305"/>
      <c r="P31" s="305"/>
      <c r="Q31" s="305"/>
      <c r="R31" s="305"/>
      <c r="S31" s="305"/>
      <c r="T31" s="305"/>
      <c r="U31" s="305"/>
    </row>
    <row r="32" spans="1:21" s="236" customFormat="1" ht="13.5" customHeight="1">
      <c r="A32" s="428"/>
      <c r="B32" s="2248" t="s">
        <v>464</v>
      </c>
      <c r="C32" s="2254"/>
      <c r="D32" s="2255"/>
      <c r="E32" s="2254"/>
      <c r="F32" s="2255"/>
      <c r="G32" s="2254"/>
      <c r="H32" s="2255"/>
      <c r="I32" s="2254"/>
      <c r="J32" s="2251">
        <f>+J20+J22+J29</f>
        <v>28675455.606078509</v>
      </c>
      <c r="K32" s="2249">
        <f>+K20+K22+K29</f>
        <v>1161848</v>
      </c>
      <c r="L32" s="305"/>
      <c r="M32" s="305"/>
      <c r="N32" s="305"/>
      <c r="O32" s="305"/>
      <c r="P32" s="305"/>
      <c r="Q32" s="305"/>
      <c r="R32" s="305"/>
      <c r="S32" s="305"/>
      <c r="T32" s="305"/>
      <c r="U32" s="305"/>
    </row>
    <row r="33" spans="1:21" s="52" customFormat="1" ht="13.5" customHeight="1">
      <c r="A33" s="427"/>
      <c r="B33" s="2246" t="s">
        <v>465</v>
      </c>
      <c r="C33" s="2254"/>
      <c r="D33" s="2255"/>
      <c r="E33" s="2254"/>
      <c r="F33" s="2255"/>
      <c r="G33" s="2254"/>
      <c r="H33" s="2255"/>
      <c r="I33" s="2254"/>
      <c r="J33" s="2247">
        <f>+I71+I109+I147+I185+I229+I272+I313+I351+I389+J427+I465+I503+I541+I579</f>
        <v>-683087.32400000002</v>
      </c>
      <c r="K33" s="1866">
        <f t="shared" si="8"/>
        <v>-21</v>
      </c>
      <c r="L33" s="305"/>
      <c r="M33" s="305"/>
      <c r="N33" s="305"/>
      <c r="O33" s="305"/>
      <c r="P33" s="305"/>
      <c r="Q33" s="305"/>
      <c r="R33" s="305"/>
      <c r="S33" s="305"/>
      <c r="T33" s="305"/>
      <c r="U33" s="305"/>
    </row>
    <row r="34" spans="1:21" s="236" customFormat="1" ht="13.5" customHeight="1">
      <c r="A34" s="428"/>
      <c r="B34" s="2256" t="s">
        <v>466</v>
      </c>
      <c r="C34" s="2254"/>
      <c r="D34" s="2255"/>
      <c r="E34" s="2254"/>
      <c r="F34" s="2255"/>
      <c r="G34" s="2254"/>
      <c r="H34" s="2255"/>
      <c r="I34" s="2254"/>
      <c r="J34" s="2251">
        <f>+I72+I110+I148+I186+I230+I273+I314+I352+I390+J428+I466+I504+I542+I580</f>
        <v>27992365.67207849</v>
      </c>
      <c r="K34" s="2249">
        <f t="shared" si="8"/>
        <v>1161827</v>
      </c>
      <c r="L34" s="305"/>
      <c r="M34" s="305"/>
      <c r="N34" s="305"/>
      <c r="O34" s="305"/>
      <c r="P34" s="305"/>
      <c r="Q34" s="305"/>
      <c r="R34" s="305"/>
      <c r="S34" s="305"/>
      <c r="T34" s="305"/>
      <c r="U34" s="305"/>
    </row>
    <row r="35" spans="1:21" s="52" customFormat="1" ht="13.5" customHeight="1">
      <c r="A35" s="427"/>
      <c r="B35" s="2257" t="s">
        <v>467</v>
      </c>
      <c r="C35" s="2254"/>
      <c r="D35" s="2255"/>
      <c r="E35" s="2254"/>
      <c r="F35" s="2255"/>
      <c r="G35" s="2254"/>
      <c r="H35" s="2255"/>
      <c r="I35" s="2254"/>
      <c r="J35" s="2247">
        <f>+I73+I111+I149+I187+I231+I274+I315+I353+I391+J429+I467+I505+I543+I581</f>
        <v>-3828831.19551</v>
      </c>
      <c r="K35" s="1866">
        <f t="shared" si="8"/>
        <v>0</v>
      </c>
      <c r="L35" s="305"/>
      <c r="M35" s="305"/>
      <c r="N35" s="305"/>
      <c r="O35" s="305"/>
      <c r="P35" s="305"/>
      <c r="Q35" s="305"/>
      <c r="R35" s="305"/>
      <c r="S35" s="305"/>
      <c r="T35" s="305"/>
      <c r="U35" s="305"/>
    </row>
    <row r="36" spans="1:21" s="236" customFormat="1" ht="13.5" customHeight="1" thickBot="1">
      <c r="A36" s="428"/>
      <c r="B36" s="1479" t="s">
        <v>468</v>
      </c>
      <c r="C36" s="488"/>
      <c r="D36" s="1107"/>
      <c r="E36" s="488"/>
      <c r="F36" s="1107"/>
      <c r="G36" s="488"/>
      <c r="H36" s="1107"/>
      <c r="I36" s="488"/>
      <c r="J36" s="1480">
        <f>SUM(J34:J35)</f>
        <v>24163534.47656849</v>
      </c>
      <c r="K36" s="486">
        <f t="shared" si="8"/>
        <v>1161827</v>
      </c>
      <c r="L36" s="305"/>
      <c r="M36" s="305"/>
      <c r="N36" s="305"/>
      <c r="O36" s="305"/>
      <c r="P36" s="305"/>
      <c r="Q36" s="305"/>
      <c r="R36" s="305"/>
      <c r="S36" s="305"/>
      <c r="T36" s="305"/>
      <c r="U36" s="305"/>
    </row>
    <row r="37" spans="1:21" s="236" customFormat="1" ht="13.5" customHeight="1">
      <c r="A37" s="287"/>
      <c r="B37" s="455"/>
      <c r="C37" s="279"/>
      <c r="D37" s="279"/>
      <c r="E37" s="279"/>
      <c r="F37" s="279"/>
      <c r="G37" s="279"/>
      <c r="H37" s="279"/>
      <c r="I37" s="279"/>
      <c r="J37" s="305"/>
      <c r="K37" s="279"/>
      <c r="M37" s="305"/>
      <c r="N37" s="305"/>
      <c r="O37" s="305"/>
      <c r="P37" s="305"/>
      <c r="Q37" s="305"/>
      <c r="R37" s="305"/>
      <c r="S37" s="305"/>
      <c r="T37" s="305"/>
      <c r="U37" s="305"/>
    </row>
    <row r="38" spans="1:21" s="236" customFormat="1" ht="13.5" customHeight="1">
      <c r="A38" s="287"/>
      <c r="B38" s="455"/>
      <c r="C38" s="279"/>
      <c r="D38" s="279"/>
      <c r="E38" s="279"/>
      <c r="F38" s="279"/>
      <c r="G38" s="279"/>
      <c r="H38" s="279"/>
      <c r="I38" s="279"/>
      <c r="J38" s="305"/>
      <c r="K38" s="264">
        <v>111</v>
      </c>
      <c r="M38" s="305"/>
      <c r="N38" s="305"/>
      <c r="O38" s="305"/>
      <c r="P38" s="305"/>
      <c r="Q38" s="305"/>
      <c r="R38" s="305"/>
      <c r="S38" s="305"/>
      <c r="T38" s="305"/>
      <c r="U38" s="305"/>
    </row>
    <row r="39" spans="1:21" s="52" customFormat="1" ht="13.5" customHeight="1">
      <c r="A39" s="427"/>
      <c r="B39" s="455"/>
      <c r="C39" s="433"/>
      <c r="D39" s="433"/>
      <c r="E39" s="433"/>
      <c r="F39" s="433"/>
      <c r="G39" s="433"/>
      <c r="H39" s="433"/>
      <c r="I39" s="552"/>
      <c r="J39" s="552"/>
      <c r="K39" s="394"/>
      <c r="L39" s="305"/>
      <c r="M39" s="305"/>
      <c r="N39" s="305"/>
      <c r="O39" s="305"/>
      <c r="P39" s="305"/>
      <c r="Q39" s="305"/>
      <c r="R39" s="305"/>
      <c r="S39" s="305"/>
      <c r="T39" s="305"/>
      <c r="U39" s="305"/>
    </row>
    <row r="40" spans="1:21" s="52" customFormat="1" ht="13.5" customHeight="1">
      <c r="A40" s="427"/>
      <c r="B40" s="295" t="s">
        <v>469</v>
      </c>
      <c r="C40" s="295"/>
      <c r="D40" s="295"/>
      <c r="E40" s="433"/>
      <c r="F40" s="433"/>
      <c r="G40" s="433"/>
      <c r="H40" s="433"/>
      <c r="I40" s="552"/>
      <c r="J40" s="552"/>
      <c r="K40" s="394"/>
      <c r="L40" s="305"/>
      <c r="M40" s="305"/>
      <c r="N40" s="305"/>
      <c r="O40" s="305"/>
      <c r="P40" s="305"/>
      <c r="Q40" s="305"/>
      <c r="R40" s="305"/>
      <c r="S40" s="305"/>
      <c r="T40" s="305"/>
      <c r="U40" s="305"/>
    </row>
    <row r="41" spans="1:21" s="52" customFormat="1" ht="13.5" customHeight="1" thickBot="1">
      <c r="A41" s="427"/>
      <c r="B41" s="218"/>
      <c r="C41" s="218"/>
      <c r="D41" s="218"/>
      <c r="E41" s="433"/>
      <c r="F41" s="433"/>
      <c r="G41" s="433"/>
      <c r="H41" s="433"/>
      <c r="I41" s="552"/>
      <c r="J41" s="552"/>
      <c r="K41" s="394"/>
      <c r="L41" s="305"/>
      <c r="M41" s="305"/>
      <c r="N41" s="305"/>
      <c r="O41" s="305"/>
      <c r="P41" s="305"/>
      <c r="Q41" s="305"/>
      <c r="R41" s="305"/>
      <c r="S41" s="305"/>
      <c r="T41" s="305"/>
      <c r="U41" s="305"/>
    </row>
    <row r="42" spans="1:21" ht="13.5" customHeight="1" thickBot="1">
      <c r="B42" s="1481" t="s">
        <v>91</v>
      </c>
      <c r="I42" s="532" t="s">
        <v>238</v>
      </c>
      <c r="J42" s="553"/>
      <c r="L42" s="305"/>
      <c r="M42" s="305"/>
      <c r="N42" s="305"/>
      <c r="O42" s="305"/>
      <c r="P42" s="305"/>
      <c r="Q42" s="305"/>
      <c r="R42" s="305"/>
      <c r="S42" s="305"/>
      <c r="T42" s="305"/>
      <c r="U42" s="305"/>
    </row>
    <row r="43" spans="1:21" s="52" customFormat="1" ht="13.5" customHeight="1" thickBot="1">
      <c r="A43" s="414"/>
      <c r="B43" s="3283"/>
      <c r="C43" s="3401">
        <v>2022</v>
      </c>
      <c r="D43" s="3381"/>
      <c r="E43" s="3360"/>
      <c r="F43" s="3360"/>
      <c r="G43" s="3360"/>
      <c r="H43" s="3360"/>
      <c r="I43" s="3361"/>
      <c r="J43" s="454"/>
      <c r="K43" s="394"/>
      <c r="L43" s="305"/>
      <c r="M43" s="305"/>
      <c r="N43" s="305"/>
      <c r="O43" s="305"/>
      <c r="P43" s="305"/>
      <c r="Q43" s="305"/>
      <c r="R43" s="305"/>
      <c r="S43" s="305"/>
      <c r="T43" s="305"/>
      <c r="U43" s="305"/>
    </row>
    <row r="44" spans="1:21" s="52" customFormat="1" ht="13.5" customHeight="1" thickBot="1">
      <c r="A44" s="415"/>
      <c r="B44" s="3284"/>
      <c r="C44" s="3388" t="s">
        <v>436</v>
      </c>
      <c r="D44" s="3362" t="s">
        <v>437</v>
      </c>
      <c r="E44" s="3401" t="s">
        <v>438</v>
      </c>
      <c r="F44" s="3361"/>
      <c r="G44" s="3364" t="s">
        <v>439</v>
      </c>
      <c r="H44" s="3402" t="s">
        <v>440</v>
      </c>
      <c r="I44" s="3362" t="s">
        <v>118</v>
      </c>
      <c r="J44" s="454"/>
      <c r="K44" s="3358"/>
      <c r="L44" s="305"/>
      <c r="M44" s="305"/>
      <c r="N44" s="305"/>
      <c r="O44" s="305"/>
      <c r="P44" s="305"/>
      <c r="Q44" s="305"/>
      <c r="R44" s="305"/>
      <c r="S44" s="305"/>
      <c r="T44" s="305"/>
      <c r="U44" s="305"/>
    </row>
    <row r="45" spans="1:21" s="52" customFormat="1" ht="13.5" customHeight="1" thickBot="1">
      <c r="A45" s="415"/>
      <c r="B45" s="3285"/>
      <c r="C45" s="3367"/>
      <c r="D45" s="3363"/>
      <c r="E45" s="1447" t="s">
        <v>442</v>
      </c>
      <c r="F45" s="1477" t="s">
        <v>443</v>
      </c>
      <c r="G45" s="3365"/>
      <c r="H45" s="3403"/>
      <c r="I45" s="3363"/>
      <c r="J45" s="454"/>
      <c r="K45" s="3358"/>
      <c r="L45" s="305"/>
      <c r="M45" s="305"/>
      <c r="N45" s="305"/>
      <c r="O45" s="305"/>
      <c r="P45" s="305"/>
      <c r="Q45" s="305"/>
      <c r="R45" s="305"/>
      <c r="S45" s="305"/>
      <c r="T45" s="305"/>
      <c r="U45" s="305"/>
    </row>
    <row r="46" spans="1:21" s="52" customFormat="1" ht="13.5" customHeight="1">
      <c r="A46" s="427"/>
      <c r="B46" s="1482" t="s">
        <v>342</v>
      </c>
      <c r="C46" s="2258">
        <v>4085851.9783599991</v>
      </c>
      <c r="D46" s="2259">
        <v>385998.54106999992</v>
      </c>
      <c r="E46" s="2258">
        <v>0</v>
      </c>
      <c r="F46" s="813">
        <v>8280041.1539100092</v>
      </c>
      <c r="G46" s="2258">
        <v>2096851.8144</v>
      </c>
      <c r="H46" s="813">
        <v>826726.59933999972</v>
      </c>
      <c r="I46" s="2260">
        <v>15675470.087080007</v>
      </c>
      <c r="J46" s="431"/>
      <c r="K46" s="286"/>
      <c r="L46" s="305"/>
      <c r="M46" s="305"/>
      <c r="N46" s="305"/>
      <c r="O46" s="305"/>
      <c r="P46" s="305"/>
      <c r="Q46" s="305"/>
      <c r="R46" s="305"/>
      <c r="S46" s="305"/>
      <c r="T46" s="305"/>
      <c r="U46" s="305"/>
    </row>
    <row r="47" spans="1:21" s="52" customFormat="1" ht="13.5" customHeight="1">
      <c r="A47" s="427"/>
      <c r="B47" s="2261" t="s">
        <v>444</v>
      </c>
      <c r="C47" s="2258"/>
      <c r="D47" s="814"/>
      <c r="E47" s="815"/>
      <c r="F47" s="814"/>
      <c r="G47" s="815"/>
      <c r="H47" s="814"/>
      <c r="I47" s="2260">
        <v>0</v>
      </c>
      <c r="J47" s="431"/>
      <c r="K47" s="286"/>
      <c r="L47" s="305"/>
      <c r="M47" s="305"/>
      <c r="N47" s="305"/>
      <c r="O47" s="305"/>
      <c r="P47" s="305"/>
      <c r="Q47" s="305"/>
      <c r="R47" s="305"/>
      <c r="S47" s="305"/>
      <c r="T47" s="305"/>
      <c r="U47" s="305"/>
    </row>
    <row r="48" spans="1:21" s="52" customFormat="1" ht="13.5" customHeight="1">
      <c r="A48" s="427"/>
      <c r="B48" s="2261" t="s">
        <v>445</v>
      </c>
      <c r="C48" s="819">
        <v>-827168.94569999992</v>
      </c>
      <c r="D48" s="820">
        <v>-1440.95569</v>
      </c>
      <c r="E48" s="819">
        <v>0</v>
      </c>
      <c r="F48" s="820">
        <v>-204529.15997000001</v>
      </c>
      <c r="G48" s="819">
        <v>0</v>
      </c>
      <c r="H48" s="820">
        <v>-109124.04622</v>
      </c>
      <c r="I48" s="2260">
        <v>-1142263.1075799998</v>
      </c>
      <c r="J48" s="431"/>
      <c r="K48" s="286"/>
      <c r="L48" s="305"/>
      <c r="M48" s="305"/>
      <c r="N48" s="305"/>
      <c r="O48" s="305"/>
      <c r="P48" s="305"/>
      <c r="Q48" s="305"/>
      <c r="R48" s="305"/>
      <c r="S48" s="305"/>
      <c r="T48" s="305"/>
      <c r="U48" s="305"/>
    </row>
    <row r="49" spans="1:21" s="52" customFormat="1" ht="13.5" customHeight="1">
      <c r="A49" s="427"/>
      <c r="B49" s="2261" t="s">
        <v>446</v>
      </c>
      <c r="C49" s="815">
        <v>-1938631.4374599997</v>
      </c>
      <c r="D49" s="814">
        <v>-65608.96643</v>
      </c>
      <c r="E49" s="815">
        <v>0</v>
      </c>
      <c r="F49" s="814">
        <v>-7765.6399700000002</v>
      </c>
      <c r="G49" s="815">
        <v>-105710.86513000001</v>
      </c>
      <c r="H49" s="814">
        <v>-250641.74617</v>
      </c>
      <c r="I49" s="2260">
        <v>-2368358.6551599996</v>
      </c>
      <c r="J49" s="431"/>
      <c r="K49" s="394"/>
      <c r="L49" s="305"/>
      <c r="M49" s="305"/>
      <c r="N49" s="305"/>
      <c r="O49" s="305"/>
      <c r="P49" s="305"/>
      <c r="Q49" s="305"/>
      <c r="R49" s="305"/>
      <c r="S49" s="305"/>
      <c r="T49" s="305"/>
      <c r="U49" s="305"/>
    </row>
    <row r="50" spans="1:21" s="236" customFormat="1" ht="13.5" customHeight="1">
      <c r="A50" s="428"/>
      <c r="B50" s="2262" t="s">
        <v>447</v>
      </c>
      <c r="C50" s="2263">
        <v>1320051.5951999994</v>
      </c>
      <c r="D50" s="2264">
        <v>318948.61894999992</v>
      </c>
      <c r="E50" s="2263">
        <v>0</v>
      </c>
      <c r="F50" s="2264">
        <v>8067746.3539700089</v>
      </c>
      <c r="G50" s="2263">
        <v>1991140.94927</v>
      </c>
      <c r="H50" s="2264">
        <v>466960.80694999971</v>
      </c>
      <c r="I50" s="2265">
        <v>12164848.324340008</v>
      </c>
      <c r="J50" s="431"/>
      <c r="K50" s="463"/>
      <c r="L50" s="305"/>
      <c r="M50" s="305"/>
      <c r="N50" s="305"/>
      <c r="O50" s="305"/>
      <c r="P50" s="305"/>
      <c r="Q50" s="305"/>
      <c r="R50" s="305"/>
      <c r="S50" s="305"/>
      <c r="T50" s="305"/>
      <c r="U50" s="305"/>
    </row>
    <row r="51" spans="1:21" s="52" customFormat="1" ht="13.5" customHeight="1">
      <c r="A51" s="427"/>
      <c r="B51" s="2261" t="s">
        <v>448</v>
      </c>
      <c r="C51" s="2258">
        <v>-87662.492049999419</v>
      </c>
      <c r="D51" s="2259">
        <v>-11414.599400000008</v>
      </c>
      <c r="E51" s="2258">
        <v>0</v>
      </c>
      <c r="F51" s="2259">
        <v>184041.48033000019</v>
      </c>
      <c r="G51" s="2258">
        <v>-211581.69165000002</v>
      </c>
      <c r="H51" s="2259">
        <v>-1980.87886999996</v>
      </c>
      <c r="I51" s="2260">
        <v>-128598.18163999921</v>
      </c>
      <c r="J51" s="431"/>
      <c r="K51" s="394"/>
      <c r="L51" s="305"/>
      <c r="M51" s="305"/>
      <c r="N51" s="305"/>
      <c r="O51" s="305"/>
      <c r="P51" s="305"/>
      <c r="Q51" s="305"/>
      <c r="R51" s="305"/>
      <c r="S51" s="305"/>
      <c r="T51" s="305"/>
      <c r="U51" s="305"/>
    </row>
    <row r="52" spans="1:21" s="236" customFormat="1" ht="13.5" customHeight="1">
      <c r="A52" s="428"/>
      <c r="B52" s="2262" t="s">
        <v>449</v>
      </c>
      <c r="C52" s="2263">
        <v>1232389.1031499999</v>
      </c>
      <c r="D52" s="2264">
        <v>307534.01954999991</v>
      </c>
      <c r="E52" s="2263">
        <v>0</v>
      </c>
      <c r="F52" s="2264">
        <v>8251787.8343000095</v>
      </c>
      <c r="G52" s="2263">
        <v>1779559.25762</v>
      </c>
      <c r="H52" s="2264">
        <v>464979.92807999975</v>
      </c>
      <c r="I52" s="2265">
        <v>12036250.142700009</v>
      </c>
      <c r="J52" s="431"/>
      <c r="K52" s="463"/>
      <c r="L52" s="305"/>
      <c r="M52" s="305"/>
      <c r="N52" s="305"/>
      <c r="O52" s="305"/>
      <c r="P52" s="305"/>
      <c r="Q52" s="305"/>
      <c r="R52" s="305"/>
      <c r="S52" s="305"/>
      <c r="T52" s="305"/>
      <c r="U52" s="305"/>
    </row>
    <row r="53" spans="1:21" s="52" customFormat="1" ht="13.5" customHeight="1">
      <c r="A53" s="427"/>
      <c r="B53" s="2261"/>
      <c r="C53" s="2266"/>
      <c r="D53" s="2267"/>
      <c r="E53" s="2266"/>
      <c r="F53" s="2267"/>
      <c r="G53" s="2266"/>
      <c r="H53" s="2267"/>
      <c r="I53" s="2260"/>
      <c r="J53" s="431"/>
      <c r="K53" s="394"/>
      <c r="L53" s="305"/>
      <c r="M53" s="305"/>
      <c r="N53" s="305"/>
      <c r="O53" s="305"/>
      <c r="P53" s="305"/>
      <c r="Q53" s="305"/>
      <c r="R53" s="305"/>
      <c r="S53" s="305"/>
      <c r="T53" s="305"/>
      <c r="U53" s="305"/>
    </row>
    <row r="54" spans="1:21" s="52" customFormat="1" ht="13.5" customHeight="1">
      <c r="A54" s="427"/>
      <c r="B54" s="2262" t="s">
        <v>450</v>
      </c>
      <c r="C54" s="2268"/>
      <c r="D54" s="2269"/>
      <c r="E54" s="2268"/>
      <c r="F54" s="2269"/>
      <c r="G54" s="2268"/>
      <c r="H54" s="2269"/>
      <c r="I54" s="2260"/>
      <c r="J54" s="431"/>
      <c r="K54" s="415"/>
      <c r="L54" s="305"/>
      <c r="M54" s="305"/>
      <c r="N54" s="305"/>
      <c r="O54" s="305"/>
      <c r="P54" s="305"/>
      <c r="Q54" s="305"/>
      <c r="R54" s="305"/>
      <c r="S54" s="305"/>
      <c r="T54" s="305"/>
      <c r="U54" s="305"/>
    </row>
    <row r="55" spans="1:21" s="52" customFormat="1" ht="27" customHeight="1">
      <c r="A55" s="427"/>
      <c r="B55" s="2261" t="s">
        <v>451</v>
      </c>
      <c r="C55" s="2258">
        <v>-953873.37091104756</v>
      </c>
      <c r="D55" s="2259">
        <v>-20071.283394811035</v>
      </c>
      <c r="E55" s="2258">
        <v>0</v>
      </c>
      <c r="F55" s="2259">
        <v>-5293952.4941707132</v>
      </c>
      <c r="G55" s="2258">
        <v>-1811182.2348000002</v>
      </c>
      <c r="H55" s="2259">
        <v>-248882.4075092391</v>
      </c>
      <c r="I55" s="2260">
        <v>-8327961.7907858118</v>
      </c>
      <c r="J55" s="431"/>
      <c r="K55" s="394"/>
      <c r="L55" s="305"/>
      <c r="M55" s="305"/>
      <c r="N55" s="305"/>
      <c r="O55" s="305"/>
      <c r="P55" s="305"/>
      <c r="Q55" s="305"/>
      <c r="R55" s="305"/>
      <c r="S55" s="305"/>
      <c r="T55" s="305"/>
      <c r="U55" s="305"/>
    </row>
    <row r="56" spans="1:21" s="52" customFormat="1" ht="22.5" customHeight="1">
      <c r="A56" s="427"/>
      <c r="B56" s="2261" t="s">
        <v>452</v>
      </c>
      <c r="C56" s="815">
        <v>-434918.9576455683</v>
      </c>
      <c r="D56" s="814">
        <v>-118466.97508547264</v>
      </c>
      <c r="E56" s="815">
        <v>0</v>
      </c>
      <c r="F56" s="814">
        <v>-1762095.1216831831</v>
      </c>
      <c r="G56" s="815">
        <v>-350323.84294131008</v>
      </c>
      <c r="H56" s="814">
        <v>-187391.93134446596</v>
      </c>
      <c r="I56" s="2260">
        <v>-2853196.8287</v>
      </c>
      <c r="J56" s="431"/>
      <c r="K56" s="394"/>
      <c r="L56" s="305"/>
      <c r="M56" s="305"/>
      <c r="N56" s="305"/>
      <c r="O56" s="305"/>
      <c r="P56" s="305"/>
      <c r="Q56" s="305"/>
      <c r="R56" s="305"/>
      <c r="S56" s="305"/>
      <c r="T56" s="305"/>
      <c r="U56" s="305"/>
    </row>
    <row r="57" spans="1:21" s="52" customFormat="1" ht="13.5" customHeight="1">
      <c r="A57" s="427"/>
      <c r="B57" s="2261" t="s">
        <v>453</v>
      </c>
      <c r="C57" s="815"/>
      <c r="D57" s="814"/>
      <c r="E57" s="815"/>
      <c r="F57" s="814"/>
      <c r="G57" s="815"/>
      <c r="H57" s="814"/>
      <c r="I57" s="2260">
        <f>SUM(C57:H57)</f>
        <v>0</v>
      </c>
      <c r="J57" s="431"/>
      <c r="K57" s="394">
        <f>J65</f>
        <v>0</v>
      </c>
      <c r="L57" s="305"/>
      <c r="M57" s="305"/>
      <c r="N57" s="305"/>
      <c r="O57" s="305"/>
      <c r="P57" s="305"/>
      <c r="Q57" s="305"/>
      <c r="R57" s="305"/>
      <c r="S57" s="305"/>
      <c r="T57" s="305"/>
      <c r="U57" s="305"/>
    </row>
    <row r="58" spans="1:21" s="52" customFormat="1" ht="13.5" customHeight="1">
      <c r="A58" s="427"/>
      <c r="B58" s="2270" t="s">
        <v>454</v>
      </c>
      <c r="C58" s="2263">
        <v>-156403.22540661599</v>
      </c>
      <c r="D58" s="2264">
        <v>168995.76106971625</v>
      </c>
      <c r="E58" s="2263">
        <v>0</v>
      </c>
      <c r="F58" s="2264">
        <v>1195740.2184461132</v>
      </c>
      <c r="G58" s="2263">
        <v>-381946.82012131024</v>
      </c>
      <c r="H58" s="2264">
        <v>28705.589226294687</v>
      </c>
      <c r="I58" s="2265">
        <f>+I52+I55+I56</f>
        <v>855091.52321419725</v>
      </c>
      <c r="J58" s="431"/>
      <c r="K58" s="288"/>
      <c r="L58" s="305"/>
      <c r="M58" s="305"/>
      <c r="N58" s="305"/>
      <c r="O58" s="305"/>
      <c r="P58" s="305"/>
      <c r="Q58" s="305"/>
      <c r="R58" s="305"/>
      <c r="S58" s="305"/>
      <c r="T58" s="305"/>
      <c r="U58" s="305"/>
    </row>
    <row r="59" spans="1:21" s="52" customFormat="1" ht="13.5" customHeight="1">
      <c r="A59" s="427"/>
      <c r="B59" s="2271"/>
      <c r="C59" s="2266"/>
      <c r="D59" s="2267"/>
      <c r="E59" s="2266"/>
      <c r="F59" s="2267"/>
      <c r="G59" s="2266"/>
      <c r="H59" s="2267"/>
      <c r="I59" s="2272"/>
      <c r="J59" s="431"/>
      <c r="K59" s="394"/>
      <c r="L59" s="305"/>
      <c r="M59" s="305"/>
      <c r="N59" s="305"/>
      <c r="O59" s="305"/>
      <c r="P59" s="305"/>
      <c r="Q59" s="305"/>
      <c r="R59" s="305"/>
      <c r="S59" s="305"/>
      <c r="T59" s="305"/>
      <c r="U59" s="305"/>
    </row>
    <row r="60" spans="1:21" s="52" customFormat="1" ht="13.5" customHeight="1">
      <c r="A60" s="427"/>
      <c r="B60" s="2262" t="s">
        <v>455</v>
      </c>
      <c r="C60" s="2255"/>
      <c r="D60" s="2254"/>
      <c r="E60" s="2255"/>
      <c r="F60" s="2254"/>
      <c r="G60" s="2255"/>
      <c r="H60" s="2254"/>
      <c r="I60" s="2272">
        <f>SUM(I61:I65)</f>
        <v>3668667</v>
      </c>
      <c r="J60" s="431"/>
      <c r="K60" s="394"/>
      <c r="L60" s="305"/>
      <c r="M60" s="305"/>
      <c r="N60" s="305"/>
      <c r="O60" s="305"/>
      <c r="P60" s="305"/>
      <c r="Q60" s="305"/>
      <c r="R60" s="305"/>
      <c r="S60" s="305"/>
      <c r="T60" s="305"/>
      <c r="U60" s="305"/>
    </row>
    <row r="61" spans="1:21" s="52" customFormat="1" ht="13.5" customHeight="1">
      <c r="A61" s="427"/>
      <c r="B61" s="2261" t="s">
        <v>456</v>
      </c>
      <c r="C61" s="2255"/>
      <c r="D61" s="2254"/>
      <c r="E61" s="2255"/>
      <c r="F61" s="2254"/>
      <c r="G61" s="2255"/>
      <c r="H61" s="2254"/>
      <c r="I61" s="2273">
        <v>374603</v>
      </c>
      <c r="J61" s="431"/>
      <c r="K61" s="394"/>
      <c r="L61" s="305"/>
      <c r="M61" s="305"/>
      <c r="N61" s="305"/>
      <c r="O61" s="305"/>
      <c r="P61" s="305"/>
      <c r="Q61" s="305"/>
      <c r="R61" s="305"/>
      <c r="S61" s="305"/>
      <c r="T61" s="305"/>
      <c r="U61" s="305"/>
    </row>
    <row r="62" spans="1:21" s="52" customFormat="1" ht="13.5" customHeight="1">
      <c r="A62" s="427"/>
      <c r="B62" s="2261" t="s">
        <v>457</v>
      </c>
      <c r="C62" s="2255"/>
      <c r="D62" s="2254"/>
      <c r="E62" s="2255"/>
      <c r="F62" s="2254"/>
      <c r="G62" s="2255"/>
      <c r="H62" s="2254"/>
      <c r="I62" s="1484">
        <v>3121328</v>
      </c>
      <c r="J62" s="431"/>
      <c r="K62" s="394"/>
      <c r="L62" s="305"/>
      <c r="M62" s="305"/>
      <c r="N62" s="305"/>
      <c r="O62" s="305"/>
      <c r="P62" s="305"/>
      <c r="Q62" s="305"/>
      <c r="R62" s="305"/>
      <c r="S62" s="305"/>
      <c r="T62" s="305"/>
      <c r="U62" s="305"/>
    </row>
    <row r="63" spans="1:21" s="52" customFormat="1" ht="13.5" customHeight="1">
      <c r="A63" s="427"/>
      <c r="B63" s="2261" t="s">
        <v>458</v>
      </c>
      <c r="C63" s="2255"/>
      <c r="D63" s="2254"/>
      <c r="E63" s="2255"/>
      <c r="F63" s="2254"/>
      <c r="G63" s="2255"/>
      <c r="H63" s="2254"/>
      <c r="I63" s="1172">
        <v>59623</v>
      </c>
      <c r="J63" s="431"/>
      <c r="K63" s="394"/>
      <c r="L63" s="305"/>
      <c r="M63" s="305"/>
      <c r="N63" s="305"/>
      <c r="O63" s="305"/>
      <c r="P63" s="305"/>
      <c r="Q63" s="305"/>
      <c r="R63" s="305"/>
      <c r="S63" s="305"/>
      <c r="T63" s="305"/>
      <c r="U63" s="305"/>
    </row>
    <row r="64" spans="1:21" s="52" customFormat="1" ht="13.5" customHeight="1">
      <c r="A64" s="427"/>
      <c r="B64" s="2261" t="s">
        <v>459</v>
      </c>
      <c r="C64" s="2255"/>
      <c r="D64" s="2254"/>
      <c r="E64" s="2255"/>
      <c r="F64" s="2254"/>
      <c r="G64" s="2255"/>
      <c r="H64" s="2254"/>
      <c r="I64" s="1172"/>
      <c r="J64" s="431"/>
      <c r="K64" s="394"/>
      <c r="L64" s="305"/>
      <c r="M64" s="305"/>
      <c r="N64" s="305"/>
      <c r="O64" s="305"/>
      <c r="P64" s="305"/>
      <c r="Q64" s="305"/>
      <c r="R64" s="305"/>
      <c r="S64" s="305"/>
      <c r="T64" s="305"/>
      <c r="U64" s="305"/>
    </row>
    <row r="65" spans="1:21" s="52" customFormat="1" ht="13.5" customHeight="1">
      <c r="A65" s="427"/>
      <c r="B65" s="2261" t="s">
        <v>460</v>
      </c>
      <c r="C65" s="2255"/>
      <c r="D65" s="2254"/>
      <c r="E65" s="2255"/>
      <c r="F65" s="2254"/>
      <c r="G65" s="2255"/>
      <c r="H65" s="2254"/>
      <c r="I65" s="1172">
        <v>113113</v>
      </c>
      <c r="J65" s="431"/>
      <c r="K65" s="394"/>
      <c r="L65" s="305"/>
      <c r="M65" s="305"/>
      <c r="N65" s="305"/>
      <c r="O65" s="305"/>
      <c r="P65" s="305"/>
      <c r="Q65" s="305"/>
      <c r="R65" s="305"/>
      <c r="S65" s="305"/>
      <c r="T65" s="305"/>
      <c r="U65" s="305"/>
    </row>
    <row r="66" spans="1:21" s="52" customFormat="1" ht="13.5" customHeight="1">
      <c r="A66" s="427"/>
      <c r="B66" s="2261"/>
      <c r="C66" s="2255"/>
      <c r="D66" s="2254"/>
      <c r="E66" s="2255"/>
      <c r="F66" s="2254"/>
      <c r="G66" s="2255"/>
      <c r="H66" s="2254"/>
      <c r="I66" s="2260"/>
      <c r="J66" s="431"/>
      <c r="K66" s="394"/>
      <c r="L66" s="305"/>
      <c r="M66" s="305"/>
      <c r="N66" s="305"/>
      <c r="O66" s="305"/>
      <c r="P66" s="305"/>
      <c r="Q66" s="305"/>
      <c r="R66" s="305"/>
      <c r="S66" s="305"/>
      <c r="T66" s="305"/>
      <c r="U66" s="305"/>
    </row>
    <row r="67" spans="1:21" s="52" customFormat="1" ht="13.5" customHeight="1">
      <c r="A67" s="427"/>
      <c r="B67" s="2262" t="s">
        <v>461</v>
      </c>
      <c r="C67" s="2255"/>
      <c r="D67" s="2254"/>
      <c r="E67" s="2255"/>
      <c r="F67" s="2254"/>
      <c r="G67" s="2255"/>
      <c r="H67" s="2254"/>
      <c r="I67" s="2273">
        <v>-3219497.2067800001</v>
      </c>
      <c r="J67" s="431"/>
      <c r="K67" s="394"/>
      <c r="L67" s="305"/>
      <c r="M67" s="305"/>
      <c r="N67" s="305"/>
      <c r="O67" s="305"/>
      <c r="P67" s="305"/>
      <c r="Q67" s="305"/>
      <c r="R67" s="305"/>
      <c r="S67" s="305"/>
      <c r="T67" s="305"/>
      <c r="U67" s="305"/>
    </row>
    <row r="68" spans="1:21" s="52" customFormat="1" ht="29.45" customHeight="1">
      <c r="A68" s="427"/>
      <c r="B68" s="2261" t="s">
        <v>462</v>
      </c>
      <c r="C68" s="2255"/>
      <c r="D68" s="2254"/>
      <c r="E68" s="2255"/>
      <c r="F68" s="2254"/>
      <c r="G68" s="2255"/>
      <c r="H68" s="2254"/>
      <c r="I68" s="2273">
        <v>-3219497.2067800001</v>
      </c>
      <c r="J68" s="431"/>
      <c r="K68" s="394"/>
      <c r="L68" s="305"/>
      <c r="M68" s="305"/>
      <c r="N68" s="305"/>
      <c r="O68" s="305"/>
      <c r="P68" s="305"/>
      <c r="Q68" s="305"/>
      <c r="R68" s="305"/>
      <c r="S68" s="305"/>
      <c r="T68" s="305"/>
      <c r="U68" s="305"/>
    </row>
    <row r="69" spans="1:21" s="52" customFormat="1" ht="27.6" customHeight="1">
      <c r="A69" s="427"/>
      <c r="B69" s="2261" t="s">
        <v>463</v>
      </c>
      <c r="C69" s="2255"/>
      <c r="D69" s="2254"/>
      <c r="E69" s="2255"/>
      <c r="F69" s="2254"/>
      <c r="G69" s="2255"/>
      <c r="H69" s="2254"/>
      <c r="I69" s="2260"/>
      <c r="J69" s="431"/>
      <c r="K69" s="394"/>
      <c r="L69" s="305"/>
      <c r="M69" s="305"/>
      <c r="N69" s="305"/>
      <c r="O69" s="305"/>
      <c r="P69" s="305"/>
      <c r="Q69" s="305"/>
      <c r="R69" s="305"/>
      <c r="S69" s="305"/>
      <c r="T69" s="305"/>
      <c r="U69" s="305"/>
    </row>
    <row r="70" spans="1:21" s="52" customFormat="1" ht="13.5" customHeight="1">
      <c r="A70" s="427"/>
      <c r="B70" s="2262" t="s">
        <v>464</v>
      </c>
      <c r="C70" s="2255"/>
      <c r="D70" s="2254"/>
      <c r="E70" s="2255"/>
      <c r="F70" s="2254"/>
      <c r="G70" s="2255"/>
      <c r="H70" s="2254"/>
      <c r="I70" s="2272">
        <f>+I58+I60+I67</f>
        <v>1304261.3164341967</v>
      </c>
      <c r="J70" s="431"/>
      <c r="K70" s="394"/>
      <c r="L70" s="305"/>
      <c r="M70" s="305"/>
      <c r="N70" s="305"/>
      <c r="O70" s="305"/>
      <c r="P70" s="305"/>
      <c r="Q70" s="305"/>
      <c r="R70" s="305"/>
      <c r="S70" s="305"/>
      <c r="T70" s="305"/>
      <c r="U70" s="305"/>
    </row>
    <row r="71" spans="1:21" s="52" customFormat="1" ht="13.5" customHeight="1">
      <c r="A71" s="427"/>
      <c r="B71" s="2261" t="s">
        <v>465</v>
      </c>
      <c r="C71" s="2255"/>
      <c r="D71" s="2254"/>
      <c r="E71" s="2255"/>
      <c r="F71" s="2254"/>
      <c r="G71" s="2255"/>
      <c r="H71" s="2254"/>
      <c r="I71" s="2260"/>
      <c r="J71" s="431"/>
      <c r="K71" s="394"/>
      <c r="L71" s="305"/>
      <c r="M71" s="305"/>
      <c r="N71" s="305"/>
      <c r="O71" s="305"/>
      <c r="P71" s="305"/>
      <c r="Q71" s="305"/>
      <c r="R71" s="305"/>
      <c r="S71" s="305"/>
      <c r="T71" s="305"/>
      <c r="U71" s="305"/>
    </row>
    <row r="72" spans="1:21" s="52" customFormat="1" ht="13.5" customHeight="1">
      <c r="A72" s="427"/>
      <c r="B72" s="2262" t="s">
        <v>466</v>
      </c>
      <c r="C72" s="2255"/>
      <c r="D72" s="2254"/>
      <c r="E72" s="2255"/>
      <c r="F72" s="2254"/>
      <c r="G72" s="2255"/>
      <c r="H72" s="2254"/>
      <c r="I72" s="2272">
        <f>SUM(I70:I71)</f>
        <v>1304261.3164341967</v>
      </c>
      <c r="J72" s="431"/>
      <c r="K72" s="394"/>
      <c r="L72" s="305"/>
      <c r="M72" s="305"/>
      <c r="N72" s="305"/>
      <c r="O72" s="305"/>
      <c r="P72" s="305"/>
      <c r="Q72" s="305"/>
      <c r="R72" s="305"/>
      <c r="S72" s="305"/>
      <c r="T72" s="305"/>
      <c r="U72" s="305"/>
    </row>
    <row r="73" spans="1:21" s="52" customFormat="1" ht="13.5" customHeight="1">
      <c r="A73" s="427"/>
      <c r="B73" s="2261" t="s">
        <v>467</v>
      </c>
      <c r="C73" s="2255"/>
      <c r="D73" s="2254"/>
      <c r="E73" s="2255"/>
      <c r="F73" s="2254"/>
      <c r="G73" s="2255"/>
      <c r="H73" s="2254"/>
      <c r="I73" s="2273">
        <v>-272730.29050999996</v>
      </c>
      <c r="J73" s="431"/>
      <c r="K73" s="394"/>
      <c r="L73" s="305"/>
      <c r="M73" s="305"/>
      <c r="N73" s="305"/>
      <c r="O73" s="305"/>
      <c r="P73" s="305"/>
      <c r="Q73" s="305"/>
      <c r="R73" s="305"/>
      <c r="S73" s="305"/>
      <c r="T73" s="305"/>
      <c r="U73" s="305"/>
    </row>
    <row r="74" spans="1:21" s="52" customFormat="1" ht="19.899999999999999" customHeight="1" thickBot="1">
      <c r="A74" s="427"/>
      <c r="B74" s="1483" t="s">
        <v>468</v>
      </c>
      <c r="C74" s="1107"/>
      <c r="D74" s="488"/>
      <c r="E74" s="1107"/>
      <c r="F74" s="488"/>
      <c r="G74" s="1107"/>
      <c r="H74" s="488"/>
      <c r="I74" s="1485">
        <f>SUM(I72:I73)</f>
        <v>1031531.0259241967</v>
      </c>
      <c r="J74" s="431"/>
      <c r="K74" s="394"/>
      <c r="L74" s="305"/>
      <c r="M74" s="305"/>
      <c r="N74" s="305"/>
      <c r="O74" s="305"/>
      <c r="P74" s="305"/>
      <c r="Q74" s="305"/>
      <c r="R74" s="305"/>
      <c r="S74" s="305"/>
      <c r="T74" s="305"/>
      <c r="U74" s="305"/>
    </row>
    <row r="75" spans="1:21" s="52" customFormat="1" ht="13.5" customHeight="1">
      <c r="A75" s="427"/>
      <c r="B75" s="455"/>
      <c r="C75" s="433"/>
      <c r="D75" s="433"/>
      <c r="E75" s="433"/>
      <c r="F75" s="433"/>
      <c r="G75" s="433"/>
      <c r="H75" s="433"/>
      <c r="I75" s="433"/>
      <c r="J75" s="431"/>
      <c r="K75" s="394"/>
      <c r="L75" s="305"/>
      <c r="M75" s="305"/>
      <c r="N75" s="305"/>
      <c r="O75" s="305"/>
      <c r="P75" s="305"/>
      <c r="Q75" s="305"/>
      <c r="R75" s="305"/>
      <c r="S75" s="305"/>
      <c r="T75" s="305"/>
      <c r="U75" s="305"/>
    </row>
    <row r="76" spans="1:21" s="52" customFormat="1" ht="13.5" customHeight="1">
      <c r="A76" s="427"/>
      <c r="B76" s="455"/>
      <c r="C76" s="433"/>
      <c r="D76" s="433"/>
      <c r="E76" s="433"/>
      <c r="F76" s="433"/>
      <c r="G76" s="433"/>
      <c r="H76" s="433"/>
      <c r="I76" s="433"/>
      <c r="J76" s="431"/>
      <c r="K76" s="394">
        <v>112</v>
      </c>
      <c r="L76" s="305"/>
      <c r="M76" s="305"/>
      <c r="N76" s="305"/>
      <c r="O76" s="305"/>
      <c r="P76" s="305"/>
      <c r="Q76" s="305"/>
      <c r="R76" s="305"/>
      <c r="S76" s="305"/>
      <c r="T76" s="305"/>
      <c r="U76" s="305"/>
    </row>
    <row r="77" spans="1:21" s="52" customFormat="1" ht="13.5" customHeight="1">
      <c r="A77" s="427"/>
      <c r="B77" s="455"/>
      <c r="C77" s="431"/>
      <c r="D77" s="431"/>
      <c r="E77" s="431"/>
      <c r="F77" s="431"/>
      <c r="G77" s="431"/>
      <c r="H77" s="431"/>
      <c r="I77" s="431"/>
      <c r="J77" s="431"/>
      <c r="K77" s="394"/>
      <c r="L77" s="305"/>
      <c r="M77" s="305"/>
      <c r="N77" s="305"/>
      <c r="O77" s="305"/>
      <c r="P77" s="305"/>
      <c r="Q77" s="305"/>
      <c r="R77" s="305"/>
      <c r="S77" s="305"/>
      <c r="T77" s="305"/>
      <c r="U77" s="305"/>
    </row>
    <row r="78" spans="1:21" s="52" customFormat="1" ht="13.5" customHeight="1">
      <c r="A78" s="427"/>
      <c r="B78" s="295" t="s">
        <v>470</v>
      </c>
      <c r="C78" s="295"/>
      <c r="D78" s="295"/>
      <c r="E78" s="431"/>
      <c r="F78" s="431"/>
      <c r="G78" s="431"/>
      <c r="H78" s="431"/>
      <c r="I78" s="431"/>
      <c r="J78" s="431"/>
      <c r="K78" s="394"/>
      <c r="L78" s="305"/>
      <c r="M78" s="305"/>
      <c r="N78" s="305"/>
      <c r="O78" s="305"/>
      <c r="P78" s="305"/>
      <c r="Q78" s="305"/>
      <c r="R78" s="305"/>
      <c r="S78" s="305"/>
      <c r="T78" s="305"/>
      <c r="U78" s="305"/>
    </row>
    <row r="79" spans="1:21" s="52" customFormat="1" ht="13.5" customHeight="1" thickBot="1">
      <c r="A79" s="427"/>
      <c r="B79" s="218"/>
      <c r="C79" s="218"/>
      <c r="D79" s="218"/>
      <c r="E79" s="431"/>
      <c r="F79" s="431"/>
      <c r="G79" s="431"/>
      <c r="H79" s="431"/>
      <c r="I79" s="431"/>
      <c r="J79" s="431"/>
      <c r="K79" s="394"/>
      <c r="L79" s="305"/>
      <c r="M79" s="305"/>
      <c r="N79" s="305"/>
      <c r="O79" s="305"/>
      <c r="P79" s="305"/>
      <c r="Q79" s="305"/>
      <c r="R79" s="305"/>
      <c r="S79" s="305"/>
      <c r="T79" s="305"/>
      <c r="U79" s="305"/>
    </row>
    <row r="80" spans="1:21" ht="13.5" customHeight="1" thickBot="1">
      <c r="A80" s="468"/>
      <c r="B80" s="1481" t="s">
        <v>94</v>
      </c>
      <c r="I80" s="532" t="s">
        <v>238</v>
      </c>
      <c r="J80" s="553"/>
      <c r="K80" s="264"/>
      <c r="L80" s="305"/>
      <c r="M80" s="305"/>
      <c r="N80" s="305"/>
      <c r="O80" s="305"/>
      <c r="P80" s="305"/>
      <c r="Q80" s="305"/>
      <c r="R80" s="305"/>
      <c r="S80" s="305"/>
      <c r="T80" s="305"/>
      <c r="U80" s="305"/>
    </row>
    <row r="81" spans="1:21" s="52" customFormat="1" ht="13.5" customHeight="1" thickBot="1">
      <c r="A81" s="414"/>
      <c r="B81" s="3283"/>
      <c r="C81" s="3359">
        <v>2022</v>
      </c>
      <c r="D81" s="3360"/>
      <c r="E81" s="3360"/>
      <c r="F81" s="3360"/>
      <c r="G81" s="3360"/>
      <c r="H81" s="3360"/>
      <c r="I81" s="3361"/>
      <c r="J81" s="454"/>
      <c r="K81" s="286"/>
      <c r="L81" s="305"/>
      <c r="M81" s="305"/>
      <c r="N81" s="305"/>
      <c r="O81" s="305"/>
      <c r="P81" s="305"/>
      <c r="Q81" s="305"/>
      <c r="R81" s="305"/>
      <c r="S81" s="305"/>
      <c r="T81" s="305"/>
      <c r="U81" s="305"/>
    </row>
    <row r="82" spans="1:21" s="52" customFormat="1" ht="13.5" customHeight="1" thickBot="1">
      <c r="A82" s="415"/>
      <c r="B82" s="3284"/>
      <c r="C82" s="3362" t="s">
        <v>436</v>
      </c>
      <c r="D82" s="3362" t="s">
        <v>437</v>
      </c>
      <c r="E82" s="3359" t="s">
        <v>438</v>
      </c>
      <c r="F82" s="3361"/>
      <c r="G82" s="3364" t="s">
        <v>439</v>
      </c>
      <c r="H82" s="3364" t="s">
        <v>440</v>
      </c>
      <c r="I82" s="3362" t="s">
        <v>118</v>
      </c>
      <c r="J82" s="454"/>
      <c r="K82" s="286"/>
      <c r="L82" s="305"/>
      <c r="M82" s="305"/>
      <c r="N82" s="305"/>
      <c r="O82" s="305"/>
      <c r="P82" s="305"/>
      <c r="Q82" s="305"/>
      <c r="R82" s="305"/>
      <c r="S82" s="305"/>
      <c r="T82" s="305"/>
      <c r="U82" s="305"/>
    </row>
    <row r="83" spans="1:21" s="52" customFormat="1" ht="13.5" customHeight="1" thickBot="1">
      <c r="A83" s="415"/>
      <c r="B83" s="3285"/>
      <c r="C83" s="3363"/>
      <c r="D83" s="3363"/>
      <c r="E83" s="1461" t="s">
        <v>442</v>
      </c>
      <c r="F83" s="1461" t="s">
        <v>443</v>
      </c>
      <c r="G83" s="3365"/>
      <c r="H83" s="3365"/>
      <c r="I83" s="3363"/>
      <c r="J83" s="454"/>
      <c r="K83" s="286"/>
      <c r="L83" s="305"/>
      <c r="M83" s="305"/>
      <c r="N83" s="305"/>
      <c r="O83" s="305"/>
      <c r="P83" s="305"/>
      <c r="Q83" s="305"/>
      <c r="R83" s="305"/>
      <c r="S83" s="305"/>
      <c r="T83" s="305"/>
      <c r="U83" s="305"/>
    </row>
    <row r="84" spans="1:21" s="52" customFormat="1" ht="13.5" customHeight="1">
      <c r="A84" s="427"/>
      <c r="B84" s="1486" t="s">
        <v>342</v>
      </c>
      <c r="C84" s="803">
        <v>360364.36385269917</v>
      </c>
      <c r="D84" s="2274">
        <v>513884.24107391131</v>
      </c>
      <c r="E84" s="803">
        <v>62193.783570027561</v>
      </c>
      <c r="F84" s="2274">
        <v>1596627.1335100005</v>
      </c>
      <c r="G84" s="803">
        <v>537265.77799000463</v>
      </c>
      <c r="H84" s="2274">
        <v>288291.97713979968</v>
      </c>
      <c r="I84" s="1487">
        <f>SUM(C84:H84)</f>
        <v>3358627.2771364427</v>
      </c>
      <c r="J84" s="431"/>
      <c r="K84" s="286"/>
      <c r="L84" s="305"/>
      <c r="M84" s="305"/>
      <c r="N84" s="305"/>
      <c r="O84" s="305"/>
      <c r="P84" s="305"/>
      <c r="Q84" s="305"/>
      <c r="R84" s="305"/>
      <c r="S84" s="305"/>
      <c r="T84" s="305"/>
      <c r="U84" s="305"/>
    </row>
    <row r="85" spans="1:21" s="52" customFormat="1" ht="13.5" customHeight="1">
      <c r="A85" s="427"/>
      <c r="B85" s="2246" t="s">
        <v>444</v>
      </c>
      <c r="C85" s="804">
        <v>-33242.009319999976</v>
      </c>
      <c r="D85" s="805">
        <v>-311477.55988000002</v>
      </c>
      <c r="E85" s="804"/>
      <c r="F85" s="805">
        <v>-20089.744420000003</v>
      </c>
      <c r="G85" s="804"/>
      <c r="H85" s="805">
        <v>-97025.140400000004</v>
      </c>
      <c r="I85" s="2221">
        <f>SUM(C85:H85)</f>
        <v>-461834.45401999995</v>
      </c>
      <c r="J85" s="431"/>
      <c r="K85" s="286"/>
      <c r="L85" s="305"/>
      <c r="M85" s="305"/>
      <c r="N85" s="305"/>
      <c r="O85" s="305"/>
      <c r="P85" s="305"/>
      <c r="Q85" s="305"/>
      <c r="R85" s="305"/>
      <c r="S85" s="305"/>
      <c r="T85" s="305"/>
      <c r="U85" s="305"/>
    </row>
    <row r="86" spans="1:21" s="52" customFormat="1" ht="13.5" customHeight="1">
      <c r="A86" s="427"/>
      <c r="B86" s="2246" t="s">
        <v>471</v>
      </c>
      <c r="C86" s="804">
        <v>-146818.9699</v>
      </c>
      <c r="D86" s="805">
        <v>-7132.5526600000012</v>
      </c>
      <c r="E86" s="804"/>
      <c r="F86" s="805">
        <v>-36900</v>
      </c>
      <c r="G86" s="804"/>
      <c r="H86" s="805">
        <v>-25005.764840000029</v>
      </c>
      <c r="I86" s="2221">
        <f>SUM(C86:H86)</f>
        <v>-215857.28740000003</v>
      </c>
      <c r="J86" s="431"/>
      <c r="K86" s="286"/>
      <c r="L86" s="305"/>
      <c r="M86" s="305"/>
      <c r="N86" s="305"/>
      <c r="O86" s="305"/>
      <c r="P86" s="305"/>
      <c r="Q86" s="305"/>
      <c r="R86" s="305"/>
      <c r="S86" s="305"/>
      <c r="T86" s="305"/>
      <c r="U86" s="305"/>
    </row>
    <row r="87" spans="1:21" s="52" customFormat="1" ht="13.5" customHeight="1">
      <c r="A87" s="427"/>
      <c r="B87" s="2246" t="s">
        <v>446</v>
      </c>
      <c r="C87" s="804">
        <v>-163310.08592361974</v>
      </c>
      <c r="D87" s="805">
        <v>-146225.58384810883</v>
      </c>
      <c r="E87" s="804"/>
      <c r="F87" s="805">
        <v>-31107.15913</v>
      </c>
      <c r="G87" s="804">
        <v>-43.25976</v>
      </c>
      <c r="H87" s="805">
        <v>-126399.75680827221</v>
      </c>
      <c r="I87" s="2221">
        <f>SUM(C87:H87)</f>
        <v>-467085.84547000076</v>
      </c>
      <c r="J87" s="431"/>
      <c r="K87" s="286"/>
      <c r="L87" s="305"/>
      <c r="M87" s="305"/>
      <c r="N87" s="305"/>
      <c r="O87" s="305"/>
      <c r="P87" s="305"/>
      <c r="Q87" s="305"/>
      <c r="R87" s="305"/>
      <c r="S87" s="305"/>
      <c r="T87" s="305"/>
      <c r="U87" s="305"/>
    </row>
    <row r="88" spans="1:21" s="236" customFormat="1" ht="13.5" customHeight="1">
      <c r="A88" s="428"/>
      <c r="B88" s="2248" t="s">
        <v>447</v>
      </c>
      <c r="C88" s="2264">
        <v>16993.298709079478</v>
      </c>
      <c r="D88" s="2263">
        <v>49048.544685802481</v>
      </c>
      <c r="E88" s="2264">
        <v>62193.783570027561</v>
      </c>
      <c r="F88" s="2263">
        <v>1508530.2299600006</v>
      </c>
      <c r="G88" s="2264">
        <v>537222.51823000459</v>
      </c>
      <c r="H88" s="2263">
        <v>39861.315091527445</v>
      </c>
      <c r="I88" s="2229">
        <f>+I84+I85+I86+I87</f>
        <v>2213849.6902464414</v>
      </c>
      <c r="J88" s="431"/>
      <c r="K88" s="286"/>
      <c r="L88" s="305"/>
      <c r="M88" s="305"/>
      <c r="N88" s="305"/>
      <c r="O88" s="305"/>
      <c r="P88" s="305"/>
      <c r="Q88" s="305"/>
      <c r="R88" s="305"/>
      <c r="S88" s="305"/>
      <c r="T88" s="305"/>
      <c r="U88" s="305"/>
    </row>
    <row r="89" spans="1:21" s="52" customFormat="1" ht="13.5" customHeight="1">
      <c r="A89" s="427"/>
      <c r="B89" s="2246" t="s">
        <v>448</v>
      </c>
      <c r="C89" s="2275">
        <v>5095.6221961826623</v>
      </c>
      <c r="D89" s="2274">
        <v>-7277.3344184456091</v>
      </c>
      <c r="E89" s="2275">
        <v>-2098.6741930099015</v>
      </c>
      <c r="F89" s="2274">
        <v>-143647.36759051509</v>
      </c>
      <c r="G89" s="2275">
        <v>-22113.505780190975</v>
      </c>
      <c r="H89" s="2274">
        <v>16415.0321278499</v>
      </c>
      <c r="I89" s="2221">
        <f>SUM(C89:H89)</f>
        <v>-153626.22765812901</v>
      </c>
      <c r="J89" s="431"/>
      <c r="K89" s="286"/>
      <c r="L89" s="305"/>
      <c r="M89" s="305"/>
      <c r="N89" s="305"/>
      <c r="O89" s="305"/>
      <c r="P89" s="305"/>
      <c r="Q89" s="305"/>
      <c r="R89" s="305"/>
      <c r="S89" s="305"/>
      <c r="T89" s="305"/>
      <c r="U89" s="305"/>
    </row>
    <row r="90" spans="1:21" s="236" customFormat="1" ht="13.5" customHeight="1">
      <c r="A90" s="428"/>
      <c r="B90" s="2248" t="s">
        <v>449</v>
      </c>
      <c r="C90" s="2264">
        <v>22088.920905262141</v>
      </c>
      <c r="D90" s="2263">
        <v>41771.210267356873</v>
      </c>
      <c r="E90" s="2264">
        <v>60095.109377017659</v>
      </c>
      <c r="F90" s="2276">
        <v>1364882.8623694854</v>
      </c>
      <c r="G90" s="2264">
        <v>515109.0124498136</v>
      </c>
      <c r="H90" s="2263">
        <v>56276.347219377349</v>
      </c>
      <c r="I90" s="2229">
        <f>SUM(I88:I89)</f>
        <v>2060223.4625883123</v>
      </c>
      <c r="J90" s="431"/>
      <c r="K90" s="286"/>
      <c r="L90" s="305"/>
      <c r="M90" s="305"/>
      <c r="N90" s="305"/>
      <c r="O90" s="305"/>
      <c r="P90" s="305"/>
      <c r="Q90" s="305"/>
      <c r="R90" s="305"/>
      <c r="S90" s="305"/>
      <c r="T90" s="305"/>
      <c r="U90" s="305"/>
    </row>
    <row r="91" spans="1:21" s="52" customFormat="1" ht="13.5" customHeight="1">
      <c r="A91" s="427"/>
      <c r="B91" s="2246"/>
      <c r="C91" s="2267"/>
      <c r="D91" s="2266"/>
      <c r="E91" s="2267"/>
      <c r="F91" s="2266"/>
      <c r="G91" s="2267"/>
      <c r="H91" s="2266"/>
      <c r="I91" s="2221"/>
      <c r="J91" s="431"/>
      <c r="K91" s="286"/>
      <c r="L91" s="305"/>
      <c r="M91" s="305"/>
      <c r="N91" s="305"/>
      <c r="O91" s="305"/>
      <c r="P91" s="305"/>
      <c r="Q91" s="305"/>
      <c r="R91" s="305"/>
      <c r="S91" s="305"/>
      <c r="T91" s="305"/>
      <c r="U91" s="305"/>
    </row>
    <row r="92" spans="1:21" s="52" customFormat="1" ht="13.5" customHeight="1">
      <c r="A92" s="427"/>
      <c r="B92" s="2248" t="s">
        <v>450</v>
      </c>
      <c r="C92" s="2269"/>
      <c r="D92" s="2268"/>
      <c r="E92" s="2269"/>
      <c r="F92" s="2268"/>
      <c r="G92" s="2269"/>
      <c r="H92" s="2268"/>
      <c r="I92" s="2221">
        <f>SUM(C92:H92)</f>
        <v>0</v>
      </c>
      <c r="J92" s="431"/>
      <c r="K92" s="286"/>
      <c r="L92" s="305"/>
      <c r="M92" s="305"/>
      <c r="N92" s="305"/>
      <c r="O92" s="305"/>
      <c r="P92" s="305"/>
      <c r="Q92" s="305"/>
      <c r="R92" s="305"/>
      <c r="S92" s="305"/>
      <c r="T92" s="305"/>
      <c r="U92" s="305"/>
    </row>
    <row r="93" spans="1:21" s="52" customFormat="1" ht="26.25" customHeight="1">
      <c r="A93" s="427"/>
      <c r="B93" s="2246" t="s">
        <v>451</v>
      </c>
      <c r="C93" s="2275">
        <v>-11572.983266701798</v>
      </c>
      <c r="D93" s="2274">
        <v>-2068.0784073289869</v>
      </c>
      <c r="E93" s="2275">
        <v>-14529.795129999999</v>
      </c>
      <c r="F93" s="2274">
        <v>-817343.53854324319</v>
      </c>
      <c r="G93" s="2275">
        <v>-426221.47751084459</v>
      </c>
      <c r="H93" s="2274">
        <v>-59047.314229155047</v>
      </c>
      <c r="I93" s="2221">
        <f>SUM(C93:H93)</f>
        <v>-1330783.1870872737</v>
      </c>
      <c r="J93" s="431"/>
      <c r="K93" s="286"/>
      <c r="L93" s="305"/>
      <c r="M93" s="305"/>
      <c r="N93" s="305"/>
      <c r="O93" s="305"/>
      <c r="P93" s="305"/>
      <c r="Q93" s="305"/>
      <c r="R93" s="305"/>
      <c r="S93" s="305"/>
      <c r="T93" s="305"/>
      <c r="U93" s="305"/>
    </row>
    <row r="94" spans="1:21" s="52" customFormat="1" ht="28.5" customHeight="1">
      <c r="A94" s="427"/>
      <c r="B94" s="2246" t="s">
        <v>452</v>
      </c>
      <c r="C94" s="804">
        <v>-17669.486597721057</v>
      </c>
      <c r="D94" s="805">
        <v>-25196.916291498401</v>
      </c>
      <c r="E94" s="804">
        <v>-3049.5030460374837</v>
      </c>
      <c r="F94" s="805">
        <v>-78286.269584204449</v>
      </c>
      <c r="G94" s="804">
        <v>-26343.366369847168</v>
      </c>
      <c r="H94" s="805">
        <v>-14135.613110691444</v>
      </c>
      <c r="I94" s="2221">
        <f>SUM(C94:H94)</f>
        <v>-164681.15500000003</v>
      </c>
      <c r="J94" s="431"/>
      <c r="K94" s="286"/>
      <c r="L94" s="305"/>
      <c r="M94" s="305"/>
      <c r="N94" s="305"/>
      <c r="O94" s="305"/>
      <c r="P94" s="305"/>
      <c r="Q94" s="305"/>
      <c r="R94" s="305"/>
      <c r="S94" s="305"/>
      <c r="T94" s="305"/>
      <c r="U94" s="305"/>
    </row>
    <row r="95" spans="1:21" s="52" customFormat="1" ht="27" customHeight="1">
      <c r="A95" s="427"/>
      <c r="B95" s="2246" t="s">
        <v>453</v>
      </c>
      <c r="C95" s="2269"/>
      <c r="D95" s="2268"/>
      <c r="E95" s="2269"/>
      <c r="F95" s="2268"/>
      <c r="G95" s="2269"/>
      <c r="H95" s="2268"/>
      <c r="I95" s="2221"/>
      <c r="J95" s="431"/>
      <c r="K95" s="286"/>
      <c r="L95" s="305"/>
      <c r="M95" s="305"/>
      <c r="N95" s="305"/>
      <c r="O95" s="305"/>
      <c r="P95" s="305"/>
      <c r="Q95" s="305"/>
      <c r="R95" s="305"/>
      <c r="S95" s="305"/>
      <c r="T95" s="305"/>
      <c r="U95" s="305"/>
    </row>
    <row r="96" spans="1:21" s="52" customFormat="1" ht="13.5" customHeight="1">
      <c r="A96" s="427"/>
      <c r="B96" s="2252" t="s">
        <v>454</v>
      </c>
      <c r="C96" s="2264">
        <v>-7154.5489591607147</v>
      </c>
      <c r="D96" s="2263">
        <v>14506.215568529489</v>
      </c>
      <c r="E96" s="2264">
        <v>42515.811200980177</v>
      </c>
      <c r="F96" s="2263">
        <v>469253.05424203782</v>
      </c>
      <c r="G96" s="2264">
        <v>62544.168569121844</v>
      </c>
      <c r="H96" s="2263">
        <v>-16906.580120469142</v>
      </c>
      <c r="I96" s="2229">
        <f>+I90+I93+I94</f>
        <v>564759.12050103862</v>
      </c>
      <c r="J96" s="431"/>
      <c r="K96" s="286"/>
      <c r="L96" s="305"/>
      <c r="M96" s="305"/>
      <c r="N96" s="305"/>
      <c r="O96" s="305"/>
      <c r="P96" s="305"/>
      <c r="Q96" s="305"/>
      <c r="R96" s="305"/>
      <c r="S96" s="305"/>
      <c r="T96" s="305"/>
      <c r="U96" s="305"/>
    </row>
    <row r="97" spans="1:21" s="52" customFormat="1" ht="13.5" customHeight="1">
      <c r="A97" s="427"/>
      <c r="B97" s="2253"/>
      <c r="C97" s="2267"/>
      <c r="D97" s="2266"/>
      <c r="E97" s="2267"/>
      <c r="F97" s="2266"/>
      <c r="G97" s="2267"/>
      <c r="H97" s="2266"/>
      <c r="I97" s="2277"/>
      <c r="J97" s="431"/>
      <c r="K97" s="286"/>
      <c r="L97" s="305"/>
      <c r="M97" s="305"/>
      <c r="N97" s="305"/>
      <c r="O97" s="305"/>
      <c r="P97" s="305"/>
      <c r="Q97" s="305"/>
      <c r="R97" s="305"/>
      <c r="S97" s="305"/>
      <c r="T97" s="305"/>
      <c r="U97" s="305"/>
    </row>
    <row r="98" spans="1:21" s="52" customFormat="1" ht="13.5" customHeight="1">
      <c r="A98" s="427"/>
      <c r="B98" s="2248" t="s">
        <v>455</v>
      </c>
      <c r="C98" s="2254"/>
      <c r="D98" s="2255"/>
      <c r="E98" s="2254"/>
      <c r="F98" s="2255"/>
      <c r="G98" s="2254"/>
      <c r="H98" s="2255"/>
      <c r="I98" s="2277">
        <f>SUM(I99:I103)</f>
        <v>631014</v>
      </c>
      <c r="J98" s="431"/>
      <c r="K98" s="286"/>
      <c r="L98" s="305"/>
      <c r="M98" s="305"/>
      <c r="N98" s="305"/>
      <c r="O98" s="305"/>
      <c r="P98" s="305"/>
      <c r="Q98" s="305"/>
      <c r="R98" s="305"/>
      <c r="S98" s="305"/>
      <c r="T98" s="305"/>
      <c r="U98" s="305"/>
    </row>
    <row r="99" spans="1:21" s="52" customFormat="1" ht="13.5" customHeight="1">
      <c r="A99" s="427"/>
      <c r="B99" s="2246" t="s">
        <v>456</v>
      </c>
      <c r="C99" s="2254"/>
      <c r="D99" s="2255"/>
      <c r="E99" s="2254"/>
      <c r="F99" s="2255"/>
      <c r="G99" s="2254"/>
      <c r="H99" s="2255"/>
      <c r="I99" s="2278"/>
      <c r="J99" s="431"/>
      <c r="K99" s="286"/>
      <c r="L99" s="305"/>
      <c r="M99" s="305"/>
      <c r="N99" s="305"/>
      <c r="O99" s="305"/>
      <c r="P99" s="305"/>
      <c r="Q99" s="305"/>
      <c r="R99" s="305"/>
      <c r="S99" s="305"/>
      <c r="T99" s="305"/>
      <c r="U99" s="305"/>
    </row>
    <row r="100" spans="1:21" s="52" customFormat="1" ht="13.5" customHeight="1">
      <c r="A100" s="427"/>
      <c r="B100" s="2246" t="s">
        <v>472</v>
      </c>
      <c r="C100" s="2254"/>
      <c r="D100" s="2255"/>
      <c r="E100" s="2254"/>
      <c r="F100" s="2255"/>
      <c r="G100" s="2254"/>
      <c r="H100" s="2255"/>
      <c r="I100" s="1488">
        <v>149933</v>
      </c>
      <c r="J100" s="431"/>
      <c r="K100" s="286"/>
      <c r="L100" s="305"/>
      <c r="M100" s="305"/>
      <c r="N100" s="305"/>
      <c r="O100" s="305"/>
      <c r="P100" s="305"/>
      <c r="Q100" s="305"/>
      <c r="R100" s="305"/>
      <c r="S100" s="305"/>
      <c r="T100" s="305"/>
      <c r="U100" s="305"/>
    </row>
    <row r="101" spans="1:21" s="52" customFormat="1" ht="13.15" customHeight="1">
      <c r="A101" s="427"/>
      <c r="B101" s="2246" t="s">
        <v>458</v>
      </c>
      <c r="C101" s="2254"/>
      <c r="D101" s="2255"/>
      <c r="E101" s="2254"/>
      <c r="F101" s="2255"/>
      <c r="G101" s="2254"/>
      <c r="H101" s="2255"/>
      <c r="I101" s="1488"/>
      <c r="J101" s="431"/>
      <c r="K101" s="286"/>
      <c r="L101" s="305"/>
      <c r="M101" s="305"/>
      <c r="N101" s="305"/>
      <c r="O101" s="305"/>
      <c r="P101" s="305"/>
      <c r="Q101" s="305"/>
      <c r="R101" s="305"/>
      <c r="S101" s="305"/>
      <c r="T101" s="305"/>
      <c r="U101" s="305"/>
    </row>
    <row r="102" spans="1:21" s="52" customFormat="1" ht="13.15" customHeight="1">
      <c r="A102" s="427"/>
      <c r="B102" s="2246" t="s">
        <v>459</v>
      </c>
      <c r="C102" s="2254"/>
      <c r="D102" s="2255"/>
      <c r="E102" s="2254"/>
      <c r="F102" s="2255"/>
      <c r="G102" s="2254"/>
      <c r="H102" s="2255"/>
      <c r="I102" s="1488">
        <v>255824</v>
      </c>
      <c r="J102" s="431"/>
      <c r="K102" s="286"/>
      <c r="L102" s="305"/>
      <c r="M102" s="305"/>
      <c r="N102" s="305"/>
      <c r="O102" s="305"/>
      <c r="P102" s="305"/>
      <c r="Q102" s="305"/>
      <c r="R102" s="305"/>
      <c r="S102" s="305"/>
      <c r="T102" s="305"/>
      <c r="U102" s="305"/>
    </row>
    <row r="103" spans="1:21" s="52" customFormat="1" ht="13.15" customHeight="1">
      <c r="A103" s="427"/>
      <c r="B103" s="2246" t="s">
        <v>460</v>
      </c>
      <c r="C103" s="2254"/>
      <c r="D103" s="2255"/>
      <c r="E103" s="2254"/>
      <c r="F103" s="2255"/>
      <c r="G103" s="2254"/>
      <c r="H103" s="2255"/>
      <c r="I103" s="3019">
        <v>225257</v>
      </c>
      <c r="J103" s="431"/>
      <c r="K103" s="286"/>
      <c r="L103" s="305"/>
      <c r="M103" s="305"/>
      <c r="N103" s="305"/>
      <c r="O103" s="305"/>
      <c r="P103" s="305"/>
      <c r="Q103" s="305"/>
      <c r="R103" s="305"/>
      <c r="S103" s="305"/>
      <c r="T103" s="305"/>
      <c r="U103" s="305"/>
    </row>
    <row r="104" spans="1:21" s="52" customFormat="1" ht="13.15" customHeight="1">
      <c r="A104" s="427"/>
      <c r="B104" s="2246"/>
      <c r="C104" s="2254"/>
      <c r="D104" s="2255"/>
      <c r="E104" s="2254"/>
      <c r="F104" s="2255"/>
      <c r="G104" s="2254"/>
      <c r="H104" s="2255"/>
      <c r="I104" s="3019"/>
      <c r="J104" s="431"/>
      <c r="K104" s="286"/>
      <c r="L104" s="305"/>
      <c r="M104" s="305"/>
      <c r="N104" s="305"/>
      <c r="O104" s="305"/>
      <c r="P104" s="305"/>
      <c r="Q104" s="305"/>
      <c r="R104" s="305"/>
      <c r="S104" s="305"/>
      <c r="T104" s="305"/>
      <c r="U104" s="305"/>
    </row>
    <row r="105" spans="1:21" s="52" customFormat="1" ht="13.5" customHeight="1">
      <c r="A105" s="427"/>
      <c r="B105" s="2283" t="s">
        <v>461</v>
      </c>
      <c r="C105" s="2254"/>
      <c r="D105" s="2255"/>
      <c r="E105" s="2254"/>
      <c r="F105" s="2255"/>
      <c r="G105" s="2254"/>
      <c r="H105" s="2255"/>
      <c r="I105" s="2279">
        <v>-795806.35900000005</v>
      </c>
      <c r="J105" s="431"/>
      <c r="K105" s="286"/>
      <c r="L105" s="305"/>
      <c r="M105" s="305"/>
      <c r="N105" s="305"/>
      <c r="O105" s="305"/>
      <c r="P105" s="305"/>
      <c r="Q105" s="305"/>
      <c r="R105" s="305"/>
      <c r="S105" s="305"/>
      <c r="T105" s="305"/>
      <c r="U105" s="305"/>
    </row>
    <row r="106" spans="1:21" s="52" customFormat="1" ht="26.45" customHeight="1">
      <c r="A106" s="427"/>
      <c r="B106" s="2246" t="s">
        <v>462</v>
      </c>
      <c r="C106" s="2254"/>
      <c r="D106" s="2255"/>
      <c r="E106" s="2254"/>
      <c r="F106" s="2255"/>
      <c r="G106" s="2254"/>
      <c r="H106" s="2255"/>
      <c r="I106" s="2296">
        <v>-795806.35900000005</v>
      </c>
      <c r="J106" s="431"/>
      <c r="K106" s="286"/>
      <c r="L106" s="305"/>
      <c r="M106" s="305"/>
      <c r="N106" s="305"/>
      <c r="O106" s="305"/>
      <c r="P106" s="305"/>
      <c r="Q106" s="305"/>
      <c r="R106" s="305"/>
      <c r="S106" s="305"/>
      <c r="T106" s="305"/>
      <c r="U106" s="305"/>
    </row>
    <row r="107" spans="1:21" s="52" customFormat="1" ht="26.45" customHeight="1">
      <c r="A107" s="427"/>
      <c r="B107" s="2246" t="s">
        <v>463</v>
      </c>
      <c r="C107" s="2254"/>
      <c r="D107" s="2255"/>
      <c r="E107" s="2254"/>
      <c r="F107" s="2255"/>
      <c r="G107" s="2254"/>
      <c r="H107" s="2255"/>
      <c r="I107" s="2221"/>
      <c r="J107" s="431"/>
      <c r="K107" s="286"/>
      <c r="L107" s="305"/>
      <c r="M107" s="305"/>
      <c r="N107" s="305"/>
      <c r="O107" s="305"/>
      <c r="P107" s="305"/>
      <c r="Q107" s="305"/>
      <c r="R107" s="305"/>
      <c r="S107" s="305"/>
      <c r="T107" s="305"/>
      <c r="U107" s="305"/>
    </row>
    <row r="108" spans="1:21" s="52" customFormat="1" ht="13.5" customHeight="1">
      <c r="A108" s="427"/>
      <c r="B108" s="2248" t="s">
        <v>464</v>
      </c>
      <c r="C108" s="2254"/>
      <c r="D108" s="2255"/>
      <c r="E108" s="2254"/>
      <c r="F108" s="2255"/>
      <c r="G108" s="2254"/>
      <c r="H108" s="2255"/>
      <c r="I108" s="2277">
        <f>+I96+I98+I105</f>
        <v>399966.76150103856</v>
      </c>
      <c r="J108" s="431"/>
      <c r="K108" s="286"/>
      <c r="L108" s="305"/>
      <c r="M108" s="305"/>
      <c r="N108" s="305"/>
      <c r="O108" s="305"/>
      <c r="P108" s="305"/>
      <c r="Q108" s="305"/>
      <c r="R108" s="305"/>
      <c r="S108" s="305"/>
      <c r="T108" s="305"/>
      <c r="U108" s="305"/>
    </row>
    <row r="109" spans="1:21" s="52" customFormat="1" ht="13.5" customHeight="1">
      <c r="A109" s="427"/>
      <c r="B109" s="2246" t="s">
        <v>465</v>
      </c>
      <c r="C109" s="2254"/>
      <c r="D109" s="2255"/>
      <c r="E109" s="2254"/>
      <c r="F109" s="2255"/>
      <c r="G109" s="2254"/>
      <c r="H109" s="2255"/>
      <c r="I109" s="2221">
        <v>-52788.707999999999</v>
      </c>
      <c r="J109" s="431"/>
      <c r="K109" s="286"/>
      <c r="L109" s="305"/>
      <c r="M109" s="305"/>
      <c r="N109" s="305"/>
      <c r="O109" s="305"/>
      <c r="P109" s="305"/>
      <c r="Q109" s="305"/>
      <c r="R109" s="305"/>
      <c r="S109" s="305"/>
      <c r="T109" s="305"/>
      <c r="U109" s="305"/>
    </row>
    <row r="110" spans="1:21" s="52" customFormat="1" ht="13.5" customHeight="1">
      <c r="A110" s="427"/>
      <c r="B110" s="2256" t="s">
        <v>466</v>
      </c>
      <c r="C110" s="2254"/>
      <c r="D110" s="2255"/>
      <c r="E110" s="2254"/>
      <c r="F110" s="2255"/>
      <c r="G110" s="2254"/>
      <c r="H110" s="2255"/>
      <c r="I110" s="2277">
        <f>+I109+I108</f>
        <v>347178.05350103858</v>
      </c>
      <c r="J110" s="431"/>
      <c r="K110" s="286"/>
      <c r="L110" s="305"/>
      <c r="M110" s="305"/>
      <c r="N110" s="305"/>
      <c r="O110" s="305"/>
      <c r="P110" s="305"/>
      <c r="Q110" s="305"/>
      <c r="R110" s="305"/>
      <c r="S110" s="305"/>
      <c r="T110" s="305"/>
      <c r="U110" s="305"/>
    </row>
    <row r="111" spans="1:21" s="52" customFormat="1" ht="13.5" customHeight="1">
      <c r="A111" s="427"/>
      <c r="B111" s="2257" t="s">
        <v>467</v>
      </c>
      <c r="C111" s="2254"/>
      <c r="D111" s="2255"/>
      <c r="E111" s="2254"/>
      <c r="F111" s="2255"/>
      <c r="G111" s="2254"/>
      <c r="H111" s="2255"/>
      <c r="I111" s="2221"/>
      <c r="J111" s="431"/>
      <c r="K111" s="286"/>
      <c r="L111" s="305"/>
      <c r="M111" s="305"/>
      <c r="N111" s="305"/>
      <c r="O111" s="305"/>
      <c r="P111" s="305"/>
      <c r="Q111" s="305"/>
      <c r="R111" s="305"/>
      <c r="S111" s="305"/>
      <c r="T111" s="305"/>
      <c r="U111" s="305"/>
    </row>
    <row r="112" spans="1:21" s="52" customFormat="1" ht="13.5" customHeight="1" thickBot="1">
      <c r="A112" s="427"/>
      <c r="B112" s="1479" t="s">
        <v>468</v>
      </c>
      <c r="C112" s="488"/>
      <c r="D112" s="1107"/>
      <c r="E112" s="488"/>
      <c r="F112" s="1107"/>
      <c r="G112" s="488"/>
      <c r="H112" s="1107"/>
      <c r="I112" s="1489">
        <f>I110+I111</f>
        <v>347178.05350103858</v>
      </c>
      <c r="J112" s="431"/>
      <c r="K112" s="286"/>
      <c r="L112" s="305"/>
      <c r="M112" s="305"/>
      <c r="N112" s="305"/>
      <c r="O112" s="305"/>
      <c r="P112" s="305"/>
      <c r="Q112" s="305"/>
      <c r="R112" s="305"/>
      <c r="S112" s="305"/>
      <c r="T112" s="305"/>
      <c r="U112" s="305"/>
    </row>
    <row r="113" spans="1:21" s="52" customFormat="1" ht="13.5" customHeight="1">
      <c r="A113" s="427"/>
      <c r="B113" s="425"/>
      <c r="C113" s="553"/>
      <c r="D113" s="553"/>
      <c r="E113" s="553"/>
      <c r="F113" s="553"/>
      <c r="G113" s="553"/>
      <c r="H113" s="553"/>
      <c r="I113" s="553"/>
      <c r="J113" s="431"/>
      <c r="K113" s="264"/>
      <c r="L113" s="305"/>
      <c r="M113" s="305"/>
      <c r="N113" s="305"/>
      <c r="O113" s="305"/>
      <c r="P113" s="305"/>
      <c r="Q113" s="305"/>
      <c r="R113" s="305"/>
      <c r="S113" s="305"/>
      <c r="T113" s="305"/>
      <c r="U113" s="305"/>
    </row>
    <row r="114" spans="1:21" s="52" customFormat="1" ht="13.5" customHeight="1">
      <c r="A114" s="427"/>
      <c r="B114" s="425"/>
      <c r="C114" s="553"/>
      <c r="D114" s="553"/>
      <c r="E114" s="553"/>
      <c r="F114" s="553"/>
      <c r="G114" s="553"/>
      <c r="H114" s="553"/>
      <c r="I114" s="553"/>
      <c r="J114" s="431"/>
      <c r="K114" s="264">
        <v>113</v>
      </c>
      <c r="L114" s="305"/>
      <c r="M114" s="305"/>
      <c r="N114" s="305"/>
      <c r="O114" s="305"/>
      <c r="P114" s="305"/>
      <c r="Q114" s="305"/>
      <c r="R114" s="305"/>
      <c r="S114" s="305"/>
      <c r="T114" s="305"/>
      <c r="U114" s="305"/>
    </row>
    <row r="115" spans="1:21" s="52" customFormat="1" ht="13.5" customHeight="1">
      <c r="A115" s="427"/>
      <c r="B115" s="455"/>
      <c r="C115" s="433"/>
      <c r="D115" s="433"/>
      <c r="E115" s="433"/>
      <c r="F115" s="433"/>
      <c r="G115" s="433"/>
      <c r="H115" s="433"/>
      <c r="I115" s="433"/>
      <c r="J115" s="431"/>
      <c r="K115" s="394"/>
      <c r="L115" s="305"/>
      <c r="M115" s="305"/>
      <c r="N115" s="305"/>
      <c r="O115" s="305"/>
      <c r="P115" s="305"/>
      <c r="Q115" s="305"/>
      <c r="R115" s="305"/>
      <c r="S115" s="305"/>
      <c r="T115" s="305"/>
      <c r="U115" s="305"/>
    </row>
    <row r="116" spans="1:21" s="52" customFormat="1" ht="13.5" customHeight="1">
      <c r="A116" s="427"/>
      <c r="B116" s="295" t="s">
        <v>470</v>
      </c>
      <c r="C116" s="295"/>
      <c r="D116" s="295"/>
      <c r="E116" s="433"/>
      <c r="F116" s="433"/>
      <c r="G116" s="433"/>
      <c r="H116" s="433"/>
      <c r="I116" s="433"/>
      <c r="J116" s="431"/>
      <c r="K116" s="394"/>
      <c r="L116" s="305"/>
      <c r="M116" s="305"/>
      <c r="N116" s="305"/>
      <c r="O116" s="305"/>
      <c r="P116" s="305"/>
      <c r="Q116" s="305"/>
      <c r="R116" s="305"/>
      <c r="S116" s="305"/>
      <c r="T116" s="305"/>
      <c r="U116" s="305"/>
    </row>
    <row r="117" spans="1:21" s="52" customFormat="1" ht="13.5" customHeight="1" thickBot="1">
      <c r="A117" s="427"/>
      <c r="B117" s="218"/>
      <c r="C117" s="218"/>
      <c r="D117" s="218"/>
      <c r="E117" s="433"/>
      <c r="F117" s="433"/>
      <c r="G117" s="433"/>
      <c r="H117" s="433"/>
      <c r="I117" s="433"/>
      <c r="J117" s="431"/>
      <c r="K117" s="394"/>
      <c r="L117" s="305"/>
      <c r="M117" s="305"/>
      <c r="N117" s="305"/>
      <c r="O117" s="305"/>
      <c r="P117" s="305"/>
      <c r="Q117" s="305"/>
      <c r="R117" s="305"/>
      <c r="S117" s="305"/>
      <c r="T117" s="305"/>
      <c r="U117" s="305"/>
    </row>
    <row r="118" spans="1:21" ht="13.5" customHeight="1">
      <c r="B118" s="1481" t="s">
        <v>128</v>
      </c>
      <c r="I118" s="532" t="s">
        <v>238</v>
      </c>
      <c r="J118" s="553"/>
      <c r="L118" s="305"/>
      <c r="M118" s="305"/>
      <c r="N118" s="305"/>
      <c r="O118" s="305"/>
      <c r="P118" s="305"/>
      <c r="Q118" s="305"/>
      <c r="R118" s="305"/>
      <c r="S118" s="305"/>
      <c r="T118" s="305"/>
      <c r="U118" s="305"/>
    </row>
    <row r="119" spans="1:21" s="52" customFormat="1" ht="13.5" customHeight="1">
      <c r="A119" s="414"/>
      <c r="B119" s="3283"/>
      <c r="C119" s="3359">
        <v>2022</v>
      </c>
      <c r="D119" s="3360"/>
      <c r="E119" s="3360"/>
      <c r="F119" s="3360"/>
      <c r="G119" s="3360"/>
      <c r="H119" s="3360"/>
      <c r="I119" s="3361"/>
      <c r="J119" s="454"/>
      <c r="K119" s="394"/>
      <c r="L119" s="305"/>
      <c r="M119" s="305"/>
      <c r="N119" s="305"/>
      <c r="O119" s="305"/>
      <c r="P119" s="305"/>
      <c r="Q119" s="305"/>
      <c r="R119" s="305"/>
      <c r="S119" s="305"/>
      <c r="T119" s="305"/>
      <c r="U119" s="305"/>
    </row>
    <row r="120" spans="1:21" s="52" customFormat="1" ht="13.5" customHeight="1">
      <c r="A120" s="415"/>
      <c r="B120" s="3284"/>
      <c r="C120" s="3362" t="s">
        <v>436</v>
      </c>
      <c r="D120" s="3362" t="s">
        <v>437</v>
      </c>
      <c r="E120" s="3359" t="s">
        <v>438</v>
      </c>
      <c r="F120" s="3361"/>
      <c r="G120" s="3364" t="s">
        <v>439</v>
      </c>
      <c r="H120" s="3364" t="s">
        <v>440</v>
      </c>
      <c r="I120" s="3362" t="s">
        <v>118</v>
      </c>
      <c r="J120" s="454"/>
      <c r="K120" s="3358"/>
      <c r="L120" s="305"/>
      <c r="M120" s="305"/>
      <c r="N120" s="305"/>
      <c r="O120" s="305"/>
      <c r="P120" s="305"/>
      <c r="Q120" s="305"/>
      <c r="R120" s="305"/>
      <c r="S120" s="305"/>
      <c r="T120" s="305"/>
      <c r="U120" s="305"/>
    </row>
    <row r="121" spans="1:21" s="52" customFormat="1" ht="13.5" customHeight="1" thickBot="1">
      <c r="A121" s="415"/>
      <c r="B121" s="3285"/>
      <c r="C121" s="3363"/>
      <c r="D121" s="3363"/>
      <c r="E121" s="1461" t="s">
        <v>442</v>
      </c>
      <c r="F121" s="1461" t="s">
        <v>443</v>
      </c>
      <c r="G121" s="3365"/>
      <c r="H121" s="3365"/>
      <c r="I121" s="3363"/>
      <c r="J121" s="454"/>
      <c r="K121" s="3358"/>
      <c r="L121" s="305"/>
      <c r="M121" s="305"/>
      <c r="N121" s="305"/>
      <c r="O121" s="305"/>
      <c r="P121" s="305"/>
      <c r="Q121" s="305"/>
      <c r="R121" s="305"/>
      <c r="S121" s="305"/>
      <c r="T121" s="305"/>
      <c r="U121" s="305"/>
    </row>
    <row r="122" spans="1:21" s="52" customFormat="1" ht="13.5" customHeight="1">
      <c r="A122" s="427"/>
      <c r="B122" s="1490" t="s">
        <v>342</v>
      </c>
      <c r="C122" s="3020">
        <v>2001236</v>
      </c>
      <c r="D122" s="3020">
        <v>163797</v>
      </c>
      <c r="E122" s="3020">
        <v>17626</v>
      </c>
      <c r="F122" s="3020">
        <v>2778481</v>
      </c>
      <c r="G122" s="3020">
        <v>1668037</v>
      </c>
      <c r="H122" s="3020">
        <v>708192</v>
      </c>
      <c r="I122" s="1492">
        <f>SUM(C122:H122)</f>
        <v>7337369</v>
      </c>
      <c r="J122" s="431"/>
      <c r="K122" s="286"/>
      <c r="L122" s="305"/>
      <c r="M122" s="305"/>
      <c r="N122" s="305"/>
      <c r="O122" s="305"/>
      <c r="P122" s="305"/>
      <c r="Q122" s="305"/>
      <c r="R122" s="305"/>
      <c r="S122" s="305"/>
      <c r="T122" s="305"/>
      <c r="U122" s="305"/>
    </row>
    <row r="123" spans="1:21" s="52" customFormat="1" ht="13.5" customHeight="1">
      <c r="A123" s="427"/>
      <c r="B123" s="2281" t="s">
        <v>444</v>
      </c>
      <c r="C123" s="3021">
        <v>-70018</v>
      </c>
      <c r="D123" s="3021">
        <v>-22934</v>
      </c>
      <c r="E123" s="3021">
        <v>0</v>
      </c>
      <c r="F123" s="3021">
        <v>0</v>
      </c>
      <c r="G123" s="3021">
        <v>-13550</v>
      </c>
      <c r="H123" s="3021">
        <v>-81063</v>
      </c>
      <c r="I123" s="2282">
        <f>SUM(C123:H123)</f>
        <v>-187565</v>
      </c>
      <c r="J123" s="431"/>
      <c r="K123" s="286"/>
      <c r="L123" s="305"/>
      <c r="M123" s="305"/>
      <c r="N123" s="305"/>
      <c r="O123" s="305"/>
      <c r="P123" s="305"/>
      <c r="Q123" s="305"/>
      <c r="R123" s="305"/>
      <c r="S123" s="305"/>
      <c r="T123" s="305"/>
      <c r="U123" s="305"/>
    </row>
    <row r="124" spans="1:21" s="52" customFormat="1" ht="13.5" customHeight="1">
      <c r="A124" s="427"/>
      <c r="B124" s="2281" t="s">
        <v>445</v>
      </c>
      <c r="C124" s="3021">
        <v>-260442</v>
      </c>
      <c r="D124" s="3021">
        <v>87</v>
      </c>
      <c r="E124" s="3021">
        <v>0</v>
      </c>
      <c r="F124" s="3021">
        <v>-71342</v>
      </c>
      <c r="G124" s="3021">
        <v>1362</v>
      </c>
      <c r="H124" s="3021">
        <v>-65787</v>
      </c>
      <c r="I124" s="2282">
        <f>SUM(C124:H124)</f>
        <v>-396122</v>
      </c>
      <c r="J124" s="431"/>
      <c r="K124" s="286"/>
      <c r="L124" s="305"/>
      <c r="M124" s="305"/>
      <c r="N124" s="305"/>
      <c r="O124" s="305"/>
      <c r="P124" s="305"/>
      <c r="Q124" s="305"/>
      <c r="R124" s="305"/>
      <c r="S124" s="305"/>
      <c r="T124" s="305"/>
      <c r="U124" s="305"/>
    </row>
    <row r="125" spans="1:21" s="52" customFormat="1" ht="13.5" customHeight="1">
      <c r="A125" s="427"/>
      <c r="B125" s="2281" t="s">
        <v>446</v>
      </c>
      <c r="C125" s="3021">
        <v>-1018952</v>
      </c>
      <c r="D125" s="3021">
        <v>-98515</v>
      </c>
      <c r="E125" s="3021">
        <v>0</v>
      </c>
      <c r="F125" s="3021">
        <v>-13463</v>
      </c>
      <c r="G125" s="3021">
        <v>-5388</v>
      </c>
      <c r="H125" s="3021">
        <v>-378033</v>
      </c>
      <c r="I125" s="2282">
        <f>SUM(C125:H125)</f>
        <v>-1514351</v>
      </c>
      <c r="J125" s="431"/>
      <c r="K125" s="394"/>
      <c r="L125" s="305"/>
      <c r="M125" s="305"/>
      <c r="N125" s="305"/>
      <c r="O125" s="305"/>
      <c r="P125" s="305"/>
      <c r="Q125" s="305"/>
      <c r="R125" s="305"/>
      <c r="S125" s="305"/>
      <c r="T125" s="305"/>
      <c r="U125" s="305"/>
    </row>
    <row r="126" spans="1:21" s="236" customFormat="1" ht="13.5" customHeight="1">
      <c r="A126" s="428"/>
      <c r="B126" s="2283" t="s">
        <v>447</v>
      </c>
      <c r="C126" s="3021">
        <v>651824</v>
      </c>
      <c r="D126" s="3021">
        <v>42435</v>
      </c>
      <c r="E126" s="3021">
        <v>17626</v>
      </c>
      <c r="F126" s="3021">
        <v>2693676</v>
      </c>
      <c r="G126" s="3021">
        <v>1650461</v>
      </c>
      <c r="H126" s="3021">
        <v>183310</v>
      </c>
      <c r="I126" s="2284">
        <f>SUM(I122:I125)</f>
        <v>5239331</v>
      </c>
      <c r="J126" s="431"/>
      <c r="K126" s="463"/>
      <c r="L126" s="305"/>
      <c r="M126" s="305"/>
      <c r="N126" s="305"/>
      <c r="O126" s="305"/>
      <c r="P126" s="305"/>
      <c r="Q126" s="305"/>
      <c r="R126" s="305"/>
      <c r="S126" s="305"/>
      <c r="T126" s="305"/>
      <c r="U126" s="305"/>
    </row>
    <row r="127" spans="1:21" s="52" customFormat="1" ht="13.5" customHeight="1">
      <c r="A127" s="427"/>
      <c r="B127" s="2281" t="s">
        <v>448</v>
      </c>
      <c r="C127" s="3021">
        <v>-207776</v>
      </c>
      <c r="D127" s="3021">
        <v>-2798</v>
      </c>
      <c r="E127" s="3021">
        <v>0</v>
      </c>
      <c r="F127" s="3021">
        <v>24725</v>
      </c>
      <c r="G127" s="3021">
        <v>-381355</v>
      </c>
      <c r="H127" s="3021">
        <v>-27045</v>
      </c>
      <c r="I127" s="2282">
        <f>SUM(C127:H127)</f>
        <v>-594249</v>
      </c>
      <c r="J127" s="431"/>
      <c r="K127" s="394"/>
      <c r="L127" s="305"/>
      <c r="M127" s="305"/>
      <c r="N127" s="305"/>
      <c r="O127" s="305"/>
      <c r="P127" s="305"/>
      <c r="Q127" s="305"/>
      <c r="R127" s="305"/>
      <c r="S127" s="305"/>
      <c r="T127" s="305"/>
      <c r="U127" s="305"/>
    </row>
    <row r="128" spans="1:21" s="236" customFormat="1" ht="13.5" customHeight="1">
      <c r="A128" s="428"/>
      <c r="B128" s="2283" t="s">
        <v>449</v>
      </c>
      <c r="C128" s="3021">
        <v>444049</v>
      </c>
      <c r="D128" s="3021">
        <v>39637</v>
      </c>
      <c r="E128" s="3021">
        <v>17626</v>
      </c>
      <c r="F128" s="3021">
        <v>2718400</v>
      </c>
      <c r="G128" s="3021">
        <v>1269106</v>
      </c>
      <c r="H128" s="3021">
        <v>156265</v>
      </c>
      <c r="I128" s="2284">
        <f>+I126+I127</f>
        <v>4645082</v>
      </c>
      <c r="J128" s="431"/>
      <c r="K128" s="463"/>
      <c r="L128" s="305"/>
      <c r="M128" s="305"/>
      <c r="N128" s="305"/>
      <c r="O128" s="305"/>
      <c r="P128" s="305"/>
      <c r="Q128" s="305"/>
      <c r="R128" s="305"/>
      <c r="S128" s="305"/>
      <c r="T128" s="305"/>
      <c r="U128" s="305"/>
    </row>
    <row r="129" spans="1:21" s="52" customFormat="1" ht="13.5" customHeight="1">
      <c r="A129" s="427"/>
      <c r="B129" s="2281"/>
      <c r="C129" s="3018"/>
      <c r="D129" s="3018"/>
      <c r="E129" s="3018"/>
      <c r="F129" s="3018"/>
      <c r="G129" s="3018"/>
      <c r="H129" s="3018"/>
      <c r="I129" s="2282"/>
      <c r="J129" s="431"/>
      <c r="K129" s="394"/>
      <c r="L129" s="305"/>
      <c r="M129" s="305"/>
      <c r="N129" s="305"/>
      <c r="O129" s="305"/>
      <c r="P129" s="305"/>
      <c r="Q129" s="305"/>
      <c r="R129" s="305"/>
      <c r="S129" s="305"/>
      <c r="T129" s="305"/>
      <c r="U129" s="305"/>
    </row>
    <row r="130" spans="1:21" s="52" customFormat="1" ht="13.5" customHeight="1">
      <c r="A130" s="427"/>
      <c r="B130" s="2283" t="s">
        <v>450</v>
      </c>
      <c r="C130" s="3018"/>
      <c r="D130" s="3018"/>
      <c r="E130" s="3018"/>
      <c r="F130" s="3018"/>
      <c r="G130" s="3018"/>
      <c r="H130" s="3018"/>
      <c r="I130" s="2282">
        <f>SUM(C130:H130)</f>
        <v>0</v>
      </c>
      <c r="J130" s="431"/>
      <c r="K130" s="415"/>
      <c r="L130" s="305"/>
      <c r="M130" s="305"/>
      <c r="N130" s="305"/>
      <c r="O130" s="305"/>
      <c r="P130" s="305"/>
      <c r="Q130" s="305"/>
      <c r="R130" s="305"/>
      <c r="S130" s="305"/>
      <c r="T130" s="305"/>
      <c r="U130" s="305"/>
    </row>
    <row r="131" spans="1:21" s="52" customFormat="1" ht="25.5" customHeight="1">
      <c r="A131" s="427"/>
      <c r="B131" s="2281" t="s">
        <v>451</v>
      </c>
      <c r="C131" s="3021">
        <v>-24617</v>
      </c>
      <c r="D131" s="3021">
        <v>-5385</v>
      </c>
      <c r="E131" s="3021">
        <v>0</v>
      </c>
      <c r="F131" s="3021">
        <v>-1480741</v>
      </c>
      <c r="G131" s="3021">
        <v>-1269598</v>
      </c>
      <c r="H131" s="3021">
        <v>-15375</v>
      </c>
      <c r="I131" s="2282">
        <f>SUM(C131:H131)</f>
        <v>-2795716</v>
      </c>
      <c r="J131" s="431"/>
      <c r="K131" s="394"/>
      <c r="L131" s="305"/>
      <c r="M131" s="305"/>
      <c r="N131" s="305"/>
      <c r="O131" s="305"/>
      <c r="P131" s="305"/>
      <c r="Q131" s="305"/>
      <c r="R131" s="305"/>
      <c r="S131" s="305"/>
      <c r="T131" s="305"/>
      <c r="U131" s="305"/>
    </row>
    <row r="132" spans="1:21" s="52" customFormat="1" ht="25.5" customHeight="1">
      <c r="A132" s="427"/>
      <c r="B132" s="2281" t="s">
        <v>452</v>
      </c>
      <c r="C132" s="3021">
        <v>64063</v>
      </c>
      <c r="D132" s="3021">
        <v>10167</v>
      </c>
      <c r="E132" s="3021">
        <v>0</v>
      </c>
      <c r="F132" s="3021">
        <v>-390550</v>
      </c>
      <c r="G132" s="3021">
        <v>-164032</v>
      </c>
      <c r="H132" s="3021">
        <v>20952</v>
      </c>
      <c r="I132" s="2282">
        <f>SUM(C132:H132)</f>
        <v>-459400</v>
      </c>
      <c r="J132" s="431"/>
      <c r="K132" s="394"/>
      <c r="L132" s="305"/>
      <c r="M132" s="305"/>
      <c r="N132" s="305"/>
      <c r="O132" s="305"/>
      <c r="P132" s="305"/>
      <c r="Q132" s="305"/>
      <c r="R132" s="305"/>
      <c r="S132" s="305"/>
      <c r="T132" s="305"/>
      <c r="U132" s="305"/>
    </row>
    <row r="133" spans="1:21" s="52" customFormat="1" ht="25.5" customHeight="1">
      <c r="A133" s="427"/>
      <c r="B133" s="2281" t="s">
        <v>453</v>
      </c>
      <c r="C133" s="3021">
        <v>0</v>
      </c>
      <c r="D133" s="3021">
        <v>0</v>
      </c>
      <c r="E133" s="3021">
        <v>0</v>
      </c>
      <c r="F133" s="3021">
        <v>0</v>
      </c>
      <c r="G133" s="3021">
        <v>0</v>
      </c>
      <c r="H133" s="3021">
        <v>0</v>
      </c>
      <c r="I133" s="2282">
        <f>SUM(C133:H133)</f>
        <v>0</v>
      </c>
      <c r="J133" s="431"/>
      <c r="K133" s="394"/>
      <c r="L133" s="305"/>
      <c r="M133" s="305"/>
      <c r="N133" s="305"/>
      <c r="O133" s="305"/>
      <c r="P133" s="305"/>
      <c r="Q133" s="305"/>
      <c r="R133" s="305"/>
      <c r="S133" s="305"/>
      <c r="T133" s="305"/>
      <c r="U133" s="305"/>
    </row>
    <row r="134" spans="1:21" s="52" customFormat="1" ht="13.5" customHeight="1">
      <c r="A134" s="427"/>
      <c r="B134" s="2288" t="s">
        <v>454</v>
      </c>
      <c r="C134" s="3021">
        <f t="shared" ref="C134:H134" si="9">SUM(C128:C133)</f>
        <v>483495</v>
      </c>
      <c r="D134" s="3021">
        <f t="shared" si="9"/>
        <v>44419</v>
      </c>
      <c r="E134" s="3021">
        <f t="shared" si="9"/>
        <v>17626</v>
      </c>
      <c r="F134" s="3021">
        <f t="shared" si="9"/>
        <v>847109</v>
      </c>
      <c r="G134" s="3021">
        <f t="shared" si="9"/>
        <v>-164524</v>
      </c>
      <c r="H134" s="3021">
        <f t="shared" si="9"/>
        <v>161842</v>
      </c>
      <c r="I134" s="2284">
        <f>+I128+I132+I133+I131</f>
        <v>1389966</v>
      </c>
      <c r="J134" s="431"/>
      <c r="K134" s="288"/>
      <c r="L134" s="305"/>
      <c r="M134" s="305"/>
      <c r="N134" s="305"/>
      <c r="O134" s="305"/>
      <c r="P134" s="305"/>
      <c r="Q134" s="305"/>
      <c r="R134" s="305"/>
      <c r="S134" s="305"/>
      <c r="T134" s="305"/>
      <c r="U134" s="305"/>
    </row>
    <row r="135" spans="1:21" s="52" customFormat="1" ht="13.5" customHeight="1">
      <c r="A135" s="427"/>
      <c r="B135" s="2289"/>
      <c r="C135" s="2286"/>
      <c r="D135" s="2287"/>
      <c r="E135" s="2286"/>
      <c r="F135" s="2287"/>
      <c r="G135" s="2286"/>
      <c r="H135" s="2287"/>
      <c r="I135" s="2290"/>
      <c r="J135" s="431"/>
      <c r="K135" s="394"/>
      <c r="L135" s="305"/>
      <c r="M135" s="305"/>
      <c r="N135" s="305"/>
      <c r="O135" s="305"/>
      <c r="P135" s="305"/>
      <c r="Q135" s="305"/>
      <c r="R135" s="305"/>
      <c r="S135" s="305"/>
      <c r="T135" s="305"/>
      <c r="U135" s="305"/>
    </row>
    <row r="136" spans="1:21" s="52" customFormat="1" ht="13.5" customHeight="1">
      <c r="A136" s="427"/>
      <c r="B136" s="2283" t="s">
        <v>455</v>
      </c>
      <c r="C136" s="2291"/>
      <c r="D136" s="2292"/>
      <c r="E136" s="2291"/>
      <c r="F136" s="2292"/>
      <c r="G136" s="2291"/>
      <c r="H136" s="2292"/>
      <c r="I136" s="2290">
        <f>SUM(I137:I141)</f>
        <v>2239965</v>
      </c>
      <c r="J136" s="431"/>
      <c r="K136" s="394"/>
      <c r="L136" s="305"/>
      <c r="M136" s="305"/>
      <c r="N136" s="305"/>
      <c r="O136" s="305"/>
      <c r="P136" s="305"/>
      <c r="Q136" s="305"/>
      <c r="R136" s="305"/>
      <c r="S136" s="305"/>
      <c r="T136" s="305"/>
      <c r="U136" s="305"/>
    </row>
    <row r="137" spans="1:21" s="52" customFormat="1" ht="13.5" customHeight="1">
      <c r="A137" s="427"/>
      <c r="B137" s="2281" t="s">
        <v>456</v>
      </c>
      <c r="C137" s="2291"/>
      <c r="D137" s="2292"/>
      <c r="E137" s="2291"/>
      <c r="F137" s="2292"/>
      <c r="G137" s="2291"/>
      <c r="H137" s="2292"/>
      <c r="I137" s="2384">
        <v>45491</v>
      </c>
      <c r="J137" s="431"/>
      <c r="K137" s="394"/>
      <c r="L137" s="305"/>
      <c r="M137" s="305"/>
      <c r="N137" s="305"/>
      <c r="O137" s="305"/>
      <c r="P137" s="305"/>
      <c r="Q137" s="305"/>
      <c r="R137" s="305"/>
      <c r="S137" s="305"/>
      <c r="T137" s="305"/>
      <c r="U137" s="305"/>
    </row>
    <row r="138" spans="1:21" s="52" customFormat="1" ht="13.5" customHeight="1">
      <c r="A138" s="427"/>
      <c r="B138" s="2281" t="s">
        <v>472</v>
      </c>
      <c r="C138" s="2291"/>
      <c r="D138" s="2292"/>
      <c r="E138" s="2291"/>
      <c r="F138" s="2292"/>
      <c r="G138" s="2291"/>
      <c r="H138" s="2292"/>
      <c r="I138" s="1526">
        <v>725314</v>
      </c>
      <c r="J138" s="431"/>
      <c r="K138" s="394"/>
      <c r="L138" s="305"/>
      <c r="M138" s="305"/>
      <c r="N138" s="305"/>
      <c r="O138" s="305"/>
      <c r="P138" s="305"/>
      <c r="Q138" s="305"/>
      <c r="R138" s="305"/>
      <c r="S138" s="305"/>
      <c r="T138" s="305"/>
      <c r="U138" s="305"/>
    </row>
    <row r="139" spans="1:21" s="52" customFormat="1" ht="13.5" customHeight="1">
      <c r="A139" s="427"/>
      <c r="B139" s="2281" t="s">
        <v>458</v>
      </c>
      <c r="C139" s="2291"/>
      <c r="D139" s="2292"/>
      <c r="E139" s="2291"/>
      <c r="F139" s="2292"/>
      <c r="G139" s="2291"/>
      <c r="H139" s="2292"/>
      <c r="I139" s="1526">
        <v>278053</v>
      </c>
      <c r="J139" s="431"/>
      <c r="K139" s="394"/>
      <c r="L139" s="305"/>
      <c r="M139" s="305"/>
      <c r="N139" s="305"/>
      <c r="O139" s="305"/>
      <c r="P139" s="305"/>
      <c r="Q139" s="305"/>
      <c r="R139" s="305"/>
      <c r="S139" s="305"/>
      <c r="T139" s="305"/>
      <c r="U139" s="305"/>
    </row>
    <row r="140" spans="1:21" s="52" customFormat="1" ht="13.5" customHeight="1">
      <c r="A140" s="427"/>
      <c r="B140" s="2281" t="s">
        <v>459</v>
      </c>
      <c r="C140" s="2291"/>
      <c r="D140" s="2292"/>
      <c r="E140" s="2291"/>
      <c r="F140" s="2292"/>
      <c r="G140" s="2291"/>
      <c r="H140" s="2292"/>
      <c r="I140" s="1526">
        <v>1190990</v>
      </c>
      <c r="J140" s="431"/>
      <c r="K140" s="394"/>
      <c r="L140" s="305"/>
      <c r="M140" s="305"/>
      <c r="N140" s="305"/>
      <c r="O140" s="305"/>
      <c r="P140" s="305"/>
      <c r="Q140" s="305"/>
      <c r="R140" s="305"/>
      <c r="S140" s="305"/>
      <c r="T140" s="305"/>
      <c r="U140" s="305"/>
    </row>
    <row r="141" spans="1:21" s="52" customFormat="1" ht="13.15" customHeight="1">
      <c r="A141" s="427"/>
      <c r="B141" s="2281" t="s">
        <v>460</v>
      </c>
      <c r="C141" s="2291"/>
      <c r="D141" s="2292"/>
      <c r="E141" s="2291"/>
      <c r="F141" s="2292"/>
      <c r="G141" s="2291"/>
      <c r="H141" s="2292"/>
      <c r="I141" s="1526">
        <v>117</v>
      </c>
      <c r="J141" s="431"/>
      <c r="K141" s="394"/>
      <c r="L141" s="305"/>
      <c r="M141" s="305"/>
      <c r="N141" s="305"/>
      <c r="O141" s="305"/>
      <c r="P141" s="305"/>
      <c r="Q141" s="305"/>
      <c r="R141" s="305"/>
      <c r="S141" s="305"/>
      <c r="T141" s="305"/>
      <c r="U141" s="305"/>
    </row>
    <row r="142" spans="1:21" s="52" customFormat="1" ht="13.5" customHeight="1">
      <c r="A142" s="427"/>
      <c r="B142" s="2281"/>
      <c r="C142" s="2291"/>
      <c r="D142" s="2292"/>
      <c r="E142" s="2291"/>
      <c r="F142" s="2292"/>
      <c r="G142" s="2291"/>
      <c r="H142" s="2292"/>
      <c r="I142" s="2282"/>
      <c r="J142" s="431"/>
      <c r="K142" s="394"/>
      <c r="L142" s="305"/>
      <c r="M142" s="305"/>
      <c r="N142" s="305"/>
      <c r="O142" s="305"/>
      <c r="P142" s="305"/>
      <c r="Q142" s="305"/>
      <c r="R142" s="305"/>
      <c r="S142" s="305"/>
      <c r="T142" s="305"/>
      <c r="U142" s="305"/>
    </row>
    <row r="143" spans="1:21" s="52" customFormat="1" ht="13.5" customHeight="1">
      <c r="A143" s="427"/>
      <c r="B143" s="2283" t="s">
        <v>461</v>
      </c>
      <c r="C143" s="2291"/>
      <c r="D143" s="2292"/>
      <c r="E143" s="2291"/>
      <c r="F143" s="2292"/>
      <c r="G143" s="2291"/>
      <c r="H143" s="2292"/>
      <c r="I143" s="2282">
        <f>SUM(I144:I145)</f>
        <v>-1311182</v>
      </c>
      <c r="J143" s="431"/>
      <c r="K143" s="394"/>
      <c r="L143" s="305"/>
      <c r="M143" s="305"/>
      <c r="N143" s="305"/>
      <c r="O143" s="305"/>
      <c r="P143" s="305"/>
      <c r="Q143" s="305"/>
      <c r="R143" s="305"/>
      <c r="S143" s="305"/>
      <c r="T143" s="305"/>
      <c r="U143" s="305"/>
    </row>
    <row r="144" spans="1:21" s="52" customFormat="1" ht="30" customHeight="1">
      <c r="A144" s="427"/>
      <c r="B144" s="2281" t="s">
        <v>462</v>
      </c>
      <c r="C144" s="2291"/>
      <c r="D144" s="2292"/>
      <c r="E144" s="2291"/>
      <c r="F144" s="2292"/>
      <c r="G144" s="2291"/>
      <c r="H144" s="2292"/>
      <c r="I144" s="2293">
        <v>-1311182</v>
      </c>
      <c r="J144" s="431"/>
      <c r="K144" s="394"/>
      <c r="L144" s="305"/>
      <c r="M144" s="305"/>
      <c r="N144" s="305"/>
      <c r="O144" s="305"/>
      <c r="P144" s="305"/>
      <c r="Q144" s="305"/>
      <c r="R144" s="305"/>
      <c r="S144" s="305"/>
      <c r="T144" s="305"/>
      <c r="U144" s="305"/>
    </row>
    <row r="145" spans="1:21" s="52" customFormat="1" ht="30" customHeight="1">
      <c r="A145" s="427"/>
      <c r="B145" s="2281" t="s">
        <v>463</v>
      </c>
      <c r="C145" s="2291"/>
      <c r="D145" s="2292"/>
      <c r="E145" s="2291"/>
      <c r="F145" s="2292"/>
      <c r="G145" s="2291"/>
      <c r="H145" s="2292"/>
      <c r="I145" s="2282"/>
      <c r="J145" s="431"/>
      <c r="K145" s="394"/>
      <c r="L145" s="305"/>
      <c r="M145" s="305"/>
      <c r="N145" s="305"/>
      <c r="O145" s="305"/>
      <c r="P145" s="305"/>
      <c r="Q145" s="305"/>
      <c r="R145" s="305"/>
      <c r="S145" s="305"/>
      <c r="T145" s="305"/>
      <c r="U145" s="305"/>
    </row>
    <row r="146" spans="1:21" s="52" customFormat="1" ht="13.5" customHeight="1">
      <c r="A146" s="427"/>
      <c r="B146" s="2283" t="s">
        <v>464</v>
      </c>
      <c r="C146" s="2291"/>
      <c r="D146" s="2292"/>
      <c r="E146" s="2291"/>
      <c r="F146" s="2292"/>
      <c r="G146" s="2291"/>
      <c r="H146" s="2292"/>
      <c r="I146" s="2290">
        <f>+I134+I136+I143</f>
        <v>2318749</v>
      </c>
      <c r="J146" s="431"/>
      <c r="K146" s="394"/>
      <c r="L146" s="305"/>
      <c r="M146" s="305"/>
      <c r="N146" s="305"/>
      <c r="O146" s="305"/>
      <c r="P146" s="305"/>
      <c r="Q146" s="305"/>
      <c r="R146" s="305"/>
      <c r="S146" s="305"/>
      <c r="T146" s="305"/>
      <c r="U146" s="305"/>
    </row>
    <row r="147" spans="1:21" s="52" customFormat="1" ht="13.5" customHeight="1">
      <c r="A147" s="427"/>
      <c r="B147" s="2281" t="s">
        <v>465</v>
      </c>
      <c r="C147" s="2291"/>
      <c r="D147" s="2292"/>
      <c r="E147" s="2291"/>
      <c r="F147" s="2292"/>
      <c r="G147" s="2291"/>
      <c r="H147" s="2292"/>
      <c r="I147" s="2293"/>
      <c r="J147" s="431"/>
      <c r="K147" s="394"/>
      <c r="L147" s="305"/>
      <c r="M147" s="305"/>
      <c r="N147" s="305"/>
      <c r="O147" s="305"/>
      <c r="P147" s="305"/>
      <c r="Q147" s="305"/>
      <c r="R147" s="305"/>
      <c r="S147" s="305"/>
      <c r="T147" s="305"/>
      <c r="U147" s="305"/>
    </row>
    <row r="148" spans="1:21" s="52" customFormat="1" ht="13.5" customHeight="1">
      <c r="A148" s="427"/>
      <c r="B148" s="2294" t="s">
        <v>466</v>
      </c>
      <c r="C148" s="2291"/>
      <c r="D148" s="2292"/>
      <c r="E148" s="2291"/>
      <c r="F148" s="2292"/>
      <c r="G148" s="2291"/>
      <c r="H148" s="2292"/>
      <c r="I148" s="2290">
        <f>I146+I147</f>
        <v>2318749</v>
      </c>
      <c r="J148" s="431"/>
      <c r="K148" s="394"/>
      <c r="L148" s="305"/>
      <c r="M148" s="305"/>
      <c r="N148" s="305"/>
      <c r="O148" s="305"/>
      <c r="P148" s="305"/>
      <c r="Q148" s="305"/>
      <c r="R148" s="305"/>
      <c r="S148" s="305"/>
      <c r="T148" s="305"/>
      <c r="U148" s="305"/>
    </row>
    <row r="149" spans="1:21" s="52" customFormat="1" ht="13.5" customHeight="1">
      <c r="A149" s="427"/>
      <c r="B149" s="2295" t="s">
        <v>467</v>
      </c>
      <c r="C149" s="2291"/>
      <c r="D149" s="2292"/>
      <c r="E149" s="2291"/>
      <c r="F149" s="2292"/>
      <c r="G149" s="2291"/>
      <c r="H149" s="2292"/>
      <c r="I149" s="2293">
        <v>-159466</v>
      </c>
      <c r="J149" s="431"/>
      <c r="K149" s="394"/>
      <c r="L149" s="305"/>
      <c r="M149" s="305"/>
      <c r="N149" s="305"/>
      <c r="O149" s="305"/>
      <c r="P149" s="305"/>
      <c r="Q149" s="305"/>
      <c r="R149" s="305"/>
      <c r="S149" s="305"/>
      <c r="T149" s="305"/>
      <c r="U149" s="305"/>
    </row>
    <row r="150" spans="1:21" s="52" customFormat="1" ht="13.5" customHeight="1" thickBot="1">
      <c r="A150" s="427"/>
      <c r="B150" s="1491" t="s">
        <v>468</v>
      </c>
      <c r="C150" s="724"/>
      <c r="D150" s="1108"/>
      <c r="E150" s="724"/>
      <c r="F150" s="1108"/>
      <c r="G150" s="724"/>
      <c r="H150" s="1108"/>
      <c r="I150" s="1493">
        <f>+I148+I149</f>
        <v>2159283</v>
      </c>
      <c r="J150" s="431"/>
      <c r="K150" s="394"/>
      <c r="L150" s="305"/>
      <c r="M150" s="305"/>
      <c r="N150" s="305"/>
      <c r="O150" s="305"/>
      <c r="P150" s="305"/>
      <c r="Q150" s="305"/>
      <c r="R150" s="305"/>
      <c r="S150" s="305"/>
      <c r="T150" s="305"/>
      <c r="U150" s="305"/>
    </row>
    <row r="151" spans="1:21" s="52" customFormat="1" ht="13.5" customHeight="1">
      <c r="A151" s="427"/>
      <c r="B151" s="455"/>
      <c r="C151" s="433"/>
      <c r="D151" s="433"/>
      <c r="E151" s="433"/>
      <c r="F151" s="433"/>
      <c r="G151" s="433"/>
      <c r="H151" s="433"/>
      <c r="I151" s="433"/>
      <c r="J151" s="431"/>
      <c r="K151" s="394"/>
      <c r="L151" s="305"/>
      <c r="M151" s="305"/>
      <c r="N151" s="305"/>
      <c r="O151" s="305"/>
      <c r="P151" s="305"/>
      <c r="Q151" s="305"/>
      <c r="R151" s="305"/>
      <c r="S151" s="305"/>
      <c r="T151" s="305"/>
      <c r="U151" s="305"/>
    </row>
    <row r="152" spans="1:21" s="52" customFormat="1" ht="13.5" customHeight="1">
      <c r="A152" s="427"/>
      <c r="B152" s="455"/>
      <c r="C152" s="433"/>
      <c r="D152" s="433"/>
      <c r="E152" s="433"/>
      <c r="F152" s="433"/>
      <c r="G152" s="433"/>
      <c r="H152" s="433"/>
      <c r="I152" s="433"/>
      <c r="J152" s="431"/>
      <c r="K152" s="394">
        <v>114</v>
      </c>
      <c r="L152" s="305"/>
      <c r="M152" s="305"/>
      <c r="N152" s="305"/>
      <c r="O152" s="305"/>
      <c r="P152" s="305"/>
      <c r="Q152" s="305"/>
      <c r="R152" s="305"/>
      <c r="S152" s="305"/>
      <c r="T152" s="305"/>
      <c r="U152" s="305"/>
    </row>
    <row r="153" spans="1:21" s="52" customFormat="1" ht="13.5" customHeight="1">
      <c r="A153" s="427"/>
      <c r="B153" s="455"/>
      <c r="C153" s="433"/>
      <c r="D153" s="433"/>
      <c r="E153" s="433"/>
      <c r="F153" s="433"/>
      <c r="G153" s="433"/>
      <c r="H153" s="433"/>
      <c r="I153" s="433"/>
      <c r="J153" s="431"/>
      <c r="K153" s="394"/>
      <c r="L153" s="305"/>
      <c r="M153" s="305"/>
      <c r="N153" s="305"/>
      <c r="O153" s="305"/>
      <c r="P153" s="305"/>
      <c r="Q153" s="305"/>
      <c r="R153" s="305"/>
      <c r="S153" s="305"/>
      <c r="T153" s="305"/>
      <c r="U153" s="305"/>
    </row>
    <row r="154" spans="1:21" s="52" customFormat="1" ht="13.5" customHeight="1">
      <c r="A154" s="427"/>
      <c r="B154" s="295" t="s">
        <v>469</v>
      </c>
      <c r="C154" s="295"/>
      <c r="D154" s="295"/>
      <c r="E154" s="433"/>
      <c r="F154" s="433"/>
      <c r="G154" s="433"/>
      <c r="H154" s="433"/>
      <c r="I154" s="433"/>
      <c r="J154" s="431"/>
      <c r="K154" s="394"/>
      <c r="L154" s="305"/>
      <c r="M154" s="305"/>
      <c r="N154" s="305"/>
      <c r="O154" s="305"/>
      <c r="P154" s="305"/>
      <c r="Q154" s="305"/>
      <c r="R154" s="305"/>
      <c r="S154" s="305"/>
      <c r="T154" s="305"/>
      <c r="U154" s="305"/>
    </row>
    <row r="155" spans="1:21" s="52" customFormat="1" ht="13.5" customHeight="1" thickBot="1">
      <c r="A155" s="427"/>
      <c r="B155" s="218"/>
      <c r="C155" s="218"/>
      <c r="D155" s="218"/>
      <c r="E155" s="433"/>
      <c r="F155" s="433"/>
      <c r="G155" s="433"/>
      <c r="H155" s="433"/>
      <c r="I155" s="433"/>
      <c r="J155" s="431"/>
      <c r="K155" s="394"/>
      <c r="L155" s="305"/>
      <c r="M155" s="305"/>
      <c r="N155" s="305"/>
      <c r="O155" s="305"/>
      <c r="P155" s="305"/>
      <c r="Q155" s="305"/>
      <c r="R155" s="305"/>
      <c r="S155" s="305"/>
      <c r="T155" s="305"/>
      <c r="U155" s="305"/>
    </row>
    <row r="156" spans="1:21" ht="13.5" customHeight="1">
      <c r="B156" s="1481" t="s">
        <v>97</v>
      </c>
      <c r="I156" s="532" t="s">
        <v>238</v>
      </c>
      <c r="J156" s="553"/>
      <c r="L156" s="305"/>
      <c r="M156" s="305"/>
      <c r="N156" s="305"/>
      <c r="O156" s="305"/>
      <c r="P156" s="305"/>
      <c r="Q156" s="305"/>
      <c r="R156" s="305"/>
      <c r="S156" s="305"/>
      <c r="T156" s="305"/>
      <c r="U156" s="305"/>
    </row>
    <row r="157" spans="1:21" s="52" customFormat="1" ht="13.5" customHeight="1">
      <c r="A157" s="414"/>
      <c r="B157" s="3391"/>
      <c r="C157" s="3394">
        <v>2022</v>
      </c>
      <c r="D157" s="3395"/>
      <c r="E157" s="3395"/>
      <c r="F157" s="3395"/>
      <c r="G157" s="3395"/>
      <c r="H157" s="3395"/>
      <c r="I157" s="3396"/>
      <c r="J157" s="454"/>
      <c r="K157" s="394"/>
      <c r="L157" s="305"/>
      <c r="M157" s="305"/>
      <c r="N157" s="305"/>
      <c r="O157" s="305"/>
      <c r="P157" s="305"/>
      <c r="Q157" s="305"/>
      <c r="R157" s="305"/>
      <c r="S157" s="305"/>
      <c r="T157" s="305"/>
      <c r="U157" s="305"/>
    </row>
    <row r="158" spans="1:21" s="52" customFormat="1" ht="13.5" customHeight="1">
      <c r="A158" s="415"/>
      <c r="B158" s="3392"/>
      <c r="C158" s="3397" t="s">
        <v>436</v>
      </c>
      <c r="D158" s="3397" t="s">
        <v>437</v>
      </c>
      <c r="E158" s="3394" t="s">
        <v>438</v>
      </c>
      <c r="F158" s="3396"/>
      <c r="G158" s="3399" t="s">
        <v>439</v>
      </c>
      <c r="H158" s="3399" t="s">
        <v>440</v>
      </c>
      <c r="I158" s="3397" t="s">
        <v>118</v>
      </c>
      <c r="J158" s="454"/>
      <c r="K158" s="3358"/>
      <c r="L158" s="305"/>
      <c r="M158" s="305"/>
      <c r="N158" s="305"/>
      <c r="O158" s="305"/>
      <c r="P158" s="305"/>
      <c r="Q158" s="305"/>
      <c r="R158" s="305"/>
      <c r="S158" s="305"/>
      <c r="T158" s="305"/>
      <c r="U158" s="305"/>
    </row>
    <row r="159" spans="1:21" s="52" customFormat="1" ht="13.5" customHeight="1" thickBot="1">
      <c r="A159" s="415"/>
      <c r="B159" s="3393"/>
      <c r="C159" s="3398"/>
      <c r="D159" s="3398"/>
      <c r="E159" s="1406" t="s">
        <v>442</v>
      </c>
      <c r="F159" s="1406" t="s">
        <v>443</v>
      </c>
      <c r="G159" s="3400"/>
      <c r="H159" s="3400"/>
      <c r="I159" s="3398"/>
      <c r="J159" s="454"/>
      <c r="K159" s="3358"/>
      <c r="L159" s="305"/>
      <c r="M159" s="305"/>
      <c r="N159" s="305"/>
      <c r="O159" s="305"/>
      <c r="P159" s="305"/>
      <c r="Q159" s="305"/>
      <c r="R159" s="305"/>
      <c r="S159" s="305"/>
      <c r="T159" s="305"/>
      <c r="U159" s="305"/>
    </row>
    <row r="160" spans="1:21" s="52" customFormat="1" ht="13.5" customHeight="1">
      <c r="A160" s="427"/>
      <c r="B160" s="1486" t="s">
        <v>342</v>
      </c>
      <c r="C160" s="813">
        <v>4873156</v>
      </c>
      <c r="D160" s="2258">
        <v>947234</v>
      </c>
      <c r="E160" s="813">
        <v>793175</v>
      </c>
      <c r="F160" s="2258">
        <v>10073736</v>
      </c>
      <c r="G160" s="813">
        <v>2431969</v>
      </c>
      <c r="H160" s="2258">
        <v>5232266</v>
      </c>
      <c r="I160" s="1494">
        <f>SUM(C160:H160)</f>
        <v>24351536</v>
      </c>
      <c r="J160" s="431"/>
      <c r="K160" s="286"/>
      <c r="L160" s="305"/>
      <c r="M160" s="305"/>
      <c r="N160" s="305"/>
      <c r="O160" s="305"/>
      <c r="P160" s="305"/>
      <c r="Q160" s="305"/>
      <c r="R160" s="305"/>
      <c r="S160" s="305"/>
      <c r="T160" s="305"/>
      <c r="U160" s="305"/>
    </row>
    <row r="161" spans="1:21" s="52" customFormat="1" ht="13.5" customHeight="1">
      <c r="A161" s="427"/>
      <c r="B161" s="2246" t="s">
        <v>473</v>
      </c>
      <c r="C161" s="814">
        <v>-118748.259049207</v>
      </c>
      <c r="D161" s="815">
        <v>-14447.164878899999</v>
      </c>
      <c r="E161" s="814"/>
      <c r="F161" s="815">
        <v>-6445.9822199999999</v>
      </c>
      <c r="G161" s="814"/>
      <c r="H161" s="815">
        <v>-84954.799277669095</v>
      </c>
      <c r="I161" s="2221">
        <f>SUM(C161:H161)</f>
        <v>-224596.20542577608</v>
      </c>
      <c r="J161" s="431"/>
      <c r="K161" s="286"/>
      <c r="L161" s="305"/>
      <c r="M161" s="305"/>
      <c r="N161" s="305"/>
      <c r="O161" s="305"/>
      <c r="P161" s="305"/>
      <c r="Q161" s="305"/>
      <c r="R161" s="305"/>
      <c r="S161" s="305"/>
      <c r="T161" s="305"/>
      <c r="U161" s="305"/>
    </row>
    <row r="162" spans="1:21" s="52" customFormat="1" ht="13.5" customHeight="1">
      <c r="A162" s="427"/>
      <c r="B162" s="2246" t="s">
        <v>445</v>
      </c>
      <c r="C162" s="814">
        <v>-1697065</v>
      </c>
      <c r="D162" s="815">
        <v>-5713</v>
      </c>
      <c r="E162" s="814"/>
      <c r="F162" s="815">
        <v>-139295</v>
      </c>
      <c r="G162" s="814"/>
      <c r="H162" s="815">
        <v>-271251</v>
      </c>
      <c r="I162" s="2221">
        <f>SUM(C162:H162)</f>
        <v>-2113324</v>
      </c>
      <c r="J162" s="431"/>
      <c r="K162" s="286"/>
      <c r="L162" s="305"/>
      <c r="M162" s="305"/>
      <c r="N162" s="305"/>
      <c r="O162" s="305"/>
      <c r="P162" s="305"/>
      <c r="Q162" s="305"/>
      <c r="R162" s="305"/>
      <c r="S162" s="305"/>
      <c r="T162" s="305"/>
      <c r="U162" s="305"/>
    </row>
    <row r="163" spans="1:21" s="52" customFormat="1" ht="13.5" customHeight="1">
      <c r="A163" s="427"/>
      <c r="B163" s="2246" t="s">
        <v>446</v>
      </c>
      <c r="C163" s="814">
        <v>-2462513.7409507898</v>
      </c>
      <c r="D163" s="815">
        <v>-485900.83512110001</v>
      </c>
      <c r="E163" s="814">
        <v>-127076</v>
      </c>
      <c r="F163" s="815">
        <v>-504045.01777999999</v>
      </c>
      <c r="G163" s="814">
        <v>-388610</v>
      </c>
      <c r="H163" s="815">
        <v>-3436604.2006858997</v>
      </c>
      <c r="I163" s="2221">
        <f>SUM(C163:H163)</f>
        <v>-7404749.7945377892</v>
      </c>
      <c r="J163" s="431"/>
      <c r="K163" s="394"/>
      <c r="L163" s="305"/>
      <c r="M163" s="305"/>
      <c r="N163" s="305"/>
      <c r="O163" s="305"/>
      <c r="P163" s="305"/>
      <c r="Q163" s="305"/>
      <c r="R163" s="305"/>
      <c r="S163" s="305"/>
      <c r="T163" s="305"/>
      <c r="U163" s="305"/>
    </row>
    <row r="164" spans="1:21" s="236" customFormat="1" ht="13.5" customHeight="1">
      <c r="A164" s="428"/>
      <c r="B164" s="2248" t="s">
        <v>447</v>
      </c>
      <c r="C164" s="2264">
        <v>594829.00000000326</v>
      </c>
      <c r="D164" s="2263">
        <v>441172.99999999994</v>
      </c>
      <c r="E164" s="2264">
        <v>666099</v>
      </c>
      <c r="F164" s="2263">
        <v>9423950</v>
      </c>
      <c r="G164" s="2264">
        <v>2043359</v>
      </c>
      <c r="H164" s="2263">
        <v>1439456.0000364315</v>
      </c>
      <c r="I164" s="2229">
        <f>SUM(I160:I163)</f>
        <v>14608866.000036433</v>
      </c>
      <c r="J164" s="431"/>
      <c r="K164" s="463"/>
      <c r="L164" s="305"/>
      <c r="M164" s="305"/>
      <c r="N164" s="305"/>
      <c r="O164" s="305"/>
      <c r="P164" s="305"/>
      <c r="Q164" s="305"/>
      <c r="R164" s="305"/>
      <c r="S164" s="305"/>
      <c r="T164" s="305"/>
      <c r="U164" s="305"/>
    </row>
    <row r="165" spans="1:21" s="52" customFormat="1" ht="13.5" customHeight="1">
      <c r="A165" s="427"/>
      <c r="B165" s="2246" t="s">
        <v>448</v>
      </c>
      <c r="C165" s="2259">
        <v>-147814</v>
      </c>
      <c r="D165" s="2258">
        <v>-8269</v>
      </c>
      <c r="E165" s="2259">
        <v>-30300</v>
      </c>
      <c r="F165" s="2258">
        <v>320855</v>
      </c>
      <c r="G165" s="2259">
        <v>-36233</v>
      </c>
      <c r="H165" s="2258">
        <v>-35179</v>
      </c>
      <c r="I165" s="2221">
        <f>SUM(C165:H165)</f>
        <v>63060</v>
      </c>
      <c r="J165" s="431"/>
      <c r="K165" s="394"/>
      <c r="L165" s="305"/>
      <c r="M165" s="305"/>
      <c r="N165" s="305"/>
      <c r="O165" s="305"/>
      <c r="P165" s="305"/>
      <c r="Q165" s="305"/>
      <c r="R165" s="305"/>
      <c r="S165" s="305"/>
      <c r="T165" s="305"/>
      <c r="U165" s="305"/>
    </row>
    <row r="166" spans="1:21" s="236" customFormat="1" ht="13.5" customHeight="1">
      <c r="A166" s="428"/>
      <c r="B166" s="2248" t="s">
        <v>449</v>
      </c>
      <c r="C166" s="2264">
        <v>447015.00000000326</v>
      </c>
      <c r="D166" s="2263">
        <v>432903.99999999994</v>
      </c>
      <c r="E166" s="2264">
        <v>635799</v>
      </c>
      <c r="F166" s="2263">
        <v>9744805</v>
      </c>
      <c r="G166" s="2264">
        <v>2007126</v>
      </c>
      <c r="H166" s="2263">
        <v>1404277.0000364315</v>
      </c>
      <c r="I166" s="2229">
        <f>+I164+I165</f>
        <v>14671926.000036433</v>
      </c>
      <c r="J166" s="431"/>
      <c r="K166" s="463"/>
      <c r="L166" s="305"/>
      <c r="M166" s="305"/>
      <c r="N166" s="305"/>
      <c r="O166" s="305"/>
      <c r="P166" s="305"/>
      <c r="Q166" s="305"/>
      <c r="R166" s="305"/>
      <c r="S166" s="305"/>
      <c r="T166" s="305"/>
      <c r="U166" s="305"/>
    </row>
    <row r="167" spans="1:21" s="52" customFormat="1" ht="13.5" customHeight="1">
      <c r="A167" s="427"/>
      <c r="B167" s="2246"/>
      <c r="C167" s="2267"/>
      <c r="D167" s="2266"/>
      <c r="E167" s="2267"/>
      <c r="F167" s="2266"/>
      <c r="G167" s="2267"/>
      <c r="H167" s="2266"/>
      <c r="I167" s="2221"/>
      <c r="J167" s="431"/>
      <c r="K167" s="415"/>
      <c r="L167" s="305"/>
      <c r="M167" s="305"/>
      <c r="N167" s="305"/>
      <c r="O167" s="305"/>
      <c r="P167" s="305"/>
      <c r="Q167" s="305"/>
      <c r="R167" s="305"/>
      <c r="S167" s="305"/>
      <c r="T167" s="305"/>
      <c r="U167" s="305"/>
    </row>
    <row r="168" spans="1:21" s="52" customFormat="1" ht="13.5" customHeight="1">
      <c r="A168" s="427"/>
      <c r="B168" s="2248" t="s">
        <v>450</v>
      </c>
      <c r="C168" s="2269"/>
      <c r="D168" s="2268"/>
      <c r="E168" s="2269"/>
      <c r="F168" s="2268"/>
      <c r="G168" s="2269"/>
      <c r="H168" s="2268"/>
      <c r="I168" s="2221">
        <f>SUM(C168:H168)</f>
        <v>0</v>
      </c>
      <c r="J168" s="431"/>
      <c r="K168" s="394"/>
      <c r="L168" s="305"/>
      <c r="M168" s="305"/>
      <c r="N168" s="305"/>
      <c r="O168" s="305"/>
      <c r="P168" s="305"/>
      <c r="Q168" s="305"/>
      <c r="R168" s="305"/>
      <c r="S168" s="305"/>
      <c r="T168" s="305"/>
      <c r="U168" s="305"/>
    </row>
    <row r="169" spans="1:21" s="52" customFormat="1" ht="24.75" customHeight="1">
      <c r="A169" s="427"/>
      <c r="B169" s="2246" t="s">
        <v>451</v>
      </c>
      <c r="C169" s="2259">
        <v>-617940.08100000001</v>
      </c>
      <c r="D169" s="2258">
        <v>-171966.18900000004</v>
      </c>
      <c r="E169" s="2259">
        <v>-30853.144999999997</v>
      </c>
      <c r="F169" s="2258">
        <v>-4582778.4400000004</v>
      </c>
      <c r="G169" s="2259">
        <v>-1825364.17</v>
      </c>
      <c r="H169" s="2258">
        <v>-601380.96100000001</v>
      </c>
      <c r="I169" s="2221">
        <f>SUM(C169:H169)</f>
        <v>-7830282.9860000005</v>
      </c>
      <c r="J169" s="431"/>
      <c r="K169" s="394"/>
      <c r="L169" s="305"/>
      <c r="M169" s="305"/>
      <c r="N169" s="305"/>
      <c r="O169" s="305"/>
      <c r="P169" s="305"/>
      <c r="Q169" s="305"/>
      <c r="R169" s="305"/>
      <c r="S169" s="305"/>
      <c r="T169" s="305"/>
      <c r="U169" s="305"/>
    </row>
    <row r="170" spans="1:21" s="52" customFormat="1" ht="22.5" customHeight="1">
      <c r="A170" s="427"/>
      <c r="B170" s="2246" t="s">
        <v>452</v>
      </c>
      <c r="C170" s="814">
        <v>-387797</v>
      </c>
      <c r="D170" s="815">
        <v>-133809</v>
      </c>
      <c r="E170" s="814">
        <v>23491</v>
      </c>
      <c r="F170" s="815">
        <v>-1115313</v>
      </c>
      <c r="G170" s="814">
        <v>-176533</v>
      </c>
      <c r="H170" s="815">
        <v>-368352</v>
      </c>
      <c r="I170" s="2221">
        <f>SUM(C170:H170)</f>
        <v>-2158313</v>
      </c>
      <c r="J170" s="431"/>
      <c r="K170" s="394"/>
      <c r="L170" s="305"/>
      <c r="M170" s="305"/>
      <c r="N170" s="305"/>
      <c r="O170" s="305"/>
      <c r="P170" s="305"/>
      <c r="Q170" s="305"/>
      <c r="R170" s="305"/>
      <c r="S170" s="305"/>
      <c r="T170" s="305"/>
      <c r="U170" s="305"/>
    </row>
    <row r="171" spans="1:21" s="52" customFormat="1" ht="27" customHeight="1">
      <c r="A171" s="427"/>
      <c r="B171" s="2246" t="s">
        <v>453</v>
      </c>
      <c r="C171" s="2269"/>
      <c r="D171" s="2268"/>
      <c r="E171" s="2269"/>
      <c r="F171" s="2268"/>
      <c r="G171" s="2269"/>
      <c r="H171" s="2268"/>
      <c r="I171" s="2221"/>
      <c r="J171" s="421"/>
      <c r="K171" s="288"/>
      <c r="L171" s="305"/>
      <c r="M171" s="305"/>
      <c r="N171" s="305"/>
      <c r="O171" s="305"/>
      <c r="P171" s="305"/>
      <c r="Q171" s="305"/>
      <c r="R171" s="305"/>
      <c r="S171" s="305"/>
      <c r="T171" s="305"/>
      <c r="U171" s="305"/>
    </row>
    <row r="172" spans="1:21" s="52" customFormat="1" ht="13.5" customHeight="1">
      <c r="A172" s="427"/>
      <c r="B172" s="2252" t="s">
        <v>454</v>
      </c>
      <c r="C172" s="2264">
        <v>-558722.08099999675</v>
      </c>
      <c r="D172" s="2263">
        <v>127128.8109999999</v>
      </c>
      <c r="E172" s="2264">
        <v>628436.85499999998</v>
      </c>
      <c r="F172" s="2263">
        <v>4046713.5599999996</v>
      </c>
      <c r="G172" s="2264">
        <v>5228.8300000000745</v>
      </c>
      <c r="H172" s="2263">
        <v>434544.03903643147</v>
      </c>
      <c r="I172" s="2229">
        <f>+I166+I169+I170+I171</f>
        <v>4683330.0140364328</v>
      </c>
      <c r="J172" s="431"/>
      <c r="K172" s="394"/>
      <c r="L172" s="305"/>
      <c r="M172" s="305"/>
      <c r="N172" s="305"/>
      <c r="O172" s="305"/>
      <c r="P172" s="305"/>
      <c r="Q172" s="305"/>
      <c r="R172" s="305"/>
      <c r="S172" s="305"/>
      <c r="T172" s="305"/>
      <c r="U172" s="305"/>
    </row>
    <row r="173" spans="1:21" s="52" customFormat="1" ht="13.5" customHeight="1">
      <c r="A173" s="427"/>
      <c r="B173" s="2253"/>
      <c r="C173" s="2267"/>
      <c r="D173" s="2266"/>
      <c r="E173" s="2267"/>
      <c r="F173" s="2266"/>
      <c r="G173" s="2267"/>
      <c r="H173" s="2266"/>
      <c r="I173" s="2277"/>
      <c r="J173" s="431"/>
      <c r="K173" s="394"/>
      <c r="L173" s="305"/>
      <c r="M173" s="305"/>
      <c r="N173" s="305"/>
      <c r="O173" s="305"/>
      <c r="P173" s="305"/>
      <c r="Q173" s="305"/>
      <c r="R173" s="305"/>
      <c r="S173" s="305"/>
      <c r="T173" s="305"/>
      <c r="U173" s="305"/>
    </row>
    <row r="174" spans="1:21" s="52" customFormat="1" ht="13.5" customHeight="1">
      <c r="A174" s="427"/>
      <c r="B174" s="2248" t="s">
        <v>455</v>
      </c>
      <c r="C174" s="2254"/>
      <c r="D174" s="2255"/>
      <c r="E174" s="2254"/>
      <c r="F174" s="2255"/>
      <c r="G174" s="2254"/>
      <c r="H174" s="2255"/>
      <c r="I174" s="2277">
        <f>SUM(I175:I179)</f>
        <v>7515387</v>
      </c>
      <c r="J174" s="431"/>
      <c r="K174" s="394"/>
      <c r="L174" s="305"/>
      <c r="M174" s="305"/>
      <c r="N174" s="305"/>
      <c r="O174" s="305"/>
      <c r="P174" s="305"/>
      <c r="Q174" s="305"/>
      <c r="R174" s="305"/>
      <c r="S174" s="305"/>
      <c r="T174" s="305"/>
      <c r="U174" s="305"/>
    </row>
    <row r="175" spans="1:21" s="52" customFormat="1" ht="13.5" customHeight="1">
      <c r="A175" s="427"/>
      <c r="B175" s="2246" t="s">
        <v>456</v>
      </c>
      <c r="C175" s="2254"/>
      <c r="D175" s="2255"/>
      <c r="E175" s="2254"/>
      <c r="F175" s="2255"/>
      <c r="G175" s="2254"/>
      <c r="H175" s="2255"/>
      <c r="I175" s="2296">
        <v>909249</v>
      </c>
      <c r="J175" s="431"/>
      <c r="K175" s="394"/>
      <c r="L175" s="305"/>
      <c r="M175" s="305"/>
      <c r="N175" s="305"/>
      <c r="O175" s="305"/>
      <c r="P175" s="305"/>
      <c r="Q175" s="305"/>
      <c r="R175" s="305"/>
      <c r="S175" s="305"/>
      <c r="T175" s="305"/>
      <c r="U175" s="305"/>
    </row>
    <row r="176" spans="1:21" s="52" customFormat="1" ht="13.5" customHeight="1">
      <c r="A176" s="427"/>
      <c r="B176" s="2246" t="s">
        <v>472</v>
      </c>
      <c r="C176" s="2254"/>
      <c r="D176" s="2255"/>
      <c r="E176" s="2254"/>
      <c r="F176" s="2255"/>
      <c r="G176" s="2254"/>
      <c r="H176" s="2255"/>
      <c r="I176" s="1495">
        <v>6601122</v>
      </c>
      <c r="J176" s="431"/>
      <c r="K176" s="394"/>
      <c r="L176" s="305"/>
      <c r="M176" s="305"/>
      <c r="N176" s="305"/>
      <c r="O176" s="305"/>
      <c r="P176" s="305"/>
      <c r="Q176" s="305"/>
      <c r="R176" s="305"/>
      <c r="S176" s="305"/>
      <c r="T176" s="305"/>
      <c r="U176" s="305"/>
    </row>
    <row r="177" spans="1:21" s="52" customFormat="1" ht="13.15" customHeight="1">
      <c r="A177" s="427"/>
      <c r="B177" s="2246" t="s">
        <v>458</v>
      </c>
      <c r="C177" s="2254"/>
      <c r="D177" s="2255"/>
      <c r="E177" s="2254"/>
      <c r="F177" s="2255"/>
      <c r="G177" s="2254"/>
      <c r="H177" s="2255"/>
      <c r="I177" s="1495">
        <v>-20986</v>
      </c>
      <c r="J177" s="431"/>
      <c r="K177" s="394"/>
      <c r="L177" s="305"/>
      <c r="M177" s="305"/>
      <c r="N177" s="305"/>
      <c r="O177" s="305"/>
      <c r="P177" s="305"/>
      <c r="Q177" s="305"/>
      <c r="R177" s="305"/>
      <c r="S177" s="305"/>
      <c r="T177" s="305"/>
      <c r="U177" s="305"/>
    </row>
    <row r="178" spans="1:21" s="52" customFormat="1" ht="13.15" customHeight="1">
      <c r="A178" s="427"/>
      <c r="B178" s="2246" t="s">
        <v>459</v>
      </c>
      <c r="C178" s="2254"/>
      <c r="D178" s="2255"/>
      <c r="E178" s="2254"/>
      <c r="F178" s="2255"/>
      <c r="G178" s="2254"/>
      <c r="H178" s="2255"/>
      <c r="I178" s="1495">
        <v>26002</v>
      </c>
      <c r="J178" s="431"/>
      <c r="K178" s="394"/>
      <c r="L178" s="305"/>
      <c r="M178" s="305"/>
      <c r="N178" s="305"/>
      <c r="O178" s="305"/>
      <c r="P178" s="305"/>
      <c r="Q178" s="305"/>
      <c r="R178" s="305"/>
      <c r="S178" s="305"/>
      <c r="T178" s="305"/>
      <c r="U178" s="305"/>
    </row>
    <row r="179" spans="1:21" s="52" customFormat="1" ht="13.15" customHeight="1">
      <c r="A179" s="427"/>
      <c r="B179" s="2246" t="s">
        <v>460</v>
      </c>
      <c r="C179" s="2254"/>
      <c r="D179" s="2255"/>
      <c r="E179" s="2254"/>
      <c r="F179" s="2255"/>
      <c r="G179" s="2254"/>
      <c r="H179" s="2255"/>
      <c r="I179" s="1495"/>
      <c r="J179" s="431"/>
      <c r="K179" s="394"/>
      <c r="L179" s="305"/>
      <c r="M179" s="305"/>
      <c r="N179" s="305"/>
      <c r="O179" s="305"/>
      <c r="P179" s="305"/>
      <c r="Q179" s="305"/>
      <c r="R179" s="305"/>
      <c r="S179" s="305"/>
      <c r="T179" s="305"/>
      <c r="U179" s="305"/>
    </row>
    <row r="180" spans="1:21" s="52" customFormat="1" ht="13.5" customHeight="1">
      <c r="A180" s="427"/>
      <c r="B180" s="2246"/>
      <c r="C180" s="2254"/>
      <c r="D180" s="2255"/>
      <c r="E180" s="2254"/>
      <c r="F180" s="2255"/>
      <c r="G180" s="2254"/>
      <c r="H180" s="2255"/>
      <c r="I180" s="2221"/>
      <c r="J180" s="431"/>
      <c r="K180" s="394"/>
      <c r="L180" s="305"/>
      <c r="M180" s="305"/>
      <c r="N180" s="305"/>
      <c r="O180" s="305"/>
      <c r="P180" s="305"/>
      <c r="Q180" s="305"/>
      <c r="R180" s="305"/>
      <c r="S180" s="305"/>
      <c r="T180" s="305"/>
      <c r="U180" s="305"/>
    </row>
    <row r="181" spans="1:21" s="52" customFormat="1" ht="13.5" customHeight="1">
      <c r="A181" s="427"/>
      <c r="B181" s="2248" t="s">
        <v>461</v>
      </c>
      <c r="C181" s="2254"/>
      <c r="D181" s="2255"/>
      <c r="E181" s="2254"/>
      <c r="F181" s="2255"/>
      <c r="G181" s="2254"/>
      <c r="H181" s="2255"/>
      <c r="I181" s="2221">
        <f>SUM(I182:I183)</f>
        <v>-8227788</v>
      </c>
      <c r="J181" s="431"/>
      <c r="K181" s="394"/>
      <c r="L181" s="305"/>
      <c r="M181" s="305"/>
      <c r="N181" s="305"/>
      <c r="O181" s="305"/>
      <c r="P181" s="305"/>
      <c r="Q181" s="305"/>
      <c r="R181" s="305"/>
      <c r="S181" s="305"/>
      <c r="T181" s="305"/>
      <c r="U181" s="305"/>
    </row>
    <row r="182" spans="1:21" s="52" customFormat="1" ht="24" customHeight="1">
      <c r="A182" s="427"/>
      <c r="B182" s="2246" t="s">
        <v>462</v>
      </c>
      <c r="C182" s="2254"/>
      <c r="D182" s="2255"/>
      <c r="E182" s="2254"/>
      <c r="F182" s="2255"/>
      <c r="G182" s="2254"/>
      <c r="H182" s="2255"/>
      <c r="I182" s="2296">
        <v>-8227788</v>
      </c>
      <c r="J182" s="431"/>
      <c r="K182" s="394"/>
      <c r="L182" s="305"/>
      <c r="M182" s="305"/>
      <c r="N182" s="305"/>
      <c r="O182" s="305"/>
      <c r="P182" s="305"/>
      <c r="Q182" s="305"/>
      <c r="R182" s="305"/>
      <c r="S182" s="305"/>
      <c r="T182" s="305"/>
      <c r="U182" s="305"/>
    </row>
    <row r="183" spans="1:21" s="52" customFormat="1" ht="25.5" customHeight="1">
      <c r="A183" s="427"/>
      <c r="B183" s="2246" t="s">
        <v>463</v>
      </c>
      <c r="C183" s="2254"/>
      <c r="D183" s="2255"/>
      <c r="E183" s="2254"/>
      <c r="F183" s="2255"/>
      <c r="G183" s="2254"/>
      <c r="H183" s="2255"/>
      <c r="I183" s="2221"/>
      <c r="J183" s="431"/>
      <c r="K183" s="394"/>
      <c r="L183" s="305"/>
      <c r="M183" s="305"/>
      <c r="N183" s="305"/>
      <c r="O183" s="305"/>
      <c r="P183" s="305"/>
      <c r="Q183" s="305"/>
      <c r="R183" s="305"/>
      <c r="S183" s="305"/>
      <c r="T183" s="305"/>
      <c r="U183" s="305"/>
    </row>
    <row r="184" spans="1:21" s="52" customFormat="1" ht="13.5" customHeight="1">
      <c r="A184" s="427"/>
      <c r="B184" s="2248" t="s">
        <v>464</v>
      </c>
      <c r="C184" s="2254"/>
      <c r="D184" s="2255"/>
      <c r="E184" s="2254"/>
      <c r="F184" s="2255"/>
      <c r="G184" s="2254"/>
      <c r="H184" s="2255"/>
      <c r="I184" s="2277">
        <f>+I172+I174+I181</f>
        <v>3970929.0140364319</v>
      </c>
      <c r="J184" s="431"/>
      <c r="K184" s="394"/>
      <c r="L184" s="305"/>
      <c r="M184" s="305"/>
      <c r="N184" s="305"/>
      <c r="O184" s="305"/>
      <c r="P184" s="305"/>
      <c r="Q184" s="305"/>
      <c r="R184" s="305"/>
      <c r="S184" s="305"/>
      <c r="T184" s="305"/>
      <c r="U184" s="305"/>
    </row>
    <row r="185" spans="1:21" s="52" customFormat="1" ht="13.5" customHeight="1">
      <c r="A185" s="427"/>
      <c r="B185" s="2246" t="s">
        <v>465</v>
      </c>
      <c r="C185" s="2254"/>
      <c r="D185" s="2255"/>
      <c r="E185" s="2254"/>
      <c r="F185" s="2255"/>
      <c r="G185" s="2254"/>
      <c r="H185" s="2255"/>
      <c r="I185" s="2296">
        <v>-57509</v>
      </c>
      <c r="J185" s="431"/>
      <c r="K185" s="394"/>
      <c r="L185" s="305"/>
      <c r="M185" s="305"/>
      <c r="N185" s="305"/>
      <c r="O185" s="305"/>
      <c r="P185" s="305"/>
      <c r="Q185" s="305"/>
      <c r="R185" s="305"/>
      <c r="S185" s="305"/>
      <c r="T185" s="305"/>
      <c r="U185" s="305"/>
    </row>
    <row r="186" spans="1:21" s="52" customFormat="1" ht="13.5" customHeight="1">
      <c r="A186" s="427"/>
      <c r="B186" s="2256" t="s">
        <v>466</v>
      </c>
      <c r="C186" s="2254"/>
      <c r="D186" s="2255"/>
      <c r="E186" s="2254"/>
      <c r="F186" s="2255"/>
      <c r="G186" s="2254"/>
      <c r="H186" s="2255"/>
      <c r="I186" s="2277">
        <f>+I184+I185</f>
        <v>3913420.0140364319</v>
      </c>
      <c r="J186" s="431"/>
      <c r="K186" s="394"/>
      <c r="L186" s="305"/>
      <c r="M186" s="305"/>
      <c r="N186" s="305"/>
      <c r="O186" s="305"/>
      <c r="P186" s="305"/>
      <c r="Q186" s="305"/>
      <c r="R186" s="305"/>
      <c r="S186" s="305"/>
      <c r="T186" s="305"/>
      <c r="U186" s="305"/>
    </row>
    <row r="187" spans="1:21" s="52" customFormat="1" ht="13.5" customHeight="1">
      <c r="A187" s="427"/>
      <c r="B187" s="2257" t="s">
        <v>467</v>
      </c>
      <c r="C187" s="2254"/>
      <c r="D187" s="2255"/>
      <c r="E187" s="2254"/>
      <c r="F187" s="2255"/>
      <c r="G187" s="2254"/>
      <c r="H187" s="2255"/>
      <c r="I187" s="2296">
        <v>-144101</v>
      </c>
      <c r="J187" s="431"/>
      <c r="K187" s="394"/>
      <c r="L187" s="305"/>
      <c r="M187" s="305"/>
      <c r="N187" s="305"/>
      <c r="O187" s="305"/>
      <c r="P187" s="305"/>
      <c r="Q187" s="305"/>
      <c r="R187" s="305"/>
      <c r="S187" s="305"/>
      <c r="T187" s="305"/>
      <c r="U187" s="305"/>
    </row>
    <row r="188" spans="1:21" s="52" customFormat="1" ht="13.5" customHeight="1" thickBot="1">
      <c r="A188" s="427"/>
      <c r="B188" s="1479" t="s">
        <v>468</v>
      </c>
      <c r="C188" s="488"/>
      <c r="D188" s="1107"/>
      <c r="E188" s="488"/>
      <c r="F188" s="1107"/>
      <c r="G188" s="488"/>
      <c r="H188" s="1107"/>
      <c r="I188" s="1489">
        <f>+I186+I187</f>
        <v>3769319.0140364319</v>
      </c>
      <c r="J188" s="431"/>
      <c r="K188" s="394"/>
      <c r="L188" s="305"/>
      <c r="M188" s="305"/>
      <c r="N188" s="305"/>
      <c r="O188" s="305"/>
      <c r="P188" s="305"/>
      <c r="Q188" s="305"/>
      <c r="R188" s="305"/>
      <c r="S188" s="305"/>
      <c r="T188" s="305"/>
      <c r="U188" s="305"/>
    </row>
    <row r="189" spans="1:21" s="52" customFormat="1" ht="13.5" customHeight="1">
      <c r="A189" s="427"/>
      <c r="B189" s="413"/>
      <c r="C189" s="468"/>
      <c r="D189" s="468"/>
      <c r="E189" s="468"/>
      <c r="F189" s="468"/>
      <c r="G189" s="468"/>
      <c r="H189" s="468"/>
      <c r="I189" s="383"/>
      <c r="J189" s="431"/>
      <c r="K189" s="394"/>
      <c r="L189" s="305"/>
      <c r="M189" s="305"/>
      <c r="N189" s="305"/>
      <c r="O189" s="305"/>
      <c r="P189" s="305"/>
      <c r="Q189" s="305"/>
      <c r="R189" s="305"/>
      <c r="S189" s="305"/>
      <c r="T189" s="305"/>
      <c r="U189" s="305"/>
    </row>
    <row r="190" spans="1:21" s="52" customFormat="1" ht="13.5" customHeight="1">
      <c r="A190" s="427"/>
      <c r="B190" s="413"/>
      <c r="C190" s="468"/>
      <c r="D190" s="468"/>
      <c r="E190" s="468"/>
      <c r="F190" s="468"/>
      <c r="G190" s="468"/>
      <c r="H190" s="468"/>
      <c r="I190" s="383"/>
      <c r="J190" s="431"/>
      <c r="K190" s="394"/>
      <c r="L190" s="305"/>
      <c r="M190" s="305"/>
      <c r="N190" s="305"/>
      <c r="O190" s="305"/>
      <c r="P190" s="305"/>
      <c r="Q190" s="305"/>
      <c r="R190" s="305"/>
      <c r="S190" s="305"/>
      <c r="T190" s="305"/>
      <c r="U190" s="305"/>
    </row>
    <row r="191" spans="1:21" s="52" customFormat="1" ht="13.5" customHeight="1">
      <c r="A191" s="427"/>
      <c r="B191" s="413"/>
      <c r="C191" s="468"/>
      <c r="D191" s="468"/>
      <c r="E191" s="468"/>
      <c r="F191" s="468"/>
      <c r="G191" s="468"/>
      <c r="H191" s="468"/>
      <c r="I191" s="383"/>
      <c r="J191" s="431"/>
      <c r="K191" s="394"/>
      <c r="L191" s="305"/>
      <c r="M191" s="305"/>
      <c r="N191" s="305"/>
      <c r="O191" s="305"/>
      <c r="P191" s="305"/>
      <c r="Q191" s="305"/>
      <c r="R191" s="305"/>
      <c r="S191" s="305"/>
      <c r="T191" s="305"/>
      <c r="U191" s="305"/>
    </row>
    <row r="192" spans="1:21" s="52" customFormat="1" ht="13.5" customHeight="1">
      <c r="A192" s="427"/>
      <c r="B192" s="413"/>
      <c r="C192" s="468"/>
      <c r="D192" s="468"/>
      <c r="E192" s="468"/>
      <c r="F192" s="468"/>
      <c r="G192" s="468"/>
      <c r="H192" s="468"/>
      <c r="I192" s="383"/>
      <c r="J192" s="431"/>
      <c r="K192" s="394"/>
      <c r="L192" s="305"/>
      <c r="M192" s="305"/>
      <c r="N192" s="305"/>
      <c r="O192" s="305"/>
      <c r="P192" s="305"/>
      <c r="Q192" s="305"/>
      <c r="R192" s="305"/>
      <c r="S192" s="305"/>
      <c r="T192" s="305"/>
      <c r="U192" s="305"/>
    </row>
    <row r="193" spans="1:21" s="52" customFormat="1" ht="13.5" customHeight="1">
      <c r="A193" s="427"/>
      <c r="B193" s="413"/>
      <c r="C193" s="468"/>
      <c r="D193" s="468"/>
      <c r="E193" s="468"/>
      <c r="F193" s="468"/>
      <c r="G193" s="468"/>
      <c r="H193" s="468"/>
      <c r="I193" s="383"/>
      <c r="J193" s="431"/>
      <c r="K193" s="394"/>
      <c r="L193" s="305"/>
      <c r="M193" s="305"/>
      <c r="N193" s="305"/>
      <c r="O193" s="305"/>
      <c r="P193" s="305"/>
      <c r="Q193" s="305"/>
      <c r="R193" s="305"/>
      <c r="S193" s="305"/>
      <c r="T193" s="305"/>
      <c r="U193" s="305"/>
    </row>
    <row r="194" spans="1:21" s="52" customFormat="1" ht="13.5" customHeight="1">
      <c r="A194" s="427"/>
      <c r="B194" s="413"/>
      <c r="C194" s="468"/>
      <c r="D194" s="468"/>
      <c r="E194" s="468"/>
      <c r="F194" s="468"/>
      <c r="G194" s="468"/>
      <c r="H194" s="468"/>
      <c r="I194" s="383"/>
      <c r="J194" s="431"/>
      <c r="K194" s="394"/>
      <c r="L194" s="305"/>
      <c r="M194" s="305"/>
      <c r="N194" s="305"/>
      <c r="O194" s="305"/>
      <c r="P194" s="305"/>
      <c r="Q194" s="305"/>
      <c r="R194" s="305"/>
      <c r="S194" s="305"/>
      <c r="T194" s="305"/>
      <c r="U194" s="305"/>
    </row>
    <row r="195" spans="1:21" s="52" customFormat="1" ht="13.5" customHeight="1">
      <c r="A195" s="427"/>
      <c r="B195" s="413"/>
      <c r="C195" s="468"/>
      <c r="D195" s="468"/>
      <c r="E195" s="468"/>
      <c r="F195" s="468"/>
      <c r="G195" s="468"/>
      <c r="H195" s="468"/>
      <c r="I195" s="383"/>
      <c r="J195" s="431"/>
      <c r="K195" s="394"/>
      <c r="L195" s="305"/>
      <c r="M195" s="305"/>
      <c r="N195" s="305"/>
      <c r="O195" s="305"/>
      <c r="P195" s="305"/>
      <c r="Q195" s="305"/>
      <c r="R195" s="305"/>
      <c r="S195" s="305"/>
      <c r="T195" s="305"/>
      <c r="U195" s="305"/>
    </row>
    <row r="196" spans="1:21" s="52" customFormat="1" ht="13.5" customHeight="1">
      <c r="A196" s="427"/>
      <c r="B196" s="413"/>
      <c r="C196" s="468"/>
      <c r="D196" s="468"/>
      <c r="E196" s="468"/>
      <c r="F196" s="468"/>
      <c r="G196" s="468"/>
      <c r="H196" s="468"/>
      <c r="I196" s="383"/>
      <c r="J196" s="431"/>
      <c r="K196" s="394">
        <v>115</v>
      </c>
      <c r="L196" s="305"/>
      <c r="M196" s="305"/>
      <c r="N196" s="305"/>
      <c r="O196" s="305"/>
      <c r="P196" s="305"/>
      <c r="Q196" s="305"/>
      <c r="R196" s="305"/>
      <c r="S196" s="305"/>
      <c r="T196" s="305"/>
      <c r="U196" s="305"/>
    </row>
    <row r="197" spans="1:21" s="52" customFormat="1" ht="13.5" customHeight="1">
      <c r="A197" s="427"/>
      <c r="J197" s="431"/>
      <c r="K197" s="394"/>
      <c r="L197" s="305"/>
      <c r="M197" s="305"/>
      <c r="N197" s="305"/>
      <c r="O197" s="305"/>
      <c r="P197" s="305"/>
      <c r="Q197" s="305"/>
      <c r="R197" s="305"/>
      <c r="S197" s="305"/>
      <c r="T197" s="305"/>
      <c r="U197" s="305"/>
    </row>
    <row r="198" spans="1:21" s="52" customFormat="1" ht="13.5" customHeight="1">
      <c r="A198" s="427"/>
      <c r="B198" s="295" t="s">
        <v>470</v>
      </c>
      <c r="C198" s="295"/>
      <c r="D198" s="295"/>
      <c r="E198" s="433"/>
      <c r="F198" s="433"/>
      <c r="G198" s="433"/>
      <c r="H198" s="236"/>
      <c r="I198" s="433"/>
      <c r="J198" s="431"/>
      <c r="K198" s="394"/>
      <c r="L198" s="305"/>
      <c r="M198" s="305"/>
      <c r="N198" s="305"/>
      <c r="O198" s="305"/>
      <c r="P198" s="305"/>
      <c r="Q198" s="305"/>
      <c r="R198" s="305"/>
      <c r="S198" s="305"/>
      <c r="T198" s="305"/>
      <c r="U198" s="305"/>
    </row>
    <row r="199" spans="1:21" s="52" customFormat="1" ht="13.5" customHeight="1" thickBot="1">
      <c r="A199" s="427"/>
      <c r="B199" s="218"/>
      <c r="C199" s="218"/>
      <c r="D199" s="218"/>
      <c r="E199" s="433"/>
      <c r="F199" s="433"/>
      <c r="G199" s="433"/>
      <c r="H199" s="236"/>
      <c r="I199" s="433"/>
      <c r="J199" s="431"/>
      <c r="K199" s="394"/>
      <c r="L199" s="305"/>
      <c r="M199" s="305"/>
      <c r="N199" s="305"/>
      <c r="O199" s="305"/>
      <c r="P199" s="305"/>
      <c r="Q199" s="305"/>
      <c r="R199" s="305"/>
      <c r="S199" s="305"/>
      <c r="T199" s="305"/>
      <c r="U199" s="305"/>
    </row>
    <row r="200" spans="1:21" ht="13.5" customHeight="1">
      <c r="B200" s="1481" t="s">
        <v>101</v>
      </c>
      <c r="H200" s="471"/>
      <c r="I200" s="532" t="s">
        <v>238</v>
      </c>
      <c r="J200" s="553"/>
      <c r="L200" s="305"/>
      <c r="M200" s="305"/>
      <c r="N200" s="305"/>
      <c r="O200" s="305"/>
      <c r="P200" s="305"/>
      <c r="Q200" s="305"/>
      <c r="R200" s="305"/>
      <c r="S200" s="305"/>
      <c r="T200" s="305"/>
      <c r="U200" s="305"/>
    </row>
    <row r="201" spans="1:21" s="52" customFormat="1" ht="13.5" customHeight="1">
      <c r="A201" s="414"/>
      <c r="B201" s="3283"/>
      <c r="C201" s="3359">
        <v>2022</v>
      </c>
      <c r="D201" s="3360"/>
      <c r="E201" s="3360"/>
      <c r="F201" s="3360"/>
      <c r="G201" s="3360"/>
      <c r="H201" s="3360"/>
      <c r="I201" s="3361"/>
      <c r="J201" s="454"/>
      <c r="K201" s="394"/>
      <c r="L201" s="305"/>
      <c r="M201" s="305"/>
      <c r="N201" s="305"/>
      <c r="O201" s="305"/>
      <c r="P201" s="305"/>
      <c r="Q201" s="305"/>
      <c r="R201" s="305"/>
      <c r="S201" s="305"/>
      <c r="T201" s="305"/>
      <c r="U201" s="305"/>
    </row>
    <row r="202" spans="1:21" s="52" customFormat="1" ht="13.5" customHeight="1">
      <c r="A202" s="415"/>
      <c r="B202" s="3352"/>
      <c r="C202" s="3362" t="s">
        <v>436</v>
      </c>
      <c r="D202" s="3366" t="s">
        <v>437</v>
      </c>
      <c r="E202" s="3359" t="s">
        <v>438</v>
      </c>
      <c r="F202" s="3361"/>
      <c r="G202" s="3364" t="s">
        <v>439</v>
      </c>
      <c r="H202" s="3364" t="s">
        <v>440</v>
      </c>
      <c r="I202" s="3362" t="s">
        <v>118</v>
      </c>
      <c r="J202" s="454"/>
      <c r="K202" s="3358"/>
      <c r="L202" s="305"/>
      <c r="M202" s="305"/>
      <c r="N202" s="305"/>
      <c r="O202" s="305"/>
      <c r="P202" s="305"/>
      <c r="Q202" s="305"/>
      <c r="R202" s="305"/>
      <c r="S202" s="305"/>
      <c r="T202" s="305"/>
      <c r="U202" s="305"/>
    </row>
    <row r="203" spans="1:21" s="52" customFormat="1" ht="13.5" customHeight="1" thickBot="1">
      <c r="A203" s="415"/>
      <c r="B203" s="3297"/>
      <c r="C203" s="3363"/>
      <c r="D203" s="3389"/>
      <c r="E203" s="1461" t="s">
        <v>442</v>
      </c>
      <c r="F203" s="1461" t="s">
        <v>443</v>
      </c>
      <c r="G203" s="3365"/>
      <c r="H203" s="3365"/>
      <c r="I203" s="3363"/>
      <c r="J203" s="454"/>
      <c r="K203" s="3358"/>
      <c r="L203" s="305"/>
      <c r="M203" s="305"/>
      <c r="N203" s="305"/>
      <c r="O203" s="305"/>
      <c r="P203" s="305"/>
      <c r="Q203" s="305"/>
      <c r="R203" s="305"/>
      <c r="S203" s="305"/>
      <c r="T203" s="305"/>
      <c r="U203" s="305"/>
    </row>
    <row r="204" spans="1:21" s="52" customFormat="1" ht="13.5" customHeight="1">
      <c r="A204" s="427"/>
      <c r="B204" s="1486" t="s">
        <v>342</v>
      </c>
      <c r="C204" s="2275">
        <v>245456</v>
      </c>
      <c r="D204" s="2274">
        <v>54926</v>
      </c>
      <c r="E204" s="803">
        <v>303424</v>
      </c>
      <c r="F204" s="2274">
        <v>3946654</v>
      </c>
      <c r="G204" s="803">
        <v>144808</v>
      </c>
      <c r="H204" s="2274">
        <v>391677</v>
      </c>
      <c r="I204" s="1494">
        <f t="shared" ref="I204:I209" si="10">SUM(C204:H204)</f>
        <v>5086945</v>
      </c>
      <c r="J204" s="431"/>
      <c r="K204" s="286"/>
      <c r="L204" s="305"/>
      <c r="M204" s="305"/>
      <c r="N204" s="305"/>
      <c r="O204" s="305"/>
      <c r="P204" s="305"/>
      <c r="Q204" s="305"/>
      <c r="R204" s="305"/>
      <c r="S204" s="305"/>
      <c r="T204" s="305"/>
      <c r="U204" s="305"/>
    </row>
    <row r="205" spans="1:21" s="52" customFormat="1" ht="13.5" customHeight="1">
      <c r="A205" s="427"/>
      <c r="B205" s="2246" t="s">
        <v>473</v>
      </c>
      <c r="C205" s="804"/>
      <c r="D205" s="805"/>
      <c r="E205" s="804"/>
      <c r="F205" s="805"/>
      <c r="G205" s="804"/>
      <c r="H205" s="805"/>
      <c r="I205" s="2221">
        <f t="shared" si="10"/>
        <v>0</v>
      </c>
      <c r="J205" s="431"/>
      <c r="K205" s="286"/>
      <c r="L205" s="305"/>
      <c r="M205" s="305"/>
      <c r="N205" s="305"/>
      <c r="O205" s="305"/>
      <c r="P205" s="305"/>
      <c r="Q205" s="305"/>
      <c r="R205" s="305"/>
      <c r="S205" s="305"/>
      <c r="T205" s="305"/>
      <c r="U205" s="305"/>
    </row>
    <row r="206" spans="1:21" s="52" customFormat="1" ht="13.5" customHeight="1">
      <c r="A206" s="427"/>
      <c r="B206" s="2246" t="s">
        <v>445</v>
      </c>
      <c r="C206" s="804"/>
      <c r="D206" s="805"/>
      <c r="E206" s="804"/>
      <c r="F206" s="805"/>
      <c r="G206" s="804"/>
      <c r="H206" s="805"/>
      <c r="I206" s="2221">
        <f t="shared" si="10"/>
        <v>0</v>
      </c>
      <c r="J206" s="431"/>
      <c r="K206" s="286"/>
      <c r="L206" s="305"/>
      <c r="M206" s="305"/>
      <c r="N206" s="305"/>
      <c r="O206" s="305"/>
      <c r="P206" s="305"/>
      <c r="Q206" s="305"/>
      <c r="R206" s="305"/>
      <c r="S206" s="305"/>
      <c r="T206" s="305"/>
      <c r="U206" s="305"/>
    </row>
    <row r="207" spans="1:21" s="52" customFormat="1" ht="13.5" customHeight="1">
      <c r="A207" s="427"/>
      <c r="B207" s="2246" t="s">
        <v>446</v>
      </c>
      <c r="C207" s="804">
        <v>-198991</v>
      </c>
      <c r="D207" s="805">
        <v>-38290</v>
      </c>
      <c r="E207" s="804">
        <v>-22521</v>
      </c>
      <c r="F207" s="805">
        <v>-289028</v>
      </c>
      <c r="G207" s="804">
        <v>-21</v>
      </c>
      <c r="H207" s="805">
        <v>-156741</v>
      </c>
      <c r="I207" s="2221">
        <f t="shared" si="10"/>
        <v>-705592</v>
      </c>
      <c r="J207" s="431"/>
      <c r="K207" s="394"/>
      <c r="L207" s="305"/>
      <c r="M207" s="305"/>
      <c r="N207" s="305"/>
      <c r="O207" s="305"/>
      <c r="P207" s="305"/>
      <c r="Q207" s="305"/>
      <c r="R207" s="305"/>
      <c r="S207" s="305"/>
      <c r="T207" s="305"/>
      <c r="U207" s="305"/>
    </row>
    <row r="208" spans="1:21" s="236" customFormat="1" ht="13.5" customHeight="1">
      <c r="A208" s="428"/>
      <c r="B208" s="2248" t="s">
        <v>447</v>
      </c>
      <c r="C208" s="2264">
        <v>46465</v>
      </c>
      <c r="D208" s="2263">
        <v>16636</v>
      </c>
      <c r="E208" s="2264">
        <v>280903</v>
      </c>
      <c r="F208" s="2263">
        <v>3657626</v>
      </c>
      <c r="G208" s="2264">
        <v>144787</v>
      </c>
      <c r="H208" s="2263">
        <v>234935</v>
      </c>
      <c r="I208" s="2229">
        <f t="shared" si="10"/>
        <v>4381352</v>
      </c>
      <c r="J208" s="431"/>
      <c r="K208" s="463"/>
      <c r="L208" s="305"/>
      <c r="M208" s="305"/>
      <c r="N208" s="305"/>
      <c r="O208" s="305"/>
      <c r="P208" s="305"/>
      <c r="Q208" s="305"/>
      <c r="R208" s="305"/>
      <c r="S208" s="305"/>
      <c r="T208" s="305"/>
      <c r="U208" s="305"/>
    </row>
    <row r="209" spans="1:21" s="52" customFormat="1" ht="13.5" customHeight="1">
      <c r="A209" s="427"/>
      <c r="B209" s="2246" t="s">
        <v>448</v>
      </c>
      <c r="C209" s="2275">
        <v>-2144</v>
      </c>
      <c r="D209" s="2274">
        <v>-2177</v>
      </c>
      <c r="E209" s="2275">
        <v>-18252</v>
      </c>
      <c r="F209" s="2274">
        <v>-231302</v>
      </c>
      <c r="G209" s="2275">
        <v>27863</v>
      </c>
      <c r="H209" s="2274">
        <v>5897</v>
      </c>
      <c r="I209" s="2221">
        <f t="shared" si="10"/>
        <v>-220115</v>
      </c>
      <c r="J209" s="431"/>
      <c r="K209" s="394"/>
      <c r="L209" s="305"/>
      <c r="M209" s="305"/>
      <c r="N209" s="305"/>
      <c r="O209" s="305"/>
      <c r="P209" s="305"/>
      <c r="Q209" s="305"/>
      <c r="R209" s="305"/>
      <c r="S209" s="305"/>
      <c r="T209" s="305"/>
      <c r="U209" s="305"/>
    </row>
    <row r="210" spans="1:21" s="236" customFormat="1" ht="13.5" customHeight="1">
      <c r="A210" s="428"/>
      <c r="B210" s="2248" t="s">
        <v>449</v>
      </c>
      <c r="C210" s="2264">
        <v>44321</v>
      </c>
      <c r="D210" s="2263">
        <v>14459</v>
      </c>
      <c r="E210" s="2264">
        <v>262651</v>
      </c>
      <c r="F210" s="2263">
        <v>3426324</v>
      </c>
      <c r="G210" s="2264">
        <v>172650</v>
      </c>
      <c r="H210" s="2263">
        <v>240833</v>
      </c>
      <c r="I210" s="2229">
        <f>+I208+I209</f>
        <v>4161237</v>
      </c>
      <c r="J210" s="431"/>
      <c r="K210" s="463"/>
      <c r="L210" s="305"/>
      <c r="M210" s="305"/>
      <c r="N210" s="305"/>
      <c r="O210" s="305"/>
      <c r="P210" s="305"/>
      <c r="Q210" s="305"/>
      <c r="R210" s="305"/>
      <c r="S210" s="305"/>
      <c r="T210" s="305"/>
      <c r="U210" s="305"/>
    </row>
    <row r="211" spans="1:21" s="52" customFormat="1" ht="13.5" customHeight="1">
      <c r="A211" s="427"/>
      <c r="B211" s="2246"/>
      <c r="C211" s="2267"/>
      <c r="D211" s="2266"/>
      <c r="E211" s="2267"/>
      <c r="F211" s="2266"/>
      <c r="G211" s="2267"/>
      <c r="H211" s="2266"/>
      <c r="I211" s="2221"/>
      <c r="J211" s="431"/>
      <c r="K211" s="394"/>
      <c r="L211" s="305"/>
      <c r="M211" s="305"/>
      <c r="N211" s="305"/>
      <c r="O211" s="305"/>
      <c r="P211" s="305"/>
      <c r="Q211" s="305"/>
      <c r="R211" s="305"/>
      <c r="S211" s="305"/>
      <c r="T211" s="305"/>
      <c r="U211" s="305"/>
    </row>
    <row r="212" spans="1:21" s="52" customFormat="1" ht="13.5" customHeight="1">
      <c r="A212" s="427"/>
      <c r="B212" s="2248" t="s">
        <v>450</v>
      </c>
      <c r="C212" s="2269"/>
      <c r="D212" s="2268"/>
      <c r="E212" s="2269"/>
      <c r="F212" s="2268"/>
      <c r="G212" s="2269"/>
      <c r="H212" s="2268"/>
      <c r="I212" s="2221">
        <f>SUM(C212:H212)</f>
        <v>0</v>
      </c>
      <c r="J212" s="431"/>
      <c r="K212" s="415"/>
      <c r="L212" s="305"/>
      <c r="M212" s="305"/>
      <c r="N212" s="305"/>
      <c r="O212" s="305"/>
      <c r="P212" s="305"/>
      <c r="Q212" s="305"/>
      <c r="R212" s="305"/>
      <c r="S212" s="305"/>
      <c r="T212" s="305"/>
      <c r="U212" s="305"/>
    </row>
    <row r="213" spans="1:21" s="52" customFormat="1" ht="22.5" customHeight="1">
      <c r="A213" s="427"/>
      <c r="B213" s="2246" t="s">
        <v>451</v>
      </c>
      <c r="C213" s="2275">
        <v>-7236</v>
      </c>
      <c r="D213" s="2274">
        <v>-2685</v>
      </c>
      <c r="E213" s="2275">
        <v>-125384</v>
      </c>
      <c r="F213" s="2274">
        <v>-2184624</v>
      </c>
      <c r="G213" s="2275">
        <v>-204544</v>
      </c>
      <c r="H213" s="2274">
        <v>-74258</v>
      </c>
      <c r="I213" s="2221">
        <f>SUM(C213:H213)</f>
        <v>-2598731</v>
      </c>
      <c r="J213" s="431"/>
      <c r="K213" s="394"/>
      <c r="L213" s="305"/>
      <c r="M213" s="305"/>
      <c r="N213" s="305"/>
      <c r="O213" s="305"/>
      <c r="P213" s="305"/>
      <c r="Q213" s="305"/>
      <c r="R213" s="305"/>
      <c r="S213" s="305"/>
      <c r="T213" s="305"/>
      <c r="U213" s="305"/>
    </row>
    <row r="214" spans="1:21" s="52" customFormat="1" ht="26.25" customHeight="1">
      <c r="A214" s="427"/>
      <c r="B214" s="2246" t="s">
        <v>452</v>
      </c>
      <c r="C214" s="804">
        <v>11033</v>
      </c>
      <c r="D214" s="805">
        <v>5310</v>
      </c>
      <c r="E214" s="804">
        <v>-22575</v>
      </c>
      <c r="F214" s="805">
        <v>-299924</v>
      </c>
      <c r="G214" s="804">
        <v>-13618</v>
      </c>
      <c r="H214" s="805">
        <v>-4249</v>
      </c>
      <c r="I214" s="2221">
        <f>SUM(C214:H214)</f>
        <v>-324023</v>
      </c>
      <c r="J214" s="431"/>
      <c r="K214" s="394"/>
      <c r="L214" s="305"/>
      <c r="M214" s="305"/>
      <c r="N214" s="305"/>
      <c r="O214" s="305"/>
      <c r="P214" s="305"/>
      <c r="Q214" s="305"/>
      <c r="R214" s="305"/>
      <c r="S214" s="305"/>
      <c r="T214" s="305"/>
      <c r="U214" s="305"/>
    </row>
    <row r="215" spans="1:21" s="52" customFormat="1" ht="24" customHeight="1">
      <c r="A215" s="427"/>
      <c r="B215" s="2246" t="s">
        <v>453</v>
      </c>
      <c r="C215" s="2269"/>
      <c r="D215" s="2268"/>
      <c r="E215" s="2269"/>
      <c r="F215" s="2268"/>
      <c r="G215" s="2269"/>
      <c r="H215" s="2268"/>
      <c r="I215" s="2221">
        <f>SUM(C215:H215)</f>
        <v>0</v>
      </c>
      <c r="J215" s="431"/>
      <c r="K215" s="394"/>
      <c r="L215" s="305"/>
      <c r="M215" s="305"/>
      <c r="N215" s="305"/>
      <c r="O215" s="305"/>
      <c r="P215" s="305"/>
      <c r="Q215" s="305"/>
      <c r="R215" s="305"/>
      <c r="S215" s="305"/>
      <c r="T215" s="305"/>
      <c r="U215" s="305"/>
    </row>
    <row r="216" spans="1:21" s="52" customFormat="1" ht="13.5" customHeight="1">
      <c r="A216" s="427"/>
      <c r="B216" s="2252" t="s">
        <v>454</v>
      </c>
      <c r="C216" s="2264">
        <v>48118</v>
      </c>
      <c r="D216" s="2263">
        <v>17084</v>
      </c>
      <c r="E216" s="2264">
        <v>114692</v>
      </c>
      <c r="F216" s="2263">
        <v>941776</v>
      </c>
      <c r="G216" s="2264">
        <v>-45512</v>
      </c>
      <c r="H216" s="2263">
        <v>162325</v>
      </c>
      <c r="I216" s="2229">
        <f>+I210+I213+I214+I215</f>
        <v>1238483</v>
      </c>
      <c r="J216" s="431"/>
      <c r="K216" s="288"/>
      <c r="L216" s="305"/>
      <c r="M216" s="305"/>
      <c r="N216" s="305"/>
      <c r="O216" s="305"/>
      <c r="P216" s="305"/>
      <c r="Q216" s="305"/>
      <c r="R216" s="305"/>
      <c r="S216" s="305"/>
      <c r="T216" s="305"/>
      <c r="U216" s="305"/>
    </row>
    <row r="217" spans="1:21" s="52" customFormat="1" ht="13.5" customHeight="1">
      <c r="A217" s="427"/>
      <c r="B217" s="2253"/>
      <c r="C217" s="2267"/>
      <c r="D217" s="2266"/>
      <c r="E217" s="2267"/>
      <c r="F217" s="2266"/>
      <c r="G217" s="2267"/>
      <c r="H217" s="2266"/>
      <c r="I217" s="2277"/>
      <c r="J217" s="431"/>
      <c r="K217" s="394"/>
      <c r="L217" s="305"/>
      <c r="M217" s="305"/>
      <c r="N217" s="305"/>
      <c r="O217" s="305"/>
      <c r="P217" s="305"/>
      <c r="Q217" s="305"/>
      <c r="R217" s="305"/>
      <c r="S217" s="305"/>
      <c r="T217" s="305"/>
      <c r="U217" s="305"/>
    </row>
    <row r="218" spans="1:21" s="52" customFormat="1" ht="13.5" customHeight="1">
      <c r="A218" s="427"/>
      <c r="B218" s="2248" t="s">
        <v>455</v>
      </c>
      <c r="C218" s="2254"/>
      <c r="D218" s="2255"/>
      <c r="E218" s="2254"/>
      <c r="F218" s="2255"/>
      <c r="G218" s="2254"/>
      <c r="H218" s="2255"/>
      <c r="I218" s="2277">
        <f>SUM(I219:I224)</f>
        <v>1018049</v>
      </c>
      <c r="J218" s="431"/>
      <c r="K218" s="394"/>
      <c r="L218" s="305"/>
      <c r="M218" s="305"/>
      <c r="N218" s="305"/>
      <c r="O218" s="305"/>
      <c r="P218" s="305"/>
      <c r="Q218" s="305"/>
      <c r="R218" s="305"/>
      <c r="S218" s="305"/>
      <c r="T218" s="305"/>
      <c r="U218" s="305"/>
    </row>
    <row r="219" spans="1:21" s="52" customFormat="1" ht="13.5" customHeight="1">
      <c r="A219" s="427"/>
      <c r="B219" s="2246" t="s">
        <v>456</v>
      </c>
      <c r="C219" s="2254"/>
      <c r="D219" s="2255"/>
      <c r="E219" s="2254"/>
      <c r="F219" s="2255"/>
      <c r="G219" s="2254"/>
      <c r="H219" s="2255"/>
      <c r="I219" s="2296">
        <v>232372</v>
      </c>
      <c r="J219" s="431"/>
      <c r="K219" s="394"/>
      <c r="L219" s="305"/>
      <c r="M219" s="305"/>
      <c r="N219" s="305"/>
      <c r="O219" s="305"/>
      <c r="P219" s="305"/>
      <c r="Q219" s="305"/>
      <c r="R219" s="305"/>
      <c r="S219" s="305"/>
      <c r="T219" s="305"/>
      <c r="U219" s="305"/>
    </row>
    <row r="220" spans="1:21" s="52" customFormat="1" ht="13.5" customHeight="1">
      <c r="A220" s="427"/>
      <c r="B220" s="2246" t="s">
        <v>472</v>
      </c>
      <c r="C220" s="2254"/>
      <c r="D220" s="2255"/>
      <c r="E220" s="2254"/>
      <c r="F220" s="2255"/>
      <c r="G220" s="2254"/>
      <c r="H220" s="2255"/>
      <c r="I220" s="1495">
        <v>770933</v>
      </c>
      <c r="J220" s="431"/>
      <c r="K220" s="394"/>
      <c r="L220" s="305"/>
      <c r="M220" s="305"/>
      <c r="N220" s="305"/>
      <c r="O220" s="305"/>
      <c r="P220" s="305"/>
      <c r="Q220" s="305"/>
      <c r="R220" s="305"/>
      <c r="S220" s="305"/>
      <c r="T220" s="305"/>
      <c r="U220" s="305"/>
    </row>
    <row r="221" spans="1:21" s="52" customFormat="1" ht="13.5" customHeight="1">
      <c r="A221" s="427"/>
      <c r="B221" s="2246" t="s">
        <v>458</v>
      </c>
      <c r="C221" s="2254"/>
      <c r="D221" s="2255"/>
      <c r="E221" s="2254"/>
      <c r="F221" s="2255"/>
      <c r="G221" s="2254"/>
      <c r="H221" s="2255"/>
      <c r="I221" s="1495"/>
      <c r="J221" s="431"/>
      <c r="K221" s="394"/>
      <c r="L221" s="305"/>
      <c r="M221" s="305"/>
      <c r="N221" s="305"/>
      <c r="O221" s="305"/>
      <c r="P221" s="305"/>
      <c r="Q221" s="305"/>
      <c r="R221" s="305"/>
      <c r="S221" s="305"/>
      <c r="T221" s="305"/>
      <c r="U221" s="305"/>
    </row>
    <row r="222" spans="1:21" s="52" customFormat="1" ht="13.5" customHeight="1">
      <c r="A222" s="427"/>
      <c r="B222" s="2246" t="s">
        <v>459</v>
      </c>
      <c r="C222" s="2254"/>
      <c r="D222" s="2255"/>
      <c r="E222" s="2254"/>
      <c r="F222" s="2255"/>
      <c r="G222" s="2254"/>
      <c r="H222" s="2255"/>
      <c r="I222" s="1495"/>
      <c r="J222" s="431"/>
      <c r="K222" s="394"/>
      <c r="L222" s="305"/>
      <c r="M222" s="305"/>
      <c r="N222" s="305"/>
      <c r="O222" s="305"/>
      <c r="P222" s="305"/>
      <c r="Q222" s="305"/>
      <c r="R222" s="305"/>
      <c r="S222" s="305"/>
      <c r="T222" s="305"/>
      <c r="U222" s="305"/>
    </row>
    <row r="223" spans="1:21" s="52" customFormat="1" ht="13.5" customHeight="1">
      <c r="A223" s="427"/>
      <c r="B223" s="2246" t="s">
        <v>460</v>
      </c>
      <c r="C223" s="2254"/>
      <c r="D223" s="2255"/>
      <c r="E223" s="2254"/>
      <c r="F223" s="2255"/>
      <c r="G223" s="2254"/>
      <c r="H223" s="2255"/>
      <c r="I223" s="1495">
        <v>14744</v>
      </c>
      <c r="J223" s="431"/>
      <c r="K223" s="394"/>
      <c r="L223" s="305"/>
      <c r="M223" s="305"/>
      <c r="N223" s="305"/>
      <c r="O223" s="305"/>
      <c r="P223" s="305"/>
      <c r="Q223" s="305"/>
      <c r="R223" s="305"/>
      <c r="S223" s="305"/>
      <c r="T223" s="305"/>
      <c r="U223" s="305"/>
    </row>
    <row r="224" spans="1:21" s="52" customFormat="1" ht="13.5" customHeight="1">
      <c r="A224" s="427"/>
      <c r="B224" s="2246"/>
      <c r="C224" s="2254"/>
      <c r="D224" s="2255"/>
      <c r="E224" s="2254"/>
      <c r="F224" s="2255"/>
      <c r="G224" s="2254"/>
      <c r="H224" s="2255"/>
      <c r="I224" s="2221"/>
      <c r="J224" s="431"/>
      <c r="K224" s="394"/>
      <c r="L224" s="305"/>
      <c r="M224" s="305"/>
      <c r="N224" s="305"/>
      <c r="O224" s="305"/>
      <c r="P224" s="305"/>
      <c r="Q224" s="305"/>
      <c r="R224" s="305"/>
      <c r="S224" s="305"/>
      <c r="T224" s="305"/>
      <c r="U224" s="305"/>
    </row>
    <row r="225" spans="1:21" s="52" customFormat="1" ht="13.5" customHeight="1">
      <c r="A225" s="427"/>
      <c r="B225" s="2248" t="s">
        <v>461</v>
      </c>
      <c r="C225" s="2254"/>
      <c r="D225" s="2255"/>
      <c r="E225" s="2254"/>
      <c r="F225" s="2255"/>
      <c r="G225" s="2254"/>
      <c r="H225" s="2255"/>
      <c r="I225" s="2221">
        <f>SUM(I226:I227)</f>
        <v>-1651458</v>
      </c>
      <c r="J225" s="431"/>
      <c r="K225" s="394"/>
      <c r="L225" s="305"/>
      <c r="M225" s="305"/>
      <c r="N225" s="305"/>
      <c r="O225" s="305"/>
      <c r="P225" s="305"/>
      <c r="Q225" s="305"/>
      <c r="R225" s="305"/>
      <c r="S225" s="305"/>
      <c r="T225" s="305"/>
      <c r="U225" s="305"/>
    </row>
    <row r="226" spans="1:21" s="52" customFormat="1" ht="30" customHeight="1">
      <c r="A226" s="427"/>
      <c r="B226" s="2246" t="s">
        <v>462</v>
      </c>
      <c r="C226" s="2254"/>
      <c r="D226" s="2255"/>
      <c r="E226" s="2254"/>
      <c r="F226" s="2255"/>
      <c r="G226" s="2254"/>
      <c r="H226" s="2255"/>
      <c r="I226" s="2296">
        <v>-1651458</v>
      </c>
      <c r="J226" s="431"/>
      <c r="K226" s="394"/>
      <c r="L226" s="305"/>
      <c r="M226" s="305"/>
      <c r="N226" s="305"/>
      <c r="O226" s="305"/>
      <c r="P226" s="305"/>
      <c r="Q226" s="305"/>
      <c r="R226" s="305"/>
      <c r="S226" s="305"/>
      <c r="T226" s="305"/>
      <c r="U226" s="305"/>
    </row>
    <row r="227" spans="1:21" s="52" customFormat="1" ht="27.75" customHeight="1">
      <c r="A227" s="427"/>
      <c r="B227" s="2246" t="s">
        <v>463</v>
      </c>
      <c r="C227" s="2254"/>
      <c r="D227" s="2255"/>
      <c r="E227" s="2254"/>
      <c r="F227" s="2255"/>
      <c r="G227" s="2254"/>
      <c r="H227" s="2255"/>
      <c r="I227" s="2221"/>
      <c r="J227" s="431"/>
      <c r="K227" s="394"/>
      <c r="L227" s="305"/>
      <c r="M227" s="305"/>
      <c r="N227" s="305"/>
      <c r="O227" s="305"/>
      <c r="P227" s="305"/>
      <c r="Q227" s="305"/>
      <c r="R227" s="305"/>
      <c r="S227" s="305"/>
      <c r="T227" s="305"/>
      <c r="U227" s="305"/>
    </row>
    <row r="228" spans="1:21" s="52" customFormat="1" ht="13.5" customHeight="1">
      <c r="A228" s="427"/>
      <c r="B228" s="2248" t="s">
        <v>464</v>
      </c>
      <c r="C228" s="2254"/>
      <c r="D228" s="2255"/>
      <c r="E228" s="2254"/>
      <c r="F228" s="2255"/>
      <c r="G228" s="2254"/>
      <c r="H228" s="2255"/>
      <c r="I228" s="2277">
        <f>I216+I218+I225</f>
        <v>605074</v>
      </c>
      <c r="J228" s="431"/>
      <c r="K228" s="394"/>
      <c r="L228" s="305"/>
      <c r="M228" s="305"/>
      <c r="N228" s="305"/>
      <c r="O228" s="305"/>
      <c r="P228" s="305"/>
      <c r="Q228" s="305"/>
      <c r="R228" s="305"/>
      <c r="S228" s="305"/>
      <c r="T228" s="305"/>
      <c r="U228" s="305"/>
    </row>
    <row r="229" spans="1:21" s="52" customFormat="1" ht="13.5" customHeight="1">
      <c r="A229" s="427"/>
      <c r="B229" s="2246" t="s">
        <v>465</v>
      </c>
      <c r="C229" s="2254"/>
      <c r="D229" s="2255"/>
      <c r="E229" s="2254"/>
      <c r="F229" s="2255"/>
      <c r="G229" s="2254"/>
      <c r="H229" s="2255"/>
      <c r="I229" s="2296">
        <v>-41526</v>
      </c>
      <c r="J229" s="431"/>
      <c r="K229" s="394"/>
      <c r="L229" s="305"/>
      <c r="M229" s="305"/>
      <c r="N229" s="305"/>
      <c r="O229" s="305"/>
      <c r="P229" s="305"/>
      <c r="Q229" s="305"/>
      <c r="R229" s="305"/>
      <c r="S229" s="305"/>
      <c r="T229" s="305"/>
      <c r="U229" s="305"/>
    </row>
    <row r="230" spans="1:21" s="52" customFormat="1" ht="13.5" customHeight="1">
      <c r="A230" s="427"/>
      <c r="B230" s="2256" t="s">
        <v>466</v>
      </c>
      <c r="C230" s="2254"/>
      <c r="D230" s="2255"/>
      <c r="E230" s="2254"/>
      <c r="F230" s="2255"/>
      <c r="G230" s="2254"/>
      <c r="H230" s="2255"/>
      <c r="I230" s="2277">
        <f>+I228+I229</f>
        <v>563548</v>
      </c>
      <c r="J230" s="431"/>
      <c r="K230" s="394"/>
      <c r="L230" s="305"/>
      <c r="M230" s="305"/>
      <c r="N230" s="305"/>
      <c r="O230" s="305"/>
      <c r="P230" s="305"/>
      <c r="Q230" s="305"/>
      <c r="R230" s="305"/>
      <c r="S230" s="305"/>
      <c r="T230" s="305"/>
      <c r="U230" s="305"/>
    </row>
    <row r="231" spans="1:21" s="52" customFormat="1" ht="13.5" customHeight="1">
      <c r="A231" s="427"/>
      <c r="B231" s="2257" t="s">
        <v>467</v>
      </c>
      <c r="C231" s="2254"/>
      <c r="D231" s="2255"/>
      <c r="E231" s="2254"/>
      <c r="F231" s="2255"/>
      <c r="G231" s="2254"/>
      <c r="H231" s="2255"/>
      <c r="I231" s="2296">
        <v>-148511</v>
      </c>
      <c r="J231" s="431"/>
      <c r="K231" s="394"/>
      <c r="L231" s="305"/>
      <c r="M231" s="305"/>
      <c r="N231" s="305"/>
      <c r="O231" s="305"/>
      <c r="P231" s="305"/>
      <c r="Q231" s="305"/>
      <c r="R231" s="305"/>
      <c r="S231" s="305"/>
      <c r="T231" s="305"/>
      <c r="U231" s="305"/>
    </row>
    <row r="232" spans="1:21" s="52" customFormat="1" ht="13.5" customHeight="1" thickBot="1">
      <c r="A232" s="427"/>
      <c r="B232" s="1479" t="s">
        <v>468</v>
      </c>
      <c r="C232" s="488"/>
      <c r="D232" s="1107"/>
      <c r="E232" s="488"/>
      <c r="F232" s="1107"/>
      <c r="G232" s="488"/>
      <c r="H232" s="1107"/>
      <c r="I232" s="1489">
        <f>+I230+I231</f>
        <v>415037</v>
      </c>
      <c r="J232" s="431"/>
      <c r="K232" s="394"/>
      <c r="L232" s="305"/>
      <c r="M232" s="305"/>
      <c r="N232" s="305"/>
      <c r="O232" s="305"/>
      <c r="P232" s="305"/>
      <c r="Q232" s="305"/>
      <c r="R232" s="305"/>
      <c r="S232" s="305"/>
      <c r="T232" s="305"/>
      <c r="U232" s="305"/>
    </row>
    <row r="233" spans="1:21" s="52" customFormat="1" ht="13.5" customHeight="1">
      <c r="A233" s="427"/>
      <c r="B233" s="3024"/>
      <c r="C233" s="3025"/>
      <c r="D233" s="3025"/>
      <c r="E233" s="3025"/>
      <c r="F233" s="3025"/>
      <c r="G233" s="3025"/>
      <c r="H233" s="3025"/>
      <c r="I233" s="3026"/>
      <c r="J233" s="431"/>
      <c r="K233" s="394"/>
      <c r="L233" s="305"/>
      <c r="M233" s="305"/>
      <c r="N233" s="305"/>
      <c r="O233" s="305"/>
      <c r="P233" s="305"/>
      <c r="Q233" s="305"/>
      <c r="R233" s="305"/>
      <c r="S233" s="305"/>
      <c r="T233" s="305"/>
      <c r="U233" s="305"/>
    </row>
    <row r="234" spans="1:21" s="52" customFormat="1" ht="13.5" customHeight="1">
      <c r="A234" s="427"/>
      <c r="B234" s="3024"/>
      <c r="C234" s="3025"/>
      <c r="D234" s="3025"/>
      <c r="E234" s="3025"/>
      <c r="F234" s="3025"/>
      <c r="G234" s="3025"/>
      <c r="H234" s="3025"/>
      <c r="I234" s="3026"/>
      <c r="J234" s="431"/>
      <c r="K234" s="394"/>
      <c r="L234" s="305"/>
      <c r="M234" s="305"/>
      <c r="N234" s="305"/>
      <c r="O234" s="305"/>
      <c r="P234" s="305"/>
      <c r="Q234" s="305"/>
      <c r="R234" s="305"/>
      <c r="S234" s="305"/>
      <c r="T234" s="305"/>
      <c r="U234" s="305"/>
    </row>
    <row r="235" spans="1:21" s="52" customFormat="1" ht="13.5" customHeight="1">
      <c r="A235" s="427"/>
      <c r="B235" s="3024"/>
      <c r="C235" s="3025"/>
      <c r="D235" s="3025"/>
      <c r="E235" s="3025"/>
      <c r="F235" s="3025"/>
      <c r="G235" s="3025"/>
      <c r="H235" s="3025"/>
      <c r="I235" s="3026"/>
      <c r="J235" s="431"/>
      <c r="K235" s="394"/>
      <c r="L235" s="305"/>
      <c r="M235" s="305"/>
      <c r="N235" s="305"/>
      <c r="O235" s="305"/>
      <c r="P235" s="305"/>
      <c r="Q235" s="305"/>
      <c r="R235" s="305"/>
      <c r="S235" s="305"/>
      <c r="T235" s="305"/>
      <c r="U235" s="305"/>
    </row>
    <row r="236" spans="1:21" s="52" customFormat="1" ht="13.5" customHeight="1">
      <c r="A236" s="427"/>
      <c r="B236" s="3024"/>
      <c r="C236" s="3025"/>
      <c r="D236" s="3025"/>
      <c r="E236" s="3025"/>
      <c r="F236" s="3025"/>
      <c r="G236" s="3025"/>
      <c r="H236" s="3025"/>
      <c r="I236" s="3026"/>
      <c r="J236" s="431"/>
      <c r="K236" s="394"/>
      <c r="L236" s="305"/>
      <c r="M236" s="305"/>
      <c r="N236" s="305"/>
      <c r="O236" s="305"/>
      <c r="P236" s="305"/>
      <c r="Q236" s="305"/>
      <c r="R236" s="305"/>
      <c r="S236" s="305"/>
      <c r="T236" s="305"/>
      <c r="U236" s="305"/>
    </row>
    <row r="237" spans="1:21" s="52" customFormat="1" ht="13.5" customHeight="1">
      <c r="A237" s="427"/>
      <c r="B237" s="3024"/>
      <c r="C237" s="3025"/>
      <c r="D237" s="3025"/>
      <c r="E237" s="3025"/>
      <c r="F237" s="3025"/>
      <c r="G237" s="3025"/>
      <c r="H237" s="3025"/>
      <c r="I237" s="3026"/>
      <c r="J237" s="431"/>
      <c r="K237" s="394"/>
      <c r="L237" s="305"/>
      <c r="M237" s="305"/>
      <c r="N237" s="305"/>
      <c r="O237" s="305"/>
      <c r="P237" s="305"/>
      <c r="Q237" s="305"/>
      <c r="R237" s="305"/>
      <c r="S237" s="305"/>
      <c r="T237" s="305"/>
      <c r="U237" s="305"/>
    </row>
    <row r="238" spans="1:21" s="52" customFormat="1" ht="13.5" customHeight="1">
      <c r="A238" s="427"/>
      <c r="B238" s="455"/>
      <c r="C238" s="433"/>
      <c r="D238" s="433"/>
      <c r="E238" s="433"/>
      <c r="F238" s="433"/>
      <c r="G238" s="433"/>
      <c r="H238" s="433"/>
      <c r="I238" s="433"/>
      <c r="J238" s="431"/>
      <c r="K238" s="394"/>
      <c r="L238" s="305"/>
      <c r="M238" s="305"/>
      <c r="N238" s="305"/>
      <c r="O238" s="305"/>
      <c r="P238" s="305"/>
      <c r="Q238" s="305"/>
      <c r="R238" s="305"/>
      <c r="S238" s="305"/>
      <c r="T238" s="305"/>
      <c r="U238" s="305"/>
    </row>
    <row r="239" spans="1:21" s="52" customFormat="1" ht="13.5" customHeight="1">
      <c r="A239" s="427"/>
      <c r="B239" s="455"/>
      <c r="C239" s="433"/>
      <c r="D239" s="433"/>
      <c r="E239" s="433"/>
      <c r="F239" s="433"/>
      <c r="G239" s="433"/>
      <c r="H239" s="433"/>
      <c r="I239" s="433"/>
      <c r="J239" s="431"/>
      <c r="K239" s="394">
        <v>116</v>
      </c>
      <c r="L239" s="305"/>
      <c r="M239" s="305"/>
      <c r="N239" s="305"/>
      <c r="O239" s="305"/>
      <c r="P239" s="305"/>
      <c r="Q239" s="305"/>
      <c r="R239" s="305"/>
      <c r="S239" s="305"/>
      <c r="T239" s="305"/>
      <c r="U239" s="305"/>
    </row>
    <row r="240" spans="1:21" s="236" customFormat="1" ht="13.5" customHeight="1">
      <c r="A240" s="287"/>
      <c r="B240" s="455"/>
      <c r="C240" s="279"/>
      <c r="D240" s="279"/>
      <c r="E240" s="279"/>
      <c r="F240" s="279"/>
      <c r="G240" s="279"/>
      <c r="H240" s="279"/>
      <c r="I240" s="279"/>
      <c r="J240" s="305"/>
      <c r="K240" s="279"/>
      <c r="L240" s="305"/>
      <c r="M240" s="305"/>
      <c r="N240" s="305"/>
      <c r="O240" s="305"/>
      <c r="P240" s="305"/>
      <c r="Q240" s="305"/>
      <c r="R240" s="305"/>
      <c r="S240" s="305"/>
      <c r="T240" s="305"/>
      <c r="U240" s="305"/>
    </row>
    <row r="241" spans="1:21" ht="13.5" customHeight="1">
      <c r="A241" s="427"/>
      <c r="B241" s="295" t="s">
        <v>470</v>
      </c>
      <c r="C241" s="295"/>
      <c r="D241" s="295"/>
      <c r="E241" s="437"/>
      <c r="F241" s="437"/>
      <c r="G241" s="437"/>
      <c r="H241" s="437"/>
      <c r="I241" s="437"/>
      <c r="J241" s="437"/>
      <c r="L241" s="305"/>
      <c r="M241" s="305"/>
      <c r="N241" s="305"/>
      <c r="O241" s="305"/>
      <c r="P241" s="305"/>
      <c r="Q241" s="305"/>
      <c r="R241" s="305"/>
      <c r="S241" s="305"/>
      <c r="T241" s="305"/>
      <c r="U241" s="305"/>
    </row>
    <row r="242" spans="1:21" ht="13.5" customHeight="1" thickBot="1">
      <c r="A242" s="427"/>
      <c r="B242" s="218"/>
      <c r="C242" s="218"/>
      <c r="D242" s="218"/>
      <c r="E242" s="437"/>
      <c r="F242" s="437"/>
      <c r="G242" s="437"/>
      <c r="H242" s="437"/>
      <c r="I242" s="437"/>
      <c r="J242" s="437"/>
      <c r="L242" s="305"/>
      <c r="M242" s="305"/>
      <c r="N242" s="305"/>
      <c r="O242" s="305"/>
      <c r="P242" s="305"/>
      <c r="Q242" s="305"/>
      <c r="R242" s="305"/>
      <c r="S242" s="305"/>
      <c r="T242" s="305"/>
      <c r="U242" s="305"/>
    </row>
    <row r="243" spans="1:21" ht="13.5" customHeight="1">
      <c r="B243" s="1481" t="s">
        <v>102</v>
      </c>
      <c r="I243" s="532" t="s">
        <v>238</v>
      </c>
      <c r="L243" s="305"/>
      <c r="M243" s="305"/>
      <c r="N243" s="305"/>
      <c r="O243" s="305"/>
      <c r="P243" s="305"/>
      <c r="Q243" s="305"/>
      <c r="R243" s="305"/>
      <c r="S243" s="305"/>
      <c r="T243" s="305"/>
      <c r="U243" s="305"/>
    </row>
    <row r="244" spans="1:21" s="52" customFormat="1" ht="13.5" customHeight="1">
      <c r="A244" s="414"/>
      <c r="B244" s="3283"/>
      <c r="C244" s="3359">
        <v>2022</v>
      </c>
      <c r="D244" s="3360"/>
      <c r="E244" s="3360"/>
      <c r="F244" s="3360"/>
      <c r="G244" s="3360"/>
      <c r="H244" s="3360"/>
      <c r="I244" s="3361"/>
      <c r="J244" s="274"/>
      <c r="K244" s="394"/>
      <c r="L244" s="305"/>
      <c r="M244" s="305"/>
      <c r="N244" s="305"/>
      <c r="O244" s="305"/>
      <c r="P244" s="305"/>
      <c r="Q244" s="305"/>
      <c r="R244" s="305"/>
      <c r="S244" s="305"/>
      <c r="T244" s="305"/>
      <c r="U244" s="305"/>
    </row>
    <row r="245" spans="1:21" s="52" customFormat="1" ht="13.5" customHeight="1">
      <c r="A245" s="415"/>
      <c r="B245" s="3284"/>
      <c r="C245" s="3364" t="s">
        <v>436</v>
      </c>
      <c r="D245" s="3364" t="s">
        <v>437</v>
      </c>
      <c r="E245" s="3332" t="s">
        <v>438</v>
      </c>
      <c r="F245" s="3334"/>
      <c r="G245" s="3364" t="s">
        <v>439</v>
      </c>
      <c r="H245" s="3364" t="s">
        <v>440</v>
      </c>
      <c r="I245" s="3364" t="s">
        <v>118</v>
      </c>
      <c r="J245" s="274"/>
      <c r="K245" s="3358"/>
      <c r="L245" s="305"/>
      <c r="M245" s="305"/>
      <c r="N245" s="305"/>
      <c r="O245" s="305"/>
      <c r="P245" s="305"/>
      <c r="Q245" s="305"/>
      <c r="R245" s="305"/>
      <c r="S245" s="305"/>
      <c r="T245" s="305"/>
      <c r="U245" s="305"/>
    </row>
    <row r="246" spans="1:21" s="52" customFormat="1" ht="13.5" customHeight="1" thickBot="1">
      <c r="A246" s="415"/>
      <c r="B246" s="3285"/>
      <c r="C246" s="3365"/>
      <c r="D246" s="3390"/>
      <c r="E246" s="1461" t="s">
        <v>442</v>
      </c>
      <c r="F246" s="1447" t="s">
        <v>443</v>
      </c>
      <c r="G246" s="3365"/>
      <c r="H246" s="3365"/>
      <c r="I246" s="3365"/>
      <c r="J246" s="274"/>
      <c r="K246" s="3358"/>
      <c r="L246" s="305"/>
      <c r="M246" s="305"/>
      <c r="N246" s="305"/>
      <c r="O246" s="305"/>
      <c r="P246" s="305"/>
      <c r="Q246" s="305"/>
      <c r="R246" s="305"/>
      <c r="S246" s="305"/>
      <c r="T246" s="305"/>
      <c r="U246" s="305"/>
    </row>
    <row r="247" spans="1:21" s="52" customFormat="1" ht="13.5" customHeight="1">
      <c r="A247" s="427"/>
      <c r="B247" s="1486" t="s">
        <v>342</v>
      </c>
      <c r="C247" s="3021">
        <v>2326169</v>
      </c>
      <c r="D247" s="3021">
        <v>941240</v>
      </c>
      <c r="E247" s="3021">
        <v>189241</v>
      </c>
      <c r="F247" s="3021">
        <v>6119025</v>
      </c>
      <c r="G247" s="3021">
        <v>2609470</v>
      </c>
      <c r="H247" s="3021">
        <v>1374101</v>
      </c>
      <c r="I247" s="1494">
        <f>SUM(C247:H247)</f>
        <v>13559246</v>
      </c>
      <c r="J247" s="554"/>
      <c r="K247" s="286"/>
      <c r="L247" s="305"/>
      <c r="M247" s="305"/>
      <c r="N247" s="305"/>
      <c r="O247" s="305"/>
      <c r="P247" s="305"/>
      <c r="Q247" s="305"/>
      <c r="R247" s="305"/>
      <c r="S247" s="305"/>
      <c r="T247" s="305"/>
      <c r="U247" s="305"/>
    </row>
    <row r="248" spans="1:21" s="52" customFormat="1" ht="13.5" customHeight="1">
      <c r="A248" s="427"/>
      <c r="B248" s="2246" t="s">
        <v>444</v>
      </c>
      <c r="C248" s="3027"/>
      <c r="D248" s="3027"/>
      <c r="E248" s="3027"/>
      <c r="F248" s="3027"/>
      <c r="G248" s="3027"/>
      <c r="H248" s="3027"/>
      <c r="I248" s="2221">
        <f>SUM(C248:H248)</f>
        <v>0</v>
      </c>
      <c r="J248" s="289"/>
      <c r="K248" s="286"/>
      <c r="L248" s="305"/>
      <c r="M248" s="305"/>
      <c r="N248" s="305"/>
      <c r="O248" s="305"/>
      <c r="P248" s="305"/>
      <c r="Q248" s="305"/>
      <c r="R248" s="305"/>
      <c r="S248" s="305"/>
      <c r="T248" s="305"/>
      <c r="U248" s="305"/>
    </row>
    <row r="249" spans="1:21" s="52" customFormat="1" ht="13.5" customHeight="1">
      <c r="A249" s="427"/>
      <c r="B249" s="2246" t="s">
        <v>445</v>
      </c>
      <c r="C249" s="3028">
        <v>-623678</v>
      </c>
      <c r="D249" s="3028">
        <v>-10372</v>
      </c>
      <c r="E249" s="3028">
        <v>0</v>
      </c>
      <c r="F249" s="3028">
        <v>-154101</v>
      </c>
      <c r="G249" s="3028">
        <v>0</v>
      </c>
      <c r="H249" s="3028">
        <v>-142648</v>
      </c>
      <c r="I249" s="2221">
        <f>SUM(C249:H249)</f>
        <v>-930799</v>
      </c>
      <c r="J249" s="554"/>
      <c r="K249" s="286"/>
      <c r="L249" s="305"/>
      <c r="M249" s="305"/>
      <c r="N249" s="305"/>
      <c r="O249" s="305"/>
      <c r="P249" s="305"/>
      <c r="Q249" s="305"/>
      <c r="R249" s="305"/>
      <c r="S249" s="305"/>
      <c r="T249" s="305"/>
      <c r="U249" s="305"/>
    </row>
    <row r="250" spans="1:21" s="52" customFormat="1" ht="13.5" customHeight="1">
      <c r="A250" s="427"/>
      <c r="B250" s="2246" t="s">
        <v>446</v>
      </c>
      <c r="C250" s="3021">
        <v>-1391952</v>
      </c>
      <c r="D250" s="3021">
        <v>-788195</v>
      </c>
      <c r="E250" s="3021">
        <v>-12166</v>
      </c>
      <c r="F250" s="3021">
        <v>-239256</v>
      </c>
      <c r="G250" s="3021">
        <v>-176659</v>
      </c>
      <c r="H250" s="3021">
        <v>-982482</v>
      </c>
      <c r="I250" s="2221">
        <f>SUM(C250:H250)</f>
        <v>-3590710</v>
      </c>
      <c r="J250" s="554"/>
      <c r="K250" s="394"/>
      <c r="L250" s="305"/>
      <c r="M250" s="305"/>
      <c r="N250" s="305"/>
      <c r="O250" s="305"/>
      <c r="P250" s="305"/>
      <c r="Q250" s="305"/>
      <c r="R250" s="305"/>
      <c r="S250" s="305"/>
      <c r="T250" s="305"/>
      <c r="U250" s="305"/>
    </row>
    <row r="251" spans="1:21" s="236" customFormat="1" ht="13.5" customHeight="1">
      <c r="A251" s="428"/>
      <c r="B251" s="2248" t="s">
        <v>447</v>
      </c>
      <c r="C251" s="3021">
        <v>310539</v>
      </c>
      <c r="D251" s="3021">
        <v>142673</v>
      </c>
      <c r="E251" s="3021">
        <v>177075</v>
      </c>
      <c r="F251" s="3021">
        <v>5725668</v>
      </c>
      <c r="G251" s="3021">
        <v>2432810</v>
      </c>
      <c r="H251" s="3021">
        <v>248971</v>
      </c>
      <c r="I251" s="2229">
        <f>SUM(I247:I250)</f>
        <v>9037737</v>
      </c>
      <c r="J251" s="555"/>
      <c r="K251" s="463"/>
      <c r="L251" s="305"/>
      <c r="M251" s="305"/>
      <c r="N251" s="305"/>
      <c r="O251" s="305"/>
      <c r="P251" s="305"/>
      <c r="Q251" s="305"/>
      <c r="R251" s="305"/>
      <c r="S251" s="305"/>
      <c r="T251" s="305"/>
      <c r="U251" s="305"/>
    </row>
    <row r="252" spans="1:21" s="52" customFormat="1" ht="13.5" customHeight="1">
      <c r="A252" s="427"/>
      <c r="B252" s="2246" t="s">
        <v>448</v>
      </c>
      <c r="C252" s="3021">
        <v>22186</v>
      </c>
      <c r="D252" s="3021">
        <v>-8001</v>
      </c>
      <c r="E252" s="3021">
        <v>-27704</v>
      </c>
      <c r="F252" s="3021">
        <v>-895761</v>
      </c>
      <c r="G252" s="3021">
        <v>-170763</v>
      </c>
      <c r="H252" s="3021">
        <v>-8940</v>
      </c>
      <c r="I252" s="2221">
        <f>SUM(C252:H252)</f>
        <v>-1088983</v>
      </c>
      <c r="J252" s="552"/>
      <c r="K252" s="394"/>
      <c r="L252" s="305"/>
      <c r="M252" s="305"/>
      <c r="N252" s="305"/>
      <c r="O252" s="305"/>
      <c r="P252" s="305"/>
      <c r="Q252" s="305"/>
      <c r="R252" s="305"/>
      <c r="S252" s="305"/>
      <c r="T252" s="305"/>
      <c r="U252" s="305"/>
    </row>
    <row r="253" spans="1:21" s="236" customFormat="1" ht="13.5" customHeight="1">
      <c r="A253" s="428"/>
      <c r="B253" s="2248" t="s">
        <v>449</v>
      </c>
      <c r="C253" s="3029">
        <v>332725</v>
      </c>
      <c r="D253" s="3029">
        <v>134672</v>
      </c>
      <c r="E253" s="3029">
        <v>149371</v>
      </c>
      <c r="F253" s="3029">
        <v>4829907</v>
      </c>
      <c r="G253" s="3029">
        <v>2262048</v>
      </c>
      <c r="H253" s="3029">
        <v>240031</v>
      </c>
      <c r="I253" s="2229">
        <f>+I251+I252</f>
        <v>7948754</v>
      </c>
      <c r="J253" s="555"/>
      <c r="K253" s="463"/>
      <c r="L253" s="305"/>
      <c r="M253" s="305"/>
      <c r="N253" s="305"/>
      <c r="O253" s="305"/>
      <c r="P253" s="305"/>
      <c r="Q253" s="305"/>
      <c r="R253" s="305"/>
      <c r="S253" s="305"/>
      <c r="T253" s="305"/>
      <c r="U253" s="305"/>
    </row>
    <row r="254" spans="1:21" s="52" customFormat="1" ht="13.5" customHeight="1">
      <c r="A254" s="427"/>
      <c r="B254" s="2246"/>
      <c r="C254" s="3030"/>
      <c r="D254" s="3031"/>
      <c r="E254" s="3030"/>
      <c r="F254" s="3031"/>
      <c r="G254" s="3030"/>
      <c r="H254" s="3030"/>
      <c r="I254" s="2221"/>
      <c r="J254" s="431"/>
      <c r="K254" s="394"/>
      <c r="L254" s="305"/>
      <c r="M254" s="305"/>
      <c r="N254" s="305"/>
      <c r="O254" s="305"/>
      <c r="P254" s="305"/>
      <c r="Q254" s="305"/>
      <c r="R254" s="305"/>
      <c r="S254" s="305"/>
      <c r="T254" s="305"/>
      <c r="U254" s="305"/>
    </row>
    <row r="255" spans="1:21" s="52" customFormat="1" ht="13.5" customHeight="1">
      <c r="A255" s="427"/>
      <c r="B255" s="2248" t="s">
        <v>450</v>
      </c>
      <c r="C255" s="3030"/>
      <c r="D255" s="3031"/>
      <c r="E255" s="3030"/>
      <c r="F255" s="3031"/>
      <c r="G255" s="3030"/>
      <c r="H255" s="3030"/>
      <c r="I255" s="2221">
        <f>SUM(C255:H255)</f>
        <v>0</v>
      </c>
      <c r="J255" s="431"/>
      <c r="K255" s="415"/>
      <c r="L255" s="305"/>
      <c r="M255" s="305"/>
      <c r="N255" s="305"/>
      <c r="O255" s="305"/>
      <c r="P255" s="305"/>
      <c r="Q255" s="305"/>
      <c r="R255" s="305"/>
      <c r="S255" s="305"/>
      <c r="T255" s="305"/>
      <c r="U255" s="305"/>
    </row>
    <row r="256" spans="1:21" s="52" customFormat="1" ht="24" customHeight="1">
      <c r="A256" s="427"/>
      <c r="B256" s="2246" t="s">
        <v>451</v>
      </c>
      <c r="C256" s="3021">
        <v>-101887</v>
      </c>
      <c r="D256" s="3021">
        <v>-65318</v>
      </c>
      <c r="E256" s="3021">
        <v>-87248</v>
      </c>
      <c r="F256" s="3021">
        <v>-2821008</v>
      </c>
      <c r="G256" s="3021">
        <v>-1957147</v>
      </c>
      <c r="H256" s="3021">
        <v>-106293</v>
      </c>
      <c r="I256" s="2221">
        <f>SUM(C256:H256)</f>
        <v>-5138901</v>
      </c>
      <c r="J256" s="556"/>
      <c r="K256" s="394"/>
      <c r="L256" s="305"/>
      <c r="M256" s="305"/>
      <c r="N256" s="305"/>
      <c r="O256" s="305"/>
      <c r="P256" s="305"/>
      <c r="Q256" s="305"/>
      <c r="R256" s="305"/>
      <c r="S256" s="305"/>
      <c r="T256" s="305"/>
      <c r="U256" s="305"/>
    </row>
    <row r="257" spans="1:21" s="52" customFormat="1" ht="26.25" customHeight="1">
      <c r="A257" s="427"/>
      <c r="B257" s="2246" t="s">
        <v>452</v>
      </c>
      <c r="C257" s="3028">
        <v>79370</v>
      </c>
      <c r="D257" s="3028">
        <v>64963</v>
      </c>
      <c r="E257" s="3028">
        <v>-15278</v>
      </c>
      <c r="F257" s="3028">
        <v>-493992</v>
      </c>
      <c r="G257" s="3028">
        <v>-282826</v>
      </c>
      <c r="H257" s="3028">
        <v>18642</v>
      </c>
      <c r="I257" s="2221">
        <f>SUM(C257:H257)</f>
        <v>-629121</v>
      </c>
      <c r="J257" s="554"/>
      <c r="K257" s="394"/>
      <c r="L257" s="305"/>
      <c r="M257" s="305"/>
      <c r="N257" s="305"/>
      <c r="O257" s="305"/>
      <c r="P257" s="305"/>
      <c r="Q257" s="305"/>
      <c r="R257" s="305"/>
      <c r="S257" s="305"/>
      <c r="T257" s="305"/>
      <c r="U257" s="305"/>
    </row>
    <row r="258" spans="1:21" s="52" customFormat="1" ht="26.25" customHeight="1">
      <c r="A258" s="427"/>
      <c r="B258" s="2246" t="s">
        <v>453</v>
      </c>
      <c r="C258" s="3028">
        <v>-88940</v>
      </c>
      <c r="D258" s="3028">
        <v>-35999</v>
      </c>
      <c r="E258" s="3028">
        <v>-39928</v>
      </c>
      <c r="F258" s="3028">
        <v>-1291013</v>
      </c>
      <c r="G258" s="3028">
        <v>-604666</v>
      </c>
      <c r="H258" s="3028">
        <v>-64163</v>
      </c>
      <c r="I258" s="2221">
        <f>SUM(C258:H258)</f>
        <v>-2124709</v>
      </c>
      <c r="J258" s="289"/>
      <c r="K258" s="394"/>
      <c r="L258" s="305"/>
      <c r="M258" s="305"/>
      <c r="N258" s="305"/>
      <c r="O258" s="305"/>
      <c r="P258" s="305"/>
      <c r="Q258" s="305"/>
      <c r="R258" s="305"/>
      <c r="S258" s="305"/>
      <c r="T258" s="305"/>
      <c r="U258" s="305"/>
    </row>
    <row r="259" spans="1:21" s="52" customFormat="1" ht="13.5" customHeight="1">
      <c r="A259" s="427"/>
      <c r="B259" s="2252" t="s">
        <v>454</v>
      </c>
      <c r="C259" s="3029">
        <v>221268</v>
      </c>
      <c r="D259" s="3029">
        <v>98318</v>
      </c>
      <c r="E259" s="3029">
        <v>6917</v>
      </c>
      <c r="F259" s="3029">
        <v>223894</v>
      </c>
      <c r="G259" s="3029">
        <v>-582591</v>
      </c>
      <c r="H259" s="3029">
        <v>88217</v>
      </c>
      <c r="I259" s="2229">
        <f>+I253+I256+I257+I258</f>
        <v>56023</v>
      </c>
      <c r="J259" s="554"/>
      <c r="K259" s="288"/>
      <c r="L259" s="305"/>
      <c r="M259" s="305"/>
      <c r="N259" s="305"/>
      <c r="O259" s="305"/>
      <c r="P259" s="305"/>
      <c r="Q259" s="305"/>
      <c r="R259" s="305"/>
      <c r="S259" s="305"/>
      <c r="T259" s="305"/>
      <c r="U259" s="305"/>
    </row>
    <row r="260" spans="1:21" s="52" customFormat="1" ht="13.5" customHeight="1">
      <c r="A260" s="427"/>
      <c r="B260" s="2253"/>
      <c r="C260" s="2267"/>
      <c r="D260" s="2266"/>
      <c r="E260" s="2267"/>
      <c r="F260" s="2266"/>
      <c r="G260" s="2267"/>
      <c r="H260" s="2266"/>
      <c r="I260" s="2277"/>
      <c r="J260" s="431"/>
      <c r="K260" s="394"/>
      <c r="L260" s="305"/>
      <c r="M260" s="305"/>
      <c r="N260" s="305"/>
      <c r="O260" s="305"/>
      <c r="P260" s="305"/>
      <c r="Q260" s="305"/>
      <c r="R260" s="305"/>
      <c r="S260" s="305"/>
      <c r="T260" s="305"/>
      <c r="U260" s="305"/>
    </row>
    <row r="261" spans="1:21" s="52" customFormat="1" ht="13.5" customHeight="1">
      <c r="A261" s="427"/>
      <c r="B261" s="2248" t="s">
        <v>455</v>
      </c>
      <c r="C261" s="2254"/>
      <c r="D261" s="2255"/>
      <c r="E261" s="2254"/>
      <c r="F261" s="2255"/>
      <c r="G261" s="2254"/>
      <c r="H261" s="2255"/>
      <c r="I261" s="2277">
        <f>SUM(I262:I266)</f>
        <v>1755980</v>
      </c>
      <c r="J261" s="431"/>
      <c r="K261" s="394"/>
      <c r="L261" s="305"/>
      <c r="M261" s="305"/>
      <c r="N261" s="305"/>
      <c r="O261" s="305"/>
      <c r="P261" s="305"/>
      <c r="Q261" s="305"/>
      <c r="R261" s="305"/>
      <c r="S261" s="305"/>
      <c r="T261" s="305"/>
      <c r="U261" s="305"/>
    </row>
    <row r="262" spans="1:21" s="52" customFormat="1" ht="13.5" customHeight="1">
      <c r="A262" s="427"/>
      <c r="B262" s="2246" t="s">
        <v>456</v>
      </c>
      <c r="C262" s="2254"/>
      <c r="D262" s="2255"/>
      <c r="E262" s="2254"/>
      <c r="F262" s="2255"/>
      <c r="G262" s="2254"/>
      <c r="H262" s="2255"/>
      <c r="I262" s="2277">
        <v>0</v>
      </c>
      <c r="J262" s="431"/>
      <c r="K262" s="394"/>
      <c r="L262" s="305"/>
      <c r="M262" s="305"/>
      <c r="N262" s="305"/>
      <c r="O262" s="305"/>
      <c r="P262" s="305"/>
      <c r="Q262" s="305"/>
      <c r="R262" s="305"/>
      <c r="S262" s="305"/>
      <c r="T262" s="305"/>
      <c r="U262" s="305"/>
    </row>
    <row r="263" spans="1:21" s="52" customFormat="1" ht="13.5" customHeight="1">
      <c r="A263" s="427"/>
      <c r="B263" s="2246" t="s">
        <v>472</v>
      </c>
      <c r="C263" s="2254"/>
      <c r="D263" s="2255"/>
      <c r="E263" s="2254"/>
      <c r="F263" s="2255"/>
      <c r="G263" s="2254"/>
      <c r="H263" s="2255"/>
      <c r="I263" s="2296">
        <v>1497644</v>
      </c>
      <c r="J263" s="431"/>
      <c r="K263" s="394"/>
      <c r="L263" s="305"/>
      <c r="M263" s="305"/>
      <c r="N263" s="305"/>
      <c r="O263" s="305"/>
      <c r="P263" s="305"/>
      <c r="Q263" s="305"/>
      <c r="R263" s="305"/>
      <c r="S263" s="305"/>
      <c r="T263" s="305"/>
      <c r="U263" s="305"/>
    </row>
    <row r="264" spans="1:21" s="52" customFormat="1" ht="13.5" customHeight="1">
      <c r="A264" s="427"/>
      <c r="B264" s="2246" t="s">
        <v>458</v>
      </c>
      <c r="C264" s="2254"/>
      <c r="D264" s="2255"/>
      <c r="E264" s="2254"/>
      <c r="F264" s="2255"/>
      <c r="G264" s="2254"/>
      <c r="H264" s="2255"/>
      <c r="I264" s="1495">
        <v>0</v>
      </c>
      <c r="J264" s="431"/>
      <c r="K264" s="394"/>
      <c r="L264" s="305"/>
      <c r="M264" s="305"/>
      <c r="N264" s="305"/>
      <c r="O264" s="305"/>
      <c r="P264" s="305"/>
      <c r="Q264" s="305"/>
      <c r="R264" s="305"/>
      <c r="S264" s="305"/>
      <c r="T264" s="305"/>
      <c r="U264" s="305"/>
    </row>
    <row r="265" spans="1:21" s="52" customFormat="1" ht="13.5" customHeight="1">
      <c r="A265" s="427"/>
      <c r="B265" s="2246" t="s">
        <v>459</v>
      </c>
      <c r="C265" s="2254"/>
      <c r="D265" s="2255"/>
      <c r="E265" s="2254"/>
      <c r="F265" s="2255"/>
      <c r="G265" s="2254"/>
      <c r="H265" s="2255"/>
      <c r="I265" s="1495">
        <v>0</v>
      </c>
      <c r="J265" s="431"/>
      <c r="K265" s="394"/>
      <c r="L265" s="305"/>
      <c r="M265" s="305"/>
      <c r="N265" s="305"/>
      <c r="O265" s="305"/>
      <c r="P265" s="305"/>
      <c r="Q265" s="305"/>
      <c r="R265" s="305"/>
      <c r="S265" s="305"/>
      <c r="T265" s="305"/>
      <c r="U265" s="305"/>
    </row>
    <row r="266" spans="1:21" s="52" customFormat="1" ht="13.5" customHeight="1">
      <c r="A266" s="427"/>
      <c r="B266" s="2246" t="s">
        <v>460</v>
      </c>
      <c r="C266" s="2254"/>
      <c r="D266" s="2255"/>
      <c r="E266" s="2254"/>
      <c r="F266" s="2255"/>
      <c r="G266" s="2254"/>
      <c r="H266" s="2255"/>
      <c r="I266" s="1495">
        <v>258336</v>
      </c>
      <c r="J266" s="431"/>
      <c r="K266" s="394"/>
      <c r="L266" s="305"/>
      <c r="M266" s="305"/>
      <c r="N266" s="305"/>
      <c r="O266" s="305"/>
      <c r="P266" s="305"/>
      <c r="Q266" s="305"/>
      <c r="R266" s="305"/>
      <c r="S266" s="305"/>
      <c r="T266" s="305"/>
      <c r="U266" s="305"/>
    </row>
    <row r="267" spans="1:21" s="52" customFormat="1" ht="13.5" customHeight="1">
      <c r="A267" s="427"/>
      <c r="B267" s="2246"/>
      <c r="C267" s="2254"/>
      <c r="D267" s="2255"/>
      <c r="E267" s="2254"/>
      <c r="F267" s="2255"/>
      <c r="G267" s="2254"/>
      <c r="H267" s="2255"/>
      <c r="I267" s="2221"/>
      <c r="J267" s="431"/>
      <c r="K267" s="394"/>
      <c r="L267" s="305"/>
      <c r="M267" s="305"/>
      <c r="N267" s="305"/>
      <c r="O267" s="305"/>
      <c r="P267" s="305"/>
      <c r="Q267" s="305"/>
      <c r="R267" s="305"/>
      <c r="S267" s="305"/>
      <c r="T267" s="305"/>
      <c r="U267" s="305"/>
    </row>
    <row r="268" spans="1:21" s="52" customFormat="1" ht="13.5" customHeight="1">
      <c r="A268" s="427"/>
      <c r="B268" s="2248" t="s">
        <v>461</v>
      </c>
      <c r="C268" s="2254"/>
      <c r="D268" s="2255"/>
      <c r="E268" s="2254"/>
      <c r="F268" s="2255"/>
      <c r="G268" s="2254"/>
      <c r="H268" s="2255"/>
      <c r="I268" s="2221">
        <f>SUM(I269:I270)</f>
        <v>-403834</v>
      </c>
      <c r="J268" s="431"/>
      <c r="K268" s="394"/>
      <c r="L268" s="305"/>
      <c r="M268" s="305"/>
      <c r="N268" s="305"/>
      <c r="O268" s="305"/>
      <c r="P268" s="305"/>
      <c r="Q268" s="305"/>
      <c r="R268" s="305"/>
      <c r="S268" s="305"/>
      <c r="T268" s="305"/>
      <c r="U268" s="305"/>
    </row>
    <row r="269" spans="1:21" s="52" customFormat="1" ht="28.9" customHeight="1">
      <c r="A269" s="427"/>
      <c r="B269" s="2246" t="s">
        <v>462</v>
      </c>
      <c r="C269" s="2254"/>
      <c r="D269" s="2255"/>
      <c r="E269" s="2254"/>
      <c r="F269" s="2255"/>
      <c r="G269" s="2254"/>
      <c r="H269" s="2255"/>
      <c r="I269" s="2297">
        <v>-403834</v>
      </c>
      <c r="J269" s="431"/>
      <c r="K269" s="394"/>
      <c r="L269" s="305"/>
      <c r="M269" s="305"/>
      <c r="N269" s="305"/>
      <c r="O269" s="305"/>
      <c r="P269" s="305"/>
      <c r="Q269" s="305"/>
      <c r="R269" s="305"/>
      <c r="S269" s="305"/>
      <c r="T269" s="305"/>
      <c r="U269" s="305"/>
    </row>
    <row r="270" spans="1:21" s="52" customFormat="1" ht="28.9" customHeight="1">
      <c r="A270" s="427"/>
      <c r="B270" s="2246" t="s">
        <v>463</v>
      </c>
      <c r="C270" s="2254"/>
      <c r="D270" s="2255"/>
      <c r="E270" s="2254"/>
      <c r="F270" s="2255"/>
      <c r="G270" s="2254"/>
      <c r="H270" s="2255"/>
      <c r="I270" s="2221"/>
      <c r="J270" s="431"/>
      <c r="K270" s="394"/>
      <c r="L270" s="305"/>
      <c r="M270" s="305"/>
      <c r="N270" s="305"/>
      <c r="O270" s="305"/>
      <c r="P270" s="305"/>
      <c r="Q270" s="305"/>
      <c r="R270" s="305"/>
      <c r="S270" s="305"/>
      <c r="T270" s="305"/>
      <c r="U270" s="305"/>
    </row>
    <row r="271" spans="1:21" s="52" customFormat="1" ht="13.5" customHeight="1">
      <c r="A271" s="427"/>
      <c r="B271" s="2248" t="s">
        <v>464</v>
      </c>
      <c r="C271" s="2254"/>
      <c r="D271" s="2255"/>
      <c r="E271" s="2254"/>
      <c r="F271" s="2255"/>
      <c r="G271" s="2254"/>
      <c r="H271" s="2255"/>
      <c r="I271" s="2277">
        <f>+I259+I261+I268</f>
        <v>1408169</v>
      </c>
      <c r="J271" s="431"/>
      <c r="K271" s="394"/>
      <c r="L271" s="305"/>
      <c r="M271" s="305"/>
      <c r="N271" s="305"/>
      <c r="O271" s="305"/>
      <c r="P271" s="305"/>
      <c r="Q271" s="305"/>
      <c r="R271" s="305"/>
      <c r="S271" s="305"/>
      <c r="T271" s="305"/>
      <c r="U271" s="305"/>
    </row>
    <row r="272" spans="1:21" s="52" customFormat="1" ht="13.5" customHeight="1">
      <c r="A272" s="427"/>
      <c r="B272" s="2246" t="s">
        <v>465</v>
      </c>
      <c r="C272" s="2254"/>
      <c r="D272" s="2255"/>
      <c r="E272" s="2254"/>
      <c r="F272" s="2255"/>
      <c r="G272" s="2254"/>
      <c r="H272" s="2255"/>
      <c r="I272" s="2221">
        <v>-364337</v>
      </c>
      <c r="J272" s="431"/>
      <c r="K272" s="394"/>
      <c r="L272" s="305"/>
      <c r="M272" s="305"/>
      <c r="N272" s="305"/>
      <c r="O272" s="305"/>
      <c r="P272" s="305"/>
      <c r="Q272" s="305"/>
      <c r="R272" s="305"/>
      <c r="S272" s="305"/>
      <c r="T272" s="305"/>
      <c r="U272" s="305"/>
    </row>
    <row r="273" spans="1:21" s="52" customFormat="1" ht="13.5" customHeight="1">
      <c r="A273" s="427"/>
      <c r="B273" s="2256" t="s">
        <v>466</v>
      </c>
      <c r="C273" s="2254"/>
      <c r="D273" s="2255"/>
      <c r="E273" s="2254"/>
      <c r="F273" s="2255"/>
      <c r="G273" s="2254"/>
      <c r="H273" s="2255"/>
      <c r="I273" s="2277">
        <f>+I271+I272</f>
        <v>1043832</v>
      </c>
      <c r="J273" s="431"/>
      <c r="K273" s="394"/>
      <c r="L273" s="305"/>
      <c r="M273" s="305"/>
      <c r="N273" s="305"/>
      <c r="O273" s="305"/>
      <c r="P273" s="305"/>
      <c r="Q273" s="305"/>
      <c r="R273" s="305"/>
      <c r="S273" s="305"/>
      <c r="T273" s="305"/>
      <c r="U273" s="305"/>
    </row>
    <row r="274" spans="1:21" s="52" customFormat="1" ht="13.5" customHeight="1">
      <c r="A274" s="427"/>
      <c r="B274" s="2257" t="s">
        <v>467</v>
      </c>
      <c r="C274" s="2254"/>
      <c r="D274" s="2255"/>
      <c r="E274" s="2254"/>
      <c r="F274" s="2255"/>
      <c r="G274" s="2254"/>
      <c r="H274" s="2255"/>
      <c r="I274" s="2297"/>
      <c r="J274" s="431"/>
      <c r="K274" s="394"/>
      <c r="L274" s="305"/>
      <c r="M274" s="305"/>
      <c r="N274" s="305"/>
      <c r="O274" s="305"/>
      <c r="P274" s="305"/>
      <c r="Q274" s="305"/>
      <c r="R274" s="305"/>
      <c r="S274" s="305"/>
      <c r="T274" s="305"/>
      <c r="U274" s="305"/>
    </row>
    <row r="275" spans="1:21" s="52" customFormat="1" ht="13.5" customHeight="1" thickBot="1">
      <c r="A275" s="427"/>
      <c r="B275" s="1479" t="s">
        <v>468</v>
      </c>
      <c r="C275" s="488"/>
      <c r="D275" s="1107"/>
      <c r="E275" s="488"/>
      <c r="F275" s="1107"/>
      <c r="G275" s="488"/>
      <c r="H275" s="1107"/>
      <c r="I275" s="1489">
        <f>+I273+I274</f>
        <v>1043832</v>
      </c>
      <c r="J275" s="431"/>
      <c r="K275" s="394"/>
      <c r="L275" s="305"/>
      <c r="M275" s="305"/>
      <c r="N275" s="305"/>
      <c r="O275" s="305"/>
      <c r="P275" s="305"/>
      <c r="Q275" s="305"/>
      <c r="R275" s="305"/>
      <c r="S275" s="305"/>
      <c r="T275" s="305"/>
      <c r="U275" s="305"/>
    </row>
    <row r="276" spans="1:21" s="52" customFormat="1" ht="13.5" customHeight="1">
      <c r="A276" s="427"/>
      <c r="B276" s="3024"/>
      <c r="C276" s="3025"/>
      <c r="D276" s="3025"/>
      <c r="E276" s="3025"/>
      <c r="F276" s="3025"/>
      <c r="G276" s="3025"/>
      <c r="H276" s="3025"/>
      <c r="I276" s="3026"/>
      <c r="J276" s="431"/>
      <c r="K276" s="394"/>
      <c r="L276" s="305"/>
      <c r="M276" s="305"/>
      <c r="N276" s="305"/>
      <c r="O276" s="305"/>
      <c r="P276" s="305"/>
      <c r="Q276" s="305"/>
      <c r="R276" s="305"/>
      <c r="S276" s="305"/>
      <c r="T276" s="305"/>
      <c r="U276" s="305"/>
    </row>
    <row r="277" spans="1:21" s="52" customFormat="1" ht="13.5" customHeight="1">
      <c r="A277" s="427"/>
      <c r="B277" s="3024"/>
      <c r="C277" s="3025"/>
      <c r="D277" s="3025"/>
      <c r="E277" s="3025"/>
      <c r="F277" s="3025"/>
      <c r="G277" s="3025"/>
      <c r="H277" s="3025"/>
      <c r="I277" s="3026"/>
      <c r="J277" s="431"/>
      <c r="K277" s="394"/>
      <c r="L277" s="305"/>
      <c r="M277" s="305"/>
      <c r="N277" s="305"/>
      <c r="O277" s="305"/>
      <c r="P277" s="305"/>
      <c r="Q277" s="305"/>
      <c r="R277" s="305"/>
      <c r="S277" s="305"/>
      <c r="T277" s="305"/>
      <c r="U277" s="305"/>
    </row>
    <row r="278" spans="1:21" s="52" customFormat="1" ht="13.5" customHeight="1">
      <c r="A278" s="427"/>
      <c r="B278" s="3024"/>
      <c r="C278" s="3025"/>
      <c r="D278" s="3025"/>
      <c r="E278" s="3025"/>
      <c r="F278" s="3025"/>
      <c r="G278" s="3025"/>
      <c r="H278" s="3025"/>
      <c r="I278" s="3026"/>
      <c r="J278" s="431"/>
      <c r="K278" s="394"/>
      <c r="L278" s="305"/>
      <c r="M278" s="305"/>
      <c r="N278" s="305"/>
      <c r="O278" s="305"/>
      <c r="P278" s="305"/>
      <c r="Q278" s="305"/>
      <c r="R278" s="305"/>
      <c r="S278" s="305"/>
      <c r="T278" s="305"/>
      <c r="U278" s="305"/>
    </row>
    <row r="279" spans="1:21" s="52" customFormat="1" ht="13.5" customHeight="1">
      <c r="A279" s="285"/>
      <c r="B279" s="455"/>
      <c r="C279" s="278"/>
      <c r="D279" s="278"/>
      <c r="E279" s="278"/>
      <c r="F279" s="278"/>
      <c r="G279" s="278"/>
      <c r="H279" s="278"/>
      <c r="I279" s="278"/>
      <c r="J279" s="557"/>
      <c r="K279" s="394"/>
      <c r="L279" s="305"/>
      <c r="M279" s="305"/>
      <c r="N279" s="305"/>
      <c r="O279" s="305"/>
      <c r="P279" s="305"/>
      <c r="Q279" s="305"/>
      <c r="R279" s="305"/>
      <c r="S279" s="305"/>
      <c r="T279" s="305"/>
      <c r="U279" s="305"/>
    </row>
    <row r="280" spans="1:21" s="52" customFormat="1" ht="13.5" customHeight="1">
      <c r="A280" s="427"/>
      <c r="B280" s="455"/>
      <c r="C280" s="433"/>
      <c r="D280" s="433"/>
      <c r="E280" s="433"/>
      <c r="F280" s="433"/>
      <c r="G280" s="433"/>
      <c r="H280" s="433"/>
      <c r="I280" s="552"/>
      <c r="J280" s="552"/>
      <c r="K280" s="394">
        <v>117</v>
      </c>
      <c r="L280" s="305"/>
      <c r="M280" s="305"/>
      <c r="N280" s="305"/>
      <c r="O280" s="305"/>
      <c r="P280" s="305"/>
      <c r="Q280" s="305"/>
      <c r="R280" s="305"/>
      <c r="S280" s="305"/>
      <c r="T280" s="305"/>
      <c r="U280" s="305"/>
    </row>
    <row r="281" spans="1:21" s="52" customFormat="1" ht="13.5" customHeight="1">
      <c r="A281" s="427"/>
      <c r="B281" s="455"/>
      <c r="C281" s="433"/>
      <c r="D281" s="433"/>
      <c r="E281" s="433"/>
      <c r="F281" s="433"/>
      <c r="G281" s="433"/>
      <c r="H281" s="433"/>
      <c r="I281" s="433"/>
      <c r="J281" s="431"/>
      <c r="K281" s="394"/>
      <c r="L281" s="305"/>
      <c r="M281" s="305"/>
      <c r="N281" s="305"/>
      <c r="O281" s="305"/>
      <c r="P281" s="305"/>
      <c r="Q281" s="305"/>
      <c r="R281" s="305"/>
      <c r="S281" s="305"/>
      <c r="T281" s="305"/>
      <c r="U281" s="305"/>
    </row>
    <row r="282" spans="1:21" s="52" customFormat="1" ht="13.5" customHeight="1">
      <c r="A282" s="427"/>
      <c r="B282" s="295" t="s">
        <v>470</v>
      </c>
      <c r="C282" s="295"/>
      <c r="D282" s="295"/>
      <c r="E282" s="433"/>
      <c r="F282" s="433"/>
      <c r="G282" s="433"/>
      <c r="H282" s="433"/>
      <c r="I282" s="433"/>
      <c r="J282" s="431"/>
      <c r="K282" s="394"/>
      <c r="L282" s="305"/>
      <c r="M282" s="305"/>
      <c r="N282" s="305"/>
      <c r="O282" s="305"/>
      <c r="P282" s="305"/>
      <c r="Q282" s="305"/>
      <c r="R282" s="305"/>
      <c r="S282" s="305"/>
      <c r="T282" s="305"/>
      <c r="U282" s="305"/>
    </row>
    <row r="283" spans="1:21" s="52" customFormat="1" ht="13.5" customHeight="1" thickBot="1">
      <c r="A283" s="427"/>
      <c r="B283" s="218"/>
      <c r="C283" s="218"/>
      <c r="D283" s="218"/>
      <c r="E283" s="433"/>
      <c r="F283" s="433"/>
      <c r="G283" s="433"/>
      <c r="H283" s="433"/>
      <c r="I283" s="433"/>
      <c r="J283" s="431"/>
      <c r="K283" s="394"/>
      <c r="L283" s="305"/>
      <c r="M283" s="305"/>
      <c r="N283" s="305"/>
      <c r="O283" s="305"/>
      <c r="P283" s="305"/>
      <c r="Q283" s="305"/>
      <c r="R283" s="305"/>
      <c r="S283" s="305"/>
      <c r="T283" s="305"/>
      <c r="U283" s="305"/>
    </row>
    <row r="284" spans="1:21" ht="13.5" customHeight="1">
      <c r="B284" s="1481" t="s">
        <v>104</v>
      </c>
      <c r="I284" s="532" t="s">
        <v>238</v>
      </c>
      <c r="J284" s="553"/>
      <c r="L284" s="305"/>
      <c r="M284" s="305"/>
      <c r="N284" s="305"/>
      <c r="O284" s="305"/>
      <c r="P284" s="305"/>
      <c r="Q284" s="305"/>
      <c r="R284" s="305"/>
      <c r="S284" s="305"/>
      <c r="T284" s="305"/>
      <c r="U284" s="305"/>
    </row>
    <row r="285" spans="1:21" s="52" customFormat="1" ht="13.5" customHeight="1">
      <c r="A285" s="414"/>
      <c r="B285" s="3283"/>
      <c r="C285" s="3359">
        <v>2022</v>
      </c>
      <c r="D285" s="3360"/>
      <c r="E285" s="3360"/>
      <c r="F285" s="3360"/>
      <c r="G285" s="3360"/>
      <c r="H285" s="3360"/>
      <c r="I285" s="3361"/>
      <c r="J285" s="454"/>
      <c r="K285" s="394"/>
      <c r="L285" s="305"/>
      <c r="M285" s="305"/>
      <c r="N285" s="305"/>
      <c r="O285" s="305"/>
      <c r="P285" s="305"/>
      <c r="Q285" s="305"/>
      <c r="R285" s="305"/>
      <c r="S285" s="305"/>
      <c r="T285" s="305"/>
      <c r="U285" s="305"/>
    </row>
    <row r="286" spans="1:21" s="52" customFormat="1" ht="13.5" customHeight="1">
      <c r="A286" s="415"/>
      <c r="B286" s="3352"/>
      <c r="C286" s="3362" t="s">
        <v>436</v>
      </c>
      <c r="D286" s="3366" t="s">
        <v>437</v>
      </c>
      <c r="E286" s="3359" t="s">
        <v>438</v>
      </c>
      <c r="F286" s="3368"/>
      <c r="G286" s="3364" t="s">
        <v>439</v>
      </c>
      <c r="H286" s="3369" t="s">
        <v>440</v>
      </c>
      <c r="I286" s="3362" t="s">
        <v>118</v>
      </c>
      <c r="J286" s="454"/>
      <c r="K286" s="3358"/>
      <c r="L286" s="305"/>
      <c r="M286" s="305"/>
      <c r="N286" s="305"/>
      <c r="O286" s="305"/>
      <c r="P286" s="305"/>
      <c r="Q286" s="305"/>
      <c r="R286" s="305"/>
      <c r="S286" s="305"/>
      <c r="T286" s="305"/>
      <c r="U286" s="305"/>
    </row>
    <row r="287" spans="1:21" s="52" customFormat="1" ht="13.5" customHeight="1" thickBot="1">
      <c r="A287" s="415"/>
      <c r="B287" s="3297"/>
      <c r="C287" s="3363"/>
      <c r="D287" s="3367"/>
      <c r="E287" s="1461" t="s">
        <v>442</v>
      </c>
      <c r="F287" s="1446" t="s">
        <v>443</v>
      </c>
      <c r="G287" s="3365"/>
      <c r="H287" s="3370"/>
      <c r="I287" s="3363"/>
      <c r="J287" s="454"/>
      <c r="K287" s="3358"/>
      <c r="L287" s="305"/>
      <c r="M287" s="305"/>
      <c r="N287" s="305"/>
      <c r="O287" s="305"/>
      <c r="P287" s="305"/>
      <c r="Q287" s="305"/>
      <c r="R287" s="305"/>
      <c r="S287" s="305"/>
      <c r="T287" s="305"/>
      <c r="U287" s="305"/>
    </row>
    <row r="288" spans="1:21" s="52" customFormat="1" ht="13.5" customHeight="1">
      <c r="A288" s="427"/>
      <c r="B288" s="1486" t="s">
        <v>342</v>
      </c>
      <c r="C288" s="2275">
        <v>965140</v>
      </c>
      <c r="D288" s="2274">
        <v>158297</v>
      </c>
      <c r="E288" s="2275">
        <v>4721</v>
      </c>
      <c r="F288" s="2274">
        <v>4213135</v>
      </c>
      <c r="G288" s="2275">
        <v>968552</v>
      </c>
      <c r="H288" s="2274">
        <v>511165</v>
      </c>
      <c r="I288" s="2221">
        <f>SUM(C288:H288)</f>
        <v>6821010</v>
      </c>
      <c r="J288" s="431"/>
      <c r="K288" s="286"/>
      <c r="L288" s="305"/>
      <c r="M288" s="305"/>
      <c r="N288" s="305"/>
      <c r="O288" s="305"/>
      <c r="P288" s="305"/>
      <c r="Q288" s="305"/>
      <c r="R288" s="305"/>
      <c r="S288" s="305"/>
      <c r="T288" s="305"/>
      <c r="U288" s="305"/>
    </row>
    <row r="289" spans="1:21" s="52" customFormat="1" ht="13.5" customHeight="1">
      <c r="A289" s="427"/>
      <c r="B289" s="2246" t="s">
        <v>473</v>
      </c>
      <c r="C289" s="804"/>
      <c r="D289" s="805"/>
      <c r="E289" s="804"/>
      <c r="F289" s="805"/>
      <c r="G289" s="804"/>
      <c r="H289" s="805"/>
      <c r="I289" s="2221">
        <f>SUM(C289:H289)</f>
        <v>0</v>
      </c>
      <c r="J289" s="431"/>
      <c r="K289" s="286"/>
      <c r="L289" s="305"/>
      <c r="M289" s="305"/>
      <c r="N289" s="305"/>
      <c r="O289" s="305"/>
      <c r="P289" s="305"/>
      <c r="Q289" s="305"/>
      <c r="R289" s="305"/>
      <c r="S289" s="305"/>
      <c r="T289" s="305"/>
      <c r="U289" s="305"/>
    </row>
    <row r="290" spans="1:21" s="52" customFormat="1" ht="13.5" customHeight="1">
      <c r="A290" s="427"/>
      <c r="B290" s="2246" t="s">
        <v>445</v>
      </c>
      <c r="C290" s="804">
        <v>-422759</v>
      </c>
      <c r="D290" s="805">
        <v>-5676</v>
      </c>
      <c r="E290" s="804"/>
      <c r="F290" s="805">
        <v>-119306</v>
      </c>
      <c r="G290" s="804"/>
      <c r="H290" s="805">
        <v>-62103</v>
      </c>
      <c r="I290" s="2221">
        <f>SUM(C290:H290)</f>
        <v>-609844</v>
      </c>
      <c r="J290" s="431"/>
      <c r="K290" s="286"/>
      <c r="L290" s="305"/>
      <c r="M290" s="305"/>
      <c r="N290" s="305"/>
      <c r="O290" s="305"/>
      <c r="P290" s="305"/>
      <c r="Q290" s="305"/>
      <c r="R290" s="305"/>
      <c r="S290" s="305"/>
      <c r="T290" s="305"/>
      <c r="U290" s="305"/>
    </row>
    <row r="291" spans="1:21" s="52" customFormat="1" ht="13.5" customHeight="1">
      <c r="A291" s="427"/>
      <c r="B291" s="2246" t="s">
        <v>446</v>
      </c>
      <c r="C291" s="804">
        <v>-492003</v>
      </c>
      <c r="D291" s="805">
        <v>-140558</v>
      </c>
      <c r="E291" s="804">
        <v>-191</v>
      </c>
      <c r="F291" s="805">
        <v>-57438</v>
      </c>
      <c r="G291" s="804"/>
      <c r="H291" s="805">
        <v>-391656</v>
      </c>
      <c r="I291" s="2221">
        <f>SUM(C291:H291)</f>
        <v>-1081846</v>
      </c>
      <c r="J291" s="431"/>
      <c r="K291" s="394"/>
      <c r="L291" s="305"/>
      <c r="M291" s="305"/>
      <c r="N291" s="305"/>
      <c r="O291" s="305"/>
      <c r="P291" s="305"/>
      <c r="Q291" s="305"/>
      <c r="R291" s="305"/>
      <c r="S291" s="305"/>
      <c r="T291" s="305"/>
      <c r="U291" s="305"/>
    </row>
    <row r="292" spans="1:21" s="236" customFormat="1" ht="13.5" customHeight="1">
      <c r="A292" s="428"/>
      <c r="B292" s="2248" t="s">
        <v>447</v>
      </c>
      <c r="C292" s="2264">
        <v>50378</v>
      </c>
      <c r="D292" s="2263">
        <v>12063</v>
      </c>
      <c r="E292" s="2264">
        <v>4530</v>
      </c>
      <c r="F292" s="2263">
        <v>4036391</v>
      </c>
      <c r="G292" s="2264">
        <v>968552</v>
      </c>
      <c r="H292" s="2263">
        <v>57406</v>
      </c>
      <c r="I292" s="2229">
        <f>SUM(I288:I291)</f>
        <v>5129320</v>
      </c>
      <c r="J292" s="431"/>
      <c r="K292" s="463"/>
      <c r="L292" s="305"/>
      <c r="M292" s="305"/>
      <c r="N292" s="305"/>
      <c r="O292" s="305"/>
      <c r="P292" s="305"/>
      <c r="Q292" s="305"/>
      <c r="R292" s="305"/>
      <c r="S292" s="305"/>
      <c r="T292" s="305"/>
      <c r="U292" s="305"/>
    </row>
    <row r="293" spans="1:21" s="52" customFormat="1" ht="13.5" customHeight="1">
      <c r="A293" s="427"/>
      <c r="B293" s="2246" t="s">
        <v>448</v>
      </c>
      <c r="C293" s="2275">
        <v>-2944</v>
      </c>
      <c r="D293" s="2274">
        <v>-310</v>
      </c>
      <c r="E293" s="2275">
        <v>-455</v>
      </c>
      <c r="F293" s="2274">
        <v>-142157</v>
      </c>
      <c r="G293" s="2275">
        <v>-237503</v>
      </c>
      <c r="H293" s="2274">
        <v>-2187</v>
      </c>
      <c r="I293" s="2221">
        <f>SUM(C293:H293)</f>
        <v>-385556</v>
      </c>
      <c r="J293" s="431"/>
      <c r="K293" s="394"/>
      <c r="L293" s="305"/>
      <c r="M293" s="305"/>
      <c r="N293" s="305"/>
      <c r="O293" s="305"/>
      <c r="P293" s="305"/>
      <c r="Q293" s="305"/>
      <c r="R293" s="305"/>
      <c r="S293" s="305"/>
      <c r="T293" s="305"/>
      <c r="U293" s="305"/>
    </row>
    <row r="294" spans="1:21" s="236" customFormat="1" ht="13.5" customHeight="1">
      <c r="A294" s="428"/>
      <c r="B294" s="2248" t="s">
        <v>449</v>
      </c>
      <c r="C294" s="2264">
        <v>47433</v>
      </c>
      <c r="D294" s="2263">
        <v>11752</v>
      </c>
      <c r="E294" s="2264">
        <v>4075</v>
      </c>
      <c r="F294" s="2263">
        <v>3894234</v>
      </c>
      <c r="G294" s="2264">
        <v>731049</v>
      </c>
      <c r="H294" s="2263">
        <v>55219</v>
      </c>
      <c r="I294" s="2229">
        <f>SUM(I292:I293)</f>
        <v>4743764</v>
      </c>
      <c r="J294" s="431"/>
      <c r="K294" s="463"/>
      <c r="L294" s="305"/>
      <c r="M294" s="305"/>
      <c r="N294" s="305"/>
      <c r="O294" s="305"/>
      <c r="P294" s="305"/>
      <c r="Q294" s="305"/>
      <c r="R294" s="305"/>
      <c r="S294" s="305"/>
      <c r="T294" s="305"/>
      <c r="U294" s="305"/>
    </row>
    <row r="295" spans="1:21" s="52" customFormat="1" ht="13.5" customHeight="1">
      <c r="A295" s="427"/>
      <c r="B295" s="2246"/>
      <c r="C295" s="2267"/>
      <c r="D295" s="2266"/>
      <c r="E295" s="2267"/>
      <c r="F295" s="2266"/>
      <c r="G295" s="2267"/>
      <c r="H295" s="2266"/>
      <c r="I295" s="2221">
        <v>0</v>
      </c>
      <c r="J295" s="431"/>
      <c r="K295" s="394"/>
      <c r="L295" s="305"/>
      <c r="M295" s="305"/>
      <c r="N295" s="305"/>
      <c r="O295" s="305"/>
      <c r="P295" s="305"/>
      <c r="Q295" s="305"/>
      <c r="R295" s="305"/>
      <c r="S295" s="305"/>
      <c r="T295" s="305"/>
      <c r="U295" s="305"/>
    </row>
    <row r="296" spans="1:21" s="52" customFormat="1" ht="13.5" customHeight="1">
      <c r="A296" s="427"/>
      <c r="B296" s="2248" t="s">
        <v>450</v>
      </c>
      <c r="C296" s="2269"/>
      <c r="D296" s="2268"/>
      <c r="E296" s="2269"/>
      <c r="F296" s="2268"/>
      <c r="G296" s="2269"/>
      <c r="H296" s="2268"/>
      <c r="I296" s="2221">
        <f>SUM(C296:H296)</f>
        <v>0</v>
      </c>
      <c r="J296" s="431"/>
      <c r="K296" s="415"/>
      <c r="L296" s="305"/>
      <c r="M296" s="305"/>
      <c r="N296" s="305"/>
      <c r="O296" s="305"/>
      <c r="P296" s="305"/>
      <c r="Q296" s="305"/>
      <c r="R296" s="305"/>
      <c r="S296" s="305"/>
      <c r="T296" s="305"/>
      <c r="U296" s="305"/>
    </row>
    <row r="297" spans="1:21" s="52" customFormat="1" ht="27.75" customHeight="1">
      <c r="A297" s="427"/>
      <c r="B297" s="2246" t="s">
        <v>451</v>
      </c>
      <c r="C297" s="2275">
        <v>-45492</v>
      </c>
      <c r="D297" s="2274">
        <v>-11397</v>
      </c>
      <c r="E297" s="2275">
        <v>-1564</v>
      </c>
      <c r="F297" s="2274">
        <v>-2536208</v>
      </c>
      <c r="G297" s="2275">
        <v>-816903</v>
      </c>
      <c r="H297" s="2274">
        <v>1627</v>
      </c>
      <c r="I297" s="2221">
        <f>SUM(C297:H297)</f>
        <v>-3409937</v>
      </c>
      <c r="J297" s="431"/>
      <c r="K297" s="394"/>
      <c r="L297" s="305"/>
      <c r="M297" s="305"/>
      <c r="N297" s="305"/>
      <c r="O297" s="305"/>
      <c r="P297" s="305"/>
      <c r="Q297" s="305"/>
      <c r="R297" s="305"/>
      <c r="S297" s="305"/>
      <c r="T297" s="305"/>
      <c r="U297" s="305"/>
    </row>
    <row r="298" spans="1:21" s="52" customFormat="1" ht="26.25" customHeight="1">
      <c r="A298" s="427"/>
      <c r="B298" s="2246" t="s">
        <v>452</v>
      </c>
      <c r="C298" s="804">
        <v>47208</v>
      </c>
      <c r="D298" s="805">
        <v>25176</v>
      </c>
      <c r="E298" s="804">
        <v>-190</v>
      </c>
      <c r="F298" s="805">
        <v>-452431</v>
      </c>
      <c r="G298" s="804">
        <v>-58671</v>
      </c>
      <c r="H298" s="805">
        <v>40927</v>
      </c>
      <c r="I298" s="2221">
        <f>SUM(C298:H298)</f>
        <v>-397981</v>
      </c>
      <c r="J298" s="431"/>
      <c r="K298" s="394"/>
      <c r="L298" s="305"/>
      <c r="M298" s="305"/>
      <c r="N298" s="305"/>
      <c r="O298" s="305"/>
      <c r="P298" s="305"/>
      <c r="Q298" s="305"/>
      <c r="R298" s="305"/>
      <c r="S298" s="305"/>
      <c r="T298" s="305"/>
      <c r="U298" s="305"/>
    </row>
    <row r="299" spans="1:21" s="52" customFormat="1" ht="27.75" customHeight="1">
      <c r="A299" s="427"/>
      <c r="B299" s="2246" t="s">
        <v>453</v>
      </c>
      <c r="C299" s="804">
        <v>-474</v>
      </c>
      <c r="D299" s="805">
        <v>-78</v>
      </c>
      <c r="E299" s="804">
        <v>-2</v>
      </c>
      <c r="F299" s="805">
        <v>-2067</v>
      </c>
      <c r="G299" s="804">
        <v>-475</v>
      </c>
      <c r="H299" s="805">
        <v>-251</v>
      </c>
      <c r="I299" s="2221">
        <f>SUM(C299:H299)</f>
        <v>-3347</v>
      </c>
      <c r="J299" s="431"/>
      <c r="K299" s="394"/>
      <c r="L299" s="305"/>
      <c r="M299" s="305"/>
      <c r="N299" s="305"/>
      <c r="O299" s="305"/>
      <c r="P299" s="305"/>
      <c r="Q299" s="305"/>
      <c r="R299" s="305"/>
      <c r="S299" s="305"/>
      <c r="T299" s="305"/>
      <c r="U299" s="305"/>
    </row>
    <row r="300" spans="1:21" s="52" customFormat="1" ht="13.5" customHeight="1">
      <c r="A300" s="427"/>
      <c r="B300" s="2252" t="s">
        <v>454</v>
      </c>
      <c r="C300" s="2264">
        <v>48675</v>
      </c>
      <c r="D300" s="2263">
        <v>25453</v>
      </c>
      <c r="E300" s="2264">
        <v>2319</v>
      </c>
      <c r="F300" s="2263">
        <v>903528</v>
      </c>
      <c r="G300" s="2264">
        <v>-145000</v>
      </c>
      <c r="H300" s="2263">
        <v>97522</v>
      </c>
      <c r="I300" s="2229">
        <f>+I294+I297+I298+I299</f>
        <v>932499</v>
      </c>
      <c r="J300" s="431"/>
      <c r="K300" s="288"/>
      <c r="L300" s="305"/>
      <c r="M300" s="305"/>
      <c r="N300" s="305"/>
      <c r="O300" s="305"/>
      <c r="P300" s="305"/>
      <c r="Q300" s="305"/>
      <c r="R300" s="305"/>
      <c r="S300" s="305"/>
      <c r="T300" s="305"/>
      <c r="U300" s="305"/>
    </row>
    <row r="301" spans="1:21" s="52" customFormat="1" ht="13.5" customHeight="1">
      <c r="A301" s="427"/>
      <c r="B301" s="2248"/>
      <c r="C301" s="2267"/>
      <c r="D301" s="2266"/>
      <c r="E301" s="2267"/>
      <c r="F301" s="2266"/>
      <c r="G301" s="2267"/>
      <c r="H301" s="2266"/>
      <c r="I301" s="2277"/>
      <c r="J301" s="431"/>
      <c r="K301" s="394"/>
      <c r="L301" s="305"/>
      <c r="M301" s="305"/>
      <c r="N301" s="305"/>
      <c r="O301" s="305"/>
      <c r="P301" s="305"/>
      <c r="Q301" s="305"/>
      <c r="R301" s="305"/>
      <c r="S301" s="305"/>
      <c r="T301" s="305"/>
      <c r="U301" s="305"/>
    </row>
    <row r="302" spans="1:21" s="52" customFormat="1" ht="13.5" customHeight="1">
      <c r="A302" s="427"/>
      <c r="B302" s="2248" t="s">
        <v>455</v>
      </c>
      <c r="C302" s="2254"/>
      <c r="D302" s="2255"/>
      <c r="E302" s="2254"/>
      <c r="F302" s="2255"/>
      <c r="G302" s="2254"/>
      <c r="H302" s="2255"/>
      <c r="I302" s="2277">
        <v>1208992</v>
      </c>
      <c r="J302" s="431"/>
      <c r="K302" s="394"/>
      <c r="L302" s="305"/>
      <c r="M302" s="305"/>
      <c r="N302" s="305"/>
      <c r="O302" s="305"/>
      <c r="P302" s="305"/>
      <c r="Q302" s="305"/>
      <c r="R302" s="305"/>
      <c r="S302" s="305"/>
      <c r="T302" s="305"/>
      <c r="U302" s="305"/>
    </row>
    <row r="303" spans="1:21" s="52" customFormat="1" ht="13.5" customHeight="1">
      <c r="A303" s="427"/>
      <c r="B303" s="2246" t="s">
        <v>456</v>
      </c>
      <c r="C303" s="2254"/>
      <c r="D303" s="2255"/>
      <c r="E303" s="2254"/>
      <c r="F303" s="2255"/>
      <c r="G303" s="2254"/>
      <c r="H303" s="2255"/>
      <c r="I303" s="2296">
        <v>246007</v>
      </c>
      <c r="J303" s="431"/>
      <c r="K303" s="394"/>
      <c r="L303" s="305"/>
      <c r="M303" s="305"/>
      <c r="N303" s="305"/>
      <c r="O303" s="305"/>
      <c r="P303" s="305"/>
      <c r="Q303" s="305"/>
      <c r="R303" s="305"/>
      <c r="S303" s="305"/>
      <c r="T303" s="305"/>
      <c r="U303" s="305"/>
    </row>
    <row r="304" spans="1:21" s="52" customFormat="1" ht="13.5" customHeight="1">
      <c r="A304" s="427"/>
      <c r="B304" s="2246" t="s">
        <v>472</v>
      </c>
      <c r="C304" s="2254"/>
      <c r="D304" s="2255"/>
      <c r="E304" s="2254"/>
      <c r="F304" s="2255"/>
      <c r="G304" s="2254"/>
      <c r="H304" s="2255"/>
      <c r="I304" s="1495">
        <v>672547</v>
      </c>
      <c r="J304" s="431"/>
      <c r="K304" s="394"/>
      <c r="L304" s="305"/>
      <c r="M304" s="305"/>
      <c r="N304" s="305"/>
      <c r="O304" s="305"/>
      <c r="P304" s="305"/>
      <c r="Q304" s="305"/>
      <c r="R304" s="305"/>
      <c r="S304" s="305"/>
      <c r="T304" s="305"/>
      <c r="U304" s="305"/>
    </row>
    <row r="305" spans="1:21" s="52" customFormat="1" ht="13.5" customHeight="1">
      <c r="A305" s="427"/>
      <c r="B305" s="2246" t="s">
        <v>458</v>
      </c>
      <c r="C305" s="2254"/>
      <c r="D305" s="2255"/>
      <c r="E305" s="2254"/>
      <c r="F305" s="2255"/>
      <c r="G305" s="2254"/>
      <c r="H305" s="2255"/>
      <c r="I305" s="1495">
        <v>284723</v>
      </c>
      <c r="J305" s="431"/>
      <c r="K305" s="394"/>
      <c r="L305" s="305"/>
      <c r="M305" s="305"/>
      <c r="N305" s="305"/>
      <c r="O305" s="305"/>
      <c r="P305" s="305"/>
      <c r="Q305" s="305"/>
      <c r="R305" s="305"/>
      <c r="S305" s="305"/>
      <c r="T305" s="305"/>
      <c r="U305" s="305"/>
    </row>
    <row r="306" spans="1:21" s="52" customFormat="1" ht="13.5" customHeight="1">
      <c r="A306" s="427"/>
      <c r="B306" s="2246" t="s">
        <v>459</v>
      </c>
      <c r="C306" s="2254"/>
      <c r="D306" s="2255"/>
      <c r="E306" s="2254"/>
      <c r="F306" s="2255"/>
      <c r="G306" s="2254"/>
      <c r="H306" s="2255"/>
      <c r="I306" s="1495">
        <v>2280</v>
      </c>
      <c r="J306" s="431"/>
      <c r="K306" s="394"/>
      <c r="L306" s="305"/>
      <c r="M306" s="305"/>
      <c r="N306" s="305"/>
      <c r="O306" s="305"/>
      <c r="P306" s="305"/>
      <c r="Q306" s="305"/>
      <c r="R306" s="305"/>
      <c r="S306" s="305"/>
      <c r="T306" s="305"/>
      <c r="U306" s="305"/>
    </row>
    <row r="307" spans="1:21" s="52" customFormat="1" ht="13.5" customHeight="1">
      <c r="A307" s="427"/>
      <c r="B307" s="2246" t="s">
        <v>460</v>
      </c>
      <c r="C307" s="2254"/>
      <c r="D307" s="2255"/>
      <c r="E307" s="2254"/>
      <c r="F307" s="2255"/>
      <c r="G307" s="2254"/>
      <c r="H307" s="2255"/>
      <c r="I307" s="1495">
        <v>3435</v>
      </c>
      <c r="J307" s="431"/>
      <c r="K307" s="394"/>
      <c r="L307" s="305"/>
      <c r="M307" s="305"/>
      <c r="N307" s="305"/>
      <c r="O307" s="305"/>
      <c r="P307" s="305"/>
      <c r="Q307" s="305"/>
      <c r="R307" s="305"/>
      <c r="S307" s="305"/>
      <c r="T307" s="305"/>
      <c r="U307" s="305"/>
    </row>
    <row r="308" spans="1:21" s="52" customFormat="1" ht="13.5" customHeight="1">
      <c r="A308" s="427"/>
      <c r="B308" s="2246"/>
      <c r="C308" s="2254"/>
      <c r="D308" s="2255"/>
      <c r="E308" s="2254"/>
      <c r="F308" s="2255"/>
      <c r="G308" s="2254"/>
      <c r="H308" s="2255"/>
      <c r="I308" s="2221"/>
      <c r="J308" s="431"/>
      <c r="K308" s="394"/>
      <c r="L308" s="305"/>
      <c r="M308" s="305"/>
      <c r="N308" s="305"/>
      <c r="O308" s="305"/>
      <c r="P308" s="305"/>
      <c r="Q308" s="305"/>
      <c r="R308" s="305"/>
      <c r="S308" s="305"/>
      <c r="T308" s="305"/>
      <c r="U308" s="305"/>
    </row>
    <row r="309" spans="1:21" s="52" customFormat="1" ht="13.5" customHeight="1">
      <c r="A309" s="427"/>
      <c r="B309" s="2248" t="s">
        <v>461</v>
      </c>
      <c r="C309" s="2254"/>
      <c r="D309" s="2255"/>
      <c r="E309" s="2254"/>
      <c r="F309" s="2255"/>
      <c r="G309" s="2254"/>
      <c r="H309" s="2255"/>
      <c r="I309" s="2221">
        <f>SUM(I310:I311)</f>
        <v>-1657506</v>
      </c>
      <c r="J309" s="431"/>
      <c r="K309" s="394"/>
      <c r="L309" s="305"/>
      <c r="M309" s="305"/>
      <c r="N309" s="305"/>
      <c r="O309" s="305"/>
      <c r="P309" s="305"/>
      <c r="Q309" s="305"/>
      <c r="R309" s="305"/>
      <c r="S309" s="305"/>
      <c r="T309" s="305"/>
      <c r="U309" s="305"/>
    </row>
    <row r="310" spans="1:21" s="52" customFormat="1" ht="27" customHeight="1">
      <c r="A310" s="427"/>
      <c r="B310" s="2246" t="s">
        <v>462</v>
      </c>
      <c r="C310" s="2254"/>
      <c r="D310" s="2255"/>
      <c r="E310" s="2254"/>
      <c r="F310" s="2255"/>
      <c r="G310" s="2254"/>
      <c r="H310" s="2255"/>
      <c r="I310" s="2298">
        <v>-1657506</v>
      </c>
      <c r="J310" s="431"/>
      <c r="K310" s="394"/>
      <c r="L310" s="305"/>
      <c r="M310" s="305"/>
      <c r="N310" s="305"/>
      <c r="O310" s="305"/>
      <c r="P310" s="305"/>
      <c r="Q310" s="305"/>
      <c r="R310" s="305"/>
      <c r="S310" s="305"/>
      <c r="T310" s="305"/>
      <c r="U310" s="305"/>
    </row>
    <row r="311" spans="1:21" s="52" customFormat="1" ht="27" customHeight="1">
      <c r="A311" s="427"/>
      <c r="B311" s="2246" t="s">
        <v>463</v>
      </c>
      <c r="C311" s="2254"/>
      <c r="D311" s="2255"/>
      <c r="E311" s="2254"/>
      <c r="F311" s="2255"/>
      <c r="G311" s="2254"/>
      <c r="H311" s="2255"/>
      <c r="I311" s="2221"/>
      <c r="J311" s="431"/>
      <c r="K311" s="394"/>
      <c r="L311" s="305"/>
      <c r="M311" s="305"/>
      <c r="N311" s="305"/>
      <c r="O311" s="305"/>
      <c r="P311" s="305"/>
      <c r="Q311" s="305"/>
      <c r="R311" s="305"/>
      <c r="S311" s="305"/>
      <c r="T311" s="305"/>
      <c r="U311" s="305"/>
    </row>
    <row r="312" spans="1:21" s="52" customFormat="1" ht="13.5" customHeight="1">
      <c r="A312" s="427"/>
      <c r="B312" s="2248" t="s">
        <v>464</v>
      </c>
      <c r="C312" s="2254"/>
      <c r="D312" s="2255"/>
      <c r="E312" s="2254"/>
      <c r="F312" s="2255"/>
      <c r="G312" s="2254"/>
      <c r="H312" s="2255"/>
      <c r="I312" s="2277">
        <f>+I300+I302+I309</f>
        <v>483985</v>
      </c>
      <c r="J312" s="431"/>
      <c r="K312" s="394"/>
      <c r="L312" s="305"/>
      <c r="M312" s="305"/>
      <c r="N312" s="305"/>
      <c r="O312" s="305"/>
      <c r="P312" s="305"/>
      <c r="Q312" s="305"/>
      <c r="R312" s="305"/>
      <c r="S312" s="305"/>
      <c r="T312" s="305"/>
      <c r="U312" s="305"/>
    </row>
    <row r="313" spans="1:21" s="52" customFormat="1" ht="13.5" customHeight="1">
      <c r="A313" s="427"/>
      <c r="B313" s="2246" t="s">
        <v>465</v>
      </c>
      <c r="C313" s="2254"/>
      <c r="D313" s="2255"/>
      <c r="E313" s="2254"/>
      <c r="F313" s="2255"/>
      <c r="G313" s="2254"/>
      <c r="H313" s="2255"/>
      <c r="I313" s="2296">
        <v>11772</v>
      </c>
      <c r="J313" s="431"/>
      <c r="K313" s="394"/>
      <c r="L313" s="305"/>
      <c r="M313" s="305"/>
      <c r="N313" s="305"/>
      <c r="O313" s="305"/>
      <c r="P313" s="305"/>
      <c r="Q313" s="305"/>
      <c r="R313" s="305"/>
      <c r="S313" s="305"/>
      <c r="T313" s="305"/>
      <c r="U313" s="305"/>
    </row>
    <row r="314" spans="1:21" s="52" customFormat="1" ht="13.5" customHeight="1">
      <c r="A314" s="427"/>
      <c r="B314" s="2256" t="s">
        <v>466</v>
      </c>
      <c r="C314" s="2254"/>
      <c r="D314" s="2255"/>
      <c r="E314" s="2254"/>
      <c r="F314" s="2255"/>
      <c r="G314" s="2254"/>
      <c r="H314" s="2255"/>
      <c r="I314" s="2277">
        <f>+I312+I313</f>
        <v>495757</v>
      </c>
      <c r="J314" s="431"/>
      <c r="K314" s="394"/>
      <c r="L314" s="305"/>
      <c r="M314" s="305"/>
      <c r="N314" s="305"/>
      <c r="O314" s="305"/>
      <c r="P314" s="305"/>
      <c r="Q314" s="305"/>
      <c r="R314" s="305"/>
      <c r="S314" s="305"/>
      <c r="T314" s="305"/>
      <c r="U314" s="305"/>
    </row>
    <row r="315" spans="1:21" s="52" customFormat="1" ht="13.5" customHeight="1">
      <c r="A315" s="427"/>
      <c r="B315" s="2257" t="s">
        <v>467</v>
      </c>
      <c r="C315" s="2254"/>
      <c r="D315" s="2255"/>
      <c r="E315" s="2254"/>
      <c r="F315" s="2255"/>
      <c r="G315" s="2254"/>
      <c r="H315" s="2255"/>
      <c r="I315" s="2279">
        <v>-45352</v>
      </c>
      <c r="J315" s="431"/>
      <c r="K315" s="394"/>
      <c r="L315" s="305"/>
      <c r="M315" s="305"/>
      <c r="N315" s="305"/>
      <c r="O315" s="305"/>
      <c r="P315" s="305"/>
      <c r="Q315" s="305"/>
      <c r="R315" s="305"/>
      <c r="S315" s="305"/>
      <c r="T315" s="305"/>
      <c r="U315" s="305"/>
    </row>
    <row r="316" spans="1:21" s="52" customFormat="1" ht="13.5" customHeight="1" thickBot="1">
      <c r="A316" s="427"/>
      <c r="B316" s="1479" t="s">
        <v>468</v>
      </c>
      <c r="C316" s="488"/>
      <c r="D316" s="1107"/>
      <c r="E316" s="488"/>
      <c r="F316" s="1107"/>
      <c r="G316" s="488"/>
      <c r="H316" s="1107"/>
      <c r="I316" s="1489">
        <f>+I314+I315</f>
        <v>450405</v>
      </c>
      <c r="J316" s="431"/>
      <c r="K316" s="394"/>
      <c r="L316" s="305"/>
      <c r="M316" s="305"/>
      <c r="N316" s="305"/>
      <c r="O316" s="305"/>
      <c r="P316" s="305"/>
      <c r="Q316" s="305"/>
      <c r="R316" s="305"/>
      <c r="S316" s="305"/>
      <c r="T316" s="305"/>
      <c r="U316" s="305"/>
    </row>
    <row r="317" spans="1:21" s="52" customFormat="1" ht="13.5" customHeight="1">
      <c r="A317" s="427"/>
      <c r="B317" s="391"/>
      <c r="C317" s="293"/>
      <c r="D317" s="293"/>
      <c r="E317" s="293"/>
      <c r="F317" s="293"/>
      <c r="G317" s="293"/>
      <c r="H317" s="293"/>
      <c r="I317" s="383"/>
      <c r="J317" s="431"/>
      <c r="K317" s="394"/>
      <c r="L317" s="305"/>
      <c r="M317" s="305"/>
      <c r="N317" s="305"/>
      <c r="O317" s="305"/>
      <c r="P317" s="305"/>
      <c r="Q317" s="305"/>
      <c r="R317" s="305"/>
      <c r="S317" s="305"/>
      <c r="T317" s="305"/>
      <c r="U317" s="305"/>
    </row>
    <row r="318" spans="1:21" s="52" customFormat="1" ht="13.5" customHeight="1">
      <c r="A318" s="427"/>
      <c r="B318" s="391"/>
      <c r="C318" s="293"/>
      <c r="D318" s="293"/>
      <c r="E318" s="293"/>
      <c r="F318" s="293"/>
      <c r="G318" s="293"/>
      <c r="H318" s="293"/>
      <c r="I318" s="383"/>
      <c r="J318" s="431"/>
      <c r="K318" s="394">
        <v>118</v>
      </c>
      <c r="L318" s="305"/>
      <c r="M318" s="305"/>
      <c r="N318" s="305"/>
      <c r="O318" s="305"/>
      <c r="P318" s="305"/>
      <c r="Q318" s="305"/>
      <c r="R318" s="305"/>
      <c r="S318" s="305"/>
      <c r="T318" s="305"/>
      <c r="U318" s="305"/>
    </row>
    <row r="319" spans="1:21" s="52" customFormat="1" ht="13.5" customHeight="1">
      <c r="A319" s="427"/>
      <c r="B319" s="455"/>
      <c r="C319" s="433"/>
      <c r="D319" s="433"/>
      <c r="E319" s="433"/>
      <c r="F319" s="433"/>
      <c r="G319" s="433"/>
      <c r="H319" s="433"/>
      <c r="I319" s="433"/>
      <c r="J319" s="431"/>
      <c r="K319" s="394"/>
      <c r="L319" s="305"/>
      <c r="M319" s="305"/>
      <c r="N319" s="305"/>
      <c r="O319" s="305"/>
      <c r="P319" s="305"/>
      <c r="Q319" s="305"/>
      <c r="R319" s="305"/>
      <c r="S319" s="305"/>
      <c r="T319" s="305"/>
      <c r="U319" s="305"/>
    </row>
    <row r="320" spans="1:21" s="52" customFormat="1" ht="13.5" customHeight="1">
      <c r="A320" s="427"/>
      <c r="B320" s="295" t="s">
        <v>470</v>
      </c>
      <c r="C320" s="295"/>
      <c r="D320" s="295"/>
      <c r="E320" s="433"/>
      <c r="F320" s="433"/>
      <c r="G320" s="433"/>
      <c r="H320" s="433"/>
      <c r="I320" s="433"/>
      <c r="J320" s="431"/>
      <c r="K320" s="394"/>
      <c r="L320" s="305"/>
      <c r="M320" s="305"/>
      <c r="N320" s="305"/>
      <c r="O320" s="305"/>
      <c r="P320" s="305"/>
      <c r="Q320" s="305"/>
      <c r="R320" s="305"/>
      <c r="S320" s="305"/>
      <c r="T320" s="305"/>
      <c r="U320" s="305"/>
    </row>
    <row r="321" spans="1:21" s="52" customFormat="1" ht="13.5" customHeight="1" thickBot="1">
      <c r="A321" s="427"/>
      <c r="B321" s="295"/>
      <c r="C321" s="295"/>
      <c r="D321" s="295"/>
      <c r="E321" s="433"/>
      <c r="F321" s="433"/>
      <c r="G321" s="433"/>
      <c r="H321" s="433"/>
      <c r="I321" s="433"/>
      <c r="J321" s="431"/>
      <c r="K321" s="394"/>
      <c r="L321" s="305"/>
      <c r="M321" s="305"/>
      <c r="N321" s="305"/>
      <c r="O321" s="305"/>
      <c r="P321" s="305"/>
      <c r="Q321" s="305"/>
      <c r="R321" s="305"/>
      <c r="S321" s="305"/>
      <c r="T321" s="305"/>
      <c r="U321" s="305"/>
    </row>
    <row r="322" spans="1:21" ht="13.5" customHeight="1">
      <c r="B322" s="1481" t="s">
        <v>108</v>
      </c>
      <c r="I322" s="532" t="s">
        <v>238</v>
      </c>
      <c r="J322" s="553"/>
      <c r="L322" s="305"/>
      <c r="M322" s="305"/>
      <c r="N322" s="305"/>
      <c r="O322" s="305"/>
      <c r="P322" s="305"/>
      <c r="Q322" s="305"/>
      <c r="R322" s="305"/>
      <c r="S322" s="305"/>
      <c r="T322" s="305"/>
      <c r="U322" s="305"/>
    </row>
    <row r="323" spans="1:21" s="52" customFormat="1" ht="13.5" customHeight="1">
      <c r="A323" s="414"/>
      <c r="B323" s="3283"/>
      <c r="C323" s="3359">
        <v>2022</v>
      </c>
      <c r="D323" s="3360"/>
      <c r="E323" s="3360"/>
      <c r="F323" s="3360"/>
      <c r="G323" s="3360"/>
      <c r="H323" s="3360"/>
      <c r="I323" s="3361"/>
      <c r="J323" s="434"/>
      <c r="K323" s="394"/>
      <c r="L323" s="305"/>
      <c r="M323" s="305"/>
      <c r="N323" s="305"/>
      <c r="O323" s="305"/>
      <c r="P323" s="305"/>
      <c r="Q323" s="305"/>
      <c r="R323" s="305"/>
      <c r="S323" s="305"/>
      <c r="T323" s="305"/>
      <c r="U323" s="305"/>
    </row>
    <row r="324" spans="1:21" s="52" customFormat="1" ht="13.5" customHeight="1">
      <c r="A324" s="415"/>
      <c r="B324" s="3352"/>
      <c r="C324" s="3362" t="s">
        <v>436</v>
      </c>
      <c r="D324" s="3388" t="s">
        <v>437</v>
      </c>
      <c r="E324" s="3359" t="s">
        <v>438</v>
      </c>
      <c r="F324" s="3361"/>
      <c r="G324" s="3364" t="s">
        <v>439</v>
      </c>
      <c r="H324" s="3369" t="s">
        <v>440</v>
      </c>
      <c r="I324" s="3362" t="s">
        <v>118</v>
      </c>
      <c r="J324" s="454"/>
      <c r="K324" s="3358"/>
      <c r="L324" s="305"/>
      <c r="M324" s="305"/>
      <c r="N324" s="305"/>
      <c r="O324" s="305"/>
      <c r="P324" s="305"/>
      <c r="Q324" s="305"/>
      <c r="R324" s="305"/>
      <c r="S324" s="305"/>
      <c r="T324" s="305"/>
      <c r="U324" s="305"/>
    </row>
    <row r="325" spans="1:21" s="52" customFormat="1" ht="13.5" customHeight="1" thickBot="1">
      <c r="A325" s="415"/>
      <c r="B325" s="3297"/>
      <c r="C325" s="3363"/>
      <c r="D325" s="3389"/>
      <c r="E325" s="1461" t="s">
        <v>442</v>
      </c>
      <c r="F325" s="1445" t="s">
        <v>443</v>
      </c>
      <c r="G325" s="3365"/>
      <c r="H325" s="3370"/>
      <c r="I325" s="3363"/>
      <c r="J325" s="454"/>
      <c r="K325" s="3358"/>
      <c r="L325" s="305"/>
      <c r="M325" s="305"/>
      <c r="N325" s="305"/>
      <c r="O325" s="305"/>
      <c r="P325" s="305"/>
      <c r="Q325" s="305"/>
      <c r="R325" s="305"/>
      <c r="S325" s="305"/>
      <c r="T325" s="305"/>
      <c r="U325" s="305"/>
    </row>
    <row r="326" spans="1:21" s="52" customFormat="1" ht="13.5" customHeight="1">
      <c r="A326" s="427"/>
      <c r="B326" s="1486" t="s">
        <v>342</v>
      </c>
      <c r="C326" s="2299">
        <v>1632839</v>
      </c>
      <c r="D326" s="2300">
        <v>76326</v>
      </c>
      <c r="E326" s="811">
        <v>47489</v>
      </c>
      <c r="F326" s="2300">
        <v>6553698.6100000003</v>
      </c>
      <c r="G326" s="2299"/>
      <c r="H326" s="2300">
        <v>280301</v>
      </c>
      <c r="I326" s="2221">
        <f>SUM(C326:H326)</f>
        <v>8590653.6099999994</v>
      </c>
      <c r="J326" s="410"/>
      <c r="K326" s="286"/>
      <c r="L326" s="305"/>
      <c r="M326" s="305"/>
      <c r="N326" s="305"/>
      <c r="O326" s="305"/>
      <c r="P326" s="305"/>
      <c r="Q326" s="305"/>
      <c r="R326" s="305"/>
      <c r="S326" s="305"/>
      <c r="T326" s="305"/>
      <c r="U326" s="305"/>
    </row>
    <row r="327" spans="1:21" s="52" customFormat="1" ht="13.5" customHeight="1">
      <c r="A327" s="427"/>
      <c r="B327" s="2246" t="s">
        <v>444</v>
      </c>
      <c r="C327" s="513">
        <v>-33899</v>
      </c>
      <c r="D327" s="798">
        <v>-5251</v>
      </c>
      <c r="E327" s="513"/>
      <c r="F327" s="798">
        <v>-1678</v>
      </c>
      <c r="G327" s="513"/>
      <c r="H327" s="798">
        <v>-396</v>
      </c>
      <c r="I327" s="2221">
        <f>SUM(C327:H327)</f>
        <v>-41224</v>
      </c>
      <c r="J327" s="410"/>
      <c r="K327" s="286"/>
      <c r="L327" s="305"/>
      <c r="M327" s="305"/>
      <c r="N327" s="305"/>
      <c r="O327" s="305"/>
      <c r="P327" s="305"/>
      <c r="Q327" s="305"/>
      <c r="R327" s="305"/>
      <c r="S327" s="305"/>
      <c r="T327" s="305"/>
      <c r="U327" s="305"/>
    </row>
    <row r="328" spans="1:21" s="52" customFormat="1" ht="13.5" customHeight="1">
      <c r="A328" s="427"/>
      <c r="B328" s="2246" t="s">
        <v>471</v>
      </c>
      <c r="C328" s="513">
        <v>-642108</v>
      </c>
      <c r="D328" s="798">
        <v>-1791</v>
      </c>
      <c r="E328" s="513"/>
      <c r="F328" s="798">
        <v>-164984</v>
      </c>
      <c r="G328" s="513"/>
      <c r="H328" s="798">
        <v>-56239</v>
      </c>
      <c r="I328" s="2221">
        <f>SUM(C328:H328)</f>
        <v>-865122</v>
      </c>
      <c r="J328" s="410"/>
      <c r="K328" s="286"/>
      <c r="L328" s="305"/>
      <c r="M328" s="305"/>
      <c r="N328" s="305"/>
      <c r="O328" s="305"/>
      <c r="P328" s="305"/>
      <c r="Q328" s="305"/>
      <c r="R328" s="305"/>
      <c r="S328" s="305"/>
      <c r="T328" s="305"/>
      <c r="U328" s="305"/>
    </row>
    <row r="329" spans="1:21" s="52" customFormat="1" ht="13.5" customHeight="1">
      <c r="A329" s="427"/>
      <c r="B329" s="2246" t="s">
        <v>446</v>
      </c>
      <c r="C329" s="804">
        <v>-337296</v>
      </c>
      <c r="D329" s="805">
        <v>-46151</v>
      </c>
      <c r="E329" s="804"/>
      <c r="F329" s="805">
        <v>-96540</v>
      </c>
      <c r="G329" s="804"/>
      <c r="H329" s="805">
        <v>-48693</v>
      </c>
      <c r="I329" s="2221">
        <f>SUM(C329:H329)</f>
        <v>-528680</v>
      </c>
      <c r="J329" s="410"/>
      <c r="K329" s="394"/>
      <c r="L329" s="305"/>
      <c r="M329" s="305"/>
      <c r="N329" s="305"/>
      <c r="O329" s="305"/>
      <c r="P329" s="305"/>
      <c r="Q329" s="305"/>
      <c r="R329" s="305"/>
      <c r="S329" s="305"/>
      <c r="T329" s="305"/>
      <c r="U329" s="305"/>
    </row>
    <row r="330" spans="1:21" s="236" customFormat="1" ht="13.5" customHeight="1">
      <c r="A330" s="428"/>
      <c r="B330" s="2248" t="s">
        <v>447</v>
      </c>
      <c r="C330" s="2264">
        <v>619536</v>
      </c>
      <c r="D330" s="2263">
        <v>23133</v>
      </c>
      <c r="E330" s="2264">
        <v>47489</v>
      </c>
      <c r="F330" s="2263">
        <v>6290496</v>
      </c>
      <c r="G330" s="2264"/>
      <c r="H330" s="2263">
        <v>174973</v>
      </c>
      <c r="I330" s="2229">
        <f>SUM(I326:I329)</f>
        <v>7155627.6099999994</v>
      </c>
      <c r="J330" s="459"/>
      <c r="K330" s="463"/>
      <c r="L330" s="305"/>
      <c r="M330" s="305"/>
      <c r="N330" s="305"/>
      <c r="O330" s="305"/>
      <c r="P330" s="305"/>
      <c r="Q330" s="305"/>
      <c r="R330" s="305"/>
      <c r="S330" s="305"/>
      <c r="T330" s="305"/>
      <c r="U330" s="305"/>
    </row>
    <row r="331" spans="1:21" s="52" customFormat="1" ht="13.5" customHeight="1">
      <c r="A331" s="427"/>
      <c r="B331" s="2246" t="s">
        <v>448</v>
      </c>
      <c r="C331" s="2275">
        <v>-49694</v>
      </c>
      <c r="D331" s="2274">
        <v>-2140</v>
      </c>
      <c r="E331" s="2275">
        <v>13134</v>
      </c>
      <c r="F331" s="2274">
        <v>-424028</v>
      </c>
      <c r="G331" s="2275"/>
      <c r="H331" s="2274">
        <v>-69092</v>
      </c>
      <c r="I331" s="2221">
        <f>SUM(C331:H331)</f>
        <v>-531820</v>
      </c>
      <c r="J331" s="410"/>
      <c r="K331" s="394"/>
      <c r="L331" s="305"/>
      <c r="M331" s="305"/>
      <c r="N331" s="305"/>
      <c r="O331" s="305"/>
      <c r="P331" s="305"/>
      <c r="Q331" s="305"/>
      <c r="R331" s="305"/>
      <c r="S331" s="305"/>
      <c r="T331" s="305"/>
      <c r="U331" s="305"/>
    </row>
    <row r="332" spans="1:21" s="236" customFormat="1" ht="13.5" customHeight="1">
      <c r="A332" s="428"/>
      <c r="B332" s="2248" t="s">
        <v>449</v>
      </c>
      <c r="C332" s="2264">
        <v>569841</v>
      </c>
      <c r="D332" s="2263">
        <v>20993</v>
      </c>
      <c r="E332" s="2264">
        <v>60623</v>
      </c>
      <c r="F332" s="2263">
        <v>5866468</v>
      </c>
      <c r="G332" s="2264"/>
      <c r="H332" s="2263">
        <v>105881</v>
      </c>
      <c r="I332" s="2229">
        <f>SUM(I330:I331)</f>
        <v>6623807.6099999994</v>
      </c>
      <c r="J332" s="459"/>
      <c r="K332" s="463"/>
      <c r="L332" s="305"/>
      <c r="M332" s="305"/>
      <c r="N332" s="305"/>
      <c r="O332" s="305"/>
      <c r="P332" s="305"/>
      <c r="Q332" s="305"/>
      <c r="R332" s="305"/>
      <c r="S332" s="305"/>
      <c r="T332" s="305"/>
      <c r="U332" s="305"/>
    </row>
    <row r="333" spans="1:21" s="52" customFormat="1" ht="13.5" customHeight="1">
      <c r="A333" s="427"/>
      <c r="B333" s="2246"/>
      <c r="C333" s="2267"/>
      <c r="D333" s="2266"/>
      <c r="E333" s="2267"/>
      <c r="F333" s="2266"/>
      <c r="G333" s="2267"/>
      <c r="H333" s="2266"/>
      <c r="I333" s="2221">
        <v>0</v>
      </c>
      <c r="J333" s="410"/>
      <c r="K333" s="394"/>
      <c r="L333" s="305"/>
      <c r="M333" s="305"/>
      <c r="N333" s="305"/>
      <c r="O333" s="305"/>
      <c r="P333" s="305"/>
      <c r="Q333" s="305"/>
      <c r="R333" s="305"/>
      <c r="S333" s="305"/>
      <c r="T333" s="305"/>
      <c r="U333" s="305"/>
    </row>
    <row r="334" spans="1:21" s="52" customFormat="1" ht="13.5" customHeight="1">
      <c r="A334" s="427"/>
      <c r="B334" s="2248" t="s">
        <v>450</v>
      </c>
      <c r="C334" s="2269"/>
      <c r="D334" s="2268"/>
      <c r="E334" s="2269"/>
      <c r="F334" s="2268"/>
      <c r="G334" s="2269"/>
      <c r="H334" s="2268"/>
      <c r="I334" s="2221">
        <f>SUM(C334:H334)</f>
        <v>0</v>
      </c>
      <c r="J334" s="410"/>
      <c r="K334" s="415"/>
      <c r="L334" s="305"/>
      <c r="M334" s="305"/>
      <c r="N334" s="305"/>
      <c r="O334" s="305"/>
      <c r="P334" s="305"/>
      <c r="Q334" s="305"/>
      <c r="R334" s="305"/>
      <c r="S334" s="305"/>
      <c r="T334" s="305"/>
      <c r="U334" s="305"/>
    </row>
    <row r="335" spans="1:21" s="52" customFormat="1" ht="29.25" customHeight="1">
      <c r="A335" s="427"/>
      <c r="B335" s="2246" t="s">
        <v>451</v>
      </c>
      <c r="C335" s="2301">
        <v>-268517</v>
      </c>
      <c r="D335" s="2302">
        <v>-11267</v>
      </c>
      <c r="E335" s="2301">
        <v>-139417</v>
      </c>
      <c r="F335" s="2302">
        <v>-3196140</v>
      </c>
      <c r="G335" s="2301"/>
      <c r="H335" s="2302">
        <v>-32532</v>
      </c>
      <c r="I335" s="2221">
        <f>SUM(C335:H335)</f>
        <v>-3647873</v>
      </c>
      <c r="J335" s="410"/>
      <c r="K335" s="394"/>
      <c r="L335" s="305"/>
      <c r="M335" s="305"/>
      <c r="N335" s="305"/>
      <c r="O335" s="305"/>
      <c r="P335" s="305"/>
      <c r="Q335" s="305"/>
      <c r="R335" s="305"/>
      <c r="S335" s="305"/>
      <c r="T335" s="305"/>
      <c r="U335" s="305"/>
    </row>
    <row r="336" spans="1:21" s="52" customFormat="1" ht="29.25" customHeight="1">
      <c r="A336" s="427"/>
      <c r="B336" s="2246" t="s">
        <v>452</v>
      </c>
      <c r="C336" s="513">
        <v>128680</v>
      </c>
      <c r="D336" s="798">
        <v>6953</v>
      </c>
      <c r="E336" s="804">
        <v>-24</v>
      </c>
      <c r="F336" s="798">
        <v>-180660</v>
      </c>
      <c r="G336" s="804"/>
      <c r="H336" s="798">
        <v>3000</v>
      </c>
      <c r="I336" s="2221">
        <f>SUM(C336:H336)</f>
        <v>-42051</v>
      </c>
      <c r="J336" s="410"/>
      <c r="K336" s="394"/>
      <c r="L336" s="305"/>
      <c r="M336" s="305"/>
      <c r="N336" s="305"/>
      <c r="O336" s="305"/>
      <c r="P336" s="305"/>
      <c r="Q336" s="305"/>
      <c r="R336" s="305"/>
      <c r="S336" s="305"/>
      <c r="T336" s="305"/>
      <c r="U336" s="305"/>
    </row>
    <row r="337" spans="1:21" s="52" customFormat="1" ht="24" customHeight="1">
      <c r="A337" s="427"/>
      <c r="B337" s="2246" t="s">
        <v>453</v>
      </c>
      <c r="C337" s="2269"/>
      <c r="D337" s="2268"/>
      <c r="E337" s="2269"/>
      <c r="F337" s="2268"/>
      <c r="G337" s="2269"/>
      <c r="H337" s="2268"/>
      <c r="I337" s="2221">
        <f>SUM(C337:H337)</f>
        <v>0</v>
      </c>
      <c r="J337" s="410"/>
      <c r="K337" s="394"/>
      <c r="L337" s="305"/>
      <c r="M337" s="305"/>
      <c r="N337" s="305"/>
      <c r="O337" s="305"/>
      <c r="P337" s="305"/>
      <c r="Q337" s="305"/>
      <c r="R337" s="305"/>
      <c r="S337" s="305"/>
      <c r="T337" s="305"/>
      <c r="U337" s="305"/>
    </row>
    <row r="338" spans="1:21" s="52" customFormat="1" ht="15.75" customHeight="1">
      <c r="A338" s="427"/>
      <c r="B338" s="2252" t="s">
        <v>454</v>
      </c>
      <c r="C338" s="2264">
        <v>430004</v>
      </c>
      <c r="D338" s="2263">
        <v>16679</v>
      </c>
      <c r="E338" s="2264">
        <v>-78818</v>
      </c>
      <c r="F338" s="2263">
        <v>2489668</v>
      </c>
      <c r="G338" s="2264">
        <v>0</v>
      </c>
      <c r="H338" s="2263">
        <v>76349</v>
      </c>
      <c r="I338" s="2229">
        <f>+I332+I335+I336+I337</f>
        <v>2933883.6099999994</v>
      </c>
      <c r="J338" s="410"/>
      <c r="K338" s="288"/>
      <c r="L338" s="305"/>
      <c r="M338" s="305"/>
      <c r="N338" s="305"/>
      <c r="O338" s="305"/>
      <c r="P338" s="305"/>
      <c r="Q338" s="305"/>
      <c r="R338" s="305"/>
      <c r="S338" s="305"/>
      <c r="T338" s="305"/>
      <c r="U338" s="305"/>
    </row>
    <row r="339" spans="1:21" s="52" customFormat="1" ht="13.5" customHeight="1">
      <c r="A339" s="427"/>
      <c r="B339" s="2253"/>
      <c r="C339" s="2267"/>
      <c r="D339" s="2266"/>
      <c r="E339" s="2267"/>
      <c r="F339" s="2266"/>
      <c r="G339" s="2267"/>
      <c r="H339" s="2266"/>
      <c r="I339" s="2277"/>
      <c r="J339" s="410"/>
      <c r="K339" s="394"/>
      <c r="L339" s="305"/>
      <c r="M339" s="305"/>
      <c r="N339" s="305"/>
      <c r="O339" s="305"/>
      <c r="P339" s="305"/>
      <c r="Q339" s="305"/>
      <c r="R339" s="305"/>
      <c r="S339" s="305"/>
      <c r="T339" s="305"/>
      <c r="U339" s="305"/>
    </row>
    <row r="340" spans="1:21" s="52" customFormat="1" ht="13.5" customHeight="1">
      <c r="A340" s="427"/>
      <c r="B340" s="2248" t="s">
        <v>455</v>
      </c>
      <c r="C340" s="2254"/>
      <c r="D340" s="2255"/>
      <c r="E340" s="2254"/>
      <c r="F340" s="2255"/>
      <c r="G340" s="2254"/>
      <c r="H340" s="2255"/>
      <c r="I340" s="2277">
        <v>1477018</v>
      </c>
      <c r="J340" s="410"/>
      <c r="K340" s="394"/>
      <c r="L340" s="305"/>
      <c r="M340" s="305"/>
      <c r="N340" s="305"/>
      <c r="O340" s="305"/>
      <c r="P340" s="305"/>
      <c r="Q340" s="305"/>
      <c r="R340" s="305"/>
      <c r="S340" s="305"/>
      <c r="T340" s="305"/>
      <c r="U340" s="305"/>
    </row>
    <row r="341" spans="1:21" s="52" customFormat="1" ht="13.5" customHeight="1">
      <c r="A341" s="427"/>
      <c r="B341" s="2246" t="s">
        <v>456</v>
      </c>
      <c r="C341" s="2254"/>
      <c r="D341" s="2255"/>
      <c r="E341" s="2254"/>
      <c r="F341" s="2255"/>
      <c r="G341" s="2254"/>
      <c r="H341" s="2255"/>
      <c r="I341" s="2296">
        <v>167145</v>
      </c>
      <c r="J341" s="410"/>
      <c r="K341" s="394"/>
      <c r="L341" s="305"/>
      <c r="M341" s="305"/>
      <c r="N341" s="305"/>
      <c r="O341" s="305"/>
      <c r="P341" s="305"/>
      <c r="Q341" s="305"/>
      <c r="R341" s="305"/>
      <c r="S341" s="305"/>
      <c r="T341" s="305"/>
      <c r="U341" s="305"/>
    </row>
    <row r="342" spans="1:21" s="52" customFormat="1" ht="13.5" customHeight="1">
      <c r="A342" s="427"/>
      <c r="B342" s="2246" t="s">
        <v>472</v>
      </c>
      <c r="C342" s="2254"/>
      <c r="D342" s="2255"/>
      <c r="E342" s="2254"/>
      <c r="F342" s="2255"/>
      <c r="G342" s="2254"/>
      <c r="H342" s="2255"/>
      <c r="I342" s="1496">
        <v>1251584</v>
      </c>
      <c r="J342" s="410"/>
      <c r="K342" s="394"/>
      <c r="L342" s="305"/>
      <c r="M342" s="305"/>
      <c r="N342" s="305"/>
      <c r="O342" s="305"/>
      <c r="P342" s="305"/>
      <c r="Q342" s="305"/>
      <c r="R342" s="305"/>
      <c r="S342" s="305"/>
      <c r="T342" s="305"/>
      <c r="U342" s="305"/>
    </row>
    <row r="343" spans="1:21" s="52" customFormat="1" ht="13.5" customHeight="1">
      <c r="A343" s="427"/>
      <c r="B343" s="2246" t="s">
        <v>458</v>
      </c>
      <c r="C343" s="2254"/>
      <c r="D343" s="2255"/>
      <c r="E343" s="2254"/>
      <c r="F343" s="2255"/>
      <c r="G343" s="2254"/>
      <c r="H343" s="2255"/>
      <c r="I343" s="1495">
        <v>142769</v>
      </c>
      <c r="J343" s="410"/>
      <c r="K343" s="394"/>
      <c r="L343" s="305"/>
      <c r="M343" s="305"/>
      <c r="N343" s="305"/>
      <c r="O343" s="305"/>
      <c r="P343" s="305"/>
      <c r="Q343" s="305"/>
      <c r="R343" s="305"/>
      <c r="S343" s="305"/>
      <c r="T343" s="305"/>
      <c r="U343" s="305"/>
    </row>
    <row r="344" spans="1:21" s="52" customFormat="1" ht="13.5" customHeight="1">
      <c r="A344" s="427"/>
      <c r="B344" s="2246" t="s">
        <v>459</v>
      </c>
      <c r="C344" s="2254"/>
      <c r="D344" s="2255"/>
      <c r="E344" s="2254"/>
      <c r="F344" s="2255"/>
      <c r="G344" s="2254"/>
      <c r="H344" s="2255"/>
      <c r="I344" s="1495">
        <v>-93502</v>
      </c>
      <c r="J344" s="410"/>
      <c r="K344" s="394"/>
      <c r="L344" s="305"/>
      <c r="M344" s="305"/>
      <c r="N344" s="305"/>
      <c r="O344" s="305"/>
      <c r="P344" s="305"/>
      <c r="Q344" s="305"/>
      <c r="R344" s="305"/>
      <c r="S344" s="305"/>
      <c r="T344" s="305"/>
      <c r="U344" s="305"/>
    </row>
    <row r="345" spans="1:21" s="52" customFormat="1" ht="13.5" customHeight="1">
      <c r="A345" s="427"/>
      <c r="B345" s="2246" t="s">
        <v>460</v>
      </c>
      <c r="C345" s="2254"/>
      <c r="D345" s="2255"/>
      <c r="E345" s="2254"/>
      <c r="F345" s="2255"/>
      <c r="G345" s="2254"/>
      <c r="H345" s="2255"/>
      <c r="I345" s="1495">
        <v>9022</v>
      </c>
      <c r="J345" s="410"/>
      <c r="K345" s="394"/>
      <c r="L345" s="305"/>
      <c r="M345" s="305"/>
      <c r="N345" s="305"/>
      <c r="O345" s="305"/>
      <c r="P345" s="305"/>
      <c r="Q345" s="305"/>
      <c r="R345" s="305"/>
      <c r="S345" s="305"/>
      <c r="T345" s="305"/>
      <c r="U345" s="305"/>
    </row>
    <row r="346" spans="1:21" s="52" customFormat="1" ht="13.5" customHeight="1">
      <c r="A346" s="427"/>
      <c r="B346" s="2246"/>
      <c r="C346" s="2254"/>
      <c r="D346" s="2255"/>
      <c r="E346" s="2254"/>
      <c r="F346" s="2255"/>
      <c r="G346" s="2254"/>
      <c r="H346" s="2255"/>
      <c r="I346" s="2221"/>
      <c r="J346" s="410"/>
      <c r="K346" s="394"/>
      <c r="L346" s="305"/>
      <c r="M346" s="305"/>
      <c r="N346" s="305"/>
      <c r="O346" s="305"/>
      <c r="P346" s="305"/>
      <c r="Q346" s="305"/>
      <c r="R346" s="305"/>
      <c r="S346" s="305"/>
      <c r="T346" s="305"/>
      <c r="U346" s="305"/>
    </row>
    <row r="347" spans="1:21" s="52" customFormat="1" ht="13.5" customHeight="1">
      <c r="A347" s="427"/>
      <c r="B347" s="2248" t="s">
        <v>461</v>
      </c>
      <c r="C347" s="2254"/>
      <c r="D347" s="2255"/>
      <c r="E347" s="2254"/>
      <c r="F347" s="2255"/>
      <c r="G347" s="2254"/>
      <c r="H347" s="2255"/>
      <c r="I347" s="2296">
        <v>-2627447</v>
      </c>
      <c r="J347" s="410"/>
      <c r="K347" s="394"/>
      <c r="L347" s="305"/>
      <c r="M347" s="305"/>
      <c r="N347" s="305"/>
      <c r="O347" s="305"/>
      <c r="P347" s="305"/>
      <c r="Q347" s="305"/>
      <c r="R347" s="305"/>
      <c r="S347" s="305"/>
      <c r="T347" s="305"/>
      <c r="U347" s="305"/>
    </row>
    <row r="348" spans="1:21" s="52" customFormat="1" ht="27.75" customHeight="1">
      <c r="A348" s="427"/>
      <c r="B348" s="2246" t="s">
        <v>462</v>
      </c>
      <c r="C348" s="2254"/>
      <c r="D348" s="2255"/>
      <c r="E348" s="2254"/>
      <c r="F348" s="2255"/>
      <c r="G348" s="2254"/>
      <c r="H348" s="2255"/>
      <c r="I348" s="2296">
        <v>-2627447</v>
      </c>
      <c r="J348" s="410"/>
      <c r="K348" s="394"/>
      <c r="L348" s="305"/>
      <c r="M348" s="305"/>
      <c r="N348" s="305"/>
      <c r="O348" s="305"/>
      <c r="P348" s="305"/>
      <c r="Q348" s="305"/>
      <c r="R348" s="305"/>
      <c r="S348" s="305"/>
      <c r="T348" s="305"/>
      <c r="U348" s="305"/>
    </row>
    <row r="349" spans="1:21" s="52" customFormat="1" ht="28.5" customHeight="1">
      <c r="A349" s="427"/>
      <c r="B349" s="2246" t="s">
        <v>463</v>
      </c>
      <c r="C349" s="2254"/>
      <c r="D349" s="2255"/>
      <c r="E349" s="2254"/>
      <c r="F349" s="2255"/>
      <c r="G349" s="2254"/>
      <c r="H349" s="2255"/>
      <c r="I349" s="2221"/>
      <c r="J349" s="410"/>
      <c r="K349" s="394"/>
      <c r="L349" s="305"/>
      <c r="M349" s="305"/>
      <c r="N349" s="305"/>
      <c r="O349" s="305"/>
      <c r="P349" s="305"/>
      <c r="Q349" s="305"/>
      <c r="R349" s="305"/>
      <c r="S349" s="305"/>
      <c r="T349" s="305"/>
      <c r="U349" s="305"/>
    </row>
    <row r="350" spans="1:21" s="52" customFormat="1" ht="13.5" customHeight="1">
      <c r="A350" s="427"/>
      <c r="B350" s="2248" t="s">
        <v>464</v>
      </c>
      <c r="C350" s="2254"/>
      <c r="D350" s="2255"/>
      <c r="E350" s="2254"/>
      <c r="F350" s="2255"/>
      <c r="G350" s="2254"/>
      <c r="H350" s="2255"/>
      <c r="I350" s="2277">
        <v>1783453</v>
      </c>
      <c r="J350" s="410"/>
      <c r="K350" s="394"/>
      <c r="L350" s="305"/>
      <c r="M350" s="305"/>
      <c r="N350" s="305"/>
      <c r="O350" s="305"/>
      <c r="P350" s="305"/>
      <c r="Q350" s="305"/>
      <c r="R350" s="305"/>
      <c r="S350" s="305"/>
      <c r="T350" s="305"/>
      <c r="U350" s="305"/>
    </row>
    <row r="351" spans="1:21" s="52" customFormat="1" ht="13.5" customHeight="1">
      <c r="A351" s="427"/>
      <c r="B351" s="2246" t="s">
        <v>465</v>
      </c>
      <c r="C351" s="2254"/>
      <c r="D351" s="2255"/>
      <c r="E351" s="2254"/>
      <c r="F351" s="2255"/>
      <c r="G351" s="2254"/>
      <c r="H351" s="2255"/>
      <c r="I351" s="2296">
        <v>-43532</v>
      </c>
      <c r="J351" s="410"/>
      <c r="K351" s="394"/>
      <c r="L351" s="305"/>
      <c r="M351" s="305"/>
      <c r="N351" s="305"/>
      <c r="O351" s="305"/>
      <c r="P351" s="305"/>
      <c r="Q351" s="305"/>
      <c r="R351" s="305"/>
      <c r="S351" s="305"/>
      <c r="T351" s="305"/>
      <c r="U351" s="305"/>
    </row>
    <row r="352" spans="1:21" s="52" customFormat="1" ht="13.5" customHeight="1">
      <c r="A352" s="427"/>
      <c r="B352" s="2256" t="s">
        <v>466</v>
      </c>
      <c r="C352" s="2254"/>
      <c r="D352" s="2255"/>
      <c r="E352" s="2254"/>
      <c r="F352" s="2255"/>
      <c r="G352" s="2254"/>
      <c r="H352" s="2255"/>
      <c r="I352" s="2277">
        <v>1739921</v>
      </c>
      <c r="J352" s="410"/>
      <c r="K352" s="394"/>
      <c r="L352" s="305"/>
      <c r="M352" s="305"/>
      <c r="N352" s="305"/>
      <c r="O352" s="305"/>
      <c r="P352" s="305"/>
      <c r="Q352" s="305"/>
      <c r="R352" s="305"/>
      <c r="S352" s="305"/>
      <c r="T352" s="305"/>
      <c r="U352" s="305"/>
    </row>
    <row r="353" spans="1:21" s="52" customFormat="1" ht="13.5" customHeight="1">
      <c r="A353" s="427"/>
      <c r="B353" s="2257" t="s">
        <v>467</v>
      </c>
      <c r="C353" s="2254"/>
      <c r="D353" s="2255"/>
      <c r="E353" s="2254"/>
      <c r="F353" s="2255"/>
      <c r="G353" s="2254"/>
      <c r="H353" s="2255"/>
      <c r="I353" s="2296">
        <v>-316648</v>
      </c>
      <c r="J353" s="410"/>
      <c r="K353" s="394"/>
      <c r="L353" s="305"/>
      <c r="M353" s="305"/>
      <c r="N353" s="305"/>
      <c r="O353" s="305"/>
      <c r="P353" s="305"/>
      <c r="Q353" s="305"/>
      <c r="R353" s="305"/>
      <c r="S353" s="305"/>
      <c r="T353" s="305"/>
      <c r="U353" s="305"/>
    </row>
    <row r="354" spans="1:21" s="52" customFormat="1" ht="13.5" customHeight="1" thickBot="1">
      <c r="A354" s="427"/>
      <c r="B354" s="1479" t="s">
        <v>468</v>
      </c>
      <c r="C354" s="488"/>
      <c r="D354" s="1107"/>
      <c r="E354" s="488"/>
      <c r="F354" s="1107"/>
      <c r="G354" s="488"/>
      <c r="H354" s="1107"/>
      <c r="I354" s="1489">
        <v>1423275</v>
      </c>
      <c r="J354" s="410"/>
      <c r="K354" s="394"/>
      <c r="L354" s="305"/>
      <c r="M354" s="305"/>
      <c r="N354" s="305"/>
      <c r="O354" s="305"/>
      <c r="P354" s="305"/>
      <c r="Q354" s="305"/>
      <c r="R354" s="305"/>
      <c r="S354" s="305"/>
      <c r="T354" s="305"/>
      <c r="U354" s="305"/>
    </row>
    <row r="355" spans="1:21" s="52" customFormat="1" ht="13.5" customHeight="1">
      <c r="A355" s="427"/>
      <c r="B355" s="455"/>
      <c r="C355" s="433"/>
      <c r="D355" s="433"/>
      <c r="E355" s="433"/>
      <c r="F355" s="433"/>
      <c r="G355" s="433"/>
      <c r="H355" s="433"/>
      <c r="I355" s="410"/>
      <c r="J355" s="410"/>
      <c r="K355" s="394"/>
      <c r="L355" s="305"/>
      <c r="M355" s="305"/>
      <c r="N355" s="305"/>
      <c r="O355" s="305"/>
      <c r="P355" s="305"/>
      <c r="Q355" s="305"/>
      <c r="R355" s="305"/>
      <c r="S355" s="305"/>
      <c r="T355" s="305"/>
      <c r="U355" s="305"/>
    </row>
    <row r="356" spans="1:21" s="52" customFormat="1" ht="13.5" customHeight="1">
      <c r="A356" s="427"/>
      <c r="B356" s="455"/>
      <c r="C356" s="433"/>
      <c r="D356" s="433"/>
      <c r="E356" s="433"/>
      <c r="F356" s="433"/>
      <c r="G356" s="433"/>
      <c r="H356" s="433"/>
      <c r="I356" s="410"/>
      <c r="J356" s="410"/>
      <c r="K356" s="394">
        <v>119</v>
      </c>
      <c r="L356" s="305"/>
      <c r="M356" s="305"/>
      <c r="N356" s="305"/>
      <c r="O356" s="305"/>
      <c r="P356" s="305"/>
      <c r="Q356" s="305"/>
      <c r="R356" s="305"/>
      <c r="S356" s="305"/>
      <c r="T356" s="305"/>
      <c r="U356" s="305"/>
    </row>
    <row r="357" spans="1:21" s="52" customFormat="1" ht="13.5" customHeight="1">
      <c r="A357" s="427"/>
      <c r="B357" s="455"/>
      <c r="C357" s="433"/>
      <c r="D357" s="433"/>
      <c r="E357" s="433"/>
      <c r="F357" s="433"/>
      <c r="G357" s="433"/>
      <c r="H357" s="433"/>
      <c r="I357" s="410"/>
      <c r="J357" s="410"/>
      <c r="K357" s="394"/>
      <c r="L357" s="305"/>
      <c r="M357" s="305"/>
      <c r="N357" s="305"/>
      <c r="O357" s="305"/>
      <c r="P357" s="305"/>
      <c r="Q357" s="305"/>
      <c r="R357" s="305"/>
      <c r="S357" s="305"/>
      <c r="T357" s="305"/>
      <c r="U357" s="305"/>
    </row>
    <row r="358" spans="1:21" s="52" customFormat="1" ht="13.5" customHeight="1">
      <c r="A358" s="427"/>
      <c r="B358" s="295" t="s">
        <v>470</v>
      </c>
      <c r="C358" s="295"/>
      <c r="D358" s="295"/>
      <c r="E358" s="433"/>
      <c r="F358" s="433"/>
      <c r="G358" s="433"/>
      <c r="H358" s="433"/>
      <c r="I358" s="410"/>
      <c r="J358" s="410"/>
      <c r="K358" s="394"/>
      <c r="L358" s="305"/>
      <c r="M358" s="305"/>
      <c r="N358" s="305"/>
      <c r="O358" s="305"/>
      <c r="P358" s="305"/>
      <c r="Q358" s="305"/>
      <c r="R358" s="305"/>
      <c r="S358" s="305"/>
      <c r="T358" s="305"/>
      <c r="U358" s="305"/>
    </row>
    <row r="359" spans="1:21" s="52" customFormat="1" ht="13.5" customHeight="1" thickBot="1">
      <c r="A359" s="427"/>
      <c r="B359" s="218"/>
      <c r="C359" s="218"/>
      <c r="D359" s="218"/>
      <c r="E359" s="433"/>
      <c r="F359" s="433"/>
      <c r="G359" s="433"/>
      <c r="H359" s="433"/>
      <c r="I359" s="410"/>
      <c r="J359" s="410"/>
      <c r="K359" s="394"/>
      <c r="L359" s="305"/>
      <c r="M359" s="305"/>
      <c r="N359" s="305"/>
      <c r="O359" s="305"/>
      <c r="P359" s="305"/>
      <c r="Q359" s="305"/>
      <c r="R359" s="305"/>
      <c r="S359" s="305"/>
      <c r="T359" s="305"/>
      <c r="U359" s="305"/>
    </row>
    <row r="360" spans="1:21" ht="13.5" customHeight="1">
      <c r="B360" s="1481" t="s">
        <v>109</v>
      </c>
      <c r="I360" s="532" t="s">
        <v>238</v>
      </c>
      <c r="J360" s="553"/>
      <c r="L360" s="305"/>
      <c r="M360" s="305"/>
      <c r="N360" s="305"/>
      <c r="O360" s="305"/>
      <c r="P360" s="305"/>
      <c r="Q360" s="305"/>
      <c r="R360" s="305"/>
      <c r="S360" s="305"/>
      <c r="T360" s="305"/>
      <c r="U360" s="305"/>
    </row>
    <row r="361" spans="1:21" s="52" customFormat="1" ht="13.5" customHeight="1">
      <c r="A361" s="414"/>
      <c r="B361" s="3283"/>
      <c r="C361" s="3359">
        <v>2022</v>
      </c>
      <c r="D361" s="3360"/>
      <c r="E361" s="3360"/>
      <c r="F361" s="3360"/>
      <c r="G361" s="3360"/>
      <c r="H361" s="3360"/>
      <c r="I361" s="3361"/>
      <c r="J361" s="434"/>
      <c r="K361" s="394"/>
      <c r="L361" s="305"/>
      <c r="M361" s="305"/>
      <c r="N361" s="305"/>
      <c r="O361" s="305"/>
      <c r="P361" s="305"/>
      <c r="Q361" s="305"/>
      <c r="R361" s="305"/>
      <c r="S361" s="305"/>
      <c r="T361" s="305"/>
      <c r="U361" s="305"/>
    </row>
    <row r="362" spans="1:21" s="52" customFormat="1" ht="13.5" customHeight="1">
      <c r="A362" s="415"/>
      <c r="B362" s="3284"/>
      <c r="C362" s="3362" t="s">
        <v>436</v>
      </c>
      <c r="D362" s="3362" t="s">
        <v>437</v>
      </c>
      <c r="E362" s="3359" t="s">
        <v>438</v>
      </c>
      <c r="F362" s="3361"/>
      <c r="G362" s="3364" t="s">
        <v>439</v>
      </c>
      <c r="H362" s="3364" t="s">
        <v>440</v>
      </c>
      <c r="I362" s="3362" t="s">
        <v>118</v>
      </c>
      <c r="J362" s="454"/>
      <c r="K362" s="3358"/>
      <c r="L362" s="305"/>
      <c r="M362" s="305"/>
      <c r="N362" s="305"/>
      <c r="O362" s="305"/>
      <c r="P362" s="305"/>
      <c r="Q362" s="305"/>
      <c r="R362" s="305"/>
      <c r="S362" s="305"/>
      <c r="T362" s="305"/>
      <c r="U362" s="305"/>
    </row>
    <row r="363" spans="1:21" s="52" customFormat="1" ht="13.5" customHeight="1" thickBot="1">
      <c r="A363" s="415"/>
      <c r="B363" s="3285"/>
      <c r="C363" s="3363"/>
      <c r="D363" s="3363"/>
      <c r="E363" s="1461" t="s">
        <v>442</v>
      </c>
      <c r="F363" s="1461" t="s">
        <v>443</v>
      </c>
      <c r="G363" s="3365"/>
      <c r="H363" s="3365"/>
      <c r="I363" s="3363"/>
      <c r="J363" s="454"/>
      <c r="K363" s="3358"/>
      <c r="L363" s="305"/>
      <c r="M363" s="305"/>
      <c r="N363" s="305"/>
      <c r="O363" s="305"/>
      <c r="P363" s="305"/>
      <c r="Q363" s="305"/>
      <c r="R363" s="305"/>
      <c r="S363" s="305"/>
      <c r="T363" s="305"/>
      <c r="U363" s="305"/>
    </row>
    <row r="364" spans="1:21" s="52" customFormat="1" ht="13.5" customHeight="1">
      <c r="A364" s="427"/>
      <c r="B364" s="1486" t="s">
        <v>342</v>
      </c>
      <c r="C364" s="2412">
        <v>51325</v>
      </c>
      <c r="D364" s="2412">
        <v>17786</v>
      </c>
      <c r="E364" s="2412">
        <v>34798</v>
      </c>
      <c r="F364" s="2412">
        <v>391509</v>
      </c>
      <c r="G364" s="2412">
        <v>45540</v>
      </c>
      <c r="H364" s="2412">
        <v>78534</v>
      </c>
      <c r="I364" s="1494">
        <f>SUM(C364:H364)</f>
        <v>619492</v>
      </c>
      <c r="J364" s="431"/>
      <c r="K364" s="286"/>
      <c r="L364" s="305"/>
      <c r="M364" s="305"/>
      <c r="N364" s="305"/>
      <c r="O364" s="305"/>
      <c r="P364" s="305"/>
      <c r="Q364" s="305"/>
      <c r="R364" s="305"/>
      <c r="S364" s="305"/>
      <c r="T364" s="305"/>
      <c r="U364" s="305"/>
    </row>
    <row r="365" spans="1:21" s="52" customFormat="1" ht="13.5" customHeight="1">
      <c r="A365" s="427"/>
      <c r="B365" s="2246" t="s">
        <v>444</v>
      </c>
      <c r="C365" s="2412">
        <v>-5098</v>
      </c>
      <c r="D365" s="2412">
        <v>-226</v>
      </c>
      <c r="E365" s="2412"/>
      <c r="F365" s="2412">
        <v>-979</v>
      </c>
      <c r="G365" s="2412"/>
      <c r="H365" s="2412">
        <v>-943</v>
      </c>
      <c r="I365" s="2221">
        <f>SUM(C365:H365)</f>
        <v>-7246</v>
      </c>
      <c r="J365" s="431"/>
      <c r="K365" s="286"/>
      <c r="L365" s="305"/>
      <c r="M365" s="305"/>
      <c r="N365" s="305"/>
      <c r="O365" s="305"/>
      <c r="P365" s="305"/>
      <c r="Q365" s="305"/>
      <c r="R365" s="305"/>
      <c r="S365" s="305"/>
      <c r="T365" s="305"/>
      <c r="U365" s="305"/>
    </row>
    <row r="366" spans="1:21" s="52" customFormat="1" ht="13.5" customHeight="1">
      <c r="A366" s="427"/>
      <c r="B366" s="2246" t="s">
        <v>471</v>
      </c>
      <c r="C366" s="2412">
        <v>-26179</v>
      </c>
      <c r="D366" s="2412">
        <v>-29</v>
      </c>
      <c r="E366" s="2412"/>
      <c r="F366" s="2412"/>
      <c r="G366" s="2412"/>
      <c r="H366" s="2412">
        <v>-2608</v>
      </c>
      <c r="I366" s="2221">
        <f>SUM(C366:H366)</f>
        <v>-28816</v>
      </c>
      <c r="J366" s="431"/>
      <c r="K366" s="286"/>
      <c r="L366" s="305"/>
      <c r="M366" s="305"/>
      <c r="N366" s="305"/>
      <c r="O366" s="305"/>
      <c r="P366" s="305"/>
      <c r="Q366" s="305"/>
      <c r="R366" s="305"/>
      <c r="S366" s="305"/>
      <c r="T366" s="305"/>
      <c r="U366" s="305"/>
    </row>
    <row r="367" spans="1:21" s="52" customFormat="1" ht="13.5" customHeight="1">
      <c r="A367" s="427"/>
      <c r="B367" s="2246" t="s">
        <v>446</v>
      </c>
      <c r="C367" s="2412">
        <v>-15743</v>
      </c>
      <c r="D367" s="2412">
        <v>-14635</v>
      </c>
      <c r="E367" s="2412">
        <v>-3471</v>
      </c>
      <c r="F367" s="2412">
        <v>-52619</v>
      </c>
      <c r="G367" s="2412">
        <v>1</v>
      </c>
      <c r="H367" s="2412">
        <v>-52515</v>
      </c>
      <c r="I367" s="2221">
        <f>SUM(C367:H367)</f>
        <v>-138982</v>
      </c>
      <c r="J367" s="431"/>
      <c r="K367" s="394"/>
      <c r="L367" s="305"/>
      <c r="M367" s="305"/>
      <c r="N367" s="305"/>
      <c r="O367" s="305"/>
      <c r="P367" s="305"/>
      <c r="Q367" s="305"/>
      <c r="R367" s="305"/>
      <c r="S367" s="305"/>
      <c r="T367" s="305"/>
      <c r="U367" s="305"/>
    </row>
    <row r="368" spans="1:21" s="236" customFormat="1" ht="13.5" customHeight="1">
      <c r="A368" s="428"/>
      <c r="B368" s="2248" t="s">
        <v>447</v>
      </c>
      <c r="C368" s="2412">
        <v>4306</v>
      </c>
      <c r="D368" s="2412">
        <v>2896</v>
      </c>
      <c r="E368" s="2412">
        <v>31327</v>
      </c>
      <c r="F368" s="2412">
        <v>337911</v>
      </c>
      <c r="G368" s="2412">
        <v>45541</v>
      </c>
      <c r="H368" s="2412">
        <v>22468</v>
      </c>
      <c r="I368" s="2229">
        <f>SUM(I364:I367)</f>
        <v>444448</v>
      </c>
      <c r="J368" s="431"/>
      <c r="K368" s="463"/>
      <c r="L368" s="305"/>
      <c r="M368" s="305"/>
      <c r="N368" s="305"/>
      <c r="O368" s="305"/>
      <c r="P368" s="305"/>
      <c r="Q368" s="305"/>
      <c r="R368" s="305"/>
      <c r="S368" s="305"/>
      <c r="T368" s="305"/>
      <c r="U368" s="305"/>
    </row>
    <row r="369" spans="1:21" s="52" customFormat="1" ht="13.5" customHeight="1">
      <c r="A369" s="427"/>
      <c r="B369" s="2246" t="s">
        <v>448</v>
      </c>
      <c r="C369" s="2412">
        <v>-664</v>
      </c>
      <c r="D369" s="2412">
        <v>-716</v>
      </c>
      <c r="E369" s="2412">
        <v>-2266</v>
      </c>
      <c r="F369" s="2412">
        <v>-55528</v>
      </c>
      <c r="G369" s="2412">
        <v>-17804</v>
      </c>
      <c r="H369" s="2412">
        <v>-9006</v>
      </c>
      <c r="I369" s="2221">
        <f>SUM(C369:H369)</f>
        <v>-85984</v>
      </c>
      <c r="J369" s="431"/>
      <c r="K369" s="394"/>
      <c r="L369" s="305"/>
      <c r="M369" s="305"/>
      <c r="N369" s="305"/>
      <c r="O369" s="305"/>
      <c r="P369" s="305"/>
      <c r="Q369" s="305"/>
      <c r="R369" s="305"/>
      <c r="S369" s="305"/>
      <c r="T369" s="305"/>
      <c r="U369" s="305"/>
    </row>
    <row r="370" spans="1:21" s="236" customFormat="1" ht="13.5" customHeight="1">
      <c r="A370" s="428"/>
      <c r="B370" s="2248" t="s">
        <v>449</v>
      </c>
      <c r="C370" s="2412">
        <v>3642</v>
      </c>
      <c r="D370" s="2412">
        <v>2180</v>
      </c>
      <c r="E370" s="2412">
        <v>29060</v>
      </c>
      <c r="F370" s="2412">
        <v>282383</v>
      </c>
      <c r="G370" s="2412">
        <v>27737</v>
      </c>
      <c r="H370" s="2412">
        <v>13462</v>
      </c>
      <c r="I370" s="2229">
        <f>SUM(I368:I369)</f>
        <v>358464</v>
      </c>
      <c r="J370" s="431"/>
      <c r="K370" s="463"/>
      <c r="L370" s="305"/>
      <c r="M370" s="305"/>
      <c r="N370" s="305"/>
      <c r="O370" s="305"/>
      <c r="P370" s="305"/>
      <c r="Q370" s="305"/>
      <c r="R370" s="305"/>
      <c r="S370" s="305"/>
      <c r="T370" s="305"/>
      <c r="U370" s="305"/>
    </row>
    <row r="371" spans="1:21" s="52" customFormat="1" ht="13.5" customHeight="1">
      <c r="A371" s="427"/>
      <c r="B371" s="2246"/>
      <c r="C371" s="2524"/>
      <c r="D371" s="2524"/>
      <c r="E371" s="2524"/>
      <c r="F371" s="2524"/>
      <c r="G371" s="2524"/>
      <c r="H371" s="2524"/>
      <c r="I371" s="2221"/>
      <c r="J371" s="431"/>
      <c r="K371" s="394"/>
      <c r="L371" s="305"/>
      <c r="M371" s="305"/>
      <c r="N371" s="305"/>
      <c r="O371" s="305"/>
      <c r="P371" s="305"/>
      <c r="Q371" s="305"/>
      <c r="R371" s="305"/>
      <c r="S371" s="305"/>
      <c r="T371" s="305"/>
      <c r="U371" s="305"/>
    </row>
    <row r="372" spans="1:21" s="52" customFormat="1" ht="13.5" customHeight="1">
      <c r="A372" s="427"/>
      <c r="B372" s="2248" t="s">
        <v>450</v>
      </c>
      <c r="C372" s="2524"/>
      <c r="D372" s="2524"/>
      <c r="E372" s="2524"/>
      <c r="F372" s="2524"/>
      <c r="G372" s="2524"/>
      <c r="H372" s="2524"/>
      <c r="I372" s="1928">
        <f>SUM(I373:I375)</f>
        <v>-347269</v>
      </c>
      <c r="J372" s="431"/>
      <c r="K372" s="415"/>
      <c r="L372" s="305"/>
      <c r="M372" s="305"/>
      <c r="N372" s="305"/>
      <c r="O372" s="305"/>
      <c r="P372" s="305"/>
      <c r="Q372" s="305"/>
      <c r="R372" s="305"/>
      <c r="S372" s="305"/>
      <c r="T372" s="305"/>
      <c r="U372" s="305"/>
    </row>
    <row r="373" spans="1:21" s="52" customFormat="1" ht="28.5" customHeight="1">
      <c r="A373" s="427"/>
      <c r="B373" s="2246" t="s">
        <v>451</v>
      </c>
      <c r="C373" s="3028">
        <v>-2217</v>
      </c>
      <c r="D373" s="3028">
        <v>-2912</v>
      </c>
      <c r="E373" s="3028">
        <v>-77</v>
      </c>
      <c r="F373" s="3028">
        <v>-236527</v>
      </c>
      <c r="G373" s="3028">
        <v>-19230</v>
      </c>
      <c r="H373" s="3028">
        <v>-40175</v>
      </c>
      <c r="I373" s="2221">
        <f>SUM(C373:H373)</f>
        <v>-301138</v>
      </c>
      <c r="J373" s="431"/>
      <c r="K373" s="394"/>
      <c r="L373" s="305"/>
      <c r="M373" s="305"/>
      <c r="N373" s="305"/>
      <c r="O373" s="305"/>
      <c r="P373" s="305"/>
      <c r="Q373" s="305"/>
      <c r="R373" s="305"/>
      <c r="S373" s="305"/>
      <c r="T373" s="305"/>
      <c r="U373" s="305"/>
    </row>
    <row r="374" spans="1:21" s="52" customFormat="1" ht="27.75" customHeight="1">
      <c r="A374" s="427"/>
      <c r="B374" s="2246" t="s">
        <v>452</v>
      </c>
      <c r="C374" s="3028">
        <v>-2667</v>
      </c>
      <c r="D374" s="3028">
        <v>-515</v>
      </c>
      <c r="E374" s="3028">
        <v>-6831</v>
      </c>
      <c r="F374" s="3028">
        <v>-11529</v>
      </c>
      <c r="G374" s="3028">
        <v>-3140</v>
      </c>
      <c r="H374" s="3028">
        <v>-8065</v>
      </c>
      <c r="I374" s="2221">
        <f>SUM(C374:H374)</f>
        <v>-32747</v>
      </c>
      <c r="J374" s="431"/>
      <c r="K374" s="394"/>
      <c r="L374" s="305"/>
      <c r="M374" s="305"/>
      <c r="N374" s="305"/>
      <c r="O374" s="305"/>
      <c r="P374" s="305"/>
      <c r="Q374" s="305"/>
      <c r="R374" s="305"/>
      <c r="S374" s="305"/>
      <c r="T374" s="305"/>
      <c r="U374" s="305"/>
    </row>
    <row r="375" spans="1:21" s="52" customFormat="1" ht="27.75" customHeight="1">
      <c r="A375" s="427"/>
      <c r="B375" s="2246" t="s">
        <v>453</v>
      </c>
      <c r="C375" s="3028">
        <v>-910</v>
      </c>
      <c r="D375" s="3028">
        <v>-29</v>
      </c>
      <c r="E375" s="3028"/>
      <c r="F375" s="3028">
        <v>-8168</v>
      </c>
      <c r="G375" s="3028"/>
      <c r="H375" s="3028">
        <v>-4277</v>
      </c>
      <c r="I375" s="2221">
        <f>SUM(C375:H375)</f>
        <v>-13384</v>
      </c>
      <c r="J375" s="431"/>
      <c r="K375" s="394"/>
      <c r="L375" s="305"/>
      <c r="M375" s="305"/>
      <c r="N375" s="305"/>
      <c r="O375" s="305"/>
      <c r="P375" s="305"/>
      <c r="Q375" s="305"/>
      <c r="R375" s="305"/>
      <c r="S375" s="305"/>
      <c r="T375" s="305"/>
      <c r="U375" s="305"/>
    </row>
    <row r="376" spans="1:21" s="236" customFormat="1" ht="13.5" customHeight="1">
      <c r="A376" s="428"/>
      <c r="B376" s="2252" t="s">
        <v>454</v>
      </c>
      <c r="C376" s="3028">
        <v>-2153</v>
      </c>
      <c r="D376" s="3028">
        <v>-1276</v>
      </c>
      <c r="E376" s="3028">
        <v>22152</v>
      </c>
      <c r="F376" s="3028">
        <v>26158</v>
      </c>
      <c r="G376" s="3028">
        <v>5368</v>
      </c>
      <c r="H376" s="3028">
        <v>-39055</v>
      </c>
      <c r="I376" s="2229">
        <f>+I370+I373+I374+I375</f>
        <v>11195</v>
      </c>
      <c r="J376" s="431"/>
      <c r="K376" s="288"/>
      <c r="L376" s="305"/>
      <c r="M376" s="305"/>
      <c r="N376" s="305"/>
      <c r="O376" s="305"/>
      <c r="P376" s="305"/>
      <c r="Q376" s="305"/>
      <c r="R376" s="305"/>
      <c r="S376" s="305"/>
      <c r="T376" s="305"/>
      <c r="U376" s="305"/>
    </row>
    <row r="377" spans="1:21" s="422" customFormat="1" ht="13.5" customHeight="1">
      <c r="A377" s="435"/>
      <c r="B377" s="2253"/>
      <c r="C377" s="2267"/>
      <c r="D377" s="2266"/>
      <c r="E377" s="2267"/>
      <c r="F377" s="2266"/>
      <c r="G377" s="2267"/>
      <c r="H377" s="2266"/>
      <c r="I377" s="2277"/>
      <c r="J377" s="436"/>
      <c r="K377" s="463"/>
      <c r="L377" s="305"/>
      <c r="M377" s="305"/>
      <c r="N377" s="305"/>
      <c r="O377" s="305"/>
      <c r="P377" s="305"/>
      <c r="Q377" s="305"/>
      <c r="R377" s="305"/>
      <c r="S377" s="305"/>
      <c r="T377" s="305"/>
      <c r="U377" s="305"/>
    </row>
    <row r="378" spans="1:21" s="422" customFormat="1" ht="13.5" customHeight="1">
      <c r="A378" s="435"/>
      <c r="B378" s="2248" t="s">
        <v>455</v>
      </c>
      <c r="C378" s="2254"/>
      <c r="D378" s="2255"/>
      <c r="E378" s="2254"/>
      <c r="F378" s="2255"/>
      <c r="G378" s="2254"/>
      <c r="H378" s="2255"/>
      <c r="I378" s="2277">
        <f>SUM(I379:I383)</f>
        <v>312318</v>
      </c>
      <c r="J378" s="436"/>
      <c r="K378" s="463"/>
      <c r="L378" s="305"/>
      <c r="M378" s="305"/>
      <c r="N378" s="305"/>
      <c r="O378" s="305"/>
      <c r="P378" s="305"/>
      <c r="Q378" s="305"/>
      <c r="R378" s="305"/>
      <c r="S378" s="305"/>
      <c r="T378" s="305"/>
      <c r="U378" s="305"/>
    </row>
    <row r="379" spans="1:21" s="52" customFormat="1" ht="13.5" customHeight="1">
      <c r="A379" s="427"/>
      <c r="B379" s="2246" t="s">
        <v>456</v>
      </c>
      <c r="C379" s="2254"/>
      <c r="D379" s="2255"/>
      <c r="E379" s="2254"/>
      <c r="F379" s="2255"/>
      <c r="G379" s="2254"/>
      <c r="H379" s="2255"/>
      <c r="I379" s="2296">
        <v>55775</v>
      </c>
      <c r="J379" s="436"/>
      <c r="K379" s="394"/>
      <c r="L379" s="305"/>
      <c r="M379" s="305"/>
      <c r="N379" s="305"/>
      <c r="O379" s="305"/>
      <c r="P379" s="305"/>
      <c r="Q379" s="305"/>
      <c r="R379" s="305"/>
      <c r="S379" s="305"/>
      <c r="T379" s="305"/>
      <c r="U379" s="305"/>
    </row>
    <row r="380" spans="1:21" s="52" customFormat="1" ht="13.5" customHeight="1">
      <c r="A380" s="427"/>
      <c r="B380" s="2246" t="s">
        <v>472</v>
      </c>
      <c r="C380" s="2254"/>
      <c r="D380" s="2255"/>
      <c r="E380" s="2254"/>
      <c r="F380" s="2255"/>
      <c r="G380" s="2254"/>
      <c r="H380" s="2255"/>
      <c r="I380" s="1495">
        <v>151354</v>
      </c>
      <c r="J380" s="436"/>
      <c r="K380" s="394"/>
      <c r="L380" s="305"/>
      <c r="M380" s="305"/>
      <c r="N380" s="305"/>
      <c r="O380" s="305"/>
      <c r="P380" s="305"/>
      <c r="Q380" s="305"/>
      <c r="R380" s="305"/>
      <c r="S380" s="305"/>
      <c r="T380" s="305"/>
      <c r="U380" s="305"/>
    </row>
    <row r="381" spans="1:21" s="52" customFormat="1" ht="13.5" customHeight="1">
      <c r="A381" s="427"/>
      <c r="B381" s="2246" t="s">
        <v>458</v>
      </c>
      <c r="C381" s="2254"/>
      <c r="D381" s="2255"/>
      <c r="E381" s="2254"/>
      <c r="F381" s="2255"/>
      <c r="G381" s="2254"/>
      <c r="H381" s="2255"/>
      <c r="I381" s="1495">
        <v>31142</v>
      </c>
      <c r="J381" s="436"/>
      <c r="K381" s="394"/>
      <c r="L381" s="305"/>
      <c r="M381" s="305"/>
      <c r="N381" s="305"/>
      <c r="O381" s="305"/>
      <c r="P381" s="305"/>
      <c r="Q381" s="305"/>
      <c r="R381" s="305"/>
      <c r="S381" s="305"/>
      <c r="T381" s="305"/>
      <c r="U381" s="305"/>
    </row>
    <row r="382" spans="1:21" s="52" customFormat="1" ht="13.5" customHeight="1">
      <c r="A382" s="427"/>
      <c r="B382" s="2246" t="s">
        <v>459</v>
      </c>
      <c r="C382" s="2254"/>
      <c r="D382" s="2255"/>
      <c r="E382" s="2254"/>
      <c r="F382" s="2255"/>
      <c r="G382" s="2254"/>
      <c r="H382" s="2255"/>
      <c r="I382" s="1495"/>
      <c r="J382" s="436"/>
      <c r="K382" s="394"/>
      <c r="L382" s="305"/>
      <c r="M382" s="305"/>
      <c r="N382" s="305"/>
      <c r="O382" s="305"/>
      <c r="P382" s="305"/>
      <c r="Q382" s="305"/>
      <c r="R382" s="305"/>
      <c r="S382" s="305"/>
      <c r="T382" s="305"/>
      <c r="U382" s="305"/>
    </row>
    <row r="383" spans="1:21" s="52" customFormat="1" ht="13.5" customHeight="1">
      <c r="A383" s="427"/>
      <c r="B383" s="2246" t="s">
        <v>460</v>
      </c>
      <c r="C383" s="2254"/>
      <c r="D383" s="2255"/>
      <c r="E383" s="2254"/>
      <c r="F383" s="2255"/>
      <c r="G383" s="2254"/>
      <c r="H383" s="2255"/>
      <c r="I383" s="1495">
        <v>74047</v>
      </c>
      <c r="J383" s="436"/>
      <c r="K383" s="394"/>
      <c r="L383" s="305"/>
      <c r="M383" s="305"/>
      <c r="N383" s="305"/>
      <c r="O383" s="305"/>
      <c r="P383" s="305"/>
      <c r="Q383" s="305"/>
      <c r="R383" s="305"/>
      <c r="S383" s="305"/>
      <c r="T383" s="305"/>
      <c r="U383" s="305"/>
    </row>
    <row r="384" spans="1:21" s="52" customFormat="1" ht="13.5" customHeight="1">
      <c r="A384" s="427"/>
      <c r="B384" s="2246"/>
      <c r="C384" s="2254"/>
      <c r="D384" s="2255"/>
      <c r="E384" s="2254"/>
      <c r="F384" s="2255"/>
      <c r="G384" s="2254"/>
      <c r="H384" s="2255"/>
      <c r="I384" s="2221"/>
      <c r="J384" s="436"/>
      <c r="K384" s="394"/>
      <c r="L384" s="305"/>
      <c r="M384" s="305"/>
      <c r="N384" s="305"/>
      <c r="O384" s="305"/>
      <c r="P384" s="305"/>
      <c r="Q384" s="305"/>
      <c r="R384" s="305"/>
      <c r="S384" s="305"/>
      <c r="T384" s="305"/>
      <c r="U384" s="305"/>
    </row>
    <row r="385" spans="1:21" s="52" customFormat="1" ht="13.5" customHeight="1">
      <c r="A385" s="427"/>
      <c r="B385" s="2248" t="s">
        <v>461</v>
      </c>
      <c r="C385" s="2254"/>
      <c r="D385" s="2255"/>
      <c r="E385" s="2254"/>
      <c r="F385" s="2255"/>
      <c r="G385" s="2254"/>
      <c r="H385" s="2255"/>
      <c r="I385" s="2221">
        <f>SUM(I386:I387)</f>
        <v>-336741</v>
      </c>
      <c r="J385" s="436"/>
      <c r="K385" s="394"/>
      <c r="L385" s="305"/>
      <c r="M385" s="305"/>
      <c r="N385" s="305"/>
      <c r="O385" s="305"/>
      <c r="P385" s="305"/>
      <c r="Q385" s="305"/>
      <c r="R385" s="305"/>
      <c r="S385" s="305"/>
      <c r="T385" s="305"/>
      <c r="U385" s="305"/>
    </row>
    <row r="386" spans="1:21" s="52" customFormat="1" ht="26.25" customHeight="1">
      <c r="A386" s="427"/>
      <c r="B386" s="2246" t="s">
        <v>462</v>
      </c>
      <c r="C386" s="2254"/>
      <c r="D386" s="2255"/>
      <c r="E386" s="2254"/>
      <c r="F386" s="2255"/>
      <c r="G386" s="2254"/>
      <c r="H386" s="2255"/>
      <c r="I386" s="2296">
        <v>-336741</v>
      </c>
      <c r="J386" s="436"/>
      <c r="K386" s="394"/>
      <c r="L386" s="305"/>
      <c r="M386" s="305"/>
      <c r="N386" s="305"/>
      <c r="O386" s="305"/>
      <c r="P386" s="305"/>
      <c r="Q386" s="305"/>
      <c r="R386" s="305"/>
      <c r="S386" s="305"/>
      <c r="T386" s="305"/>
      <c r="U386" s="305"/>
    </row>
    <row r="387" spans="1:21" s="52" customFormat="1" ht="27" customHeight="1">
      <c r="A387" s="427"/>
      <c r="B387" s="2246" t="s">
        <v>463</v>
      </c>
      <c r="C387" s="2254"/>
      <c r="D387" s="2255"/>
      <c r="E387" s="2254"/>
      <c r="F387" s="2255"/>
      <c r="G387" s="2254"/>
      <c r="H387" s="2255"/>
      <c r="I387" s="2221"/>
      <c r="J387" s="436"/>
      <c r="K387" s="394"/>
      <c r="L387" s="305"/>
      <c r="M387" s="305"/>
      <c r="N387" s="305"/>
      <c r="O387" s="305"/>
      <c r="P387" s="305"/>
      <c r="Q387" s="305"/>
      <c r="R387" s="305"/>
      <c r="S387" s="305"/>
      <c r="T387" s="305"/>
      <c r="U387" s="305"/>
    </row>
    <row r="388" spans="1:21" s="52" customFormat="1" ht="13.5" customHeight="1">
      <c r="A388" s="427"/>
      <c r="B388" s="2248" t="s">
        <v>464</v>
      </c>
      <c r="C388" s="2254"/>
      <c r="D388" s="2255"/>
      <c r="E388" s="2254"/>
      <c r="F388" s="2255"/>
      <c r="G388" s="2254"/>
      <c r="H388" s="2255"/>
      <c r="I388" s="2277">
        <f>+I376+I378+I385</f>
        <v>-13228</v>
      </c>
      <c r="J388" s="436"/>
      <c r="K388" s="394"/>
      <c r="L388" s="305"/>
      <c r="M388" s="305"/>
      <c r="N388" s="305"/>
      <c r="O388" s="305"/>
      <c r="P388" s="305"/>
      <c r="Q388" s="305"/>
      <c r="R388" s="305"/>
      <c r="S388" s="305"/>
      <c r="T388" s="305"/>
      <c r="U388" s="305"/>
    </row>
    <row r="389" spans="1:21" s="52" customFormat="1" ht="13.5" customHeight="1">
      <c r="A389" s="427"/>
      <c r="B389" s="2246" t="s">
        <v>465</v>
      </c>
      <c r="C389" s="2254"/>
      <c r="D389" s="2255"/>
      <c r="E389" s="2254"/>
      <c r="F389" s="2255"/>
      <c r="G389" s="2254"/>
      <c r="H389" s="2255"/>
      <c r="I389" s="2296">
        <v>-49048</v>
      </c>
      <c r="J389" s="436"/>
      <c r="K389" s="394"/>
      <c r="L389" s="305"/>
      <c r="M389" s="305"/>
      <c r="N389" s="305"/>
      <c r="O389" s="305"/>
      <c r="P389" s="305"/>
      <c r="Q389" s="305"/>
      <c r="R389" s="305"/>
      <c r="S389" s="305"/>
      <c r="T389" s="305"/>
      <c r="U389" s="305"/>
    </row>
    <row r="390" spans="1:21" s="52" customFormat="1" ht="13.5" customHeight="1">
      <c r="A390" s="427"/>
      <c r="B390" s="2256" t="s">
        <v>466</v>
      </c>
      <c r="C390" s="2254"/>
      <c r="D390" s="2255"/>
      <c r="E390" s="2254"/>
      <c r="F390" s="2255"/>
      <c r="G390" s="2254"/>
      <c r="H390" s="2255"/>
      <c r="I390" s="2277">
        <f>+I388+I389</f>
        <v>-62276</v>
      </c>
      <c r="J390" s="436"/>
      <c r="K390" s="394"/>
      <c r="L390" s="305"/>
      <c r="M390" s="305"/>
      <c r="N390" s="305"/>
      <c r="O390" s="305"/>
      <c r="P390" s="305"/>
      <c r="Q390" s="305"/>
      <c r="R390" s="305"/>
      <c r="S390" s="305"/>
      <c r="T390" s="305"/>
      <c r="U390" s="305"/>
    </row>
    <row r="391" spans="1:21" s="52" customFormat="1" ht="13.5" customHeight="1">
      <c r="A391" s="427"/>
      <c r="B391" s="2257" t="s">
        <v>467</v>
      </c>
      <c r="C391" s="2254"/>
      <c r="D391" s="2255"/>
      <c r="E391" s="2254"/>
      <c r="F391" s="2255"/>
      <c r="G391" s="2254"/>
      <c r="H391" s="2255"/>
      <c r="I391" s="2221">
        <v>0</v>
      </c>
      <c r="J391" s="436"/>
      <c r="K391" s="394"/>
      <c r="L391" s="305"/>
      <c r="M391" s="305"/>
      <c r="N391" s="305"/>
      <c r="O391" s="305"/>
      <c r="P391" s="305"/>
      <c r="Q391" s="305"/>
      <c r="R391" s="305"/>
      <c r="S391" s="305"/>
      <c r="T391" s="305"/>
      <c r="U391" s="305"/>
    </row>
    <row r="392" spans="1:21" s="52" customFormat="1" ht="13.5" customHeight="1" thickBot="1">
      <c r="A392" s="427"/>
      <c r="B392" s="1479" t="s">
        <v>468</v>
      </c>
      <c r="C392" s="488"/>
      <c r="D392" s="1107"/>
      <c r="E392" s="488"/>
      <c r="F392" s="1107"/>
      <c r="G392" s="488"/>
      <c r="H392" s="1107"/>
      <c r="I392" s="1489">
        <f>SUM(I390:I391)</f>
        <v>-62276</v>
      </c>
      <c r="J392" s="436"/>
      <c r="K392" s="394"/>
      <c r="L392" s="305"/>
      <c r="M392" s="305"/>
      <c r="N392" s="305"/>
      <c r="O392" s="305"/>
      <c r="P392" s="305"/>
      <c r="Q392" s="305"/>
      <c r="R392" s="305"/>
      <c r="S392" s="305"/>
      <c r="T392" s="305"/>
      <c r="U392" s="305"/>
    </row>
    <row r="393" spans="1:21" s="52" customFormat="1" ht="13.5" customHeight="1">
      <c r="A393" s="427"/>
      <c r="B393" s="455"/>
      <c r="C393" s="433"/>
      <c r="D393" s="433"/>
      <c r="E393" s="433"/>
      <c r="F393" s="433"/>
      <c r="G393" s="433"/>
      <c r="H393" s="433"/>
      <c r="I393" s="433"/>
      <c r="J393" s="431"/>
      <c r="K393" s="394"/>
      <c r="L393" s="305"/>
      <c r="M393" s="305"/>
      <c r="N393" s="305"/>
      <c r="O393" s="305"/>
      <c r="P393" s="305"/>
      <c r="Q393" s="305"/>
      <c r="R393" s="305"/>
      <c r="S393" s="305"/>
      <c r="T393" s="305"/>
      <c r="U393" s="305"/>
    </row>
    <row r="394" spans="1:21" s="52" customFormat="1" ht="13.5" customHeight="1">
      <c r="A394" s="427"/>
      <c r="B394" s="455"/>
      <c r="C394" s="433"/>
      <c r="D394" s="433"/>
      <c r="E394" s="433"/>
      <c r="F394" s="433"/>
      <c r="G394" s="433"/>
      <c r="H394" s="433"/>
      <c r="I394" s="433"/>
      <c r="J394" s="431"/>
      <c r="K394" s="394">
        <v>120</v>
      </c>
      <c r="L394" s="305"/>
      <c r="M394" s="305"/>
      <c r="N394" s="305"/>
      <c r="O394" s="305"/>
      <c r="P394" s="305"/>
      <c r="Q394" s="305"/>
      <c r="R394" s="305"/>
      <c r="S394" s="305"/>
      <c r="T394" s="305"/>
      <c r="U394" s="305"/>
    </row>
    <row r="395" spans="1:21" s="52" customFormat="1" ht="13.5" customHeight="1">
      <c r="A395" s="427"/>
      <c r="B395" s="455"/>
      <c r="C395" s="433"/>
      <c r="D395" s="433"/>
      <c r="E395" s="433"/>
      <c r="F395" s="433"/>
      <c r="G395" s="433"/>
      <c r="H395" s="433"/>
      <c r="I395" s="433"/>
      <c r="J395" s="431"/>
      <c r="K395" s="394"/>
      <c r="L395" s="305"/>
      <c r="M395" s="305"/>
      <c r="N395" s="305"/>
      <c r="O395" s="305"/>
      <c r="P395" s="305"/>
      <c r="Q395" s="305"/>
      <c r="R395" s="305"/>
      <c r="S395" s="305"/>
      <c r="T395" s="305"/>
      <c r="U395" s="305"/>
    </row>
    <row r="396" spans="1:21" s="52" customFormat="1" ht="13.5" customHeight="1">
      <c r="A396" s="427"/>
      <c r="B396" s="295" t="s">
        <v>470</v>
      </c>
      <c r="C396" s="295"/>
      <c r="D396" s="295"/>
      <c r="E396" s="433"/>
      <c r="F396" s="433"/>
      <c r="G396" s="433"/>
      <c r="H396" s="433"/>
      <c r="K396" s="394"/>
      <c r="L396" s="305"/>
      <c r="M396" s="305"/>
      <c r="N396" s="305"/>
      <c r="O396" s="305"/>
      <c r="P396" s="305"/>
      <c r="Q396" s="305"/>
      <c r="R396" s="305"/>
      <c r="S396" s="305"/>
      <c r="T396" s="305"/>
      <c r="U396" s="305"/>
    </row>
    <row r="397" spans="1:21" s="52" customFormat="1" ht="13.5" customHeight="1" thickBot="1">
      <c r="A397" s="427"/>
      <c r="B397" s="218"/>
      <c r="C397" s="218"/>
      <c r="D397" s="218"/>
      <c r="E397" s="433"/>
      <c r="F397" s="433"/>
      <c r="G397" s="433"/>
      <c r="H397" s="433"/>
      <c r="I397" s="433"/>
      <c r="L397" s="305"/>
      <c r="M397" s="305"/>
      <c r="N397" s="305"/>
      <c r="O397" s="305"/>
      <c r="P397" s="305"/>
      <c r="Q397" s="305"/>
      <c r="R397" s="305"/>
      <c r="S397" s="305"/>
      <c r="T397" s="305"/>
      <c r="U397" s="305"/>
    </row>
    <row r="398" spans="1:21" s="52" customFormat="1" ht="13.5" customHeight="1" thickBot="1">
      <c r="A398" s="427"/>
      <c r="B398" s="1497" t="s">
        <v>110</v>
      </c>
      <c r="C398" s="218"/>
      <c r="D398" s="218"/>
      <c r="E398" s="433"/>
      <c r="F398" s="433"/>
      <c r="G398" s="433"/>
      <c r="H398" s="433"/>
      <c r="I398" s="433"/>
      <c r="J398" s="433"/>
      <c r="K398" s="532" t="s">
        <v>238</v>
      </c>
      <c r="L398" s="305"/>
      <c r="M398" s="305"/>
      <c r="N398" s="305"/>
      <c r="O398" s="305"/>
      <c r="P398" s="305"/>
      <c r="Q398" s="305"/>
      <c r="R398" s="305"/>
      <c r="S398" s="305"/>
      <c r="T398" s="305"/>
      <c r="U398" s="305"/>
    </row>
    <row r="399" spans="1:21" s="52" customFormat="1" ht="13.5" customHeight="1" thickBot="1">
      <c r="A399" s="427"/>
      <c r="B399" s="3377"/>
      <c r="C399" s="3380">
        <v>2022</v>
      </c>
      <c r="D399" s="3381"/>
      <c r="E399" s="3381"/>
      <c r="F399" s="3381"/>
      <c r="G399" s="3381"/>
      <c r="H399" s="3381"/>
      <c r="I399" s="3381"/>
      <c r="J399" s="3381"/>
      <c r="K399" s="3382"/>
      <c r="L399" s="305"/>
      <c r="M399" s="305"/>
      <c r="N399" s="305"/>
      <c r="O399" s="305"/>
      <c r="P399" s="305"/>
      <c r="Q399" s="305"/>
      <c r="R399" s="305"/>
      <c r="S399" s="305"/>
      <c r="T399" s="305"/>
      <c r="U399" s="305"/>
    </row>
    <row r="400" spans="1:21" s="52" customFormat="1" ht="13.5" customHeight="1" thickBot="1">
      <c r="A400" s="427"/>
      <c r="B400" s="3378"/>
      <c r="C400" s="3362" t="s">
        <v>436</v>
      </c>
      <c r="D400" s="3362" t="s">
        <v>437</v>
      </c>
      <c r="E400" s="3359" t="s">
        <v>438</v>
      </c>
      <c r="F400" s="3368"/>
      <c r="G400" s="3364" t="s">
        <v>439</v>
      </c>
      <c r="H400" s="3369" t="s">
        <v>440</v>
      </c>
      <c r="I400" s="3384" t="s">
        <v>474</v>
      </c>
      <c r="J400" s="3386" t="s">
        <v>118</v>
      </c>
      <c r="K400" s="3384" t="s">
        <v>441</v>
      </c>
      <c r="L400" s="305"/>
      <c r="M400" s="305"/>
      <c r="N400" s="305"/>
      <c r="O400" s="305"/>
      <c r="P400" s="305"/>
      <c r="Q400" s="305"/>
      <c r="R400" s="305"/>
      <c r="S400" s="305"/>
      <c r="T400" s="305"/>
      <c r="U400" s="305"/>
    </row>
    <row r="401" spans="1:21" s="52" customFormat="1" ht="13.5" customHeight="1" thickBot="1">
      <c r="A401" s="427"/>
      <c r="B401" s="3379"/>
      <c r="C401" s="3363"/>
      <c r="D401" s="3383"/>
      <c r="E401" s="1461" t="s">
        <v>442</v>
      </c>
      <c r="F401" s="1446" t="s">
        <v>443</v>
      </c>
      <c r="G401" s="3365"/>
      <c r="H401" s="3370"/>
      <c r="I401" s="3385"/>
      <c r="J401" s="3387"/>
      <c r="K401" s="3385"/>
      <c r="L401" s="305"/>
      <c r="M401" s="305"/>
      <c r="N401" s="305"/>
      <c r="O401" s="305"/>
      <c r="P401" s="305"/>
      <c r="Q401" s="305"/>
      <c r="R401" s="305"/>
      <c r="S401" s="305"/>
      <c r="T401" s="305"/>
      <c r="U401" s="305"/>
    </row>
    <row r="402" spans="1:21" s="52" customFormat="1" ht="13.5" customHeight="1">
      <c r="A402" s="427"/>
      <c r="B402" s="2248" t="s">
        <v>342</v>
      </c>
      <c r="C402" s="799">
        <v>5175</v>
      </c>
      <c r="D402" s="800">
        <v>401</v>
      </c>
      <c r="E402" s="807">
        <v>0</v>
      </c>
      <c r="F402" s="808">
        <v>121257</v>
      </c>
      <c r="G402" s="807">
        <v>6823827</v>
      </c>
      <c r="H402" s="808">
        <v>171555</v>
      </c>
      <c r="I402" s="807">
        <v>8063134</v>
      </c>
      <c r="J402" s="1498">
        <f>SUM(C402:I402)</f>
        <v>15185349</v>
      </c>
      <c r="K402" s="809">
        <v>3107308</v>
      </c>
      <c r="L402" s="305"/>
      <c r="M402" s="305"/>
      <c r="N402" s="305"/>
      <c r="O402" s="305"/>
      <c r="P402" s="305"/>
      <c r="Q402" s="305"/>
      <c r="R402" s="305"/>
      <c r="S402" s="305"/>
      <c r="T402" s="305"/>
      <c r="U402" s="305"/>
    </row>
    <row r="403" spans="1:21" s="52" customFormat="1" ht="13.5" customHeight="1">
      <c r="A403" s="427"/>
      <c r="B403" s="2246" t="s">
        <v>473</v>
      </c>
      <c r="C403" s="513">
        <v>0</v>
      </c>
      <c r="D403" s="798">
        <v>0</v>
      </c>
      <c r="E403" s="513"/>
      <c r="F403" s="798">
        <v>0</v>
      </c>
      <c r="G403" s="513">
        <v>0</v>
      </c>
      <c r="H403" s="798">
        <v>0</v>
      </c>
      <c r="I403" s="1866">
        <v>0</v>
      </c>
      <c r="J403" s="2303">
        <f>SUM(C403:I403)</f>
        <v>0</v>
      </c>
      <c r="K403" s="1866">
        <v>0</v>
      </c>
      <c r="L403" s="305"/>
      <c r="M403" s="305"/>
      <c r="N403" s="305"/>
      <c r="O403" s="305"/>
      <c r="P403" s="305"/>
      <c r="Q403" s="305"/>
      <c r="R403" s="305"/>
      <c r="S403" s="305"/>
      <c r="T403" s="305"/>
      <c r="U403" s="305"/>
    </row>
    <row r="404" spans="1:21" s="52" customFormat="1" ht="13.5" customHeight="1">
      <c r="A404" s="427"/>
      <c r="B404" s="2246" t="s">
        <v>445</v>
      </c>
      <c r="C404" s="513"/>
      <c r="D404" s="798"/>
      <c r="E404" s="513"/>
      <c r="F404" s="798"/>
      <c r="G404" s="513">
        <v>0</v>
      </c>
      <c r="H404" s="798">
        <v>0</v>
      </c>
      <c r="I404" s="1866">
        <v>0</v>
      </c>
      <c r="J404" s="2303">
        <f>SUM(C404:I404)</f>
        <v>0</v>
      </c>
      <c r="K404" s="1866">
        <v>0</v>
      </c>
      <c r="L404" s="305"/>
      <c r="M404" s="305"/>
      <c r="N404" s="305"/>
      <c r="O404" s="305"/>
      <c r="P404" s="305"/>
      <c r="Q404" s="305"/>
      <c r="R404" s="305"/>
      <c r="S404" s="305"/>
      <c r="T404" s="305"/>
      <c r="U404" s="305"/>
    </row>
    <row r="405" spans="1:21" s="52" customFormat="1" ht="13.5" customHeight="1">
      <c r="A405" s="427"/>
      <c r="B405" s="2246" t="s">
        <v>446</v>
      </c>
      <c r="C405" s="513">
        <v>0</v>
      </c>
      <c r="D405" s="798">
        <v>0</v>
      </c>
      <c r="E405" s="513"/>
      <c r="F405" s="801">
        <v>0</v>
      </c>
      <c r="G405" s="513">
        <v>0</v>
      </c>
      <c r="H405" s="798">
        <v>0</v>
      </c>
      <c r="I405" s="1866">
        <v>-168491</v>
      </c>
      <c r="J405" s="1499">
        <f>SUM(C405:I405)</f>
        <v>-168491</v>
      </c>
      <c r="K405" s="2304">
        <v>-515524</v>
      </c>
      <c r="L405" s="305"/>
      <c r="M405" s="305"/>
      <c r="N405" s="305"/>
      <c r="O405" s="305"/>
      <c r="P405" s="305"/>
      <c r="Q405" s="305"/>
      <c r="R405" s="305"/>
      <c r="S405" s="305"/>
      <c r="T405" s="305"/>
      <c r="U405" s="305"/>
    </row>
    <row r="406" spans="1:21" s="52" customFormat="1" ht="13.5" customHeight="1">
      <c r="A406" s="427"/>
      <c r="B406" s="2248" t="s">
        <v>447</v>
      </c>
      <c r="C406" s="2249">
        <v>5175</v>
      </c>
      <c r="D406" s="2250">
        <v>401</v>
      </c>
      <c r="E406" s="2249">
        <f>SUM(E402:E405)</f>
        <v>0</v>
      </c>
      <c r="F406" s="2250">
        <v>121257</v>
      </c>
      <c r="G406" s="2249">
        <v>6823827</v>
      </c>
      <c r="H406" s="2250">
        <v>171555</v>
      </c>
      <c r="I406" s="2249">
        <v>7894643</v>
      </c>
      <c r="J406" s="2305">
        <f>SUM(J402:J405)</f>
        <v>15016858</v>
      </c>
      <c r="K406" s="2299">
        <v>2591784</v>
      </c>
      <c r="L406" s="305"/>
      <c r="M406" s="305"/>
      <c r="N406" s="305"/>
      <c r="O406" s="305"/>
      <c r="P406" s="305"/>
      <c r="Q406" s="305"/>
      <c r="R406" s="305"/>
      <c r="S406" s="305"/>
      <c r="T406" s="305"/>
      <c r="U406" s="305"/>
    </row>
    <row r="407" spans="1:21" s="52" customFormat="1" ht="13.5" customHeight="1">
      <c r="A407" s="427"/>
      <c r="B407" s="2246" t="s">
        <v>448</v>
      </c>
      <c r="C407" s="2301"/>
      <c r="D407" s="2302"/>
      <c r="E407" s="2301"/>
      <c r="F407" s="2306">
        <v>227</v>
      </c>
      <c r="G407" s="2301">
        <v>13315</v>
      </c>
      <c r="H407" s="2302">
        <v>-12265</v>
      </c>
      <c r="I407" s="2301">
        <v>-492729</v>
      </c>
      <c r="J407" s="2303">
        <f>SUM(C407:I407)</f>
        <v>-491452</v>
      </c>
      <c r="K407" s="2304">
        <v>155038</v>
      </c>
      <c r="L407" s="305"/>
      <c r="M407" s="305"/>
      <c r="N407" s="305"/>
      <c r="O407" s="305"/>
      <c r="P407" s="305"/>
      <c r="Q407" s="305"/>
      <c r="R407" s="305"/>
      <c r="S407" s="305"/>
      <c r="T407" s="305"/>
      <c r="U407" s="305"/>
    </row>
    <row r="408" spans="1:21" s="52" customFormat="1" ht="13.5" customHeight="1">
      <c r="A408" s="427"/>
      <c r="B408" s="2248" t="s">
        <v>449</v>
      </c>
      <c r="C408" s="2249">
        <v>5175</v>
      </c>
      <c r="D408" s="2250">
        <v>401</v>
      </c>
      <c r="E408" s="2249">
        <f>SUM(E406:E407)</f>
        <v>0</v>
      </c>
      <c r="F408" s="2250">
        <v>121484</v>
      </c>
      <c r="G408" s="2249">
        <v>6837142</v>
      </c>
      <c r="H408" s="2250">
        <v>159290</v>
      </c>
      <c r="I408" s="2249">
        <v>7401914</v>
      </c>
      <c r="J408" s="2305">
        <f>SUM(C408:I408)</f>
        <v>14525406</v>
      </c>
      <c r="K408" s="2299">
        <v>2746822</v>
      </c>
      <c r="L408" s="305"/>
      <c r="M408" s="305"/>
      <c r="N408" s="305"/>
      <c r="O408" s="305"/>
      <c r="P408" s="305"/>
      <c r="Q408" s="305"/>
      <c r="R408" s="305"/>
      <c r="S408" s="305"/>
      <c r="T408" s="305"/>
      <c r="U408" s="305"/>
    </row>
    <row r="409" spans="1:21" s="52" customFormat="1" ht="13.5" customHeight="1">
      <c r="A409" s="427"/>
      <c r="B409" s="2246"/>
      <c r="C409" s="1866"/>
      <c r="D409" s="1865"/>
      <c r="E409" s="1866"/>
      <c r="F409" s="1865"/>
      <c r="G409" s="1866">
        <v>0</v>
      </c>
      <c r="H409" s="1865">
        <v>0</v>
      </c>
      <c r="I409" s="1866"/>
      <c r="J409" s="2303"/>
      <c r="K409" s="1866"/>
      <c r="L409" s="305"/>
      <c r="M409" s="305"/>
      <c r="N409" s="305"/>
      <c r="O409" s="305"/>
      <c r="P409" s="305"/>
      <c r="Q409" s="305"/>
      <c r="R409" s="305"/>
      <c r="S409" s="305"/>
      <c r="T409" s="305"/>
      <c r="U409" s="305"/>
    </row>
    <row r="410" spans="1:21" s="52" customFormat="1" ht="13.5" customHeight="1">
      <c r="A410" s="427"/>
      <c r="B410" s="2248" t="s">
        <v>450</v>
      </c>
      <c r="C410" s="1866"/>
      <c r="D410" s="1865"/>
      <c r="E410" s="1866">
        <f>SUM(E411:E413)</f>
        <v>0</v>
      </c>
      <c r="F410" s="1865"/>
      <c r="G410" s="1866">
        <v>0</v>
      </c>
      <c r="H410" s="1865">
        <v>0</v>
      </c>
      <c r="I410" s="1866"/>
      <c r="J410" s="2247">
        <f>SUM(J411:J413)</f>
        <v>-11932540</v>
      </c>
      <c r="K410" s="1866"/>
      <c r="L410" s="305"/>
      <c r="M410" s="305"/>
      <c r="N410" s="305"/>
      <c r="O410" s="305"/>
      <c r="P410" s="305"/>
      <c r="Q410" s="305"/>
      <c r="R410" s="305"/>
      <c r="S410" s="305"/>
      <c r="T410" s="305"/>
      <c r="U410" s="305"/>
    </row>
    <row r="411" spans="1:21" s="52" customFormat="1" ht="27.75" customHeight="1">
      <c r="A411" s="427"/>
      <c r="B411" s="2246" t="s">
        <v>451</v>
      </c>
      <c r="C411" s="2301">
        <v>-1385</v>
      </c>
      <c r="D411" s="2302">
        <v>0</v>
      </c>
      <c r="E411" s="2301"/>
      <c r="F411" s="2307">
        <v>-216791</v>
      </c>
      <c r="G411" s="2301">
        <v>-8961816</v>
      </c>
      <c r="H411" s="2302">
        <v>-98094</v>
      </c>
      <c r="I411" s="2301">
        <v>-1319977</v>
      </c>
      <c r="J411" s="2303">
        <f>SUM(C411:I411)</f>
        <v>-10598063</v>
      </c>
      <c r="K411" s="2304">
        <v>-2461372</v>
      </c>
      <c r="L411" s="305"/>
      <c r="M411" s="305"/>
      <c r="N411" s="305"/>
      <c r="O411" s="305"/>
      <c r="P411" s="305"/>
      <c r="Q411" s="305"/>
      <c r="R411" s="305"/>
      <c r="S411" s="305"/>
      <c r="T411" s="305"/>
      <c r="U411" s="305"/>
    </row>
    <row r="412" spans="1:21" s="52" customFormat="1" ht="27.75" customHeight="1">
      <c r="A412" s="427"/>
      <c r="B412" s="2246" t="s">
        <v>452</v>
      </c>
      <c r="C412" s="513">
        <v>0</v>
      </c>
      <c r="D412" s="798">
        <v>0</v>
      </c>
      <c r="E412" s="513"/>
      <c r="F412" s="802"/>
      <c r="G412" s="513">
        <v>0</v>
      </c>
      <c r="H412" s="798">
        <v>-684</v>
      </c>
      <c r="I412" s="513">
        <v>-1225100</v>
      </c>
      <c r="J412" s="2303">
        <f>SUM(C412:I412)</f>
        <v>-1225784</v>
      </c>
      <c r="K412" s="810">
        <v>-661591</v>
      </c>
      <c r="L412" s="305"/>
      <c r="M412" s="305"/>
      <c r="N412" s="305"/>
      <c r="O412" s="305"/>
      <c r="P412" s="305"/>
      <c r="Q412" s="305"/>
      <c r="R412" s="305"/>
      <c r="S412" s="305"/>
      <c r="T412" s="305"/>
      <c r="U412" s="305"/>
    </row>
    <row r="413" spans="1:21" s="52" customFormat="1" ht="24" customHeight="1">
      <c r="A413" s="427"/>
      <c r="B413" s="2246" t="s">
        <v>453</v>
      </c>
      <c r="C413" s="513">
        <v>0</v>
      </c>
      <c r="D413" s="798">
        <v>0</v>
      </c>
      <c r="E413" s="513"/>
      <c r="F413" s="802">
        <v>0</v>
      </c>
      <c r="G413" s="513">
        <v>0</v>
      </c>
      <c r="H413" s="798">
        <v>0</v>
      </c>
      <c r="I413" s="513">
        <v>-108693</v>
      </c>
      <c r="J413" s="2303">
        <f>SUM(C413:I413)</f>
        <v>-108693</v>
      </c>
      <c r="K413" s="513">
        <v>0</v>
      </c>
      <c r="L413" s="305"/>
      <c r="M413" s="305"/>
      <c r="N413" s="305"/>
      <c r="O413" s="305"/>
      <c r="P413" s="305"/>
      <c r="Q413" s="305"/>
      <c r="R413" s="305"/>
      <c r="S413" s="305"/>
      <c r="T413" s="305"/>
      <c r="U413" s="305"/>
    </row>
    <row r="414" spans="1:21" s="52" customFormat="1" ht="13.5" customHeight="1">
      <c r="A414" s="427"/>
      <c r="B414" s="2252" t="s">
        <v>454</v>
      </c>
      <c r="C414" s="2249">
        <v>3790</v>
      </c>
      <c r="D414" s="2250">
        <v>401</v>
      </c>
      <c r="E414" s="2249">
        <f>+E408+E411+E412+E413</f>
        <v>0</v>
      </c>
      <c r="F414" s="2250">
        <v>-95307</v>
      </c>
      <c r="G414" s="2249">
        <v>-2124674</v>
      </c>
      <c r="H414" s="2250">
        <v>60512</v>
      </c>
      <c r="I414" s="2249">
        <v>4748144</v>
      </c>
      <c r="J414" s="2251">
        <f>+J408+J411+J412+J413</f>
        <v>2592866</v>
      </c>
      <c r="K414" s="2249">
        <v>-376141</v>
      </c>
      <c r="L414" s="305"/>
      <c r="M414" s="305"/>
      <c r="N414" s="305"/>
      <c r="O414" s="305"/>
      <c r="P414" s="305"/>
      <c r="Q414" s="305"/>
      <c r="R414" s="305"/>
      <c r="S414" s="305"/>
      <c r="T414" s="305"/>
      <c r="U414" s="305"/>
    </row>
    <row r="415" spans="1:21" s="52" customFormat="1" ht="13.5" customHeight="1">
      <c r="A415" s="427"/>
      <c r="B415" s="2253"/>
      <c r="C415" s="1866"/>
      <c r="D415" s="1865"/>
      <c r="E415" s="1866"/>
      <c r="F415" s="1865"/>
      <c r="G415" s="1866">
        <v>0</v>
      </c>
      <c r="H415" s="1865"/>
      <c r="I415" s="1866"/>
      <c r="J415" s="2303"/>
      <c r="K415" s="1866"/>
      <c r="L415" s="305"/>
      <c r="M415" s="305"/>
      <c r="N415" s="305"/>
      <c r="O415" s="305"/>
      <c r="P415" s="305"/>
      <c r="Q415" s="305"/>
      <c r="R415" s="305"/>
      <c r="S415" s="305"/>
      <c r="T415" s="305"/>
      <c r="U415" s="305"/>
    </row>
    <row r="416" spans="1:21" s="52" customFormat="1" ht="13.5" customHeight="1">
      <c r="A416" s="427"/>
      <c r="B416" s="2248" t="s">
        <v>455</v>
      </c>
      <c r="C416" s="2254">
        <v>0</v>
      </c>
      <c r="D416" s="2255">
        <v>0</v>
      </c>
      <c r="E416" s="2254">
        <v>0</v>
      </c>
      <c r="F416" s="2255">
        <v>12240</v>
      </c>
      <c r="G416" s="2254">
        <v>74216</v>
      </c>
      <c r="H416" s="2255">
        <v>17462</v>
      </c>
      <c r="I416" s="2254">
        <v>2986350</v>
      </c>
      <c r="J416" s="2305">
        <f>SUM(J417:J421)</f>
        <v>3090268</v>
      </c>
      <c r="K416" s="2299">
        <v>1574141</v>
      </c>
      <c r="L416" s="305"/>
      <c r="M416" s="305"/>
      <c r="N416" s="305"/>
      <c r="O416" s="305"/>
      <c r="P416" s="305"/>
      <c r="Q416" s="305"/>
      <c r="R416" s="305"/>
      <c r="S416" s="305"/>
      <c r="T416" s="305"/>
      <c r="U416" s="305"/>
    </row>
    <row r="417" spans="1:21" s="52" customFormat="1" ht="13.5" customHeight="1">
      <c r="A417" s="427"/>
      <c r="B417" s="2246" t="s">
        <v>456</v>
      </c>
      <c r="C417" s="2254">
        <v>0</v>
      </c>
      <c r="D417" s="2255">
        <v>0</v>
      </c>
      <c r="E417" s="2254">
        <v>0</v>
      </c>
      <c r="F417" s="3032">
        <v>1282</v>
      </c>
      <c r="G417" s="2323">
        <v>0</v>
      </c>
      <c r="H417" s="3032">
        <v>20</v>
      </c>
      <c r="I417" s="2254">
        <v>0</v>
      </c>
      <c r="J417" s="2303">
        <f>SUM(F417:I417)</f>
        <v>1302</v>
      </c>
      <c r="K417" s="2301">
        <v>0</v>
      </c>
      <c r="L417" s="305"/>
      <c r="M417" s="305"/>
      <c r="N417" s="305"/>
      <c r="O417" s="305"/>
      <c r="P417" s="305"/>
      <c r="Q417" s="305"/>
      <c r="R417" s="305"/>
      <c r="S417" s="305"/>
      <c r="T417" s="305"/>
      <c r="U417" s="305"/>
    </row>
    <row r="418" spans="1:21" s="52" customFormat="1" ht="13.5" customHeight="1">
      <c r="A418" s="427"/>
      <c r="B418" s="2246" t="s">
        <v>472</v>
      </c>
      <c r="C418" s="2254">
        <v>0</v>
      </c>
      <c r="D418" s="2255">
        <v>0</v>
      </c>
      <c r="E418" s="2254">
        <v>0</v>
      </c>
      <c r="F418" s="3032">
        <v>2617</v>
      </c>
      <c r="G418" s="2323">
        <v>70319</v>
      </c>
      <c r="H418" s="3032">
        <v>16502</v>
      </c>
      <c r="I418" s="2323">
        <v>2929290</v>
      </c>
      <c r="J418" s="2303">
        <f>SUM(F418:I418)</f>
        <v>3018728</v>
      </c>
      <c r="K418" s="513">
        <v>274487</v>
      </c>
      <c r="L418" s="305"/>
      <c r="M418" s="305"/>
      <c r="N418" s="305"/>
      <c r="O418" s="305"/>
      <c r="P418" s="305"/>
      <c r="Q418" s="305"/>
      <c r="R418" s="305"/>
      <c r="S418" s="305"/>
      <c r="T418" s="305"/>
      <c r="U418" s="305"/>
    </row>
    <row r="419" spans="1:21" s="52" customFormat="1" ht="13.5" customHeight="1">
      <c r="A419" s="427"/>
      <c r="B419" s="2246" t="s">
        <v>458</v>
      </c>
      <c r="C419" s="2254"/>
      <c r="D419" s="2255"/>
      <c r="E419" s="2254"/>
      <c r="F419" s="3032"/>
      <c r="G419" s="2323"/>
      <c r="H419" s="3032"/>
      <c r="I419" s="2323"/>
      <c r="J419" s="2303">
        <f>SUM(F419:I419)</f>
        <v>0</v>
      </c>
      <c r="K419" s="513"/>
      <c r="L419" s="305"/>
      <c r="M419" s="305"/>
      <c r="N419" s="305"/>
      <c r="O419" s="305"/>
      <c r="P419" s="305"/>
      <c r="Q419" s="305"/>
      <c r="R419" s="305"/>
      <c r="S419" s="305"/>
      <c r="T419" s="305"/>
      <c r="U419" s="305"/>
    </row>
    <row r="420" spans="1:21" s="52" customFormat="1" ht="13.5" customHeight="1">
      <c r="A420" s="427"/>
      <c r="B420" s="2246" t="s">
        <v>459</v>
      </c>
      <c r="C420" s="2254"/>
      <c r="D420" s="2255"/>
      <c r="E420" s="2254"/>
      <c r="F420" s="3032"/>
      <c r="G420" s="2323"/>
      <c r="H420" s="3032"/>
      <c r="I420" s="2323"/>
      <c r="J420" s="2303">
        <f>SUM(F420:I420)</f>
        <v>0</v>
      </c>
      <c r="K420" s="513"/>
      <c r="L420" s="305"/>
      <c r="M420" s="305"/>
      <c r="N420" s="305"/>
      <c r="O420" s="305"/>
      <c r="P420" s="305"/>
      <c r="Q420" s="305"/>
      <c r="R420" s="305"/>
      <c r="S420" s="305"/>
      <c r="T420" s="305"/>
      <c r="U420" s="305"/>
    </row>
    <row r="421" spans="1:21" s="52" customFormat="1" ht="13.5" customHeight="1">
      <c r="A421" s="427"/>
      <c r="B421" s="2246" t="s">
        <v>460</v>
      </c>
      <c r="C421" s="2254">
        <v>0</v>
      </c>
      <c r="D421" s="2255">
        <v>0</v>
      </c>
      <c r="E421" s="2254">
        <v>0</v>
      </c>
      <c r="F421" s="3032">
        <v>8341</v>
      </c>
      <c r="G421" s="2323">
        <v>3897</v>
      </c>
      <c r="H421" s="3032">
        <v>940</v>
      </c>
      <c r="I421" s="2323">
        <v>57060</v>
      </c>
      <c r="J421" s="2303">
        <f>SUM(F421:I421)</f>
        <v>70238</v>
      </c>
      <c r="K421" s="513">
        <v>1299654</v>
      </c>
      <c r="L421" s="305"/>
      <c r="M421" s="305"/>
      <c r="N421" s="305"/>
      <c r="O421" s="305"/>
      <c r="P421" s="305"/>
      <c r="Q421" s="305"/>
      <c r="R421" s="305"/>
      <c r="S421" s="305"/>
      <c r="T421" s="305"/>
      <c r="U421" s="305"/>
    </row>
    <row r="422" spans="1:21" s="52" customFormat="1" ht="13.5" customHeight="1">
      <c r="A422" s="427"/>
      <c r="B422" s="2246"/>
      <c r="C422" s="2254"/>
      <c r="D422" s="2255"/>
      <c r="E422" s="2254"/>
      <c r="F422" s="2255"/>
      <c r="G422" s="2254">
        <v>0</v>
      </c>
      <c r="H422" s="2255"/>
      <c r="I422" s="2254"/>
      <c r="J422" s="2303"/>
      <c r="K422" s="1866"/>
      <c r="L422" s="305"/>
      <c r="M422" s="305"/>
      <c r="N422" s="305"/>
      <c r="O422" s="305"/>
      <c r="P422" s="305"/>
      <c r="Q422" s="305"/>
      <c r="R422" s="305"/>
      <c r="S422" s="305"/>
      <c r="T422" s="305"/>
      <c r="U422" s="305"/>
    </row>
    <row r="423" spans="1:21" s="52" customFormat="1" ht="13.5" customHeight="1">
      <c r="A423" s="427"/>
      <c r="B423" s="2248" t="s">
        <v>461</v>
      </c>
      <c r="C423" s="2254"/>
      <c r="D423" s="2255"/>
      <c r="E423" s="2254"/>
      <c r="F423" s="2255"/>
      <c r="G423" s="2254"/>
      <c r="H423" s="2255"/>
      <c r="I423" s="2254"/>
      <c r="J423" s="2303">
        <f>SUM(J424+J425)</f>
        <v>-361129</v>
      </c>
      <c r="K423" s="1866"/>
      <c r="L423" s="305"/>
      <c r="M423" s="305"/>
      <c r="N423" s="305"/>
      <c r="O423" s="305"/>
      <c r="P423" s="305"/>
      <c r="Q423" s="305"/>
      <c r="R423" s="305"/>
      <c r="S423" s="305"/>
      <c r="T423" s="305"/>
      <c r="U423" s="305"/>
    </row>
    <row r="424" spans="1:21" s="52" customFormat="1" ht="27.75" customHeight="1">
      <c r="A424" s="427"/>
      <c r="B424" s="2246" t="s">
        <v>462</v>
      </c>
      <c r="C424" s="2254"/>
      <c r="D424" s="2255"/>
      <c r="E424" s="2254"/>
      <c r="F424" s="3032">
        <v>-64857</v>
      </c>
      <c r="G424" s="2323">
        <v>-198836</v>
      </c>
      <c r="H424" s="3032">
        <v>-54445</v>
      </c>
      <c r="I424" s="2323">
        <v>-42991</v>
      </c>
      <c r="J424" s="2303">
        <f>SUM(F424:I424)</f>
        <v>-361129</v>
      </c>
      <c r="K424" s="2301">
        <v>-36152</v>
      </c>
      <c r="L424" s="305"/>
      <c r="M424" s="305"/>
      <c r="N424" s="305"/>
      <c r="O424" s="305"/>
      <c r="P424" s="305"/>
      <c r="Q424" s="305"/>
      <c r="R424" s="305"/>
      <c r="S424" s="305"/>
      <c r="T424" s="305"/>
      <c r="U424" s="305"/>
    </row>
    <row r="425" spans="1:21" s="52" customFormat="1" ht="26.25" customHeight="1">
      <c r="A425" s="427"/>
      <c r="B425" s="2246" t="s">
        <v>463</v>
      </c>
      <c r="C425" s="2254"/>
      <c r="D425" s="2255"/>
      <c r="E425" s="2254"/>
      <c r="F425" s="2255"/>
      <c r="G425" s="2254">
        <v>0</v>
      </c>
      <c r="H425" s="2255"/>
      <c r="I425" s="2254">
        <v>0</v>
      </c>
      <c r="J425" s="2303"/>
      <c r="K425" s="1866">
        <v>0</v>
      </c>
      <c r="L425" s="305"/>
      <c r="M425" s="305"/>
      <c r="N425" s="305"/>
      <c r="O425" s="305"/>
      <c r="P425" s="305"/>
      <c r="Q425" s="305"/>
      <c r="R425" s="305"/>
      <c r="S425" s="305"/>
      <c r="T425" s="305"/>
      <c r="U425" s="305"/>
    </row>
    <row r="426" spans="1:21" s="52" customFormat="1" ht="13.5" customHeight="1">
      <c r="A426" s="427"/>
      <c r="B426" s="2248" t="s">
        <v>464</v>
      </c>
      <c r="C426" s="2254">
        <v>3790</v>
      </c>
      <c r="D426" s="2255">
        <v>401</v>
      </c>
      <c r="E426" s="2254">
        <v>0</v>
      </c>
      <c r="F426" s="2255">
        <v>-147924</v>
      </c>
      <c r="G426" s="2254">
        <v>-2249294</v>
      </c>
      <c r="H426" s="2255">
        <v>23529</v>
      </c>
      <c r="I426" s="2254">
        <v>7691503</v>
      </c>
      <c r="J426" s="2305">
        <f>+J414+J416+J423</f>
        <v>5322005</v>
      </c>
      <c r="K426" s="2299">
        <v>1161848</v>
      </c>
      <c r="L426" s="305"/>
      <c r="M426" s="305"/>
      <c r="N426" s="305"/>
      <c r="O426" s="305"/>
      <c r="P426" s="305"/>
      <c r="Q426" s="305"/>
      <c r="R426" s="305"/>
      <c r="S426" s="305"/>
      <c r="T426" s="305"/>
      <c r="U426" s="305"/>
    </row>
    <row r="427" spans="1:21" s="52" customFormat="1" ht="13.5" customHeight="1">
      <c r="A427" s="427"/>
      <c r="B427" s="2246" t="s">
        <v>465</v>
      </c>
      <c r="C427" s="2323">
        <v>0</v>
      </c>
      <c r="D427" s="3032">
        <v>0</v>
      </c>
      <c r="E427" s="2323">
        <v>0</v>
      </c>
      <c r="F427" s="3032">
        <v>-38</v>
      </c>
      <c r="G427" s="2323">
        <v>-117</v>
      </c>
      <c r="H427" s="3032">
        <v>-32</v>
      </c>
      <c r="I427" s="2323">
        <v>-5616</v>
      </c>
      <c r="J427" s="2303">
        <f>SUM(F427:I427)</f>
        <v>-5803</v>
      </c>
      <c r="K427" s="2301">
        <v>-21</v>
      </c>
      <c r="L427" s="305"/>
      <c r="M427" s="305"/>
      <c r="N427" s="305"/>
      <c r="O427" s="305"/>
      <c r="P427" s="305"/>
      <c r="Q427" s="305"/>
      <c r="R427" s="305"/>
      <c r="S427" s="305"/>
      <c r="T427" s="305"/>
      <c r="U427" s="305"/>
    </row>
    <row r="428" spans="1:21" s="52" customFormat="1" ht="13.5" customHeight="1">
      <c r="A428" s="427"/>
      <c r="B428" s="2256" t="s">
        <v>466</v>
      </c>
      <c r="C428" s="2323">
        <v>3790</v>
      </c>
      <c r="D428" s="3032">
        <v>401</v>
      </c>
      <c r="E428" s="2323">
        <v>0</v>
      </c>
      <c r="F428" s="3032">
        <v>-147962</v>
      </c>
      <c r="G428" s="2323">
        <v>-2249411</v>
      </c>
      <c r="H428" s="3032">
        <v>23497</v>
      </c>
      <c r="I428" s="2323">
        <v>7685887</v>
      </c>
      <c r="J428" s="2305">
        <f>SUM(J426:J427)</f>
        <v>5316202</v>
      </c>
      <c r="K428" s="2249">
        <v>1161827</v>
      </c>
      <c r="L428" s="305"/>
      <c r="M428" s="305"/>
      <c r="N428" s="305"/>
      <c r="O428" s="305"/>
      <c r="P428" s="305"/>
      <c r="Q428" s="305"/>
      <c r="R428" s="305"/>
      <c r="S428" s="305"/>
      <c r="T428" s="305"/>
      <c r="U428" s="305"/>
    </row>
    <row r="429" spans="1:21" s="52" customFormat="1" ht="13.5" customHeight="1">
      <c r="A429" s="427"/>
      <c r="B429" s="2257" t="s">
        <v>467</v>
      </c>
      <c r="C429" s="2323">
        <v>0</v>
      </c>
      <c r="D429" s="3032">
        <v>0</v>
      </c>
      <c r="E429" s="2323">
        <v>0</v>
      </c>
      <c r="F429" s="3032">
        <v>0</v>
      </c>
      <c r="G429" s="2323">
        <v>0</v>
      </c>
      <c r="H429" s="3032">
        <v>0</v>
      </c>
      <c r="I429" s="2323">
        <v>-1726934</v>
      </c>
      <c r="J429" s="2303">
        <v>-1726934</v>
      </c>
      <c r="K429" s="2301"/>
      <c r="L429" s="305"/>
      <c r="M429" s="305"/>
      <c r="N429" s="305"/>
      <c r="O429" s="305"/>
      <c r="P429" s="305"/>
      <c r="Q429" s="305"/>
      <c r="R429" s="305"/>
      <c r="S429" s="305"/>
      <c r="T429" s="305"/>
      <c r="U429" s="305"/>
    </row>
    <row r="430" spans="1:21" s="52" customFormat="1" ht="13.5" customHeight="1" thickBot="1">
      <c r="A430" s="427"/>
      <c r="B430" s="1479" t="s">
        <v>468</v>
      </c>
      <c r="C430" s="3033">
        <v>3790</v>
      </c>
      <c r="D430" s="3034">
        <v>401</v>
      </c>
      <c r="E430" s="3033">
        <v>0</v>
      </c>
      <c r="F430" s="3034">
        <v>-147962</v>
      </c>
      <c r="G430" s="3033">
        <v>-2249411</v>
      </c>
      <c r="H430" s="3034">
        <v>23497</v>
      </c>
      <c r="I430" s="3033">
        <v>5958953</v>
      </c>
      <c r="J430" s="1480">
        <f>SUM(J428:J429)</f>
        <v>3589268</v>
      </c>
      <c r="K430" s="486">
        <v>1161827</v>
      </c>
      <c r="L430" s="305"/>
      <c r="M430" s="305"/>
      <c r="N430" s="305"/>
      <c r="O430" s="305"/>
      <c r="P430" s="305"/>
      <c r="Q430" s="305"/>
      <c r="R430" s="305"/>
      <c r="S430" s="305"/>
      <c r="T430" s="305"/>
      <c r="U430" s="305"/>
    </row>
    <row r="431" spans="1:21" s="52" customFormat="1" ht="13.5" customHeight="1">
      <c r="A431" s="427"/>
      <c r="B431" s="425"/>
      <c r="C431" s="553"/>
      <c r="D431" s="553"/>
      <c r="E431" s="553"/>
      <c r="F431" s="553"/>
      <c r="G431" s="553"/>
      <c r="H431" s="553"/>
      <c r="I431" s="553"/>
      <c r="J431" s="295"/>
      <c r="K431" s="415"/>
      <c r="L431" s="305"/>
      <c r="M431" s="305"/>
      <c r="N431" s="305"/>
      <c r="O431" s="305"/>
      <c r="P431" s="305"/>
      <c r="Q431" s="305"/>
      <c r="R431" s="305"/>
      <c r="S431" s="305"/>
      <c r="T431" s="305"/>
      <c r="U431" s="305"/>
    </row>
    <row r="432" spans="1:21" s="52" customFormat="1" ht="13.5" customHeight="1">
      <c r="A432" s="427"/>
      <c r="B432" s="455"/>
      <c r="C432" s="433"/>
      <c r="D432" s="433"/>
      <c r="E432" s="433"/>
      <c r="F432" s="433"/>
      <c r="G432" s="433"/>
      <c r="H432" s="433"/>
      <c r="I432" s="433"/>
      <c r="J432" s="431"/>
      <c r="K432" s="394">
        <v>121</v>
      </c>
      <c r="L432" s="305"/>
      <c r="M432" s="305"/>
      <c r="N432" s="305"/>
      <c r="O432" s="305"/>
      <c r="P432" s="305"/>
      <c r="Q432" s="305"/>
      <c r="R432" s="305"/>
      <c r="S432" s="305"/>
      <c r="T432" s="305"/>
      <c r="U432" s="305"/>
    </row>
    <row r="433" spans="1:21" s="52" customFormat="1" ht="12" customHeight="1">
      <c r="A433" s="427"/>
      <c r="B433" s="455"/>
      <c r="C433" s="433"/>
      <c r="D433" s="433"/>
      <c r="E433" s="433"/>
      <c r="F433" s="433"/>
      <c r="G433" s="433"/>
      <c r="H433" s="433"/>
      <c r="I433" s="433"/>
      <c r="J433" s="431"/>
      <c r="K433" s="394"/>
      <c r="L433" s="305"/>
      <c r="M433" s="305"/>
      <c r="N433" s="305"/>
      <c r="O433" s="305"/>
      <c r="P433" s="305"/>
      <c r="Q433" s="305"/>
      <c r="R433" s="305"/>
      <c r="S433" s="305"/>
      <c r="T433" s="305"/>
      <c r="U433" s="305"/>
    </row>
    <row r="434" spans="1:21" s="52" customFormat="1" ht="13.5" customHeight="1">
      <c r="A434" s="427"/>
      <c r="B434" s="295" t="s">
        <v>470</v>
      </c>
      <c r="C434" s="295"/>
      <c r="D434" s="295"/>
      <c r="E434" s="433"/>
      <c r="F434" s="433"/>
      <c r="G434" s="433"/>
      <c r="H434" s="433"/>
      <c r="I434" s="433"/>
      <c r="J434" s="431"/>
      <c r="K434" s="394"/>
      <c r="L434" s="305"/>
      <c r="M434" s="305"/>
      <c r="N434" s="305"/>
      <c r="O434" s="305"/>
      <c r="P434" s="305"/>
      <c r="Q434" s="305"/>
      <c r="R434" s="305"/>
      <c r="S434" s="305"/>
      <c r="T434" s="305"/>
      <c r="U434" s="305"/>
    </row>
    <row r="435" spans="1:21" s="52" customFormat="1" ht="13.5" customHeight="1" thickBot="1">
      <c r="A435" s="427"/>
      <c r="B435" s="218"/>
      <c r="C435" s="218"/>
      <c r="D435" s="218"/>
      <c r="E435" s="433"/>
      <c r="F435" s="433"/>
      <c r="G435" s="433"/>
      <c r="H435" s="433"/>
      <c r="I435" s="433"/>
      <c r="J435" s="431"/>
      <c r="K435" s="394"/>
      <c r="L435" s="305"/>
      <c r="M435" s="305"/>
      <c r="N435" s="305"/>
      <c r="O435" s="305"/>
      <c r="P435" s="305"/>
      <c r="Q435" s="305"/>
      <c r="R435" s="305"/>
      <c r="S435" s="305"/>
      <c r="T435" s="305"/>
      <c r="U435" s="305"/>
    </row>
    <row r="436" spans="1:21" s="52" customFormat="1" ht="13.5" customHeight="1">
      <c r="A436" s="427"/>
      <c r="B436" s="1481" t="s">
        <v>111</v>
      </c>
      <c r="C436" s="292"/>
      <c r="D436" s="292"/>
      <c r="E436" s="292"/>
      <c r="F436" s="292"/>
      <c r="G436" s="292"/>
      <c r="H436" s="292"/>
      <c r="I436" s="532" t="s">
        <v>238</v>
      </c>
      <c r="J436" s="431"/>
      <c r="K436" s="394"/>
      <c r="L436" s="305"/>
      <c r="M436" s="305"/>
      <c r="N436" s="305"/>
      <c r="O436" s="305"/>
      <c r="P436" s="305"/>
      <c r="Q436" s="305"/>
      <c r="R436" s="305"/>
      <c r="S436" s="305"/>
      <c r="T436" s="305"/>
      <c r="U436" s="305"/>
    </row>
    <row r="437" spans="1:21" s="52" customFormat="1" ht="13.5" customHeight="1">
      <c r="A437" s="427"/>
      <c r="B437" s="3283"/>
      <c r="C437" s="3359">
        <v>2022</v>
      </c>
      <c r="D437" s="3360"/>
      <c r="E437" s="3360"/>
      <c r="F437" s="3360"/>
      <c r="G437" s="3360"/>
      <c r="H437" s="3360"/>
      <c r="I437" s="3361"/>
      <c r="J437" s="431"/>
      <c r="K437" s="394"/>
      <c r="L437" s="305"/>
      <c r="M437" s="305"/>
      <c r="N437" s="305"/>
      <c r="O437" s="305"/>
      <c r="P437" s="305"/>
      <c r="Q437" s="305"/>
      <c r="R437" s="305"/>
      <c r="S437" s="305"/>
      <c r="T437" s="305"/>
      <c r="U437" s="305"/>
    </row>
    <row r="438" spans="1:21" s="52" customFormat="1" ht="13.5" customHeight="1">
      <c r="A438" s="427"/>
      <c r="B438" s="3284"/>
      <c r="C438" s="3362" t="s">
        <v>436</v>
      </c>
      <c r="D438" s="3362" t="s">
        <v>437</v>
      </c>
      <c r="E438" s="3359" t="s">
        <v>438</v>
      </c>
      <c r="F438" s="3361"/>
      <c r="G438" s="3364" t="s">
        <v>439</v>
      </c>
      <c r="H438" s="3364" t="s">
        <v>440</v>
      </c>
      <c r="I438" s="3362" t="s">
        <v>118</v>
      </c>
      <c r="J438" s="431"/>
      <c r="K438" s="394"/>
      <c r="L438" s="305"/>
      <c r="M438" s="305"/>
      <c r="N438" s="305"/>
      <c r="O438" s="305"/>
      <c r="P438" s="305"/>
      <c r="Q438" s="305"/>
      <c r="R438" s="305"/>
      <c r="S438" s="305"/>
      <c r="T438" s="305"/>
      <c r="U438" s="305"/>
    </row>
    <row r="439" spans="1:21" s="52" customFormat="1" ht="13.5" customHeight="1" thickBot="1">
      <c r="A439" s="427"/>
      <c r="B439" s="3285"/>
      <c r="C439" s="3363"/>
      <c r="D439" s="3363"/>
      <c r="E439" s="1461" t="s">
        <v>442</v>
      </c>
      <c r="F439" s="1461" t="s">
        <v>443</v>
      </c>
      <c r="G439" s="3365"/>
      <c r="H439" s="3365"/>
      <c r="I439" s="3363"/>
      <c r="J439" s="431"/>
      <c r="K439" s="394"/>
      <c r="L439" s="305"/>
      <c r="M439" s="305"/>
      <c r="N439" s="305"/>
      <c r="O439" s="305"/>
      <c r="P439" s="305"/>
      <c r="Q439" s="305"/>
      <c r="R439" s="305"/>
      <c r="S439" s="305"/>
      <c r="T439" s="305"/>
      <c r="U439" s="305"/>
    </row>
    <row r="440" spans="1:21" s="52" customFormat="1" ht="13.5" customHeight="1">
      <c r="A440" s="427"/>
      <c r="B440" s="1486" t="s">
        <v>342</v>
      </c>
      <c r="C440" s="803">
        <v>341888.506075043</v>
      </c>
      <c r="D440" s="2274">
        <v>19909.518039999999</v>
      </c>
      <c r="E440" s="803"/>
      <c r="F440" s="2274">
        <v>1773181.0947499983</v>
      </c>
      <c r="G440" s="803">
        <v>83320.104640000034</v>
      </c>
      <c r="H440" s="2274">
        <v>237185.80673000013</v>
      </c>
      <c r="I440" s="1494">
        <f>SUM(C440:H440)</f>
        <v>2455485.0302350414</v>
      </c>
      <c r="J440" s="431"/>
      <c r="K440" s="394"/>
      <c r="L440" s="305"/>
      <c r="M440" s="305"/>
      <c r="N440" s="305"/>
      <c r="O440" s="305"/>
      <c r="P440" s="305"/>
      <c r="Q440" s="305"/>
      <c r="R440" s="305"/>
      <c r="S440" s="305"/>
      <c r="T440" s="305"/>
      <c r="U440" s="305"/>
    </row>
    <row r="441" spans="1:21" s="52" customFormat="1" ht="13.5" customHeight="1">
      <c r="A441" s="427"/>
      <c r="B441" s="2246" t="s">
        <v>473</v>
      </c>
      <c r="C441" s="804"/>
      <c r="D441" s="805"/>
      <c r="E441" s="804"/>
      <c r="F441" s="805"/>
      <c r="G441" s="804"/>
      <c r="H441" s="805"/>
      <c r="I441" s="2221">
        <f>SUM(C441:H441)</f>
        <v>0</v>
      </c>
      <c r="J441" s="431"/>
      <c r="K441" s="394"/>
      <c r="L441" s="305"/>
      <c r="M441" s="305"/>
      <c r="N441" s="305"/>
      <c r="O441" s="305"/>
      <c r="P441" s="305"/>
      <c r="Q441" s="305"/>
      <c r="R441" s="305"/>
      <c r="S441" s="305"/>
      <c r="T441" s="305"/>
      <c r="U441" s="305"/>
    </row>
    <row r="442" spans="1:21" s="52" customFormat="1" ht="13.5" customHeight="1">
      <c r="A442" s="427"/>
      <c r="B442" s="2246" t="s">
        <v>471</v>
      </c>
      <c r="C442" s="804">
        <v>-64922.369200000001</v>
      </c>
      <c r="D442" s="805">
        <v>-670.06058999999993</v>
      </c>
      <c r="E442" s="804"/>
      <c r="F442" s="805">
        <v>-41000.748393599977</v>
      </c>
      <c r="G442" s="804"/>
      <c r="H442" s="805">
        <v>-8279.8037199999999</v>
      </c>
      <c r="I442" s="2221">
        <f>SUM(C442:H442)</f>
        <v>-114872.98190359997</v>
      </c>
      <c r="J442" s="431"/>
      <c r="K442" s="394"/>
      <c r="L442" s="305"/>
      <c r="M442" s="305"/>
      <c r="N442" s="305"/>
      <c r="O442" s="305"/>
      <c r="P442" s="305"/>
      <c r="Q442" s="305"/>
      <c r="R442" s="305"/>
      <c r="S442" s="305"/>
      <c r="T442" s="305"/>
      <c r="U442" s="305"/>
    </row>
    <row r="443" spans="1:21" s="52" customFormat="1" ht="13.5" customHeight="1">
      <c r="A443" s="427"/>
      <c r="B443" s="2246" t="s">
        <v>446</v>
      </c>
      <c r="C443" s="804">
        <v>-226590.977089683</v>
      </c>
      <c r="D443" s="805">
        <v>-13193.113894521446</v>
      </c>
      <c r="E443" s="804"/>
      <c r="F443" s="805">
        <v>-48628.790092565003</v>
      </c>
      <c r="G443" s="804"/>
      <c r="H443" s="805">
        <v>-160027.28815934557</v>
      </c>
      <c r="I443" s="2221">
        <f>SUM(C443:H443)</f>
        <v>-448440.16923611501</v>
      </c>
      <c r="J443" s="431"/>
      <c r="K443" s="394"/>
      <c r="L443" s="305"/>
      <c r="M443" s="305"/>
      <c r="N443" s="305"/>
      <c r="O443" s="305"/>
      <c r="P443" s="305"/>
      <c r="Q443" s="305"/>
      <c r="R443" s="305"/>
      <c r="S443" s="305"/>
      <c r="T443" s="305"/>
      <c r="U443" s="305"/>
    </row>
    <row r="444" spans="1:21" s="52" customFormat="1" ht="13.5" customHeight="1">
      <c r="A444" s="427"/>
      <c r="B444" s="2248" t="s">
        <v>447</v>
      </c>
      <c r="C444" s="2264">
        <v>50375.414460753032</v>
      </c>
      <c r="D444" s="2263">
        <v>6047.2435554785534</v>
      </c>
      <c r="E444" s="2264"/>
      <c r="F444" s="2263">
        <v>1683551.5562638333</v>
      </c>
      <c r="G444" s="2264">
        <v>83320.104640000034</v>
      </c>
      <c r="H444" s="2263">
        <v>68878.714850654564</v>
      </c>
      <c r="I444" s="2229">
        <f>SUM(I440:I443)</f>
        <v>1892171.8790953264</v>
      </c>
      <c r="J444" s="431"/>
      <c r="K444" s="394"/>
      <c r="L444" s="305"/>
      <c r="M444" s="305"/>
      <c r="N444" s="305"/>
      <c r="O444" s="305"/>
      <c r="P444" s="305"/>
      <c r="Q444" s="305"/>
      <c r="R444" s="305"/>
      <c r="S444" s="305"/>
      <c r="T444" s="305"/>
      <c r="U444" s="305"/>
    </row>
    <row r="445" spans="1:21" s="52" customFormat="1" ht="13.5" customHeight="1">
      <c r="A445" s="427"/>
      <c r="B445" s="2246" t="s">
        <v>448</v>
      </c>
      <c r="C445" s="2275">
        <v>-13490.597601506759</v>
      </c>
      <c r="D445" s="2274">
        <v>-513.79351500879409</v>
      </c>
      <c r="E445" s="2275"/>
      <c r="F445" s="2274">
        <v>-68097.25694067443</v>
      </c>
      <c r="G445" s="2275">
        <v>8079.8959758334013</v>
      </c>
      <c r="H445" s="2274">
        <v>-15028.57936615162</v>
      </c>
      <c r="I445" s="2221">
        <f>SUM(C445:H445)</f>
        <v>-89050.331447508215</v>
      </c>
      <c r="J445" s="431"/>
      <c r="K445" s="394"/>
      <c r="L445" s="305"/>
      <c r="M445" s="305"/>
      <c r="N445" s="305"/>
      <c r="O445" s="305"/>
      <c r="P445" s="305"/>
      <c r="Q445" s="305"/>
      <c r="R445" s="305"/>
      <c r="S445" s="305"/>
      <c r="T445" s="305"/>
      <c r="U445" s="305"/>
    </row>
    <row r="446" spans="1:21" s="52" customFormat="1" ht="13.5" customHeight="1">
      <c r="A446" s="427"/>
      <c r="B446" s="2248" t="s">
        <v>449</v>
      </c>
      <c r="C446" s="2264">
        <v>36884.816859246275</v>
      </c>
      <c r="D446" s="2263">
        <v>5533.4500404697592</v>
      </c>
      <c r="E446" s="2264"/>
      <c r="F446" s="2263">
        <v>1615454.2993231588</v>
      </c>
      <c r="G446" s="2264">
        <v>91400.000615833429</v>
      </c>
      <c r="H446" s="2263">
        <v>53850.135484502942</v>
      </c>
      <c r="I446" s="2229">
        <f>SUM(I444:I445)</f>
        <v>1803121.5476478182</v>
      </c>
      <c r="J446" s="431"/>
      <c r="K446" s="394"/>
      <c r="L446" s="305"/>
      <c r="M446" s="305"/>
      <c r="N446" s="305"/>
      <c r="O446" s="305"/>
      <c r="P446" s="305"/>
      <c r="Q446" s="305"/>
      <c r="R446" s="305"/>
      <c r="S446" s="305"/>
      <c r="T446" s="305"/>
      <c r="U446" s="305"/>
    </row>
    <row r="447" spans="1:21" s="52" customFormat="1" ht="13.5" customHeight="1">
      <c r="A447" s="427"/>
      <c r="B447" s="2246"/>
      <c r="C447" s="2267"/>
      <c r="D447" s="2266"/>
      <c r="E447" s="2267"/>
      <c r="F447" s="2266"/>
      <c r="G447" s="2267"/>
      <c r="H447" s="2266"/>
      <c r="I447" s="2221">
        <v>0</v>
      </c>
      <c r="J447" s="431"/>
      <c r="K447" s="394"/>
      <c r="L447" s="305"/>
      <c r="M447" s="305"/>
      <c r="N447" s="305"/>
      <c r="O447" s="305"/>
      <c r="P447" s="305"/>
      <c r="Q447" s="305"/>
      <c r="R447" s="305"/>
      <c r="S447" s="305"/>
      <c r="T447" s="305"/>
      <c r="U447" s="305"/>
    </row>
    <row r="448" spans="1:21" s="52" customFormat="1" ht="13.5" customHeight="1">
      <c r="A448" s="427"/>
      <c r="B448" s="2248" t="s">
        <v>450</v>
      </c>
      <c r="C448" s="2269"/>
      <c r="D448" s="2268"/>
      <c r="E448" s="2269"/>
      <c r="F448" s="2268"/>
      <c r="G448" s="2269"/>
      <c r="H448" s="2268"/>
      <c r="I448" s="1928">
        <f>SUM(I449:I451)</f>
        <v>-1270043.6610509937</v>
      </c>
      <c r="J448" s="431"/>
      <c r="K448" s="394"/>
      <c r="L448" s="305"/>
      <c r="M448" s="305"/>
      <c r="N448" s="305"/>
      <c r="O448" s="305"/>
      <c r="P448" s="305"/>
      <c r="Q448" s="305"/>
      <c r="R448" s="305"/>
      <c r="S448" s="305"/>
      <c r="T448" s="305"/>
      <c r="U448" s="305"/>
    </row>
    <row r="449" spans="1:21" s="52" customFormat="1" ht="25.5" customHeight="1">
      <c r="A449" s="427"/>
      <c r="B449" s="2246" t="s">
        <v>451</v>
      </c>
      <c r="C449" s="2275">
        <v>-12764.798623778304</v>
      </c>
      <c r="D449" s="2274">
        <v>-4913.1068791064299</v>
      </c>
      <c r="E449" s="2275"/>
      <c r="F449" s="2274">
        <v>-986005.95965327497</v>
      </c>
      <c r="G449" s="2275">
        <v>-84066.280377879375</v>
      </c>
      <c r="H449" s="2274">
        <v>-10269.685078392446</v>
      </c>
      <c r="I449" s="2221">
        <f>SUM(C449:H449)</f>
        <v>-1098019.8306124315</v>
      </c>
      <c r="J449" s="431"/>
      <c r="K449" s="394"/>
      <c r="L449" s="305"/>
      <c r="M449" s="305"/>
      <c r="N449" s="305"/>
      <c r="O449" s="305"/>
      <c r="P449" s="305"/>
      <c r="Q449" s="305"/>
      <c r="R449" s="305"/>
      <c r="S449" s="305"/>
      <c r="T449" s="305"/>
      <c r="U449" s="305"/>
    </row>
    <row r="450" spans="1:21" s="52" customFormat="1" ht="25.5" customHeight="1">
      <c r="A450" s="427"/>
      <c r="B450" s="2246" t="s">
        <v>452</v>
      </c>
      <c r="C450" s="804">
        <v>20057.2667269097</v>
      </c>
      <c r="D450" s="805">
        <v>1993.0192311034446</v>
      </c>
      <c r="E450" s="804"/>
      <c r="F450" s="805">
        <v>-199544.50360541922</v>
      </c>
      <c r="G450" s="804">
        <v>-2579.0059420833345</v>
      </c>
      <c r="H450" s="805">
        <v>8049.3931509272697</v>
      </c>
      <c r="I450" s="2221">
        <f>SUM(C450:H450)</f>
        <v>-172023.83043856214</v>
      </c>
      <c r="J450" s="431"/>
      <c r="K450" s="394"/>
      <c r="L450" s="305"/>
      <c r="M450" s="305"/>
      <c r="N450" s="305"/>
      <c r="O450" s="305"/>
      <c r="P450" s="305"/>
      <c r="Q450" s="305"/>
      <c r="R450" s="305"/>
      <c r="S450" s="305"/>
      <c r="T450" s="305"/>
      <c r="U450" s="305"/>
    </row>
    <row r="451" spans="1:21" s="52" customFormat="1" ht="26.25" customHeight="1">
      <c r="A451" s="427"/>
      <c r="B451" s="2246" t="s">
        <v>453</v>
      </c>
      <c r="C451" s="2269"/>
      <c r="D451" s="2268"/>
      <c r="E451" s="2269"/>
      <c r="F451" s="2268"/>
      <c r="G451" s="2269"/>
      <c r="H451" s="2268"/>
      <c r="I451" s="2221">
        <f>SUM(C451:H451)</f>
        <v>0</v>
      </c>
      <c r="J451" s="431"/>
      <c r="K451" s="394"/>
      <c r="L451" s="305"/>
      <c r="M451" s="305"/>
      <c r="N451" s="305"/>
      <c r="O451" s="305"/>
      <c r="P451" s="305"/>
      <c r="Q451" s="305"/>
      <c r="R451" s="305"/>
      <c r="S451" s="305"/>
      <c r="T451" s="305"/>
      <c r="U451" s="305"/>
    </row>
    <row r="452" spans="1:21" s="52" customFormat="1" ht="13.5" customHeight="1">
      <c r="A452" s="427"/>
      <c r="B452" s="2252" t="s">
        <v>454</v>
      </c>
      <c r="C452" s="2264">
        <v>44177.284962377671</v>
      </c>
      <c r="D452" s="2263">
        <v>2613.3623924667736</v>
      </c>
      <c r="E452" s="2264">
        <v>0</v>
      </c>
      <c r="F452" s="2263">
        <v>429903.83606446465</v>
      </c>
      <c r="G452" s="2264">
        <v>4754.7142958707191</v>
      </c>
      <c r="H452" s="2263">
        <v>51629.843557037762</v>
      </c>
      <c r="I452" s="2229">
        <f>+I446+I449+I450+I451</f>
        <v>533077.88659682451</v>
      </c>
      <c r="J452" s="431"/>
      <c r="K452" s="394"/>
      <c r="L452" s="305"/>
      <c r="M452" s="305"/>
      <c r="N452" s="305"/>
      <c r="O452" s="305"/>
      <c r="P452" s="305"/>
      <c r="Q452" s="305"/>
      <c r="R452" s="305"/>
      <c r="S452" s="305"/>
      <c r="T452" s="305"/>
      <c r="U452" s="305"/>
    </row>
    <row r="453" spans="1:21" s="52" customFormat="1" ht="13.5" customHeight="1">
      <c r="A453" s="427"/>
      <c r="B453" s="2253"/>
      <c r="C453" s="2267"/>
      <c r="D453" s="2266"/>
      <c r="E453" s="2267"/>
      <c r="F453" s="2266"/>
      <c r="G453" s="2267"/>
      <c r="H453" s="2266"/>
      <c r="I453" s="2277"/>
      <c r="J453" s="431"/>
      <c r="K453" s="394"/>
      <c r="L453" s="305"/>
      <c r="M453" s="305"/>
      <c r="N453" s="305"/>
      <c r="O453" s="305"/>
      <c r="P453" s="305"/>
      <c r="Q453" s="305"/>
      <c r="R453" s="305"/>
      <c r="S453" s="305"/>
      <c r="T453" s="305"/>
      <c r="U453" s="305"/>
    </row>
    <row r="454" spans="1:21" s="52" customFormat="1" ht="13.5" customHeight="1">
      <c r="A454" s="427"/>
      <c r="B454" s="2248" t="s">
        <v>455</v>
      </c>
      <c r="C454" s="2254"/>
      <c r="D454" s="2255"/>
      <c r="E454" s="2254"/>
      <c r="F454" s="2255"/>
      <c r="G454" s="2254"/>
      <c r="H454" s="2255"/>
      <c r="I454" s="2277">
        <f>SUM(I455:I459)</f>
        <v>453015</v>
      </c>
      <c r="J454" s="431"/>
      <c r="K454" s="394"/>
      <c r="L454" s="305"/>
      <c r="M454" s="305"/>
      <c r="N454" s="305"/>
      <c r="O454" s="305"/>
      <c r="P454" s="305"/>
      <c r="Q454" s="305"/>
      <c r="R454" s="305"/>
      <c r="S454" s="305"/>
      <c r="T454" s="305"/>
      <c r="U454" s="305"/>
    </row>
    <row r="455" spans="1:21" s="52" customFormat="1" ht="13.5" customHeight="1">
      <c r="A455" s="427"/>
      <c r="B455" s="2246" t="s">
        <v>456</v>
      </c>
      <c r="C455" s="2254"/>
      <c r="D455" s="2255"/>
      <c r="E455" s="2254"/>
      <c r="F455" s="2255"/>
      <c r="G455" s="2254"/>
      <c r="H455" s="2255"/>
      <c r="I455" s="2296">
        <v>116030</v>
      </c>
      <c r="J455" s="431"/>
      <c r="K455" s="394"/>
      <c r="L455" s="305"/>
      <c r="M455" s="305"/>
      <c r="N455" s="305"/>
      <c r="O455" s="305"/>
      <c r="P455" s="305"/>
      <c r="Q455" s="305"/>
      <c r="R455" s="305"/>
      <c r="S455" s="305"/>
      <c r="T455" s="305"/>
      <c r="U455" s="305"/>
    </row>
    <row r="456" spans="1:21" s="52" customFormat="1" ht="13.5" customHeight="1">
      <c r="A456" s="427"/>
      <c r="B456" s="2246" t="s">
        <v>472</v>
      </c>
      <c r="C456" s="2254"/>
      <c r="D456" s="2255"/>
      <c r="E456" s="2254"/>
      <c r="F456" s="2255"/>
      <c r="G456" s="2254"/>
      <c r="H456" s="2255"/>
      <c r="I456" s="1495">
        <v>336985</v>
      </c>
      <c r="J456" s="431"/>
      <c r="K456" s="394"/>
      <c r="L456" s="305"/>
      <c r="M456" s="305"/>
      <c r="N456" s="305"/>
      <c r="O456" s="305"/>
      <c r="P456" s="305"/>
      <c r="Q456" s="305"/>
      <c r="R456" s="305"/>
      <c r="S456" s="305"/>
      <c r="T456" s="305"/>
      <c r="U456" s="305"/>
    </row>
    <row r="457" spans="1:21" s="52" customFormat="1" ht="13.5" customHeight="1">
      <c r="A457" s="427"/>
      <c r="B457" s="2246" t="s">
        <v>458</v>
      </c>
      <c r="C457" s="2254"/>
      <c r="D457" s="2255"/>
      <c r="E457" s="2254"/>
      <c r="F457" s="2255"/>
      <c r="G457" s="2254"/>
      <c r="H457" s="2255"/>
      <c r="I457" s="2221"/>
      <c r="J457" s="431"/>
      <c r="K457" s="394"/>
      <c r="L457" s="305"/>
      <c r="M457" s="305"/>
      <c r="N457" s="305"/>
      <c r="O457" s="305"/>
      <c r="P457" s="305"/>
      <c r="Q457" s="305"/>
      <c r="R457" s="305"/>
      <c r="S457" s="305"/>
      <c r="T457" s="305"/>
      <c r="U457" s="305"/>
    </row>
    <row r="458" spans="1:21" s="52" customFormat="1" ht="13.5" customHeight="1">
      <c r="A458" s="427"/>
      <c r="B458" s="2246" t="s">
        <v>459</v>
      </c>
      <c r="C458" s="2254"/>
      <c r="D458" s="2255"/>
      <c r="E458" s="2254"/>
      <c r="F458" s="2255"/>
      <c r="G458" s="2254"/>
      <c r="H458" s="2255"/>
      <c r="I458" s="2221"/>
      <c r="J458" s="431"/>
      <c r="K458" s="394"/>
      <c r="L458" s="305"/>
      <c r="M458" s="305"/>
      <c r="N458" s="305"/>
      <c r="O458" s="305"/>
      <c r="P458" s="305"/>
      <c r="Q458" s="305"/>
      <c r="R458" s="305"/>
      <c r="S458" s="305"/>
      <c r="T458" s="305"/>
      <c r="U458" s="305"/>
    </row>
    <row r="459" spans="1:21" s="52" customFormat="1" ht="13.5" customHeight="1">
      <c r="A459" s="427"/>
      <c r="B459" s="2246" t="s">
        <v>460</v>
      </c>
      <c r="C459" s="2254"/>
      <c r="D459" s="2255"/>
      <c r="E459" s="2254"/>
      <c r="F459" s="2255"/>
      <c r="G459" s="2254"/>
      <c r="H459" s="2255"/>
      <c r="I459" s="2221"/>
      <c r="J459" s="431"/>
      <c r="K459" s="394"/>
      <c r="L459" s="305"/>
      <c r="M459" s="305"/>
      <c r="N459" s="305"/>
      <c r="O459" s="305"/>
      <c r="P459" s="305"/>
      <c r="Q459" s="305"/>
      <c r="R459" s="305"/>
      <c r="S459" s="305"/>
      <c r="T459" s="305"/>
      <c r="U459" s="305"/>
    </row>
    <row r="460" spans="1:21" s="52" customFormat="1" ht="13.5" customHeight="1">
      <c r="A460" s="427"/>
      <c r="B460" s="2246"/>
      <c r="C460" s="2254"/>
      <c r="D460" s="2255"/>
      <c r="E460" s="2254"/>
      <c r="F460" s="2255"/>
      <c r="G460" s="2254"/>
      <c r="H460" s="2255"/>
      <c r="I460" s="2221"/>
      <c r="J460" s="431"/>
      <c r="K460" s="394"/>
      <c r="L460" s="305"/>
      <c r="M460" s="305"/>
      <c r="N460" s="305"/>
      <c r="O460" s="305"/>
      <c r="P460" s="305"/>
      <c r="Q460" s="305"/>
      <c r="R460" s="305"/>
      <c r="S460" s="305"/>
      <c r="T460" s="305"/>
      <c r="U460" s="305"/>
    </row>
    <row r="461" spans="1:21" s="52" customFormat="1" ht="13.5" customHeight="1">
      <c r="A461" s="427"/>
      <c r="B461" s="2248" t="s">
        <v>461</v>
      </c>
      <c r="C461" s="2254"/>
      <c r="D461" s="2255"/>
      <c r="E461" s="2254"/>
      <c r="F461" s="2255"/>
      <c r="G461" s="2254"/>
      <c r="H461" s="2255"/>
      <c r="I461" s="2221">
        <f>SUM(I462:I463)</f>
        <v>-719816</v>
      </c>
      <c r="J461" s="431"/>
      <c r="K461" s="394"/>
      <c r="L461" s="305"/>
      <c r="M461" s="305"/>
      <c r="N461" s="305"/>
      <c r="O461" s="305"/>
      <c r="P461" s="305"/>
      <c r="Q461" s="305"/>
      <c r="R461" s="305"/>
      <c r="S461" s="305"/>
      <c r="T461" s="305"/>
      <c r="U461" s="305"/>
    </row>
    <row r="462" spans="1:21" s="52" customFormat="1" ht="27" customHeight="1">
      <c r="A462" s="427"/>
      <c r="B462" s="2246" t="s">
        <v>462</v>
      </c>
      <c r="C462" s="2254"/>
      <c r="D462" s="2255"/>
      <c r="E462" s="2254"/>
      <c r="F462" s="2255"/>
      <c r="G462" s="2254"/>
      <c r="H462" s="2255"/>
      <c r="I462" s="2296">
        <v>-719816</v>
      </c>
      <c r="J462" s="431"/>
      <c r="K462" s="394"/>
      <c r="L462" s="305"/>
      <c r="M462" s="305"/>
      <c r="N462" s="305"/>
      <c r="O462" s="305"/>
      <c r="P462" s="305"/>
      <c r="Q462" s="305"/>
      <c r="R462" s="305"/>
      <c r="S462" s="305"/>
      <c r="T462" s="305"/>
      <c r="U462" s="305"/>
    </row>
    <row r="463" spans="1:21" s="52" customFormat="1" ht="27" customHeight="1">
      <c r="A463" s="427"/>
      <c r="B463" s="2246" t="s">
        <v>463</v>
      </c>
      <c r="C463" s="2254"/>
      <c r="D463" s="2255"/>
      <c r="E463" s="2254"/>
      <c r="F463" s="2255"/>
      <c r="G463" s="2254"/>
      <c r="H463" s="2255"/>
      <c r="I463" s="2221"/>
      <c r="J463" s="431"/>
      <c r="K463" s="394"/>
      <c r="L463" s="305"/>
      <c r="M463" s="305"/>
      <c r="N463" s="305"/>
      <c r="O463" s="305"/>
      <c r="P463" s="305"/>
      <c r="Q463" s="305"/>
      <c r="R463" s="305"/>
      <c r="S463" s="305"/>
      <c r="T463" s="305"/>
      <c r="U463" s="305"/>
    </row>
    <row r="464" spans="1:21" s="52" customFormat="1" ht="13.5" customHeight="1">
      <c r="A464" s="427"/>
      <c r="B464" s="2248" t="s">
        <v>464</v>
      </c>
      <c r="C464" s="2254"/>
      <c r="D464" s="2255"/>
      <c r="E464" s="2254"/>
      <c r="F464" s="2255"/>
      <c r="G464" s="2254"/>
      <c r="H464" s="2255"/>
      <c r="I464" s="2277">
        <f>+I452+I454+I461</f>
        <v>266276.88659682451</v>
      </c>
      <c r="J464" s="431"/>
      <c r="K464" s="394"/>
      <c r="L464" s="305"/>
      <c r="M464" s="305"/>
      <c r="N464" s="305"/>
      <c r="O464" s="305"/>
      <c r="P464" s="305"/>
      <c r="Q464" s="305"/>
      <c r="R464" s="305"/>
      <c r="S464" s="305"/>
      <c r="T464" s="305"/>
      <c r="U464" s="305"/>
    </row>
    <row r="465" spans="1:21" s="52" customFormat="1" ht="13.5" customHeight="1">
      <c r="A465" s="427"/>
      <c r="B465" s="2246" t="s">
        <v>465</v>
      </c>
      <c r="C465" s="2254"/>
      <c r="D465" s="2255"/>
      <c r="E465" s="2254"/>
      <c r="F465" s="2255"/>
      <c r="G465" s="2254"/>
      <c r="H465" s="2255"/>
      <c r="I465" s="2221">
        <v>-22798</v>
      </c>
      <c r="J465" s="431"/>
      <c r="K465" s="394"/>
      <c r="L465" s="305"/>
      <c r="M465" s="305"/>
      <c r="N465" s="305"/>
      <c r="O465" s="305"/>
      <c r="P465" s="305"/>
      <c r="Q465" s="305"/>
      <c r="R465" s="305"/>
      <c r="S465" s="305"/>
      <c r="T465" s="305"/>
      <c r="U465" s="305"/>
    </row>
    <row r="466" spans="1:21" s="52" customFormat="1" ht="13.5" customHeight="1">
      <c r="A466" s="427"/>
      <c r="B466" s="2256" t="s">
        <v>466</v>
      </c>
      <c r="C466" s="2254"/>
      <c r="D466" s="2255"/>
      <c r="E466" s="2254"/>
      <c r="F466" s="2255"/>
      <c r="G466" s="2254"/>
      <c r="H466" s="2255"/>
      <c r="I466" s="2277">
        <f>SUM(I464:I465)</f>
        <v>243478.88659682451</v>
      </c>
      <c r="J466" s="431"/>
      <c r="K466" s="394"/>
      <c r="L466" s="305"/>
      <c r="M466" s="305"/>
      <c r="N466" s="305"/>
      <c r="O466" s="305"/>
      <c r="P466" s="305"/>
      <c r="Q466" s="305"/>
      <c r="R466" s="305"/>
      <c r="S466" s="305"/>
      <c r="T466" s="305"/>
      <c r="U466" s="305"/>
    </row>
    <row r="467" spans="1:21" s="52" customFormat="1" ht="13.5" customHeight="1">
      <c r="A467" s="427"/>
      <c r="B467" s="2257" t="s">
        <v>467</v>
      </c>
      <c r="C467" s="2254"/>
      <c r="D467" s="2255"/>
      <c r="E467" s="2254"/>
      <c r="F467" s="2255"/>
      <c r="G467" s="2254"/>
      <c r="H467" s="2255"/>
      <c r="I467" s="2296">
        <v>-84702</v>
      </c>
      <c r="J467" s="431"/>
      <c r="K467" s="394"/>
      <c r="L467" s="305"/>
      <c r="M467" s="305"/>
      <c r="N467" s="305"/>
      <c r="O467" s="305"/>
      <c r="P467" s="305"/>
      <c r="Q467" s="305"/>
      <c r="R467" s="305"/>
      <c r="S467" s="305"/>
      <c r="T467" s="305"/>
      <c r="U467" s="305"/>
    </row>
    <row r="468" spans="1:21" s="52" customFormat="1" ht="13.5" customHeight="1" thickBot="1">
      <c r="A468" s="427"/>
      <c r="B468" s="1479" t="s">
        <v>468</v>
      </c>
      <c r="C468" s="488"/>
      <c r="D468" s="1107"/>
      <c r="E468" s="488"/>
      <c r="F468" s="1107"/>
      <c r="G468" s="488"/>
      <c r="H468" s="1107"/>
      <c r="I468" s="1489">
        <f>SUM(I466:I467)</f>
        <v>158776.88659682451</v>
      </c>
      <c r="J468" s="431"/>
      <c r="K468" s="394"/>
      <c r="L468" s="305"/>
      <c r="M468" s="305"/>
      <c r="N468" s="305"/>
      <c r="O468" s="305"/>
      <c r="P468" s="305"/>
      <c r="Q468" s="305"/>
      <c r="R468" s="305"/>
      <c r="S468" s="305"/>
      <c r="T468" s="305"/>
      <c r="U468" s="305"/>
    </row>
    <row r="469" spans="1:21" s="52" customFormat="1" ht="13.5" customHeight="1">
      <c r="A469" s="427"/>
      <c r="B469" s="218"/>
      <c r="C469" s="218"/>
      <c r="D469" s="218"/>
      <c r="E469" s="433"/>
      <c r="F469" s="433"/>
      <c r="G469" s="433"/>
      <c r="H469" s="433"/>
      <c r="I469" s="433"/>
      <c r="J469" s="431"/>
      <c r="K469" s="394"/>
      <c r="L469" s="305"/>
      <c r="M469" s="305"/>
      <c r="N469" s="305"/>
      <c r="O469" s="305"/>
      <c r="P469" s="305"/>
      <c r="Q469" s="305"/>
      <c r="R469" s="305"/>
      <c r="S469" s="305"/>
      <c r="T469" s="305"/>
      <c r="U469" s="305"/>
    </row>
    <row r="470" spans="1:21" s="52" customFormat="1" ht="13.5" customHeight="1">
      <c r="A470" s="427"/>
      <c r="B470" s="218"/>
      <c r="C470" s="218"/>
      <c r="D470" s="218"/>
      <c r="E470" s="433"/>
      <c r="F470" s="433"/>
      <c r="G470" s="433"/>
      <c r="H470" s="433"/>
      <c r="I470" s="433"/>
      <c r="J470" s="431"/>
      <c r="K470" s="394">
        <v>122</v>
      </c>
      <c r="L470" s="305"/>
      <c r="M470" s="305"/>
      <c r="N470" s="305"/>
      <c r="O470" s="305"/>
      <c r="P470" s="305"/>
      <c r="Q470" s="305"/>
      <c r="R470" s="305"/>
      <c r="S470" s="305"/>
      <c r="T470" s="305"/>
      <c r="U470" s="305"/>
    </row>
    <row r="471" spans="1:21" s="52" customFormat="1" ht="13.5" customHeight="1">
      <c r="A471" s="427"/>
      <c r="B471" s="218"/>
      <c r="C471" s="218"/>
      <c r="D471" s="218"/>
      <c r="E471" s="433"/>
      <c r="F471" s="433"/>
      <c r="G471" s="433"/>
      <c r="H471" s="433"/>
      <c r="I471" s="433"/>
      <c r="J471" s="431"/>
      <c r="K471" s="394"/>
      <c r="L471" s="305"/>
      <c r="M471" s="305"/>
      <c r="N471" s="305"/>
      <c r="O471" s="305"/>
      <c r="P471" s="305"/>
      <c r="Q471" s="305"/>
      <c r="R471" s="305"/>
      <c r="S471" s="305"/>
      <c r="T471" s="305"/>
      <c r="U471" s="305"/>
    </row>
    <row r="472" spans="1:21" s="52" customFormat="1" ht="13.5" customHeight="1">
      <c r="A472" s="427"/>
      <c r="B472" s="295" t="s">
        <v>470</v>
      </c>
      <c r="C472" s="218"/>
      <c r="D472" s="218"/>
      <c r="E472" s="433"/>
      <c r="F472" s="433"/>
      <c r="G472" s="433"/>
      <c r="H472" s="433"/>
      <c r="I472" s="433"/>
      <c r="J472" s="431"/>
      <c r="K472" s="394"/>
      <c r="L472" s="305"/>
      <c r="M472" s="305"/>
      <c r="N472" s="305"/>
      <c r="O472" s="305"/>
      <c r="P472" s="305"/>
      <c r="Q472" s="305"/>
      <c r="R472" s="305"/>
      <c r="S472" s="305"/>
      <c r="T472" s="305"/>
      <c r="U472" s="305"/>
    </row>
    <row r="473" spans="1:21" s="52" customFormat="1" ht="13.5" customHeight="1" thickBot="1">
      <c r="A473" s="427"/>
      <c r="B473" s="218"/>
      <c r="C473" s="218"/>
      <c r="D473" s="218"/>
      <c r="E473" s="433"/>
      <c r="F473" s="433"/>
      <c r="G473" s="433"/>
      <c r="H473" s="433"/>
      <c r="I473" s="433"/>
      <c r="J473" s="431"/>
      <c r="K473" s="394"/>
      <c r="L473" s="305"/>
      <c r="M473" s="305"/>
      <c r="N473" s="305"/>
      <c r="O473" s="305"/>
      <c r="P473" s="305"/>
      <c r="Q473" s="305"/>
      <c r="R473" s="305"/>
      <c r="S473" s="305"/>
      <c r="T473" s="305"/>
      <c r="U473" s="305"/>
    </row>
    <row r="474" spans="1:21" ht="13.5" customHeight="1">
      <c r="B474" s="1481" t="s">
        <v>426</v>
      </c>
      <c r="I474" s="532" t="s">
        <v>238</v>
      </c>
      <c r="J474" s="553"/>
      <c r="L474" s="305"/>
      <c r="M474" s="305"/>
      <c r="N474" s="305"/>
      <c r="O474" s="305"/>
      <c r="P474" s="305"/>
      <c r="Q474" s="305"/>
      <c r="R474" s="305"/>
      <c r="S474" s="305"/>
      <c r="T474" s="305"/>
      <c r="U474" s="305"/>
    </row>
    <row r="475" spans="1:21" s="52" customFormat="1" ht="13.5" customHeight="1" thickBot="1">
      <c r="A475" s="414"/>
      <c r="B475" s="3296"/>
      <c r="C475" s="3359">
        <v>2022</v>
      </c>
      <c r="D475" s="3360"/>
      <c r="E475" s="3360"/>
      <c r="F475" s="3360"/>
      <c r="G475" s="3360"/>
      <c r="H475" s="3360"/>
      <c r="I475" s="3361"/>
      <c r="J475" s="434"/>
      <c r="K475" s="394"/>
      <c r="L475" s="305"/>
      <c r="M475" s="305"/>
      <c r="N475" s="305"/>
      <c r="O475" s="305"/>
      <c r="P475" s="305"/>
      <c r="Q475" s="305"/>
      <c r="R475" s="305"/>
      <c r="S475" s="305"/>
      <c r="T475" s="305"/>
      <c r="U475" s="305"/>
    </row>
    <row r="476" spans="1:21" s="52" customFormat="1" ht="13.5" customHeight="1" thickBot="1">
      <c r="A476" s="415"/>
      <c r="B476" s="3352"/>
      <c r="C476" s="3362" t="s">
        <v>436</v>
      </c>
      <c r="D476" s="3371" t="s">
        <v>437</v>
      </c>
      <c r="E476" s="3372" t="s">
        <v>438</v>
      </c>
      <c r="F476" s="3373"/>
      <c r="G476" s="3364" t="s">
        <v>439</v>
      </c>
      <c r="H476" s="3374" t="s">
        <v>440</v>
      </c>
      <c r="I476" s="3376" t="s">
        <v>118</v>
      </c>
      <c r="J476" s="454"/>
      <c r="K476" s="3358"/>
      <c r="L476" s="305"/>
      <c r="M476" s="305"/>
      <c r="N476" s="305"/>
      <c r="O476" s="305"/>
      <c r="P476" s="305"/>
      <c r="Q476" s="305"/>
      <c r="R476" s="305"/>
      <c r="S476" s="305"/>
      <c r="T476" s="305"/>
      <c r="U476" s="305"/>
    </row>
    <row r="477" spans="1:21" s="52" customFormat="1" ht="13.5" customHeight="1" thickBot="1">
      <c r="A477" s="415"/>
      <c r="B477" s="3297"/>
      <c r="C477" s="3363"/>
      <c r="D477" s="3367"/>
      <c r="E477" s="1461" t="s">
        <v>442</v>
      </c>
      <c r="F477" s="1446" t="s">
        <v>443</v>
      </c>
      <c r="G477" s="3365"/>
      <c r="H477" s="3375"/>
      <c r="I477" s="3363"/>
      <c r="J477" s="454"/>
      <c r="K477" s="3358"/>
      <c r="L477" s="305"/>
      <c r="M477" s="305"/>
      <c r="N477" s="305"/>
      <c r="O477" s="305"/>
      <c r="P477" s="305"/>
      <c r="Q477" s="305"/>
      <c r="R477" s="305"/>
      <c r="S477" s="305"/>
      <c r="T477" s="305"/>
      <c r="U477" s="305"/>
    </row>
    <row r="478" spans="1:21" s="52" customFormat="1" ht="13.5" customHeight="1">
      <c r="A478" s="427"/>
      <c r="B478" s="1486" t="s">
        <v>342</v>
      </c>
      <c r="C478" s="803">
        <v>466433</v>
      </c>
      <c r="D478" s="2274">
        <v>110020.402</v>
      </c>
      <c r="E478" s="2275">
        <v>196753</v>
      </c>
      <c r="F478" s="2274">
        <v>4304710</v>
      </c>
      <c r="G478" s="2275">
        <v>171163.01856999999</v>
      </c>
      <c r="H478" s="2274">
        <v>910027.24205999845</v>
      </c>
      <c r="I478" s="1494">
        <f>SUM(C478:H478)</f>
        <v>6159106.6626299983</v>
      </c>
      <c r="J478" s="431"/>
      <c r="K478" s="286"/>
      <c r="L478" s="305"/>
      <c r="M478" s="305"/>
      <c r="N478" s="305"/>
      <c r="O478" s="305"/>
      <c r="P478" s="305"/>
      <c r="Q478" s="305"/>
      <c r="R478" s="305"/>
      <c r="S478" s="305"/>
      <c r="T478" s="305"/>
      <c r="U478" s="305"/>
    </row>
    <row r="479" spans="1:21" s="52" customFormat="1" ht="13.5" customHeight="1">
      <c r="A479" s="427"/>
      <c r="B479" s="2246" t="s">
        <v>473</v>
      </c>
      <c r="C479" s="804">
        <v>-13331</v>
      </c>
      <c r="D479" s="805">
        <v>-13726.347</v>
      </c>
      <c r="E479" s="804"/>
      <c r="F479" s="805"/>
      <c r="G479" s="804"/>
      <c r="H479" s="805"/>
      <c r="I479" s="2221">
        <f>SUM(C479:H479)</f>
        <v>-27057.347000000002</v>
      </c>
      <c r="J479" s="431"/>
      <c r="K479" s="286"/>
      <c r="L479" s="305"/>
      <c r="M479" s="305"/>
      <c r="N479" s="305"/>
      <c r="O479" s="305"/>
      <c r="P479" s="305"/>
      <c r="Q479" s="305"/>
      <c r="R479" s="305"/>
      <c r="S479" s="305"/>
      <c r="T479" s="305"/>
      <c r="U479" s="305"/>
    </row>
    <row r="480" spans="1:21" s="52" customFormat="1" ht="13.5" customHeight="1">
      <c r="A480" s="427"/>
      <c r="B480" s="2246" t="s">
        <v>471</v>
      </c>
      <c r="C480" s="804">
        <v>-210127.34899999999</v>
      </c>
      <c r="D480" s="805">
        <v>-460.23399999999998</v>
      </c>
      <c r="E480" s="804"/>
      <c r="F480" s="805">
        <v>-116316.645</v>
      </c>
      <c r="G480" s="804"/>
      <c r="H480" s="805">
        <v>-11442.627</v>
      </c>
      <c r="I480" s="2221">
        <f>SUM(C480:H480)</f>
        <v>-338346.85499999998</v>
      </c>
      <c r="J480" s="431"/>
      <c r="K480" s="286"/>
      <c r="L480" s="305"/>
      <c r="M480" s="305"/>
      <c r="N480" s="305"/>
      <c r="O480" s="305"/>
      <c r="P480" s="305"/>
      <c r="Q480" s="305"/>
      <c r="R480" s="305"/>
      <c r="S480" s="305"/>
      <c r="T480" s="305"/>
      <c r="U480" s="305"/>
    </row>
    <row r="481" spans="1:21" s="52" customFormat="1" ht="13.5" customHeight="1">
      <c r="A481" s="427"/>
      <c r="B481" s="2246" t="s">
        <v>446</v>
      </c>
      <c r="C481" s="804">
        <v>-158657.99600000001</v>
      </c>
      <c r="D481" s="805">
        <v>-84141.251000000004</v>
      </c>
      <c r="E481" s="804"/>
      <c r="F481" s="805">
        <v>-52812.03</v>
      </c>
      <c r="G481" s="804"/>
      <c r="H481" s="805">
        <v>-794992.57700000005</v>
      </c>
      <c r="I481" s="2221">
        <f>SUM(C481:H481)</f>
        <v>-1090603.8540000001</v>
      </c>
      <c r="J481" s="431"/>
      <c r="K481" s="394"/>
      <c r="L481" s="305"/>
      <c r="M481" s="305"/>
      <c r="N481" s="305"/>
      <c r="O481" s="305"/>
      <c r="P481" s="305"/>
      <c r="Q481" s="305"/>
      <c r="R481" s="305"/>
      <c r="S481" s="305"/>
      <c r="T481" s="305"/>
      <c r="U481" s="305"/>
    </row>
    <row r="482" spans="1:21" s="236" customFormat="1" ht="13.5" customHeight="1">
      <c r="A482" s="428"/>
      <c r="B482" s="2248" t="s">
        <v>447</v>
      </c>
      <c r="C482" s="2264">
        <v>84317.121000000014</v>
      </c>
      <c r="D482" s="2263">
        <v>11692.570000000007</v>
      </c>
      <c r="E482" s="2264">
        <v>196753</v>
      </c>
      <c r="F482" s="2263">
        <v>4135581.3250000002</v>
      </c>
      <c r="G482" s="2264">
        <v>171163.01856999999</v>
      </c>
      <c r="H482" s="2263">
        <v>103592.03805999842</v>
      </c>
      <c r="I482" s="2229">
        <f>SUM(I478:I481)</f>
        <v>4703098.6066299975</v>
      </c>
      <c r="J482" s="431"/>
      <c r="K482" s="463"/>
      <c r="L482" s="305"/>
      <c r="M482" s="305"/>
      <c r="N482" s="305"/>
      <c r="O482" s="305"/>
      <c r="P482" s="305"/>
      <c r="Q482" s="305"/>
      <c r="R482" s="305"/>
      <c r="S482" s="305"/>
      <c r="T482" s="305"/>
      <c r="U482" s="305"/>
    </row>
    <row r="483" spans="1:21" s="52" customFormat="1" ht="13.5" customHeight="1">
      <c r="A483" s="427"/>
      <c r="B483" s="2246" t="s">
        <v>448</v>
      </c>
      <c r="C483" s="2275">
        <v>3451.558</v>
      </c>
      <c r="D483" s="2274">
        <v>6127.0150000000003</v>
      </c>
      <c r="E483" s="2275">
        <v>34818.178407441294</v>
      </c>
      <c r="F483" s="2274">
        <v>207372.08159255871</v>
      </c>
      <c r="G483" s="2275">
        <v>-9403</v>
      </c>
      <c r="H483" s="2274">
        <v>46299</v>
      </c>
      <c r="I483" s="2221">
        <f>SUM(C483:H483)</f>
        <v>288664.83299999998</v>
      </c>
      <c r="J483" s="431"/>
      <c r="K483" s="394"/>
      <c r="L483" s="305"/>
      <c r="M483" s="305"/>
      <c r="N483" s="305"/>
      <c r="O483" s="305"/>
      <c r="P483" s="305"/>
      <c r="Q483" s="305"/>
      <c r="R483" s="305"/>
      <c r="S483" s="305"/>
      <c r="T483" s="305"/>
      <c r="U483" s="305"/>
    </row>
    <row r="484" spans="1:21" s="236" customFormat="1" ht="13.5" customHeight="1">
      <c r="A484" s="428"/>
      <c r="B484" s="2248" t="s">
        <v>449</v>
      </c>
      <c r="C484" s="2264">
        <v>87768.679000000018</v>
      </c>
      <c r="D484" s="2263">
        <v>17819.585000000006</v>
      </c>
      <c r="E484" s="2264">
        <v>231571.1784074413</v>
      </c>
      <c r="F484" s="2263">
        <v>4342953.4065925591</v>
      </c>
      <c r="G484" s="2264">
        <v>161760.01856999999</v>
      </c>
      <c r="H484" s="2263">
        <v>149891.03805999842</v>
      </c>
      <c r="I484" s="2229">
        <f>SUM(I482:I483)</f>
        <v>4991763.4396299971</v>
      </c>
      <c r="J484" s="431"/>
      <c r="K484" s="463"/>
      <c r="L484" s="305"/>
      <c r="M484" s="305"/>
      <c r="N484" s="305"/>
      <c r="O484" s="305"/>
      <c r="P484" s="305"/>
      <c r="Q484" s="305"/>
      <c r="R484" s="305"/>
      <c r="S484" s="305"/>
      <c r="T484" s="305"/>
      <c r="U484" s="305"/>
    </row>
    <row r="485" spans="1:21" s="52" customFormat="1" ht="13.5" customHeight="1">
      <c r="A485" s="427"/>
      <c r="B485" s="2246"/>
      <c r="C485" s="2267"/>
      <c r="D485" s="2266"/>
      <c r="E485" s="2267"/>
      <c r="F485" s="2266"/>
      <c r="G485" s="2267"/>
      <c r="H485" s="2266"/>
      <c r="I485" s="2221"/>
      <c r="J485" s="431"/>
      <c r="K485" s="394"/>
      <c r="L485" s="305"/>
      <c r="M485" s="305"/>
      <c r="N485" s="305"/>
      <c r="O485" s="305"/>
      <c r="P485" s="305"/>
      <c r="Q485" s="305"/>
      <c r="R485" s="305"/>
      <c r="S485" s="305"/>
      <c r="T485" s="305"/>
      <c r="U485" s="305"/>
    </row>
    <row r="486" spans="1:21" s="52" customFormat="1" ht="13.5" customHeight="1">
      <c r="A486" s="427"/>
      <c r="B486" s="2248" t="s">
        <v>450</v>
      </c>
      <c r="C486" s="2269"/>
      <c r="D486" s="2268"/>
      <c r="E486" s="2269"/>
      <c r="F486" s="2268"/>
      <c r="G486" s="2269"/>
      <c r="H486" s="2268"/>
      <c r="I486" s="1928">
        <f>SUM(I487:I489)</f>
        <v>-4101715.1940000001</v>
      </c>
      <c r="J486" s="431"/>
      <c r="K486" s="415"/>
      <c r="L486" s="305"/>
      <c r="M486" s="305"/>
      <c r="N486" s="305"/>
      <c r="O486" s="305"/>
      <c r="P486" s="305"/>
      <c r="Q486" s="305"/>
      <c r="R486" s="305"/>
      <c r="S486" s="305"/>
      <c r="T486" s="305"/>
      <c r="U486" s="305"/>
    </row>
    <row r="487" spans="1:21" s="52" customFormat="1" ht="30" customHeight="1">
      <c r="A487" s="427"/>
      <c r="B487" s="2246" t="s">
        <v>451</v>
      </c>
      <c r="C487" s="2275">
        <v>-17806.163</v>
      </c>
      <c r="D487" s="2274">
        <v>-3880.7799999999984</v>
      </c>
      <c r="E487" s="2275">
        <v>-100121</v>
      </c>
      <c r="F487" s="2274">
        <v>-3206288.8050000002</v>
      </c>
      <c r="G487" s="2275">
        <v>-215615</v>
      </c>
      <c r="H487" s="2274">
        <v>-80635.674999999988</v>
      </c>
      <c r="I487" s="2221">
        <f>SUM(C487:H487)</f>
        <v>-3624347.423</v>
      </c>
      <c r="J487" s="431"/>
      <c r="K487" s="394"/>
      <c r="L487" s="305"/>
      <c r="M487" s="305"/>
      <c r="N487" s="305"/>
      <c r="O487" s="305"/>
      <c r="P487" s="305"/>
      <c r="Q487" s="305"/>
      <c r="R487" s="305"/>
      <c r="S487" s="305"/>
      <c r="T487" s="305"/>
      <c r="U487" s="305"/>
    </row>
    <row r="488" spans="1:21" s="52" customFormat="1" ht="25.5" customHeight="1">
      <c r="A488" s="427"/>
      <c r="B488" s="2246" t="s">
        <v>452</v>
      </c>
      <c r="C488" s="804">
        <v>27595.492999999999</v>
      </c>
      <c r="D488" s="805">
        <v>-1553.143</v>
      </c>
      <c r="E488" s="804">
        <v>-19493.030252944758</v>
      </c>
      <c r="F488" s="805">
        <v>-512459.09074705531</v>
      </c>
      <c r="G488" s="804">
        <v>-89</v>
      </c>
      <c r="H488" s="805">
        <v>28631</v>
      </c>
      <c r="I488" s="2221">
        <f>SUM(C488:H488)</f>
        <v>-477367.77100000007</v>
      </c>
      <c r="J488" s="431"/>
      <c r="K488" s="394"/>
      <c r="L488" s="305"/>
      <c r="M488" s="305"/>
      <c r="N488" s="305"/>
      <c r="O488" s="305"/>
      <c r="P488" s="305"/>
      <c r="Q488" s="305"/>
      <c r="R488" s="305"/>
      <c r="S488" s="305"/>
      <c r="T488" s="305"/>
      <c r="U488" s="305"/>
    </row>
    <row r="489" spans="1:21" s="52" customFormat="1" ht="16.5" customHeight="1">
      <c r="A489" s="427"/>
      <c r="B489" s="2246" t="s">
        <v>453</v>
      </c>
      <c r="C489" s="804"/>
      <c r="D489" s="805"/>
      <c r="E489" s="804"/>
      <c r="F489" s="805"/>
      <c r="G489" s="804"/>
      <c r="H489" s="805"/>
      <c r="I489" s="2221"/>
      <c r="J489" s="431"/>
      <c r="K489" s="394"/>
      <c r="L489" s="305"/>
      <c r="M489" s="305"/>
      <c r="N489" s="305"/>
      <c r="O489" s="305"/>
      <c r="P489" s="305"/>
      <c r="Q489" s="305"/>
      <c r="R489" s="305"/>
      <c r="S489" s="305"/>
      <c r="T489" s="305"/>
      <c r="U489" s="305"/>
    </row>
    <row r="490" spans="1:21" s="52" customFormat="1" ht="13.5" customHeight="1">
      <c r="A490" s="427"/>
      <c r="B490" s="2252" t="s">
        <v>454</v>
      </c>
      <c r="C490" s="2264">
        <v>97558.00900000002</v>
      </c>
      <c r="D490" s="2263">
        <v>12385.662000000008</v>
      </c>
      <c r="E490" s="2264">
        <v>111957.14815449654</v>
      </c>
      <c r="F490" s="2263">
        <v>624205.51084550354</v>
      </c>
      <c r="G490" s="2264">
        <v>-53943.981430000014</v>
      </c>
      <c r="H490" s="2263">
        <v>97886.363059998432</v>
      </c>
      <c r="I490" s="2229">
        <f>+I484+I487+I488+I489</f>
        <v>890048.24562999711</v>
      </c>
      <c r="J490" s="431"/>
      <c r="K490" s="288"/>
      <c r="L490" s="305"/>
      <c r="M490" s="305"/>
      <c r="N490" s="305"/>
      <c r="O490" s="305"/>
      <c r="P490" s="305"/>
      <c r="Q490" s="305"/>
      <c r="R490" s="305"/>
      <c r="S490" s="305"/>
      <c r="T490" s="305"/>
      <c r="U490" s="305"/>
    </row>
    <row r="491" spans="1:21" s="52" customFormat="1" ht="13.5" customHeight="1">
      <c r="A491" s="427"/>
      <c r="B491" s="2253"/>
      <c r="C491" s="2267"/>
      <c r="D491" s="2266"/>
      <c r="E491" s="2267"/>
      <c r="F491" s="2266"/>
      <c r="G491" s="2267"/>
      <c r="H491" s="2266"/>
      <c r="I491" s="2277"/>
      <c r="J491" s="431"/>
      <c r="K491" s="394"/>
      <c r="L491" s="305"/>
      <c r="M491" s="305"/>
      <c r="N491" s="305"/>
      <c r="O491" s="305"/>
      <c r="P491" s="305"/>
      <c r="Q491" s="305"/>
      <c r="R491" s="305"/>
      <c r="S491" s="305"/>
      <c r="T491" s="305"/>
      <c r="U491" s="305"/>
    </row>
    <row r="492" spans="1:21" s="52" customFormat="1" ht="13.5" customHeight="1">
      <c r="A492" s="427"/>
      <c r="B492" s="2248" t="s">
        <v>455</v>
      </c>
      <c r="C492" s="2254"/>
      <c r="D492" s="2255"/>
      <c r="E492" s="2254"/>
      <c r="F492" s="2255"/>
      <c r="G492" s="2254"/>
      <c r="H492" s="2255"/>
      <c r="I492" s="2277">
        <f>SUM(I493:I497)</f>
        <v>1403725</v>
      </c>
      <c r="J492" s="431"/>
      <c r="K492" s="394"/>
      <c r="L492" s="305"/>
      <c r="M492" s="305"/>
      <c r="N492" s="305"/>
      <c r="O492" s="305"/>
      <c r="P492" s="305"/>
      <c r="Q492" s="305"/>
      <c r="R492" s="305"/>
      <c r="S492" s="305"/>
      <c r="T492" s="305"/>
      <c r="U492" s="305"/>
    </row>
    <row r="493" spans="1:21" s="52" customFormat="1" ht="13.5" customHeight="1">
      <c r="A493" s="427"/>
      <c r="B493" s="2246" t="s">
        <v>456</v>
      </c>
      <c r="C493" s="2254"/>
      <c r="D493" s="2255"/>
      <c r="E493" s="2254"/>
      <c r="F493" s="2255"/>
      <c r="G493" s="2254"/>
      <c r="H493" s="2255"/>
      <c r="I493" s="2296">
        <v>74521</v>
      </c>
      <c r="J493" s="431"/>
      <c r="K493" s="394"/>
      <c r="L493" s="305"/>
      <c r="M493" s="305"/>
      <c r="N493" s="305"/>
      <c r="O493" s="305"/>
      <c r="P493" s="305"/>
      <c r="Q493" s="305"/>
      <c r="R493" s="305"/>
      <c r="S493" s="305"/>
      <c r="T493" s="305"/>
      <c r="U493" s="305"/>
    </row>
    <row r="494" spans="1:21" s="52" customFormat="1" ht="13.5" customHeight="1">
      <c r="A494" s="427"/>
      <c r="B494" s="2246" t="s">
        <v>472</v>
      </c>
      <c r="C494" s="2254"/>
      <c r="D494" s="2255"/>
      <c r="E494" s="2254"/>
      <c r="F494" s="2255"/>
      <c r="G494" s="2254"/>
      <c r="H494" s="2255"/>
      <c r="I494" s="1495">
        <v>1306704</v>
      </c>
      <c r="J494" s="431"/>
      <c r="K494" s="394"/>
      <c r="L494" s="305"/>
      <c r="M494" s="305"/>
      <c r="N494" s="305"/>
      <c r="O494" s="305"/>
      <c r="P494" s="305"/>
      <c r="Q494" s="305"/>
      <c r="R494" s="305"/>
      <c r="S494" s="305"/>
      <c r="T494" s="305"/>
      <c r="U494" s="305"/>
    </row>
    <row r="495" spans="1:21" s="52" customFormat="1" ht="13.5" customHeight="1">
      <c r="A495" s="427"/>
      <c r="B495" s="2246" t="s">
        <v>458</v>
      </c>
      <c r="C495" s="2254"/>
      <c r="D495" s="2255"/>
      <c r="E495" s="2254"/>
      <c r="F495" s="2255"/>
      <c r="G495" s="2254"/>
      <c r="H495" s="2255"/>
      <c r="I495" s="1495">
        <v>17754</v>
      </c>
      <c r="J495" s="431"/>
      <c r="K495" s="394"/>
      <c r="L495" s="305"/>
      <c r="M495" s="305"/>
      <c r="N495" s="305"/>
      <c r="O495" s="305"/>
      <c r="P495" s="305"/>
      <c r="Q495" s="305"/>
      <c r="R495" s="305"/>
      <c r="S495" s="305"/>
      <c r="T495" s="305"/>
      <c r="U495" s="305"/>
    </row>
    <row r="496" spans="1:21" s="52" customFormat="1" ht="13.5" customHeight="1">
      <c r="A496" s="427"/>
      <c r="B496" s="2246" t="s">
        <v>459</v>
      </c>
      <c r="C496" s="2254"/>
      <c r="D496" s="2255"/>
      <c r="E496" s="2254"/>
      <c r="F496" s="2255"/>
      <c r="G496" s="2254"/>
      <c r="H496" s="2255"/>
      <c r="I496" s="1495"/>
      <c r="J496" s="431"/>
      <c r="K496" s="394"/>
      <c r="L496" s="305"/>
      <c r="M496" s="305"/>
      <c r="N496" s="305"/>
      <c r="O496" s="305"/>
      <c r="P496" s="305"/>
      <c r="Q496" s="305"/>
      <c r="R496" s="305"/>
      <c r="S496" s="305"/>
      <c r="T496" s="305"/>
      <c r="U496" s="305"/>
    </row>
    <row r="497" spans="1:21" s="52" customFormat="1" ht="13.5" customHeight="1">
      <c r="A497" s="427"/>
      <c r="B497" s="2246" t="s">
        <v>460</v>
      </c>
      <c r="C497" s="2254"/>
      <c r="D497" s="2255"/>
      <c r="E497" s="2254"/>
      <c r="F497" s="2255"/>
      <c r="G497" s="2254"/>
      <c r="H497" s="2255"/>
      <c r="I497" s="1495">
        <v>4746</v>
      </c>
      <c r="J497" s="431"/>
      <c r="K497" s="394"/>
      <c r="L497" s="305"/>
      <c r="M497" s="305"/>
      <c r="N497" s="305"/>
      <c r="O497" s="305"/>
      <c r="P497" s="305"/>
      <c r="Q497" s="305"/>
      <c r="R497" s="305"/>
      <c r="S497" s="305"/>
      <c r="T497" s="305"/>
      <c r="U497" s="305"/>
    </row>
    <row r="498" spans="1:21" s="52" customFormat="1" ht="13.5" customHeight="1">
      <c r="A498" s="427"/>
      <c r="B498" s="2246"/>
      <c r="C498" s="2254"/>
      <c r="D498" s="2255"/>
      <c r="E498" s="2254"/>
      <c r="F498" s="2255"/>
      <c r="G498" s="2254"/>
      <c r="H498" s="2255"/>
      <c r="I498" s="2221"/>
      <c r="J498" s="431"/>
      <c r="K498" s="394"/>
      <c r="L498" s="305"/>
      <c r="M498" s="305"/>
      <c r="N498" s="305"/>
      <c r="O498" s="305"/>
      <c r="P498" s="305"/>
      <c r="Q498" s="305"/>
      <c r="R498" s="305"/>
      <c r="S498" s="305"/>
      <c r="T498" s="305"/>
      <c r="U498" s="305"/>
    </row>
    <row r="499" spans="1:21" s="52" customFormat="1" ht="13.5" customHeight="1">
      <c r="A499" s="427"/>
      <c r="B499" s="2248" t="s">
        <v>461</v>
      </c>
      <c r="C499" s="2254"/>
      <c r="D499" s="2255"/>
      <c r="E499" s="2254"/>
      <c r="F499" s="2255"/>
      <c r="G499" s="2254"/>
      <c r="H499" s="2255"/>
      <c r="I499" s="2221">
        <f>SUM(I500:I501)</f>
        <v>-1256585.0090000001</v>
      </c>
      <c r="J499" s="431"/>
      <c r="K499" s="394"/>
      <c r="L499" s="305"/>
      <c r="M499" s="305"/>
      <c r="N499" s="305"/>
      <c r="O499" s="305"/>
      <c r="P499" s="305"/>
      <c r="Q499" s="305"/>
      <c r="R499" s="305"/>
      <c r="S499" s="305"/>
      <c r="T499" s="305"/>
      <c r="U499" s="305"/>
    </row>
    <row r="500" spans="1:21" s="52" customFormat="1" ht="27.6" customHeight="1">
      <c r="A500" s="427"/>
      <c r="B500" s="2246" t="s">
        <v>462</v>
      </c>
      <c r="C500" s="2254"/>
      <c r="D500" s="2255"/>
      <c r="E500" s="2254"/>
      <c r="F500" s="2255"/>
      <c r="G500" s="2254"/>
      <c r="H500" s="2255"/>
      <c r="I500" s="2296">
        <v>-1256585.0090000001</v>
      </c>
      <c r="J500" s="431"/>
      <c r="K500" s="394"/>
      <c r="L500" s="305"/>
      <c r="M500" s="305"/>
      <c r="N500" s="305"/>
      <c r="O500" s="305"/>
      <c r="P500" s="305"/>
      <c r="Q500" s="305"/>
      <c r="R500" s="305"/>
      <c r="S500" s="305"/>
      <c r="T500" s="305"/>
      <c r="U500" s="305"/>
    </row>
    <row r="501" spans="1:21" s="52" customFormat="1" ht="27.6" customHeight="1">
      <c r="A501" s="427"/>
      <c r="B501" s="2246" t="s">
        <v>463</v>
      </c>
      <c r="C501" s="2308"/>
      <c r="D501" s="2255"/>
      <c r="E501" s="2254"/>
      <c r="F501" s="2255"/>
      <c r="G501" s="2254"/>
      <c r="H501" s="2255"/>
      <c r="I501" s="2221"/>
      <c r="J501" s="431"/>
      <c r="K501" s="394"/>
      <c r="L501" s="305"/>
      <c r="M501" s="305"/>
      <c r="N501" s="305"/>
      <c r="O501" s="305"/>
      <c r="P501" s="305"/>
      <c r="Q501" s="305"/>
      <c r="R501" s="305"/>
      <c r="S501" s="305"/>
      <c r="T501" s="305"/>
      <c r="U501" s="305"/>
    </row>
    <row r="502" spans="1:21" s="52" customFormat="1" ht="13.5" customHeight="1">
      <c r="A502" s="427"/>
      <c r="B502" s="2248" t="s">
        <v>464</v>
      </c>
      <c r="C502" s="2254"/>
      <c r="D502" s="2255"/>
      <c r="E502" s="2254"/>
      <c r="F502" s="2255"/>
      <c r="G502" s="2254"/>
      <c r="H502" s="2255"/>
      <c r="I502" s="2277">
        <f>+I490+I492+I499</f>
        <v>1037188.2366299969</v>
      </c>
      <c r="J502" s="431"/>
      <c r="K502" s="394"/>
      <c r="L502" s="305"/>
      <c r="M502" s="305"/>
      <c r="N502" s="305"/>
      <c r="O502" s="305"/>
      <c r="P502" s="305"/>
      <c r="Q502" s="305"/>
      <c r="R502" s="305"/>
      <c r="S502" s="305"/>
      <c r="T502" s="305"/>
      <c r="U502" s="305"/>
    </row>
    <row r="503" spans="1:21" s="52" customFormat="1" ht="13.5" customHeight="1">
      <c r="A503" s="427"/>
      <c r="B503" s="2246" t="s">
        <v>465</v>
      </c>
      <c r="C503" s="2254"/>
      <c r="D503" s="2255"/>
      <c r="E503" s="2254"/>
      <c r="F503" s="2255"/>
      <c r="G503" s="2254"/>
      <c r="H503" s="2255"/>
      <c r="I503" s="2296">
        <v>-38883.616000000002</v>
      </c>
      <c r="J503" s="431"/>
      <c r="K503" s="394"/>
      <c r="L503" s="305"/>
      <c r="M503" s="305"/>
      <c r="N503" s="305"/>
      <c r="O503" s="305"/>
      <c r="P503" s="305"/>
      <c r="Q503" s="305"/>
      <c r="R503" s="305"/>
      <c r="S503" s="305"/>
      <c r="T503" s="305"/>
      <c r="U503" s="305"/>
    </row>
    <row r="504" spans="1:21" s="52" customFormat="1" ht="13.5" customHeight="1">
      <c r="A504" s="427"/>
      <c r="B504" s="2256" t="s">
        <v>466</v>
      </c>
      <c r="C504" s="2254"/>
      <c r="D504" s="2255"/>
      <c r="E504" s="2254"/>
      <c r="F504" s="2255"/>
      <c r="G504" s="2254"/>
      <c r="H504" s="2255"/>
      <c r="I504" s="2277">
        <f>SUM(I502:I503)</f>
        <v>998304.62062999688</v>
      </c>
      <c r="J504" s="431"/>
      <c r="K504" s="394"/>
      <c r="L504" s="305"/>
      <c r="M504" s="305"/>
      <c r="N504" s="305"/>
      <c r="O504" s="305"/>
      <c r="P504" s="305"/>
      <c r="Q504" s="305"/>
      <c r="R504" s="305"/>
      <c r="S504" s="305"/>
      <c r="T504" s="305"/>
      <c r="U504" s="305"/>
    </row>
    <row r="505" spans="1:21" s="52" customFormat="1" ht="13.5" customHeight="1">
      <c r="A505" s="427"/>
      <c r="B505" s="2257" t="s">
        <v>467</v>
      </c>
      <c r="C505" s="2254"/>
      <c r="D505" s="2255"/>
      <c r="E505" s="2254"/>
      <c r="F505" s="2255"/>
      <c r="G505" s="2254"/>
      <c r="H505" s="2255"/>
      <c r="I505" s="2296">
        <v>-364316.90500000003</v>
      </c>
      <c r="J505" s="431"/>
      <c r="K505" s="394"/>
      <c r="L505" s="305"/>
      <c r="M505" s="305"/>
      <c r="N505" s="305"/>
      <c r="O505" s="305"/>
      <c r="P505" s="305"/>
      <c r="Q505" s="305"/>
      <c r="R505" s="305"/>
      <c r="S505" s="305"/>
      <c r="T505" s="305"/>
      <c r="U505" s="305"/>
    </row>
    <row r="506" spans="1:21" s="52" customFormat="1" ht="13.5" customHeight="1" thickBot="1">
      <c r="A506" s="427"/>
      <c r="B506" s="1479" t="s">
        <v>468</v>
      </c>
      <c r="C506" s="488"/>
      <c r="D506" s="1107"/>
      <c r="E506" s="488"/>
      <c r="F506" s="1107"/>
      <c r="G506" s="488"/>
      <c r="H506" s="1107"/>
      <c r="I506" s="1489">
        <f>SUM(I504:I505)</f>
        <v>633987.71562999685</v>
      </c>
      <c r="J506" s="431"/>
      <c r="K506" s="394"/>
      <c r="L506" s="305"/>
      <c r="M506" s="305"/>
      <c r="N506" s="305"/>
      <c r="O506" s="305"/>
      <c r="P506" s="305"/>
      <c r="Q506" s="305"/>
      <c r="R506" s="305"/>
      <c r="S506" s="305"/>
      <c r="T506" s="305"/>
      <c r="U506" s="305"/>
    </row>
    <row r="507" spans="1:21" s="52" customFormat="1" ht="13.5" customHeight="1">
      <c r="A507" s="427"/>
      <c r="B507" s="455"/>
      <c r="C507" s="433"/>
      <c r="D507" s="433"/>
      <c r="E507" s="433"/>
      <c r="F507" s="433"/>
      <c r="G507" s="433"/>
      <c r="H507" s="433"/>
      <c r="I507" s="433"/>
      <c r="J507" s="431"/>
      <c r="K507" s="394"/>
      <c r="L507" s="305"/>
      <c r="M507" s="305"/>
      <c r="N507" s="305"/>
      <c r="O507" s="305"/>
      <c r="P507" s="305"/>
      <c r="Q507" s="305"/>
      <c r="R507" s="305"/>
      <c r="S507" s="305"/>
      <c r="T507" s="305"/>
      <c r="U507" s="305"/>
    </row>
    <row r="508" spans="1:21" s="52" customFormat="1" ht="13.5" customHeight="1">
      <c r="A508" s="427"/>
      <c r="B508" s="455"/>
      <c r="C508" s="433"/>
      <c r="D508" s="433"/>
      <c r="E508" s="433"/>
      <c r="F508" s="433"/>
      <c r="G508" s="433"/>
      <c r="H508" s="433"/>
      <c r="I508" s="433"/>
      <c r="J508" s="431"/>
      <c r="K508" s="394">
        <v>123</v>
      </c>
      <c r="L508" s="305"/>
      <c r="M508" s="305"/>
      <c r="N508" s="305"/>
      <c r="O508" s="305"/>
      <c r="P508" s="305"/>
      <c r="Q508" s="305"/>
      <c r="R508" s="305"/>
      <c r="S508" s="305"/>
      <c r="T508" s="305"/>
      <c r="U508" s="305"/>
    </row>
    <row r="509" spans="1:21" s="52" customFormat="1" ht="13.5" customHeight="1">
      <c r="A509" s="427"/>
      <c r="B509" s="455"/>
      <c r="C509" s="433"/>
      <c r="D509" s="433"/>
      <c r="E509" s="433"/>
      <c r="F509" s="433"/>
      <c r="G509" s="433"/>
      <c r="H509" s="433"/>
      <c r="I509" s="433"/>
      <c r="J509" s="431"/>
      <c r="K509" s="394"/>
      <c r="L509" s="305"/>
      <c r="M509" s="305"/>
      <c r="N509" s="305"/>
      <c r="O509" s="305"/>
      <c r="P509" s="305"/>
      <c r="Q509" s="305"/>
      <c r="R509" s="305"/>
      <c r="S509" s="305"/>
      <c r="T509" s="305"/>
      <c r="U509" s="305"/>
    </row>
    <row r="510" spans="1:21" s="52" customFormat="1" ht="13.5" customHeight="1">
      <c r="A510" s="427"/>
      <c r="B510" s="295" t="s">
        <v>470</v>
      </c>
      <c r="C510" s="295"/>
      <c r="D510" s="295"/>
      <c r="E510" s="433"/>
      <c r="F510" s="433"/>
      <c r="G510" s="433"/>
      <c r="H510" s="433"/>
      <c r="I510" s="433"/>
      <c r="J510" s="431"/>
      <c r="K510" s="394"/>
      <c r="L510" s="305"/>
      <c r="M510" s="305"/>
      <c r="N510" s="305"/>
      <c r="O510" s="305"/>
      <c r="P510" s="305"/>
      <c r="Q510" s="305"/>
      <c r="R510" s="305"/>
      <c r="S510" s="305"/>
      <c r="T510" s="305"/>
      <c r="U510" s="305"/>
    </row>
    <row r="511" spans="1:21" s="52" customFormat="1" ht="13.5" customHeight="1" thickBot="1">
      <c r="A511" s="427"/>
      <c r="B511" s="218"/>
      <c r="C511" s="218"/>
      <c r="D511" s="218"/>
      <c r="E511" s="433"/>
      <c r="F511" s="433"/>
      <c r="G511" s="433"/>
      <c r="H511" s="433"/>
      <c r="I511" s="433"/>
      <c r="J511" s="431"/>
      <c r="K511" s="394"/>
      <c r="L511" s="305"/>
      <c r="M511" s="305"/>
      <c r="N511" s="305"/>
      <c r="O511" s="305"/>
      <c r="P511" s="305"/>
      <c r="Q511" s="305"/>
      <c r="R511" s="305"/>
      <c r="S511" s="305"/>
      <c r="T511" s="305"/>
      <c r="U511" s="305"/>
    </row>
    <row r="512" spans="1:21" s="52" customFormat="1" ht="13.5" customHeight="1">
      <c r="A512" s="427"/>
      <c r="B512" s="1481" t="s">
        <v>114</v>
      </c>
      <c r="C512" s="292"/>
      <c r="D512" s="292"/>
      <c r="E512" s="292"/>
      <c r="F512" s="292"/>
      <c r="G512" s="292"/>
      <c r="H512" s="292"/>
      <c r="I512" s="532" t="s">
        <v>238</v>
      </c>
      <c r="J512" s="431"/>
      <c r="K512" s="394"/>
      <c r="L512" s="305"/>
      <c r="M512" s="305"/>
      <c r="N512" s="305"/>
      <c r="O512" s="305"/>
      <c r="P512" s="305"/>
      <c r="Q512" s="305"/>
      <c r="R512" s="305"/>
      <c r="S512" s="305"/>
      <c r="T512" s="305"/>
      <c r="U512" s="305"/>
    </row>
    <row r="513" spans="1:21" s="52" customFormat="1" ht="13.5" customHeight="1">
      <c r="A513" s="427"/>
      <c r="B513" s="3283"/>
      <c r="C513" s="3359">
        <v>2022</v>
      </c>
      <c r="D513" s="3360"/>
      <c r="E513" s="3360"/>
      <c r="F513" s="3360"/>
      <c r="G513" s="3360"/>
      <c r="H513" s="3360"/>
      <c r="I513" s="3361"/>
      <c r="J513" s="431"/>
      <c r="K513" s="394"/>
      <c r="L513" s="305"/>
      <c r="M513" s="305"/>
      <c r="N513" s="305"/>
      <c r="O513" s="305"/>
      <c r="P513" s="305"/>
      <c r="Q513" s="305"/>
      <c r="R513" s="305"/>
      <c r="S513" s="305"/>
      <c r="T513" s="305"/>
      <c r="U513" s="305"/>
    </row>
    <row r="514" spans="1:21" s="52" customFormat="1" ht="13.5" customHeight="1">
      <c r="A514" s="427"/>
      <c r="B514" s="3352"/>
      <c r="C514" s="3362" t="s">
        <v>436</v>
      </c>
      <c r="D514" s="3366" t="s">
        <v>437</v>
      </c>
      <c r="E514" s="3359" t="s">
        <v>438</v>
      </c>
      <c r="F514" s="3368"/>
      <c r="G514" s="3364" t="s">
        <v>439</v>
      </c>
      <c r="H514" s="3369" t="s">
        <v>440</v>
      </c>
      <c r="I514" s="3362" t="s">
        <v>118</v>
      </c>
      <c r="J514" s="431"/>
      <c r="K514" s="394"/>
      <c r="L514" s="305"/>
      <c r="M514" s="305"/>
      <c r="N514" s="305"/>
      <c r="O514" s="305"/>
      <c r="P514" s="305"/>
      <c r="Q514" s="305"/>
      <c r="R514" s="305"/>
      <c r="S514" s="305"/>
      <c r="T514" s="305"/>
      <c r="U514" s="305"/>
    </row>
    <row r="515" spans="1:21" s="52" customFormat="1" ht="13.5" customHeight="1" thickBot="1">
      <c r="A515" s="427"/>
      <c r="B515" s="3297"/>
      <c r="C515" s="3363"/>
      <c r="D515" s="3367"/>
      <c r="E515" s="1461" t="s">
        <v>442</v>
      </c>
      <c r="F515" s="1446" t="s">
        <v>443</v>
      </c>
      <c r="G515" s="3365"/>
      <c r="H515" s="3370"/>
      <c r="I515" s="3363"/>
      <c r="J515" s="431"/>
      <c r="K515" s="394"/>
      <c r="L515" s="305"/>
      <c r="M515" s="305"/>
      <c r="N515" s="305"/>
      <c r="O515" s="305"/>
      <c r="P515" s="305"/>
      <c r="Q515" s="305"/>
      <c r="R515" s="305"/>
      <c r="S515" s="305"/>
      <c r="T515" s="305"/>
      <c r="U515" s="305"/>
    </row>
    <row r="516" spans="1:21" s="52" customFormat="1" ht="13.5" customHeight="1">
      <c r="A516" s="427"/>
      <c r="B516" s="1486" t="s">
        <v>342</v>
      </c>
      <c r="C516" s="2275">
        <v>30097</v>
      </c>
      <c r="D516" s="2274">
        <v>1098</v>
      </c>
      <c r="E516" s="2275">
        <v>48477</v>
      </c>
      <c r="F516" s="2274">
        <v>832946</v>
      </c>
      <c r="G516" s="2275">
        <v>27024</v>
      </c>
      <c r="H516" s="2274">
        <v>111939</v>
      </c>
      <c r="I516" s="2221">
        <f>SUM(C516:H516)</f>
        <v>1051581</v>
      </c>
      <c r="J516" s="431"/>
      <c r="K516" s="394"/>
      <c r="L516" s="305"/>
      <c r="M516" s="305"/>
      <c r="N516" s="305"/>
      <c r="O516" s="305"/>
      <c r="P516" s="305"/>
      <c r="Q516" s="305"/>
      <c r="R516" s="305"/>
      <c r="S516" s="305"/>
      <c r="T516" s="305"/>
      <c r="U516" s="305"/>
    </row>
    <row r="517" spans="1:21" s="52" customFormat="1" ht="13.5" customHeight="1">
      <c r="A517" s="427"/>
      <c r="B517" s="2246" t="s">
        <v>473</v>
      </c>
      <c r="C517" s="804"/>
      <c r="D517" s="805"/>
      <c r="E517" s="804"/>
      <c r="F517" s="805"/>
      <c r="G517" s="804"/>
      <c r="H517" s="805"/>
      <c r="I517" s="2221">
        <f>SUM(C517:H517)</f>
        <v>0</v>
      </c>
      <c r="J517" s="431"/>
      <c r="K517" s="394"/>
      <c r="L517" s="305"/>
      <c r="M517" s="305"/>
      <c r="N517" s="305"/>
      <c r="O517" s="305"/>
      <c r="P517" s="305"/>
      <c r="Q517" s="305"/>
      <c r="R517" s="305"/>
      <c r="S517" s="305"/>
      <c r="T517" s="305"/>
      <c r="U517" s="305"/>
    </row>
    <row r="518" spans="1:21" s="52" customFormat="1" ht="13.5" customHeight="1">
      <c r="A518" s="427"/>
      <c r="B518" s="2246" t="s">
        <v>471</v>
      </c>
      <c r="C518" s="804">
        <v>-12524</v>
      </c>
      <c r="D518" s="805">
        <v>-53</v>
      </c>
      <c r="E518" s="804"/>
      <c r="F518" s="805">
        <v>-16994</v>
      </c>
      <c r="G518" s="804"/>
      <c r="H518" s="805">
        <v>-7692</v>
      </c>
      <c r="I518" s="2221">
        <f>SUM(C518:H518)</f>
        <v>-37263</v>
      </c>
      <c r="J518" s="431"/>
      <c r="K518" s="394"/>
      <c r="L518" s="305"/>
      <c r="M518" s="305"/>
      <c r="N518" s="305"/>
      <c r="O518" s="305"/>
      <c r="P518" s="305"/>
      <c r="Q518" s="305"/>
      <c r="R518" s="305"/>
      <c r="S518" s="305"/>
      <c r="T518" s="305"/>
      <c r="U518" s="305"/>
    </row>
    <row r="519" spans="1:21" s="52" customFormat="1" ht="13.5" customHeight="1">
      <c r="A519" s="427"/>
      <c r="B519" s="2246" t="s">
        <v>446</v>
      </c>
      <c r="C519" s="804">
        <v>-8392</v>
      </c>
      <c r="D519" s="805">
        <v>-2358</v>
      </c>
      <c r="E519" s="804"/>
      <c r="F519" s="805">
        <v>-20614</v>
      </c>
      <c r="G519" s="804">
        <v>-504</v>
      </c>
      <c r="H519" s="805">
        <v>-33708</v>
      </c>
      <c r="I519" s="2221">
        <f>SUM(C519:H519)</f>
        <v>-65576</v>
      </c>
      <c r="J519" s="431"/>
      <c r="K519" s="394"/>
      <c r="L519" s="305"/>
      <c r="M519" s="305"/>
      <c r="N519" s="305"/>
      <c r="O519" s="305"/>
      <c r="P519" s="305"/>
      <c r="Q519" s="305"/>
      <c r="R519" s="305"/>
      <c r="S519" s="305"/>
      <c r="T519" s="305"/>
      <c r="U519" s="305"/>
    </row>
    <row r="520" spans="1:21" s="52" customFormat="1" ht="13.5" customHeight="1">
      <c r="A520" s="427"/>
      <c r="B520" s="2248" t="s">
        <v>447</v>
      </c>
      <c r="C520" s="2264">
        <v>9182</v>
      </c>
      <c r="D520" s="2263">
        <v>-1313</v>
      </c>
      <c r="E520" s="2264">
        <v>48477</v>
      </c>
      <c r="F520" s="2263">
        <v>795339</v>
      </c>
      <c r="G520" s="2264">
        <v>26520</v>
      </c>
      <c r="H520" s="2263">
        <v>70539</v>
      </c>
      <c r="I520" s="2229">
        <f>SUM(I516:I519)</f>
        <v>948742</v>
      </c>
      <c r="J520" s="431"/>
      <c r="K520" s="394"/>
      <c r="L520" s="305"/>
      <c r="M520" s="305"/>
      <c r="N520" s="305"/>
      <c r="O520" s="305"/>
      <c r="P520" s="305"/>
      <c r="Q520" s="305"/>
      <c r="R520" s="305"/>
      <c r="S520" s="305"/>
      <c r="T520" s="305"/>
      <c r="U520" s="305"/>
    </row>
    <row r="521" spans="1:21" s="52" customFormat="1" ht="13.5" customHeight="1">
      <c r="A521" s="427"/>
      <c r="B521" s="2246" t="s">
        <v>448</v>
      </c>
      <c r="C521" s="2275">
        <v>-2476</v>
      </c>
      <c r="D521" s="2274"/>
      <c r="E521" s="2275">
        <v>-17888</v>
      </c>
      <c r="F521" s="2274">
        <v>-138484</v>
      </c>
      <c r="G521" s="2275">
        <v>-9297</v>
      </c>
      <c r="H521" s="2274">
        <v>7840</v>
      </c>
      <c r="I521" s="2221">
        <f>SUM(C521:H521)</f>
        <v>-160305</v>
      </c>
      <c r="J521" s="431"/>
      <c r="K521" s="394"/>
      <c r="L521" s="305"/>
      <c r="M521" s="305"/>
      <c r="N521" s="305"/>
      <c r="O521" s="305"/>
      <c r="P521" s="305"/>
      <c r="Q521" s="305"/>
      <c r="R521" s="305"/>
      <c r="S521" s="305"/>
      <c r="T521" s="305"/>
      <c r="U521" s="305"/>
    </row>
    <row r="522" spans="1:21" s="52" customFormat="1" ht="13.5" customHeight="1">
      <c r="A522" s="427"/>
      <c r="B522" s="2248" t="s">
        <v>449</v>
      </c>
      <c r="C522" s="2264">
        <v>6706</v>
      </c>
      <c r="D522" s="2263">
        <v>-1313</v>
      </c>
      <c r="E522" s="2264">
        <v>30589</v>
      </c>
      <c r="F522" s="2263">
        <v>656854</v>
      </c>
      <c r="G522" s="2264">
        <v>17223</v>
      </c>
      <c r="H522" s="2263">
        <v>78379</v>
      </c>
      <c r="I522" s="2229">
        <f>SUM(I520:I521)</f>
        <v>788437</v>
      </c>
      <c r="J522" s="431"/>
      <c r="K522" s="394"/>
      <c r="L522" s="305"/>
      <c r="M522" s="305"/>
      <c r="N522" s="305"/>
      <c r="O522" s="305"/>
      <c r="P522" s="305"/>
      <c r="Q522" s="305"/>
      <c r="R522" s="305"/>
      <c r="S522" s="305"/>
      <c r="T522" s="305"/>
      <c r="U522" s="305"/>
    </row>
    <row r="523" spans="1:21" s="52" customFormat="1" ht="13.5" customHeight="1">
      <c r="A523" s="427"/>
      <c r="B523" s="2246"/>
      <c r="C523" s="2267"/>
      <c r="D523" s="2266"/>
      <c r="E523" s="2267"/>
      <c r="F523" s="2266"/>
      <c r="G523" s="2267"/>
      <c r="H523" s="2266"/>
      <c r="I523" s="2221"/>
      <c r="J523" s="431"/>
      <c r="K523" s="394"/>
      <c r="L523" s="305"/>
      <c r="M523" s="305"/>
      <c r="N523" s="305"/>
      <c r="O523" s="305"/>
      <c r="P523" s="305"/>
      <c r="Q523" s="305"/>
      <c r="R523" s="305"/>
      <c r="S523" s="305"/>
      <c r="T523" s="305"/>
      <c r="U523" s="305"/>
    </row>
    <row r="524" spans="1:21" s="52" customFormat="1" ht="13.5" customHeight="1">
      <c r="A524" s="427"/>
      <c r="B524" s="2248" t="s">
        <v>450</v>
      </c>
      <c r="C524" s="2269"/>
      <c r="D524" s="2268"/>
      <c r="E524" s="2269"/>
      <c r="F524" s="2268"/>
      <c r="G524" s="2269"/>
      <c r="H524" s="2268"/>
      <c r="I524" s="1928">
        <f>SUM(I525:I527)</f>
        <v>-298566</v>
      </c>
      <c r="J524" s="431"/>
      <c r="K524" s="394"/>
      <c r="L524" s="305"/>
      <c r="M524" s="305"/>
      <c r="N524" s="305"/>
      <c r="O524" s="305"/>
      <c r="P524" s="305"/>
      <c r="Q524" s="305"/>
      <c r="R524" s="305"/>
      <c r="S524" s="305"/>
      <c r="T524" s="305"/>
      <c r="U524" s="305"/>
    </row>
    <row r="525" spans="1:21" s="52" customFormat="1" ht="30.75" customHeight="1">
      <c r="A525" s="427"/>
      <c r="B525" s="2246" t="s">
        <v>451</v>
      </c>
      <c r="C525" s="2275">
        <v>-3694</v>
      </c>
      <c r="D525" s="2274"/>
      <c r="E525" s="2275">
        <v>-8584</v>
      </c>
      <c r="F525" s="2274">
        <v>-180470</v>
      </c>
      <c r="G525" s="2275">
        <v>-10893</v>
      </c>
      <c r="H525" s="2274">
        <v>-25200</v>
      </c>
      <c r="I525" s="2221">
        <f>SUM(C525:H525)</f>
        <v>-228841</v>
      </c>
      <c r="J525" s="431"/>
      <c r="K525" s="394"/>
      <c r="L525" s="305"/>
      <c r="M525" s="305"/>
      <c r="N525" s="305"/>
      <c r="O525" s="305"/>
      <c r="P525" s="305"/>
      <c r="Q525" s="305"/>
      <c r="R525" s="305"/>
      <c r="S525" s="305"/>
      <c r="T525" s="305"/>
      <c r="U525" s="305"/>
    </row>
    <row r="526" spans="1:21" s="52" customFormat="1" ht="30.75" customHeight="1">
      <c r="A526" s="427"/>
      <c r="B526" s="2246" t="s">
        <v>452</v>
      </c>
      <c r="C526" s="804">
        <v>2869</v>
      </c>
      <c r="D526" s="805"/>
      <c r="E526" s="804"/>
      <c r="F526" s="805">
        <v>-64348</v>
      </c>
      <c r="G526" s="804"/>
      <c r="H526" s="805">
        <v>-8246</v>
      </c>
      <c r="I526" s="2221">
        <f>SUM(C526:H526)</f>
        <v>-69725</v>
      </c>
      <c r="J526" s="431"/>
      <c r="K526" s="394"/>
      <c r="L526" s="305"/>
      <c r="M526" s="305"/>
      <c r="N526" s="305"/>
      <c r="O526" s="305"/>
      <c r="P526" s="305"/>
      <c r="Q526" s="305"/>
      <c r="R526" s="305"/>
      <c r="S526" s="305"/>
      <c r="T526" s="305"/>
      <c r="U526" s="305"/>
    </row>
    <row r="527" spans="1:21" s="52" customFormat="1" ht="13.5" customHeight="1">
      <c r="A527" s="427"/>
      <c r="B527" s="2246" t="s">
        <v>453</v>
      </c>
      <c r="C527" s="2269"/>
      <c r="D527" s="2268"/>
      <c r="E527" s="2269"/>
      <c r="F527" s="2268"/>
      <c r="G527" s="2269"/>
      <c r="H527" s="2268"/>
      <c r="I527" s="2221"/>
      <c r="J527" s="431"/>
      <c r="K527" s="394"/>
      <c r="L527" s="305"/>
      <c r="M527" s="305"/>
      <c r="N527" s="305"/>
      <c r="O527" s="305"/>
      <c r="P527" s="305"/>
      <c r="Q527" s="305"/>
      <c r="R527" s="305"/>
      <c r="S527" s="305"/>
      <c r="T527" s="305"/>
      <c r="U527" s="305"/>
    </row>
    <row r="528" spans="1:21" s="52" customFormat="1" ht="13.5" customHeight="1">
      <c r="A528" s="427"/>
      <c r="B528" s="2252" t="s">
        <v>454</v>
      </c>
      <c r="C528" s="2264">
        <v>5880</v>
      </c>
      <c r="D528" s="2263">
        <v>-1313</v>
      </c>
      <c r="E528" s="2264">
        <v>22005</v>
      </c>
      <c r="F528" s="2263">
        <v>412037</v>
      </c>
      <c r="G528" s="2264">
        <v>6330</v>
      </c>
      <c r="H528" s="2263">
        <v>44933</v>
      </c>
      <c r="I528" s="2229">
        <f>+I522+I525+I526+I527</f>
        <v>489871</v>
      </c>
      <c r="J528" s="431"/>
      <c r="K528" s="394"/>
      <c r="L528" s="305"/>
      <c r="M528" s="305"/>
      <c r="N528" s="305"/>
      <c r="O528" s="305"/>
      <c r="P528" s="305"/>
      <c r="Q528" s="305"/>
      <c r="R528" s="305"/>
      <c r="S528" s="305"/>
      <c r="T528" s="305"/>
      <c r="U528" s="305"/>
    </row>
    <row r="529" spans="1:21" s="52" customFormat="1" ht="13.5" customHeight="1">
      <c r="A529" s="427"/>
      <c r="B529" s="2253"/>
      <c r="C529" s="2267"/>
      <c r="D529" s="2266"/>
      <c r="E529" s="2267"/>
      <c r="F529" s="2266"/>
      <c r="G529" s="2267"/>
      <c r="H529" s="2266"/>
      <c r="I529" s="2277"/>
      <c r="J529" s="431"/>
      <c r="K529" s="394"/>
      <c r="L529" s="305"/>
      <c r="M529" s="305"/>
      <c r="N529" s="305"/>
      <c r="O529" s="305"/>
      <c r="P529" s="305"/>
      <c r="Q529" s="305"/>
      <c r="R529" s="305"/>
      <c r="S529" s="305"/>
      <c r="T529" s="305"/>
      <c r="U529" s="305"/>
    </row>
    <row r="530" spans="1:21" s="52" customFormat="1" ht="13.5" customHeight="1">
      <c r="A530" s="427"/>
      <c r="B530" s="2248" t="s">
        <v>455</v>
      </c>
      <c r="C530" s="2254"/>
      <c r="D530" s="2255"/>
      <c r="E530" s="2254"/>
      <c r="F530" s="2255"/>
      <c r="G530" s="2254"/>
      <c r="H530" s="2255"/>
      <c r="I530" s="2277">
        <f>SUM(I531:I535)</f>
        <v>215330</v>
      </c>
      <c r="J530" s="431"/>
      <c r="K530" s="394"/>
      <c r="L530" s="305"/>
      <c r="M530" s="305"/>
      <c r="N530" s="305"/>
      <c r="O530" s="305"/>
      <c r="P530" s="305"/>
      <c r="Q530" s="305"/>
      <c r="R530" s="305"/>
      <c r="S530" s="305"/>
      <c r="T530" s="305"/>
      <c r="U530" s="305"/>
    </row>
    <row r="531" spans="1:21" s="52" customFormat="1" ht="13.5" customHeight="1">
      <c r="A531" s="427"/>
      <c r="B531" s="2246" t="s">
        <v>456</v>
      </c>
      <c r="C531" s="2254"/>
      <c r="D531" s="2255"/>
      <c r="E531" s="2254"/>
      <c r="F531" s="2255"/>
      <c r="G531" s="2254"/>
      <c r="H531" s="2255"/>
      <c r="I531" s="2296">
        <v>129442</v>
      </c>
      <c r="J531" s="431"/>
      <c r="K531" s="394"/>
      <c r="L531" s="305"/>
      <c r="M531" s="305"/>
      <c r="N531" s="305"/>
      <c r="O531" s="305"/>
      <c r="P531" s="305"/>
      <c r="Q531" s="305"/>
      <c r="R531" s="305"/>
      <c r="S531" s="305"/>
      <c r="T531" s="305"/>
      <c r="U531" s="305"/>
    </row>
    <row r="532" spans="1:21" s="52" customFormat="1" ht="13.5" customHeight="1">
      <c r="A532" s="427"/>
      <c r="B532" s="2246" t="s">
        <v>472</v>
      </c>
      <c r="C532" s="2254"/>
      <c r="D532" s="2255"/>
      <c r="E532" s="2254"/>
      <c r="F532" s="2255"/>
      <c r="G532" s="2254"/>
      <c r="H532" s="2255"/>
      <c r="I532" s="1495">
        <v>87833</v>
      </c>
      <c r="J532" s="431"/>
      <c r="K532" s="394"/>
      <c r="L532" s="305"/>
      <c r="M532" s="305"/>
      <c r="N532" s="305"/>
      <c r="O532" s="305"/>
      <c r="P532" s="305"/>
      <c r="Q532" s="305"/>
      <c r="R532" s="305"/>
      <c r="S532" s="305"/>
      <c r="T532" s="305"/>
      <c r="U532" s="305"/>
    </row>
    <row r="533" spans="1:21" s="52" customFormat="1" ht="13.15" customHeight="1">
      <c r="A533" s="427"/>
      <c r="B533" s="2246" t="s">
        <v>458</v>
      </c>
      <c r="C533" s="2254"/>
      <c r="D533" s="2255"/>
      <c r="E533" s="2254"/>
      <c r="F533" s="2255"/>
      <c r="G533" s="2254"/>
      <c r="H533" s="2255"/>
      <c r="I533" s="1495">
        <v>6423</v>
      </c>
      <c r="J533" s="431"/>
      <c r="K533" s="394"/>
      <c r="L533" s="305"/>
      <c r="M533" s="305"/>
      <c r="N533" s="305"/>
      <c r="O533" s="305"/>
      <c r="P533" s="305"/>
      <c r="Q533" s="305"/>
      <c r="R533" s="305"/>
      <c r="S533" s="305"/>
      <c r="T533" s="305"/>
      <c r="U533" s="305"/>
    </row>
    <row r="534" spans="1:21" s="52" customFormat="1" ht="13.15" customHeight="1">
      <c r="A534" s="427"/>
      <c r="B534" s="2246" t="s">
        <v>459</v>
      </c>
      <c r="C534" s="2254"/>
      <c r="D534" s="2255"/>
      <c r="E534" s="2254"/>
      <c r="F534" s="2255"/>
      <c r="G534" s="2254"/>
      <c r="H534" s="2255"/>
      <c r="I534" s="1495">
        <v>-69739</v>
      </c>
      <c r="J534" s="431"/>
      <c r="K534" s="394"/>
      <c r="L534" s="305"/>
      <c r="M534" s="305"/>
      <c r="N534" s="305"/>
      <c r="O534" s="305"/>
      <c r="P534" s="305"/>
      <c r="Q534" s="305"/>
      <c r="R534" s="305"/>
      <c r="S534" s="305"/>
      <c r="T534" s="305"/>
      <c r="U534" s="305"/>
    </row>
    <row r="535" spans="1:21" s="52" customFormat="1" ht="13.15" customHeight="1">
      <c r="A535" s="427"/>
      <c r="B535" s="2246" t="s">
        <v>460</v>
      </c>
      <c r="C535" s="2254"/>
      <c r="D535" s="2255"/>
      <c r="E535" s="2254"/>
      <c r="F535" s="2255"/>
      <c r="G535" s="2254"/>
      <c r="H535" s="2255"/>
      <c r="I535" s="1495">
        <v>61371</v>
      </c>
      <c r="J535" s="431"/>
      <c r="K535" s="394"/>
      <c r="L535" s="305"/>
      <c r="M535" s="305"/>
      <c r="N535" s="305"/>
      <c r="O535" s="305"/>
      <c r="P535" s="305"/>
      <c r="Q535" s="305"/>
      <c r="R535" s="305"/>
      <c r="S535" s="305"/>
      <c r="T535" s="305"/>
      <c r="U535" s="305"/>
    </row>
    <row r="536" spans="1:21" s="52" customFormat="1" ht="13.5" customHeight="1">
      <c r="A536" s="427"/>
      <c r="B536" s="2246"/>
      <c r="C536" s="2254"/>
      <c r="D536" s="2255"/>
      <c r="E536" s="2254"/>
      <c r="F536" s="2255"/>
      <c r="G536" s="2254"/>
      <c r="H536" s="2255"/>
      <c r="I536" s="2221"/>
      <c r="J536" s="431"/>
      <c r="K536" s="394"/>
      <c r="L536" s="305"/>
      <c r="M536" s="305"/>
      <c r="N536" s="305"/>
      <c r="O536" s="305"/>
      <c r="P536" s="305"/>
      <c r="Q536" s="305"/>
      <c r="R536" s="305"/>
      <c r="S536" s="305"/>
      <c r="T536" s="305"/>
      <c r="U536" s="305"/>
    </row>
    <row r="537" spans="1:21" s="52" customFormat="1" ht="13.5" customHeight="1">
      <c r="A537" s="427"/>
      <c r="B537" s="2248" t="s">
        <v>461</v>
      </c>
      <c r="C537" s="2254"/>
      <c r="D537" s="2255"/>
      <c r="E537" s="2254"/>
      <c r="F537" s="2255"/>
      <c r="G537" s="2254"/>
      <c r="H537" s="2255"/>
      <c r="I537" s="2221">
        <f>I538+I539</f>
        <v>-725589</v>
      </c>
      <c r="J537" s="431"/>
      <c r="K537" s="394"/>
      <c r="L537" s="305"/>
      <c r="M537" s="305"/>
      <c r="N537" s="305"/>
      <c r="O537" s="305"/>
      <c r="P537" s="305"/>
      <c r="Q537" s="305"/>
      <c r="R537" s="305"/>
      <c r="S537" s="305"/>
      <c r="T537" s="305"/>
      <c r="U537" s="305"/>
    </row>
    <row r="538" spans="1:21" s="52" customFormat="1" ht="26.25" customHeight="1">
      <c r="A538" s="427"/>
      <c r="B538" s="2246" t="s">
        <v>462</v>
      </c>
      <c r="C538" s="2254"/>
      <c r="D538" s="2255"/>
      <c r="E538" s="2254"/>
      <c r="F538" s="2255"/>
      <c r="G538" s="2254"/>
      <c r="H538" s="2255"/>
      <c r="I538" s="2309">
        <v>-725589</v>
      </c>
      <c r="J538" s="431"/>
      <c r="K538" s="394"/>
      <c r="L538" s="305"/>
      <c r="M538" s="305"/>
      <c r="N538" s="305"/>
      <c r="O538" s="305"/>
      <c r="P538" s="305"/>
      <c r="Q538" s="305"/>
      <c r="R538" s="305"/>
      <c r="S538" s="305"/>
      <c r="T538" s="305"/>
      <c r="U538" s="305"/>
    </row>
    <row r="539" spans="1:21" s="52" customFormat="1" ht="26.25" customHeight="1">
      <c r="A539" s="427"/>
      <c r="B539" s="2246" t="s">
        <v>463</v>
      </c>
      <c r="C539" s="2254"/>
      <c r="D539" s="2255"/>
      <c r="E539" s="2254"/>
      <c r="F539" s="2255"/>
      <c r="G539" s="2254"/>
      <c r="H539" s="2255"/>
      <c r="I539" s="2221"/>
      <c r="J539" s="431"/>
      <c r="K539" s="394"/>
      <c r="L539" s="305"/>
      <c r="M539" s="305"/>
      <c r="N539" s="305"/>
      <c r="O539" s="305"/>
      <c r="P539" s="305"/>
      <c r="Q539" s="305"/>
      <c r="R539" s="305"/>
      <c r="S539" s="305"/>
      <c r="T539" s="305"/>
      <c r="U539" s="305"/>
    </row>
    <row r="540" spans="1:21" s="52" customFormat="1" ht="13.5" customHeight="1">
      <c r="A540" s="427"/>
      <c r="B540" s="2248" t="s">
        <v>464</v>
      </c>
      <c r="C540" s="2254"/>
      <c r="D540" s="2255"/>
      <c r="E540" s="2254"/>
      <c r="F540" s="2255"/>
      <c r="G540" s="2254"/>
      <c r="H540" s="2255"/>
      <c r="I540" s="2277">
        <f>+I528+I530+I537</f>
        <v>-20388</v>
      </c>
      <c r="J540" s="431"/>
      <c r="K540" s="394"/>
      <c r="L540" s="305"/>
      <c r="M540" s="305"/>
      <c r="N540" s="305"/>
      <c r="O540" s="305"/>
      <c r="P540" s="305"/>
      <c r="Q540" s="305"/>
      <c r="R540" s="305"/>
      <c r="S540" s="305"/>
      <c r="T540" s="305"/>
      <c r="U540" s="305"/>
    </row>
    <row r="541" spans="1:21" s="52" customFormat="1" ht="13.5" customHeight="1">
      <c r="A541" s="427"/>
      <c r="B541" s="2246" t="s">
        <v>465</v>
      </c>
      <c r="C541" s="2254"/>
      <c r="D541" s="2255"/>
      <c r="E541" s="2254"/>
      <c r="F541" s="2255"/>
      <c r="G541" s="2254"/>
      <c r="H541" s="2255"/>
      <c r="I541" s="2296">
        <v>-18634</v>
      </c>
      <c r="J541" s="431"/>
      <c r="K541" s="394"/>
      <c r="L541" s="305"/>
      <c r="M541" s="305"/>
      <c r="N541" s="305"/>
      <c r="O541" s="305"/>
      <c r="P541" s="305"/>
      <c r="Q541" s="305"/>
      <c r="R541" s="305"/>
      <c r="S541" s="305"/>
      <c r="T541" s="305"/>
      <c r="U541" s="305"/>
    </row>
    <row r="542" spans="1:21" s="52" customFormat="1" ht="13.5" customHeight="1">
      <c r="A542" s="427"/>
      <c r="B542" s="2256" t="s">
        <v>466</v>
      </c>
      <c r="C542" s="2254"/>
      <c r="D542" s="2255"/>
      <c r="E542" s="2254"/>
      <c r="F542" s="2255"/>
      <c r="G542" s="2254"/>
      <c r="H542" s="2255"/>
      <c r="I542" s="2277">
        <f>+I540+I541</f>
        <v>-39022</v>
      </c>
      <c r="J542" s="431"/>
      <c r="K542" s="394"/>
      <c r="L542" s="305"/>
      <c r="M542" s="305"/>
      <c r="N542" s="305"/>
      <c r="O542" s="305"/>
      <c r="P542" s="305"/>
      <c r="Q542" s="305"/>
      <c r="R542" s="305"/>
      <c r="S542" s="305"/>
      <c r="T542" s="305"/>
      <c r="U542" s="305"/>
    </row>
    <row r="543" spans="1:21" s="52" customFormat="1" ht="13.5" customHeight="1">
      <c r="A543" s="427"/>
      <c r="B543" s="2257" t="s">
        <v>467</v>
      </c>
      <c r="C543" s="2254"/>
      <c r="D543" s="2255"/>
      <c r="E543" s="2254"/>
      <c r="F543" s="2255"/>
      <c r="G543" s="2254"/>
      <c r="H543" s="2255"/>
      <c r="I543" s="2296">
        <v>-23225</v>
      </c>
      <c r="J543" s="431"/>
      <c r="K543" s="394"/>
      <c r="L543" s="305"/>
      <c r="M543" s="305"/>
      <c r="N543" s="305"/>
      <c r="O543" s="305"/>
      <c r="P543" s="305"/>
      <c r="Q543" s="305"/>
      <c r="R543" s="305"/>
      <c r="S543" s="305"/>
      <c r="T543" s="305"/>
      <c r="U543" s="305"/>
    </row>
    <row r="544" spans="1:21" s="52" customFormat="1" ht="13.5" customHeight="1" thickBot="1">
      <c r="A544" s="427"/>
      <c r="B544" s="1479" t="s">
        <v>468</v>
      </c>
      <c r="C544" s="488"/>
      <c r="D544" s="1107"/>
      <c r="E544" s="488"/>
      <c r="F544" s="1107"/>
      <c r="G544" s="488"/>
      <c r="H544" s="1107"/>
      <c r="I544" s="1489">
        <f>SUM(I542:I543)</f>
        <v>-62247</v>
      </c>
      <c r="J544" s="431"/>
      <c r="K544" s="394"/>
      <c r="L544" s="305"/>
      <c r="M544" s="305"/>
      <c r="N544" s="305"/>
      <c r="O544" s="305"/>
      <c r="P544" s="305"/>
      <c r="Q544" s="305"/>
      <c r="R544" s="305"/>
      <c r="S544" s="305"/>
      <c r="T544" s="305"/>
      <c r="U544" s="305"/>
    </row>
    <row r="545" spans="1:21" s="52" customFormat="1" ht="13.5" customHeight="1">
      <c r="A545" s="427"/>
      <c r="B545" s="218"/>
      <c r="C545" s="218"/>
      <c r="D545" s="218"/>
      <c r="E545" s="433"/>
      <c r="F545" s="433"/>
      <c r="G545" s="433"/>
      <c r="H545" s="433"/>
      <c r="I545" s="433"/>
      <c r="J545" s="431"/>
      <c r="K545" s="394"/>
      <c r="L545" s="305"/>
      <c r="M545" s="305"/>
      <c r="N545" s="305"/>
      <c r="O545" s="305"/>
      <c r="P545" s="305"/>
      <c r="Q545" s="305"/>
      <c r="R545" s="305"/>
      <c r="S545" s="305"/>
      <c r="T545" s="305"/>
      <c r="U545" s="305"/>
    </row>
    <row r="546" spans="1:21" s="52" customFormat="1" ht="13.5" customHeight="1">
      <c r="A546" s="427"/>
      <c r="B546" s="218"/>
      <c r="C546" s="218"/>
      <c r="D546" s="218"/>
      <c r="E546" s="433"/>
      <c r="F546" s="433"/>
      <c r="G546" s="433"/>
      <c r="H546" s="433"/>
      <c r="I546" s="433"/>
      <c r="J546" s="431"/>
      <c r="K546" s="394">
        <v>124</v>
      </c>
      <c r="L546" s="305"/>
      <c r="M546" s="305"/>
      <c r="N546" s="305"/>
      <c r="O546" s="305"/>
      <c r="P546" s="305"/>
      <c r="Q546" s="305"/>
      <c r="R546" s="305"/>
      <c r="S546" s="305"/>
      <c r="T546" s="305"/>
      <c r="U546" s="305"/>
    </row>
    <row r="547" spans="1:21" s="52" customFormat="1" ht="13.5" customHeight="1">
      <c r="A547" s="427"/>
      <c r="B547" s="218"/>
      <c r="C547" s="218"/>
      <c r="D547" s="218"/>
      <c r="E547" s="433"/>
      <c r="F547" s="433"/>
      <c r="G547" s="433"/>
      <c r="H547" s="433"/>
      <c r="I547" s="433"/>
      <c r="J547" s="431"/>
      <c r="K547" s="394"/>
      <c r="L547" s="305"/>
      <c r="M547" s="305"/>
      <c r="N547" s="305"/>
      <c r="O547" s="305"/>
      <c r="P547" s="305"/>
      <c r="Q547" s="305"/>
      <c r="R547" s="305"/>
      <c r="S547" s="305"/>
      <c r="T547" s="305"/>
      <c r="U547" s="305"/>
    </row>
    <row r="548" spans="1:21" s="52" customFormat="1" ht="13.5" customHeight="1">
      <c r="A548" s="427"/>
      <c r="B548" s="295" t="s">
        <v>470</v>
      </c>
      <c r="C548" s="218"/>
      <c r="D548" s="218"/>
      <c r="E548" s="433"/>
      <c r="F548" s="433"/>
      <c r="G548" s="433"/>
      <c r="H548" s="433"/>
      <c r="I548" s="433"/>
      <c r="J548" s="431"/>
      <c r="K548" s="394"/>
      <c r="L548" s="305"/>
      <c r="M548" s="305"/>
      <c r="N548" s="305"/>
      <c r="O548" s="305"/>
      <c r="P548" s="305"/>
      <c r="Q548" s="305"/>
      <c r="R548" s="305"/>
      <c r="S548" s="305"/>
      <c r="T548" s="305"/>
      <c r="U548" s="305"/>
    </row>
    <row r="549" spans="1:21" s="52" customFormat="1" ht="13.5" customHeight="1" thickBot="1">
      <c r="A549" s="427"/>
      <c r="B549" s="218"/>
      <c r="C549" s="218"/>
      <c r="D549" s="218"/>
      <c r="E549" s="433"/>
      <c r="F549" s="433"/>
      <c r="G549" s="433"/>
      <c r="H549" s="433"/>
      <c r="I549" s="433"/>
      <c r="J549" s="431"/>
      <c r="K549" s="394"/>
      <c r="L549" s="305"/>
      <c r="M549" s="305"/>
      <c r="N549" s="305"/>
      <c r="O549" s="305"/>
      <c r="P549" s="305"/>
      <c r="Q549" s="305"/>
      <c r="R549" s="305"/>
      <c r="S549" s="305"/>
      <c r="T549" s="305"/>
      <c r="U549" s="305"/>
    </row>
    <row r="550" spans="1:21" ht="13.5" customHeight="1">
      <c r="B550" s="1481" t="s">
        <v>115</v>
      </c>
      <c r="I550" s="532" t="s">
        <v>238</v>
      </c>
      <c r="J550" s="553"/>
      <c r="L550" s="305"/>
      <c r="M550" s="305"/>
      <c r="N550" s="305"/>
      <c r="O550" s="305"/>
      <c r="P550" s="305"/>
      <c r="Q550" s="305"/>
      <c r="R550" s="305"/>
      <c r="S550" s="305"/>
      <c r="T550" s="305"/>
      <c r="U550" s="305"/>
    </row>
    <row r="551" spans="1:21" s="52" customFormat="1" ht="13.5" customHeight="1">
      <c r="A551" s="414"/>
      <c r="B551" s="3283"/>
      <c r="C551" s="3359">
        <v>2022</v>
      </c>
      <c r="D551" s="3360"/>
      <c r="E551" s="3360"/>
      <c r="F551" s="3360"/>
      <c r="G551" s="3360"/>
      <c r="H551" s="3360"/>
      <c r="I551" s="3361"/>
      <c r="J551" s="434"/>
      <c r="K551" s="394"/>
      <c r="L551" s="305"/>
      <c r="M551" s="305"/>
      <c r="N551" s="305"/>
      <c r="O551" s="305"/>
      <c r="P551" s="305"/>
      <c r="Q551" s="305"/>
      <c r="R551" s="305"/>
      <c r="S551" s="305"/>
      <c r="T551" s="305"/>
      <c r="U551" s="305"/>
    </row>
    <row r="552" spans="1:21" s="52" customFormat="1" ht="13.5" customHeight="1">
      <c r="A552" s="415"/>
      <c r="B552" s="3284"/>
      <c r="C552" s="3362" t="s">
        <v>436</v>
      </c>
      <c r="D552" s="3362" t="s">
        <v>437</v>
      </c>
      <c r="E552" s="3359" t="s">
        <v>438</v>
      </c>
      <c r="F552" s="3361"/>
      <c r="G552" s="3364" t="s">
        <v>439</v>
      </c>
      <c r="H552" s="3364" t="s">
        <v>440</v>
      </c>
      <c r="I552" s="3362" t="s">
        <v>118</v>
      </c>
      <c r="J552" s="454"/>
      <c r="K552" s="3358"/>
      <c r="L552" s="305"/>
      <c r="M552" s="305"/>
      <c r="N552" s="305"/>
      <c r="O552" s="305"/>
      <c r="P552" s="305"/>
      <c r="Q552" s="305"/>
      <c r="R552" s="305"/>
      <c r="S552" s="305"/>
      <c r="T552" s="305"/>
      <c r="U552" s="305"/>
    </row>
    <row r="553" spans="1:21" s="52" customFormat="1" ht="13.5" customHeight="1" thickBot="1">
      <c r="A553" s="415"/>
      <c r="B553" s="3285"/>
      <c r="C553" s="3363"/>
      <c r="D553" s="3363"/>
      <c r="E553" s="1461" t="s">
        <v>442</v>
      </c>
      <c r="F553" s="1461" t="s">
        <v>443</v>
      </c>
      <c r="G553" s="3365"/>
      <c r="H553" s="3365"/>
      <c r="I553" s="3363"/>
      <c r="J553" s="454"/>
      <c r="K553" s="3358"/>
      <c r="L553" s="305"/>
      <c r="M553" s="305"/>
      <c r="N553" s="305"/>
      <c r="O553" s="305"/>
      <c r="P553" s="305"/>
      <c r="Q553" s="305"/>
      <c r="R553" s="305"/>
      <c r="S553" s="305"/>
      <c r="T553" s="305"/>
      <c r="U553" s="305"/>
    </row>
    <row r="554" spans="1:21" s="52" customFormat="1" ht="13.5" customHeight="1">
      <c r="A554" s="427"/>
      <c r="B554" s="1486" t="s">
        <v>342</v>
      </c>
      <c r="C554" s="803">
        <v>3123352</v>
      </c>
      <c r="D554" s="2274">
        <v>943001</v>
      </c>
      <c r="E554" s="803">
        <v>948373</v>
      </c>
      <c r="F554" s="2274">
        <v>11831778</v>
      </c>
      <c r="G554" s="803">
        <v>811767</v>
      </c>
      <c r="H554" s="2274">
        <v>2683177</v>
      </c>
      <c r="I554" s="1494">
        <f>SUM(C554:H554)</f>
        <v>20341448</v>
      </c>
      <c r="J554" s="410"/>
      <c r="K554" s="286"/>
      <c r="L554" s="305"/>
      <c r="M554" s="305"/>
      <c r="N554" s="305"/>
      <c r="O554" s="305"/>
      <c r="P554" s="305"/>
      <c r="Q554" s="305"/>
      <c r="R554" s="305"/>
      <c r="S554" s="305"/>
      <c r="T554" s="305"/>
      <c r="U554" s="305"/>
    </row>
    <row r="555" spans="1:21" s="52" customFormat="1" ht="13.5" customHeight="1">
      <c r="A555" s="427"/>
      <c r="B555" s="2246" t="s">
        <v>473</v>
      </c>
      <c r="C555" s="804"/>
      <c r="D555" s="805"/>
      <c r="E555" s="804"/>
      <c r="F555" s="805"/>
      <c r="G555" s="804"/>
      <c r="H555" s="805"/>
      <c r="I555" s="2221">
        <f>SUM(C555:H555)</f>
        <v>0</v>
      </c>
      <c r="J555" s="410"/>
      <c r="K555" s="286"/>
      <c r="L555" s="305"/>
      <c r="M555" s="305"/>
      <c r="N555" s="305"/>
      <c r="O555" s="305"/>
      <c r="P555" s="305"/>
      <c r="Q555" s="305"/>
      <c r="R555" s="305"/>
      <c r="S555" s="305"/>
      <c r="T555" s="305"/>
      <c r="U555" s="305"/>
    </row>
    <row r="556" spans="1:21" s="52" customFormat="1" ht="13.5" customHeight="1">
      <c r="A556" s="427"/>
      <c r="B556" s="2246" t="s">
        <v>445</v>
      </c>
      <c r="C556" s="804">
        <v>-672240</v>
      </c>
      <c r="D556" s="805">
        <v>-7793</v>
      </c>
      <c r="E556" s="804">
        <v>0</v>
      </c>
      <c r="F556" s="805">
        <v>-271312</v>
      </c>
      <c r="G556" s="804">
        <v>0</v>
      </c>
      <c r="H556" s="805">
        <v>-70384</v>
      </c>
      <c r="I556" s="2221">
        <f>SUM(C556:H556)</f>
        <v>-1021729</v>
      </c>
      <c r="J556" s="410"/>
      <c r="K556" s="286"/>
      <c r="L556" s="305"/>
      <c r="M556" s="305"/>
      <c r="N556" s="305"/>
      <c r="O556" s="305"/>
      <c r="P556" s="305"/>
      <c r="Q556" s="305"/>
      <c r="R556" s="305"/>
      <c r="S556" s="305"/>
      <c r="T556" s="305"/>
      <c r="U556" s="305"/>
    </row>
    <row r="557" spans="1:21" s="52" customFormat="1" ht="13.5" customHeight="1">
      <c r="A557" s="427"/>
      <c r="B557" s="2246" t="s">
        <v>446</v>
      </c>
      <c r="C557" s="804">
        <v>-2104606</v>
      </c>
      <c r="D557" s="805">
        <v>-727851</v>
      </c>
      <c r="E557" s="804">
        <v>-3438</v>
      </c>
      <c r="F557" s="805">
        <v>-85546</v>
      </c>
      <c r="G557" s="804">
        <v>-1289</v>
      </c>
      <c r="H557" s="805">
        <v>-1236482</v>
      </c>
      <c r="I557" s="2221">
        <f>SUM(C557:H557)</f>
        <v>-4159212</v>
      </c>
      <c r="J557" s="410"/>
      <c r="K557" s="394"/>
      <c r="L557" s="305"/>
      <c r="M557" s="305"/>
      <c r="N557" s="305"/>
      <c r="O557" s="305"/>
      <c r="P557" s="305"/>
      <c r="Q557" s="305"/>
      <c r="R557" s="305"/>
      <c r="S557" s="305"/>
      <c r="T557" s="305"/>
      <c r="U557" s="305"/>
    </row>
    <row r="558" spans="1:21" s="236" customFormat="1" ht="13.5" customHeight="1">
      <c r="A558" s="428"/>
      <c r="B558" s="2248" t="s">
        <v>447</v>
      </c>
      <c r="C558" s="2264">
        <v>346505</v>
      </c>
      <c r="D558" s="2310">
        <v>207357</v>
      </c>
      <c r="E558" s="2264">
        <v>944935</v>
      </c>
      <c r="F558" s="2310">
        <v>11474920</v>
      </c>
      <c r="G558" s="2264">
        <v>810478</v>
      </c>
      <c r="H558" s="2310">
        <v>1376311</v>
      </c>
      <c r="I558" s="2229">
        <f>SUM(I554:I557)</f>
        <v>15160507</v>
      </c>
      <c r="J558" s="459"/>
      <c r="K558" s="463"/>
      <c r="L558" s="305"/>
      <c r="M558" s="305"/>
      <c r="N558" s="305"/>
      <c r="O558" s="305"/>
      <c r="P558" s="305"/>
      <c r="Q558" s="305"/>
      <c r="R558" s="305"/>
      <c r="S558" s="305"/>
      <c r="T558" s="305"/>
      <c r="U558" s="305"/>
    </row>
    <row r="559" spans="1:21" s="52" customFormat="1" ht="13.5" customHeight="1">
      <c r="A559" s="427"/>
      <c r="B559" s="2246" t="s">
        <v>448</v>
      </c>
      <c r="C559" s="2275">
        <v>18162</v>
      </c>
      <c r="D559" s="2274">
        <v>12951</v>
      </c>
      <c r="E559" s="2275">
        <v>13196</v>
      </c>
      <c r="F559" s="2274">
        <v>-536711</v>
      </c>
      <c r="G559" s="2275">
        <v>2353434</v>
      </c>
      <c r="H559" s="2274">
        <v>-364814</v>
      </c>
      <c r="I559" s="2221">
        <f>SUM(C559:H559)</f>
        <v>1496218</v>
      </c>
      <c r="J559" s="410"/>
      <c r="K559" s="394"/>
      <c r="L559" s="305"/>
      <c r="M559" s="305"/>
      <c r="N559" s="305"/>
      <c r="O559" s="305"/>
      <c r="P559" s="305"/>
      <c r="Q559" s="305"/>
      <c r="R559" s="305"/>
      <c r="S559" s="305"/>
      <c r="T559" s="305"/>
      <c r="U559" s="305"/>
    </row>
    <row r="560" spans="1:21" s="236" customFormat="1" ht="13.5" customHeight="1">
      <c r="A560" s="428"/>
      <c r="B560" s="2248" t="s">
        <v>449</v>
      </c>
      <c r="C560" s="2264">
        <v>364667</v>
      </c>
      <c r="D560" s="2310">
        <v>220309</v>
      </c>
      <c r="E560" s="2264">
        <v>958131</v>
      </c>
      <c r="F560" s="2310">
        <v>10938209</v>
      </c>
      <c r="G560" s="2264">
        <v>3163912</v>
      </c>
      <c r="H560" s="2310">
        <v>1011497</v>
      </c>
      <c r="I560" s="2229">
        <f>SUM(I558:I559)</f>
        <v>16656725</v>
      </c>
      <c r="J560" s="459"/>
      <c r="K560" s="463"/>
      <c r="L560" s="305"/>
      <c r="M560" s="305"/>
      <c r="N560" s="305"/>
      <c r="O560" s="305"/>
      <c r="P560" s="305"/>
      <c r="Q560" s="305"/>
      <c r="R560" s="305"/>
      <c r="S560" s="305"/>
      <c r="T560" s="305"/>
      <c r="U560" s="305"/>
    </row>
    <row r="561" spans="1:21" s="52" customFormat="1" ht="13.5" customHeight="1">
      <c r="A561" s="427"/>
      <c r="B561" s="2246"/>
      <c r="C561" s="2267"/>
      <c r="D561" s="2311"/>
      <c r="E561" s="2267"/>
      <c r="F561" s="2311"/>
      <c r="G561" s="2267"/>
      <c r="H561" s="2311"/>
      <c r="I561" s="2221">
        <v>0</v>
      </c>
      <c r="J561" s="410"/>
      <c r="K561" s="394"/>
      <c r="L561" s="305"/>
      <c r="M561" s="305"/>
      <c r="N561" s="305"/>
      <c r="O561" s="305"/>
      <c r="P561" s="305"/>
      <c r="Q561" s="305"/>
      <c r="R561" s="305"/>
      <c r="S561" s="305"/>
      <c r="T561" s="305"/>
      <c r="U561" s="305"/>
    </row>
    <row r="562" spans="1:21" s="52" customFormat="1" ht="13.5" customHeight="1">
      <c r="A562" s="427"/>
      <c r="B562" s="2248" t="s">
        <v>450</v>
      </c>
      <c r="C562" s="2269"/>
      <c r="D562" s="2312"/>
      <c r="E562" s="2269"/>
      <c r="F562" s="2312"/>
      <c r="G562" s="2269"/>
      <c r="H562" s="2312"/>
      <c r="I562" s="2221">
        <f>SUM(I563:I565)</f>
        <v>-17935746</v>
      </c>
      <c r="J562" s="410"/>
      <c r="K562" s="415"/>
      <c r="L562" s="305"/>
      <c r="M562" s="305"/>
      <c r="N562" s="305"/>
      <c r="O562" s="305"/>
      <c r="P562" s="305"/>
      <c r="Q562" s="305"/>
      <c r="R562" s="305"/>
      <c r="S562" s="305"/>
      <c r="T562" s="305"/>
      <c r="U562" s="305"/>
    </row>
    <row r="563" spans="1:21" s="52" customFormat="1" ht="27" customHeight="1">
      <c r="A563" s="427"/>
      <c r="B563" s="2246" t="s">
        <v>451</v>
      </c>
      <c r="C563" s="2301">
        <v>-46641</v>
      </c>
      <c r="D563" s="2302">
        <v>-108732</v>
      </c>
      <c r="E563" s="2301">
        <v>-822005</v>
      </c>
      <c r="F563" s="2302">
        <v>-6419665</v>
      </c>
      <c r="G563" s="2301">
        <v>-2779635</v>
      </c>
      <c r="H563" s="2302">
        <v>-384660</v>
      </c>
      <c r="I563" s="2221">
        <f>SUM(C563:H563)</f>
        <v>-10561338</v>
      </c>
      <c r="J563" s="410"/>
      <c r="K563" s="394"/>
      <c r="L563" s="305"/>
      <c r="M563" s="305"/>
      <c r="N563" s="305"/>
      <c r="O563" s="305"/>
      <c r="P563" s="305"/>
      <c r="Q563" s="305"/>
      <c r="R563" s="305"/>
      <c r="S563" s="305"/>
      <c r="T563" s="305"/>
      <c r="U563" s="305"/>
    </row>
    <row r="564" spans="1:21" s="52" customFormat="1" ht="26.25" customHeight="1">
      <c r="A564" s="427"/>
      <c r="B564" s="2246" t="s">
        <v>452</v>
      </c>
      <c r="C564" s="513">
        <v>171868</v>
      </c>
      <c r="D564" s="798">
        <v>36937</v>
      </c>
      <c r="E564" s="513">
        <v>-21324</v>
      </c>
      <c r="F564" s="798">
        <v>-795357</v>
      </c>
      <c r="G564" s="513">
        <v>-93139</v>
      </c>
      <c r="H564" s="798">
        <v>-39060</v>
      </c>
      <c r="I564" s="2221">
        <f>SUM(C564:H564)</f>
        <v>-740075</v>
      </c>
      <c r="J564" s="410"/>
      <c r="K564" s="394"/>
      <c r="L564" s="305"/>
      <c r="M564" s="305"/>
      <c r="N564" s="305"/>
      <c r="O564" s="305"/>
      <c r="P564" s="305"/>
      <c r="Q564" s="305"/>
      <c r="R564" s="305"/>
      <c r="S564" s="305"/>
      <c r="T564" s="305"/>
      <c r="U564" s="305"/>
    </row>
    <row r="565" spans="1:21" s="52" customFormat="1" ht="13.5" customHeight="1">
      <c r="A565" s="427"/>
      <c r="B565" s="2246" t="s">
        <v>453</v>
      </c>
      <c r="C565" s="806">
        <v>-739539</v>
      </c>
      <c r="D565" s="305">
        <v>-423798</v>
      </c>
      <c r="E565" s="806">
        <v>-759355</v>
      </c>
      <c r="F565" s="305">
        <v>-3242734</v>
      </c>
      <c r="G565" s="806">
        <v>-825705</v>
      </c>
      <c r="H565" s="305">
        <v>-643202</v>
      </c>
      <c r="I565" s="2221">
        <f>SUM(C565:H565)</f>
        <v>-6634333</v>
      </c>
      <c r="J565" s="410"/>
      <c r="K565" s="394"/>
      <c r="L565" s="305"/>
      <c r="M565" s="305"/>
      <c r="N565" s="305"/>
      <c r="O565" s="305"/>
      <c r="P565" s="305"/>
      <c r="Q565" s="305"/>
      <c r="R565" s="305"/>
      <c r="S565" s="305"/>
      <c r="T565" s="305"/>
      <c r="U565" s="305"/>
    </row>
    <row r="566" spans="1:21" s="52" customFormat="1" ht="13.5" customHeight="1">
      <c r="A566" s="427"/>
      <c r="B566" s="2252" t="s">
        <v>454</v>
      </c>
      <c r="C566" s="2264">
        <v>-249645</v>
      </c>
      <c r="D566" s="2310">
        <v>-275284</v>
      </c>
      <c r="E566" s="2264">
        <v>-644553</v>
      </c>
      <c r="F566" s="2310">
        <v>480453</v>
      </c>
      <c r="G566" s="2264">
        <v>-534567</v>
      </c>
      <c r="H566" s="2310">
        <v>-55425</v>
      </c>
      <c r="I566" s="2229">
        <f>+I560+I563+I564+I565</f>
        <v>-1279021</v>
      </c>
      <c r="J566" s="410"/>
      <c r="K566" s="288"/>
      <c r="L566" s="305"/>
      <c r="M566" s="305"/>
      <c r="N566" s="305"/>
      <c r="O566" s="305"/>
      <c r="P566" s="305"/>
      <c r="Q566" s="305"/>
      <c r="R566" s="305"/>
      <c r="S566" s="305"/>
      <c r="T566" s="305"/>
      <c r="U566" s="305"/>
    </row>
    <row r="567" spans="1:21" s="52" customFormat="1" ht="13.5" customHeight="1">
      <c r="A567" s="427"/>
      <c r="B567" s="2253"/>
      <c r="C567" s="2267"/>
      <c r="D567" s="2311"/>
      <c r="E567" s="2267"/>
      <c r="F567" s="2311"/>
      <c r="G567" s="2267"/>
      <c r="H567" s="2311"/>
      <c r="I567" s="2277"/>
      <c r="J567" s="410"/>
      <c r="K567" s="394"/>
      <c r="L567" s="305"/>
      <c r="M567" s="305"/>
      <c r="N567" s="305"/>
      <c r="O567" s="305"/>
      <c r="P567" s="305"/>
      <c r="Q567" s="305"/>
      <c r="R567" s="305"/>
      <c r="S567" s="305"/>
      <c r="T567" s="305"/>
      <c r="U567" s="305"/>
    </row>
    <row r="568" spans="1:21" s="52" customFormat="1" ht="13.5" customHeight="1">
      <c r="A568" s="427"/>
      <c r="B568" s="2248" t="s">
        <v>455</v>
      </c>
      <c r="C568" s="2254"/>
      <c r="D568" s="2313"/>
      <c r="E568" s="2254"/>
      <c r="F568" s="2313"/>
      <c r="G568" s="2254"/>
      <c r="H568" s="2313"/>
      <c r="I568" s="2277">
        <f>SUM(I569:I573)</f>
        <v>11336506.78088</v>
      </c>
      <c r="J568" s="410"/>
      <c r="K568" s="394"/>
      <c r="L568" s="305"/>
      <c r="M568" s="305"/>
      <c r="N568" s="305"/>
      <c r="O568" s="305"/>
      <c r="P568" s="305"/>
      <c r="Q568" s="305"/>
      <c r="R568" s="305"/>
      <c r="S568" s="305"/>
      <c r="T568" s="305"/>
      <c r="U568" s="305"/>
    </row>
    <row r="569" spans="1:21" s="52" customFormat="1" ht="13.5" customHeight="1">
      <c r="A569" s="427"/>
      <c r="B569" s="2246" t="s">
        <v>456</v>
      </c>
      <c r="C569" s="2254"/>
      <c r="D569" s="2313"/>
      <c r="E569" s="2254"/>
      <c r="F569" s="2313"/>
      <c r="G569" s="2254"/>
      <c r="H569" s="2313"/>
      <c r="I569" s="2277">
        <v>0</v>
      </c>
      <c r="J569" s="410"/>
      <c r="K569" s="394"/>
      <c r="L569" s="305"/>
      <c r="M569" s="305"/>
      <c r="N569" s="305"/>
      <c r="O569" s="305"/>
      <c r="P569" s="305"/>
      <c r="Q569" s="305"/>
      <c r="R569" s="305"/>
      <c r="S569" s="305"/>
      <c r="T569" s="305"/>
      <c r="U569" s="305"/>
    </row>
    <row r="570" spans="1:21" s="52" customFormat="1" ht="13.5" customHeight="1">
      <c r="A570" s="427"/>
      <c r="B570" s="2246" t="s">
        <v>472</v>
      </c>
      <c r="C570" s="2254"/>
      <c r="D570" s="2313"/>
      <c r="E570" s="2254"/>
      <c r="F570" s="2313"/>
      <c r="G570" s="2254"/>
      <c r="H570" s="2313"/>
      <c r="I570" s="2296">
        <v>3174645.0162499999</v>
      </c>
      <c r="J570" s="410"/>
      <c r="K570" s="394"/>
      <c r="L570" s="305"/>
      <c r="M570" s="305"/>
      <c r="N570" s="305"/>
      <c r="O570" s="305"/>
      <c r="P570" s="305"/>
      <c r="Q570" s="305"/>
      <c r="R570" s="305"/>
      <c r="S570" s="305"/>
      <c r="T570" s="305"/>
      <c r="U570" s="305"/>
    </row>
    <row r="571" spans="1:21" s="52" customFormat="1" ht="13.15" customHeight="1">
      <c r="A571" s="427"/>
      <c r="B571" s="2246" t="s">
        <v>458</v>
      </c>
      <c r="C571" s="2254"/>
      <c r="D571" s="2313"/>
      <c r="E571" s="2254"/>
      <c r="F571" s="2313"/>
      <c r="G571" s="2254"/>
      <c r="H571" s="2313"/>
      <c r="I571" s="1495">
        <v>179254.11312999998</v>
      </c>
      <c r="J571" s="410"/>
      <c r="K571" s="394"/>
      <c r="L571" s="305"/>
      <c r="M571" s="305"/>
      <c r="N571" s="305"/>
      <c r="O571" s="305"/>
      <c r="P571" s="305"/>
      <c r="Q571" s="305"/>
      <c r="R571" s="305"/>
      <c r="S571" s="305"/>
      <c r="T571" s="305"/>
      <c r="U571" s="305"/>
    </row>
    <row r="572" spans="1:21" s="52" customFormat="1" ht="13.15" customHeight="1">
      <c r="A572" s="427"/>
      <c r="B572" s="2246" t="s">
        <v>459</v>
      </c>
      <c r="C572" s="2254"/>
      <c r="D572" s="2313"/>
      <c r="E572" s="2254"/>
      <c r="F572" s="2313"/>
      <c r="G572" s="2254"/>
      <c r="H572" s="2313"/>
      <c r="I572" s="1495">
        <v>-1610312.3485000001</v>
      </c>
      <c r="J572" s="410"/>
      <c r="K572" s="394"/>
      <c r="L572" s="305"/>
      <c r="M572" s="305"/>
      <c r="N572" s="305"/>
      <c r="O572" s="305"/>
      <c r="P572" s="305"/>
      <c r="Q572" s="305"/>
      <c r="R572" s="305"/>
      <c r="S572" s="305"/>
      <c r="T572" s="305"/>
      <c r="U572" s="305"/>
    </row>
    <row r="573" spans="1:21" s="52" customFormat="1" ht="13.15" customHeight="1">
      <c r="A573" s="427"/>
      <c r="B573" s="2246" t="s">
        <v>460</v>
      </c>
      <c r="C573" s="2254"/>
      <c r="D573" s="2313"/>
      <c r="E573" s="2254"/>
      <c r="F573" s="2313"/>
      <c r="G573" s="2254"/>
      <c r="H573" s="2313"/>
      <c r="I573" s="1495">
        <v>9592920</v>
      </c>
      <c r="J573" s="410"/>
      <c r="K573" s="394"/>
      <c r="L573" s="305"/>
      <c r="M573" s="305"/>
      <c r="N573" s="305"/>
      <c r="O573" s="305"/>
      <c r="P573" s="305"/>
      <c r="Q573" s="305"/>
      <c r="R573" s="305"/>
      <c r="S573" s="305"/>
      <c r="T573" s="305"/>
      <c r="U573" s="305"/>
    </row>
    <row r="574" spans="1:21" s="52" customFormat="1" ht="13.15" customHeight="1">
      <c r="A574" s="427"/>
      <c r="B574" s="2246"/>
      <c r="C574" s="2254"/>
      <c r="D574" s="2313"/>
      <c r="E574" s="2254"/>
      <c r="F574" s="2313"/>
      <c r="G574" s="2254"/>
      <c r="H574" s="2313"/>
      <c r="I574" s="2221"/>
      <c r="J574" s="410"/>
      <c r="K574" s="394"/>
      <c r="L574" s="305"/>
      <c r="M574" s="305"/>
      <c r="N574" s="305"/>
      <c r="O574" s="305"/>
      <c r="P574" s="305"/>
      <c r="Q574" s="305"/>
      <c r="R574" s="305"/>
      <c r="S574" s="305"/>
      <c r="T574" s="305"/>
      <c r="U574" s="305"/>
    </row>
    <row r="575" spans="1:21" s="52" customFormat="1" ht="13.5" customHeight="1">
      <c r="A575" s="427"/>
      <c r="B575" s="2248" t="s">
        <v>461</v>
      </c>
      <c r="C575" s="2254"/>
      <c r="D575" s="2313"/>
      <c r="E575" s="2254"/>
      <c r="F575" s="2313"/>
      <c r="G575" s="2254"/>
      <c r="H575" s="2313"/>
      <c r="I575" s="2221">
        <f>I576+I577</f>
        <v>-248474</v>
      </c>
      <c r="J575" s="410"/>
      <c r="K575" s="394"/>
      <c r="L575" s="305"/>
      <c r="M575" s="305"/>
      <c r="N575" s="305"/>
      <c r="O575" s="305"/>
      <c r="P575" s="305"/>
      <c r="Q575" s="305"/>
      <c r="R575" s="305"/>
      <c r="S575" s="305"/>
      <c r="T575" s="305"/>
      <c r="U575" s="305"/>
    </row>
    <row r="576" spans="1:21" s="52" customFormat="1" ht="28.5" customHeight="1">
      <c r="A576" s="427"/>
      <c r="B576" s="2246" t="s">
        <v>462</v>
      </c>
      <c r="C576" s="2254"/>
      <c r="D576" s="2313"/>
      <c r="E576" s="2254"/>
      <c r="F576" s="2313"/>
      <c r="G576" s="2254"/>
      <c r="H576" s="2313"/>
      <c r="I576" s="2296">
        <v>-248474</v>
      </c>
      <c r="J576" s="410"/>
      <c r="K576" s="394"/>
      <c r="L576" s="305"/>
      <c r="M576" s="305"/>
      <c r="N576" s="305"/>
      <c r="O576" s="305"/>
      <c r="P576" s="305"/>
      <c r="Q576" s="305"/>
      <c r="R576" s="305"/>
      <c r="S576" s="305"/>
      <c r="T576" s="305"/>
      <c r="U576" s="305"/>
    </row>
    <row r="577" spans="1:21" s="52" customFormat="1" ht="25.5" customHeight="1">
      <c r="A577" s="427"/>
      <c r="B577" s="2246" t="s">
        <v>463</v>
      </c>
      <c r="C577" s="2254"/>
      <c r="D577" s="2313"/>
      <c r="E577" s="2254"/>
      <c r="F577" s="2313"/>
      <c r="G577" s="2254"/>
      <c r="H577" s="2313"/>
      <c r="I577" s="2221"/>
      <c r="J577" s="410"/>
      <c r="K577" s="394"/>
      <c r="L577" s="305"/>
      <c r="M577" s="305"/>
      <c r="N577" s="305"/>
      <c r="O577" s="305"/>
      <c r="P577" s="305"/>
      <c r="Q577" s="305"/>
      <c r="R577" s="305"/>
      <c r="S577" s="305"/>
      <c r="T577" s="305"/>
      <c r="U577" s="305"/>
    </row>
    <row r="578" spans="1:21" s="52" customFormat="1" ht="13.5" customHeight="1">
      <c r="A578" s="427"/>
      <c r="B578" s="2248" t="s">
        <v>464</v>
      </c>
      <c r="C578" s="2254"/>
      <c r="D578" s="2313"/>
      <c r="E578" s="2254"/>
      <c r="F578" s="2313"/>
      <c r="G578" s="2254"/>
      <c r="H578" s="2313"/>
      <c r="I578" s="2277">
        <f>+I566+I568+I575</f>
        <v>9809011.7808800004</v>
      </c>
      <c r="J578" s="410"/>
      <c r="K578" s="394"/>
      <c r="L578" s="305"/>
      <c r="M578" s="305"/>
      <c r="N578" s="305"/>
      <c r="O578" s="305"/>
      <c r="P578" s="305"/>
      <c r="Q578" s="305"/>
      <c r="R578" s="305"/>
      <c r="S578" s="305"/>
      <c r="T578" s="305"/>
      <c r="U578" s="305"/>
    </row>
    <row r="579" spans="1:21" s="52" customFormat="1" ht="13.5" customHeight="1">
      <c r="A579" s="427"/>
      <c r="B579" s="2246" t="s">
        <v>465</v>
      </c>
      <c r="C579" s="2254"/>
      <c r="D579" s="2313"/>
      <c r="E579" s="2254"/>
      <c r="F579" s="2313"/>
      <c r="G579" s="2254"/>
      <c r="H579" s="2313"/>
      <c r="I579" s="2221"/>
      <c r="J579" s="410"/>
      <c r="K579" s="394"/>
      <c r="L579" s="305"/>
      <c r="M579" s="305"/>
      <c r="N579" s="305"/>
      <c r="O579" s="305"/>
      <c r="P579" s="305"/>
      <c r="Q579" s="305"/>
      <c r="R579" s="305"/>
      <c r="S579" s="305"/>
      <c r="T579" s="305"/>
      <c r="U579" s="305"/>
    </row>
    <row r="580" spans="1:21" s="52" customFormat="1" ht="13.5" customHeight="1">
      <c r="A580" s="427"/>
      <c r="B580" s="2256" t="s">
        <v>466</v>
      </c>
      <c r="C580" s="2254"/>
      <c r="D580" s="2313"/>
      <c r="E580" s="2254"/>
      <c r="F580" s="2313"/>
      <c r="G580" s="2254"/>
      <c r="H580" s="2313"/>
      <c r="I580" s="2277">
        <f>SUM(I578:I579)</f>
        <v>9809011.7808800004</v>
      </c>
      <c r="J580" s="410"/>
      <c r="K580" s="394"/>
      <c r="L580" s="305"/>
      <c r="M580" s="305"/>
      <c r="N580" s="305"/>
      <c r="O580" s="305"/>
      <c r="P580" s="305"/>
      <c r="Q580" s="305"/>
      <c r="R580" s="305"/>
      <c r="S580" s="305"/>
      <c r="T580" s="305"/>
      <c r="U580" s="305"/>
    </row>
    <row r="581" spans="1:21" s="52" customFormat="1" ht="13.5" customHeight="1">
      <c r="A581" s="427"/>
      <c r="B581" s="2257" t="s">
        <v>467</v>
      </c>
      <c r="C581" s="2254"/>
      <c r="D581" s="2313"/>
      <c r="E581" s="2254"/>
      <c r="F581" s="2313"/>
      <c r="G581" s="2254"/>
      <c r="H581" s="2313"/>
      <c r="I581" s="2296">
        <v>-542845</v>
      </c>
      <c r="J581" s="410"/>
      <c r="K581" s="394"/>
      <c r="L581" s="305"/>
      <c r="M581" s="305"/>
      <c r="N581" s="305"/>
      <c r="O581" s="305"/>
      <c r="P581" s="305"/>
      <c r="Q581" s="305"/>
      <c r="R581" s="305"/>
      <c r="S581" s="305"/>
      <c r="T581" s="305"/>
      <c r="U581" s="305"/>
    </row>
    <row r="582" spans="1:21" s="52" customFormat="1" ht="13.5" customHeight="1" thickBot="1">
      <c r="A582" s="427"/>
      <c r="B582" s="1479" t="s">
        <v>468</v>
      </c>
      <c r="C582" s="488"/>
      <c r="D582" s="523"/>
      <c r="E582" s="488"/>
      <c r="F582" s="523"/>
      <c r="G582" s="488"/>
      <c r="H582" s="523"/>
      <c r="I582" s="1489">
        <f>SUM(I580:I581)</f>
        <v>9266166.7808800004</v>
      </c>
      <c r="J582" s="410"/>
      <c r="K582" s="394"/>
      <c r="L582" s="305"/>
      <c r="M582" s="305"/>
      <c r="N582" s="305"/>
      <c r="O582" s="305"/>
      <c r="P582" s="305"/>
      <c r="Q582" s="305"/>
      <c r="R582" s="305"/>
      <c r="S582" s="305"/>
      <c r="T582" s="305"/>
      <c r="U582" s="305"/>
    </row>
    <row r="583" spans="1:21" s="52" customFormat="1" ht="13.5" customHeight="1">
      <c r="A583" s="427"/>
      <c r="B583" s="455"/>
      <c r="C583" s="433"/>
      <c r="D583" s="433"/>
      <c r="E583" s="433"/>
      <c r="F583" s="433"/>
      <c r="G583" s="433"/>
      <c r="H583" s="433"/>
      <c r="I583" s="433"/>
      <c r="J583" s="431"/>
      <c r="K583" s="394"/>
      <c r="L583" s="305"/>
      <c r="M583" s="305"/>
      <c r="N583" s="305"/>
      <c r="O583" s="305"/>
      <c r="P583" s="305"/>
      <c r="Q583" s="305"/>
      <c r="R583" s="305"/>
      <c r="S583" s="305"/>
      <c r="T583" s="305"/>
      <c r="U583" s="305"/>
    </row>
    <row r="584" spans="1:21" s="52" customFormat="1" ht="13.5" customHeight="1">
      <c r="A584" s="427"/>
      <c r="B584" s="455"/>
      <c r="C584" s="433"/>
      <c r="D584" s="433"/>
      <c r="E584" s="433"/>
      <c r="F584" s="433"/>
      <c r="G584" s="433"/>
      <c r="H584" s="433"/>
      <c r="I584" s="433"/>
      <c r="J584" s="431"/>
      <c r="K584" s="394">
        <v>125</v>
      </c>
      <c r="L584" s="305"/>
      <c r="M584" s="305"/>
      <c r="N584" s="305"/>
      <c r="O584" s="305"/>
      <c r="P584" s="305"/>
      <c r="Q584" s="305"/>
      <c r="R584" s="305"/>
      <c r="S584" s="305"/>
      <c r="T584" s="305"/>
      <c r="U584" s="305"/>
    </row>
    <row r="585" spans="1:21" s="52" customFormat="1" ht="21" customHeight="1">
      <c r="A585" s="427"/>
      <c r="L585" s="305"/>
      <c r="M585" s="305"/>
      <c r="N585" s="305"/>
      <c r="O585" s="305"/>
      <c r="P585" s="305"/>
      <c r="Q585" s="305"/>
      <c r="R585" s="305"/>
      <c r="S585" s="305"/>
      <c r="T585" s="305"/>
      <c r="U585" s="305"/>
    </row>
    <row r="586" spans="1:21" s="52" customFormat="1" ht="13.5" customHeight="1">
      <c r="A586" s="427"/>
      <c r="L586" s="305"/>
      <c r="M586" s="305"/>
      <c r="N586" s="305"/>
      <c r="O586" s="305"/>
      <c r="P586" s="305"/>
      <c r="Q586" s="305"/>
      <c r="R586" s="305"/>
      <c r="S586" s="305"/>
      <c r="T586" s="305"/>
      <c r="U586" s="305"/>
    </row>
    <row r="587" spans="1:21" s="52" customFormat="1" ht="13.5" customHeight="1">
      <c r="A587" s="427"/>
      <c r="L587" s="305"/>
      <c r="M587" s="305"/>
      <c r="N587" s="305"/>
      <c r="O587" s="305"/>
      <c r="P587" s="305"/>
      <c r="Q587" s="305"/>
      <c r="R587" s="305"/>
      <c r="S587" s="305"/>
      <c r="T587" s="305"/>
      <c r="U587" s="305"/>
    </row>
    <row r="588" spans="1:21" s="52" customFormat="1" ht="13.5" customHeight="1">
      <c r="A588" s="427"/>
      <c r="L588" s="305"/>
      <c r="M588" s="305"/>
      <c r="N588" s="305"/>
      <c r="O588" s="305"/>
      <c r="P588" s="305"/>
      <c r="Q588" s="305"/>
      <c r="R588" s="305"/>
      <c r="S588" s="305"/>
      <c r="T588" s="305"/>
      <c r="U588" s="305"/>
    </row>
    <row r="589" spans="1:21" s="52" customFormat="1" ht="13.5" customHeight="1">
      <c r="A589" s="427"/>
      <c r="L589" s="305"/>
      <c r="M589" s="305"/>
      <c r="N589" s="305"/>
      <c r="O589" s="305"/>
      <c r="P589" s="305"/>
      <c r="Q589" s="305"/>
      <c r="R589" s="305"/>
      <c r="S589" s="305"/>
      <c r="T589" s="305"/>
      <c r="U589" s="305"/>
    </row>
    <row r="590" spans="1:21" s="52" customFormat="1" ht="13.5" customHeight="1">
      <c r="A590" s="427"/>
      <c r="L590" s="305"/>
      <c r="M590" s="305"/>
      <c r="N590" s="305"/>
      <c r="O590" s="305"/>
      <c r="P590" s="305"/>
      <c r="Q590" s="305"/>
      <c r="R590" s="305"/>
      <c r="S590" s="305"/>
      <c r="T590" s="305"/>
      <c r="U590" s="305"/>
    </row>
    <row r="591" spans="1:21" s="52" customFormat="1" ht="13.5" customHeight="1">
      <c r="A591" s="427"/>
      <c r="L591" s="305"/>
      <c r="M591" s="305"/>
      <c r="N591" s="305"/>
      <c r="O591" s="305"/>
      <c r="P591" s="305"/>
      <c r="Q591" s="305"/>
      <c r="R591" s="305"/>
      <c r="S591" s="305"/>
      <c r="T591" s="305"/>
      <c r="U591" s="305"/>
    </row>
    <row r="592" spans="1:21" s="52" customFormat="1" ht="13.5" customHeight="1">
      <c r="A592" s="427"/>
      <c r="L592" s="305"/>
      <c r="M592" s="305"/>
      <c r="N592" s="305"/>
      <c r="O592" s="305"/>
      <c r="P592" s="305"/>
      <c r="Q592" s="305"/>
      <c r="R592" s="305"/>
      <c r="S592" s="305"/>
      <c r="T592" s="305"/>
      <c r="U592" s="305"/>
    </row>
    <row r="593" spans="1:21" s="52" customFormat="1" ht="13.5" customHeight="1">
      <c r="A593" s="427"/>
      <c r="L593" s="305"/>
      <c r="M593" s="305"/>
      <c r="N593" s="305"/>
      <c r="O593" s="305"/>
      <c r="P593" s="305"/>
      <c r="Q593" s="305"/>
      <c r="R593" s="305"/>
      <c r="S593" s="305"/>
      <c r="T593" s="305"/>
      <c r="U593" s="305"/>
    </row>
    <row r="594" spans="1:21" s="52" customFormat="1" ht="13.5" customHeight="1">
      <c r="A594" s="427"/>
      <c r="L594" s="305"/>
      <c r="M594" s="305"/>
      <c r="N594" s="305"/>
      <c r="O594" s="305"/>
      <c r="P594" s="305"/>
      <c r="Q594" s="305"/>
      <c r="R594" s="305"/>
      <c r="S594" s="305"/>
      <c r="T594" s="305"/>
      <c r="U594" s="305"/>
    </row>
    <row r="595" spans="1:21" s="52" customFormat="1" ht="27.75" customHeight="1">
      <c r="A595" s="427"/>
      <c r="L595" s="305"/>
      <c r="M595" s="305"/>
      <c r="N595" s="305"/>
      <c r="O595" s="305"/>
      <c r="P595" s="305"/>
      <c r="Q595" s="305"/>
      <c r="R595" s="305"/>
      <c r="S595" s="305"/>
      <c r="T595" s="305"/>
      <c r="U595" s="305"/>
    </row>
    <row r="596" spans="1:21" s="52" customFormat="1" ht="24" customHeight="1">
      <c r="A596" s="427"/>
      <c r="L596" s="305"/>
      <c r="M596" s="305"/>
      <c r="N596" s="305"/>
      <c r="O596" s="305"/>
      <c r="P596" s="305"/>
      <c r="Q596" s="305"/>
      <c r="R596" s="305"/>
      <c r="S596" s="305"/>
      <c r="T596" s="305"/>
      <c r="U596" s="305"/>
    </row>
    <row r="597" spans="1:21" s="52" customFormat="1" ht="13.5" customHeight="1">
      <c r="A597" s="427"/>
      <c r="L597" s="305"/>
      <c r="M597" s="305"/>
      <c r="N597" s="305"/>
      <c r="O597" s="305"/>
      <c r="P597" s="305"/>
      <c r="Q597" s="305"/>
      <c r="R597" s="305"/>
      <c r="S597" s="305"/>
      <c r="T597" s="305"/>
      <c r="U597" s="305"/>
    </row>
    <row r="598" spans="1:21" s="52" customFormat="1" ht="13.5" customHeight="1">
      <c r="A598" s="427"/>
      <c r="L598" s="305"/>
      <c r="M598" s="305"/>
      <c r="N598" s="305"/>
      <c r="O598" s="305"/>
      <c r="P598" s="305"/>
      <c r="Q598" s="305"/>
      <c r="R598" s="305"/>
      <c r="S598" s="305"/>
      <c r="T598" s="305"/>
      <c r="U598" s="305"/>
    </row>
    <row r="599" spans="1:21" s="52" customFormat="1" ht="13.5" customHeight="1">
      <c r="A599" s="427"/>
      <c r="L599" s="305"/>
      <c r="M599" s="305"/>
      <c r="N599" s="305"/>
      <c r="O599" s="305"/>
      <c r="P599" s="305"/>
      <c r="Q599" s="305"/>
      <c r="R599" s="305"/>
      <c r="S599" s="305"/>
      <c r="T599" s="305"/>
      <c r="U599" s="305"/>
    </row>
    <row r="600" spans="1:21" s="52" customFormat="1" ht="13.5" customHeight="1">
      <c r="A600" s="427"/>
      <c r="L600" s="305"/>
      <c r="M600" s="305"/>
      <c r="N600" s="305"/>
      <c r="O600" s="305"/>
      <c r="P600" s="305"/>
      <c r="Q600" s="305"/>
      <c r="R600" s="305"/>
      <c r="S600" s="305"/>
      <c r="T600" s="305"/>
      <c r="U600" s="305"/>
    </row>
    <row r="601" spans="1:21" s="52" customFormat="1" ht="13.5" customHeight="1">
      <c r="A601" s="427"/>
      <c r="L601" s="305"/>
      <c r="M601" s="305"/>
      <c r="N601" s="305"/>
      <c r="O601" s="305"/>
      <c r="P601" s="305"/>
      <c r="Q601" s="305"/>
      <c r="R601" s="305"/>
      <c r="S601" s="305"/>
      <c r="T601" s="305"/>
      <c r="U601" s="305"/>
    </row>
    <row r="602" spans="1:21" ht="13.5" customHeight="1">
      <c r="A602" s="468"/>
      <c r="B602" s="292"/>
      <c r="K602" s="292"/>
      <c r="L602" s="305"/>
      <c r="M602" s="305"/>
      <c r="N602" s="305"/>
      <c r="O602" s="305"/>
      <c r="P602" s="305"/>
      <c r="Q602" s="305"/>
      <c r="R602" s="305"/>
      <c r="S602" s="305"/>
      <c r="T602" s="305"/>
      <c r="U602" s="305"/>
    </row>
    <row r="603" spans="1:21" ht="13.5" customHeight="1">
      <c r="L603" s="305"/>
      <c r="M603" s="305"/>
      <c r="N603" s="305"/>
      <c r="O603" s="305"/>
      <c r="P603" s="305"/>
      <c r="Q603" s="305"/>
      <c r="R603" s="305"/>
      <c r="S603" s="305"/>
      <c r="T603" s="305"/>
      <c r="U603" s="305"/>
    </row>
  </sheetData>
  <mergeCells count="134">
    <mergeCell ref="B5:B7"/>
    <mergeCell ref="C5:K5"/>
    <mergeCell ref="C6:C7"/>
    <mergeCell ref="D6:D7"/>
    <mergeCell ref="E6:F6"/>
    <mergeCell ref="G6:G7"/>
    <mergeCell ref="H6:H7"/>
    <mergeCell ref="I6:I7"/>
    <mergeCell ref="J6:J7"/>
    <mergeCell ref="K6:K7"/>
    <mergeCell ref="K44:K45"/>
    <mergeCell ref="B81:B83"/>
    <mergeCell ref="C81:I81"/>
    <mergeCell ref="C82:C83"/>
    <mergeCell ref="D82:D83"/>
    <mergeCell ref="E82:F82"/>
    <mergeCell ref="G82:G83"/>
    <mergeCell ref="H82:H83"/>
    <mergeCell ref="I82:I83"/>
    <mergeCell ref="B43:B45"/>
    <mergeCell ref="C43:I43"/>
    <mergeCell ref="C44:C45"/>
    <mergeCell ref="D44:D45"/>
    <mergeCell ref="E44:F44"/>
    <mergeCell ref="G44:G45"/>
    <mergeCell ref="H44:H45"/>
    <mergeCell ref="I44:I45"/>
    <mergeCell ref="K120:K121"/>
    <mergeCell ref="B157:B159"/>
    <mergeCell ref="C157:I157"/>
    <mergeCell ref="C158:C159"/>
    <mergeCell ref="D158:D159"/>
    <mergeCell ref="E158:F158"/>
    <mergeCell ref="G158:G159"/>
    <mergeCell ref="H158:H159"/>
    <mergeCell ref="I158:I159"/>
    <mergeCell ref="K158:K159"/>
    <mergeCell ref="B119:B121"/>
    <mergeCell ref="C119:I119"/>
    <mergeCell ref="C120:C121"/>
    <mergeCell ref="D120:D121"/>
    <mergeCell ref="E120:F120"/>
    <mergeCell ref="G120:G121"/>
    <mergeCell ref="H120:H121"/>
    <mergeCell ref="I120:I121"/>
    <mergeCell ref="K202:K203"/>
    <mergeCell ref="B244:B246"/>
    <mergeCell ref="C244:I244"/>
    <mergeCell ref="C245:C246"/>
    <mergeCell ref="D245:D246"/>
    <mergeCell ref="E245:F245"/>
    <mergeCell ref="G245:G246"/>
    <mergeCell ref="H245:H246"/>
    <mergeCell ref="I245:I246"/>
    <mergeCell ref="K245:K246"/>
    <mergeCell ref="B201:B203"/>
    <mergeCell ref="C201:I201"/>
    <mergeCell ref="C202:C203"/>
    <mergeCell ref="D202:D203"/>
    <mergeCell ref="E202:F202"/>
    <mergeCell ref="G202:G203"/>
    <mergeCell ref="H202:H203"/>
    <mergeCell ref="I202:I203"/>
    <mergeCell ref="K286:K287"/>
    <mergeCell ref="B323:B325"/>
    <mergeCell ref="C323:I323"/>
    <mergeCell ref="C324:C325"/>
    <mergeCell ref="D324:D325"/>
    <mergeCell ref="E324:F324"/>
    <mergeCell ref="G324:G325"/>
    <mergeCell ref="H324:H325"/>
    <mergeCell ref="I324:I325"/>
    <mergeCell ref="K324:K325"/>
    <mergeCell ref="B285:B287"/>
    <mergeCell ref="C285:I285"/>
    <mergeCell ref="C286:C287"/>
    <mergeCell ref="D286:D287"/>
    <mergeCell ref="E286:F286"/>
    <mergeCell ref="G286:G287"/>
    <mergeCell ref="H286:H287"/>
    <mergeCell ref="I286:I287"/>
    <mergeCell ref="K362:K363"/>
    <mergeCell ref="B399:B401"/>
    <mergeCell ref="C399:K399"/>
    <mergeCell ref="C400:C401"/>
    <mergeCell ref="D400:D401"/>
    <mergeCell ref="E400:F400"/>
    <mergeCell ref="G400:G401"/>
    <mergeCell ref="H400:H401"/>
    <mergeCell ref="I400:I401"/>
    <mergeCell ref="J400:J401"/>
    <mergeCell ref="B361:B363"/>
    <mergeCell ref="C361:I361"/>
    <mergeCell ref="C362:C363"/>
    <mergeCell ref="D362:D363"/>
    <mergeCell ref="E362:F362"/>
    <mergeCell ref="G362:G363"/>
    <mergeCell ref="H362:H363"/>
    <mergeCell ref="I362:I363"/>
    <mergeCell ref="K400:K401"/>
    <mergeCell ref="B437:B439"/>
    <mergeCell ref="C437:I437"/>
    <mergeCell ref="C438:C439"/>
    <mergeCell ref="D438:D439"/>
    <mergeCell ref="E438:F438"/>
    <mergeCell ref="G438:G439"/>
    <mergeCell ref="H438:H439"/>
    <mergeCell ref="I438:I439"/>
    <mergeCell ref="K476:K477"/>
    <mergeCell ref="B513:B515"/>
    <mergeCell ref="C513:I513"/>
    <mergeCell ref="C514:C515"/>
    <mergeCell ref="D514:D515"/>
    <mergeCell ref="E514:F514"/>
    <mergeCell ref="G514:G515"/>
    <mergeCell ref="H514:H515"/>
    <mergeCell ref="I514:I515"/>
    <mergeCell ref="B475:B477"/>
    <mergeCell ref="C475:I475"/>
    <mergeCell ref="C476:C477"/>
    <mergeCell ref="D476:D477"/>
    <mergeCell ref="E476:F476"/>
    <mergeCell ref="G476:G477"/>
    <mergeCell ref="H476:H477"/>
    <mergeCell ref="I476:I477"/>
    <mergeCell ref="K552:K553"/>
    <mergeCell ref="B551:B553"/>
    <mergeCell ref="C551:I551"/>
    <mergeCell ref="C552:C553"/>
    <mergeCell ref="D552:D553"/>
    <mergeCell ref="E552:F552"/>
    <mergeCell ref="G552:G553"/>
    <mergeCell ref="H552:H553"/>
    <mergeCell ref="I552:I553"/>
  </mergeCells>
  <pageMargins left="0.19" right="0.24" top="0.27" bottom="0.75" header="0.3" footer="0.3"/>
  <pageSetup paperSize="9" scale="47" orientation="landscape" r:id="rId1"/>
  <rowBreaks count="14" manualBreakCount="14">
    <brk id="38" max="16383" man="1"/>
    <brk id="76" max="16383" man="1"/>
    <brk id="114" max="16383" man="1"/>
    <brk id="152" max="16383" man="1"/>
    <brk id="196" max="16383" man="1"/>
    <brk id="239" max="16383" man="1"/>
    <brk id="280" max="16383" man="1"/>
    <brk id="318" max="16383" man="1"/>
    <brk id="356" max="16383" man="1"/>
    <brk id="394" max="10" man="1"/>
    <brk id="432" max="10" man="1"/>
    <brk id="470" max="10" man="1"/>
    <brk id="508" max="10" man="1"/>
    <brk id="546" max="10"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FF6699"/>
  </sheetPr>
  <dimension ref="A1:AF589"/>
  <sheetViews>
    <sheetView showGridLines="0" view="pageBreakPreview" zoomScale="90" zoomScaleNormal="90" zoomScaleSheetLayoutView="90" workbookViewId="0">
      <selection activeCell="J488" sqref="J488"/>
    </sheetView>
  </sheetViews>
  <sheetFormatPr defaultColWidth="9.140625" defaultRowHeight="13.15"/>
  <cols>
    <col min="1" max="1" width="5.85546875" style="385" customWidth="1"/>
    <col min="2" max="2" width="37.5703125" style="413" customWidth="1"/>
    <col min="3" max="3" width="15.42578125" style="292" customWidth="1"/>
    <col min="4" max="4" width="16.7109375" style="292" customWidth="1"/>
    <col min="5" max="5" width="14.7109375" style="292" customWidth="1"/>
    <col min="6" max="6" width="15.28515625" style="292" customWidth="1"/>
    <col min="7" max="7" width="15.7109375" style="292" customWidth="1"/>
    <col min="8" max="8" width="17.28515625" style="292" customWidth="1"/>
    <col min="9" max="9" width="16.28515625" style="292" customWidth="1"/>
    <col min="10" max="10" width="16.5703125" style="292" customWidth="1"/>
    <col min="11" max="11" width="13.5703125" style="416" customWidth="1"/>
    <col min="12" max="12" width="17.42578125" style="292" customWidth="1"/>
    <col min="13" max="13" width="14.7109375" style="292" customWidth="1"/>
    <col min="14" max="14" width="13.42578125" style="292" customWidth="1"/>
    <col min="15" max="16" width="16.42578125" style="292" customWidth="1"/>
    <col min="17" max="17" width="14.7109375" style="292" customWidth="1"/>
    <col min="18" max="18" width="16.42578125" style="292" customWidth="1"/>
    <col min="19" max="19" width="14.85546875" style="292" customWidth="1"/>
    <col min="20" max="20" width="16" style="292" customWidth="1"/>
    <col min="21" max="21" width="15.7109375" style="292" customWidth="1"/>
    <col min="22" max="22" width="11.42578125" style="292" customWidth="1"/>
    <col min="23" max="16384" width="9.140625" style="292"/>
  </cols>
  <sheetData>
    <row r="1" spans="1:32" ht="14.25" customHeight="1">
      <c r="B1" s="292"/>
    </row>
    <row r="2" spans="1:32" ht="14.25" customHeight="1">
      <c r="B2" s="236" t="s">
        <v>475</v>
      </c>
      <c r="C2" s="236"/>
      <c r="D2" s="236"/>
    </row>
    <row r="3" spans="1:32" ht="14.25" customHeight="1" thickBot="1">
      <c r="I3" s="3434" t="s">
        <v>238</v>
      </c>
      <c r="J3" s="3434"/>
      <c r="K3" s="3434"/>
      <c r="M3" s="264"/>
    </row>
    <row r="4" spans="1:32" ht="14.25" customHeight="1" thickBot="1">
      <c r="B4" s="1476" t="s">
        <v>266</v>
      </c>
      <c r="I4" s="1672"/>
      <c r="J4" s="1672"/>
      <c r="K4" s="1672"/>
      <c r="M4" s="264"/>
    </row>
    <row r="5" spans="1:32" s="52" customFormat="1" ht="14.25" customHeight="1" thickBot="1">
      <c r="A5" s="278"/>
      <c r="B5" s="3407" t="s">
        <v>266</v>
      </c>
      <c r="C5" s="3359">
        <v>2021</v>
      </c>
      <c r="D5" s="3360"/>
      <c r="E5" s="3360"/>
      <c r="F5" s="3360"/>
      <c r="G5" s="3360"/>
      <c r="H5" s="3360"/>
      <c r="I5" s="3360"/>
      <c r="J5" s="3360"/>
      <c r="K5" s="3361"/>
      <c r="M5" s="3438"/>
      <c r="N5" s="3438"/>
      <c r="O5" s="3438"/>
      <c r="P5" s="3438"/>
      <c r="Q5" s="3438"/>
      <c r="R5" s="3438"/>
      <c r="S5" s="3438"/>
      <c r="T5" s="3438"/>
      <c r="U5" s="3438"/>
    </row>
    <row r="6" spans="1:32" s="52" customFormat="1" ht="14.25" customHeight="1" thickBot="1">
      <c r="A6" s="394"/>
      <c r="B6" s="3408"/>
      <c r="C6" s="3439" t="s">
        <v>436</v>
      </c>
      <c r="D6" s="3439" t="s">
        <v>437</v>
      </c>
      <c r="E6" s="3442" t="s">
        <v>438</v>
      </c>
      <c r="F6" s="3443"/>
      <c r="G6" s="3444" t="s">
        <v>439</v>
      </c>
      <c r="H6" s="3444" t="s">
        <v>440</v>
      </c>
      <c r="I6" s="3446" t="s">
        <v>398</v>
      </c>
      <c r="J6" s="3435" t="s">
        <v>118</v>
      </c>
      <c r="K6" s="3435" t="s">
        <v>441</v>
      </c>
      <c r="M6" s="236"/>
      <c r="N6" s="236"/>
      <c r="O6" s="3438"/>
      <c r="P6" s="3438"/>
      <c r="Q6" s="3438"/>
      <c r="R6" s="3438"/>
      <c r="S6" s="3358"/>
      <c r="T6" s="3358"/>
      <c r="U6" s="3358"/>
    </row>
    <row r="7" spans="1:32" s="52" customFormat="1" ht="28.15" customHeight="1" thickBot="1">
      <c r="A7" s="394"/>
      <c r="B7" s="3409"/>
      <c r="C7" s="3440"/>
      <c r="D7" s="3441"/>
      <c r="E7" s="1500" t="s">
        <v>442</v>
      </c>
      <c r="F7" s="1500" t="s">
        <v>443</v>
      </c>
      <c r="G7" s="3445"/>
      <c r="H7" s="3445"/>
      <c r="I7" s="3447"/>
      <c r="J7" s="3436"/>
      <c r="K7" s="3436"/>
      <c r="M7" s="236"/>
      <c r="N7" s="236"/>
      <c r="O7" s="274"/>
      <c r="P7" s="274"/>
      <c r="Q7" s="3438"/>
      <c r="R7" s="3438"/>
      <c r="S7" s="3358"/>
      <c r="T7" s="3358"/>
      <c r="U7" s="3358"/>
    </row>
    <row r="8" spans="1:32" s="52" customFormat="1" ht="14.25" customHeight="1">
      <c r="A8" s="285"/>
      <c r="B8" s="1478" t="s">
        <v>342</v>
      </c>
      <c r="C8" s="3078">
        <f t="shared" ref="C8:H20" si="0">+C46+C84+C122+C160+C198+C236+C274+C313+C351+C389+C427+C465+C503+C541</f>
        <v>14918643.4875925</v>
      </c>
      <c r="D8" s="3079">
        <f t="shared" si="0"/>
        <v>3134794.9953299994</v>
      </c>
      <c r="E8" s="3075">
        <f t="shared" si="0"/>
        <v>2593268</v>
      </c>
      <c r="F8" s="3075">
        <f t="shared" si="0"/>
        <v>58411820.44608999</v>
      </c>
      <c r="G8" s="3080">
        <f t="shared" si="0"/>
        <v>19979214.193050001</v>
      </c>
      <c r="H8" s="3075">
        <f t="shared" si="0"/>
        <v>10020780.113945</v>
      </c>
      <c r="I8" s="3076">
        <f>I389</f>
        <v>6754134</v>
      </c>
      <c r="J8" s="3081">
        <f>SUM(C8:I8)</f>
        <v>115812655.23600748</v>
      </c>
      <c r="K8" s="3079">
        <f t="shared" ref="K8:K21" si="1">+K46+K84+K122+K160+K198+K236+K274+K313+K351+K389+K427+K465+K503+K541</f>
        <v>3548785</v>
      </c>
      <c r="L8" s="394"/>
      <c r="M8" s="473"/>
      <c r="N8" s="264"/>
      <c r="O8" s="264"/>
      <c r="P8" s="264"/>
      <c r="Q8" s="264"/>
      <c r="R8" s="264"/>
      <c r="S8" s="264"/>
      <c r="T8" s="264"/>
      <c r="U8" s="473"/>
      <c r="V8" s="305"/>
      <c r="W8" s="305"/>
      <c r="X8" s="305"/>
      <c r="Y8" s="305"/>
      <c r="Z8" s="305"/>
      <c r="AA8" s="305"/>
      <c r="AB8" s="305"/>
      <c r="AC8" s="305"/>
      <c r="AD8" s="305"/>
      <c r="AE8" s="305"/>
      <c r="AF8" s="305"/>
    </row>
    <row r="9" spans="1:32" s="52" customFormat="1" ht="14.25" customHeight="1">
      <c r="A9" s="285"/>
      <c r="B9" s="2246" t="s">
        <v>473</v>
      </c>
      <c r="C9" s="647">
        <f t="shared" si="0"/>
        <v>-157838.94896000004</v>
      </c>
      <c r="D9" s="1864">
        <f t="shared" si="0"/>
        <v>-28215.671000000002</v>
      </c>
      <c r="E9" s="1866">
        <f t="shared" si="0"/>
        <v>0</v>
      </c>
      <c r="F9" s="1866">
        <f t="shared" si="0"/>
        <v>-600</v>
      </c>
      <c r="G9" s="1913">
        <f t="shared" si="0"/>
        <v>-130</v>
      </c>
      <c r="H9" s="1866">
        <f t="shared" si="0"/>
        <v>-92227</v>
      </c>
      <c r="I9" s="1865">
        <f t="shared" ref="I9:I20" si="2">I390</f>
        <v>0</v>
      </c>
      <c r="J9" s="2314">
        <f t="shared" ref="J9:J21" si="3">SUM(C9:I9)</f>
        <v>-279011.61996000004</v>
      </c>
      <c r="K9" s="1864">
        <f t="shared" si="1"/>
        <v>0</v>
      </c>
      <c r="L9" s="394"/>
      <c r="M9" s="473"/>
      <c r="N9" s="264"/>
      <c r="O9" s="264"/>
      <c r="P9" s="264"/>
      <c r="Q9" s="264"/>
      <c r="R9" s="264"/>
      <c r="S9" s="264"/>
      <c r="T9" s="264"/>
      <c r="U9" s="473"/>
      <c r="V9" s="305"/>
      <c r="W9" s="305"/>
      <c r="X9" s="305"/>
      <c r="Y9" s="305"/>
      <c r="Z9" s="305"/>
      <c r="AA9" s="305"/>
      <c r="AB9" s="305"/>
      <c r="AC9" s="305"/>
      <c r="AD9" s="305"/>
      <c r="AE9" s="305"/>
      <c r="AF9" s="305"/>
    </row>
    <row r="10" spans="1:32" s="52" customFormat="1" ht="14.25" customHeight="1">
      <c r="A10" s="285"/>
      <c r="B10" s="2246" t="s">
        <v>445</v>
      </c>
      <c r="C10" s="647">
        <f t="shared" si="0"/>
        <v>-4387544.9990400001</v>
      </c>
      <c r="D10" s="1864">
        <f t="shared" si="0"/>
        <v>-29469.59564</v>
      </c>
      <c r="E10" s="1866">
        <f t="shared" si="0"/>
        <v>0</v>
      </c>
      <c r="F10" s="1866">
        <f t="shared" si="0"/>
        <v>-1190086.0870380001</v>
      </c>
      <c r="G10" s="1913">
        <f t="shared" si="0"/>
        <v>-18938.32086</v>
      </c>
      <c r="H10" s="1866">
        <f t="shared" si="0"/>
        <v>-1002448.8140000001</v>
      </c>
      <c r="I10" s="1865">
        <f t="shared" si="2"/>
        <v>0</v>
      </c>
      <c r="J10" s="2314">
        <f t="shared" si="3"/>
        <v>-6628487.8165780008</v>
      </c>
      <c r="K10" s="1864">
        <f t="shared" si="1"/>
        <v>0</v>
      </c>
      <c r="L10" s="394"/>
      <c r="M10" s="473"/>
      <c r="N10" s="264"/>
      <c r="O10" s="264"/>
      <c r="P10" s="264"/>
      <c r="Q10" s="264"/>
      <c r="R10" s="264"/>
      <c r="S10" s="264"/>
      <c r="T10" s="264"/>
      <c r="U10" s="473"/>
      <c r="V10" s="305"/>
      <c r="W10" s="305"/>
      <c r="X10" s="305"/>
      <c r="Y10" s="305"/>
      <c r="Z10" s="305"/>
      <c r="AA10" s="305"/>
      <c r="AB10" s="305"/>
      <c r="AC10" s="305"/>
      <c r="AD10" s="305"/>
      <c r="AE10" s="305"/>
      <c r="AF10" s="305"/>
    </row>
    <row r="11" spans="1:32" s="52" customFormat="1" ht="14.25" customHeight="1">
      <c r="A11" s="285"/>
      <c r="B11" s="2246" t="s">
        <v>446</v>
      </c>
      <c r="C11" s="647">
        <f t="shared" si="0"/>
        <v>-8046398.493566568</v>
      </c>
      <c r="D11" s="1864">
        <f t="shared" si="0"/>
        <v>-1888795.9594045025</v>
      </c>
      <c r="E11" s="1866">
        <f t="shared" si="0"/>
        <v>-247364</v>
      </c>
      <c r="F11" s="1866">
        <f t="shared" si="0"/>
        <v>-3459058.9639274287</v>
      </c>
      <c r="G11" s="1913">
        <f t="shared" si="0"/>
        <v>-1663956.7793000001</v>
      </c>
      <c r="H11" s="1866">
        <f t="shared" si="0"/>
        <v>-5317687.7191856764</v>
      </c>
      <c r="I11" s="1865">
        <f t="shared" si="2"/>
        <v>-362233</v>
      </c>
      <c r="J11" s="2314">
        <f t="shared" si="3"/>
        <v>-20985494.915384177</v>
      </c>
      <c r="K11" s="1864">
        <f t="shared" si="1"/>
        <v>-1119703</v>
      </c>
      <c r="L11" s="394"/>
      <c r="M11" s="473"/>
      <c r="N11" s="264"/>
      <c r="O11" s="264"/>
      <c r="P11" s="264"/>
      <c r="Q11" s="264"/>
      <c r="R11" s="264"/>
      <c r="S11" s="264"/>
      <c r="T11" s="264"/>
      <c r="U11" s="473"/>
      <c r="V11" s="305"/>
      <c r="W11" s="305"/>
      <c r="X11" s="305"/>
      <c r="Y11" s="305"/>
      <c r="Z11" s="305"/>
      <c r="AA11" s="305"/>
      <c r="AB11" s="305"/>
      <c r="AC11" s="305"/>
      <c r="AD11" s="305"/>
      <c r="AE11" s="305"/>
      <c r="AF11" s="305"/>
    </row>
    <row r="12" spans="1:32" s="52" customFormat="1" ht="14.25" customHeight="1">
      <c r="A12" s="285"/>
      <c r="B12" s="2248" t="s">
        <v>447</v>
      </c>
      <c r="C12" s="3082">
        <f t="shared" si="0"/>
        <v>2326859.0460259318</v>
      </c>
      <c r="D12" s="3083">
        <f t="shared" si="0"/>
        <v>1188315.7692854973</v>
      </c>
      <c r="E12" s="2249">
        <f t="shared" si="0"/>
        <v>2345903</v>
      </c>
      <c r="F12" s="2249">
        <f t="shared" si="0"/>
        <v>53762075.395124562</v>
      </c>
      <c r="G12" s="3084">
        <f t="shared" si="0"/>
        <v>18296189.092890002</v>
      </c>
      <c r="H12" s="2249">
        <f t="shared" si="0"/>
        <v>3608414.5807593227</v>
      </c>
      <c r="I12" s="2250">
        <f t="shared" si="2"/>
        <v>6391901</v>
      </c>
      <c r="J12" s="2327">
        <f t="shared" si="3"/>
        <v>87919657.884085312</v>
      </c>
      <c r="K12" s="3083">
        <f t="shared" si="1"/>
        <v>2429082</v>
      </c>
      <c r="L12" s="394"/>
      <c r="M12" s="473"/>
      <c r="N12" s="264"/>
      <c r="O12" s="264"/>
      <c r="P12" s="264"/>
      <c r="Q12" s="264"/>
      <c r="R12" s="264"/>
      <c r="S12" s="264"/>
      <c r="T12" s="264"/>
      <c r="U12" s="473"/>
      <c r="V12" s="305"/>
      <c r="W12" s="305"/>
      <c r="X12" s="305"/>
      <c r="Y12" s="305"/>
      <c r="Z12" s="305"/>
      <c r="AA12" s="305"/>
      <c r="AB12" s="305"/>
      <c r="AC12" s="305"/>
      <c r="AD12" s="305"/>
      <c r="AE12" s="305"/>
      <c r="AF12" s="305"/>
    </row>
    <row r="13" spans="1:32" s="52" customFormat="1" ht="14.25" customHeight="1">
      <c r="A13" s="285"/>
      <c r="B13" s="2246" t="s">
        <v>448</v>
      </c>
      <c r="C13" s="647">
        <f t="shared" si="0"/>
        <v>-182718.82099143032</v>
      </c>
      <c r="D13" s="1864">
        <f t="shared" si="0"/>
        <v>-52343.594201041684</v>
      </c>
      <c r="E13" s="1866">
        <f t="shared" si="0"/>
        <v>21694.53258084377</v>
      </c>
      <c r="F13" s="1866">
        <f t="shared" si="0"/>
        <v>-128119.80650493456</v>
      </c>
      <c r="G13" s="1913">
        <f t="shared" si="0"/>
        <v>-219639.67610708327</v>
      </c>
      <c r="H13" s="1866">
        <f t="shared" si="0"/>
        <v>-294452.38333213679</v>
      </c>
      <c r="I13" s="1865">
        <f t="shared" si="2"/>
        <v>-77523</v>
      </c>
      <c r="J13" s="2314">
        <f t="shared" si="3"/>
        <v>-933102.74855578283</v>
      </c>
      <c r="K13" s="1864">
        <f t="shared" si="1"/>
        <v>-109659</v>
      </c>
      <c r="L13" s="394"/>
      <c r="M13" s="473"/>
      <c r="N13" s="264"/>
      <c r="O13" s="264"/>
      <c r="P13" s="264"/>
      <c r="Q13" s="264"/>
      <c r="R13" s="264"/>
      <c r="S13" s="264"/>
      <c r="T13" s="264"/>
      <c r="U13" s="473"/>
      <c r="V13" s="305"/>
      <c r="W13" s="305"/>
      <c r="X13" s="305"/>
      <c r="Y13" s="305"/>
      <c r="Z13" s="305"/>
      <c r="AA13" s="305"/>
      <c r="AB13" s="305"/>
      <c r="AC13" s="305"/>
      <c r="AD13" s="305"/>
      <c r="AE13" s="305"/>
      <c r="AF13" s="305"/>
    </row>
    <row r="14" spans="1:32" s="52" customFormat="1" ht="14.25" customHeight="1">
      <c r="A14" s="285"/>
      <c r="B14" s="2248" t="s">
        <v>449</v>
      </c>
      <c r="C14" s="3082">
        <f t="shared" si="0"/>
        <v>2144140.2250345009</v>
      </c>
      <c r="D14" s="3083">
        <f t="shared" si="0"/>
        <v>1135974.1750844556</v>
      </c>
      <c r="E14" s="2249">
        <f t="shared" si="0"/>
        <v>2367599.5325808437</v>
      </c>
      <c r="F14" s="2249">
        <f t="shared" si="0"/>
        <v>53633957.588619627</v>
      </c>
      <c r="G14" s="3084">
        <f t="shared" si="0"/>
        <v>18076550.416782916</v>
      </c>
      <c r="H14" s="2249">
        <f t="shared" si="0"/>
        <v>3313960.1974271857</v>
      </c>
      <c r="I14" s="2250">
        <f t="shared" si="2"/>
        <v>6314378</v>
      </c>
      <c r="J14" s="2327">
        <f t="shared" si="3"/>
        <v>86986560.135529518</v>
      </c>
      <c r="K14" s="3083">
        <f t="shared" si="1"/>
        <v>2319423</v>
      </c>
      <c r="L14" s="394"/>
      <c r="M14" s="473"/>
      <c r="N14" s="264"/>
      <c r="O14" s="264"/>
      <c r="P14" s="264"/>
      <c r="Q14" s="264"/>
      <c r="R14" s="264"/>
      <c r="S14" s="264"/>
      <c r="T14" s="264"/>
      <c r="U14" s="473"/>
      <c r="V14" s="305"/>
      <c r="W14" s="305"/>
      <c r="X14" s="305"/>
      <c r="Y14" s="305"/>
      <c r="Z14" s="305"/>
      <c r="AA14" s="305"/>
      <c r="AB14" s="305"/>
      <c r="AC14" s="305"/>
      <c r="AD14" s="305"/>
      <c r="AE14" s="305"/>
      <c r="AF14" s="305"/>
    </row>
    <row r="15" spans="1:32" s="52" customFormat="1" ht="14.25" customHeight="1">
      <c r="A15" s="285"/>
      <c r="B15" s="2246"/>
      <c r="C15" s="647">
        <f t="shared" si="0"/>
        <v>0</v>
      </c>
      <c r="D15" s="1864">
        <f t="shared" si="0"/>
        <v>0</v>
      </c>
      <c r="E15" s="1866">
        <f t="shared" si="0"/>
        <v>0</v>
      </c>
      <c r="F15" s="1866">
        <f t="shared" si="0"/>
        <v>0</v>
      </c>
      <c r="G15" s="1913">
        <f t="shared" si="0"/>
        <v>0</v>
      </c>
      <c r="H15" s="1866">
        <f t="shared" si="0"/>
        <v>0</v>
      </c>
      <c r="I15" s="1865">
        <f t="shared" si="2"/>
        <v>0</v>
      </c>
      <c r="J15" s="2314">
        <f t="shared" si="3"/>
        <v>0</v>
      </c>
      <c r="K15" s="1864">
        <f t="shared" si="1"/>
        <v>0</v>
      </c>
      <c r="L15" s="394"/>
      <c r="M15" s="473"/>
      <c r="N15" s="264"/>
      <c r="O15" s="264"/>
      <c r="P15" s="473"/>
      <c r="Q15" s="473"/>
      <c r="R15" s="473"/>
      <c r="S15" s="473"/>
      <c r="T15" s="473"/>
      <c r="U15" s="473"/>
      <c r="W15" s="305"/>
      <c r="X15" s="305"/>
      <c r="Y15" s="305"/>
      <c r="Z15" s="305"/>
      <c r="AA15" s="305"/>
      <c r="AB15" s="305"/>
      <c r="AC15" s="305"/>
      <c r="AD15" s="305"/>
      <c r="AE15" s="305"/>
      <c r="AF15" s="305"/>
    </row>
    <row r="16" spans="1:32" s="52" customFormat="1" ht="14.25" customHeight="1">
      <c r="A16" s="285"/>
      <c r="B16" s="2248" t="s">
        <v>450</v>
      </c>
      <c r="C16" s="3082">
        <f t="shared" si="0"/>
        <v>-981236.00000000012</v>
      </c>
      <c r="D16" s="3083">
        <f t="shared" si="0"/>
        <v>-244711</v>
      </c>
      <c r="E16" s="2249">
        <f t="shared" si="0"/>
        <v>19270.719819999998</v>
      </c>
      <c r="F16" s="2249">
        <f t="shared" si="0"/>
        <v>-5192171</v>
      </c>
      <c r="G16" s="3084">
        <f t="shared" si="0"/>
        <v>-1769398</v>
      </c>
      <c r="H16" s="2249">
        <f t="shared" si="0"/>
        <v>-854673</v>
      </c>
      <c r="I16" s="2249">
        <f>+I398+I399+I400</f>
        <v>-1180554</v>
      </c>
      <c r="J16" s="2327">
        <f t="shared" si="3"/>
        <v>-10203472.28018</v>
      </c>
      <c r="K16" s="3083">
        <f>+K398+K399+K400</f>
        <v>-3093283</v>
      </c>
      <c r="L16" s="394"/>
      <c r="M16" s="473"/>
      <c r="N16" s="264"/>
      <c r="O16" s="264"/>
      <c r="P16" s="473"/>
      <c r="Q16" s="473"/>
      <c r="R16" s="473"/>
      <c r="S16" s="473"/>
      <c r="T16" s="473"/>
      <c r="U16" s="473"/>
      <c r="V16" s="305"/>
      <c r="W16" s="305"/>
      <c r="X16" s="305"/>
      <c r="Y16" s="305"/>
      <c r="Z16" s="305"/>
      <c r="AA16" s="305"/>
      <c r="AB16" s="305"/>
      <c r="AC16" s="305"/>
      <c r="AD16" s="305"/>
      <c r="AE16" s="305"/>
      <c r="AF16" s="305"/>
    </row>
    <row r="17" spans="1:32" s="52" customFormat="1" ht="29.45" customHeight="1">
      <c r="A17" s="285"/>
      <c r="B17" s="2246" t="s">
        <v>451</v>
      </c>
      <c r="C17" s="647">
        <f t="shared" si="0"/>
        <v>-2429021.0391338067</v>
      </c>
      <c r="D17" s="1864">
        <f t="shared" si="0"/>
        <v>-519187.73589552456</v>
      </c>
      <c r="E17" s="1866">
        <f t="shared" si="0"/>
        <v>-499843.68730464199</v>
      </c>
      <c r="F17" s="1866">
        <f t="shared" si="0"/>
        <v>-26022091.186448544</v>
      </c>
      <c r="G17" s="1913">
        <f t="shared" si="0"/>
        <v>-17282664.114717185</v>
      </c>
      <c r="H17" s="1866">
        <f t="shared" si="0"/>
        <v>-1485866.3781506126</v>
      </c>
      <c r="I17" s="1865">
        <f t="shared" si="2"/>
        <v>-36899</v>
      </c>
      <c r="J17" s="2314">
        <f t="shared" si="3"/>
        <v>-48275573.141650319</v>
      </c>
      <c r="K17" s="1864">
        <f t="shared" si="1"/>
        <v>-2379115</v>
      </c>
      <c r="L17" s="394"/>
      <c r="M17" s="473"/>
      <c r="N17" s="264"/>
      <c r="O17" s="264"/>
      <c r="P17" s="473"/>
      <c r="Q17" s="473"/>
      <c r="R17" s="473"/>
      <c r="S17" s="473"/>
      <c r="T17" s="473"/>
      <c r="U17" s="473"/>
      <c r="V17" s="305"/>
      <c r="W17" s="305"/>
      <c r="X17" s="305"/>
      <c r="Y17" s="305"/>
      <c r="Z17" s="305"/>
      <c r="AA17" s="305"/>
      <c r="AB17" s="305"/>
      <c r="AC17" s="305"/>
      <c r="AD17" s="305"/>
      <c r="AE17" s="305"/>
      <c r="AF17" s="305"/>
    </row>
    <row r="18" spans="1:32" s="52" customFormat="1" ht="14.25" customHeight="1">
      <c r="A18" s="285"/>
      <c r="B18" s="2246" t="s">
        <v>452</v>
      </c>
      <c r="C18" s="647">
        <f t="shared" si="0"/>
        <v>-162864.07665370562</v>
      </c>
      <c r="D18" s="1864">
        <f t="shared" si="0"/>
        <v>-69466.599016993787</v>
      </c>
      <c r="E18" s="1866">
        <f t="shared" si="0"/>
        <v>-29340.5983875167</v>
      </c>
      <c r="F18" s="1866">
        <f t="shared" si="0"/>
        <v>-6447881.0159406103</v>
      </c>
      <c r="G18" s="1913">
        <f t="shared" si="0"/>
        <v>-818679.60316991713</v>
      </c>
      <c r="H18" s="1866">
        <f t="shared" si="0"/>
        <v>-567859.25981630012</v>
      </c>
      <c r="I18" s="1865">
        <f t="shared" si="2"/>
        <v>-1028622</v>
      </c>
      <c r="J18" s="2314">
        <f t="shared" si="3"/>
        <v>-9124713.1529850438</v>
      </c>
      <c r="K18" s="1864">
        <f t="shared" si="1"/>
        <v>-714168</v>
      </c>
      <c r="L18" s="394"/>
      <c r="M18" s="473"/>
      <c r="N18" s="264"/>
      <c r="O18" s="264"/>
      <c r="P18" s="473"/>
      <c r="Q18" s="473"/>
      <c r="R18" s="473"/>
      <c r="S18" s="473"/>
      <c r="T18" s="473"/>
      <c r="U18" s="473"/>
      <c r="V18" s="305"/>
      <c r="W18" s="305"/>
      <c r="X18" s="305"/>
      <c r="Y18" s="305"/>
      <c r="Z18" s="305"/>
      <c r="AA18" s="305"/>
      <c r="AB18" s="305"/>
      <c r="AC18" s="305"/>
      <c r="AD18" s="305"/>
      <c r="AE18" s="305"/>
      <c r="AF18" s="305"/>
    </row>
    <row r="19" spans="1:32" s="52" customFormat="1" ht="14.25" customHeight="1">
      <c r="A19" s="285"/>
      <c r="B19" s="2246" t="s">
        <v>453</v>
      </c>
      <c r="C19" s="647">
        <f t="shared" si="0"/>
        <v>-640897</v>
      </c>
      <c r="D19" s="1864">
        <f t="shared" si="0"/>
        <v>-243221</v>
      </c>
      <c r="E19" s="1866">
        <f t="shared" si="0"/>
        <v>-697959</v>
      </c>
      <c r="F19" s="1866">
        <f t="shared" si="0"/>
        <v>-3810590</v>
      </c>
      <c r="G19" s="1913">
        <f t="shared" si="0"/>
        <v>-1455059</v>
      </c>
      <c r="H19" s="1866">
        <f t="shared" si="0"/>
        <v>-500064</v>
      </c>
      <c r="I19" s="1865">
        <f t="shared" si="2"/>
        <v>-115033</v>
      </c>
      <c r="J19" s="2314">
        <f t="shared" si="3"/>
        <v>-7462823</v>
      </c>
      <c r="K19" s="1864">
        <f t="shared" si="1"/>
        <v>0</v>
      </c>
      <c r="L19" s="394"/>
      <c r="M19" s="473"/>
      <c r="N19" s="264"/>
      <c r="O19" s="264"/>
      <c r="P19" s="473"/>
      <c r="Q19" s="473"/>
      <c r="R19" s="473"/>
      <c r="S19" s="473"/>
      <c r="T19" s="473"/>
      <c r="U19" s="473"/>
      <c r="V19" s="305"/>
      <c r="W19" s="305"/>
      <c r="X19" s="305"/>
      <c r="Y19" s="305"/>
      <c r="Z19" s="305"/>
      <c r="AA19" s="305"/>
      <c r="AB19" s="305"/>
      <c r="AC19" s="305"/>
      <c r="AD19" s="305"/>
      <c r="AE19" s="305"/>
      <c r="AF19" s="305"/>
    </row>
    <row r="20" spans="1:32" s="236" customFormat="1" ht="14.25" customHeight="1">
      <c r="A20" s="287"/>
      <c r="B20" s="2248" t="s">
        <v>454</v>
      </c>
      <c r="C20" s="3082">
        <f t="shared" si="0"/>
        <v>-1088641.6514363764</v>
      </c>
      <c r="D20" s="3083">
        <f t="shared" si="0"/>
        <v>304098.84017193731</v>
      </c>
      <c r="E20" s="2249">
        <f t="shared" si="0"/>
        <v>1140456.246888685</v>
      </c>
      <c r="F20" s="2249">
        <f t="shared" si="0"/>
        <v>17353394.386230476</v>
      </c>
      <c r="G20" s="3084">
        <f t="shared" si="0"/>
        <v>-1479853.3011041824</v>
      </c>
      <c r="H20" s="2249">
        <f t="shared" si="0"/>
        <v>760170.55946027348</v>
      </c>
      <c r="I20" s="2250">
        <f t="shared" si="2"/>
        <v>5133824</v>
      </c>
      <c r="J20" s="2327">
        <f>SUM(C20:I20)</f>
        <v>22123449.080210812</v>
      </c>
      <c r="K20" s="3083">
        <f t="shared" si="1"/>
        <v>-773860</v>
      </c>
      <c r="L20" s="394"/>
      <c r="M20" s="473"/>
      <c r="N20" s="264"/>
      <c r="O20" s="264"/>
      <c r="P20" s="473"/>
      <c r="Q20" s="473"/>
      <c r="R20" s="473"/>
      <c r="S20" s="473"/>
      <c r="T20" s="473"/>
      <c r="U20" s="473"/>
      <c r="V20" s="305"/>
      <c r="W20" s="305"/>
      <c r="X20" s="305"/>
      <c r="Y20" s="305"/>
      <c r="Z20" s="305"/>
      <c r="AA20" s="305"/>
      <c r="AB20" s="305"/>
      <c r="AC20" s="305"/>
      <c r="AD20" s="305"/>
      <c r="AE20" s="305"/>
      <c r="AF20" s="305"/>
    </row>
    <row r="21" spans="1:32" s="52" customFormat="1" ht="14.25" customHeight="1">
      <c r="A21" s="285"/>
      <c r="B21" s="2246"/>
      <c r="C21" s="648"/>
      <c r="D21" s="2315"/>
      <c r="E21" s="2316"/>
      <c r="F21" s="2316"/>
      <c r="G21" s="2317"/>
      <c r="H21" s="2316"/>
      <c r="I21" s="2318"/>
      <c r="J21" s="2314">
        <f t="shared" si="3"/>
        <v>0</v>
      </c>
      <c r="K21" s="1864">
        <f t="shared" si="1"/>
        <v>0</v>
      </c>
      <c r="L21" s="394"/>
      <c r="M21" s="473"/>
      <c r="N21" s="264"/>
      <c r="O21" s="264"/>
      <c r="P21" s="473"/>
      <c r="Q21" s="473"/>
      <c r="R21" s="473"/>
      <c r="S21" s="473"/>
      <c r="T21" s="473"/>
      <c r="U21" s="473"/>
      <c r="W21" s="305"/>
      <c r="X21" s="305"/>
      <c r="Y21" s="305"/>
      <c r="Z21" s="305"/>
      <c r="AA21" s="305"/>
      <c r="AB21" s="305"/>
      <c r="AC21" s="305"/>
      <c r="AD21" s="305"/>
      <c r="AE21" s="305"/>
      <c r="AF21" s="305"/>
    </row>
    <row r="22" spans="1:32" s="52" customFormat="1" ht="14.25" customHeight="1">
      <c r="A22" s="285"/>
      <c r="B22" s="2248" t="s">
        <v>455</v>
      </c>
      <c r="C22" s="649"/>
      <c r="D22" s="2319"/>
      <c r="E22" s="2254"/>
      <c r="F22" s="2320"/>
      <c r="G22" s="2313"/>
      <c r="H22" s="2254"/>
      <c r="I22" s="2321"/>
      <c r="J22" s="2327">
        <f t="shared" ref="J22:J27" si="4">+I60+I98+I136+I174+I212+I250+I288+I327+I365+J403+I441+I479+I517+I555</f>
        <v>15091383.55332</v>
      </c>
      <c r="K22" s="3083">
        <f>+K403</f>
        <v>282825</v>
      </c>
      <c r="L22" s="394"/>
      <c r="M22" s="473"/>
      <c r="N22" s="264"/>
      <c r="O22" s="264"/>
      <c r="P22" s="473"/>
      <c r="Q22" s="473"/>
      <c r="R22" s="473"/>
      <c r="S22" s="473"/>
      <c r="T22" s="473"/>
      <c r="U22" s="473"/>
      <c r="W22" s="305"/>
      <c r="X22" s="305"/>
      <c r="Y22" s="305"/>
      <c r="Z22" s="305"/>
      <c r="AA22" s="305"/>
      <c r="AB22" s="305"/>
      <c r="AC22" s="305"/>
      <c r="AD22" s="305"/>
      <c r="AE22" s="305"/>
      <c r="AF22" s="305"/>
    </row>
    <row r="23" spans="1:32" s="52" customFormat="1" ht="14.25" customHeight="1">
      <c r="A23" s="285"/>
      <c r="B23" s="2246" t="s">
        <v>456</v>
      </c>
      <c r="C23" s="2322"/>
      <c r="D23" s="2319"/>
      <c r="E23" s="2254"/>
      <c r="F23" s="2316"/>
      <c r="G23" s="2313"/>
      <c r="H23" s="2323"/>
      <c r="I23" s="2318"/>
      <c r="J23" s="2314">
        <f t="shared" si="4"/>
        <v>1915255</v>
      </c>
      <c r="K23" s="1864">
        <v>0</v>
      </c>
      <c r="L23" s="394"/>
      <c r="M23" s="473"/>
      <c r="N23" s="264"/>
      <c r="O23" s="264"/>
      <c r="P23" s="473"/>
      <c r="Q23" s="473"/>
      <c r="R23" s="473"/>
      <c r="S23" s="473"/>
      <c r="T23" s="473"/>
      <c r="U23" s="473"/>
      <c r="W23" s="305"/>
      <c r="X23" s="305"/>
      <c r="Y23" s="305"/>
      <c r="Z23" s="305"/>
      <c r="AA23" s="305"/>
      <c r="AB23" s="305"/>
      <c r="AC23" s="305"/>
      <c r="AD23" s="305"/>
      <c r="AE23" s="305"/>
      <c r="AF23" s="305"/>
    </row>
    <row r="24" spans="1:32" s="52" customFormat="1" ht="14.25" customHeight="1">
      <c r="A24" s="285"/>
      <c r="B24" s="2246" t="s">
        <v>472</v>
      </c>
      <c r="C24" s="2322"/>
      <c r="D24" s="2319"/>
      <c r="E24" s="2254"/>
      <c r="F24" s="2316"/>
      <c r="G24" s="2313"/>
      <c r="H24" s="2323"/>
      <c r="I24" s="2318"/>
      <c r="J24" s="2314">
        <f t="shared" si="4"/>
        <v>9691624.8297600001</v>
      </c>
      <c r="K24" s="1864">
        <f>+K405</f>
        <v>145401</v>
      </c>
      <c r="L24" s="394"/>
      <c r="M24" s="473"/>
      <c r="N24" s="264"/>
      <c r="O24" s="264"/>
      <c r="P24" s="473"/>
      <c r="Q24" s="473"/>
      <c r="R24" s="473"/>
      <c r="S24" s="473"/>
      <c r="T24" s="473"/>
      <c r="U24" s="473"/>
      <c r="W24" s="305"/>
      <c r="X24" s="305"/>
      <c r="Y24" s="305"/>
      <c r="Z24" s="305"/>
      <c r="AA24" s="305"/>
      <c r="AB24" s="305"/>
      <c r="AC24" s="305"/>
      <c r="AD24" s="305"/>
      <c r="AE24" s="305"/>
      <c r="AF24" s="305"/>
    </row>
    <row r="25" spans="1:32" s="52" customFormat="1" ht="14.25" customHeight="1">
      <c r="A25" s="285"/>
      <c r="B25" s="2246" t="s">
        <v>458</v>
      </c>
      <c r="C25" s="2322"/>
      <c r="D25" s="2319"/>
      <c r="E25" s="2254"/>
      <c r="F25" s="2316"/>
      <c r="G25" s="2313"/>
      <c r="H25" s="2323"/>
      <c r="I25" s="2318"/>
      <c r="J25" s="2314">
        <f t="shared" si="4"/>
        <v>375101.88406000001</v>
      </c>
      <c r="K25" s="1864">
        <f>+K406</f>
        <v>0</v>
      </c>
      <c r="L25" s="394"/>
      <c r="M25" s="473"/>
      <c r="N25" s="264"/>
      <c r="O25" s="264"/>
      <c r="P25" s="473"/>
      <c r="Q25" s="473"/>
      <c r="R25" s="473"/>
      <c r="S25" s="473"/>
      <c r="T25" s="473"/>
      <c r="U25" s="473"/>
      <c r="W25" s="305"/>
      <c r="X25" s="305"/>
      <c r="Y25" s="305"/>
      <c r="Z25" s="305"/>
      <c r="AA25" s="305"/>
      <c r="AB25" s="305"/>
      <c r="AC25" s="305"/>
      <c r="AD25" s="305"/>
      <c r="AE25" s="305"/>
      <c r="AF25" s="305"/>
    </row>
    <row r="26" spans="1:32" s="52" customFormat="1" ht="14.25" customHeight="1">
      <c r="A26" s="285"/>
      <c r="B26" s="2246" t="s">
        <v>459</v>
      </c>
      <c r="C26" s="2322"/>
      <c r="D26" s="2319"/>
      <c r="E26" s="2254"/>
      <c r="F26" s="2316"/>
      <c r="G26" s="2313"/>
      <c r="H26" s="2323"/>
      <c r="I26" s="2318"/>
      <c r="J26" s="2314">
        <f t="shared" si="4"/>
        <v>1521473.8395</v>
      </c>
      <c r="K26" s="1864"/>
      <c r="L26" s="394"/>
      <c r="M26" s="473"/>
      <c r="N26" s="264"/>
      <c r="O26" s="264"/>
      <c r="P26" s="473"/>
      <c r="Q26" s="473"/>
      <c r="R26" s="473"/>
      <c r="S26" s="473"/>
      <c r="T26" s="473"/>
      <c r="U26" s="473"/>
      <c r="W26" s="305"/>
      <c r="X26" s="305"/>
      <c r="Y26" s="305"/>
      <c r="Z26" s="305"/>
      <c r="AA26" s="305"/>
      <c r="AB26" s="305"/>
      <c r="AC26" s="305"/>
      <c r="AD26" s="305"/>
      <c r="AE26" s="305"/>
      <c r="AF26" s="305"/>
    </row>
    <row r="27" spans="1:32" s="52" customFormat="1" ht="14.25" customHeight="1">
      <c r="A27" s="285"/>
      <c r="B27" s="2246" t="s">
        <v>460</v>
      </c>
      <c r="C27" s="2322"/>
      <c r="D27" s="2319"/>
      <c r="E27" s="2254"/>
      <c r="F27" s="2316"/>
      <c r="G27" s="2313"/>
      <c r="H27" s="2323"/>
      <c r="I27" s="2318"/>
      <c r="J27" s="2314">
        <f t="shared" si="4"/>
        <v>1587928</v>
      </c>
      <c r="K27" s="1864">
        <f>+K408</f>
        <v>137424</v>
      </c>
      <c r="L27" s="394"/>
      <c r="M27" s="473"/>
      <c r="N27" s="264"/>
      <c r="O27" s="264"/>
      <c r="P27" s="473"/>
      <c r="Q27" s="473"/>
      <c r="R27" s="473"/>
      <c r="S27" s="473"/>
      <c r="T27" s="473"/>
      <c r="U27" s="473"/>
      <c r="W27" s="305"/>
      <c r="X27" s="305"/>
      <c r="Y27" s="305"/>
      <c r="Z27" s="305"/>
      <c r="AA27" s="305"/>
      <c r="AB27" s="305"/>
      <c r="AC27" s="305"/>
      <c r="AD27" s="305"/>
      <c r="AE27" s="305"/>
      <c r="AF27" s="305"/>
    </row>
    <row r="28" spans="1:32" s="52" customFormat="1" ht="14.25" customHeight="1">
      <c r="A28" s="285"/>
      <c r="B28" s="2246"/>
      <c r="C28" s="2322"/>
      <c r="D28" s="2319"/>
      <c r="E28" s="2254"/>
      <c r="F28" s="2316"/>
      <c r="G28" s="2313"/>
      <c r="H28" s="2254"/>
      <c r="I28" s="2318"/>
      <c r="J28" s="2314"/>
      <c r="K28" s="1864">
        <f>+K66+K104+K142+K180+K218+K256+K294+K333+K371+K409+K447+K485+K523+K561</f>
        <v>0</v>
      </c>
      <c r="L28" s="394"/>
      <c r="M28" s="473"/>
      <c r="N28" s="264"/>
      <c r="O28" s="264"/>
      <c r="P28" s="473"/>
      <c r="Q28" s="473"/>
      <c r="R28" s="473"/>
      <c r="S28" s="473"/>
      <c r="T28" s="473"/>
      <c r="U28" s="473"/>
      <c r="W28" s="305"/>
      <c r="X28" s="305"/>
      <c r="Y28" s="305"/>
      <c r="Z28" s="305"/>
      <c r="AA28" s="305"/>
      <c r="AB28" s="305"/>
      <c r="AC28" s="305"/>
      <c r="AD28" s="305"/>
      <c r="AE28" s="305"/>
      <c r="AF28" s="305"/>
    </row>
    <row r="29" spans="1:32" s="52" customFormat="1" ht="14.25" customHeight="1">
      <c r="A29" s="285"/>
      <c r="B29" s="2248" t="s">
        <v>461</v>
      </c>
      <c r="C29" s="2322"/>
      <c r="D29" s="2319"/>
      <c r="E29" s="2254"/>
      <c r="F29" s="2320"/>
      <c r="G29" s="2313"/>
      <c r="H29" s="2254"/>
      <c r="I29" s="2321"/>
      <c r="J29" s="2314"/>
      <c r="K29" s="1864"/>
      <c r="L29" s="394"/>
      <c r="M29" s="487"/>
      <c r="N29" s="3035"/>
      <c r="O29" s="264"/>
      <c r="P29" s="473"/>
      <c r="Q29" s="473"/>
      <c r="R29" s="473"/>
      <c r="S29" s="473"/>
      <c r="T29" s="473"/>
      <c r="U29" s="473"/>
      <c r="W29" s="305"/>
      <c r="X29" s="305"/>
      <c r="Y29" s="305"/>
      <c r="Z29" s="305"/>
      <c r="AA29" s="305"/>
      <c r="AB29" s="305"/>
      <c r="AC29" s="305"/>
      <c r="AD29" s="305"/>
      <c r="AE29" s="305"/>
      <c r="AF29" s="305"/>
    </row>
    <row r="30" spans="1:32" s="52" customFormat="1" ht="31.9" customHeight="1">
      <c r="A30" s="285"/>
      <c r="B30" s="2246" t="s">
        <v>462</v>
      </c>
      <c r="C30" s="2322"/>
      <c r="D30" s="2319"/>
      <c r="E30" s="2254"/>
      <c r="F30" s="2316"/>
      <c r="G30" s="2313"/>
      <c r="H30" s="2323"/>
      <c r="I30" s="2318"/>
      <c r="J30" s="2314">
        <f t="shared" ref="J30:J36" si="5">+I68+I106+I144+I182+I220+I258+I296+I335+I373+J411+I449+I487+I525+I563</f>
        <v>-17365535.645089999</v>
      </c>
      <c r="K30" s="1864">
        <f t="shared" ref="K30:K36" si="6">+K68+K106+K144+K182+K220+K258+K296+K335+K373+K411+K449+K487+K525+K563</f>
        <v>-34471</v>
      </c>
      <c r="L30" s="394"/>
      <c r="M30" s="473"/>
      <c r="N30" s="264"/>
      <c r="O30" s="264"/>
      <c r="P30" s="473"/>
      <c r="Q30" s="473"/>
      <c r="R30" s="473"/>
      <c r="S30" s="473"/>
      <c r="T30" s="473"/>
      <c r="U30" s="473"/>
      <c r="W30" s="305"/>
      <c r="X30" s="305"/>
      <c r="Y30" s="305"/>
      <c r="Z30" s="305"/>
      <c r="AA30" s="305"/>
      <c r="AB30" s="305"/>
      <c r="AC30" s="305"/>
      <c r="AD30" s="305"/>
      <c r="AE30" s="305"/>
      <c r="AF30" s="305"/>
    </row>
    <row r="31" spans="1:32" s="52" customFormat="1" ht="22.5" customHeight="1">
      <c r="A31" s="285"/>
      <c r="B31" s="2246" t="s">
        <v>463</v>
      </c>
      <c r="C31" s="2322"/>
      <c r="D31" s="2319"/>
      <c r="E31" s="2254"/>
      <c r="F31" s="2316"/>
      <c r="G31" s="2313"/>
      <c r="H31" s="2254"/>
      <c r="I31" s="2318"/>
      <c r="J31" s="2314">
        <f t="shared" si="5"/>
        <v>0</v>
      </c>
      <c r="K31" s="1864">
        <f t="shared" si="6"/>
        <v>0</v>
      </c>
      <c r="L31" s="394"/>
      <c r="M31" s="473"/>
      <c r="N31" s="264"/>
      <c r="O31" s="264"/>
      <c r="P31" s="473"/>
      <c r="Q31" s="473"/>
      <c r="R31" s="473"/>
      <c r="S31" s="473"/>
      <c r="T31" s="473"/>
      <c r="U31" s="473"/>
      <c r="W31" s="305"/>
      <c r="X31" s="305"/>
      <c r="Y31" s="305"/>
      <c r="Z31" s="305"/>
      <c r="AA31" s="305"/>
      <c r="AB31" s="305"/>
      <c r="AC31" s="305"/>
      <c r="AD31" s="305"/>
      <c r="AE31" s="305"/>
      <c r="AF31" s="305"/>
    </row>
    <row r="32" spans="1:32" s="52" customFormat="1" ht="14.25" customHeight="1">
      <c r="A32" s="285"/>
      <c r="B32" s="2248" t="s">
        <v>464</v>
      </c>
      <c r="C32" s="2322"/>
      <c r="D32" s="2319"/>
      <c r="E32" s="2254"/>
      <c r="F32" s="2320"/>
      <c r="G32" s="2313"/>
      <c r="H32" s="2254"/>
      <c r="I32" s="2321"/>
      <c r="J32" s="2327">
        <f t="shared" si="5"/>
        <v>19849300.749124177</v>
      </c>
      <c r="K32" s="3083">
        <f t="shared" si="6"/>
        <v>-525506</v>
      </c>
      <c r="L32" s="394"/>
      <c r="M32" s="473"/>
      <c r="N32" s="264"/>
      <c r="O32" s="264"/>
      <c r="P32" s="473"/>
      <c r="Q32" s="473"/>
      <c r="R32" s="473"/>
      <c r="S32" s="473"/>
      <c r="T32" s="473"/>
      <c r="U32" s="473"/>
      <c r="W32" s="305"/>
      <c r="X32" s="305"/>
      <c r="Y32" s="305"/>
      <c r="Z32" s="305"/>
      <c r="AA32" s="305"/>
      <c r="AB32" s="305"/>
      <c r="AC32" s="305"/>
      <c r="AD32" s="305"/>
      <c r="AE32" s="305"/>
      <c r="AF32" s="305"/>
    </row>
    <row r="33" spans="1:32" s="52" customFormat="1" ht="14.25" customHeight="1">
      <c r="A33" s="285"/>
      <c r="B33" s="2246" t="s">
        <v>465</v>
      </c>
      <c r="C33" s="2322"/>
      <c r="D33" s="2319"/>
      <c r="E33" s="2254"/>
      <c r="F33" s="2316"/>
      <c r="G33" s="2313"/>
      <c r="H33" s="2254"/>
      <c r="I33" s="2318"/>
      <c r="J33" s="2314">
        <f t="shared" si="5"/>
        <v>-300565</v>
      </c>
      <c r="K33" s="1864">
        <f t="shared" si="6"/>
        <v>-42</v>
      </c>
      <c r="L33" s="394"/>
      <c r="M33" s="473"/>
      <c r="N33" s="264"/>
      <c r="O33" s="264"/>
      <c r="P33" s="473"/>
      <c r="Q33" s="473"/>
      <c r="R33" s="473"/>
      <c r="S33" s="473"/>
      <c r="T33" s="473"/>
      <c r="U33" s="473"/>
      <c r="W33" s="305"/>
      <c r="X33" s="305"/>
      <c r="Y33" s="305"/>
      <c r="Z33" s="305"/>
      <c r="AA33" s="305"/>
      <c r="AB33" s="305"/>
      <c r="AC33" s="305"/>
      <c r="AD33" s="305"/>
      <c r="AE33" s="305"/>
      <c r="AF33" s="305"/>
    </row>
    <row r="34" spans="1:32" s="52" customFormat="1" ht="14.25" customHeight="1">
      <c r="A34" s="285"/>
      <c r="B34" s="2248" t="s">
        <v>466</v>
      </c>
      <c r="C34" s="2322"/>
      <c r="D34" s="2319"/>
      <c r="E34" s="2254"/>
      <c r="F34" s="2320"/>
      <c r="G34" s="2313"/>
      <c r="H34" s="2254"/>
      <c r="I34" s="2321"/>
      <c r="J34" s="2327">
        <f t="shared" si="5"/>
        <v>19548735.749124177</v>
      </c>
      <c r="K34" s="3083">
        <f t="shared" si="6"/>
        <v>-525548</v>
      </c>
      <c r="L34" s="394"/>
      <c r="M34" s="473"/>
      <c r="N34" s="264"/>
      <c r="O34" s="264"/>
      <c r="P34" s="473"/>
      <c r="Q34" s="473"/>
      <c r="R34" s="473"/>
      <c r="S34" s="473"/>
      <c r="T34" s="473"/>
      <c r="U34" s="473"/>
      <c r="W34" s="305"/>
      <c r="X34" s="305"/>
      <c r="Y34" s="305"/>
      <c r="Z34" s="305"/>
      <c r="AA34" s="305"/>
      <c r="AB34" s="305"/>
      <c r="AC34" s="305"/>
      <c r="AD34" s="305"/>
      <c r="AE34" s="305"/>
      <c r="AF34" s="305"/>
    </row>
    <row r="35" spans="1:32" s="52" customFormat="1" ht="14.25" customHeight="1">
      <c r="A35" s="285"/>
      <c r="B35" s="2246" t="s">
        <v>467</v>
      </c>
      <c r="C35" s="2322"/>
      <c r="D35" s="2319"/>
      <c r="E35" s="2254"/>
      <c r="F35" s="2316"/>
      <c r="G35" s="2313"/>
      <c r="H35" s="2254"/>
      <c r="I35" s="2318"/>
      <c r="J35" s="2314">
        <f t="shared" si="5"/>
        <v>-2808360.2939999998</v>
      </c>
      <c r="K35" s="1864">
        <f t="shared" si="6"/>
        <v>0</v>
      </c>
      <c r="L35" s="394"/>
      <c r="M35" s="473"/>
      <c r="N35" s="264"/>
      <c r="O35" s="264"/>
      <c r="P35" s="473"/>
      <c r="Q35" s="473"/>
      <c r="R35" s="473"/>
      <c r="S35" s="473"/>
      <c r="T35" s="473"/>
      <c r="U35" s="473"/>
      <c r="W35" s="305"/>
      <c r="X35" s="305"/>
      <c r="Y35" s="305"/>
      <c r="Z35" s="305"/>
      <c r="AA35" s="305"/>
      <c r="AB35" s="305"/>
      <c r="AC35" s="305"/>
      <c r="AD35" s="305"/>
      <c r="AE35" s="305"/>
      <c r="AF35" s="305"/>
    </row>
    <row r="36" spans="1:32" s="52" customFormat="1" ht="14.25" customHeight="1" thickBot="1">
      <c r="A36" s="285"/>
      <c r="B36" s="1501" t="s">
        <v>468</v>
      </c>
      <c r="C36" s="650"/>
      <c r="D36" s="651"/>
      <c r="E36" s="488"/>
      <c r="F36" s="519"/>
      <c r="G36" s="523"/>
      <c r="H36" s="488"/>
      <c r="I36" s="1109"/>
      <c r="J36" s="1504">
        <f t="shared" si="5"/>
        <v>16740375.455124177</v>
      </c>
      <c r="K36" s="3085">
        <f t="shared" si="6"/>
        <v>-525548</v>
      </c>
      <c r="L36" s="394"/>
      <c r="M36" s="473"/>
      <c r="N36" s="264"/>
      <c r="O36" s="264"/>
      <c r="P36" s="473"/>
      <c r="Q36" s="473"/>
      <c r="R36" s="473"/>
      <c r="S36" s="473"/>
      <c r="T36" s="473"/>
      <c r="U36" s="473"/>
      <c r="W36" s="305"/>
      <c r="X36" s="305"/>
      <c r="Y36" s="305"/>
      <c r="Z36" s="305"/>
      <c r="AA36" s="305"/>
      <c r="AB36" s="305"/>
      <c r="AC36" s="305"/>
      <c r="AD36" s="305"/>
      <c r="AE36" s="305"/>
      <c r="AF36" s="305"/>
    </row>
    <row r="37" spans="1:32" s="52" customFormat="1" ht="14.25" customHeight="1">
      <c r="A37" s="285"/>
      <c r="B37" s="456"/>
      <c r="C37" s="279"/>
      <c r="D37" s="279"/>
      <c r="E37" s="279"/>
      <c r="F37" s="279"/>
      <c r="G37" s="279"/>
      <c r="H37" s="279"/>
      <c r="I37" s="279"/>
      <c r="J37" s="264"/>
      <c r="K37" s="279"/>
      <c r="W37" s="305"/>
      <c r="X37" s="305"/>
      <c r="Y37" s="305"/>
      <c r="Z37" s="305"/>
      <c r="AA37" s="305"/>
      <c r="AB37" s="305"/>
      <c r="AC37" s="305"/>
      <c r="AD37" s="305"/>
      <c r="AE37" s="305"/>
      <c r="AF37" s="305"/>
    </row>
    <row r="38" spans="1:32" s="52" customFormat="1" ht="14.25" customHeight="1">
      <c r="A38" s="285"/>
      <c r="B38" s="456"/>
      <c r="C38" s="279"/>
      <c r="D38" s="279"/>
      <c r="E38" s="279"/>
      <c r="F38" s="279"/>
      <c r="G38" s="279"/>
      <c r="H38" s="279"/>
      <c r="I38" s="279"/>
      <c r="J38" s="264"/>
      <c r="K38" s="264">
        <v>126</v>
      </c>
      <c r="W38" s="305"/>
      <c r="X38" s="305"/>
      <c r="Y38" s="305"/>
      <c r="Z38" s="305"/>
      <c r="AA38" s="305"/>
      <c r="AB38" s="305"/>
      <c r="AC38" s="305"/>
      <c r="AD38" s="305"/>
      <c r="AE38" s="305"/>
      <c r="AF38" s="305"/>
    </row>
    <row r="39" spans="1:32" s="52" customFormat="1" ht="14.25" customHeight="1">
      <c r="A39" s="285"/>
      <c r="B39" s="646"/>
      <c r="C39" s="433"/>
      <c r="D39" s="433"/>
      <c r="E39" s="433"/>
      <c r="F39" s="433"/>
      <c r="G39" s="433"/>
      <c r="H39" s="433"/>
      <c r="I39" s="552"/>
      <c r="J39" s="552"/>
      <c r="K39" s="417"/>
      <c r="L39" s="430"/>
      <c r="W39" s="305"/>
      <c r="X39" s="305"/>
      <c r="Y39" s="305"/>
      <c r="Z39" s="305"/>
      <c r="AA39" s="305"/>
      <c r="AB39" s="305"/>
      <c r="AC39" s="305"/>
      <c r="AD39" s="305"/>
      <c r="AE39" s="305"/>
      <c r="AF39" s="305"/>
    </row>
    <row r="40" spans="1:32" s="52" customFormat="1" ht="14.25" customHeight="1">
      <c r="A40" s="285"/>
      <c r="B40" s="236" t="s">
        <v>476</v>
      </c>
      <c r="C40" s="236"/>
      <c r="D40" s="236"/>
      <c r="E40" s="433"/>
      <c r="F40" s="433"/>
      <c r="G40" s="433"/>
      <c r="H40" s="433"/>
      <c r="I40" s="552"/>
      <c r="J40" s="552"/>
      <c r="K40" s="417"/>
      <c r="L40" s="430"/>
      <c r="W40" s="305"/>
      <c r="X40" s="305"/>
      <c r="Y40" s="305"/>
      <c r="Z40" s="305"/>
      <c r="AA40" s="305"/>
      <c r="AB40" s="305"/>
      <c r="AC40" s="305"/>
      <c r="AD40" s="305"/>
      <c r="AE40" s="305"/>
      <c r="AF40" s="305"/>
    </row>
    <row r="41" spans="1:32" s="52" customFormat="1" ht="14.25" customHeight="1" thickBot="1">
      <c r="A41" s="285"/>
      <c r="B41" s="51"/>
      <c r="C41" s="51"/>
      <c r="D41" s="51"/>
      <c r="E41" s="433"/>
      <c r="F41" s="433"/>
      <c r="G41" s="433"/>
      <c r="H41" s="433"/>
      <c r="I41" s="552"/>
      <c r="J41" s="552"/>
      <c r="K41" s="417"/>
      <c r="L41" s="430"/>
      <c r="W41" s="305"/>
      <c r="X41" s="305"/>
      <c r="Y41" s="305"/>
      <c r="Z41" s="305"/>
      <c r="AA41" s="305"/>
      <c r="AB41" s="305"/>
      <c r="AC41" s="305"/>
      <c r="AD41" s="305"/>
      <c r="AE41" s="305"/>
      <c r="AF41" s="305"/>
    </row>
    <row r="42" spans="1:32" ht="13.9" thickBot="1">
      <c r="B42" s="1481" t="s">
        <v>91</v>
      </c>
      <c r="H42" s="3434" t="s">
        <v>238</v>
      </c>
      <c r="I42" s="3434"/>
      <c r="J42" s="507"/>
      <c r="W42" s="305"/>
      <c r="X42" s="305"/>
      <c r="Y42" s="305"/>
      <c r="Z42" s="305"/>
      <c r="AA42" s="305"/>
      <c r="AB42" s="305"/>
      <c r="AC42" s="305"/>
      <c r="AD42" s="305"/>
      <c r="AE42" s="305"/>
      <c r="AF42" s="305"/>
    </row>
    <row r="43" spans="1:32" s="52" customFormat="1" ht="14.25" customHeight="1" thickBot="1">
      <c r="A43" s="278"/>
      <c r="B43" s="3407"/>
      <c r="C43" s="3332">
        <v>2021</v>
      </c>
      <c r="D43" s="3333"/>
      <c r="E43" s="3333"/>
      <c r="F43" s="3333"/>
      <c r="G43" s="3333"/>
      <c r="H43" s="3333"/>
      <c r="I43" s="3334"/>
      <c r="J43" s="454"/>
      <c r="K43" s="416"/>
      <c r="W43" s="305"/>
      <c r="X43" s="305"/>
      <c r="Y43" s="305"/>
      <c r="Z43" s="305"/>
      <c r="AA43" s="305"/>
      <c r="AB43" s="305"/>
      <c r="AC43" s="305"/>
      <c r="AD43" s="305"/>
      <c r="AE43" s="305"/>
      <c r="AF43" s="305"/>
    </row>
    <row r="44" spans="1:32" s="52" customFormat="1" ht="14.25" customHeight="1" thickBot="1">
      <c r="A44" s="394"/>
      <c r="B44" s="3408"/>
      <c r="C44" s="3364" t="s">
        <v>436</v>
      </c>
      <c r="D44" s="3364" t="s">
        <v>437</v>
      </c>
      <c r="E44" s="3332" t="s">
        <v>438</v>
      </c>
      <c r="F44" s="3334"/>
      <c r="G44" s="3364" t="s">
        <v>439</v>
      </c>
      <c r="H44" s="3402" t="s">
        <v>440</v>
      </c>
      <c r="I44" s="3410" t="s">
        <v>118</v>
      </c>
      <c r="J44" s="454"/>
      <c r="K44" s="457"/>
      <c r="W44" s="305"/>
      <c r="X44" s="305"/>
      <c r="Y44" s="305"/>
      <c r="Z44" s="305"/>
      <c r="AA44" s="305"/>
      <c r="AB44" s="305"/>
      <c r="AC44" s="305"/>
      <c r="AD44" s="305"/>
      <c r="AE44" s="305"/>
      <c r="AF44" s="305"/>
    </row>
    <row r="45" spans="1:32" s="52" customFormat="1" ht="14.25" customHeight="1" thickBot="1">
      <c r="A45" s="394"/>
      <c r="B45" s="3409"/>
      <c r="C45" s="3365"/>
      <c r="D45" s="3365"/>
      <c r="E45" s="1461" t="s">
        <v>442</v>
      </c>
      <c r="F45" s="1461" t="s">
        <v>443</v>
      </c>
      <c r="G45" s="3365"/>
      <c r="H45" s="3390"/>
      <c r="I45" s="3437"/>
      <c r="J45" s="454"/>
      <c r="K45" s="457"/>
      <c r="W45" s="305"/>
      <c r="X45" s="305"/>
      <c r="Y45" s="305"/>
      <c r="Z45" s="305"/>
      <c r="AA45" s="305"/>
      <c r="AB45" s="305"/>
      <c r="AC45" s="305"/>
      <c r="AD45" s="305"/>
      <c r="AE45" s="305"/>
      <c r="AF45" s="305"/>
    </row>
    <row r="46" spans="1:32" s="52" customFormat="1" ht="14.25" customHeight="1">
      <c r="A46" s="285"/>
      <c r="B46" s="1478" t="s">
        <v>342</v>
      </c>
      <c r="C46" s="807">
        <v>2724266.2096999995</v>
      </c>
      <c r="D46" s="2324">
        <v>394122.33882999991</v>
      </c>
      <c r="E46" s="807">
        <v>0</v>
      </c>
      <c r="F46" s="2324">
        <v>8169547.8617899977</v>
      </c>
      <c r="G46" s="807">
        <v>1594646.7341000009</v>
      </c>
      <c r="H46" s="2302">
        <v>706441.68729999987</v>
      </c>
      <c r="I46" s="2314">
        <f t="shared" ref="I46:I57" si="7">C46+D46+E46+F46+G46+H46</f>
        <v>13589024.831719998</v>
      </c>
      <c r="J46" s="278"/>
      <c r="K46" s="429"/>
      <c r="L46" s="305"/>
      <c r="M46" s="305"/>
      <c r="N46" s="305"/>
      <c r="O46" s="305"/>
      <c r="P46" s="305"/>
      <c r="Q46" s="305"/>
      <c r="R46" s="305"/>
      <c r="W46" s="305"/>
      <c r="X46" s="305"/>
      <c r="Y46" s="305"/>
      <c r="Z46" s="305"/>
      <c r="AA46" s="305"/>
      <c r="AB46" s="305"/>
      <c r="AC46" s="305"/>
      <c r="AD46" s="305"/>
      <c r="AE46" s="305"/>
      <c r="AF46" s="305"/>
    </row>
    <row r="47" spans="1:32" s="52" customFormat="1" ht="14.25" customHeight="1">
      <c r="A47" s="285"/>
      <c r="B47" s="2246" t="s">
        <v>473</v>
      </c>
      <c r="C47" s="804"/>
      <c r="D47" s="2325"/>
      <c r="E47" s="2275"/>
      <c r="F47" s="2325"/>
      <c r="G47" s="2275"/>
      <c r="H47" s="2274"/>
      <c r="I47" s="2314">
        <f t="shared" si="7"/>
        <v>0</v>
      </c>
      <c r="J47" s="278"/>
      <c r="K47" s="429"/>
      <c r="L47" s="305"/>
      <c r="M47" s="305"/>
      <c r="N47" s="305"/>
      <c r="O47" s="305"/>
      <c r="P47" s="305"/>
      <c r="Q47" s="305"/>
      <c r="R47" s="305"/>
      <c r="W47" s="305"/>
      <c r="X47" s="305"/>
      <c r="Y47" s="305"/>
      <c r="Z47" s="305"/>
      <c r="AA47" s="305"/>
      <c r="AB47" s="305"/>
      <c r="AC47" s="305"/>
      <c r="AD47" s="305"/>
      <c r="AE47" s="305"/>
      <c r="AF47" s="305"/>
    </row>
    <row r="48" spans="1:32" s="52" customFormat="1" ht="14.25" customHeight="1">
      <c r="A48" s="285"/>
      <c r="B48" s="2246" t="s">
        <v>445</v>
      </c>
      <c r="C48" s="804">
        <v>-793297.21002999996</v>
      </c>
      <c r="D48" s="812">
        <v>-3099.6189100000001</v>
      </c>
      <c r="E48" s="804">
        <v>0</v>
      </c>
      <c r="F48" s="812">
        <v>-205621.35334</v>
      </c>
      <c r="G48" s="804">
        <v>-18938.32086</v>
      </c>
      <c r="H48" s="805">
        <v>-77936.340790000002</v>
      </c>
      <c r="I48" s="2314">
        <f t="shared" si="7"/>
        <v>-1098892.84393</v>
      </c>
      <c r="J48" s="278"/>
      <c r="K48" s="429"/>
      <c r="L48" s="305"/>
      <c r="M48" s="305"/>
      <c r="N48" s="305"/>
      <c r="O48" s="305"/>
      <c r="P48" s="305"/>
      <c r="Q48" s="305"/>
      <c r="R48" s="305"/>
      <c r="W48" s="305"/>
      <c r="X48" s="305"/>
      <c r="Y48" s="305"/>
      <c r="Z48" s="305"/>
      <c r="AA48" s="305"/>
      <c r="AB48" s="305"/>
      <c r="AC48" s="305"/>
      <c r="AD48" s="305"/>
      <c r="AE48" s="305"/>
      <c r="AF48" s="305"/>
    </row>
    <row r="49" spans="1:32" s="52" customFormat="1" ht="14.25" customHeight="1">
      <c r="A49" s="285"/>
      <c r="B49" s="2246" t="s">
        <v>446</v>
      </c>
      <c r="C49" s="804">
        <v>-1206533.1075599999</v>
      </c>
      <c r="D49" s="812">
        <v>-45558.227980000003</v>
      </c>
      <c r="E49" s="804">
        <v>0</v>
      </c>
      <c r="F49" s="812">
        <v>-13971.029300000002</v>
      </c>
      <c r="G49" s="804">
        <v>-216994.77929999999</v>
      </c>
      <c r="H49" s="805">
        <v>-239621.88064999995</v>
      </c>
      <c r="I49" s="2314">
        <f t="shared" si="7"/>
        <v>-1722679.0247899999</v>
      </c>
      <c r="J49" s="278"/>
      <c r="K49" s="416"/>
      <c r="L49" s="305"/>
      <c r="M49" s="305"/>
      <c r="N49" s="305"/>
      <c r="O49" s="305"/>
      <c r="P49" s="305"/>
      <c r="Q49" s="305"/>
      <c r="R49" s="305"/>
      <c r="W49" s="305"/>
      <c r="X49" s="305"/>
      <c r="Y49" s="305"/>
      <c r="Z49" s="305"/>
      <c r="AA49" s="305"/>
      <c r="AB49" s="305"/>
      <c r="AC49" s="305"/>
      <c r="AD49" s="305"/>
      <c r="AE49" s="305"/>
      <c r="AF49" s="305"/>
    </row>
    <row r="50" spans="1:32" s="52" customFormat="1" ht="14.25" customHeight="1">
      <c r="A50" s="285"/>
      <c r="B50" s="2248" t="s">
        <v>447</v>
      </c>
      <c r="C50" s="2249">
        <v>724435.89210999967</v>
      </c>
      <c r="D50" s="2326">
        <v>345464.49193999986</v>
      </c>
      <c r="E50" s="2249">
        <v>0</v>
      </c>
      <c r="F50" s="2326">
        <v>7949955.4791499982</v>
      </c>
      <c r="G50" s="2249">
        <v>1358713.6339400008</v>
      </c>
      <c r="H50" s="2250">
        <v>388883.46585999988</v>
      </c>
      <c r="I50" s="2327">
        <f t="shared" si="7"/>
        <v>10767452.962999998</v>
      </c>
      <c r="J50" s="278"/>
      <c r="K50" s="416"/>
      <c r="L50" s="305"/>
      <c r="M50" s="305"/>
      <c r="N50" s="305"/>
      <c r="O50" s="305"/>
      <c r="P50" s="305"/>
      <c r="Q50" s="305"/>
      <c r="R50" s="305"/>
      <c r="W50" s="305"/>
      <c r="X50" s="305"/>
      <c r="Y50" s="305"/>
      <c r="Z50" s="305"/>
      <c r="AA50" s="305"/>
      <c r="AB50" s="305"/>
      <c r="AC50" s="305"/>
      <c r="AD50" s="305"/>
      <c r="AE50" s="305"/>
      <c r="AF50" s="305"/>
    </row>
    <row r="51" spans="1:32" s="52" customFormat="1" ht="14.25" customHeight="1">
      <c r="A51" s="285"/>
      <c r="B51" s="2246" t="s">
        <v>448</v>
      </c>
      <c r="C51" s="2241">
        <v>147919.90071000005</v>
      </c>
      <c r="D51" s="2328">
        <v>-8159.1985500000046</v>
      </c>
      <c r="E51" s="2237">
        <v>0</v>
      </c>
      <c r="F51" s="2328">
        <v>475691.66403000004</v>
      </c>
      <c r="G51" s="2241">
        <v>-124612.15608999989</v>
      </c>
      <c r="H51" s="2242">
        <v>82866.545149999962</v>
      </c>
      <c r="I51" s="2314">
        <f t="shared" si="7"/>
        <v>573706.75525000016</v>
      </c>
      <c r="J51" s="278"/>
      <c r="K51" s="416"/>
      <c r="L51" s="305"/>
      <c r="M51" s="305"/>
      <c r="N51" s="305"/>
      <c r="O51" s="305"/>
      <c r="P51" s="305"/>
      <c r="Q51" s="305"/>
      <c r="R51" s="305"/>
      <c r="W51" s="305"/>
      <c r="X51" s="305"/>
      <c r="Y51" s="305"/>
      <c r="Z51" s="305"/>
      <c r="AA51" s="305"/>
      <c r="AB51" s="305"/>
      <c r="AC51" s="305"/>
      <c r="AD51" s="305"/>
      <c r="AE51" s="305"/>
      <c r="AF51" s="305"/>
    </row>
    <row r="52" spans="1:32" s="52" customFormat="1" ht="14.25" customHeight="1">
      <c r="A52" s="285"/>
      <c r="B52" s="2248" t="s">
        <v>449</v>
      </c>
      <c r="C52" s="2249">
        <v>872355.79281999974</v>
      </c>
      <c r="D52" s="2326">
        <v>337305.29338999983</v>
      </c>
      <c r="E52" s="2249">
        <v>0</v>
      </c>
      <c r="F52" s="2326">
        <v>8425647.1431799978</v>
      </c>
      <c r="G52" s="2249">
        <v>1234101.4778500008</v>
      </c>
      <c r="H52" s="2250">
        <v>471750.01100999984</v>
      </c>
      <c r="I52" s="2327">
        <f t="shared" si="7"/>
        <v>11341159.718249999</v>
      </c>
      <c r="J52" s="278"/>
      <c r="K52" s="416"/>
      <c r="L52" s="305"/>
      <c r="M52" s="305"/>
      <c r="N52" s="305"/>
      <c r="O52" s="305"/>
      <c r="P52" s="305"/>
      <c r="Q52" s="305"/>
      <c r="R52" s="305"/>
      <c r="W52" s="305"/>
      <c r="X52" s="305"/>
      <c r="Y52" s="305"/>
      <c r="Z52" s="305"/>
      <c r="AA52" s="305"/>
      <c r="AB52" s="305"/>
      <c r="AC52" s="305"/>
      <c r="AD52" s="305"/>
      <c r="AE52" s="305"/>
      <c r="AF52" s="305"/>
    </row>
    <row r="53" spans="1:32" s="52" customFormat="1" ht="14.25" customHeight="1">
      <c r="A53" s="285"/>
      <c r="B53" s="2246"/>
      <c r="C53" s="1866"/>
      <c r="D53" s="2190"/>
      <c r="E53" s="1866"/>
      <c r="F53" s="2190"/>
      <c r="G53" s="1866"/>
      <c r="H53" s="1865"/>
      <c r="I53" s="2314">
        <f t="shared" si="7"/>
        <v>0</v>
      </c>
      <c r="J53" s="278"/>
      <c r="K53" s="416"/>
      <c r="M53" s="305"/>
      <c r="W53" s="305"/>
      <c r="X53" s="305"/>
      <c r="Y53" s="305"/>
      <c r="Z53" s="305"/>
      <c r="AA53" s="305"/>
      <c r="AB53" s="305"/>
      <c r="AC53" s="305"/>
      <c r="AD53" s="305"/>
      <c r="AE53" s="305"/>
      <c r="AF53" s="305"/>
    </row>
    <row r="54" spans="1:32" s="52" customFormat="1" ht="14.25" customHeight="1">
      <c r="A54" s="285"/>
      <c r="B54" s="2248" t="s">
        <v>450</v>
      </c>
      <c r="C54" s="1866"/>
      <c r="D54" s="2190"/>
      <c r="E54" s="1866"/>
      <c r="F54" s="2190"/>
      <c r="G54" s="1866"/>
      <c r="H54" s="1865"/>
      <c r="I54" s="2314">
        <f t="shared" si="7"/>
        <v>0</v>
      </c>
      <c r="J54" s="278"/>
      <c r="K54" s="416"/>
      <c r="L54" s="305"/>
      <c r="M54" s="305"/>
      <c r="W54" s="305"/>
      <c r="X54" s="305"/>
      <c r="Y54" s="305"/>
      <c r="Z54" s="305"/>
      <c r="AA54" s="305"/>
      <c r="AB54" s="305"/>
      <c r="AC54" s="305"/>
      <c r="AD54" s="305"/>
      <c r="AE54" s="305"/>
      <c r="AF54" s="305"/>
    </row>
    <row r="55" spans="1:32" s="52" customFormat="1" ht="31.5" customHeight="1">
      <c r="A55" s="285"/>
      <c r="B55" s="2246" t="s">
        <v>451</v>
      </c>
      <c r="C55" s="2275">
        <v>-996836.47070513363</v>
      </c>
      <c r="D55" s="2325">
        <v>-203626.16415743975</v>
      </c>
      <c r="E55" s="2275">
        <v>0</v>
      </c>
      <c r="F55" s="2325">
        <v>-3467073.8783741472</v>
      </c>
      <c r="G55" s="2275">
        <v>-850149.85661354207</v>
      </c>
      <c r="H55" s="2274">
        <v>5512.198740262399</v>
      </c>
      <c r="I55" s="2314">
        <f t="shared" si="7"/>
        <v>-5512174.1711099995</v>
      </c>
      <c r="J55" s="278"/>
      <c r="K55" s="416"/>
      <c r="L55" s="305"/>
      <c r="M55" s="305"/>
      <c r="N55" s="305"/>
      <c r="O55" s="305"/>
      <c r="P55" s="305"/>
      <c r="Q55" s="305"/>
      <c r="R55" s="305"/>
      <c r="W55" s="305"/>
      <c r="X55" s="305"/>
      <c r="Y55" s="305"/>
      <c r="Z55" s="305"/>
      <c r="AA55" s="305"/>
      <c r="AB55" s="305"/>
      <c r="AC55" s="305"/>
      <c r="AD55" s="305"/>
      <c r="AE55" s="305"/>
      <c r="AF55" s="305"/>
    </row>
    <row r="56" spans="1:32" s="52" customFormat="1" ht="14.25" customHeight="1">
      <c r="A56" s="285"/>
      <c r="B56" s="2246" t="s">
        <v>452</v>
      </c>
      <c r="C56" s="804">
        <v>-358762.55903325602</v>
      </c>
      <c r="D56" s="812">
        <v>-75083.4534721417</v>
      </c>
      <c r="E56" s="804">
        <v>0</v>
      </c>
      <c r="F56" s="812">
        <v>-2366741.0654506302</v>
      </c>
      <c r="G56" s="804">
        <v>-173955.233765173</v>
      </c>
      <c r="H56" s="805">
        <v>-252300.11231880001</v>
      </c>
      <c r="I56" s="2314">
        <f t="shared" si="7"/>
        <v>-3226842.4240400009</v>
      </c>
      <c r="J56" s="278"/>
      <c r="K56" s="416"/>
      <c r="L56" s="305"/>
      <c r="M56" s="305"/>
      <c r="N56" s="305"/>
      <c r="O56" s="305"/>
      <c r="P56" s="305"/>
      <c r="Q56" s="305"/>
      <c r="R56" s="305"/>
      <c r="W56" s="305"/>
      <c r="X56" s="305"/>
      <c r="Y56" s="305"/>
      <c r="Z56" s="305"/>
      <c r="AA56" s="305"/>
      <c r="AB56" s="305"/>
      <c r="AC56" s="305"/>
      <c r="AD56" s="305"/>
      <c r="AE56" s="305"/>
      <c r="AF56" s="305"/>
    </row>
    <row r="57" spans="1:32" s="52" customFormat="1" ht="14.25" customHeight="1">
      <c r="A57" s="285"/>
      <c r="B57" s="2246" t="s">
        <v>453</v>
      </c>
      <c r="C57" s="741"/>
      <c r="D57" s="821"/>
      <c r="E57" s="741"/>
      <c r="F57" s="821"/>
      <c r="G57" s="741"/>
      <c r="H57" s="776"/>
      <c r="I57" s="2314">
        <f t="shared" si="7"/>
        <v>0</v>
      </c>
      <c r="J57" s="278"/>
      <c r="K57" s="416"/>
      <c r="L57" s="305"/>
      <c r="M57" s="305"/>
      <c r="N57" s="305"/>
      <c r="O57" s="305"/>
      <c r="P57" s="305"/>
      <c r="Q57" s="305"/>
      <c r="R57" s="305"/>
      <c r="W57" s="305"/>
      <c r="X57" s="305"/>
      <c r="Y57" s="305"/>
      <c r="Z57" s="305"/>
      <c r="AA57" s="305"/>
      <c r="AB57" s="305"/>
      <c r="AC57" s="305"/>
      <c r="AD57" s="305"/>
      <c r="AE57" s="305"/>
      <c r="AF57" s="305"/>
    </row>
    <row r="58" spans="1:32" s="52" customFormat="1" ht="14.25" customHeight="1">
      <c r="A58" s="285"/>
      <c r="B58" s="2248" t="s">
        <v>454</v>
      </c>
      <c r="C58" s="2249">
        <v>-483243.23691838991</v>
      </c>
      <c r="D58" s="2326">
        <v>58595.67576041838</v>
      </c>
      <c r="E58" s="2249">
        <v>0</v>
      </c>
      <c r="F58" s="2326">
        <v>2591832.1993552204</v>
      </c>
      <c r="G58" s="2249">
        <v>209996.38747128577</v>
      </c>
      <c r="H58" s="2250">
        <v>224962.09743146226</v>
      </c>
      <c r="I58" s="2327">
        <f>C58+D58+E58+F58+G58+H58</f>
        <v>2602143.1230999967</v>
      </c>
      <c r="J58" s="278"/>
      <c r="K58" s="432"/>
      <c r="L58" s="305"/>
      <c r="M58" s="305"/>
      <c r="N58" s="305"/>
      <c r="O58" s="305"/>
      <c r="P58" s="305"/>
      <c r="Q58" s="305"/>
      <c r="R58" s="305"/>
      <c r="W58" s="305"/>
      <c r="X58" s="305"/>
      <c r="Y58" s="305"/>
      <c r="Z58" s="305"/>
      <c r="AA58" s="305"/>
      <c r="AB58" s="305"/>
      <c r="AC58" s="305"/>
      <c r="AD58" s="305"/>
      <c r="AE58" s="305"/>
      <c r="AF58" s="305"/>
    </row>
    <row r="59" spans="1:32" s="52" customFormat="1" ht="14.25" customHeight="1">
      <c r="A59" s="285"/>
      <c r="B59" s="2246"/>
      <c r="C59" s="2316"/>
      <c r="D59" s="2329"/>
      <c r="E59" s="2316"/>
      <c r="F59" s="2329"/>
      <c r="G59" s="2316"/>
      <c r="H59" s="2318"/>
      <c r="I59" s="2314"/>
      <c r="J59" s="278"/>
      <c r="K59" s="416"/>
      <c r="M59" s="305"/>
      <c r="W59" s="305"/>
      <c r="X59" s="305"/>
      <c r="Y59" s="305"/>
      <c r="Z59" s="305"/>
      <c r="AA59" s="305"/>
      <c r="AB59" s="305"/>
      <c r="AC59" s="305"/>
      <c r="AD59" s="305"/>
      <c r="AE59" s="305"/>
      <c r="AF59" s="305"/>
    </row>
    <row r="60" spans="1:32" s="52" customFormat="1" ht="14.25" customHeight="1">
      <c r="A60" s="285"/>
      <c r="B60" s="2248" t="s">
        <v>455</v>
      </c>
      <c r="C60" s="2316"/>
      <c r="D60" s="2329"/>
      <c r="E60" s="2316"/>
      <c r="F60" s="2329"/>
      <c r="G60" s="2316"/>
      <c r="H60" s="2318"/>
      <c r="I60" s="2327">
        <f>SUM(I61:I65)</f>
        <v>1449421</v>
      </c>
      <c r="J60" s="278"/>
      <c r="K60" s="416"/>
      <c r="M60" s="305"/>
      <c r="W60" s="305"/>
      <c r="X60" s="305"/>
      <c r="Y60" s="305"/>
      <c r="Z60" s="305"/>
      <c r="AA60" s="305"/>
      <c r="AB60" s="305"/>
      <c r="AC60" s="305"/>
      <c r="AD60" s="305"/>
      <c r="AE60" s="305"/>
      <c r="AF60" s="305"/>
    </row>
    <row r="61" spans="1:32" s="52" customFormat="1" ht="14.25" customHeight="1">
      <c r="A61" s="285"/>
      <c r="B61" s="2246" t="s">
        <v>456</v>
      </c>
      <c r="C61" s="2316"/>
      <c r="D61" s="2329"/>
      <c r="E61" s="2316"/>
      <c r="F61" s="2329"/>
      <c r="G61" s="2316"/>
      <c r="H61" s="2318"/>
      <c r="I61" s="2330">
        <v>211598</v>
      </c>
      <c r="J61" s="278"/>
      <c r="K61" s="416"/>
      <c r="M61" s="305"/>
      <c r="W61" s="305"/>
      <c r="X61" s="305"/>
      <c r="Y61" s="305"/>
      <c r="Z61" s="305"/>
      <c r="AA61" s="305"/>
      <c r="AB61" s="305"/>
      <c r="AC61" s="305"/>
      <c r="AD61" s="305"/>
      <c r="AE61" s="305"/>
      <c r="AF61" s="305"/>
    </row>
    <row r="62" spans="1:32" s="52" customFormat="1" ht="14.25" customHeight="1">
      <c r="A62" s="285"/>
      <c r="B62" s="2246" t="s">
        <v>472</v>
      </c>
      <c r="C62" s="2316"/>
      <c r="D62" s="2329"/>
      <c r="E62" s="2316"/>
      <c r="F62" s="2329"/>
      <c r="G62" s="2316"/>
      <c r="H62" s="2318"/>
      <c r="I62" s="1488">
        <v>1189166</v>
      </c>
      <c r="J62" s="278"/>
      <c r="K62" s="416"/>
      <c r="M62" s="305"/>
      <c r="W62" s="305"/>
      <c r="X62" s="305"/>
      <c r="Y62" s="305"/>
      <c r="Z62" s="305"/>
      <c r="AA62" s="305"/>
      <c r="AB62" s="305"/>
      <c r="AC62" s="305"/>
      <c r="AD62" s="305"/>
      <c r="AE62" s="305"/>
      <c r="AF62" s="305"/>
    </row>
    <row r="63" spans="1:32" s="52" customFormat="1" ht="14.25" customHeight="1">
      <c r="A63" s="285"/>
      <c r="B63" s="2246" t="s">
        <v>458</v>
      </c>
      <c r="C63" s="2316"/>
      <c r="D63" s="2329"/>
      <c r="E63" s="2316"/>
      <c r="F63" s="2329"/>
      <c r="G63" s="2316"/>
      <c r="H63" s="2318"/>
      <c r="I63" s="1488">
        <v>573</v>
      </c>
      <c r="J63" s="278"/>
      <c r="K63" s="416"/>
      <c r="M63" s="305"/>
      <c r="W63" s="305"/>
      <c r="X63" s="305"/>
      <c r="Y63" s="305"/>
      <c r="Z63" s="305"/>
      <c r="AA63" s="305"/>
      <c r="AB63" s="305"/>
      <c r="AC63" s="305"/>
      <c r="AD63" s="305"/>
      <c r="AE63" s="305"/>
      <c r="AF63" s="305"/>
    </row>
    <row r="64" spans="1:32" s="52" customFormat="1" ht="14.25" customHeight="1">
      <c r="A64" s="285"/>
      <c r="B64" s="2246" t="s">
        <v>459</v>
      </c>
      <c r="C64" s="2316"/>
      <c r="D64" s="2329"/>
      <c r="E64" s="2316"/>
      <c r="F64" s="2329"/>
      <c r="G64" s="2316"/>
      <c r="H64" s="2318"/>
      <c r="I64" s="1488"/>
      <c r="J64" s="278"/>
      <c r="K64" s="416"/>
      <c r="M64" s="305"/>
      <c r="W64" s="305"/>
      <c r="X64" s="305"/>
      <c r="Y64" s="305"/>
      <c r="Z64" s="305"/>
      <c r="AA64" s="305"/>
      <c r="AB64" s="305"/>
      <c r="AC64" s="305"/>
      <c r="AD64" s="305"/>
      <c r="AE64" s="305"/>
      <c r="AF64" s="305"/>
    </row>
    <row r="65" spans="1:32" s="52" customFormat="1" ht="14.25" customHeight="1">
      <c r="A65" s="285"/>
      <c r="B65" s="2246" t="s">
        <v>460</v>
      </c>
      <c r="C65" s="2316"/>
      <c r="D65" s="2329"/>
      <c r="E65" s="2316"/>
      <c r="F65" s="2329"/>
      <c r="G65" s="2316"/>
      <c r="H65" s="2318"/>
      <c r="I65" s="1488">
        <v>48084</v>
      </c>
      <c r="J65" s="278"/>
      <c r="K65" s="416"/>
      <c r="M65" s="305"/>
      <c r="W65" s="305"/>
      <c r="X65" s="305"/>
      <c r="Y65" s="305"/>
      <c r="Z65" s="305"/>
      <c r="AA65" s="305"/>
      <c r="AB65" s="305"/>
      <c r="AC65" s="305"/>
      <c r="AD65" s="305"/>
      <c r="AE65" s="305"/>
      <c r="AF65" s="305"/>
    </row>
    <row r="66" spans="1:32" s="52" customFormat="1" ht="14.25" customHeight="1">
      <c r="A66" s="285"/>
      <c r="B66" s="2246"/>
      <c r="C66" s="2316"/>
      <c r="D66" s="2329"/>
      <c r="E66" s="2316"/>
      <c r="F66" s="2329"/>
      <c r="G66" s="2316"/>
      <c r="H66" s="2318"/>
      <c r="I66" s="2314"/>
      <c r="J66" s="278"/>
      <c r="K66" s="416"/>
      <c r="M66" s="305"/>
      <c r="W66" s="305"/>
      <c r="X66" s="305"/>
      <c r="Y66" s="305"/>
      <c r="Z66" s="305"/>
      <c r="AA66" s="305"/>
      <c r="AB66" s="305"/>
      <c r="AC66" s="305"/>
      <c r="AD66" s="305"/>
      <c r="AE66" s="305"/>
      <c r="AF66" s="305"/>
    </row>
    <row r="67" spans="1:32" s="52" customFormat="1" ht="14.25" customHeight="1">
      <c r="A67" s="285"/>
      <c r="B67" s="2248" t="s">
        <v>461</v>
      </c>
      <c r="C67" s="2316"/>
      <c r="D67" s="2329"/>
      <c r="E67" s="2316"/>
      <c r="F67" s="2329"/>
      <c r="G67" s="2316"/>
      <c r="H67" s="2318"/>
      <c r="I67" s="2314">
        <f>I68+I69</f>
        <v>-2663038.6450899998</v>
      </c>
      <c r="J67" s="278"/>
      <c r="K67" s="416"/>
      <c r="M67" s="305"/>
      <c r="W67" s="305"/>
      <c r="X67" s="305"/>
      <c r="Y67" s="305"/>
      <c r="Z67" s="305"/>
      <c r="AA67" s="305"/>
      <c r="AB67" s="305"/>
      <c r="AC67" s="305"/>
      <c r="AD67" s="305"/>
      <c r="AE67" s="305"/>
      <c r="AF67" s="305"/>
    </row>
    <row r="68" spans="1:32" s="52" customFormat="1" ht="27.6" customHeight="1">
      <c r="A68" s="285"/>
      <c r="B68" s="2246" t="s">
        <v>462</v>
      </c>
      <c r="C68" s="2316"/>
      <c r="D68" s="2329"/>
      <c r="E68" s="2316"/>
      <c r="F68" s="2329"/>
      <c r="G68" s="2316"/>
      <c r="H68" s="2318"/>
      <c r="I68" s="1503">
        <v>-2663038.6450899998</v>
      </c>
      <c r="J68" s="278"/>
      <c r="K68" s="416"/>
      <c r="M68" s="305"/>
      <c r="W68" s="305"/>
      <c r="X68" s="305"/>
      <c r="Y68" s="305"/>
      <c r="Z68" s="305"/>
      <c r="AA68" s="305"/>
      <c r="AB68" s="305"/>
      <c r="AC68" s="305"/>
      <c r="AD68" s="305"/>
      <c r="AE68" s="305"/>
      <c r="AF68" s="305"/>
    </row>
    <row r="69" spans="1:32" s="52" customFormat="1" ht="17.25" customHeight="1">
      <c r="A69" s="285"/>
      <c r="B69" s="2246" t="s">
        <v>463</v>
      </c>
      <c r="C69" s="2316"/>
      <c r="D69" s="2329"/>
      <c r="E69" s="2316"/>
      <c r="F69" s="2329"/>
      <c r="G69" s="2316"/>
      <c r="H69" s="2318"/>
      <c r="I69" s="2314"/>
      <c r="J69" s="278"/>
      <c r="K69" s="416"/>
      <c r="M69" s="305"/>
      <c r="W69" s="305"/>
      <c r="X69" s="305"/>
      <c r="Y69" s="305"/>
      <c r="Z69" s="305"/>
      <c r="AA69" s="305"/>
      <c r="AB69" s="305"/>
      <c r="AC69" s="305"/>
      <c r="AD69" s="305"/>
      <c r="AE69" s="305"/>
      <c r="AF69" s="305"/>
    </row>
    <row r="70" spans="1:32" s="52" customFormat="1" ht="14.25" customHeight="1">
      <c r="A70" s="285"/>
      <c r="B70" s="2248" t="s">
        <v>464</v>
      </c>
      <c r="C70" s="2316"/>
      <c r="D70" s="2329"/>
      <c r="E70" s="2316"/>
      <c r="F70" s="2329"/>
      <c r="G70" s="2316"/>
      <c r="H70" s="2318"/>
      <c r="I70" s="2327">
        <f>+I58+I60+I67</f>
        <v>1388525.4780099969</v>
      </c>
      <c r="J70" s="278"/>
      <c r="K70" s="416"/>
      <c r="M70" s="305"/>
      <c r="W70" s="305"/>
      <c r="X70" s="305"/>
      <c r="Y70" s="305"/>
      <c r="Z70" s="305"/>
      <c r="AA70" s="305"/>
      <c r="AB70" s="305"/>
      <c r="AC70" s="305"/>
      <c r="AD70" s="305"/>
      <c r="AE70" s="305"/>
      <c r="AF70" s="305"/>
    </row>
    <row r="71" spans="1:32" s="52" customFormat="1" ht="14.25" customHeight="1">
      <c r="A71" s="285"/>
      <c r="B71" s="2246" t="s">
        <v>465</v>
      </c>
      <c r="C71" s="2316"/>
      <c r="D71" s="2329"/>
      <c r="E71" s="2316"/>
      <c r="F71" s="2329"/>
      <c r="G71" s="2316"/>
      <c r="H71" s="2318"/>
      <c r="I71" s="2314"/>
      <c r="J71" s="278"/>
      <c r="K71" s="416"/>
      <c r="M71" s="305"/>
      <c r="W71" s="305"/>
      <c r="X71" s="305"/>
      <c r="Y71" s="305"/>
      <c r="Z71" s="305"/>
      <c r="AA71" s="305"/>
      <c r="AB71" s="305"/>
      <c r="AC71" s="305"/>
      <c r="AD71" s="305"/>
      <c r="AE71" s="305"/>
      <c r="AF71" s="305"/>
    </row>
    <row r="72" spans="1:32" s="52" customFormat="1" ht="14.25" customHeight="1">
      <c r="A72" s="285"/>
      <c r="B72" s="2248" t="s">
        <v>466</v>
      </c>
      <c r="C72" s="2316"/>
      <c r="D72" s="2329"/>
      <c r="E72" s="2316"/>
      <c r="F72" s="2329"/>
      <c r="G72" s="2316"/>
      <c r="H72" s="2318"/>
      <c r="I72" s="2327">
        <f>SUM(I70:I71)</f>
        <v>1388525.4780099969</v>
      </c>
      <c r="J72" s="278"/>
      <c r="K72" s="416"/>
      <c r="M72" s="305"/>
      <c r="W72" s="305"/>
      <c r="X72" s="305"/>
      <c r="Y72" s="305"/>
      <c r="Z72" s="305"/>
      <c r="AA72" s="305"/>
      <c r="AB72" s="305"/>
      <c r="AC72" s="305"/>
      <c r="AD72" s="305"/>
      <c r="AE72" s="305"/>
      <c r="AF72" s="305"/>
    </row>
    <row r="73" spans="1:32" s="52" customFormat="1" ht="14.25" customHeight="1">
      <c r="A73" s="285"/>
      <c r="B73" s="2246" t="s">
        <v>467</v>
      </c>
      <c r="C73" s="2316"/>
      <c r="D73" s="2329"/>
      <c r="E73" s="2316"/>
      <c r="F73" s="2329"/>
      <c r="G73" s="2316"/>
      <c r="H73" s="2318"/>
      <c r="I73" s="2296">
        <v>-361121.29399999999</v>
      </c>
      <c r="J73" s="278"/>
      <c r="K73" s="416"/>
      <c r="M73" s="305"/>
      <c r="W73" s="305"/>
      <c r="X73" s="305"/>
      <c r="Y73" s="305"/>
      <c r="Z73" s="305"/>
      <c r="AA73" s="305"/>
      <c r="AB73" s="305"/>
      <c r="AC73" s="305"/>
      <c r="AD73" s="305"/>
      <c r="AE73" s="305"/>
      <c r="AF73" s="305"/>
    </row>
    <row r="74" spans="1:32" s="52" customFormat="1" ht="14.25" customHeight="1" thickBot="1">
      <c r="A74" s="285"/>
      <c r="B74" s="1501" t="s">
        <v>468</v>
      </c>
      <c r="C74" s="823"/>
      <c r="D74" s="822"/>
      <c r="E74" s="823"/>
      <c r="F74" s="822"/>
      <c r="G74" s="823"/>
      <c r="H74" s="1110"/>
      <c r="I74" s="1504">
        <f>SUM(I72:I73)</f>
        <v>1027404.1840099969</v>
      </c>
      <c r="J74" s="278"/>
      <c r="K74" s="416"/>
      <c r="M74" s="305"/>
      <c r="W74" s="305"/>
      <c r="X74" s="305"/>
      <c r="Y74" s="305"/>
      <c r="Z74" s="305"/>
      <c r="AA74" s="305"/>
      <c r="AB74" s="305"/>
      <c r="AC74" s="305"/>
      <c r="AD74" s="305"/>
      <c r="AE74" s="305"/>
      <c r="AF74" s="305"/>
    </row>
    <row r="75" spans="1:32" s="52" customFormat="1" ht="14.25" customHeight="1">
      <c r="A75" s="285"/>
      <c r="B75" s="455"/>
      <c r="C75" s="414"/>
      <c r="D75" s="414"/>
      <c r="E75" s="414"/>
      <c r="F75" s="414"/>
      <c r="G75" s="414"/>
      <c r="H75" s="414"/>
      <c r="I75" s="278"/>
      <c r="J75" s="278"/>
      <c r="K75" s="416"/>
      <c r="M75" s="305"/>
      <c r="W75" s="305"/>
      <c r="X75" s="305"/>
      <c r="Y75" s="305"/>
      <c r="Z75" s="305"/>
      <c r="AA75" s="305"/>
      <c r="AB75" s="305"/>
      <c r="AC75" s="305"/>
      <c r="AD75" s="305"/>
      <c r="AE75" s="305"/>
      <c r="AF75" s="305"/>
    </row>
    <row r="76" spans="1:32" s="52" customFormat="1" ht="14.25" customHeight="1">
      <c r="A76" s="285"/>
      <c r="B76" s="455"/>
      <c r="C76" s="414"/>
      <c r="D76" s="414"/>
      <c r="E76" s="414"/>
      <c r="F76" s="414"/>
      <c r="G76" s="414"/>
      <c r="H76" s="414"/>
      <c r="I76" s="278"/>
      <c r="J76" s="278"/>
      <c r="K76" s="394">
        <v>127</v>
      </c>
      <c r="M76" s="305"/>
      <c r="W76" s="305"/>
      <c r="X76" s="305"/>
      <c r="Y76" s="305"/>
      <c r="Z76" s="305"/>
      <c r="AA76" s="305"/>
      <c r="AB76" s="305"/>
      <c r="AC76" s="305"/>
      <c r="AD76" s="305"/>
      <c r="AE76" s="305"/>
      <c r="AF76" s="305"/>
    </row>
    <row r="77" spans="1:32" s="52" customFormat="1" ht="14.25" customHeight="1">
      <c r="A77" s="285"/>
      <c r="B77" s="455"/>
      <c r="C77" s="278"/>
      <c r="D77" s="278"/>
      <c r="E77" s="278"/>
      <c r="F77" s="278"/>
      <c r="G77" s="278"/>
      <c r="H77" s="278"/>
      <c r="I77" s="278"/>
      <c r="J77" s="278"/>
      <c r="K77" s="416"/>
      <c r="M77" s="305"/>
      <c r="W77" s="305"/>
      <c r="X77" s="305"/>
      <c r="Y77" s="305"/>
      <c r="Z77" s="305"/>
      <c r="AA77" s="305"/>
      <c r="AB77" s="305"/>
      <c r="AC77" s="305"/>
      <c r="AD77" s="305"/>
      <c r="AE77" s="305"/>
      <c r="AF77" s="305"/>
    </row>
    <row r="78" spans="1:32" s="52" customFormat="1" ht="14.25" customHeight="1">
      <c r="A78" s="285"/>
      <c r="B78" s="236" t="s">
        <v>477</v>
      </c>
      <c r="C78" s="279"/>
      <c r="D78" s="279"/>
      <c r="E78" s="278"/>
      <c r="F78" s="278"/>
      <c r="G78" s="278"/>
      <c r="H78" s="278"/>
      <c r="I78" s="278"/>
      <c r="J78" s="278"/>
      <c r="K78" s="416"/>
      <c r="M78" s="305"/>
      <c r="W78" s="305"/>
      <c r="X78" s="305"/>
      <c r="Y78" s="305"/>
      <c r="Z78" s="305"/>
      <c r="AA78" s="305"/>
      <c r="AB78" s="305"/>
      <c r="AC78" s="305"/>
      <c r="AD78" s="305"/>
      <c r="AE78" s="305"/>
      <c r="AF78" s="305"/>
    </row>
    <row r="79" spans="1:32" s="52" customFormat="1" ht="14.25" customHeight="1" thickBot="1">
      <c r="A79" s="285"/>
      <c r="B79" s="51"/>
      <c r="C79" s="526"/>
      <c r="D79" s="526"/>
      <c r="E79" s="278"/>
      <c r="F79" s="278"/>
      <c r="G79" s="278"/>
      <c r="H79" s="278"/>
      <c r="I79" s="278"/>
      <c r="J79" s="278"/>
      <c r="K79" s="416"/>
      <c r="M79" s="305"/>
      <c r="W79" s="305"/>
      <c r="X79" s="305"/>
      <c r="Y79" s="305"/>
      <c r="Z79" s="305"/>
      <c r="AA79" s="305"/>
      <c r="AB79" s="305"/>
      <c r="AC79" s="305"/>
      <c r="AD79" s="305"/>
      <c r="AE79" s="305"/>
      <c r="AF79" s="305"/>
    </row>
    <row r="80" spans="1:32" ht="14.25" customHeight="1" thickBot="1">
      <c r="A80" s="293"/>
      <c r="B80" s="1481" t="s">
        <v>94</v>
      </c>
      <c r="C80" s="514"/>
      <c r="D80" s="514"/>
      <c r="E80" s="514"/>
      <c r="F80" s="514"/>
      <c r="G80" s="1673"/>
      <c r="H80" s="3433" t="s">
        <v>238</v>
      </c>
      <c r="I80" s="3433"/>
      <c r="J80" s="293"/>
      <c r="K80" s="418"/>
      <c r="M80" s="305"/>
      <c r="W80" s="305"/>
      <c r="X80" s="305"/>
      <c r="Y80" s="305"/>
      <c r="Z80" s="305"/>
      <c r="AA80" s="305"/>
      <c r="AB80" s="305"/>
      <c r="AC80" s="305"/>
      <c r="AD80" s="305"/>
      <c r="AE80" s="305"/>
      <c r="AF80" s="305"/>
    </row>
    <row r="81" spans="1:32" s="52" customFormat="1" ht="14.25" customHeight="1" thickBot="1">
      <c r="A81" s="278"/>
      <c r="B81" s="3407"/>
      <c r="C81" s="3332">
        <v>2021</v>
      </c>
      <c r="D81" s="3333"/>
      <c r="E81" s="3333"/>
      <c r="F81" s="3333"/>
      <c r="G81" s="3333"/>
      <c r="H81" s="3333"/>
      <c r="I81" s="3334"/>
      <c r="J81" s="293"/>
      <c r="K81" s="416"/>
      <c r="M81" s="305"/>
      <c r="W81" s="305"/>
      <c r="X81" s="305"/>
      <c r="Y81" s="305"/>
      <c r="Z81" s="305"/>
      <c r="AA81" s="305"/>
      <c r="AB81" s="305"/>
      <c r="AC81" s="305"/>
      <c r="AD81" s="305"/>
      <c r="AE81" s="305"/>
      <c r="AF81" s="305"/>
    </row>
    <row r="82" spans="1:32" s="52" customFormat="1" ht="14.25" customHeight="1" thickBot="1">
      <c r="A82" s="394"/>
      <c r="B82" s="3408"/>
      <c r="C82" s="3410" t="s">
        <v>436</v>
      </c>
      <c r="D82" s="3410" t="s">
        <v>437</v>
      </c>
      <c r="E82" s="3412" t="s">
        <v>438</v>
      </c>
      <c r="F82" s="3413"/>
      <c r="G82" s="3410" t="s">
        <v>439</v>
      </c>
      <c r="H82" s="3410" t="s">
        <v>440</v>
      </c>
      <c r="I82" s="3410" t="s">
        <v>118</v>
      </c>
      <c r="J82" s="278"/>
      <c r="K82" s="3406"/>
      <c r="M82" s="305"/>
      <c r="W82" s="305"/>
      <c r="X82" s="305"/>
      <c r="Y82" s="305"/>
      <c r="Z82" s="305"/>
      <c r="AA82" s="305"/>
      <c r="AB82" s="305"/>
      <c r="AC82" s="305"/>
      <c r="AD82" s="305"/>
      <c r="AE82" s="305"/>
      <c r="AF82" s="305"/>
    </row>
    <row r="83" spans="1:32" s="52" customFormat="1" ht="14.25" customHeight="1" thickBot="1">
      <c r="A83" s="394"/>
      <c r="B83" s="3409"/>
      <c r="C83" s="3411"/>
      <c r="D83" s="3411"/>
      <c r="E83" s="1506" t="s">
        <v>442</v>
      </c>
      <c r="F83" s="1506" t="s">
        <v>443</v>
      </c>
      <c r="G83" s="3411"/>
      <c r="H83" s="3411"/>
      <c r="I83" s="3411"/>
      <c r="J83" s="278"/>
      <c r="K83" s="3406"/>
      <c r="M83" s="305"/>
      <c r="W83" s="305"/>
      <c r="X83" s="305"/>
      <c r="Y83" s="305"/>
      <c r="Z83" s="305"/>
      <c r="AA83" s="305"/>
      <c r="AB83" s="305"/>
      <c r="AC83" s="305"/>
      <c r="AD83" s="305"/>
      <c r="AE83" s="305"/>
      <c r="AF83" s="305"/>
    </row>
    <row r="84" spans="1:32" s="52" customFormat="1" ht="14.25" customHeight="1">
      <c r="A84" s="285"/>
      <c r="B84" s="1478" t="s">
        <v>342</v>
      </c>
      <c r="C84" s="803">
        <v>321981.19933049945</v>
      </c>
      <c r="D84" s="2274">
        <v>271431</v>
      </c>
      <c r="E84" s="803">
        <v>54966</v>
      </c>
      <c r="F84" s="2274">
        <v>1141941</v>
      </c>
      <c r="G84" s="803">
        <v>408510</v>
      </c>
      <c r="H84" s="2274">
        <v>244461</v>
      </c>
      <c r="I84" s="1502">
        <v>2443290.1993304994</v>
      </c>
      <c r="J84" s="278"/>
      <c r="K84" s="429"/>
      <c r="L84" s="305"/>
      <c r="M84" s="305"/>
      <c r="N84" s="305"/>
      <c r="O84" s="305"/>
      <c r="P84" s="305"/>
      <c r="Q84" s="305"/>
      <c r="R84" s="305"/>
      <c r="W84" s="305"/>
      <c r="X84" s="305"/>
      <c r="Y84" s="305"/>
      <c r="Z84" s="305"/>
      <c r="AA84" s="305"/>
      <c r="AB84" s="305"/>
      <c r="AC84" s="305"/>
      <c r="AD84" s="305"/>
      <c r="AE84" s="305"/>
      <c r="AF84" s="305"/>
    </row>
    <row r="85" spans="1:32" s="52" customFormat="1" ht="14.25" customHeight="1">
      <c r="A85" s="285"/>
      <c r="B85" s="2246" t="s">
        <v>444</v>
      </c>
      <c r="C85" s="804">
        <v>-37389.984960000023</v>
      </c>
      <c r="D85" s="805">
        <v>-4130</v>
      </c>
      <c r="E85" s="804"/>
      <c r="F85" s="805">
        <v>-435</v>
      </c>
      <c r="G85" s="804"/>
      <c r="H85" s="805">
        <v>-43976</v>
      </c>
      <c r="I85" s="2314">
        <v>-85929.984960000031</v>
      </c>
      <c r="J85" s="278"/>
      <c r="K85" s="429"/>
      <c r="L85" s="305"/>
      <c r="M85" s="305"/>
      <c r="N85" s="305"/>
      <c r="O85" s="305"/>
      <c r="P85" s="305"/>
      <c r="Q85" s="305"/>
      <c r="R85" s="305"/>
      <c r="W85" s="305"/>
      <c r="X85" s="305"/>
      <c r="Y85" s="305"/>
      <c r="Z85" s="305"/>
      <c r="AA85" s="305"/>
      <c r="AB85" s="305"/>
      <c r="AC85" s="305"/>
      <c r="AD85" s="305"/>
      <c r="AE85" s="305"/>
      <c r="AF85" s="305"/>
    </row>
    <row r="86" spans="1:32" s="52" customFormat="1" ht="14.25" customHeight="1">
      <c r="A86" s="285"/>
      <c r="B86" s="2246" t="s">
        <v>471</v>
      </c>
      <c r="C86" s="804">
        <v>-150527.49915999963</v>
      </c>
      <c r="D86" s="805">
        <v>-6054</v>
      </c>
      <c r="E86" s="804"/>
      <c r="F86" s="805"/>
      <c r="G86" s="804"/>
      <c r="H86" s="805">
        <v>-27705</v>
      </c>
      <c r="I86" s="2314">
        <v>-184286.49915999963</v>
      </c>
      <c r="J86" s="278"/>
      <c r="K86" s="429"/>
      <c r="L86" s="305"/>
      <c r="M86" s="305"/>
      <c r="N86" s="305"/>
      <c r="O86" s="305"/>
      <c r="P86" s="305"/>
      <c r="Q86" s="305"/>
      <c r="R86" s="305"/>
      <c r="W86" s="305"/>
      <c r="X86" s="305"/>
      <c r="Y86" s="305"/>
      <c r="Z86" s="305"/>
      <c r="AA86" s="305"/>
      <c r="AB86" s="305"/>
      <c r="AC86" s="305"/>
      <c r="AD86" s="305"/>
      <c r="AE86" s="305"/>
      <c r="AF86" s="305"/>
    </row>
    <row r="87" spans="1:32" s="52" customFormat="1" ht="14.25" customHeight="1">
      <c r="A87" s="285"/>
      <c r="B87" s="2246" t="s">
        <v>446</v>
      </c>
      <c r="C87" s="804">
        <v>-141511.39041234506</v>
      </c>
      <c r="D87" s="805">
        <v>-159469</v>
      </c>
      <c r="E87" s="804"/>
      <c r="F87" s="805">
        <v>-66397</v>
      </c>
      <c r="G87" s="804"/>
      <c r="H87" s="805">
        <v>-101898</v>
      </c>
      <c r="I87" s="2314">
        <v>-469275.39041234506</v>
      </c>
      <c r="J87" s="278"/>
      <c r="K87" s="429"/>
      <c r="L87" s="305"/>
      <c r="M87" s="305"/>
      <c r="N87" s="305"/>
      <c r="O87" s="305"/>
      <c r="P87" s="305"/>
      <c r="Q87" s="305"/>
      <c r="R87" s="305"/>
      <c r="W87" s="305"/>
      <c r="X87" s="305"/>
      <c r="Y87" s="305"/>
      <c r="Z87" s="305"/>
      <c r="AA87" s="305"/>
      <c r="AB87" s="305"/>
      <c r="AC87" s="305"/>
      <c r="AD87" s="305"/>
      <c r="AE87" s="305"/>
      <c r="AF87" s="305"/>
    </row>
    <row r="88" spans="1:32" s="52" customFormat="1" ht="14.25" customHeight="1">
      <c r="A88" s="285"/>
      <c r="B88" s="2248" t="s">
        <v>447</v>
      </c>
      <c r="C88" s="2249">
        <v>-7447.675201845268</v>
      </c>
      <c r="D88" s="2250">
        <v>101778</v>
      </c>
      <c r="E88" s="2249">
        <v>54966</v>
      </c>
      <c r="F88" s="2250">
        <v>1075109</v>
      </c>
      <c r="G88" s="2249">
        <v>408510</v>
      </c>
      <c r="H88" s="2250">
        <v>70881</v>
      </c>
      <c r="I88" s="2327">
        <v>1703796.3247981546</v>
      </c>
      <c r="J88" s="278"/>
      <c r="K88" s="429"/>
      <c r="L88" s="305"/>
      <c r="M88" s="305"/>
      <c r="N88" s="305"/>
      <c r="O88" s="305"/>
      <c r="P88" s="305"/>
      <c r="Q88" s="305"/>
      <c r="R88" s="305"/>
      <c r="W88" s="305"/>
      <c r="X88" s="305"/>
      <c r="Y88" s="305"/>
      <c r="Z88" s="305"/>
      <c r="AA88" s="305"/>
      <c r="AB88" s="305"/>
      <c r="AC88" s="305"/>
      <c r="AD88" s="305"/>
      <c r="AE88" s="305"/>
      <c r="AF88" s="305"/>
    </row>
    <row r="89" spans="1:32" s="52" customFormat="1" ht="14.25" customHeight="1">
      <c r="A89" s="285"/>
      <c r="B89" s="2246" t="s">
        <v>448</v>
      </c>
      <c r="C89" s="2275">
        <v>780.43588521047968</v>
      </c>
      <c r="D89" s="2274">
        <v>5376</v>
      </c>
      <c r="E89" s="2275">
        <v>429</v>
      </c>
      <c r="F89" s="2274">
        <v>-71470</v>
      </c>
      <c r="G89" s="2275">
        <v>-48845</v>
      </c>
      <c r="H89" s="2274">
        <v>16068</v>
      </c>
      <c r="I89" s="2314">
        <v>-97661.564114789522</v>
      </c>
      <c r="J89" s="278"/>
      <c r="K89" s="429"/>
      <c r="L89" s="305"/>
      <c r="M89" s="305"/>
      <c r="N89" s="305"/>
      <c r="O89" s="305"/>
      <c r="P89" s="305"/>
      <c r="Q89" s="305"/>
      <c r="R89" s="305"/>
      <c r="W89" s="305"/>
      <c r="X89" s="305"/>
      <c r="Y89" s="305"/>
      <c r="Z89" s="305"/>
      <c r="AA89" s="305"/>
      <c r="AB89" s="305"/>
      <c r="AC89" s="305"/>
      <c r="AD89" s="305"/>
      <c r="AE89" s="305"/>
      <c r="AF89" s="305"/>
    </row>
    <row r="90" spans="1:32" s="52" customFormat="1" ht="14.25" customHeight="1">
      <c r="A90" s="285"/>
      <c r="B90" s="2248" t="s">
        <v>449</v>
      </c>
      <c r="C90" s="2249">
        <v>-6667.2393166347902</v>
      </c>
      <c r="D90" s="2250">
        <v>107155</v>
      </c>
      <c r="E90" s="2249">
        <v>55395</v>
      </c>
      <c r="F90" s="2250">
        <v>1003639</v>
      </c>
      <c r="G90" s="2249">
        <v>359665</v>
      </c>
      <c r="H90" s="2250">
        <v>86948</v>
      </c>
      <c r="I90" s="2327">
        <v>1606133.7606833652</v>
      </c>
      <c r="J90" s="278"/>
      <c r="K90" s="429"/>
      <c r="L90" s="305"/>
      <c r="M90" s="305"/>
      <c r="N90" s="305"/>
      <c r="O90" s="305"/>
      <c r="P90" s="305"/>
      <c r="Q90" s="305"/>
      <c r="R90" s="305"/>
      <c r="W90" s="305"/>
      <c r="X90" s="305"/>
      <c r="Y90" s="305"/>
      <c r="Z90" s="305"/>
      <c r="AA90" s="305"/>
      <c r="AB90" s="305"/>
      <c r="AC90" s="305"/>
      <c r="AD90" s="305"/>
      <c r="AE90" s="305"/>
      <c r="AF90" s="305"/>
    </row>
    <row r="91" spans="1:32" s="52" customFormat="1" ht="14.25" customHeight="1">
      <c r="A91" s="285"/>
      <c r="B91" s="2246"/>
      <c r="C91" s="1866"/>
      <c r="D91" s="1865"/>
      <c r="E91" s="1866"/>
      <c r="F91" s="1865"/>
      <c r="G91" s="1866"/>
      <c r="H91" s="1865"/>
      <c r="I91" s="2314">
        <v>0</v>
      </c>
      <c r="J91" s="278"/>
      <c r="K91" s="429"/>
      <c r="M91" s="305"/>
      <c r="W91" s="305"/>
      <c r="X91" s="305"/>
      <c r="Y91" s="305"/>
      <c r="Z91" s="305"/>
      <c r="AA91" s="305"/>
      <c r="AB91" s="305"/>
      <c r="AC91" s="305"/>
      <c r="AD91" s="305"/>
      <c r="AE91" s="305"/>
      <c r="AF91" s="305"/>
    </row>
    <row r="92" spans="1:32" s="52" customFormat="1" ht="14.25" customHeight="1">
      <c r="A92" s="285"/>
      <c r="B92" s="2248" t="s">
        <v>450</v>
      </c>
      <c r="C92" s="1866"/>
      <c r="D92" s="1865"/>
      <c r="E92" s="1866"/>
      <c r="F92" s="1865"/>
      <c r="G92" s="1866"/>
      <c r="H92" s="1865"/>
      <c r="I92" s="2314">
        <v>0</v>
      </c>
      <c r="J92" s="278"/>
      <c r="K92" s="429"/>
      <c r="L92" s="305"/>
      <c r="M92" s="305"/>
      <c r="W92" s="305"/>
      <c r="X92" s="305"/>
      <c r="Y92" s="305"/>
      <c r="Z92" s="305"/>
      <c r="AA92" s="305"/>
      <c r="AB92" s="305"/>
      <c r="AC92" s="305"/>
      <c r="AD92" s="305"/>
      <c r="AE92" s="305"/>
      <c r="AF92" s="305"/>
    </row>
    <row r="93" spans="1:32" s="52" customFormat="1" ht="30" customHeight="1">
      <c r="A93" s="285"/>
      <c r="B93" s="2246" t="s">
        <v>451</v>
      </c>
      <c r="C93" s="2275">
        <v>-32370</v>
      </c>
      <c r="D93" s="2274">
        <v>-33456</v>
      </c>
      <c r="E93" s="2275">
        <v>-4248</v>
      </c>
      <c r="F93" s="2274">
        <v>-489383</v>
      </c>
      <c r="G93" s="2275">
        <v>-262409</v>
      </c>
      <c r="H93" s="2274">
        <v>-50095</v>
      </c>
      <c r="I93" s="2314">
        <v>-871960</v>
      </c>
      <c r="J93" s="278"/>
      <c r="K93" s="429"/>
      <c r="L93" s="305"/>
      <c r="M93" s="305"/>
      <c r="N93" s="305"/>
      <c r="O93" s="305"/>
      <c r="P93" s="305"/>
      <c r="Q93" s="305"/>
      <c r="R93" s="305"/>
      <c r="W93" s="305"/>
      <c r="X93" s="305"/>
      <c r="Y93" s="305"/>
      <c r="Z93" s="305"/>
      <c r="AA93" s="305"/>
      <c r="AB93" s="305"/>
      <c r="AC93" s="305"/>
      <c r="AD93" s="305"/>
      <c r="AE93" s="305"/>
      <c r="AF93" s="305"/>
    </row>
    <row r="94" spans="1:32" s="52" customFormat="1" ht="14.25" customHeight="1">
      <c r="A94" s="285"/>
      <c r="B94" s="2246" t="s">
        <v>452</v>
      </c>
      <c r="C94" s="804">
        <v>-17535</v>
      </c>
      <c r="D94" s="805">
        <v>-14782</v>
      </c>
      <c r="E94" s="804">
        <v>-2993</v>
      </c>
      <c r="F94" s="805">
        <v>-62190</v>
      </c>
      <c r="G94" s="804">
        <v>-22247</v>
      </c>
      <c r="H94" s="805">
        <v>-13313</v>
      </c>
      <c r="I94" s="2314">
        <v>-133060</v>
      </c>
      <c r="J94" s="278"/>
      <c r="K94" s="429"/>
      <c r="L94" s="305"/>
      <c r="M94" s="305"/>
      <c r="N94" s="305"/>
      <c r="O94" s="305"/>
      <c r="P94" s="305"/>
      <c r="Q94" s="305"/>
      <c r="R94" s="305"/>
      <c r="W94" s="305"/>
      <c r="X94" s="305"/>
      <c r="Y94" s="305"/>
      <c r="Z94" s="305"/>
      <c r="AA94" s="305"/>
      <c r="AB94" s="305"/>
      <c r="AC94" s="305"/>
      <c r="AD94" s="305"/>
      <c r="AE94" s="305"/>
      <c r="AF94" s="305"/>
    </row>
    <row r="95" spans="1:32" s="52" customFormat="1" ht="14.25" customHeight="1">
      <c r="A95" s="285"/>
      <c r="B95" s="2246" t="s">
        <v>453</v>
      </c>
      <c r="C95" s="804"/>
      <c r="D95" s="805"/>
      <c r="E95" s="804"/>
      <c r="F95" s="805"/>
      <c r="G95" s="804"/>
      <c r="H95" s="805"/>
      <c r="I95" s="2314"/>
      <c r="J95" s="278"/>
      <c r="K95" s="429"/>
      <c r="L95" s="305"/>
      <c r="M95" s="305"/>
      <c r="N95" s="305"/>
      <c r="O95" s="305"/>
      <c r="P95" s="305"/>
      <c r="Q95" s="305"/>
      <c r="R95" s="305"/>
      <c r="W95" s="305"/>
      <c r="X95" s="305"/>
      <c r="Y95" s="305"/>
      <c r="Z95" s="305"/>
      <c r="AA95" s="305"/>
      <c r="AB95" s="305"/>
      <c r="AC95" s="305"/>
      <c r="AD95" s="305"/>
      <c r="AE95" s="305"/>
      <c r="AF95" s="305"/>
    </row>
    <row r="96" spans="1:32" s="52" customFormat="1" ht="14.25" customHeight="1">
      <c r="A96" s="285"/>
      <c r="B96" s="2248" t="s">
        <v>454</v>
      </c>
      <c r="C96" s="2249">
        <v>-56573</v>
      </c>
      <c r="D96" s="2250">
        <v>58917</v>
      </c>
      <c r="E96" s="2249">
        <v>48154</v>
      </c>
      <c r="F96" s="2250">
        <v>452066</v>
      </c>
      <c r="G96" s="2249">
        <v>75008</v>
      </c>
      <c r="H96" s="2250">
        <v>23541</v>
      </c>
      <c r="I96" s="2327">
        <f>I90+I93+I94+I95</f>
        <v>601113.76068336517</v>
      </c>
      <c r="J96" s="278"/>
      <c r="K96" s="429"/>
      <c r="L96" s="305"/>
      <c r="M96" s="305"/>
      <c r="N96" s="305"/>
      <c r="O96" s="305"/>
      <c r="P96" s="305"/>
      <c r="Q96" s="305"/>
      <c r="R96" s="305"/>
      <c r="W96" s="305"/>
      <c r="X96" s="305"/>
      <c r="Y96" s="305"/>
      <c r="Z96" s="305"/>
      <c r="AA96" s="305"/>
      <c r="AB96" s="305"/>
      <c r="AC96" s="305"/>
      <c r="AD96" s="305"/>
      <c r="AE96" s="305"/>
      <c r="AF96" s="305"/>
    </row>
    <row r="97" spans="1:32" s="52" customFormat="1" ht="14.25" customHeight="1">
      <c r="A97" s="285"/>
      <c r="B97" s="2246"/>
      <c r="C97" s="2316"/>
      <c r="D97" s="2318"/>
      <c r="E97" s="2316"/>
      <c r="F97" s="2318"/>
      <c r="G97" s="2316"/>
      <c r="H97" s="2318"/>
      <c r="I97" s="2314"/>
      <c r="J97" s="278"/>
      <c r="K97" s="429"/>
      <c r="M97" s="305"/>
      <c r="W97" s="305"/>
      <c r="X97" s="305"/>
      <c r="Y97" s="305"/>
      <c r="Z97" s="305"/>
      <c r="AA97" s="305"/>
      <c r="AB97" s="305"/>
      <c r="AC97" s="305"/>
      <c r="AD97" s="305"/>
      <c r="AE97" s="305"/>
      <c r="AF97" s="305"/>
    </row>
    <row r="98" spans="1:32" s="52" customFormat="1" ht="14.25" customHeight="1">
      <c r="A98" s="285"/>
      <c r="B98" s="2248" t="s">
        <v>455</v>
      </c>
      <c r="C98" s="2316"/>
      <c r="D98" s="2318"/>
      <c r="E98" s="2316"/>
      <c r="F98" s="2318"/>
      <c r="G98" s="2316"/>
      <c r="H98" s="2318"/>
      <c r="I98" s="2327">
        <f>SUM(I99:I103)</f>
        <v>318187</v>
      </c>
      <c r="J98" s="278"/>
      <c r="K98" s="429"/>
      <c r="M98" s="305"/>
      <c r="W98" s="305"/>
      <c r="X98" s="305"/>
      <c r="Y98" s="305"/>
      <c r="Z98" s="305"/>
      <c r="AA98" s="305"/>
      <c r="AB98" s="305"/>
      <c r="AC98" s="305"/>
      <c r="AD98" s="305"/>
      <c r="AE98" s="305"/>
      <c r="AF98" s="305"/>
    </row>
    <row r="99" spans="1:32" s="52" customFormat="1" ht="14.25" customHeight="1">
      <c r="A99" s="285"/>
      <c r="B99" s="2246" t="s">
        <v>456</v>
      </c>
      <c r="C99" s="2316"/>
      <c r="D99" s="2318"/>
      <c r="E99" s="2316"/>
      <c r="F99" s="2318"/>
      <c r="G99" s="2316"/>
      <c r="H99" s="2318"/>
      <c r="I99" s="2314">
        <v>0</v>
      </c>
      <c r="J99" s="278"/>
      <c r="K99" s="429"/>
      <c r="M99" s="305"/>
      <c r="W99" s="305"/>
      <c r="X99" s="305"/>
      <c r="Y99" s="305"/>
      <c r="Z99" s="305"/>
      <c r="AA99" s="305"/>
      <c r="AB99" s="305"/>
      <c r="AC99" s="305"/>
      <c r="AD99" s="305"/>
      <c r="AE99" s="305"/>
      <c r="AF99" s="305"/>
    </row>
    <row r="100" spans="1:32" s="52" customFormat="1" ht="14.25" customHeight="1">
      <c r="A100" s="285"/>
      <c r="B100" s="2246" t="s">
        <v>472</v>
      </c>
      <c r="C100" s="2316"/>
      <c r="D100" s="2318"/>
      <c r="E100" s="2316"/>
      <c r="F100" s="2318"/>
      <c r="G100" s="2316"/>
      <c r="H100" s="2318"/>
      <c r="I100" s="2296">
        <v>113829</v>
      </c>
      <c r="J100" s="278"/>
      <c r="K100" s="429"/>
      <c r="M100" s="305"/>
      <c r="W100" s="305"/>
      <c r="X100" s="305"/>
      <c r="Y100" s="305"/>
      <c r="Z100" s="305"/>
      <c r="AA100" s="305"/>
      <c r="AB100" s="305"/>
      <c r="AC100" s="305"/>
      <c r="AD100" s="305"/>
      <c r="AE100" s="305"/>
      <c r="AF100" s="305"/>
    </row>
    <row r="101" spans="1:32" s="52" customFormat="1" ht="14.25" customHeight="1">
      <c r="A101" s="285"/>
      <c r="B101" s="2246" t="s">
        <v>458</v>
      </c>
      <c r="C101" s="2316"/>
      <c r="D101" s="2318"/>
      <c r="E101" s="2316"/>
      <c r="F101" s="2318"/>
      <c r="G101" s="2316"/>
      <c r="H101" s="2318"/>
      <c r="I101" s="1495"/>
      <c r="J101" s="278"/>
      <c r="K101" s="429"/>
      <c r="M101" s="305"/>
      <c r="W101" s="305"/>
      <c r="X101" s="305"/>
      <c r="Y101" s="305"/>
      <c r="Z101" s="305"/>
      <c r="AA101" s="305"/>
      <c r="AB101" s="305"/>
      <c r="AC101" s="305"/>
      <c r="AD101" s="305"/>
      <c r="AE101" s="305"/>
      <c r="AF101" s="305"/>
    </row>
    <row r="102" spans="1:32" s="52" customFormat="1" ht="14.25" customHeight="1">
      <c r="A102" s="285"/>
      <c r="B102" s="2246" t="s">
        <v>459</v>
      </c>
      <c r="C102" s="2316"/>
      <c r="D102" s="2318"/>
      <c r="E102" s="2316"/>
      <c r="F102" s="2318"/>
      <c r="G102" s="2316"/>
      <c r="H102" s="2318"/>
      <c r="I102" s="1495">
        <v>144739</v>
      </c>
      <c r="J102" s="278"/>
      <c r="K102" s="429"/>
      <c r="M102" s="305"/>
      <c r="W102" s="305"/>
      <c r="X102" s="305"/>
      <c r="Y102" s="305"/>
      <c r="Z102" s="305"/>
      <c r="AA102" s="305"/>
      <c r="AB102" s="305"/>
      <c r="AC102" s="305"/>
      <c r="AD102" s="305"/>
      <c r="AE102" s="305"/>
      <c r="AF102" s="305"/>
    </row>
    <row r="103" spans="1:32" s="52" customFormat="1" ht="14.25" customHeight="1">
      <c r="A103" s="285"/>
      <c r="B103" s="2246" t="s">
        <v>460</v>
      </c>
      <c r="C103" s="2316"/>
      <c r="D103" s="2318"/>
      <c r="E103" s="2316"/>
      <c r="F103" s="2318"/>
      <c r="G103" s="2316"/>
      <c r="H103" s="2318"/>
      <c r="I103" s="1495">
        <v>59619</v>
      </c>
      <c r="J103" s="278"/>
      <c r="K103" s="429"/>
      <c r="M103" s="305"/>
      <c r="W103" s="305"/>
      <c r="X103" s="305"/>
      <c r="Y103" s="305"/>
      <c r="Z103" s="305"/>
      <c r="AA103" s="305"/>
      <c r="AB103" s="305"/>
      <c r="AC103" s="305"/>
      <c r="AD103" s="305"/>
      <c r="AE103" s="305"/>
      <c r="AF103" s="305"/>
    </row>
    <row r="104" spans="1:32" s="52" customFormat="1" ht="14.25" customHeight="1">
      <c r="A104" s="285"/>
      <c r="B104" s="2246"/>
      <c r="C104" s="2316"/>
      <c r="D104" s="2318"/>
      <c r="E104" s="2316"/>
      <c r="F104" s="2318"/>
      <c r="G104" s="2316"/>
      <c r="H104" s="2318"/>
      <c r="I104" s="2314"/>
      <c r="J104" s="278"/>
      <c r="K104" s="429"/>
      <c r="M104" s="305"/>
      <c r="W104" s="305"/>
      <c r="X104" s="305"/>
      <c r="Y104" s="305"/>
      <c r="Z104" s="305"/>
      <c r="AA104" s="305"/>
      <c r="AB104" s="305"/>
      <c r="AC104" s="305"/>
      <c r="AD104" s="305"/>
      <c r="AE104" s="305"/>
      <c r="AF104" s="305"/>
    </row>
    <row r="105" spans="1:32" s="52" customFormat="1" ht="14.25" customHeight="1">
      <c r="A105" s="285"/>
      <c r="B105" s="2248" t="s">
        <v>461</v>
      </c>
      <c r="C105" s="2316"/>
      <c r="D105" s="2318"/>
      <c r="E105" s="2316"/>
      <c r="F105" s="2318"/>
      <c r="G105" s="2316"/>
      <c r="H105" s="2318"/>
      <c r="I105" s="2327">
        <f>I106+I107</f>
        <v>-685245</v>
      </c>
      <c r="J105" s="278"/>
      <c r="K105" s="429"/>
      <c r="M105" s="305"/>
      <c r="W105" s="305"/>
      <c r="X105" s="305"/>
      <c r="Y105" s="305"/>
      <c r="Z105" s="305"/>
      <c r="AA105" s="305"/>
      <c r="AB105" s="305"/>
      <c r="AC105" s="305"/>
      <c r="AD105" s="305"/>
      <c r="AE105" s="305"/>
      <c r="AF105" s="305"/>
    </row>
    <row r="106" spans="1:32" s="52" customFormat="1" ht="30.6" customHeight="1">
      <c r="A106" s="285"/>
      <c r="B106" s="2246" t="s">
        <v>462</v>
      </c>
      <c r="C106" s="2316"/>
      <c r="D106" s="2318"/>
      <c r="E106" s="2316"/>
      <c r="F106" s="2318"/>
      <c r="G106" s="2316"/>
      <c r="H106" s="2318"/>
      <c r="I106" s="2279">
        <v>-685245</v>
      </c>
      <c r="J106" s="278"/>
      <c r="K106" s="429"/>
      <c r="M106" s="305"/>
      <c r="W106" s="305"/>
      <c r="X106" s="305"/>
      <c r="Y106" s="305"/>
      <c r="Z106" s="305"/>
      <c r="AA106" s="305"/>
      <c r="AB106" s="305"/>
      <c r="AC106" s="305"/>
      <c r="AD106" s="305"/>
      <c r="AE106" s="305"/>
      <c r="AF106" s="305"/>
    </row>
    <row r="107" spans="1:32" s="52" customFormat="1" ht="30.6" customHeight="1">
      <c r="A107" s="285"/>
      <c r="B107" s="2246" t="s">
        <v>463</v>
      </c>
      <c r="C107" s="2316"/>
      <c r="D107" s="2318"/>
      <c r="E107" s="2316"/>
      <c r="F107" s="2318"/>
      <c r="G107" s="2316"/>
      <c r="H107" s="2318"/>
      <c r="I107" s="2314"/>
      <c r="J107" s="278"/>
      <c r="K107" s="429"/>
      <c r="M107" s="305"/>
      <c r="W107" s="305"/>
      <c r="X107" s="305"/>
      <c r="Y107" s="305"/>
      <c r="Z107" s="305"/>
      <c r="AA107" s="305"/>
      <c r="AB107" s="305"/>
      <c r="AC107" s="305"/>
      <c r="AD107" s="305"/>
      <c r="AE107" s="305"/>
      <c r="AF107" s="305"/>
    </row>
    <row r="108" spans="1:32" s="52" customFormat="1" ht="14.25" customHeight="1">
      <c r="A108" s="285"/>
      <c r="B108" s="2248" t="s">
        <v>464</v>
      </c>
      <c r="C108" s="2316"/>
      <c r="D108" s="2318"/>
      <c r="E108" s="2316"/>
      <c r="F108" s="2318"/>
      <c r="G108" s="2316"/>
      <c r="H108" s="2318"/>
      <c r="I108" s="2327">
        <f>+I96+I98+I105</f>
        <v>234055.76068336517</v>
      </c>
      <c r="J108" s="278"/>
      <c r="K108" s="429"/>
      <c r="M108" s="305"/>
      <c r="W108" s="305"/>
      <c r="X108" s="305"/>
      <c r="Y108" s="305"/>
      <c r="Z108" s="305"/>
      <c r="AA108" s="305"/>
      <c r="AB108" s="305"/>
      <c r="AC108" s="305"/>
      <c r="AD108" s="305"/>
      <c r="AE108" s="305"/>
      <c r="AF108" s="305"/>
    </row>
    <row r="109" spans="1:32" s="52" customFormat="1" ht="14.25" customHeight="1">
      <c r="A109" s="285"/>
      <c r="B109" s="2246" t="s">
        <v>465</v>
      </c>
      <c r="C109" s="2316"/>
      <c r="D109" s="2318"/>
      <c r="E109" s="2316"/>
      <c r="F109" s="2318"/>
      <c r="G109" s="2316"/>
      <c r="H109" s="2318"/>
      <c r="I109" s="2314">
        <v>-40807</v>
      </c>
      <c r="J109" s="278"/>
      <c r="K109" s="429"/>
      <c r="M109" s="305"/>
      <c r="W109" s="305"/>
      <c r="X109" s="305"/>
      <c r="Y109" s="305"/>
      <c r="Z109" s="305"/>
      <c r="AA109" s="305"/>
      <c r="AB109" s="305"/>
      <c r="AC109" s="305"/>
      <c r="AD109" s="305"/>
      <c r="AE109" s="305"/>
      <c r="AF109" s="305"/>
    </row>
    <row r="110" spans="1:32" s="52" customFormat="1" ht="14.25" customHeight="1">
      <c r="A110" s="285"/>
      <c r="B110" s="2248" t="s">
        <v>466</v>
      </c>
      <c r="C110" s="2316"/>
      <c r="D110" s="2318"/>
      <c r="E110" s="2316"/>
      <c r="F110" s="2318"/>
      <c r="G110" s="2316"/>
      <c r="H110" s="2318"/>
      <c r="I110" s="2327">
        <f>SUM(I108:I109)</f>
        <v>193248.76068336517</v>
      </c>
      <c r="J110" s="278"/>
      <c r="K110" s="429"/>
      <c r="M110" s="305"/>
      <c r="W110" s="305"/>
      <c r="X110" s="305"/>
      <c r="Y110" s="305"/>
      <c r="Z110" s="305"/>
      <c r="AA110" s="305"/>
      <c r="AB110" s="305"/>
      <c r="AC110" s="305"/>
      <c r="AD110" s="305"/>
      <c r="AE110" s="305"/>
      <c r="AF110" s="305"/>
    </row>
    <row r="111" spans="1:32" s="52" customFormat="1" ht="14.25" customHeight="1">
      <c r="A111" s="285"/>
      <c r="B111" s="2246" t="s">
        <v>467</v>
      </c>
      <c r="C111" s="2316"/>
      <c r="D111" s="2318"/>
      <c r="E111" s="2316"/>
      <c r="F111" s="2318"/>
      <c r="G111" s="2316"/>
      <c r="H111" s="2318"/>
      <c r="I111" s="2314"/>
      <c r="J111" s="278"/>
      <c r="K111" s="429"/>
      <c r="M111" s="305"/>
      <c r="W111" s="305"/>
      <c r="X111" s="305"/>
      <c r="Y111" s="305"/>
      <c r="Z111" s="305"/>
      <c r="AA111" s="305"/>
      <c r="AB111" s="305"/>
      <c r="AC111" s="305"/>
      <c r="AD111" s="305"/>
      <c r="AE111" s="305"/>
      <c r="AF111" s="305"/>
    </row>
    <row r="112" spans="1:32" s="52" customFormat="1" ht="14.25" customHeight="1" thickBot="1">
      <c r="A112" s="285"/>
      <c r="B112" s="1501" t="s">
        <v>468</v>
      </c>
      <c r="C112" s="823"/>
      <c r="D112" s="1110"/>
      <c r="E112" s="823"/>
      <c r="F112" s="1110"/>
      <c r="G112" s="823"/>
      <c r="H112" s="1110"/>
      <c r="I112" s="1504">
        <f>SUM(I110:I111)</f>
        <v>193248.76068336517</v>
      </c>
      <c r="J112" s="278"/>
      <c r="K112" s="429"/>
      <c r="M112" s="305"/>
      <c r="W112" s="305"/>
      <c r="X112" s="305"/>
      <c r="Y112" s="305"/>
      <c r="Z112" s="305"/>
      <c r="AA112" s="305"/>
      <c r="AB112" s="305"/>
      <c r="AC112" s="305"/>
      <c r="AD112" s="305"/>
      <c r="AE112" s="305"/>
      <c r="AF112" s="305"/>
    </row>
    <row r="113" spans="1:32" s="52" customFormat="1" ht="14.25" customHeight="1">
      <c r="A113" s="285"/>
      <c r="B113" s="455"/>
      <c r="C113" s="414"/>
      <c r="D113" s="414"/>
      <c r="E113" s="414"/>
      <c r="F113" s="414"/>
      <c r="G113" s="414"/>
      <c r="H113" s="414"/>
      <c r="I113" s="278"/>
      <c r="J113" s="278"/>
      <c r="K113" s="418"/>
      <c r="M113" s="305"/>
      <c r="W113" s="305"/>
      <c r="X113" s="305"/>
      <c r="Y113" s="305"/>
      <c r="Z113" s="305"/>
      <c r="AA113" s="305"/>
      <c r="AB113" s="305"/>
      <c r="AC113" s="305"/>
      <c r="AD113" s="305"/>
      <c r="AE113" s="305"/>
      <c r="AF113" s="305"/>
    </row>
    <row r="114" spans="1:32" s="52" customFormat="1" ht="14.25" customHeight="1">
      <c r="A114" s="285"/>
      <c r="B114" s="455"/>
      <c r="C114" s="414"/>
      <c r="D114" s="414"/>
      <c r="E114" s="414"/>
      <c r="F114" s="414"/>
      <c r="G114" s="414"/>
      <c r="H114" s="414"/>
      <c r="I114" s="278"/>
      <c r="J114" s="278"/>
      <c r="K114" s="264">
        <v>128</v>
      </c>
      <c r="M114" s="305"/>
      <c r="W114" s="305"/>
      <c r="X114" s="305"/>
      <c r="Y114" s="305"/>
      <c r="Z114" s="305"/>
      <c r="AA114" s="305"/>
      <c r="AB114" s="305"/>
      <c r="AC114" s="305"/>
      <c r="AD114" s="305"/>
      <c r="AE114" s="305"/>
      <c r="AF114" s="305"/>
    </row>
    <row r="115" spans="1:32" s="52" customFormat="1" ht="14.25" customHeight="1">
      <c r="A115" s="285"/>
      <c r="B115" s="455"/>
      <c r="C115" s="414"/>
      <c r="D115" s="414"/>
      <c r="E115" s="414"/>
      <c r="F115" s="414"/>
      <c r="G115" s="414"/>
      <c r="H115" s="414"/>
      <c r="I115" s="278"/>
      <c r="J115" s="278"/>
      <c r="K115" s="416"/>
      <c r="M115" s="305"/>
      <c r="W115" s="305"/>
      <c r="X115" s="305"/>
      <c r="Y115" s="305"/>
      <c r="Z115" s="305"/>
      <c r="AA115" s="305"/>
      <c r="AB115" s="305"/>
      <c r="AC115" s="305"/>
      <c r="AD115" s="305"/>
      <c r="AE115" s="305"/>
      <c r="AF115" s="305"/>
    </row>
    <row r="116" spans="1:32" s="52" customFormat="1" ht="14.25" customHeight="1">
      <c r="A116" s="285"/>
      <c r="B116" s="236" t="s">
        <v>477</v>
      </c>
      <c r="C116" s="279"/>
      <c r="D116" s="279"/>
      <c r="E116" s="414"/>
      <c r="F116" s="414"/>
      <c r="G116" s="414"/>
      <c r="H116" s="414"/>
      <c r="I116" s="278"/>
      <c r="J116" s="278"/>
      <c r="K116" s="416"/>
      <c r="M116" s="305"/>
      <c r="W116" s="305"/>
      <c r="X116" s="305"/>
      <c r="Y116" s="305"/>
      <c r="Z116" s="305"/>
      <c r="AA116" s="305"/>
      <c r="AB116" s="305"/>
      <c r="AC116" s="305"/>
      <c r="AD116" s="305"/>
      <c r="AE116" s="305"/>
      <c r="AF116" s="305"/>
    </row>
    <row r="117" spans="1:32" s="52" customFormat="1" ht="14.25" customHeight="1" thickBot="1">
      <c r="A117" s="285"/>
      <c r="B117" s="51"/>
      <c r="C117" s="526"/>
      <c r="D117" s="526"/>
      <c r="E117" s="414"/>
      <c r="F117" s="414"/>
      <c r="G117" s="414"/>
      <c r="H117" s="414"/>
      <c r="I117" s="278"/>
      <c r="J117" s="278"/>
      <c r="K117" s="416"/>
      <c r="M117" s="305"/>
      <c r="W117" s="305"/>
      <c r="X117" s="305"/>
      <c r="Y117" s="305"/>
      <c r="Z117" s="305"/>
      <c r="AA117" s="305"/>
      <c r="AB117" s="305"/>
      <c r="AC117" s="305"/>
      <c r="AD117" s="305"/>
      <c r="AE117" s="305"/>
      <c r="AF117" s="305"/>
    </row>
    <row r="118" spans="1:32" ht="14.25" customHeight="1">
      <c r="B118" s="1481" t="s">
        <v>128</v>
      </c>
      <c r="C118" s="514"/>
      <c r="D118" s="514"/>
      <c r="E118" s="514"/>
      <c r="F118" s="514"/>
      <c r="G118" s="1674"/>
      <c r="H118" s="3414" t="s">
        <v>238</v>
      </c>
      <c r="I118" s="3414"/>
      <c r="J118" s="385"/>
      <c r="M118" s="305"/>
      <c r="W118" s="305"/>
      <c r="X118" s="305"/>
      <c r="Y118" s="305"/>
      <c r="Z118" s="305"/>
      <c r="AA118" s="305"/>
      <c r="AB118" s="305"/>
      <c r="AC118" s="305"/>
      <c r="AD118" s="305"/>
      <c r="AE118" s="305"/>
      <c r="AF118" s="305"/>
    </row>
    <row r="119" spans="1:32" s="52" customFormat="1" ht="14.25" customHeight="1">
      <c r="A119" s="278"/>
      <c r="B119" s="3407"/>
      <c r="C119" s="3332">
        <v>2021</v>
      </c>
      <c r="D119" s="3333"/>
      <c r="E119" s="3333"/>
      <c r="F119" s="3333"/>
      <c r="G119" s="3333"/>
      <c r="H119" s="3333"/>
      <c r="I119" s="3334"/>
      <c r="J119" s="278"/>
      <c r="K119" s="416"/>
      <c r="M119" s="305"/>
      <c r="W119" s="305"/>
      <c r="X119" s="305"/>
      <c r="Y119" s="305"/>
      <c r="Z119" s="305"/>
      <c r="AA119" s="305"/>
      <c r="AB119" s="305"/>
      <c r="AC119" s="305"/>
      <c r="AD119" s="305"/>
      <c r="AE119" s="305"/>
      <c r="AF119" s="305"/>
    </row>
    <row r="120" spans="1:32" s="52" customFormat="1" ht="14.25" customHeight="1">
      <c r="A120" s="394"/>
      <c r="B120" s="3408"/>
      <c r="C120" s="3410" t="s">
        <v>436</v>
      </c>
      <c r="D120" s="3410" t="s">
        <v>437</v>
      </c>
      <c r="E120" s="3412" t="s">
        <v>438</v>
      </c>
      <c r="F120" s="3413"/>
      <c r="G120" s="3410" t="s">
        <v>439</v>
      </c>
      <c r="H120" s="3410" t="s">
        <v>440</v>
      </c>
      <c r="I120" s="3410" t="s">
        <v>118</v>
      </c>
      <c r="J120" s="278"/>
      <c r="K120" s="3406"/>
      <c r="M120" s="305"/>
      <c r="W120" s="305"/>
      <c r="X120" s="305"/>
      <c r="Y120" s="305"/>
      <c r="Z120" s="305"/>
      <c r="AA120" s="305"/>
      <c r="AB120" s="305"/>
      <c r="AC120" s="305"/>
      <c r="AD120" s="305"/>
      <c r="AE120" s="305"/>
      <c r="AF120" s="305"/>
    </row>
    <row r="121" spans="1:32" s="52" customFormat="1" ht="14.25" customHeight="1" thickBot="1">
      <c r="A121" s="394"/>
      <c r="B121" s="3409"/>
      <c r="C121" s="3411"/>
      <c r="D121" s="3411"/>
      <c r="E121" s="1506" t="s">
        <v>442</v>
      </c>
      <c r="F121" s="1506" t="s">
        <v>443</v>
      </c>
      <c r="G121" s="3411"/>
      <c r="H121" s="3411"/>
      <c r="I121" s="3411"/>
      <c r="J121" s="278"/>
      <c r="K121" s="3406"/>
      <c r="M121" s="305"/>
      <c r="W121" s="305"/>
      <c r="X121" s="305"/>
      <c r="Y121" s="305"/>
      <c r="Z121" s="305"/>
      <c r="AA121" s="305"/>
      <c r="AB121" s="305"/>
      <c r="AC121" s="305"/>
      <c r="AD121" s="305"/>
      <c r="AE121" s="305"/>
      <c r="AF121" s="305"/>
    </row>
    <row r="122" spans="1:32" s="52" customFormat="1" ht="14.25" customHeight="1">
      <c r="A122" s="285"/>
      <c r="B122" s="1507" t="s">
        <v>342</v>
      </c>
      <c r="C122" s="826">
        <v>1163564</v>
      </c>
      <c r="D122" s="2331">
        <v>122829</v>
      </c>
      <c r="E122" s="826">
        <v>9566</v>
      </c>
      <c r="F122" s="2331">
        <v>2745672</v>
      </c>
      <c r="G122" s="826">
        <v>853150</v>
      </c>
      <c r="H122" s="2331">
        <v>408580</v>
      </c>
      <c r="I122" s="1509">
        <f t="shared" ref="I122:I130" si="8">H122+G122+F122+E122+D122+C122</f>
        <v>5303361</v>
      </c>
      <c r="J122" s="278"/>
      <c r="K122" s="429"/>
      <c r="L122" s="305"/>
      <c r="M122" s="305"/>
      <c r="N122" s="305"/>
      <c r="O122" s="305"/>
      <c r="P122" s="305"/>
      <c r="Q122" s="305"/>
      <c r="R122" s="305"/>
      <c r="W122" s="305"/>
      <c r="X122" s="305"/>
      <c r="Y122" s="305"/>
      <c r="Z122" s="305"/>
      <c r="AA122" s="305"/>
      <c r="AB122" s="305"/>
      <c r="AC122" s="305"/>
      <c r="AD122" s="305"/>
      <c r="AE122" s="305"/>
      <c r="AF122" s="305"/>
    </row>
    <row r="123" spans="1:32" s="52" customFormat="1" ht="14.25" customHeight="1">
      <c r="A123" s="285"/>
      <c r="B123" s="2332" t="s">
        <v>444</v>
      </c>
      <c r="C123" s="827">
        <v>-41946</v>
      </c>
      <c r="D123" s="824">
        <v>-11734</v>
      </c>
      <c r="E123" s="827">
        <v>0</v>
      </c>
      <c r="F123" s="824">
        <v>0</v>
      </c>
      <c r="G123" s="827">
        <v>-130</v>
      </c>
      <c r="H123" s="824">
        <v>-37357</v>
      </c>
      <c r="I123" s="2333">
        <f t="shared" si="8"/>
        <v>-91167</v>
      </c>
      <c r="J123" s="278"/>
      <c r="K123" s="429"/>
      <c r="L123" s="305"/>
      <c r="M123" s="305"/>
      <c r="N123" s="305"/>
      <c r="O123" s="305"/>
      <c r="P123" s="305"/>
      <c r="Q123" s="305"/>
      <c r="R123" s="305"/>
      <c r="W123" s="305"/>
      <c r="X123" s="305"/>
      <c r="Y123" s="305"/>
      <c r="Z123" s="305"/>
      <c r="AA123" s="305"/>
      <c r="AB123" s="305"/>
      <c r="AC123" s="305"/>
      <c r="AD123" s="305"/>
      <c r="AE123" s="305"/>
      <c r="AF123" s="305"/>
    </row>
    <row r="124" spans="1:32" s="52" customFormat="1" ht="14.25" customHeight="1">
      <c r="A124" s="285"/>
      <c r="B124" s="2332" t="s">
        <v>445</v>
      </c>
      <c r="C124" s="827">
        <v>-204958</v>
      </c>
      <c r="D124" s="824">
        <v>-13</v>
      </c>
      <c r="E124" s="827">
        <v>0</v>
      </c>
      <c r="F124" s="824">
        <v>-66117</v>
      </c>
      <c r="G124" s="827">
        <v>0</v>
      </c>
      <c r="H124" s="824">
        <v>-52176</v>
      </c>
      <c r="I124" s="2333">
        <f t="shared" si="8"/>
        <v>-323264</v>
      </c>
      <c r="J124" s="278"/>
      <c r="K124" s="429"/>
      <c r="L124" s="305"/>
      <c r="M124" s="305"/>
      <c r="N124" s="305"/>
      <c r="O124" s="305"/>
      <c r="P124" s="305"/>
      <c r="Q124" s="305"/>
      <c r="R124" s="305"/>
      <c r="W124" s="305"/>
      <c r="X124" s="305"/>
      <c r="Y124" s="305"/>
      <c r="Z124" s="305"/>
      <c r="AA124" s="305"/>
      <c r="AB124" s="305"/>
      <c r="AC124" s="305"/>
      <c r="AD124" s="305"/>
      <c r="AE124" s="305"/>
      <c r="AF124" s="305"/>
    </row>
    <row r="125" spans="1:32" s="52" customFormat="1" ht="14.25" customHeight="1">
      <c r="A125" s="285"/>
      <c r="B125" s="2332" t="s">
        <v>446</v>
      </c>
      <c r="C125" s="827">
        <v>-707064</v>
      </c>
      <c r="D125" s="824">
        <v>-95005</v>
      </c>
      <c r="E125" s="827">
        <v>0</v>
      </c>
      <c r="F125" s="824">
        <v>-38314</v>
      </c>
      <c r="G125" s="827">
        <v>-11824</v>
      </c>
      <c r="H125" s="824">
        <v>-293217</v>
      </c>
      <c r="I125" s="2333">
        <f t="shared" si="8"/>
        <v>-1145424</v>
      </c>
      <c r="J125" s="278"/>
      <c r="K125" s="416"/>
      <c r="L125" s="305"/>
      <c r="M125" s="305"/>
      <c r="N125" s="305"/>
      <c r="O125" s="305"/>
      <c r="P125" s="305"/>
      <c r="Q125" s="305"/>
      <c r="R125" s="305"/>
      <c r="W125" s="305"/>
      <c r="X125" s="305"/>
      <c r="Y125" s="305"/>
      <c r="Z125" s="305"/>
      <c r="AA125" s="305"/>
      <c r="AB125" s="305"/>
      <c r="AC125" s="305"/>
      <c r="AD125" s="305"/>
      <c r="AE125" s="305"/>
      <c r="AF125" s="305"/>
    </row>
    <row r="126" spans="1:32" s="52" customFormat="1" ht="14.25" customHeight="1">
      <c r="A126" s="285"/>
      <c r="B126" s="2334" t="s">
        <v>447</v>
      </c>
      <c r="C126" s="2335">
        <v>209596</v>
      </c>
      <c r="D126" s="2336">
        <v>16078</v>
      </c>
      <c r="E126" s="2335">
        <v>9566</v>
      </c>
      <c r="F126" s="2336">
        <v>2641242</v>
      </c>
      <c r="G126" s="2335">
        <v>841196</v>
      </c>
      <c r="H126" s="2336">
        <v>25831</v>
      </c>
      <c r="I126" s="2337">
        <f t="shared" si="8"/>
        <v>3743509</v>
      </c>
      <c r="J126" s="278"/>
      <c r="K126" s="416"/>
      <c r="L126" s="305"/>
      <c r="M126" s="305"/>
      <c r="N126" s="305"/>
      <c r="O126" s="305"/>
      <c r="P126" s="305"/>
      <c r="Q126" s="305"/>
      <c r="R126" s="305"/>
      <c r="W126" s="305"/>
      <c r="X126" s="305"/>
      <c r="Y126" s="305"/>
      <c r="Z126" s="305"/>
      <c r="AA126" s="305"/>
      <c r="AB126" s="305"/>
      <c r="AC126" s="305"/>
      <c r="AD126" s="305"/>
      <c r="AE126" s="305"/>
      <c r="AF126" s="305"/>
    </row>
    <row r="127" spans="1:32" s="52" customFormat="1" ht="14.25" customHeight="1">
      <c r="A127" s="285"/>
      <c r="B127" s="2332" t="s">
        <v>448</v>
      </c>
      <c r="C127" s="2338">
        <v>15049</v>
      </c>
      <c r="D127" s="2339">
        <v>-4176</v>
      </c>
      <c r="E127" s="2338">
        <v>0</v>
      </c>
      <c r="F127" s="2339">
        <v>156030</v>
      </c>
      <c r="G127" s="2338">
        <v>-84700</v>
      </c>
      <c r="H127" s="2339">
        <v>-9081</v>
      </c>
      <c r="I127" s="2333">
        <f t="shared" si="8"/>
        <v>73122</v>
      </c>
      <c r="J127" s="278"/>
      <c r="K127" s="416"/>
      <c r="L127" s="305"/>
      <c r="M127" s="305"/>
      <c r="N127" s="305"/>
      <c r="O127" s="305"/>
      <c r="P127" s="305"/>
      <c r="Q127" s="305"/>
      <c r="R127" s="305"/>
      <c r="W127" s="305"/>
      <c r="X127" s="305"/>
      <c r="Y127" s="305"/>
      <c r="Z127" s="305"/>
      <c r="AA127" s="305"/>
      <c r="AB127" s="305"/>
      <c r="AC127" s="305"/>
      <c r="AD127" s="305"/>
      <c r="AE127" s="305"/>
      <c r="AF127" s="305"/>
    </row>
    <row r="128" spans="1:32" s="52" customFormat="1" ht="14.25" customHeight="1">
      <c r="A128" s="285"/>
      <c r="B128" s="2334" t="s">
        <v>449</v>
      </c>
      <c r="C128" s="2335">
        <v>224645</v>
      </c>
      <c r="D128" s="2336">
        <v>11902</v>
      </c>
      <c r="E128" s="2335">
        <v>9566</v>
      </c>
      <c r="F128" s="2336">
        <v>2797272</v>
      </c>
      <c r="G128" s="2335">
        <v>756496</v>
      </c>
      <c r="H128" s="2336">
        <v>16750</v>
      </c>
      <c r="I128" s="2337">
        <f t="shared" si="8"/>
        <v>3816631</v>
      </c>
      <c r="J128" s="278"/>
      <c r="K128" s="416"/>
      <c r="L128" s="305"/>
      <c r="M128" s="305"/>
      <c r="N128" s="305"/>
      <c r="O128" s="305"/>
      <c r="P128" s="305"/>
      <c r="Q128" s="305"/>
      <c r="R128" s="305"/>
      <c r="W128" s="305"/>
      <c r="X128" s="305"/>
      <c r="Y128" s="305"/>
      <c r="Z128" s="305"/>
      <c r="AA128" s="305"/>
      <c r="AB128" s="305"/>
      <c r="AC128" s="305"/>
      <c r="AD128" s="305"/>
      <c r="AE128" s="305"/>
      <c r="AF128" s="305"/>
    </row>
    <row r="129" spans="1:32" s="52" customFormat="1" ht="14.25" customHeight="1">
      <c r="A129" s="285"/>
      <c r="B129" s="2332"/>
      <c r="C129" s="2340"/>
      <c r="D129" s="2341"/>
      <c r="E129" s="2340"/>
      <c r="F129" s="2341"/>
      <c r="G129" s="2340"/>
      <c r="H129" s="2342"/>
      <c r="I129" s="2333">
        <f t="shared" si="8"/>
        <v>0</v>
      </c>
      <c r="J129" s="278"/>
      <c r="K129" s="416"/>
      <c r="M129" s="305"/>
      <c r="W129" s="305"/>
      <c r="X129" s="305"/>
      <c r="Y129" s="305"/>
      <c r="Z129" s="305"/>
      <c r="AA129" s="305"/>
      <c r="AB129" s="305"/>
      <c r="AC129" s="305"/>
      <c r="AD129" s="305"/>
      <c r="AE129" s="305"/>
      <c r="AF129" s="305"/>
    </row>
    <row r="130" spans="1:32" s="52" customFormat="1" ht="14.25" customHeight="1">
      <c r="A130" s="285"/>
      <c r="B130" s="2334" t="s">
        <v>450</v>
      </c>
      <c r="C130" s="2340"/>
      <c r="D130" s="2341"/>
      <c r="E130" s="2340"/>
      <c r="F130" s="2341"/>
      <c r="G130" s="2340"/>
      <c r="H130" s="2341"/>
      <c r="I130" s="2333">
        <f t="shared" si="8"/>
        <v>0</v>
      </c>
      <c r="J130" s="278"/>
      <c r="K130" s="416"/>
      <c r="L130" s="305"/>
      <c r="M130" s="305"/>
      <c r="W130" s="305"/>
      <c r="X130" s="305"/>
      <c r="Y130" s="305"/>
      <c r="Z130" s="305"/>
      <c r="AA130" s="305"/>
      <c r="AB130" s="305"/>
      <c r="AC130" s="305"/>
      <c r="AD130" s="305"/>
      <c r="AE130" s="305"/>
      <c r="AF130" s="305"/>
    </row>
    <row r="131" spans="1:32" s="52" customFormat="1" ht="28.15" customHeight="1">
      <c r="A131" s="285"/>
      <c r="B131" s="2332" t="s">
        <v>451</v>
      </c>
      <c r="C131" s="2338">
        <v>-18443</v>
      </c>
      <c r="D131" s="2339">
        <v>15</v>
      </c>
      <c r="E131" s="2338">
        <v>0</v>
      </c>
      <c r="F131" s="2339">
        <v>-1108236</v>
      </c>
      <c r="G131" s="2338">
        <v>-714746</v>
      </c>
      <c r="H131" s="2339">
        <v>-10497</v>
      </c>
      <c r="I131" s="2333">
        <f>H131+G131+F131+E131+D131+C131</f>
        <v>-1851907</v>
      </c>
      <c r="J131" s="278"/>
      <c r="K131" s="416"/>
      <c r="L131" s="305"/>
      <c r="M131" s="305"/>
      <c r="N131" s="305"/>
      <c r="O131" s="305"/>
      <c r="P131" s="305"/>
      <c r="Q131" s="305"/>
      <c r="R131" s="305"/>
      <c r="W131" s="305"/>
      <c r="X131" s="305"/>
      <c r="Y131" s="305"/>
      <c r="Z131" s="305"/>
      <c r="AA131" s="305"/>
      <c r="AB131" s="305"/>
      <c r="AC131" s="305"/>
      <c r="AD131" s="305"/>
      <c r="AE131" s="305"/>
      <c r="AF131" s="305"/>
    </row>
    <row r="132" spans="1:32" s="52" customFormat="1" ht="14.25" customHeight="1">
      <c r="A132" s="285"/>
      <c r="B132" s="2332" t="s">
        <v>452</v>
      </c>
      <c r="C132" s="827">
        <v>11899</v>
      </c>
      <c r="D132" s="824">
        <v>8621</v>
      </c>
      <c r="E132" s="827">
        <v>0</v>
      </c>
      <c r="F132" s="824">
        <v>-383218</v>
      </c>
      <c r="G132" s="827">
        <v>-62603</v>
      </c>
      <c r="H132" s="824">
        <v>5002</v>
      </c>
      <c r="I132" s="2333">
        <f>H132+G132+F132+E132+D132+C132</f>
        <v>-420299</v>
      </c>
      <c r="J132" s="278"/>
      <c r="K132" s="416"/>
      <c r="L132" s="305"/>
      <c r="M132" s="305"/>
      <c r="N132" s="305"/>
      <c r="O132" s="305"/>
      <c r="P132" s="305"/>
      <c r="Q132" s="305"/>
      <c r="R132" s="305"/>
      <c r="W132" s="305"/>
      <c r="X132" s="305"/>
      <c r="Y132" s="305"/>
      <c r="Z132" s="305"/>
      <c r="AA132" s="305"/>
      <c r="AB132" s="305"/>
      <c r="AC132" s="305"/>
      <c r="AD132" s="305"/>
      <c r="AE132" s="305"/>
      <c r="AF132" s="305"/>
    </row>
    <row r="133" spans="1:32" s="52" customFormat="1" ht="14.25" customHeight="1">
      <c r="A133" s="285"/>
      <c r="B133" s="2332" t="s">
        <v>453</v>
      </c>
      <c r="C133" s="827">
        <v>-2293</v>
      </c>
      <c r="D133" s="824">
        <v>0</v>
      </c>
      <c r="E133" s="827">
        <v>0</v>
      </c>
      <c r="F133" s="824">
        <v>-29574</v>
      </c>
      <c r="G133" s="827">
        <v>-5039</v>
      </c>
      <c r="H133" s="824">
        <v>-9</v>
      </c>
      <c r="I133" s="2333">
        <f>H133+G133+F133+E133+D133+C133</f>
        <v>-36915</v>
      </c>
      <c r="J133" s="278"/>
      <c r="K133" s="416"/>
      <c r="L133" s="305"/>
      <c r="M133" s="305"/>
      <c r="N133" s="305"/>
      <c r="O133" s="305"/>
      <c r="P133" s="305"/>
      <c r="Q133" s="305"/>
      <c r="R133" s="305"/>
      <c r="W133" s="305"/>
      <c r="X133" s="305"/>
      <c r="Y133" s="305"/>
      <c r="Z133" s="305"/>
      <c r="AA133" s="305"/>
      <c r="AB133" s="305"/>
      <c r="AC133" s="305"/>
      <c r="AD133" s="305"/>
      <c r="AE133" s="305"/>
      <c r="AF133" s="305"/>
    </row>
    <row r="134" spans="1:32" s="52" customFormat="1" ht="14.25" customHeight="1">
      <c r="A134" s="285"/>
      <c r="B134" s="2334" t="s">
        <v>454</v>
      </c>
      <c r="C134" s="2335">
        <f t="shared" ref="C134:H134" si="9">C128+C131+C132+C133</f>
        <v>215808</v>
      </c>
      <c r="D134" s="2336">
        <f t="shared" si="9"/>
        <v>20538</v>
      </c>
      <c r="E134" s="2335">
        <f t="shared" si="9"/>
        <v>9566</v>
      </c>
      <c r="F134" s="2336">
        <f t="shared" si="9"/>
        <v>1276244</v>
      </c>
      <c r="G134" s="2335">
        <f t="shared" si="9"/>
        <v>-25892</v>
      </c>
      <c r="H134" s="2336">
        <f t="shared" si="9"/>
        <v>11246</v>
      </c>
      <c r="I134" s="2337">
        <f>H134+G134+F134+E134+D134+C134</f>
        <v>1507510</v>
      </c>
      <c r="J134" s="278"/>
      <c r="K134" s="432"/>
      <c r="L134" s="305"/>
      <c r="M134" s="305"/>
      <c r="N134" s="305"/>
      <c r="O134" s="305"/>
      <c r="P134" s="305"/>
      <c r="Q134" s="305"/>
      <c r="R134" s="305"/>
      <c r="W134" s="305"/>
      <c r="X134" s="305"/>
      <c r="Y134" s="305"/>
      <c r="Z134" s="305"/>
      <c r="AA134" s="305"/>
      <c r="AB134" s="305"/>
      <c r="AC134" s="305"/>
      <c r="AD134" s="305"/>
      <c r="AE134" s="305"/>
      <c r="AF134" s="305"/>
    </row>
    <row r="135" spans="1:32" s="52" customFormat="1" ht="14.25" customHeight="1">
      <c r="A135" s="285"/>
      <c r="B135" s="2332"/>
      <c r="C135" s="2343"/>
      <c r="D135" s="2344"/>
      <c r="E135" s="2343"/>
      <c r="F135" s="2344"/>
      <c r="G135" s="2343"/>
      <c r="H135" s="2345"/>
      <c r="I135" s="2333"/>
      <c r="J135" s="278"/>
      <c r="K135" s="416"/>
      <c r="M135" s="305"/>
      <c r="W135" s="305"/>
      <c r="X135" s="305"/>
      <c r="Y135" s="305"/>
      <c r="Z135" s="305"/>
      <c r="AA135" s="305"/>
      <c r="AB135" s="305"/>
      <c r="AC135" s="305"/>
      <c r="AD135" s="305"/>
      <c r="AE135" s="305"/>
      <c r="AF135" s="305"/>
    </row>
    <row r="136" spans="1:32" s="52" customFormat="1" ht="14.25" customHeight="1">
      <c r="A136" s="285"/>
      <c r="B136" s="2334" t="s">
        <v>455</v>
      </c>
      <c r="C136" s="2343"/>
      <c r="D136" s="2344"/>
      <c r="E136" s="2343"/>
      <c r="F136" s="2344"/>
      <c r="G136" s="2343"/>
      <c r="H136" s="2345"/>
      <c r="I136" s="2337">
        <f>SUM(I137:I141)</f>
        <v>592386</v>
      </c>
      <c r="J136" s="278"/>
      <c r="K136" s="416"/>
      <c r="M136" s="305"/>
      <c r="W136" s="305"/>
      <c r="X136" s="305"/>
      <c r="Y136" s="305"/>
      <c r="Z136" s="305"/>
      <c r="AA136" s="305"/>
      <c r="AB136" s="305"/>
      <c r="AC136" s="305"/>
      <c r="AD136" s="305"/>
      <c r="AE136" s="305"/>
      <c r="AF136" s="305"/>
    </row>
    <row r="137" spans="1:32" s="52" customFormat="1" ht="14.25" customHeight="1">
      <c r="A137" s="285"/>
      <c r="B137" s="2332" t="s">
        <v>456</v>
      </c>
      <c r="C137" s="2343"/>
      <c r="D137" s="2344"/>
      <c r="E137" s="2343"/>
      <c r="F137" s="2344"/>
      <c r="G137" s="2343"/>
      <c r="H137" s="2345"/>
      <c r="I137" s="2346">
        <v>38840</v>
      </c>
      <c r="J137" s="278"/>
      <c r="K137" s="416"/>
      <c r="M137" s="305"/>
      <c r="W137" s="305"/>
      <c r="X137" s="305"/>
      <c r="Y137" s="305"/>
      <c r="Z137" s="305"/>
      <c r="AA137" s="305"/>
      <c r="AB137" s="305"/>
      <c r="AC137" s="305"/>
      <c r="AD137" s="305"/>
      <c r="AE137" s="305"/>
      <c r="AF137" s="305"/>
    </row>
    <row r="138" spans="1:32" s="52" customFormat="1" ht="14.25" customHeight="1">
      <c r="A138" s="285"/>
      <c r="B138" s="2332" t="s">
        <v>472</v>
      </c>
      <c r="C138" s="2343"/>
      <c r="D138" s="2344"/>
      <c r="E138" s="2343"/>
      <c r="F138" s="2344"/>
      <c r="G138" s="2343"/>
      <c r="H138" s="2345"/>
      <c r="I138" s="1510">
        <v>449253</v>
      </c>
      <c r="J138" s="278"/>
      <c r="K138" s="416"/>
      <c r="M138" s="305"/>
      <c r="W138" s="305"/>
      <c r="X138" s="305"/>
      <c r="Y138" s="305"/>
      <c r="Z138" s="305"/>
      <c r="AA138" s="305"/>
      <c r="AB138" s="305"/>
      <c r="AC138" s="305"/>
      <c r="AD138" s="305"/>
      <c r="AE138" s="305"/>
      <c r="AF138" s="305"/>
    </row>
    <row r="139" spans="1:32" s="52" customFormat="1" ht="14.25" customHeight="1">
      <c r="A139" s="285"/>
      <c r="B139" s="2332" t="s">
        <v>458</v>
      </c>
      <c r="C139" s="2343"/>
      <c r="D139" s="2344"/>
      <c r="E139" s="2343"/>
      <c r="F139" s="2344"/>
      <c r="G139" s="2343"/>
      <c r="H139" s="2345"/>
      <c r="I139" s="1510">
        <v>5428</v>
      </c>
      <c r="J139" s="278"/>
      <c r="K139" s="416"/>
      <c r="M139" s="305"/>
      <c r="W139" s="305"/>
      <c r="X139" s="305"/>
      <c r="Y139" s="305"/>
      <c r="Z139" s="305"/>
      <c r="AA139" s="305"/>
      <c r="AB139" s="305"/>
      <c r="AC139" s="305"/>
      <c r="AD139" s="305"/>
      <c r="AE139" s="305"/>
      <c r="AF139" s="305"/>
    </row>
    <row r="140" spans="1:32" s="52" customFormat="1" ht="14.25" customHeight="1">
      <c r="A140" s="285"/>
      <c r="B140" s="2332" t="s">
        <v>459</v>
      </c>
      <c r="C140" s="2343"/>
      <c r="D140" s="2344"/>
      <c r="E140" s="2343"/>
      <c r="F140" s="2344"/>
      <c r="G140" s="2343"/>
      <c r="H140" s="2345"/>
      <c r="I140" s="1510">
        <v>97147</v>
      </c>
      <c r="J140" s="278"/>
      <c r="K140" s="416"/>
      <c r="M140" s="305"/>
      <c r="W140" s="305"/>
      <c r="X140" s="305"/>
      <c r="Y140" s="305"/>
      <c r="Z140" s="305"/>
      <c r="AA140" s="305"/>
      <c r="AB140" s="305"/>
      <c r="AC140" s="305"/>
      <c r="AD140" s="305"/>
      <c r="AE140" s="305"/>
      <c r="AF140" s="305"/>
    </row>
    <row r="141" spans="1:32" s="52" customFormat="1" ht="14.25" customHeight="1">
      <c r="A141" s="285"/>
      <c r="B141" s="2332" t="s">
        <v>460</v>
      </c>
      <c r="C141" s="2343"/>
      <c r="D141" s="2344"/>
      <c r="E141" s="2343"/>
      <c r="F141" s="2344"/>
      <c r="G141" s="2343"/>
      <c r="H141" s="2345"/>
      <c r="I141" s="1510">
        <v>1718</v>
      </c>
      <c r="J141" s="278"/>
      <c r="K141" s="416"/>
      <c r="M141" s="305"/>
      <c r="W141" s="305"/>
      <c r="X141" s="305"/>
      <c r="Y141" s="305"/>
      <c r="Z141" s="305"/>
      <c r="AA141" s="305"/>
      <c r="AB141" s="305"/>
      <c r="AC141" s="305"/>
      <c r="AD141" s="305"/>
      <c r="AE141" s="305"/>
      <c r="AF141" s="305"/>
    </row>
    <row r="142" spans="1:32" s="52" customFormat="1" ht="14.25" customHeight="1">
      <c r="A142" s="285"/>
      <c r="B142" s="2332"/>
      <c r="C142" s="2343"/>
      <c r="D142" s="2344"/>
      <c r="E142" s="2343"/>
      <c r="F142" s="2344"/>
      <c r="G142" s="2343"/>
      <c r="H142" s="2345"/>
      <c r="I142" s="2333"/>
      <c r="J142" s="278"/>
      <c r="K142" s="416"/>
      <c r="M142" s="305"/>
      <c r="W142" s="305"/>
      <c r="X142" s="305"/>
      <c r="Y142" s="305"/>
      <c r="Z142" s="305"/>
      <c r="AA142" s="305"/>
      <c r="AB142" s="305"/>
      <c r="AC142" s="305"/>
      <c r="AD142" s="305"/>
      <c r="AE142" s="305"/>
      <c r="AF142" s="305"/>
    </row>
    <row r="143" spans="1:32" s="52" customFormat="1" ht="13.9" customHeight="1">
      <c r="A143" s="285"/>
      <c r="B143" s="2334" t="s">
        <v>461</v>
      </c>
      <c r="C143" s="2343"/>
      <c r="D143" s="2344"/>
      <c r="E143" s="2343"/>
      <c r="F143" s="2344"/>
      <c r="G143" s="2343"/>
      <c r="H143" s="2345"/>
      <c r="I143" s="2333">
        <f>I144+I145</f>
        <v>-1099568</v>
      </c>
      <c r="J143" s="278"/>
      <c r="K143" s="416"/>
      <c r="M143" s="305"/>
      <c r="W143" s="305"/>
      <c r="X143" s="305"/>
      <c r="Y143" s="305"/>
      <c r="Z143" s="305"/>
      <c r="AA143" s="305"/>
      <c r="AB143" s="305"/>
      <c r="AC143" s="305"/>
      <c r="AD143" s="305"/>
      <c r="AE143" s="305"/>
      <c r="AF143" s="305"/>
    </row>
    <row r="144" spans="1:32" s="52" customFormat="1" ht="28.15" customHeight="1">
      <c r="A144" s="285"/>
      <c r="B144" s="2332" t="s">
        <v>462</v>
      </c>
      <c r="C144" s="2343"/>
      <c r="D144" s="2344"/>
      <c r="E144" s="2343"/>
      <c r="F144" s="2344"/>
      <c r="G144" s="2343"/>
      <c r="H144" s="2345"/>
      <c r="I144" s="2346">
        <v>-1099568</v>
      </c>
      <c r="J144" s="278"/>
      <c r="K144" s="416"/>
      <c r="M144" s="305"/>
      <c r="W144" s="305"/>
      <c r="X144" s="305"/>
      <c r="Y144" s="305"/>
      <c r="Z144" s="305"/>
      <c r="AA144" s="305"/>
      <c r="AB144" s="305"/>
      <c r="AC144" s="305"/>
      <c r="AD144" s="305"/>
      <c r="AE144" s="305"/>
      <c r="AF144" s="305"/>
    </row>
    <row r="145" spans="1:32" s="52" customFormat="1" ht="21.75" customHeight="1">
      <c r="A145" s="285"/>
      <c r="B145" s="2332" t="s">
        <v>463</v>
      </c>
      <c r="C145" s="2343"/>
      <c r="D145" s="2344"/>
      <c r="E145" s="2343"/>
      <c r="F145" s="2344"/>
      <c r="G145" s="2343"/>
      <c r="H145" s="2345"/>
      <c r="I145" s="2333"/>
      <c r="J145" s="278"/>
      <c r="K145" s="416"/>
      <c r="M145" s="305"/>
      <c r="W145" s="305"/>
      <c r="X145" s="305"/>
      <c r="Y145" s="305"/>
      <c r="Z145" s="305"/>
      <c r="AA145" s="305"/>
      <c r="AB145" s="305"/>
      <c r="AC145" s="305"/>
      <c r="AD145" s="305"/>
      <c r="AE145" s="305"/>
      <c r="AF145" s="305"/>
    </row>
    <row r="146" spans="1:32" s="52" customFormat="1" ht="14.25" customHeight="1">
      <c r="A146" s="285"/>
      <c r="B146" s="2334" t="s">
        <v>464</v>
      </c>
      <c r="C146" s="2343"/>
      <c r="D146" s="2344"/>
      <c r="E146" s="2343"/>
      <c r="F146" s="2344"/>
      <c r="G146" s="2343"/>
      <c r="H146" s="2345"/>
      <c r="I146" s="2337">
        <f>+I134+I136+I144</f>
        <v>1000328</v>
      </c>
      <c r="J146" s="278"/>
      <c r="K146" s="416"/>
      <c r="M146" s="305"/>
      <c r="W146" s="305"/>
      <c r="X146" s="305"/>
      <c r="Y146" s="305"/>
      <c r="Z146" s="305"/>
      <c r="AA146" s="305"/>
      <c r="AB146" s="305"/>
      <c r="AC146" s="305"/>
      <c r="AD146" s="305"/>
      <c r="AE146" s="305"/>
      <c r="AF146" s="305"/>
    </row>
    <row r="147" spans="1:32" s="52" customFormat="1" ht="14.25" customHeight="1">
      <c r="A147" s="285"/>
      <c r="B147" s="2332" t="s">
        <v>465</v>
      </c>
      <c r="C147" s="2343"/>
      <c r="D147" s="2344"/>
      <c r="E147" s="2343"/>
      <c r="F147" s="2344"/>
      <c r="G147" s="2343"/>
      <c r="H147" s="2345"/>
      <c r="I147" s="2346"/>
      <c r="J147" s="278"/>
      <c r="K147" s="416"/>
      <c r="M147" s="305"/>
      <c r="W147" s="305"/>
      <c r="X147" s="305"/>
      <c r="Y147" s="305"/>
      <c r="Z147" s="305"/>
      <c r="AA147" s="305"/>
      <c r="AB147" s="305"/>
      <c r="AC147" s="305"/>
      <c r="AD147" s="305"/>
      <c r="AE147" s="305"/>
      <c r="AF147" s="305"/>
    </row>
    <row r="148" spans="1:32" s="52" customFormat="1" ht="14.25" customHeight="1">
      <c r="A148" s="285"/>
      <c r="B148" s="2334" t="s">
        <v>466</v>
      </c>
      <c r="C148" s="2343"/>
      <c r="D148" s="2344"/>
      <c r="E148" s="2343"/>
      <c r="F148" s="2344"/>
      <c r="G148" s="2343"/>
      <c r="H148" s="2345"/>
      <c r="I148" s="2337">
        <f>SUM(I146:I147)</f>
        <v>1000328</v>
      </c>
      <c r="J148" s="278"/>
      <c r="K148" s="416"/>
      <c r="M148" s="305"/>
      <c r="W148" s="305"/>
      <c r="X148" s="305"/>
      <c r="Y148" s="305"/>
      <c r="Z148" s="305"/>
      <c r="AA148" s="305"/>
      <c r="AB148" s="305"/>
      <c r="AC148" s="305"/>
      <c r="AD148" s="305"/>
      <c r="AE148" s="305"/>
      <c r="AF148" s="305"/>
    </row>
    <row r="149" spans="1:32" s="52" customFormat="1" ht="14.25" customHeight="1">
      <c r="A149" s="285"/>
      <c r="B149" s="2332" t="s">
        <v>467</v>
      </c>
      <c r="C149" s="2343"/>
      <c r="D149" s="2344"/>
      <c r="E149" s="2343"/>
      <c r="F149" s="2344"/>
      <c r="G149" s="2343"/>
      <c r="H149" s="2345"/>
      <c r="I149" s="2346">
        <v>-181217</v>
      </c>
      <c r="J149" s="278"/>
      <c r="K149" s="416"/>
      <c r="M149" s="305"/>
      <c r="W149" s="305"/>
      <c r="X149" s="305"/>
      <c r="Y149" s="305"/>
      <c r="Z149" s="305"/>
      <c r="AA149" s="305"/>
      <c r="AB149" s="305"/>
      <c r="AC149" s="305"/>
      <c r="AD149" s="305"/>
      <c r="AE149" s="305"/>
      <c r="AF149" s="305"/>
    </row>
    <row r="150" spans="1:32" s="52" customFormat="1" ht="14.25" customHeight="1" thickBot="1">
      <c r="A150" s="285"/>
      <c r="B150" s="1508" t="s">
        <v>468</v>
      </c>
      <c r="C150" s="828"/>
      <c r="D150" s="825"/>
      <c r="E150" s="828"/>
      <c r="F150" s="825"/>
      <c r="G150" s="828"/>
      <c r="H150" s="1111"/>
      <c r="I150" s="1511">
        <f>SUM(I148:I149)</f>
        <v>819111</v>
      </c>
      <c r="J150" s="278"/>
      <c r="K150" s="416"/>
      <c r="M150" s="305"/>
      <c r="W150" s="305"/>
      <c r="X150" s="305"/>
      <c r="Y150" s="305"/>
      <c r="Z150" s="305"/>
      <c r="AA150" s="305"/>
      <c r="AB150" s="305"/>
      <c r="AC150" s="305"/>
      <c r="AD150" s="305"/>
      <c r="AE150" s="305"/>
      <c r="AF150" s="305"/>
    </row>
    <row r="151" spans="1:32" s="52" customFormat="1" ht="14.25" customHeight="1">
      <c r="A151" s="285"/>
      <c r="B151" s="455"/>
      <c r="C151" s="414"/>
      <c r="D151" s="414"/>
      <c r="E151" s="414"/>
      <c r="F151" s="414"/>
      <c r="G151" s="414"/>
      <c r="H151" s="414"/>
      <c r="I151" s="278"/>
      <c r="J151" s="278"/>
      <c r="K151" s="416"/>
      <c r="M151" s="305"/>
      <c r="W151" s="305"/>
      <c r="X151" s="305"/>
      <c r="Y151" s="305"/>
      <c r="Z151" s="305"/>
      <c r="AA151" s="305"/>
      <c r="AB151" s="305"/>
      <c r="AC151" s="305"/>
      <c r="AD151" s="305"/>
      <c r="AE151" s="305"/>
      <c r="AF151" s="305"/>
    </row>
    <row r="152" spans="1:32" s="52" customFormat="1" ht="14.25" customHeight="1">
      <c r="A152" s="285"/>
      <c r="B152" s="455"/>
      <c r="C152" s="414"/>
      <c r="D152" s="414"/>
      <c r="E152" s="414"/>
      <c r="F152" s="414"/>
      <c r="G152" s="414"/>
      <c r="H152" s="414"/>
      <c r="I152" s="278"/>
      <c r="J152" s="278"/>
      <c r="K152" s="394">
        <v>129</v>
      </c>
      <c r="M152" s="305"/>
      <c r="W152" s="305"/>
      <c r="X152" s="305"/>
      <c r="Y152" s="305"/>
      <c r="Z152" s="305"/>
      <c r="AA152" s="305"/>
      <c r="AB152" s="305"/>
      <c r="AC152" s="305"/>
      <c r="AD152" s="305"/>
      <c r="AE152" s="305"/>
      <c r="AF152" s="305"/>
    </row>
    <row r="153" spans="1:32" s="52" customFormat="1" ht="14.25" customHeight="1">
      <c r="A153" s="285"/>
      <c r="B153" s="455"/>
      <c r="C153" s="414"/>
      <c r="D153" s="414"/>
      <c r="E153" s="414"/>
      <c r="F153" s="414"/>
      <c r="G153" s="414"/>
      <c r="H153" s="414"/>
      <c r="I153" s="278"/>
      <c r="J153" s="278"/>
      <c r="K153" s="416"/>
      <c r="M153" s="305"/>
      <c r="W153" s="305"/>
      <c r="X153" s="305"/>
      <c r="Y153" s="305"/>
      <c r="Z153" s="305"/>
      <c r="AA153" s="305"/>
      <c r="AB153" s="305"/>
      <c r="AC153" s="305"/>
      <c r="AD153" s="305"/>
      <c r="AE153" s="305"/>
      <c r="AF153" s="305"/>
    </row>
    <row r="154" spans="1:32" s="52" customFormat="1" ht="14.25" customHeight="1">
      <c r="A154" s="285"/>
      <c r="B154" s="236" t="s">
        <v>477</v>
      </c>
      <c r="C154" s="279"/>
      <c r="D154" s="279"/>
      <c r="E154" s="414"/>
      <c r="F154" s="414"/>
      <c r="G154" s="414"/>
      <c r="H154" s="414"/>
      <c r="I154" s="278"/>
      <c r="J154" s="278"/>
      <c r="K154" s="416"/>
      <c r="M154" s="305"/>
      <c r="W154" s="305"/>
      <c r="X154" s="305"/>
      <c r="Y154" s="305"/>
      <c r="Z154" s="305"/>
      <c r="AA154" s="305"/>
      <c r="AB154" s="305"/>
      <c r="AC154" s="305"/>
      <c r="AD154" s="305"/>
      <c r="AE154" s="305"/>
      <c r="AF154" s="305"/>
    </row>
    <row r="155" spans="1:32" s="52" customFormat="1" ht="14.25" customHeight="1" thickBot="1">
      <c r="A155" s="285"/>
      <c r="B155" s="274"/>
      <c r="C155" s="278"/>
      <c r="D155" s="278"/>
      <c r="E155" s="414"/>
      <c r="F155" s="414"/>
      <c r="G155" s="414"/>
      <c r="H155" s="414"/>
      <c r="I155" s="278"/>
      <c r="J155" s="278"/>
      <c r="K155" s="416"/>
      <c r="M155" s="305"/>
      <c r="W155" s="305"/>
      <c r="X155" s="305"/>
      <c r="Y155" s="305"/>
      <c r="Z155" s="305"/>
      <c r="AA155" s="305"/>
      <c r="AB155" s="305"/>
      <c r="AC155" s="305"/>
      <c r="AD155" s="305"/>
      <c r="AE155" s="305"/>
      <c r="AF155" s="305"/>
    </row>
    <row r="156" spans="1:32" ht="14.25" customHeight="1">
      <c r="B156" s="1481" t="s">
        <v>97</v>
      </c>
      <c r="C156" s="468"/>
      <c r="D156" s="468"/>
      <c r="E156" s="468"/>
      <c r="F156" s="468"/>
      <c r="H156" s="3414" t="s">
        <v>238</v>
      </c>
      <c r="I156" s="3414"/>
      <c r="J156" s="385"/>
      <c r="M156" s="305"/>
      <c r="W156" s="305"/>
      <c r="X156" s="305"/>
      <c r="Y156" s="305"/>
      <c r="Z156" s="305"/>
      <c r="AA156" s="305"/>
      <c r="AB156" s="305"/>
      <c r="AC156" s="305"/>
      <c r="AD156" s="305"/>
      <c r="AE156" s="305"/>
      <c r="AF156" s="305"/>
    </row>
    <row r="157" spans="1:32" s="52" customFormat="1" ht="14.25" customHeight="1">
      <c r="A157" s="278"/>
      <c r="B157" s="3407"/>
      <c r="C157" s="3332">
        <v>2021</v>
      </c>
      <c r="D157" s="3333"/>
      <c r="E157" s="3333"/>
      <c r="F157" s="3333"/>
      <c r="G157" s="3333"/>
      <c r="H157" s="3333"/>
      <c r="I157" s="3334"/>
      <c r="J157" s="278"/>
      <c r="K157" s="416"/>
      <c r="M157" s="305"/>
      <c r="W157" s="305"/>
      <c r="X157" s="305"/>
      <c r="Y157" s="305"/>
      <c r="Z157" s="305"/>
      <c r="AA157" s="305"/>
      <c r="AB157" s="305"/>
      <c r="AC157" s="305"/>
      <c r="AD157" s="305"/>
      <c r="AE157" s="305"/>
      <c r="AF157" s="305"/>
    </row>
    <row r="158" spans="1:32" s="52" customFormat="1" ht="14.25" customHeight="1">
      <c r="A158" s="394"/>
      <c r="B158" s="3408"/>
      <c r="C158" s="3410" t="s">
        <v>436</v>
      </c>
      <c r="D158" s="3410" t="s">
        <v>437</v>
      </c>
      <c r="E158" s="3412" t="s">
        <v>438</v>
      </c>
      <c r="F158" s="3413"/>
      <c r="G158" s="3410" t="s">
        <v>439</v>
      </c>
      <c r="H158" s="3410" t="s">
        <v>440</v>
      </c>
      <c r="I158" s="3410" t="s">
        <v>118</v>
      </c>
      <c r="J158" s="278"/>
      <c r="K158" s="3406"/>
      <c r="M158" s="305"/>
      <c r="W158" s="305"/>
      <c r="X158" s="305"/>
      <c r="Y158" s="305"/>
      <c r="Z158" s="305"/>
      <c r="AA158" s="305"/>
      <c r="AB158" s="305"/>
      <c r="AC158" s="305"/>
      <c r="AD158" s="305"/>
      <c r="AE158" s="305"/>
      <c r="AF158" s="305"/>
    </row>
    <row r="159" spans="1:32" s="52" customFormat="1" ht="14.25" customHeight="1" thickBot="1">
      <c r="A159" s="394"/>
      <c r="B159" s="3409"/>
      <c r="C159" s="3411"/>
      <c r="D159" s="3411"/>
      <c r="E159" s="1506" t="s">
        <v>442</v>
      </c>
      <c r="F159" s="1506" t="s">
        <v>443</v>
      </c>
      <c r="G159" s="3411"/>
      <c r="H159" s="3411"/>
      <c r="I159" s="3411"/>
      <c r="J159" s="278"/>
      <c r="K159" s="3406"/>
      <c r="M159" s="305"/>
      <c r="W159" s="305"/>
      <c r="X159" s="305"/>
      <c r="Y159" s="305"/>
      <c r="Z159" s="305"/>
      <c r="AA159" s="305"/>
      <c r="AB159" s="305"/>
      <c r="AC159" s="305"/>
      <c r="AD159" s="305"/>
      <c r="AE159" s="305"/>
      <c r="AF159" s="305"/>
    </row>
    <row r="160" spans="1:32" s="52" customFormat="1" ht="14.25" customHeight="1">
      <c r="A160" s="285"/>
      <c r="B160" s="1478" t="s">
        <v>342</v>
      </c>
      <c r="C160" s="803">
        <v>3384913</v>
      </c>
      <c r="D160" s="2325">
        <v>762733</v>
      </c>
      <c r="E160" s="803">
        <v>726443</v>
      </c>
      <c r="F160" s="2325">
        <v>9453238</v>
      </c>
      <c r="G160" s="803">
        <v>2076839</v>
      </c>
      <c r="H160" s="2325">
        <v>3801938</v>
      </c>
      <c r="I160" s="1502">
        <f t="shared" ref="I160:I172" si="10">H160+G160+F160+E160+D160+C160</f>
        <v>20206104</v>
      </c>
      <c r="J160" s="278"/>
      <c r="K160" s="429"/>
      <c r="L160" s="305"/>
      <c r="M160" s="305"/>
      <c r="N160" s="305"/>
      <c r="O160" s="305"/>
      <c r="P160" s="305"/>
      <c r="Q160" s="305"/>
      <c r="R160" s="305"/>
      <c r="W160" s="305"/>
      <c r="X160" s="305"/>
      <c r="Y160" s="305"/>
      <c r="Z160" s="305"/>
      <c r="AA160" s="305"/>
      <c r="AB160" s="305"/>
      <c r="AC160" s="305"/>
      <c r="AD160" s="305"/>
      <c r="AE160" s="305"/>
      <c r="AF160" s="305"/>
    </row>
    <row r="161" spans="1:32" s="52" customFormat="1" ht="14.25" customHeight="1">
      <c r="A161" s="285"/>
      <c r="B161" s="2246" t="s">
        <v>444</v>
      </c>
      <c r="C161" s="804">
        <v>-52021</v>
      </c>
      <c r="D161" s="812"/>
      <c r="E161" s="804"/>
      <c r="F161" s="812"/>
      <c r="G161" s="804"/>
      <c r="H161" s="812">
        <v>-9122</v>
      </c>
      <c r="I161" s="2314">
        <f t="shared" si="10"/>
        <v>-61143</v>
      </c>
      <c r="J161" s="278"/>
      <c r="K161" s="429"/>
      <c r="L161" s="305"/>
      <c r="M161" s="305"/>
      <c r="N161" s="305"/>
      <c r="O161" s="305"/>
      <c r="P161" s="305"/>
      <c r="Q161" s="305"/>
      <c r="R161" s="305"/>
      <c r="W161" s="305"/>
      <c r="X161" s="305"/>
      <c r="Y161" s="305"/>
      <c r="Z161" s="305"/>
      <c r="AA161" s="305"/>
      <c r="AB161" s="305"/>
      <c r="AC161" s="305"/>
      <c r="AD161" s="305"/>
      <c r="AE161" s="305"/>
      <c r="AF161" s="305"/>
    </row>
    <row r="162" spans="1:32" s="52" customFormat="1" ht="14.25" customHeight="1">
      <c r="A162" s="285"/>
      <c r="B162" s="2246" t="s">
        <v>445</v>
      </c>
      <c r="C162" s="804">
        <v>-1212075</v>
      </c>
      <c r="D162" s="812">
        <v>-4768</v>
      </c>
      <c r="E162" s="804"/>
      <c r="F162" s="812">
        <v>-135189</v>
      </c>
      <c r="G162" s="804"/>
      <c r="H162" s="812">
        <v>-294178</v>
      </c>
      <c r="I162" s="2314">
        <f t="shared" si="10"/>
        <v>-1646210</v>
      </c>
      <c r="J162" s="278"/>
      <c r="K162" s="429"/>
      <c r="L162" s="305"/>
      <c r="M162" s="305"/>
      <c r="N162" s="305"/>
      <c r="O162" s="305"/>
      <c r="P162" s="305"/>
      <c r="Q162" s="305"/>
      <c r="R162" s="305"/>
      <c r="W162" s="305"/>
      <c r="X162" s="305"/>
      <c r="Y162" s="305"/>
      <c r="Z162" s="305"/>
      <c r="AA162" s="305"/>
      <c r="AB162" s="305"/>
      <c r="AC162" s="305"/>
      <c r="AD162" s="305"/>
      <c r="AE162" s="305"/>
      <c r="AF162" s="305"/>
    </row>
    <row r="163" spans="1:32" s="426" customFormat="1" ht="14.25" customHeight="1">
      <c r="A163" s="285"/>
      <c r="B163" s="2246" t="s">
        <v>446</v>
      </c>
      <c r="C163" s="804">
        <v>-1918932</v>
      </c>
      <c r="D163" s="812">
        <v>-384967</v>
      </c>
      <c r="E163" s="804">
        <v>-136344</v>
      </c>
      <c r="F163" s="812">
        <v>-649103</v>
      </c>
      <c r="G163" s="804">
        <v>-238759</v>
      </c>
      <c r="H163" s="812">
        <v>-2092236</v>
      </c>
      <c r="I163" s="2314">
        <f t="shared" si="10"/>
        <v>-5420341</v>
      </c>
      <c r="J163" s="278"/>
      <c r="K163" s="416"/>
      <c r="L163" s="305"/>
      <c r="M163" s="305"/>
      <c r="N163" s="305"/>
      <c r="O163" s="305"/>
      <c r="P163" s="305"/>
      <c r="Q163" s="305"/>
      <c r="R163" s="305"/>
      <c r="W163" s="305"/>
      <c r="X163" s="305"/>
      <c r="Y163" s="305"/>
      <c r="Z163" s="305"/>
      <c r="AA163" s="305"/>
      <c r="AB163" s="305"/>
      <c r="AC163" s="305"/>
      <c r="AD163" s="305"/>
      <c r="AE163" s="305"/>
      <c r="AF163" s="305"/>
    </row>
    <row r="164" spans="1:32" s="52" customFormat="1" ht="14.25" customHeight="1">
      <c r="A164" s="285"/>
      <c r="B164" s="2248" t="s">
        <v>447</v>
      </c>
      <c r="C164" s="2249">
        <v>201885</v>
      </c>
      <c r="D164" s="2326">
        <v>372998</v>
      </c>
      <c r="E164" s="2249">
        <v>590099</v>
      </c>
      <c r="F164" s="2326">
        <v>8668946</v>
      </c>
      <c r="G164" s="2249">
        <v>1838080</v>
      </c>
      <c r="H164" s="2326">
        <v>1406402</v>
      </c>
      <c r="I164" s="2327">
        <f t="shared" si="10"/>
        <v>13078410</v>
      </c>
      <c r="J164" s="278"/>
      <c r="K164" s="416"/>
      <c r="L164" s="305"/>
      <c r="M164" s="305"/>
      <c r="N164" s="305"/>
      <c r="O164" s="305"/>
      <c r="P164" s="305"/>
      <c r="Q164" s="305"/>
      <c r="R164" s="305"/>
      <c r="W164" s="305"/>
      <c r="X164" s="305"/>
      <c r="Y164" s="305"/>
      <c r="Z164" s="305"/>
      <c r="AA164" s="305"/>
      <c r="AB164" s="305"/>
      <c r="AC164" s="305"/>
      <c r="AD164" s="305"/>
      <c r="AE164" s="305"/>
      <c r="AF164" s="305"/>
    </row>
    <row r="165" spans="1:32" s="52" customFormat="1" ht="14.25" customHeight="1">
      <c r="A165" s="285"/>
      <c r="B165" s="2246" t="s">
        <v>448</v>
      </c>
      <c r="C165" s="2275">
        <v>-43684</v>
      </c>
      <c r="D165" s="2325">
        <v>-9713</v>
      </c>
      <c r="E165" s="2275">
        <v>9472</v>
      </c>
      <c r="F165" s="2325">
        <v>252712</v>
      </c>
      <c r="G165" s="2275">
        <v>103814</v>
      </c>
      <c r="H165" s="2325">
        <v>-137489</v>
      </c>
      <c r="I165" s="2314">
        <f t="shared" si="10"/>
        <v>175112</v>
      </c>
      <c r="J165" s="278"/>
      <c r="K165" s="416"/>
      <c r="L165" s="305"/>
      <c r="M165" s="305"/>
      <c r="N165" s="305"/>
      <c r="O165" s="305"/>
      <c r="P165" s="305"/>
      <c r="Q165" s="305"/>
      <c r="R165" s="305"/>
      <c r="W165" s="305"/>
      <c r="X165" s="305"/>
      <c r="Y165" s="305"/>
      <c r="Z165" s="305"/>
      <c r="AA165" s="305"/>
      <c r="AB165" s="305"/>
      <c r="AC165" s="305"/>
      <c r="AD165" s="305"/>
      <c r="AE165" s="305"/>
      <c r="AF165" s="305"/>
    </row>
    <row r="166" spans="1:32" s="52" customFormat="1" ht="14.25" customHeight="1">
      <c r="A166" s="285"/>
      <c r="B166" s="2248" t="s">
        <v>449</v>
      </c>
      <c r="C166" s="2249">
        <v>158201</v>
      </c>
      <c r="D166" s="2326">
        <v>363285</v>
      </c>
      <c r="E166" s="2249">
        <v>599571</v>
      </c>
      <c r="F166" s="2326">
        <v>8921658</v>
      </c>
      <c r="G166" s="2249">
        <v>1941894</v>
      </c>
      <c r="H166" s="2326">
        <v>1268913</v>
      </c>
      <c r="I166" s="2327">
        <f t="shared" si="10"/>
        <v>13253522</v>
      </c>
      <c r="J166" s="278"/>
      <c r="K166" s="416"/>
      <c r="L166" s="305"/>
      <c r="M166" s="305"/>
      <c r="N166" s="305"/>
      <c r="O166" s="305"/>
      <c r="P166" s="305"/>
      <c r="Q166" s="305"/>
      <c r="R166" s="305"/>
      <c r="W166" s="305"/>
      <c r="X166" s="305"/>
      <c r="Y166" s="305"/>
      <c r="Z166" s="305"/>
      <c r="AA166" s="305"/>
      <c r="AB166" s="305"/>
      <c r="AC166" s="305"/>
      <c r="AD166" s="305"/>
      <c r="AE166" s="305"/>
      <c r="AF166" s="305"/>
    </row>
    <row r="167" spans="1:32" s="52" customFormat="1" ht="14.25" customHeight="1">
      <c r="A167" s="285"/>
      <c r="B167" s="2246"/>
      <c r="C167" s="1866"/>
      <c r="D167" s="2190"/>
      <c r="E167" s="1866"/>
      <c r="F167" s="2190"/>
      <c r="G167" s="1866"/>
      <c r="H167" s="1865"/>
      <c r="I167" s="2314">
        <f t="shared" si="10"/>
        <v>0</v>
      </c>
      <c r="J167" s="278"/>
      <c r="K167" s="416"/>
      <c r="M167" s="305"/>
      <c r="W167" s="305"/>
      <c r="X167" s="305"/>
      <c r="Y167" s="305"/>
      <c r="Z167" s="305"/>
      <c r="AA167" s="305"/>
      <c r="AB167" s="305"/>
      <c r="AC167" s="305"/>
      <c r="AD167" s="305"/>
      <c r="AE167" s="305"/>
      <c r="AF167" s="305"/>
    </row>
    <row r="168" spans="1:32" s="52" customFormat="1" ht="14.25" customHeight="1">
      <c r="A168" s="285"/>
      <c r="B168" s="2248" t="s">
        <v>450</v>
      </c>
      <c r="C168" s="1866">
        <f t="shared" ref="C168:H168" si="11">SUM(C169:C171)</f>
        <v>-981236.00000000012</v>
      </c>
      <c r="D168" s="2190">
        <f t="shared" si="11"/>
        <v>-244711</v>
      </c>
      <c r="E168" s="1866">
        <f t="shared" si="11"/>
        <v>19270.719819999998</v>
      </c>
      <c r="F168" s="2190">
        <f t="shared" si="11"/>
        <v>-5192171</v>
      </c>
      <c r="G168" s="1866">
        <f t="shared" si="11"/>
        <v>-1769398</v>
      </c>
      <c r="H168" s="2190">
        <f t="shared" si="11"/>
        <v>-854673</v>
      </c>
      <c r="I168" s="2314">
        <f t="shared" si="10"/>
        <v>-9022918.2801799998</v>
      </c>
      <c r="J168" s="278"/>
      <c r="K168" s="416"/>
      <c r="L168" s="305"/>
      <c r="M168" s="305"/>
      <c r="W168" s="305"/>
      <c r="X168" s="305"/>
      <c r="Y168" s="305"/>
      <c r="Z168" s="305"/>
      <c r="AA168" s="305"/>
      <c r="AB168" s="305"/>
      <c r="AC168" s="305"/>
      <c r="AD168" s="305"/>
      <c r="AE168" s="305"/>
      <c r="AF168" s="305"/>
    </row>
    <row r="169" spans="1:32" s="52" customFormat="1" ht="29.45" customHeight="1">
      <c r="A169" s="285"/>
      <c r="B169" s="2246" t="s">
        <v>451</v>
      </c>
      <c r="C169" s="3022">
        <v>-673930.00000000012</v>
      </c>
      <c r="D169" s="3022">
        <v>-125819.99999999999</v>
      </c>
      <c r="E169" s="3022">
        <v>-10487.28018</v>
      </c>
      <c r="F169" s="3022">
        <v>-4111016</v>
      </c>
      <c r="G169" s="3022">
        <v>-1590350</v>
      </c>
      <c r="H169" s="3022">
        <v>-551938</v>
      </c>
      <c r="I169" s="2314">
        <f t="shared" si="10"/>
        <v>-7063541.2801799998</v>
      </c>
      <c r="J169" s="278"/>
      <c r="K169" s="416"/>
      <c r="L169" s="305"/>
      <c r="M169" s="305"/>
      <c r="N169" s="305"/>
      <c r="O169" s="305"/>
      <c r="P169" s="305"/>
      <c r="Q169" s="305"/>
      <c r="R169" s="305"/>
      <c r="W169" s="305"/>
      <c r="X169" s="305"/>
      <c r="Y169" s="305"/>
      <c r="Z169" s="305"/>
      <c r="AA169" s="305"/>
      <c r="AB169" s="305"/>
      <c r="AC169" s="305"/>
      <c r="AD169" s="305"/>
      <c r="AE169" s="305"/>
      <c r="AF169" s="305"/>
    </row>
    <row r="170" spans="1:32" s="52" customFormat="1" ht="14.25" customHeight="1">
      <c r="A170" s="285"/>
      <c r="B170" s="2246" t="s">
        <v>452</v>
      </c>
      <c r="C170" s="3022">
        <v>-307306</v>
      </c>
      <c r="D170" s="3022">
        <v>-118891</v>
      </c>
      <c r="E170" s="3022">
        <v>29758</v>
      </c>
      <c r="F170" s="3022">
        <v>-1081155</v>
      </c>
      <c r="G170" s="3022">
        <v>-179048</v>
      </c>
      <c r="H170" s="3022">
        <v>-302735</v>
      </c>
      <c r="I170" s="2314">
        <f t="shared" si="10"/>
        <v>-1959377</v>
      </c>
      <c r="J170" s="278"/>
      <c r="K170" s="416"/>
      <c r="L170" s="305"/>
      <c r="M170" s="305"/>
      <c r="N170" s="305"/>
      <c r="O170" s="305"/>
      <c r="P170" s="305"/>
      <c r="Q170" s="305"/>
      <c r="R170" s="305"/>
      <c r="W170" s="305"/>
      <c r="X170" s="305"/>
      <c r="Y170" s="305"/>
      <c r="Z170" s="305"/>
      <c r="AA170" s="305"/>
      <c r="AB170" s="305"/>
      <c r="AC170" s="305"/>
      <c r="AD170" s="305"/>
      <c r="AE170" s="305"/>
      <c r="AF170" s="305"/>
    </row>
    <row r="171" spans="1:32" s="52" customFormat="1" ht="14.25" customHeight="1">
      <c r="A171" s="285"/>
      <c r="B171" s="2246" t="s">
        <v>453</v>
      </c>
      <c r="C171" s="3022"/>
      <c r="D171" s="3022"/>
      <c r="E171" s="3022"/>
      <c r="F171" s="3022"/>
      <c r="G171" s="3022"/>
      <c r="H171" s="3022"/>
      <c r="I171" s="2314">
        <f t="shared" si="10"/>
        <v>0</v>
      </c>
      <c r="J171" s="278"/>
      <c r="K171" s="416"/>
      <c r="L171" s="305"/>
      <c r="M171" s="305"/>
      <c r="N171" s="305"/>
      <c r="O171" s="305"/>
      <c r="P171" s="305"/>
      <c r="Q171" s="305"/>
      <c r="R171" s="305"/>
      <c r="W171" s="305"/>
      <c r="X171" s="305"/>
      <c r="Y171" s="305"/>
      <c r="Z171" s="305"/>
      <c r="AA171" s="305"/>
      <c r="AB171" s="305"/>
      <c r="AC171" s="305"/>
      <c r="AD171" s="305"/>
      <c r="AE171" s="305"/>
      <c r="AF171" s="305"/>
    </row>
    <row r="172" spans="1:32" s="52" customFormat="1" ht="14.25" customHeight="1">
      <c r="A172" s="285"/>
      <c r="B172" s="2248" t="s">
        <v>454</v>
      </c>
      <c r="C172" s="2249">
        <f t="shared" ref="C172:H172" si="12">C166+C169+C170+C171</f>
        <v>-823035.00000000012</v>
      </c>
      <c r="D172" s="2326">
        <f t="shared" si="12"/>
        <v>118574</v>
      </c>
      <c r="E172" s="2249">
        <f t="shared" si="12"/>
        <v>618841.71982</v>
      </c>
      <c r="F172" s="2326">
        <f>F166+F169+F170+F171</f>
        <v>3729487</v>
      </c>
      <c r="G172" s="2249">
        <f t="shared" si="12"/>
        <v>172496</v>
      </c>
      <c r="H172" s="2326">
        <f t="shared" si="12"/>
        <v>414240</v>
      </c>
      <c r="I172" s="2327">
        <f t="shared" si="10"/>
        <v>4230603.7198200002</v>
      </c>
      <c r="J172" s="279"/>
      <c r="K172" s="432"/>
      <c r="L172" s="305"/>
      <c r="M172" s="305"/>
      <c r="N172" s="305"/>
      <c r="O172" s="305"/>
      <c r="P172" s="305"/>
      <c r="Q172" s="305"/>
      <c r="R172" s="305"/>
      <c r="W172" s="305"/>
      <c r="X172" s="305"/>
      <c r="Y172" s="305"/>
      <c r="Z172" s="305"/>
      <c r="AA172" s="305"/>
      <c r="AB172" s="305"/>
      <c r="AC172" s="305"/>
      <c r="AD172" s="305"/>
      <c r="AE172" s="305"/>
      <c r="AF172" s="305"/>
    </row>
    <row r="173" spans="1:32" s="52" customFormat="1" ht="14.25" customHeight="1">
      <c r="A173" s="285"/>
      <c r="B173" s="2246"/>
      <c r="C173" s="2316"/>
      <c r="D173" s="2329"/>
      <c r="E173" s="2316"/>
      <c r="F173" s="2329"/>
      <c r="G173" s="2316"/>
      <c r="H173" s="2318"/>
      <c r="I173" s="2314"/>
      <c r="J173" s="278"/>
      <c r="K173" s="416"/>
      <c r="L173" s="305"/>
      <c r="M173" s="305"/>
      <c r="N173" s="305"/>
      <c r="O173" s="305"/>
      <c r="P173" s="305"/>
      <c r="Q173" s="305"/>
      <c r="R173" s="305"/>
      <c r="W173" s="305"/>
      <c r="X173" s="305"/>
      <c r="Y173" s="305"/>
      <c r="Z173" s="305"/>
      <c r="AA173" s="305"/>
      <c r="AB173" s="305"/>
      <c r="AC173" s="305"/>
      <c r="AD173" s="305"/>
      <c r="AE173" s="305"/>
      <c r="AF173" s="305"/>
    </row>
    <row r="174" spans="1:32" s="52" customFormat="1" ht="14.25" customHeight="1">
      <c r="A174" s="285"/>
      <c r="B174" s="2248" t="s">
        <v>455</v>
      </c>
      <c r="C174" s="2316"/>
      <c r="D174" s="2329"/>
      <c r="E174" s="2316"/>
      <c r="F174" s="2329"/>
      <c r="G174" s="2316"/>
      <c r="H174" s="2318"/>
      <c r="I174" s="2327">
        <f>SUM(I175:I178)</f>
        <v>2534915</v>
      </c>
      <c r="J174" s="278"/>
      <c r="K174" s="416"/>
      <c r="M174" s="305"/>
      <c r="W174" s="305"/>
      <c r="X174" s="305"/>
      <c r="Y174" s="305"/>
      <c r="Z174" s="305"/>
      <c r="AA174" s="305"/>
      <c r="AB174" s="305"/>
      <c r="AC174" s="305"/>
      <c r="AD174" s="305"/>
      <c r="AE174" s="305"/>
      <c r="AF174" s="305"/>
    </row>
    <row r="175" spans="1:32" s="52" customFormat="1" ht="14.25" customHeight="1">
      <c r="A175" s="285"/>
      <c r="B175" s="2246" t="s">
        <v>456</v>
      </c>
      <c r="C175" s="2316"/>
      <c r="D175" s="2329"/>
      <c r="E175" s="2316"/>
      <c r="F175" s="2329"/>
      <c r="G175" s="2316"/>
      <c r="H175" s="2318"/>
      <c r="I175" s="2296">
        <v>789772</v>
      </c>
      <c r="J175" s="278"/>
      <c r="K175" s="416"/>
      <c r="M175" s="305"/>
      <c r="W175" s="305"/>
      <c r="X175" s="305"/>
      <c r="Y175" s="305"/>
      <c r="Z175" s="305"/>
      <c r="AA175" s="305"/>
      <c r="AB175" s="305"/>
      <c r="AC175" s="305"/>
      <c r="AD175" s="305"/>
      <c r="AE175" s="305"/>
      <c r="AF175" s="305"/>
    </row>
    <row r="176" spans="1:32" s="52" customFormat="1" ht="14.25" customHeight="1">
      <c r="A176" s="285"/>
      <c r="B176" s="2246" t="s">
        <v>472</v>
      </c>
      <c r="C176" s="2316"/>
      <c r="D176" s="2329"/>
      <c r="E176" s="2316"/>
      <c r="F176" s="2329"/>
      <c r="G176" s="2316"/>
      <c r="H176" s="2318"/>
      <c r="I176" s="1495">
        <v>1516177</v>
      </c>
      <c r="J176" s="278"/>
      <c r="K176" s="416"/>
      <c r="M176" s="305"/>
      <c r="W176" s="305"/>
      <c r="X176" s="305"/>
      <c r="Y176" s="305"/>
      <c r="Z176" s="305"/>
      <c r="AA176" s="305"/>
      <c r="AB176" s="305"/>
      <c r="AC176" s="305"/>
      <c r="AD176" s="305"/>
      <c r="AE176" s="305"/>
      <c r="AF176" s="305"/>
    </row>
    <row r="177" spans="1:32" s="52" customFormat="1" ht="14.25" customHeight="1">
      <c r="A177" s="285"/>
      <c r="B177" s="2246" t="s">
        <v>458</v>
      </c>
      <c r="C177" s="2316"/>
      <c r="D177" s="2329"/>
      <c r="E177" s="2316"/>
      <c r="F177" s="2329"/>
      <c r="G177" s="2316"/>
      <c r="H177" s="2318"/>
      <c r="I177" s="2314">
        <v>222466</v>
      </c>
      <c r="J177" s="278"/>
      <c r="K177" s="416"/>
      <c r="M177" s="305"/>
      <c r="W177" s="305"/>
      <c r="X177" s="305"/>
      <c r="Y177" s="305"/>
      <c r="Z177" s="305"/>
      <c r="AA177" s="305"/>
      <c r="AB177" s="305"/>
      <c r="AC177" s="305"/>
      <c r="AD177" s="305"/>
      <c r="AE177" s="305"/>
      <c r="AF177" s="305"/>
    </row>
    <row r="178" spans="1:32" s="52" customFormat="1" ht="14.25" customHeight="1">
      <c r="A178" s="285"/>
      <c r="B178" s="2246" t="s">
        <v>459</v>
      </c>
      <c r="C178" s="2316"/>
      <c r="D178" s="2329"/>
      <c r="E178" s="2316"/>
      <c r="F178" s="2329"/>
      <c r="G178" s="2316"/>
      <c r="H178" s="2318"/>
      <c r="I178" s="2314">
        <v>6500</v>
      </c>
      <c r="J178" s="278"/>
      <c r="K178" s="416"/>
      <c r="M178" s="305"/>
      <c r="W178" s="305"/>
      <c r="X178" s="305"/>
      <c r="Y178" s="305"/>
      <c r="Z178" s="305"/>
      <c r="AA178" s="305"/>
      <c r="AB178" s="305"/>
      <c r="AC178" s="305"/>
      <c r="AD178" s="305"/>
      <c r="AE178" s="305"/>
      <c r="AF178" s="305"/>
    </row>
    <row r="179" spans="1:32" s="52" customFormat="1" ht="14.25" customHeight="1">
      <c r="A179" s="285"/>
      <c r="B179" s="2246" t="s">
        <v>460</v>
      </c>
      <c r="C179" s="2316"/>
      <c r="D179" s="2329"/>
      <c r="E179" s="2316"/>
      <c r="F179" s="2329"/>
      <c r="G179" s="2316"/>
      <c r="H179" s="2318"/>
      <c r="I179" s="2314"/>
      <c r="J179" s="278"/>
      <c r="K179" s="416"/>
      <c r="M179" s="305"/>
      <c r="W179" s="305"/>
      <c r="X179" s="305"/>
      <c r="Y179" s="305"/>
      <c r="Z179" s="305"/>
      <c r="AA179" s="305"/>
      <c r="AB179" s="305"/>
      <c r="AC179" s="305"/>
      <c r="AD179" s="305"/>
      <c r="AE179" s="305"/>
      <c r="AF179" s="305"/>
    </row>
    <row r="180" spans="1:32" s="52" customFormat="1" ht="14.25" customHeight="1">
      <c r="A180" s="285"/>
      <c r="B180" s="2246"/>
      <c r="C180" s="2316"/>
      <c r="D180" s="2329"/>
      <c r="E180" s="2316"/>
      <c r="F180" s="2329"/>
      <c r="G180" s="2316"/>
      <c r="H180" s="2318"/>
      <c r="I180" s="2314"/>
      <c r="J180" s="278"/>
      <c r="K180" s="416"/>
      <c r="M180" s="305"/>
      <c r="W180" s="305"/>
      <c r="X180" s="305"/>
      <c r="Y180" s="305"/>
      <c r="Z180" s="305"/>
      <c r="AA180" s="305"/>
      <c r="AB180" s="305"/>
      <c r="AC180" s="305"/>
      <c r="AD180" s="305"/>
      <c r="AE180" s="305"/>
      <c r="AF180" s="305"/>
    </row>
    <row r="181" spans="1:32" s="52" customFormat="1" ht="14.25" customHeight="1">
      <c r="A181" s="285"/>
      <c r="B181" s="2248" t="s">
        <v>461</v>
      </c>
      <c r="C181" s="2316"/>
      <c r="D181" s="2329"/>
      <c r="E181" s="2316"/>
      <c r="F181" s="2329"/>
      <c r="G181" s="2316"/>
      <c r="H181" s="2318"/>
      <c r="I181" s="2314">
        <f>I182+I183</f>
        <v>-4966757</v>
      </c>
      <c r="J181" s="278"/>
      <c r="K181" s="416"/>
      <c r="M181" s="305"/>
      <c r="W181" s="305"/>
      <c r="X181" s="305"/>
      <c r="Y181" s="305"/>
      <c r="Z181" s="305"/>
      <c r="AA181" s="305"/>
      <c r="AB181" s="305"/>
      <c r="AC181" s="305"/>
      <c r="AD181" s="305"/>
      <c r="AE181" s="305"/>
      <c r="AF181" s="305"/>
    </row>
    <row r="182" spans="1:32" s="52" customFormat="1" ht="23.25" customHeight="1">
      <c r="A182" s="285"/>
      <c r="B182" s="2246" t="s">
        <v>462</v>
      </c>
      <c r="C182" s="2316"/>
      <c r="D182" s="2329"/>
      <c r="E182" s="2316"/>
      <c r="F182" s="2329"/>
      <c r="G182" s="2316"/>
      <c r="H182" s="2318"/>
      <c r="I182" s="2296">
        <v>-4966757</v>
      </c>
      <c r="J182" s="278"/>
      <c r="K182" s="416"/>
      <c r="M182" s="305"/>
      <c r="W182" s="305"/>
      <c r="X182" s="305"/>
      <c r="Y182" s="305"/>
      <c r="Z182" s="305"/>
      <c r="AA182" s="305"/>
      <c r="AB182" s="305"/>
      <c r="AC182" s="305"/>
      <c r="AD182" s="305"/>
      <c r="AE182" s="305"/>
      <c r="AF182" s="305"/>
    </row>
    <row r="183" spans="1:32" s="52" customFormat="1" ht="28.9" customHeight="1">
      <c r="A183" s="285"/>
      <c r="B183" s="2246" t="s">
        <v>463</v>
      </c>
      <c r="C183" s="2316"/>
      <c r="D183" s="2329"/>
      <c r="E183" s="2316"/>
      <c r="F183" s="2329"/>
      <c r="G183" s="2316"/>
      <c r="H183" s="2318"/>
      <c r="I183" s="2314"/>
      <c r="J183" s="278"/>
      <c r="K183" s="416"/>
      <c r="M183" s="305"/>
      <c r="W183" s="305"/>
      <c r="X183" s="305"/>
      <c r="Y183" s="305"/>
      <c r="Z183" s="305"/>
      <c r="AA183" s="305"/>
      <c r="AB183" s="305"/>
      <c r="AC183" s="305"/>
      <c r="AD183" s="305"/>
      <c r="AE183" s="305"/>
      <c r="AF183" s="305"/>
    </row>
    <row r="184" spans="1:32" s="52" customFormat="1" ht="14.25" customHeight="1">
      <c r="A184" s="285"/>
      <c r="B184" s="2248" t="s">
        <v>464</v>
      </c>
      <c r="C184" s="2316"/>
      <c r="D184" s="2329"/>
      <c r="E184" s="2316"/>
      <c r="F184" s="2329"/>
      <c r="G184" s="2316"/>
      <c r="H184" s="2318"/>
      <c r="I184" s="2327">
        <f>+I172+I174+I182</f>
        <v>1798761.7198200002</v>
      </c>
      <c r="J184" s="278"/>
      <c r="K184" s="416"/>
      <c r="M184" s="305"/>
      <c r="W184" s="305"/>
      <c r="X184" s="305"/>
      <c r="Y184" s="305"/>
      <c r="Z184" s="305"/>
      <c r="AA184" s="305"/>
      <c r="AB184" s="305"/>
      <c r="AC184" s="305"/>
      <c r="AD184" s="305"/>
      <c r="AE184" s="305"/>
      <c r="AF184" s="305"/>
    </row>
    <row r="185" spans="1:32" s="52" customFormat="1" ht="14.25" customHeight="1">
      <c r="A185" s="285"/>
      <c r="B185" s="2246" t="s">
        <v>465</v>
      </c>
      <c r="C185" s="2316"/>
      <c r="D185" s="2329"/>
      <c r="E185" s="2316"/>
      <c r="F185" s="2329"/>
      <c r="G185" s="2316"/>
      <c r="H185" s="2318"/>
      <c r="I185" s="2296">
        <v>-51239</v>
      </c>
      <c r="J185" s="278"/>
      <c r="K185" s="416"/>
      <c r="M185" s="305"/>
      <c r="W185" s="305"/>
      <c r="X185" s="305"/>
      <c r="Y185" s="305"/>
      <c r="Z185" s="305"/>
      <c r="AA185" s="305"/>
      <c r="AB185" s="305"/>
      <c r="AC185" s="305"/>
      <c r="AD185" s="305"/>
      <c r="AE185" s="305"/>
      <c r="AF185" s="305"/>
    </row>
    <row r="186" spans="1:32" s="52" customFormat="1" ht="14.25" customHeight="1">
      <c r="A186" s="285"/>
      <c r="B186" s="2248" t="s">
        <v>466</v>
      </c>
      <c r="C186" s="2316"/>
      <c r="D186" s="2329"/>
      <c r="E186" s="2316"/>
      <c r="F186" s="2329"/>
      <c r="G186" s="2316"/>
      <c r="H186" s="2318"/>
      <c r="I186" s="2327">
        <f>I184+I185</f>
        <v>1747522.7198200002</v>
      </c>
      <c r="J186" s="278"/>
      <c r="K186" s="416"/>
      <c r="M186" s="305"/>
      <c r="W186" s="305"/>
      <c r="X186" s="305"/>
      <c r="Y186" s="305"/>
      <c r="Z186" s="305"/>
      <c r="AA186" s="305"/>
      <c r="AB186" s="305"/>
      <c r="AC186" s="305"/>
      <c r="AD186" s="305"/>
      <c r="AE186" s="305"/>
      <c r="AF186" s="305"/>
    </row>
    <row r="187" spans="1:32" s="52" customFormat="1" ht="14.25" customHeight="1">
      <c r="A187" s="285"/>
      <c r="B187" s="2246" t="s">
        <v>467</v>
      </c>
      <c r="C187" s="2316"/>
      <c r="D187" s="2329"/>
      <c r="E187" s="2316"/>
      <c r="F187" s="2329"/>
      <c r="G187" s="2316"/>
      <c r="H187" s="2318"/>
      <c r="I187" s="2296">
        <v>-238177</v>
      </c>
      <c r="J187" s="278"/>
      <c r="K187" s="416"/>
      <c r="M187" s="305"/>
      <c r="W187" s="305"/>
      <c r="X187" s="305"/>
      <c r="Y187" s="305"/>
      <c r="Z187" s="305"/>
      <c r="AA187" s="305"/>
      <c r="AB187" s="305"/>
      <c r="AC187" s="305"/>
      <c r="AD187" s="305"/>
      <c r="AE187" s="305"/>
      <c r="AF187" s="305"/>
    </row>
    <row r="188" spans="1:32" s="52" customFormat="1" ht="14.25" customHeight="1" thickBot="1">
      <c r="A188" s="285"/>
      <c r="B188" s="1501" t="s">
        <v>468</v>
      </c>
      <c r="C188" s="823"/>
      <c r="D188" s="822"/>
      <c r="E188" s="823"/>
      <c r="F188" s="822"/>
      <c r="G188" s="823"/>
      <c r="H188" s="1110"/>
      <c r="I188" s="1504">
        <f>SUM(I186:I187)</f>
        <v>1509345.7198200002</v>
      </c>
      <c r="J188" s="278"/>
      <c r="K188" s="416"/>
      <c r="M188" s="305"/>
      <c r="W188" s="305"/>
      <c r="X188" s="305"/>
      <c r="Y188" s="305"/>
      <c r="Z188" s="305"/>
      <c r="AA188" s="305"/>
      <c r="AB188" s="305"/>
      <c r="AC188" s="305"/>
      <c r="AD188" s="305"/>
      <c r="AE188" s="305"/>
      <c r="AF188" s="305"/>
    </row>
    <row r="189" spans="1:32" s="52" customFormat="1" ht="14.25" customHeight="1">
      <c r="A189" s="285"/>
      <c r="B189" s="455"/>
      <c r="C189" s="414"/>
      <c r="D189" s="414"/>
      <c r="E189" s="414"/>
      <c r="F189" s="414"/>
      <c r="G189" s="414"/>
      <c r="H189" s="414"/>
      <c r="I189" s="278"/>
      <c r="J189" s="278"/>
      <c r="K189" s="416"/>
      <c r="M189" s="305"/>
      <c r="W189" s="305"/>
      <c r="X189" s="305"/>
      <c r="Y189" s="305"/>
      <c r="Z189" s="305"/>
      <c r="AA189" s="305"/>
      <c r="AB189" s="305"/>
      <c r="AC189" s="305"/>
      <c r="AD189" s="305"/>
      <c r="AE189" s="305"/>
      <c r="AF189" s="305"/>
    </row>
    <row r="190" spans="1:32" s="52" customFormat="1" ht="14.25" customHeight="1">
      <c r="A190" s="285"/>
      <c r="B190" s="455"/>
      <c r="C190" s="414"/>
      <c r="D190" s="414"/>
      <c r="E190" s="414"/>
      <c r="F190" s="414"/>
      <c r="G190" s="414"/>
      <c r="H190" s="414"/>
      <c r="I190" s="278"/>
      <c r="J190" s="278"/>
      <c r="K190" s="394">
        <v>130</v>
      </c>
      <c r="M190" s="305"/>
      <c r="W190" s="305"/>
      <c r="X190" s="305"/>
      <c r="Y190" s="305"/>
      <c r="Z190" s="305"/>
      <c r="AA190" s="305"/>
      <c r="AB190" s="305"/>
      <c r="AC190" s="305"/>
      <c r="AD190" s="305"/>
      <c r="AE190" s="305"/>
      <c r="AF190" s="305"/>
    </row>
    <row r="191" spans="1:32" s="52" customFormat="1" ht="14.25" customHeight="1">
      <c r="A191" s="285"/>
      <c r="B191" s="455"/>
      <c r="C191" s="414"/>
      <c r="D191" s="414"/>
      <c r="E191" s="414"/>
      <c r="F191" s="414"/>
      <c r="G191" s="414"/>
      <c r="H191" s="414"/>
      <c r="I191" s="278"/>
      <c r="J191" s="278"/>
      <c r="K191" s="416"/>
      <c r="M191" s="305"/>
      <c r="W191" s="305"/>
      <c r="X191" s="305"/>
      <c r="Y191" s="305"/>
      <c r="Z191" s="305"/>
      <c r="AA191" s="305"/>
      <c r="AB191" s="305"/>
      <c r="AC191" s="305"/>
      <c r="AD191" s="305"/>
      <c r="AE191" s="305"/>
      <c r="AF191" s="305"/>
    </row>
    <row r="192" spans="1:32" s="52" customFormat="1" ht="14.25" customHeight="1">
      <c r="A192" s="285"/>
      <c r="B192" s="236" t="s">
        <v>478</v>
      </c>
      <c r="C192" s="279"/>
      <c r="D192" s="279"/>
      <c r="E192" s="414"/>
      <c r="F192" s="414"/>
      <c r="G192" s="414"/>
      <c r="H192" s="414"/>
      <c r="I192" s="278"/>
      <c r="J192" s="278"/>
      <c r="K192" s="416"/>
      <c r="M192" s="305"/>
      <c r="W192" s="305"/>
      <c r="X192" s="305"/>
      <c r="Y192" s="305"/>
      <c r="Z192" s="305"/>
      <c r="AA192" s="305"/>
      <c r="AB192" s="305"/>
      <c r="AC192" s="305"/>
      <c r="AD192" s="305"/>
      <c r="AE192" s="305"/>
      <c r="AF192" s="305"/>
    </row>
    <row r="193" spans="1:32" s="52" customFormat="1" ht="14.25" customHeight="1" thickBot="1">
      <c r="A193" s="285"/>
      <c r="B193" s="51"/>
      <c r="C193" s="526"/>
      <c r="D193" s="526"/>
      <c r="E193" s="414"/>
      <c r="F193" s="414"/>
      <c r="G193" s="414"/>
      <c r="H193" s="414"/>
      <c r="I193" s="278"/>
      <c r="J193" s="278"/>
      <c r="K193" s="416"/>
      <c r="M193" s="305"/>
      <c r="W193" s="305"/>
      <c r="X193" s="305"/>
      <c r="Y193" s="305"/>
      <c r="Z193" s="305"/>
      <c r="AA193" s="305"/>
      <c r="AB193" s="305"/>
      <c r="AC193" s="305"/>
      <c r="AD193" s="305"/>
      <c r="AE193" s="305"/>
      <c r="AF193" s="305"/>
    </row>
    <row r="194" spans="1:32" ht="14.25" customHeight="1" thickBot="1">
      <c r="B194" s="1481" t="s">
        <v>101</v>
      </c>
      <c r="C194" s="468"/>
      <c r="D194" s="468"/>
      <c r="E194" s="468"/>
      <c r="F194" s="468"/>
      <c r="H194" s="3414" t="s">
        <v>238</v>
      </c>
      <c r="I194" s="3414"/>
      <c r="J194" s="385"/>
      <c r="M194" s="305"/>
      <c r="W194" s="305"/>
      <c r="X194" s="305"/>
      <c r="Y194" s="305"/>
      <c r="Z194" s="305"/>
      <c r="AA194" s="305"/>
      <c r="AB194" s="305"/>
      <c r="AC194" s="305"/>
      <c r="AD194" s="305"/>
      <c r="AE194" s="305"/>
      <c r="AF194" s="305"/>
    </row>
    <row r="195" spans="1:32" s="52" customFormat="1" ht="14.25" customHeight="1" thickBot="1">
      <c r="A195" s="278"/>
      <c r="B195" s="3407"/>
      <c r="C195" s="3332">
        <v>2021</v>
      </c>
      <c r="D195" s="3333"/>
      <c r="E195" s="3333"/>
      <c r="F195" s="3333"/>
      <c r="G195" s="3333"/>
      <c r="H195" s="3333"/>
      <c r="I195" s="3334"/>
      <c r="J195" s="278"/>
      <c r="K195" s="429"/>
      <c r="M195" s="305"/>
      <c r="W195" s="305"/>
      <c r="X195" s="305"/>
      <c r="Y195" s="305"/>
      <c r="Z195" s="305"/>
      <c r="AA195" s="305"/>
      <c r="AB195" s="305"/>
      <c r="AC195" s="305"/>
      <c r="AD195" s="305"/>
      <c r="AE195" s="305"/>
      <c r="AF195" s="305"/>
    </row>
    <row r="196" spans="1:32" s="52" customFormat="1" ht="14.25" customHeight="1" thickBot="1">
      <c r="A196" s="394"/>
      <c r="B196" s="3408"/>
      <c r="C196" s="3410" t="s">
        <v>436</v>
      </c>
      <c r="D196" s="3410" t="s">
        <v>437</v>
      </c>
      <c r="E196" s="3412" t="s">
        <v>438</v>
      </c>
      <c r="F196" s="3413"/>
      <c r="G196" s="3410" t="s">
        <v>439</v>
      </c>
      <c r="H196" s="3410" t="s">
        <v>440</v>
      </c>
      <c r="I196" s="3410" t="s">
        <v>118</v>
      </c>
      <c r="J196" s="278"/>
      <c r="K196" s="429"/>
      <c r="M196" s="305"/>
      <c r="W196" s="305"/>
      <c r="X196" s="305"/>
      <c r="Y196" s="305"/>
      <c r="Z196" s="305"/>
      <c r="AA196" s="305"/>
      <c r="AB196" s="305"/>
      <c r="AC196" s="305"/>
      <c r="AD196" s="305"/>
      <c r="AE196" s="305"/>
      <c r="AF196" s="305"/>
    </row>
    <row r="197" spans="1:32" s="52" customFormat="1" ht="14.25" customHeight="1" thickBot="1">
      <c r="A197" s="394"/>
      <c r="B197" s="3409"/>
      <c r="C197" s="3411"/>
      <c r="D197" s="3411"/>
      <c r="E197" s="1506" t="s">
        <v>442</v>
      </c>
      <c r="F197" s="1506" t="s">
        <v>443</v>
      </c>
      <c r="G197" s="3411"/>
      <c r="H197" s="3411"/>
      <c r="I197" s="3411"/>
      <c r="J197" s="278"/>
      <c r="K197" s="429"/>
      <c r="M197" s="305"/>
      <c r="W197" s="305"/>
      <c r="X197" s="305"/>
      <c r="Y197" s="305"/>
      <c r="Z197" s="305"/>
      <c r="AA197" s="305"/>
      <c r="AB197" s="305"/>
      <c r="AC197" s="305"/>
      <c r="AD197" s="305"/>
      <c r="AE197" s="305"/>
      <c r="AF197" s="305"/>
    </row>
    <row r="198" spans="1:32" s="52" customFormat="1" ht="14.25" customHeight="1">
      <c r="A198" s="285"/>
      <c r="B198" s="1478" t="s">
        <v>342</v>
      </c>
      <c r="C198" s="803">
        <v>177675</v>
      </c>
      <c r="D198" s="2325">
        <v>49864</v>
      </c>
      <c r="E198" s="803">
        <v>300204</v>
      </c>
      <c r="F198" s="2325">
        <v>3438823</v>
      </c>
      <c r="G198" s="803">
        <v>169822</v>
      </c>
      <c r="H198" s="2325">
        <v>382971</v>
      </c>
      <c r="I198" s="1502">
        <f t="shared" ref="I198:I210" si="13">H198+G198+F198+E198+D198+C198</f>
        <v>4519359</v>
      </c>
      <c r="J198" s="278"/>
      <c r="K198" s="429"/>
      <c r="L198" s="305"/>
      <c r="M198" s="305"/>
      <c r="N198" s="305"/>
      <c r="O198" s="305"/>
      <c r="P198" s="305"/>
      <c r="Q198" s="305"/>
      <c r="R198" s="305"/>
      <c r="W198" s="305"/>
      <c r="X198" s="305"/>
      <c r="Y198" s="305"/>
      <c r="Z198" s="305"/>
      <c r="AA198" s="305"/>
      <c r="AB198" s="305"/>
      <c r="AC198" s="305"/>
      <c r="AD198" s="305"/>
      <c r="AE198" s="305"/>
      <c r="AF198" s="305"/>
    </row>
    <row r="199" spans="1:32" s="52" customFormat="1" ht="14.25" customHeight="1">
      <c r="A199" s="285"/>
      <c r="B199" s="2246" t="s">
        <v>473</v>
      </c>
      <c r="C199" s="804"/>
      <c r="D199" s="812"/>
      <c r="E199" s="804"/>
      <c r="F199" s="812"/>
      <c r="G199" s="804"/>
      <c r="H199" s="812"/>
      <c r="I199" s="2314">
        <f t="shared" si="13"/>
        <v>0</v>
      </c>
      <c r="J199" s="278"/>
      <c r="K199" s="429"/>
      <c r="L199" s="305"/>
      <c r="M199" s="305"/>
      <c r="N199" s="305"/>
      <c r="O199" s="305"/>
      <c r="P199" s="305"/>
      <c r="Q199" s="305"/>
      <c r="R199" s="305"/>
      <c r="W199" s="305"/>
      <c r="X199" s="305"/>
      <c r="Y199" s="305"/>
      <c r="Z199" s="305"/>
      <c r="AA199" s="305"/>
      <c r="AB199" s="305"/>
      <c r="AC199" s="305"/>
      <c r="AD199" s="305"/>
      <c r="AE199" s="305"/>
      <c r="AF199" s="305"/>
    </row>
    <row r="200" spans="1:32" s="52" customFormat="1" ht="14.25" customHeight="1">
      <c r="A200" s="285"/>
      <c r="B200" s="2246" t="s">
        <v>471</v>
      </c>
      <c r="C200" s="804"/>
      <c r="D200" s="812"/>
      <c r="E200" s="804"/>
      <c r="F200" s="812"/>
      <c r="G200" s="804"/>
      <c r="H200" s="812"/>
      <c r="I200" s="2314">
        <f t="shared" si="13"/>
        <v>0</v>
      </c>
      <c r="J200" s="278"/>
      <c r="K200" s="429"/>
      <c r="L200" s="305"/>
      <c r="M200" s="305"/>
      <c r="N200" s="305"/>
      <c r="O200" s="305"/>
      <c r="P200" s="305"/>
      <c r="Q200" s="305"/>
      <c r="R200" s="305"/>
      <c r="W200" s="305"/>
      <c r="X200" s="305"/>
      <c r="Y200" s="305"/>
      <c r="Z200" s="305"/>
      <c r="AA200" s="305"/>
      <c r="AB200" s="305"/>
      <c r="AC200" s="305"/>
      <c r="AD200" s="305"/>
      <c r="AE200" s="305"/>
      <c r="AF200" s="305"/>
    </row>
    <row r="201" spans="1:32" s="52" customFormat="1" ht="14.25" customHeight="1">
      <c r="A201" s="285"/>
      <c r="B201" s="2246" t="s">
        <v>446</v>
      </c>
      <c r="C201" s="804">
        <v>-135027</v>
      </c>
      <c r="D201" s="812">
        <v>-35323</v>
      </c>
      <c r="E201" s="804">
        <v>-32973</v>
      </c>
      <c r="F201" s="812">
        <v>-358266</v>
      </c>
      <c r="G201" s="804">
        <v>-1276</v>
      </c>
      <c r="H201" s="812">
        <v>-149656</v>
      </c>
      <c r="I201" s="2314">
        <f t="shared" si="13"/>
        <v>-712521</v>
      </c>
      <c r="J201" s="278"/>
      <c r="K201" s="429"/>
      <c r="L201" s="305"/>
      <c r="M201" s="305"/>
      <c r="N201" s="305"/>
      <c r="O201" s="305"/>
      <c r="P201" s="305"/>
      <c r="Q201" s="305"/>
      <c r="R201" s="305"/>
      <c r="W201" s="305"/>
      <c r="X201" s="305"/>
      <c r="Y201" s="305"/>
      <c r="Z201" s="305"/>
      <c r="AA201" s="305"/>
      <c r="AB201" s="305"/>
      <c r="AC201" s="305"/>
      <c r="AD201" s="305"/>
      <c r="AE201" s="305"/>
      <c r="AF201" s="305"/>
    </row>
    <row r="202" spans="1:32" s="52" customFormat="1" ht="14.25" customHeight="1">
      <c r="A202" s="285"/>
      <c r="B202" s="2248" t="s">
        <v>447</v>
      </c>
      <c r="C202" s="2249">
        <v>42648</v>
      </c>
      <c r="D202" s="2326">
        <v>14541</v>
      </c>
      <c r="E202" s="2249">
        <v>267231</v>
      </c>
      <c r="F202" s="2326">
        <v>3080556</v>
      </c>
      <c r="G202" s="2249">
        <v>168546</v>
      </c>
      <c r="H202" s="2326">
        <v>233315</v>
      </c>
      <c r="I202" s="2327">
        <f t="shared" si="13"/>
        <v>3806837</v>
      </c>
      <c r="J202" s="278"/>
      <c r="K202" s="416"/>
      <c r="L202" s="305"/>
      <c r="M202" s="305"/>
      <c r="N202" s="305"/>
      <c r="O202" s="305"/>
      <c r="P202" s="305"/>
      <c r="Q202" s="305"/>
      <c r="R202" s="305"/>
      <c r="W202" s="305"/>
      <c r="X202" s="305"/>
      <c r="Y202" s="305"/>
      <c r="Z202" s="305"/>
      <c r="AA202" s="305"/>
      <c r="AB202" s="305"/>
      <c r="AC202" s="305"/>
      <c r="AD202" s="305"/>
      <c r="AE202" s="305"/>
      <c r="AF202" s="305"/>
    </row>
    <row r="203" spans="1:32" s="52" customFormat="1" ht="14.25" customHeight="1">
      <c r="A203" s="285"/>
      <c r="B203" s="2246" t="s">
        <v>448</v>
      </c>
      <c r="C203" s="2275">
        <v>-7257</v>
      </c>
      <c r="D203" s="2325">
        <v>-2579</v>
      </c>
      <c r="E203" s="2275">
        <v>0</v>
      </c>
      <c r="F203" s="2325">
        <v>32957</v>
      </c>
      <c r="G203" s="2347">
        <v>-39874</v>
      </c>
      <c r="H203" s="2348">
        <v>-29951</v>
      </c>
      <c r="I203" s="2314">
        <f t="shared" si="13"/>
        <v>-46704</v>
      </c>
      <c r="J203" s="278"/>
      <c r="K203" s="416"/>
      <c r="L203" s="305"/>
      <c r="M203" s="305"/>
      <c r="N203" s="305"/>
      <c r="O203" s="305"/>
      <c r="P203" s="305"/>
      <c r="Q203" s="305"/>
      <c r="R203" s="305"/>
      <c r="W203" s="305"/>
      <c r="X203" s="305"/>
      <c r="Y203" s="305"/>
      <c r="Z203" s="305"/>
      <c r="AA203" s="305"/>
      <c r="AB203" s="305"/>
      <c r="AC203" s="305"/>
      <c r="AD203" s="305"/>
      <c r="AE203" s="305"/>
      <c r="AF203" s="305"/>
    </row>
    <row r="204" spans="1:32" s="52" customFormat="1" ht="14.25" customHeight="1">
      <c r="A204" s="285"/>
      <c r="B204" s="2248" t="s">
        <v>449</v>
      </c>
      <c r="C204" s="2249">
        <v>35391</v>
      </c>
      <c r="D204" s="2326">
        <v>11962</v>
      </c>
      <c r="E204" s="2249">
        <v>267231</v>
      </c>
      <c r="F204" s="2326">
        <v>3113514</v>
      </c>
      <c r="G204" s="2249">
        <v>128672</v>
      </c>
      <c r="H204" s="2326">
        <v>203364</v>
      </c>
      <c r="I204" s="2327">
        <f t="shared" si="13"/>
        <v>3760134</v>
      </c>
      <c r="J204" s="278"/>
      <c r="K204" s="416"/>
      <c r="L204" s="305"/>
      <c r="M204" s="305"/>
      <c r="N204" s="305"/>
      <c r="O204" s="305"/>
      <c r="P204" s="305"/>
      <c r="Q204" s="305"/>
      <c r="R204" s="305"/>
      <c r="W204" s="305"/>
      <c r="X204" s="305"/>
      <c r="Y204" s="305"/>
      <c r="Z204" s="305"/>
      <c r="AA204" s="305"/>
      <c r="AB204" s="305"/>
      <c r="AC204" s="305"/>
      <c r="AD204" s="305"/>
      <c r="AE204" s="305"/>
      <c r="AF204" s="305"/>
    </row>
    <row r="205" spans="1:32" s="52" customFormat="1" ht="14.25" customHeight="1">
      <c r="A205" s="285"/>
      <c r="B205" s="2246"/>
      <c r="C205" s="1866"/>
      <c r="D205" s="2190"/>
      <c r="E205" s="1866"/>
      <c r="F205" s="2190"/>
      <c r="G205" s="1866"/>
      <c r="H205" s="1865"/>
      <c r="I205" s="2314">
        <f t="shared" si="13"/>
        <v>0</v>
      </c>
      <c r="J205" s="278"/>
      <c r="K205" s="416"/>
      <c r="M205" s="305"/>
      <c r="W205" s="305"/>
      <c r="X205" s="305"/>
      <c r="Y205" s="305"/>
      <c r="Z205" s="305"/>
      <c r="AA205" s="305"/>
      <c r="AB205" s="305"/>
      <c r="AC205" s="305"/>
      <c r="AD205" s="305"/>
      <c r="AE205" s="305"/>
      <c r="AF205" s="305"/>
    </row>
    <row r="206" spans="1:32" s="52" customFormat="1" ht="14.25" customHeight="1">
      <c r="A206" s="285"/>
      <c r="B206" s="2248" t="s">
        <v>450</v>
      </c>
      <c r="C206" s="1866"/>
      <c r="D206" s="2190"/>
      <c r="E206" s="1866"/>
      <c r="F206" s="2190"/>
      <c r="G206" s="1866"/>
      <c r="H206" s="2190"/>
      <c r="I206" s="2314">
        <f t="shared" si="13"/>
        <v>0</v>
      </c>
      <c r="J206" s="278"/>
      <c r="K206" s="416"/>
      <c r="L206" s="305"/>
      <c r="M206" s="305"/>
      <c r="W206" s="305"/>
      <c r="X206" s="305"/>
      <c r="Y206" s="305"/>
      <c r="Z206" s="305"/>
      <c r="AA206" s="305"/>
      <c r="AB206" s="305"/>
      <c r="AC206" s="305"/>
      <c r="AD206" s="305"/>
      <c r="AE206" s="305"/>
      <c r="AF206" s="305"/>
    </row>
    <row r="207" spans="1:32" s="52" customFormat="1" ht="28.9" customHeight="1">
      <c r="A207" s="285"/>
      <c r="B207" s="2246" t="s">
        <v>451</v>
      </c>
      <c r="C207" s="2275">
        <v>-27317</v>
      </c>
      <c r="D207" s="2325">
        <v>-9054</v>
      </c>
      <c r="E207" s="2275">
        <v>-8124</v>
      </c>
      <c r="F207" s="2325">
        <v>-1823555</v>
      </c>
      <c r="G207" s="2275">
        <v>-153471</v>
      </c>
      <c r="H207" s="2325">
        <v>-103694</v>
      </c>
      <c r="I207" s="2314">
        <f t="shared" si="13"/>
        <v>-2125215</v>
      </c>
      <c r="J207" s="278"/>
      <c r="K207" s="416"/>
      <c r="L207" s="305"/>
      <c r="M207" s="305"/>
      <c r="N207" s="305"/>
      <c r="O207" s="305"/>
      <c r="P207" s="305"/>
      <c r="Q207" s="305"/>
      <c r="R207" s="305"/>
      <c r="W207" s="305"/>
      <c r="X207" s="305"/>
      <c r="Y207" s="305"/>
      <c r="Z207" s="305"/>
      <c r="AA207" s="305"/>
      <c r="AB207" s="305"/>
      <c r="AC207" s="305"/>
      <c r="AD207" s="305"/>
      <c r="AE207" s="305"/>
      <c r="AF207" s="305"/>
    </row>
    <row r="208" spans="1:32" s="52" customFormat="1" ht="14.25" customHeight="1">
      <c r="A208" s="285"/>
      <c r="B208" s="2246" t="s">
        <v>452</v>
      </c>
      <c r="C208" s="804">
        <v>4761</v>
      </c>
      <c r="D208" s="812">
        <v>2628</v>
      </c>
      <c r="E208" s="804"/>
      <c r="F208" s="812">
        <v>-287887</v>
      </c>
      <c r="G208" s="804">
        <v>-9591</v>
      </c>
      <c r="H208" s="812">
        <v>-3728</v>
      </c>
      <c r="I208" s="2314">
        <f t="shared" si="13"/>
        <v>-293817</v>
      </c>
      <c r="J208" s="278"/>
      <c r="K208" s="416"/>
      <c r="L208" s="305"/>
      <c r="M208" s="305"/>
      <c r="N208" s="305"/>
      <c r="O208" s="305"/>
      <c r="P208" s="305"/>
      <c r="Q208" s="305"/>
      <c r="R208" s="305"/>
      <c r="W208" s="305"/>
      <c r="X208" s="305"/>
      <c r="Y208" s="305"/>
      <c r="Z208" s="305"/>
      <c r="AA208" s="305"/>
      <c r="AB208" s="305"/>
      <c r="AC208" s="305"/>
      <c r="AD208" s="305"/>
      <c r="AE208" s="305"/>
      <c r="AF208" s="305"/>
    </row>
    <row r="209" spans="1:32" s="52" customFormat="1" ht="14.25" customHeight="1">
      <c r="A209" s="285"/>
      <c r="B209" s="2246" t="s">
        <v>453</v>
      </c>
      <c r="C209" s="1866"/>
      <c r="D209" s="2190"/>
      <c r="E209" s="1866"/>
      <c r="F209" s="2190"/>
      <c r="G209" s="1866"/>
      <c r="H209" s="1865"/>
      <c r="I209" s="2314">
        <f t="shared" si="13"/>
        <v>0</v>
      </c>
      <c r="J209" s="278"/>
      <c r="K209" s="416"/>
      <c r="L209" s="305"/>
      <c r="M209" s="305"/>
      <c r="N209" s="305"/>
      <c r="O209" s="305"/>
      <c r="P209" s="305"/>
      <c r="Q209" s="305"/>
      <c r="R209" s="305"/>
      <c r="W209" s="305"/>
      <c r="X209" s="305"/>
      <c r="Y209" s="305"/>
      <c r="Z209" s="305"/>
      <c r="AA209" s="305"/>
      <c r="AB209" s="305"/>
      <c r="AC209" s="305"/>
      <c r="AD209" s="305"/>
      <c r="AE209" s="305"/>
      <c r="AF209" s="305"/>
    </row>
    <row r="210" spans="1:32" s="52" customFormat="1" ht="14.25" customHeight="1">
      <c r="A210" s="285"/>
      <c r="B210" s="2248" t="s">
        <v>454</v>
      </c>
      <c r="C210" s="2249">
        <f t="shared" ref="C210:H210" si="14">C204+C207+C208+C209</f>
        <v>12835</v>
      </c>
      <c r="D210" s="2326">
        <f t="shared" si="14"/>
        <v>5536</v>
      </c>
      <c r="E210" s="2249">
        <f t="shared" si="14"/>
        <v>259107</v>
      </c>
      <c r="F210" s="2326">
        <f>F204+F207+F208+F209</f>
        <v>1002072</v>
      </c>
      <c r="G210" s="2249">
        <f t="shared" si="14"/>
        <v>-34390</v>
      </c>
      <c r="H210" s="2326">
        <f t="shared" si="14"/>
        <v>95942</v>
      </c>
      <c r="I210" s="2327">
        <f t="shared" si="13"/>
        <v>1341102</v>
      </c>
      <c r="J210" s="278"/>
      <c r="K210" s="432"/>
      <c r="L210" s="305"/>
      <c r="M210" s="305"/>
      <c r="N210" s="305"/>
      <c r="O210" s="305"/>
      <c r="P210" s="305"/>
      <c r="Q210" s="305"/>
      <c r="R210" s="305"/>
      <c r="W210" s="305"/>
      <c r="X210" s="305"/>
      <c r="Y210" s="305"/>
      <c r="Z210" s="305"/>
      <c r="AA210" s="305"/>
      <c r="AB210" s="305"/>
      <c r="AC210" s="305"/>
      <c r="AD210" s="305"/>
      <c r="AE210" s="305"/>
      <c r="AF210" s="305"/>
    </row>
    <row r="211" spans="1:32" s="52" customFormat="1" ht="14.25" customHeight="1">
      <c r="A211" s="285"/>
      <c r="B211" s="2246"/>
      <c r="C211" s="2316"/>
      <c r="D211" s="2329"/>
      <c r="E211" s="2316"/>
      <c r="F211" s="2329"/>
      <c r="G211" s="2316"/>
      <c r="H211" s="2318"/>
      <c r="I211" s="2314"/>
      <c r="J211" s="278"/>
      <c r="K211" s="416"/>
      <c r="M211" s="305"/>
      <c r="W211" s="305"/>
      <c r="X211" s="305"/>
      <c r="Y211" s="305"/>
      <c r="Z211" s="305"/>
      <c r="AA211" s="305"/>
      <c r="AB211" s="305"/>
      <c r="AC211" s="305"/>
      <c r="AD211" s="305"/>
      <c r="AE211" s="305"/>
      <c r="AF211" s="305"/>
    </row>
    <row r="212" spans="1:32" s="52" customFormat="1" ht="14.25" customHeight="1">
      <c r="A212" s="285"/>
      <c r="B212" s="2248" t="s">
        <v>455</v>
      </c>
      <c r="C212" s="2316"/>
      <c r="D212" s="2329"/>
      <c r="E212" s="2316"/>
      <c r="F212" s="2329"/>
      <c r="G212" s="2316"/>
      <c r="H212" s="2318"/>
      <c r="I212" s="2327">
        <f>SUM(I213:I217)</f>
        <v>753254</v>
      </c>
      <c r="J212" s="278"/>
      <c r="K212" s="416"/>
      <c r="M212" s="305"/>
      <c r="W212" s="305"/>
      <c r="X212" s="305"/>
      <c r="Y212" s="305"/>
      <c r="Z212" s="305"/>
      <c r="AA212" s="305"/>
      <c r="AB212" s="305"/>
      <c r="AC212" s="305"/>
      <c r="AD212" s="305"/>
      <c r="AE212" s="305"/>
      <c r="AF212" s="305"/>
    </row>
    <row r="213" spans="1:32" s="52" customFormat="1" ht="14.25" customHeight="1">
      <c r="A213" s="285"/>
      <c r="B213" s="2246" t="s">
        <v>456</v>
      </c>
      <c r="C213" s="2316"/>
      <c r="D213" s="2329"/>
      <c r="E213" s="2316"/>
      <c r="F213" s="2329"/>
      <c r="G213" s="2316"/>
      <c r="H213" s="2318"/>
      <c r="I213" s="2296">
        <v>255974</v>
      </c>
      <c r="J213" s="278"/>
      <c r="K213" s="416"/>
      <c r="M213" s="305"/>
      <c r="W213" s="305"/>
      <c r="X213" s="305"/>
      <c r="Y213" s="305"/>
      <c r="Z213" s="305"/>
      <c r="AA213" s="305"/>
      <c r="AB213" s="305"/>
      <c r="AC213" s="305"/>
      <c r="AD213" s="305"/>
      <c r="AE213" s="305"/>
      <c r="AF213" s="305"/>
    </row>
    <row r="214" spans="1:32" s="52" customFormat="1" ht="14.25" customHeight="1">
      <c r="A214" s="285"/>
      <c r="B214" s="2246" t="s">
        <v>472</v>
      </c>
      <c r="C214" s="2316"/>
      <c r="D214" s="2329"/>
      <c r="E214" s="2316"/>
      <c r="F214" s="2329"/>
      <c r="G214" s="2316"/>
      <c r="H214" s="2318"/>
      <c r="I214" s="1495">
        <v>489757</v>
      </c>
      <c r="J214" s="278"/>
      <c r="K214" s="416"/>
      <c r="M214" s="305"/>
      <c r="W214" s="305"/>
      <c r="X214" s="305"/>
      <c r="Y214" s="305"/>
      <c r="Z214" s="305"/>
      <c r="AA214" s="305"/>
      <c r="AB214" s="305"/>
      <c r="AC214" s="305"/>
      <c r="AD214" s="305"/>
      <c r="AE214" s="305"/>
      <c r="AF214" s="305"/>
    </row>
    <row r="215" spans="1:32" s="52" customFormat="1" ht="14.25" customHeight="1">
      <c r="A215" s="285"/>
      <c r="B215" s="2246" t="s">
        <v>458</v>
      </c>
      <c r="C215" s="2316"/>
      <c r="D215" s="2329"/>
      <c r="E215" s="2316"/>
      <c r="F215" s="2329"/>
      <c r="G215" s="2316"/>
      <c r="H215" s="2318"/>
      <c r="I215" s="1495"/>
      <c r="J215" s="278"/>
      <c r="K215" s="416"/>
      <c r="M215" s="305"/>
      <c r="W215" s="305"/>
      <c r="X215" s="305"/>
      <c r="Y215" s="305"/>
      <c r="Z215" s="305"/>
      <c r="AA215" s="305"/>
      <c r="AB215" s="305"/>
      <c r="AC215" s="305"/>
      <c r="AD215" s="305"/>
      <c r="AE215" s="305"/>
      <c r="AF215" s="305"/>
    </row>
    <row r="216" spans="1:32" s="52" customFormat="1" ht="14.25" customHeight="1">
      <c r="A216" s="285"/>
      <c r="B216" s="2246" t="s">
        <v>459</v>
      </c>
      <c r="C216" s="2316"/>
      <c r="D216" s="2329"/>
      <c r="E216" s="2316"/>
      <c r="F216" s="2329"/>
      <c r="G216" s="2316"/>
      <c r="H216" s="2318"/>
      <c r="I216" s="1495"/>
      <c r="J216" s="278"/>
      <c r="K216" s="416"/>
      <c r="M216" s="305"/>
      <c r="W216" s="305"/>
      <c r="X216" s="305"/>
      <c r="Y216" s="305"/>
      <c r="Z216" s="305"/>
      <c r="AA216" s="305"/>
      <c r="AB216" s="305"/>
      <c r="AC216" s="305"/>
      <c r="AD216" s="305"/>
      <c r="AE216" s="305"/>
      <c r="AF216" s="305"/>
    </row>
    <row r="217" spans="1:32" s="52" customFormat="1" ht="14.25" customHeight="1">
      <c r="A217" s="285"/>
      <c r="B217" s="2246" t="s">
        <v>460</v>
      </c>
      <c r="C217" s="2316"/>
      <c r="D217" s="2329"/>
      <c r="E217" s="2316"/>
      <c r="F217" s="2329"/>
      <c r="G217" s="2316"/>
      <c r="H217" s="2318"/>
      <c r="I217" s="1495">
        <v>7523</v>
      </c>
      <c r="J217" s="278"/>
      <c r="K217" s="416"/>
      <c r="M217" s="305"/>
      <c r="W217" s="305"/>
      <c r="X217" s="305"/>
      <c r="Y217" s="305"/>
      <c r="Z217" s="305"/>
      <c r="AA217" s="305"/>
      <c r="AB217" s="305"/>
      <c r="AC217" s="305"/>
      <c r="AD217" s="305"/>
      <c r="AE217" s="305"/>
      <c r="AF217" s="305"/>
    </row>
    <row r="218" spans="1:32" s="52" customFormat="1" ht="14.25" customHeight="1">
      <c r="A218" s="285"/>
      <c r="B218" s="2246"/>
      <c r="C218" s="2316"/>
      <c r="D218" s="2329"/>
      <c r="E218" s="2316"/>
      <c r="F218" s="2329"/>
      <c r="G218" s="2316"/>
      <c r="H218" s="2318"/>
      <c r="I218" s="2314"/>
      <c r="J218" s="278"/>
      <c r="K218" s="416"/>
      <c r="M218" s="305"/>
      <c r="W218" s="305"/>
      <c r="X218" s="305"/>
      <c r="Y218" s="305"/>
      <c r="Z218" s="305"/>
      <c r="AA218" s="305"/>
      <c r="AB218" s="305"/>
      <c r="AC218" s="305"/>
      <c r="AD218" s="305"/>
      <c r="AE218" s="305"/>
      <c r="AF218" s="305"/>
    </row>
    <row r="219" spans="1:32" s="52" customFormat="1" ht="14.25" customHeight="1">
      <c r="A219" s="285"/>
      <c r="B219" s="2248" t="s">
        <v>461</v>
      </c>
      <c r="C219" s="2316"/>
      <c r="D219" s="2329"/>
      <c r="E219" s="2316"/>
      <c r="F219" s="2329"/>
      <c r="G219" s="2316"/>
      <c r="H219" s="2318"/>
      <c r="I219" s="2314">
        <f>I220+I221</f>
        <v>-1302257</v>
      </c>
      <c r="J219" s="278"/>
      <c r="K219" s="416"/>
      <c r="M219" s="305"/>
      <c r="W219" s="305"/>
      <c r="X219" s="305"/>
      <c r="Y219" s="305"/>
      <c r="Z219" s="305"/>
      <c r="AA219" s="305"/>
      <c r="AB219" s="305"/>
      <c r="AC219" s="305"/>
      <c r="AD219" s="305"/>
      <c r="AE219" s="305"/>
      <c r="AF219" s="305"/>
    </row>
    <row r="220" spans="1:32" s="52" customFormat="1" ht="33.6" customHeight="1">
      <c r="A220" s="285"/>
      <c r="B220" s="2246" t="s">
        <v>462</v>
      </c>
      <c r="C220" s="2316"/>
      <c r="D220" s="2329"/>
      <c r="E220" s="2316"/>
      <c r="F220" s="2329"/>
      <c r="G220" s="2316"/>
      <c r="H220" s="2318"/>
      <c r="I220" s="2296">
        <v>-1302257</v>
      </c>
      <c r="J220" s="278"/>
      <c r="K220" s="416"/>
      <c r="M220" s="305"/>
      <c r="W220" s="305"/>
      <c r="X220" s="305"/>
      <c r="Y220" s="305"/>
      <c r="Z220" s="305"/>
      <c r="AA220" s="305"/>
      <c r="AB220" s="305"/>
      <c r="AC220" s="305"/>
      <c r="AD220" s="305"/>
      <c r="AE220" s="305"/>
      <c r="AF220" s="305"/>
    </row>
    <row r="221" spans="1:32" s="52" customFormat="1" ht="33.6" customHeight="1">
      <c r="A221" s="285"/>
      <c r="B221" s="2246" t="s">
        <v>463</v>
      </c>
      <c r="C221" s="2316"/>
      <c r="D221" s="2329"/>
      <c r="E221" s="2316"/>
      <c r="F221" s="2329"/>
      <c r="G221" s="2316"/>
      <c r="H221" s="2318"/>
      <c r="I221" s="2314"/>
      <c r="J221" s="278"/>
      <c r="K221" s="416"/>
      <c r="M221" s="305"/>
      <c r="W221" s="305"/>
      <c r="X221" s="305"/>
      <c r="Y221" s="305"/>
      <c r="Z221" s="305"/>
      <c r="AA221" s="305"/>
      <c r="AB221" s="305"/>
      <c r="AC221" s="305"/>
      <c r="AD221" s="305"/>
      <c r="AE221" s="305"/>
      <c r="AF221" s="305"/>
    </row>
    <row r="222" spans="1:32" s="52" customFormat="1" ht="14.25" customHeight="1">
      <c r="A222" s="285"/>
      <c r="B222" s="2248" t="s">
        <v>464</v>
      </c>
      <c r="C222" s="2316"/>
      <c r="D222" s="2329"/>
      <c r="E222" s="2316"/>
      <c r="F222" s="2329"/>
      <c r="G222" s="2316"/>
      <c r="H222" s="2318"/>
      <c r="I222" s="2327">
        <f>+I210+I212+I219</f>
        <v>792099</v>
      </c>
      <c r="J222" s="278"/>
      <c r="K222" s="416"/>
      <c r="M222" s="305"/>
      <c r="W222" s="305"/>
      <c r="X222" s="305"/>
      <c r="Y222" s="305"/>
      <c r="Z222" s="305"/>
      <c r="AA222" s="305"/>
      <c r="AB222" s="305"/>
      <c r="AC222" s="305"/>
      <c r="AD222" s="305"/>
      <c r="AE222" s="305"/>
      <c r="AF222" s="305"/>
    </row>
    <row r="223" spans="1:32" s="52" customFormat="1" ht="14.25" customHeight="1">
      <c r="A223" s="285"/>
      <c r="B223" s="2246" t="s">
        <v>465</v>
      </c>
      <c r="C223" s="2316"/>
      <c r="D223" s="2329"/>
      <c r="E223" s="2316"/>
      <c r="F223" s="2329"/>
      <c r="G223" s="2316"/>
      <c r="H223" s="2318"/>
      <c r="I223" s="2296">
        <v>-52757</v>
      </c>
      <c r="J223" s="278"/>
      <c r="K223" s="416"/>
      <c r="M223" s="305"/>
      <c r="W223" s="305"/>
      <c r="X223" s="305"/>
      <c r="Y223" s="305"/>
      <c r="Z223" s="305"/>
      <c r="AA223" s="305"/>
      <c r="AB223" s="305"/>
      <c r="AC223" s="305"/>
      <c r="AD223" s="305"/>
      <c r="AE223" s="305"/>
      <c r="AF223" s="305"/>
    </row>
    <row r="224" spans="1:32" s="52" customFormat="1" ht="14.25" customHeight="1">
      <c r="A224" s="285"/>
      <c r="B224" s="2248" t="s">
        <v>466</v>
      </c>
      <c r="C224" s="2316"/>
      <c r="D224" s="2329"/>
      <c r="E224" s="2316"/>
      <c r="F224" s="2329"/>
      <c r="G224" s="2316"/>
      <c r="H224" s="2318"/>
      <c r="I224" s="2327">
        <f>SUM(I222:I223)</f>
        <v>739342</v>
      </c>
      <c r="J224" s="278"/>
      <c r="K224" s="416"/>
      <c r="M224" s="305"/>
      <c r="W224" s="305"/>
      <c r="X224" s="305"/>
      <c r="Y224" s="305"/>
      <c r="Z224" s="305"/>
      <c r="AA224" s="305"/>
      <c r="AB224" s="305"/>
      <c r="AC224" s="305"/>
      <c r="AD224" s="305"/>
      <c r="AE224" s="305"/>
      <c r="AF224" s="305"/>
    </row>
    <row r="225" spans="1:32" s="52" customFormat="1" ht="14.25" customHeight="1">
      <c r="A225" s="285"/>
      <c r="B225" s="2246" t="s">
        <v>467</v>
      </c>
      <c r="C225" s="2316"/>
      <c r="D225" s="2329"/>
      <c r="E225" s="2316"/>
      <c r="F225" s="2329"/>
      <c r="G225" s="2316"/>
      <c r="H225" s="2318"/>
      <c r="I225" s="2296">
        <v>-108548</v>
      </c>
      <c r="J225" s="278"/>
      <c r="K225" s="416"/>
      <c r="M225" s="305"/>
      <c r="W225" s="305"/>
      <c r="X225" s="305"/>
      <c r="Y225" s="305"/>
      <c r="Z225" s="305"/>
      <c r="AA225" s="305"/>
      <c r="AB225" s="305"/>
      <c r="AC225" s="305"/>
      <c r="AD225" s="305"/>
      <c r="AE225" s="305"/>
      <c r="AF225" s="305"/>
    </row>
    <row r="226" spans="1:32" s="52" customFormat="1" ht="14.25" customHeight="1" thickBot="1">
      <c r="A226" s="285"/>
      <c r="B226" s="1501" t="s">
        <v>468</v>
      </c>
      <c r="C226" s="823"/>
      <c r="D226" s="822"/>
      <c r="E226" s="823"/>
      <c r="F226" s="822"/>
      <c r="G226" s="823"/>
      <c r="H226" s="1110"/>
      <c r="I226" s="1504">
        <f>SUM(I224:I225)</f>
        <v>630794</v>
      </c>
      <c r="J226" s="278"/>
      <c r="K226" s="416"/>
      <c r="M226" s="305"/>
      <c r="W226" s="305"/>
      <c r="X226" s="305"/>
      <c r="Y226" s="305"/>
      <c r="Z226" s="305"/>
      <c r="AA226" s="305"/>
      <c r="AB226" s="305"/>
      <c r="AC226" s="305"/>
      <c r="AD226" s="305"/>
      <c r="AE226" s="305"/>
      <c r="AF226" s="305"/>
    </row>
    <row r="227" spans="1:32" s="52" customFormat="1" ht="14.25" customHeight="1">
      <c r="A227" s="285"/>
      <c r="B227" s="455"/>
      <c r="C227" s="414"/>
      <c r="D227" s="414"/>
      <c r="E227" s="414"/>
      <c r="F227" s="414"/>
      <c r="G227" s="414"/>
      <c r="H227" s="414"/>
      <c r="I227" s="278"/>
      <c r="J227" s="278"/>
      <c r="K227" s="416"/>
      <c r="M227" s="305"/>
      <c r="W227" s="305"/>
      <c r="X227" s="305"/>
      <c r="Y227" s="305"/>
      <c r="Z227" s="305"/>
      <c r="AA227" s="305"/>
      <c r="AB227" s="305"/>
      <c r="AC227" s="305"/>
      <c r="AD227" s="305"/>
      <c r="AE227" s="305"/>
      <c r="AF227" s="305"/>
    </row>
    <row r="228" spans="1:32" s="52" customFormat="1" ht="14.25" customHeight="1">
      <c r="A228" s="285"/>
      <c r="B228" s="455"/>
      <c r="C228" s="414"/>
      <c r="D228" s="414"/>
      <c r="E228" s="414"/>
      <c r="F228" s="414"/>
      <c r="G228" s="414"/>
      <c r="H228" s="414"/>
      <c r="I228" s="278"/>
      <c r="J228" s="278"/>
      <c r="K228" s="394">
        <v>131</v>
      </c>
      <c r="M228" s="305"/>
      <c r="W228" s="305"/>
      <c r="X228" s="305"/>
      <c r="Y228" s="305"/>
      <c r="Z228" s="305"/>
      <c r="AA228" s="305"/>
      <c r="AB228" s="305"/>
      <c r="AC228" s="305"/>
      <c r="AD228" s="305"/>
      <c r="AE228" s="305"/>
      <c r="AF228" s="305"/>
    </row>
    <row r="229" spans="1:32" s="52" customFormat="1" ht="14.25" customHeight="1">
      <c r="A229" s="285"/>
      <c r="B229" s="456"/>
      <c r="C229" s="279"/>
      <c r="D229" s="279"/>
      <c r="E229" s="279"/>
      <c r="F229" s="279"/>
      <c r="G229" s="279"/>
      <c r="H229" s="279"/>
      <c r="I229" s="279"/>
      <c r="J229" s="264"/>
      <c r="K229" s="279"/>
      <c r="M229" s="305"/>
      <c r="W229" s="305"/>
      <c r="X229" s="305"/>
      <c r="Y229" s="305"/>
      <c r="Z229" s="305"/>
      <c r="AA229" s="305"/>
      <c r="AB229" s="305"/>
      <c r="AC229" s="305"/>
      <c r="AD229" s="305"/>
      <c r="AE229" s="305"/>
      <c r="AF229" s="305"/>
    </row>
    <row r="230" spans="1:32" ht="14.25" customHeight="1">
      <c r="A230" s="285"/>
      <c r="B230" s="236" t="s">
        <v>477</v>
      </c>
      <c r="C230" s="279"/>
      <c r="D230" s="279"/>
      <c r="E230" s="514"/>
      <c r="F230" s="514"/>
      <c r="G230" s="514"/>
      <c r="H230" s="514"/>
      <c r="I230" s="385"/>
      <c r="J230" s="385"/>
      <c r="M230" s="305"/>
      <c r="W230" s="305"/>
      <c r="X230" s="305"/>
      <c r="Y230" s="305"/>
      <c r="Z230" s="305"/>
      <c r="AA230" s="305"/>
      <c r="AB230" s="305"/>
      <c r="AC230" s="305"/>
      <c r="AD230" s="305"/>
      <c r="AE230" s="305"/>
      <c r="AF230" s="305"/>
    </row>
    <row r="231" spans="1:32" ht="14.25" customHeight="1" thickBot="1">
      <c r="A231" s="285"/>
      <c r="B231" s="51"/>
      <c r="C231" s="526"/>
      <c r="D231" s="526"/>
      <c r="E231" s="514"/>
      <c r="F231" s="514"/>
      <c r="G231" s="514"/>
      <c r="H231" s="514"/>
      <c r="I231" s="385"/>
      <c r="J231" s="293"/>
      <c r="M231" s="305"/>
      <c r="W231" s="305"/>
      <c r="X231" s="305"/>
      <c r="Y231" s="305"/>
      <c r="Z231" s="305"/>
      <c r="AA231" s="305"/>
      <c r="AB231" s="305"/>
      <c r="AC231" s="305"/>
      <c r="AD231" s="305"/>
      <c r="AE231" s="305"/>
      <c r="AF231" s="305"/>
    </row>
    <row r="232" spans="1:32" ht="14.25" customHeight="1">
      <c r="B232" s="1476" t="s">
        <v>102</v>
      </c>
      <c r="C232" s="514"/>
      <c r="D232" s="514"/>
      <c r="E232" s="514"/>
      <c r="F232" s="514"/>
      <c r="H232" s="3414" t="s">
        <v>238</v>
      </c>
      <c r="I232" s="3414"/>
      <c r="J232" s="383"/>
      <c r="M232" s="305"/>
      <c r="W232" s="305"/>
      <c r="X232" s="305"/>
      <c r="Y232" s="305"/>
      <c r="Z232" s="305"/>
      <c r="AA232" s="305"/>
      <c r="AB232" s="305"/>
      <c r="AC232" s="305"/>
      <c r="AD232" s="305"/>
      <c r="AE232" s="305"/>
      <c r="AF232" s="305"/>
    </row>
    <row r="233" spans="1:32" s="52" customFormat="1" ht="14.25" customHeight="1">
      <c r="A233" s="278"/>
      <c r="B233" s="3407"/>
      <c r="C233" s="3332">
        <v>2021</v>
      </c>
      <c r="D233" s="3333"/>
      <c r="E233" s="3333"/>
      <c r="F233" s="3333"/>
      <c r="G233" s="3333"/>
      <c r="H233" s="3333"/>
      <c r="I233" s="3334"/>
      <c r="J233" s="278"/>
      <c r="K233" s="416"/>
      <c r="M233" s="305"/>
      <c r="W233" s="305"/>
      <c r="X233" s="305"/>
      <c r="Y233" s="305"/>
      <c r="Z233" s="305"/>
      <c r="AA233" s="305"/>
      <c r="AB233" s="305"/>
      <c r="AC233" s="305"/>
      <c r="AD233" s="305"/>
      <c r="AE233" s="305"/>
      <c r="AF233" s="305"/>
    </row>
    <row r="234" spans="1:32" s="52" customFormat="1" ht="14.25" customHeight="1">
      <c r="A234" s="394"/>
      <c r="B234" s="3415"/>
      <c r="C234" s="3410" t="s">
        <v>436</v>
      </c>
      <c r="D234" s="3417" t="s">
        <v>437</v>
      </c>
      <c r="E234" s="3412" t="s">
        <v>438</v>
      </c>
      <c r="F234" s="3419"/>
      <c r="G234" s="3410" t="s">
        <v>439</v>
      </c>
      <c r="H234" s="3420" t="s">
        <v>440</v>
      </c>
      <c r="I234" s="3410" t="s">
        <v>118</v>
      </c>
      <c r="J234" s="278"/>
      <c r="K234" s="3406"/>
      <c r="M234" s="305"/>
      <c r="W234" s="305"/>
      <c r="X234" s="305"/>
      <c r="Y234" s="305"/>
      <c r="Z234" s="305"/>
      <c r="AA234" s="305"/>
      <c r="AB234" s="305"/>
      <c r="AC234" s="305"/>
      <c r="AD234" s="305"/>
      <c r="AE234" s="305"/>
      <c r="AF234" s="305"/>
    </row>
    <row r="235" spans="1:32" s="52" customFormat="1" ht="14.25" customHeight="1" thickBot="1">
      <c r="A235" s="394"/>
      <c r="B235" s="3416"/>
      <c r="C235" s="3411"/>
      <c r="D235" s="3421"/>
      <c r="E235" s="1506" t="s">
        <v>442</v>
      </c>
      <c r="F235" s="1512" t="s">
        <v>443</v>
      </c>
      <c r="G235" s="3411"/>
      <c r="H235" s="3421"/>
      <c r="I235" s="3411"/>
      <c r="J235" s="278"/>
      <c r="K235" s="3406"/>
      <c r="M235" s="305"/>
      <c r="W235" s="305"/>
      <c r="X235" s="305"/>
      <c r="Y235" s="305"/>
      <c r="Z235" s="305"/>
      <c r="AA235" s="305"/>
      <c r="AB235" s="305"/>
      <c r="AC235" s="305"/>
      <c r="AD235" s="305"/>
      <c r="AE235" s="305"/>
      <c r="AF235" s="305"/>
    </row>
    <row r="236" spans="1:32" s="52" customFormat="1" ht="14.25" customHeight="1">
      <c r="A236" s="285"/>
      <c r="B236" s="1478" t="s">
        <v>342</v>
      </c>
      <c r="C236" s="2301">
        <v>1964322</v>
      </c>
      <c r="D236" s="2302">
        <v>638991</v>
      </c>
      <c r="E236" s="2301">
        <v>184442</v>
      </c>
      <c r="F236" s="2302">
        <v>5963613</v>
      </c>
      <c r="G236" s="2301">
        <v>2997014</v>
      </c>
      <c r="H236" s="2302">
        <v>950011</v>
      </c>
      <c r="I236" s="1502">
        <f t="shared" ref="I236:I248" si="15">H236+G236+F236+E236+D236+C236</f>
        <v>12698393</v>
      </c>
      <c r="J236" s="385"/>
      <c r="K236" s="429"/>
      <c r="L236" s="497"/>
      <c r="M236" s="305"/>
      <c r="N236" s="430"/>
      <c r="O236" s="430"/>
      <c r="P236" s="430"/>
      <c r="Q236" s="430"/>
      <c r="R236" s="430"/>
      <c r="W236" s="305"/>
      <c r="X236" s="305"/>
      <c r="Y236" s="305"/>
      <c r="Z236" s="305"/>
      <c r="AA236" s="305"/>
      <c r="AB236" s="305"/>
      <c r="AC236" s="305"/>
      <c r="AD236" s="305"/>
      <c r="AE236" s="305"/>
      <c r="AF236" s="305"/>
    </row>
    <row r="237" spans="1:32" s="52" customFormat="1" ht="14.25" customHeight="1">
      <c r="A237" s="285"/>
      <c r="B237" s="2246" t="s">
        <v>444</v>
      </c>
      <c r="C237" s="804"/>
      <c r="D237" s="805"/>
      <c r="E237" s="804"/>
      <c r="F237" s="805"/>
      <c r="G237" s="804"/>
      <c r="H237" s="805"/>
      <c r="I237" s="2314">
        <f t="shared" si="15"/>
        <v>0</v>
      </c>
      <c r="J237" s="278"/>
      <c r="K237" s="429"/>
      <c r="L237" s="497"/>
      <c r="M237" s="305"/>
      <c r="N237" s="430"/>
      <c r="O237" s="430"/>
      <c r="P237" s="430"/>
      <c r="Q237" s="430"/>
      <c r="R237" s="430"/>
      <c r="W237" s="305"/>
      <c r="X237" s="305"/>
      <c r="Y237" s="305"/>
      <c r="Z237" s="305"/>
      <c r="AA237" s="305"/>
      <c r="AB237" s="305"/>
      <c r="AC237" s="305"/>
      <c r="AD237" s="305"/>
      <c r="AE237" s="305"/>
      <c r="AF237" s="305"/>
    </row>
    <row r="238" spans="1:32" s="52" customFormat="1" ht="14.25" customHeight="1">
      <c r="A238" s="285"/>
      <c r="B238" s="2246" t="s">
        <v>445</v>
      </c>
      <c r="C238" s="804">
        <v>-269620</v>
      </c>
      <c r="D238" s="805">
        <v>-6122</v>
      </c>
      <c r="E238" s="804">
        <v>0</v>
      </c>
      <c r="F238" s="805">
        <v>-145890</v>
      </c>
      <c r="G238" s="804">
        <v>0</v>
      </c>
      <c r="H238" s="805">
        <v>-362697</v>
      </c>
      <c r="I238" s="2314">
        <f t="shared" si="15"/>
        <v>-784329</v>
      </c>
      <c r="J238" s="293"/>
      <c r="K238" s="429"/>
      <c r="L238" s="497"/>
      <c r="M238" s="305"/>
      <c r="N238" s="430"/>
      <c r="O238" s="430"/>
      <c r="P238" s="430"/>
      <c r="Q238" s="430"/>
      <c r="R238" s="430"/>
      <c r="W238" s="305"/>
      <c r="X238" s="305"/>
      <c r="Y238" s="305"/>
      <c r="Z238" s="305"/>
      <c r="AA238" s="305"/>
      <c r="AB238" s="305"/>
      <c r="AC238" s="305"/>
      <c r="AD238" s="305"/>
      <c r="AE238" s="305"/>
      <c r="AF238" s="305"/>
    </row>
    <row r="239" spans="1:32" s="52" customFormat="1" ht="14.25" customHeight="1">
      <c r="A239" s="285"/>
      <c r="B239" s="2246" t="s">
        <v>446</v>
      </c>
      <c r="C239" s="804">
        <v>-1411130</v>
      </c>
      <c r="D239" s="805">
        <v>-527881</v>
      </c>
      <c r="E239" s="804">
        <v>-71360</v>
      </c>
      <c r="F239" s="805">
        <v>-1973408</v>
      </c>
      <c r="G239" s="804">
        <v>-1191033</v>
      </c>
      <c r="H239" s="805">
        <v>-415214</v>
      </c>
      <c r="I239" s="2314">
        <f t="shared" si="15"/>
        <v>-5590026</v>
      </c>
      <c r="J239" s="293"/>
      <c r="K239" s="416"/>
      <c r="L239" s="497"/>
      <c r="M239" s="305"/>
      <c r="N239" s="430"/>
      <c r="O239" s="430"/>
      <c r="P239" s="430"/>
      <c r="Q239" s="430"/>
      <c r="R239" s="430"/>
      <c r="W239" s="305"/>
      <c r="X239" s="305"/>
      <c r="Y239" s="305"/>
      <c r="Z239" s="305"/>
      <c r="AA239" s="305"/>
      <c r="AB239" s="305"/>
      <c r="AC239" s="305"/>
      <c r="AD239" s="305"/>
      <c r="AE239" s="305"/>
      <c r="AF239" s="305"/>
    </row>
    <row r="240" spans="1:32" s="52" customFormat="1" ht="14.25" customHeight="1">
      <c r="A240" s="285"/>
      <c r="B240" s="2248" t="s">
        <v>447</v>
      </c>
      <c r="C240" s="2249">
        <v>283571</v>
      </c>
      <c r="D240" s="2250">
        <v>104988</v>
      </c>
      <c r="E240" s="2249">
        <v>113081</v>
      </c>
      <c r="F240" s="2250">
        <v>3844315</v>
      </c>
      <c r="G240" s="2249">
        <v>1805981</v>
      </c>
      <c r="H240" s="2250">
        <v>172099</v>
      </c>
      <c r="I240" s="2327">
        <f>H240+G240+F240+E240+D240+C240</f>
        <v>6324035</v>
      </c>
      <c r="J240" s="293"/>
      <c r="K240" s="416"/>
      <c r="L240" s="497"/>
      <c r="M240" s="305"/>
      <c r="N240" s="430"/>
      <c r="O240" s="430"/>
      <c r="P240" s="430"/>
      <c r="Q240" s="430"/>
      <c r="R240" s="430"/>
      <c r="W240" s="305"/>
      <c r="X240" s="305"/>
      <c r="Y240" s="305"/>
      <c r="Z240" s="305"/>
      <c r="AA240" s="305"/>
      <c r="AB240" s="305"/>
      <c r="AC240" s="305"/>
      <c r="AD240" s="305"/>
      <c r="AE240" s="305"/>
      <c r="AF240" s="305"/>
    </row>
    <row r="241" spans="1:32" s="52" customFormat="1" ht="14.25" customHeight="1">
      <c r="A241" s="285"/>
      <c r="B241" s="2246" t="s">
        <v>448</v>
      </c>
      <c r="C241" s="2275">
        <v>-11543</v>
      </c>
      <c r="D241" s="2274">
        <v>-9498</v>
      </c>
      <c r="E241" s="2275">
        <v>5583</v>
      </c>
      <c r="F241" s="2274">
        <v>-29447</v>
      </c>
      <c r="G241" s="2275">
        <v>1023</v>
      </c>
      <c r="H241" s="2274">
        <v>-6279</v>
      </c>
      <c r="I241" s="2314">
        <f t="shared" si="15"/>
        <v>-50161</v>
      </c>
      <c r="J241" s="293"/>
      <c r="K241" s="416"/>
      <c r="L241" s="497"/>
      <c r="M241" s="305"/>
      <c r="N241" s="430"/>
      <c r="O241" s="430"/>
      <c r="P241" s="430"/>
      <c r="Q241" s="430"/>
      <c r="R241" s="430"/>
      <c r="W241" s="305"/>
      <c r="X241" s="305"/>
      <c r="Y241" s="305"/>
      <c r="Z241" s="305"/>
      <c r="AA241" s="305"/>
      <c r="AB241" s="305"/>
      <c r="AC241" s="305"/>
      <c r="AD241" s="305"/>
      <c r="AE241" s="305"/>
      <c r="AF241" s="305"/>
    </row>
    <row r="242" spans="1:32" s="52" customFormat="1" ht="14.25" customHeight="1">
      <c r="A242" s="285"/>
      <c r="B242" s="2248" t="s">
        <v>449</v>
      </c>
      <c r="C242" s="2249">
        <v>272028</v>
      </c>
      <c r="D242" s="2250">
        <v>95490</v>
      </c>
      <c r="E242" s="2249">
        <v>118665</v>
      </c>
      <c r="F242" s="2250">
        <v>3814868</v>
      </c>
      <c r="G242" s="2249">
        <v>1807004</v>
      </c>
      <c r="H242" s="2250">
        <v>165820</v>
      </c>
      <c r="I242" s="2327">
        <f t="shared" si="15"/>
        <v>6273875</v>
      </c>
      <c r="J242" s="293"/>
      <c r="K242" s="416"/>
      <c r="L242" s="497"/>
      <c r="M242" s="305"/>
      <c r="N242" s="430"/>
      <c r="O242" s="430"/>
      <c r="P242" s="430"/>
      <c r="Q242" s="430"/>
      <c r="R242" s="430"/>
      <c r="W242" s="305"/>
      <c r="X242" s="305"/>
      <c r="Y242" s="305"/>
      <c r="Z242" s="305"/>
      <c r="AA242" s="305"/>
      <c r="AB242" s="305"/>
      <c r="AC242" s="305"/>
      <c r="AD242" s="305"/>
      <c r="AE242" s="305"/>
      <c r="AF242" s="305"/>
    </row>
    <row r="243" spans="1:32" s="52" customFormat="1" ht="14.25" customHeight="1">
      <c r="A243" s="285"/>
      <c r="B243" s="2246"/>
      <c r="C243" s="1866"/>
      <c r="D243" s="1865"/>
      <c r="E243" s="1866"/>
      <c r="F243" s="1865"/>
      <c r="G243" s="1866"/>
      <c r="H243" s="1865"/>
      <c r="I243" s="2314">
        <f t="shared" si="15"/>
        <v>0</v>
      </c>
      <c r="J243" s="278"/>
      <c r="K243" s="416"/>
      <c r="L243" s="497"/>
      <c r="M243" s="305"/>
      <c r="W243" s="305"/>
      <c r="X243" s="305"/>
      <c r="Y243" s="305"/>
      <c r="Z243" s="305"/>
      <c r="AA243" s="305"/>
      <c r="AB243" s="305"/>
      <c r="AC243" s="305"/>
      <c r="AD243" s="305"/>
      <c r="AE243" s="305"/>
      <c r="AF243" s="305"/>
    </row>
    <row r="244" spans="1:32" s="52" customFormat="1" ht="14.25" customHeight="1">
      <c r="A244" s="285"/>
      <c r="B244" s="2248" t="s">
        <v>450</v>
      </c>
      <c r="C244" s="1866"/>
      <c r="D244" s="1865"/>
      <c r="E244" s="1866"/>
      <c r="F244" s="1865"/>
      <c r="G244" s="1866"/>
      <c r="H244" s="1865"/>
      <c r="I244" s="2314">
        <f t="shared" si="15"/>
        <v>0</v>
      </c>
      <c r="J244" s="278"/>
      <c r="K244" s="416"/>
      <c r="L244" s="497"/>
      <c r="M244" s="305"/>
      <c r="N244" s="430"/>
      <c r="O244" s="430"/>
      <c r="P244" s="430"/>
      <c r="Q244" s="430"/>
      <c r="R244" s="430"/>
      <c r="W244" s="305"/>
      <c r="X244" s="305"/>
      <c r="Y244" s="305"/>
      <c r="Z244" s="305"/>
      <c r="AA244" s="305"/>
      <c r="AB244" s="305"/>
      <c r="AC244" s="305"/>
      <c r="AD244" s="305"/>
      <c r="AE244" s="305"/>
      <c r="AF244" s="305"/>
    </row>
    <row r="245" spans="1:32" s="52" customFormat="1" ht="27.6" customHeight="1">
      <c r="A245" s="285"/>
      <c r="B245" s="2246" t="s">
        <v>451</v>
      </c>
      <c r="C245" s="2275">
        <v>-79409</v>
      </c>
      <c r="D245" s="2274">
        <v>-48826</v>
      </c>
      <c r="E245" s="2275">
        <v>-68592</v>
      </c>
      <c r="F245" s="2274">
        <v>-2217802</v>
      </c>
      <c r="G245" s="2275">
        <v>-1401810</v>
      </c>
      <c r="H245" s="2274">
        <v>-66912</v>
      </c>
      <c r="I245" s="2314">
        <f t="shared" si="15"/>
        <v>-3883351</v>
      </c>
      <c r="J245" s="293"/>
      <c r="K245" s="416"/>
      <c r="L245" s="497"/>
      <c r="M245" s="305"/>
      <c r="N245" s="430"/>
      <c r="O245" s="430"/>
      <c r="P245" s="430"/>
      <c r="Q245" s="430"/>
      <c r="R245" s="430"/>
      <c r="W245" s="305"/>
      <c r="X245" s="305"/>
      <c r="Y245" s="305"/>
      <c r="Z245" s="305"/>
      <c r="AA245" s="305"/>
      <c r="AB245" s="305"/>
      <c r="AC245" s="305"/>
      <c r="AD245" s="305"/>
      <c r="AE245" s="305"/>
      <c r="AF245" s="305"/>
    </row>
    <row r="246" spans="1:32" s="52" customFormat="1" ht="14.25" customHeight="1">
      <c r="A246" s="285"/>
      <c r="B246" s="2246" t="s">
        <v>452</v>
      </c>
      <c r="C246" s="804">
        <v>80931</v>
      </c>
      <c r="D246" s="805">
        <v>42570</v>
      </c>
      <c r="E246" s="804">
        <v>4887</v>
      </c>
      <c r="F246" s="805">
        <v>-165393</v>
      </c>
      <c r="G246" s="804">
        <v>-220861</v>
      </c>
      <c r="H246" s="805">
        <v>11394</v>
      </c>
      <c r="I246" s="2314">
        <f t="shared" si="15"/>
        <v>-246472</v>
      </c>
      <c r="J246" s="293"/>
      <c r="K246" s="416"/>
      <c r="L246" s="497"/>
      <c r="M246" s="305"/>
      <c r="N246" s="430"/>
      <c r="O246" s="430"/>
      <c r="P246" s="430"/>
      <c r="Q246" s="430"/>
      <c r="R246" s="430"/>
      <c r="W246" s="305"/>
      <c r="X246" s="305"/>
      <c r="Y246" s="305"/>
      <c r="Z246" s="305"/>
      <c r="AA246" s="305"/>
      <c r="AB246" s="305"/>
      <c r="AC246" s="305"/>
      <c r="AD246" s="305"/>
      <c r="AE246" s="305"/>
      <c r="AF246" s="305"/>
    </row>
    <row r="247" spans="1:32" s="52" customFormat="1" ht="14.25" customHeight="1">
      <c r="A247" s="285"/>
      <c r="B247" s="2246" t="s">
        <v>453</v>
      </c>
      <c r="C247" s="804">
        <v>-84858</v>
      </c>
      <c r="D247" s="805">
        <v>-29788</v>
      </c>
      <c r="E247" s="804">
        <v>-37017</v>
      </c>
      <c r="F247" s="805">
        <v>-1190033</v>
      </c>
      <c r="G247" s="804">
        <v>-563688</v>
      </c>
      <c r="H247" s="805">
        <v>-51727</v>
      </c>
      <c r="I247" s="2314">
        <f t="shared" si="15"/>
        <v>-1957111</v>
      </c>
      <c r="J247" s="278"/>
      <c r="K247" s="416"/>
      <c r="L247" s="497"/>
      <c r="M247" s="305"/>
      <c r="N247" s="430"/>
      <c r="O247" s="430"/>
      <c r="P247" s="430"/>
      <c r="Q247" s="430"/>
      <c r="R247" s="430"/>
      <c r="W247" s="305"/>
      <c r="X247" s="305"/>
      <c r="Y247" s="305"/>
      <c r="Z247" s="305"/>
      <c r="AA247" s="305"/>
      <c r="AB247" s="305"/>
      <c r="AC247" s="305"/>
      <c r="AD247" s="305"/>
      <c r="AE247" s="305"/>
      <c r="AF247" s="305"/>
    </row>
    <row r="248" spans="1:32" s="52" customFormat="1" ht="14.25" customHeight="1">
      <c r="A248" s="285"/>
      <c r="B248" s="2248" t="s">
        <v>454</v>
      </c>
      <c r="C248" s="2249">
        <f t="shared" ref="C248:H248" si="16">C242+C245+C246+C247</f>
        <v>188692</v>
      </c>
      <c r="D248" s="2250">
        <f t="shared" si="16"/>
        <v>59446</v>
      </c>
      <c r="E248" s="2249">
        <f t="shared" si="16"/>
        <v>17943</v>
      </c>
      <c r="F248" s="2250">
        <f t="shared" si="16"/>
        <v>241640</v>
      </c>
      <c r="G248" s="2249">
        <f t="shared" si="16"/>
        <v>-379355</v>
      </c>
      <c r="H248" s="2250">
        <f t="shared" si="16"/>
        <v>58575</v>
      </c>
      <c r="I248" s="2327">
        <f t="shared" si="15"/>
        <v>186941</v>
      </c>
      <c r="J248" s="293"/>
      <c r="K248" s="432"/>
      <c r="L248" s="497"/>
      <c r="M248" s="305"/>
      <c r="N248" s="430"/>
      <c r="O248" s="430"/>
      <c r="P248" s="430"/>
      <c r="Q248" s="430"/>
      <c r="R248" s="430"/>
      <c r="W248" s="305"/>
      <c r="X248" s="305"/>
      <c r="Y248" s="305"/>
      <c r="Z248" s="305"/>
      <c r="AA248" s="305"/>
      <c r="AB248" s="305"/>
      <c r="AC248" s="305"/>
      <c r="AD248" s="305"/>
      <c r="AE248" s="305"/>
      <c r="AF248" s="305"/>
    </row>
    <row r="249" spans="1:32" s="52" customFormat="1" ht="14.25" customHeight="1">
      <c r="A249" s="285"/>
      <c r="B249" s="2246"/>
      <c r="C249" s="2316"/>
      <c r="D249" s="2318"/>
      <c r="E249" s="2316"/>
      <c r="F249" s="2318"/>
      <c r="G249" s="2316"/>
      <c r="H249" s="2318"/>
      <c r="I249" s="2314"/>
      <c r="J249" s="278"/>
      <c r="K249" s="416"/>
      <c r="L249" s="497"/>
      <c r="M249" s="305"/>
      <c r="W249" s="305"/>
      <c r="X249" s="305"/>
      <c r="Y249" s="305"/>
      <c r="Z249" s="305"/>
      <c r="AA249" s="305"/>
      <c r="AB249" s="305"/>
      <c r="AC249" s="305"/>
      <c r="AD249" s="305"/>
      <c r="AE249" s="305"/>
      <c r="AF249" s="305"/>
    </row>
    <row r="250" spans="1:32" s="52" customFormat="1" ht="14.25" customHeight="1">
      <c r="A250" s="285"/>
      <c r="B250" s="2248" t="s">
        <v>455</v>
      </c>
      <c r="C250" s="2316"/>
      <c r="D250" s="2318"/>
      <c r="E250" s="2316"/>
      <c r="F250" s="2318"/>
      <c r="G250" s="2316"/>
      <c r="H250" s="2318"/>
      <c r="I250" s="2327">
        <f>SUM(I252:I255)</f>
        <v>932380</v>
      </c>
      <c r="J250" s="278"/>
      <c r="K250" s="416"/>
      <c r="L250" s="497"/>
      <c r="M250" s="305"/>
      <c r="W250" s="305"/>
      <c r="X250" s="305"/>
      <c r="Y250" s="305"/>
      <c r="Z250" s="305"/>
      <c r="AA250" s="305"/>
      <c r="AB250" s="305"/>
      <c r="AC250" s="305"/>
      <c r="AD250" s="305"/>
      <c r="AE250" s="305"/>
      <c r="AF250" s="305"/>
    </row>
    <row r="251" spans="1:32" s="52" customFormat="1" ht="14.25" customHeight="1">
      <c r="A251" s="285"/>
      <c r="B251" s="2246" t="s">
        <v>456</v>
      </c>
      <c r="C251" s="2316"/>
      <c r="D251" s="2318"/>
      <c r="E251" s="2316"/>
      <c r="F251" s="2318"/>
      <c r="G251" s="2316"/>
      <c r="H251" s="2318"/>
      <c r="I251" s="2314">
        <v>0</v>
      </c>
      <c r="J251" s="278"/>
      <c r="K251" s="416"/>
      <c r="L251" s="497"/>
      <c r="M251" s="305"/>
      <c r="W251" s="305"/>
      <c r="X251" s="305"/>
      <c r="Y251" s="305"/>
      <c r="Z251" s="305"/>
      <c r="AA251" s="305"/>
      <c r="AB251" s="305"/>
      <c r="AC251" s="305"/>
      <c r="AD251" s="305"/>
      <c r="AE251" s="305"/>
      <c r="AF251" s="305"/>
    </row>
    <row r="252" spans="1:32" s="52" customFormat="1" ht="14.25" customHeight="1">
      <c r="A252" s="285"/>
      <c r="B252" s="2246" t="s">
        <v>472</v>
      </c>
      <c r="C252" s="2316"/>
      <c r="D252" s="2318"/>
      <c r="E252" s="2316"/>
      <c r="F252" s="2318"/>
      <c r="G252" s="2316"/>
      <c r="H252" s="2318"/>
      <c r="I252" s="2349">
        <v>778042</v>
      </c>
      <c r="J252" s="278"/>
      <c r="K252" s="416"/>
      <c r="L252" s="497"/>
      <c r="M252" s="305"/>
      <c r="W252" s="305"/>
      <c r="X252" s="305"/>
      <c r="Y252" s="305"/>
      <c r="Z252" s="305"/>
      <c r="AA252" s="305"/>
      <c r="AB252" s="305"/>
      <c r="AC252" s="305"/>
      <c r="AD252" s="305"/>
      <c r="AE252" s="305"/>
      <c r="AF252" s="305"/>
    </row>
    <row r="253" spans="1:32" s="52" customFormat="1" ht="14.25" customHeight="1">
      <c r="A253" s="285"/>
      <c r="B253" s="2246" t="s">
        <v>458</v>
      </c>
      <c r="C253" s="2316"/>
      <c r="D253" s="2318"/>
      <c r="E253" s="2316"/>
      <c r="F253" s="2318"/>
      <c r="G253" s="2316"/>
      <c r="H253" s="2318"/>
      <c r="I253" s="1513"/>
      <c r="J253" s="278"/>
      <c r="K253" s="416"/>
      <c r="L253" s="497"/>
      <c r="M253" s="305"/>
      <c r="W253" s="305"/>
      <c r="X253" s="305"/>
      <c r="Y253" s="305"/>
      <c r="Z253" s="305"/>
      <c r="AA253" s="305"/>
      <c r="AB253" s="305"/>
      <c r="AC253" s="305"/>
      <c r="AD253" s="305"/>
      <c r="AE253" s="305"/>
      <c r="AF253" s="305"/>
    </row>
    <row r="254" spans="1:32" s="52" customFormat="1" ht="14.25" customHeight="1">
      <c r="A254" s="285"/>
      <c r="B254" s="2246" t="s">
        <v>459</v>
      </c>
      <c r="C254" s="2316"/>
      <c r="D254" s="2318"/>
      <c r="E254" s="2316"/>
      <c r="F254" s="2318"/>
      <c r="G254" s="2316"/>
      <c r="H254" s="2318"/>
      <c r="I254" s="1513"/>
      <c r="J254" s="278"/>
      <c r="K254" s="416"/>
      <c r="L254" s="497"/>
      <c r="M254" s="305"/>
      <c r="W254" s="305"/>
      <c r="X254" s="305"/>
      <c r="Y254" s="305"/>
      <c r="Z254" s="305"/>
      <c r="AA254" s="305"/>
      <c r="AB254" s="305"/>
      <c r="AC254" s="305"/>
      <c r="AD254" s="305"/>
      <c r="AE254" s="305"/>
      <c r="AF254" s="305"/>
    </row>
    <row r="255" spans="1:32" s="52" customFormat="1" ht="14.25" customHeight="1">
      <c r="A255" s="285"/>
      <c r="B255" s="2246" t="s">
        <v>460</v>
      </c>
      <c r="C255" s="2316"/>
      <c r="D255" s="2318"/>
      <c r="E255" s="2316"/>
      <c r="F255" s="2318"/>
      <c r="G255" s="2316"/>
      <c r="H255" s="2318"/>
      <c r="I255" s="1513">
        <v>154338</v>
      </c>
      <c r="J255" s="278"/>
      <c r="K255" s="416"/>
      <c r="L255" s="497"/>
      <c r="M255" s="305"/>
      <c r="W255" s="305"/>
      <c r="X255" s="305"/>
      <c r="Y255" s="305"/>
      <c r="Z255" s="305"/>
      <c r="AA255" s="305"/>
      <c r="AB255" s="305"/>
      <c r="AC255" s="305"/>
      <c r="AD255" s="305"/>
      <c r="AE255" s="305"/>
      <c r="AF255" s="305"/>
    </row>
    <row r="256" spans="1:32" s="52" customFormat="1" ht="14.25" customHeight="1">
      <c r="A256" s="285"/>
      <c r="B256" s="2246"/>
      <c r="C256" s="2316"/>
      <c r="D256" s="2318"/>
      <c r="E256" s="2316"/>
      <c r="F256" s="2318"/>
      <c r="G256" s="2316"/>
      <c r="H256" s="2318"/>
      <c r="I256" s="2314"/>
      <c r="J256" s="278"/>
      <c r="K256" s="416"/>
      <c r="L256" s="497"/>
      <c r="M256" s="305"/>
      <c r="W256" s="305"/>
      <c r="X256" s="305"/>
      <c r="Y256" s="305"/>
      <c r="Z256" s="305"/>
      <c r="AA256" s="305"/>
      <c r="AB256" s="305"/>
      <c r="AC256" s="305"/>
      <c r="AD256" s="305"/>
      <c r="AE256" s="305"/>
      <c r="AF256" s="305"/>
    </row>
    <row r="257" spans="1:32" s="52" customFormat="1" ht="14.25" customHeight="1">
      <c r="A257" s="285"/>
      <c r="B257" s="2248" t="s">
        <v>461</v>
      </c>
      <c r="C257" s="2316"/>
      <c r="D257" s="2318"/>
      <c r="E257" s="2316"/>
      <c r="F257" s="2318"/>
      <c r="G257" s="2316"/>
      <c r="H257" s="2318"/>
      <c r="I257" s="2314">
        <f>I258+I259</f>
        <v>-236330</v>
      </c>
      <c r="J257" s="278"/>
      <c r="K257" s="416"/>
      <c r="L257" s="497"/>
      <c r="M257" s="305"/>
      <c r="W257" s="305"/>
      <c r="X257" s="305"/>
      <c r="Y257" s="305"/>
      <c r="Z257" s="305"/>
      <c r="AA257" s="305"/>
      <c r="AB257" s="305"/>
      <c r="AC257" s="305"/>
      <c r="AD257" s="305"/>
      <c r="AE257" s="305"/>
      <c r="AF257" s="305"/>
    </row>
    <row r="258" spans="1:32" s="52" customFormat="1" ht="27.6" customHeight="1">
      <c r="A258" s="285"/>
      <c r="B258" s="2246" t="s">
        <v>462</v>
      </c>
      <c r="C258" s="2316"/>
      <c r="D258" s="2318"/>
      <c r="E258" s="2316"/>
      <c r="F258" s="2318"/>
      <c r="G258" s="2316"/>
      <c r="H258" s="2318"/>
      <c r="I258" s="2296">
        <v>-236330</v>
      </c>
      <c r="J258" s="278"/>
      <c r="K258" s="416"/>
      <c r="L258" s="497"/>
      <c r="M258" s="305"/>
      <c r="W258" s="305"/>
      <c r="X258" s="305"/>
      <c r="Y258" s="305"/>
      <c r="Z258" s="305"/>
      <c r="AA258" s="305"/>
      <c r="AB258" s="305"/>
      <c r="AC258" s="305"/>
      <c r="AD258" s="305"/>
      <c r="AE258" s="305"/>
      <c r="AF258" s="305"/>
    </row>
    <row r="259" spans="1:32" s="52" customFormat="1" ht="27.6" customHeight="1">
      <c r="A259" s="285"/>
      <c r="B259" s="2246" t="s">
        <v>463</v>
      </c>
      <c r="C259" s="2316"/>
      <c r="D259" s="2318"/>
      <c r="E259" s="2316"/>
      <c r="F259" s="2318"/>
      <c r="G259" s="2316"/>
      <c r="H259" s="2318"/>
      <c r="I259" s="2314"/>
      <c r="J259" s="278"/>
      <c r="K259" s="416"/>
      <c r="L259" s="497"/>
      <c r="M259" s="305"/>
      <c r="W259" s="305"/>
      <c r="X259" s="305"/>
      <c r="Y259" s="305"/>
      <c r="Z259" s="305"/>
      <c r="AA259" s="305"/>
      <c r="AB259" s="305"/>
      <c r="AC259" s="305"/>
      <c r="AD259" s="305"/>
      <c r="AE259" s="305"/>
      <c r="AF259" s="305"/>
    </row>
    <row r="260" spans="1:32" s="52" customFormat="1" ht="14.25" customHeight="1">
      <c r="A260" s="285"/>
      <c r="B260" s="2248" t="s">
        <v>464</v>
      </c>
      <c r="C260" s="2316"/>
      <c r="D260" s="2318"/>
      <c r="E260" s="2316"/>
      <c r="F260" s="2318"/>
      <c r="G260" s="2316"/>
      <c r="H260" s="2318"/>
      <c r="I260" s="2327">
        <f>+I248+I250+I258</f>
        <v>882991</v>
      </c>
      <c r="J260" s="278"/>
      <c r="K260" s="416"/>
      <c r="L260" s="497"/>
      <c r="M260" s="305"/>
      <c r="W260" s="305"/>
      <c r="X260" s="305"/>
      <c r="Y260" s="305"/>
      <c r="Z260" s="305"/>
      <c r="AA260" s="305"/>
      <c r="AB260" s="305"/>
      <c r="AC260" s="305"/>
      <c r="AD260" s="305"/>
      <c r="AE260" s="305"/>
      <c r="AF260" s="305"/>
    </row>
    <row r="261" spans="1:32" s="52" customFormat="1" ht="14.25" customHeight="1">
      <c r="A261" s="285"/>
      <c r="B261" s="2246" t="s">
        <v>465</v>
      </c>
      <c r="C261" s="2316"/>
      <c r="D261" s="2318"/>
      <c r="E261" s="2316"/>
      <c r="F261" s="2318"/>
      <c r="G261" s="2316"/>
      <c r="H261" s="2318"/>
      <c r="I261" s="2314"/>
      <c r="J261" s="278"/>
      <c r="K261" s="416"/>
      <c r="L261" s="497"/>
      <c r="M261" s="305"/>
      <c r="W261" s="305"/>
      <c r="X261" s="305"/>
      <c r="Y261" s="305"/>
      <c r="Z261" s="305"/>
      <c r="AA261" s="305"/>
      <c r="AB261" s="305"/>
      <c r="AC261" s="305"/>
      <c r="AD261" s="305"/>
      <c r="AE261" s="305"/>
      <c r="AF261" s="305"/>
    </row>
    <row r="262" spans="1:32" s="52" customFormat="1" ht="14.25" customHeight="1">
      <c r="A262" s="285"/>
      <c r="B262" s="2248" t="s">
        <v>466</v>
      </c>
      <c r="C262" s="2316"/>
      <c r="D262" s="2318"/>
      <c r="E262" s="2316"/>
      <c r="F262" s="2318"/>
      <c r="G262" s="2316"/>
      <c r="H262" s="2318"/>
      <c r="I262" s="2327">
        <f>SUM(I260:I261)</f>
        <v>882991</v>
      </c>
      <c r="J262" s="278"/>
      <c r="K262" s="416"/>
      <c r="L262" s="497"/>
      <c r="M262" s="305"/>
      <c r="W262" s="305"/>
      <c r="X262" s="305"/>
      <c r="Y262" s="305"/>
      <c r="Z262" s="305"/>
      <c r="AA262" s="305"/>
      <c r="AB262" s="305"/>
      <c r="AC262" s="305"/>
      <c r="AD262" s="305"/>
      <c r="AE262" s="305"/>
      <c r="AF262" s="305"/>
    </row>
    <row r="263" spans="1:32" s="52" customFormat="1" ht="14.25" customHeight="1">
      <c r="A263" s="285"/>
      <c r="B263" s="2246" t="s">
        <v>467</v>
      </c>
      <c r="C263" s="2316"/>
      <c r="D263" s="2318"/>
      <c r="E263" s="2316"/>
      <c r="F263" s="2318"/>
      <c r="G263" s="2316"/>
      <c r="H263" s="2318"/>
      <c r="I263" s="2296">
        <v>-194096</v>
      </c>
      <c r="J263" s="278"/>
      <c r="K263" s="416"/>
      <c r="L263" s="497"/>
      <c r="M263" s="305"/>
      <c r="W263" s="305"/>
      <c r="X263" s="305"/>
      <c r="Y263" s="305"/>
      <c r="Z263" s="305"/>
      <c r="AA263" s="305"/>
      <c r="AB263" s="305"/>
      <c r="AC263" s="305"/>
      <c r="AD263" s="305"/>
      <c r="AE263" s="305"/>
      <c r="AF263" s="305"/>
    </row>
    <row r="264" spans="1:32" s="52" customFormat="1" ht="14.25" customHeight="1" thickBot="1">
      <c r="A264" s="285"/>
      <c r="B264" s="1501" t="s">
        <v>468</v>
      </c>
      <c r="C264" s="823"/>
      <c r="D264" s="1110"/>
      <c r="E264" s="823"/>
      <c r="F264" s="1110"/>
      <c r="G264" s="823"/>
      <c r="H264" s="1110"/>
      <c r="I264" s="1504">
        <f>SUM(I262:I263)</f>
        <v>688895</v>
      </c>
      <c r="J264" s="278"/>
      <c r="K264" s="416"/>
      <c r="L264" s="497"/>
      <c r="M264" s="305"/>
      <c r="W264" s="305"/>
      <c r="X264" s="305"/>
      <c r="Y264" s="305"/>
      <c r="Z264" s="305"/>
      <c r="AA264" s="305"/>
      <c r="AB264" s="305"/>
      <c r="AC264" s="305"/>
      <c r="AD264" s="305"/>
      <c r="AE264" s="305"/>
      <c r="AF264" s="305"/>
    </row>
    <row r="265" spans="1:32" s="52" customFormat="1" ht="14.25" customHeight="1">
      <c r="A265" s="285"/>
      <c r="B265" s="391"/>
      <c r="C265" s="264"/>
      <c r="D265" s="264"/>
      <c r="E265" s="264"/>
      <c r="F265" s="264"/>
      <c r="G265" s="264"/>
      <c r="H265" s="264"/>
      <c r="I265" s="264"/>
      <c r="J265" s="383"/>
      <c r="K265" s="416"/>
      <c r="L265" s="430"/>
      <c r="M265" s="305"/>
      <c r="W265" s="305"/>
      <c r="X265" s="305"/>
      <c r="Y265" s="305"/>
      <c r="Z265" s="305"/>
      <c r="AA265" s="305"/>
      <c r="AB265" s="305"/>
      <c r="AC265" s="305"/>
      <c r="AD265" s="305"/>
      <c r="AE265" s="305"/>
      <c r="AF265" s="305"/>
    </row>
    <row r="266" spans="1:32" s="52" customFormat="1" ht="14.25" customHeight="1">
      <c r="A266" s="285"/>
      <c r="B266" s="391"/>
      <c r="C266" s="264"/>
      <c r="D266" s="264"/>
      <c r="E266" s="264"/>
      <c r="F266" s="264"/>
      <c r="G266" s="264"/>
      <c r="H266" s="264"/>
      <c r="I266" s="264"/>
      <c r="J266" s="383"/>
      <c r="K266" s="394">
        <v>132</v>
      </c>
      <c r="L266" s="430"/>
      <c r="M266" s="305"/>
      <c r="W266" s="305"/>
      <c r="X266" s="305"/>
      <c r="Y266" s="305"/>
      <c r="Z266" s="305"/>
      <c r="AA266" s="305"/>
      <c r="AB266" s="305"/>
      <c r="AC266" s="305"/>
      <c r="AD266" s="305"/>
      <c r="AE266" s="305"/>
      <c r="AF266" s="305"/>
    </row>
    <row r="267" spans="1:32" s="52" customFormat="1" ht="14.25" customHeight="1">
      <c r="A267" s="285"/>
      <c r="B267" s="455"/>
      <c r="C267" s="414"/>
      <c r="D267" s="414"/>
      <c r="E267" s="414"/>
      <c r="F267" s="414"/>
      <c r="G267" s="414"/>
      <c r="H267" s="414"/>
      <c r="I267" s="278"/>
      <c r="J267" s="278"/>
      <c r="K267" s="416"/>
      <c r="M267" s="305"/>
      <c r="W267" s="305"/>
      <c r="X267" s="305"/>
      <c r="Y267" s="305"/>
      <c r="Z267" s="305"/>
      <c r="AA267" s="305"/>
      <c r="AB267" s="305"/>
      <c r="AC267" s="305"/>
      <c r="AD267" s="305"/>
      <c r="AE267" s="305"/>
      <c r="AF267" s="305"/>
    </row>
    <row r="268" spans="1:32" s="52" customFormat="1" ht="14.25" customHeight="1">
      <c r="A268" s="285"/>
      <c r="B268" s="236" t="s">
        <v>477</v>
      </c>
      <c r="C268" s="279"/>
      <c r="D268" s="279"/>
      <c r="E268" s="414"/>
      <c r="F268" s="414"/>
      <c r="G268" s="414"/>
      <c r="H268" s="414"/>
      <c r="I268" s="278"/>
      <c r="J268" s="278"/>
      <c r="K268" s="416"/>
      <c r="M268" s="305"/>
      <c r="W268" s="305"/>
      <c r="X268" s="305"/>
      <c r="Y268" s="305"/>
      <c r="Z268" s="305"/>
      <c r="AA268" s="305"/>
      <c r="AB268" s="305"/>
      <c r="AC268" s="305"/>
      <c r="AD268" s="305"/>
      <c r="AE268" s="305"/>
      <c r="AF268" s="305"/>
    </row>
    <row r="269" spans="1:32" s="52" customFormat="1" ht="14.25" customHeight="1" thickBot="1">
      <c r="A269" s="285"/>
      <c r="B269" s="51"/>
      <c r="C269" s="526"/>
      <c r="D269" s="526"/>
      <c r="E269" s="414"/>
      <c r="F269" s="414"/>
      <c r="G269" s="414"/>
      <c r="H269" s="414"/>
      <c r="I269" s="278"/>
      <c r="J269" s="278"/>
      <c r="K269" s="416"/>
      <c r="M269" s="305"/>
      <c r="W269" s="305"/>
      <c r="X269" s="305"/>
      <c r="Y269" s="305"/>
      <c r="Z269" s="305"/>
      <c r="AA269" s="305"/>
      <c r="AB269" s="305"/>
      <c r="AC269" s="305"/>
      <c r="AD269" s="305"/>
      <c r="AE269" s="305"/>
      <c r="AF269" s="305"/>
    </row>
    <row r="270" spans="1:32" ht="14.25" customHeight="1">
      <c r="B270" s="1481" t="s">
        <v>104</v>
      </c>
      <c r="C270" s="468"/>
      <c r="D270" s="468"/>
      <c r="E270" s="468"/>
      <c r="F270" s="468"/>
      <c r="H270" s="3414" t="s">
        <v>238</v>
      </c>
      <c r="I270" s="3414"/>
      <c r="J270" s="385"/>
      <c r="K270" s="52"/>
      <c r="M270" s="305"/>
      <c r="W270" s="305"/>
      <c r="X270" s="305"/>
      <c r="Y270" s="305"/>
      <c r="Z270" s="305"/>
      <c r="AA270" s="305"/>
      <c r="AB270" s="305"/>
      <c r="AC270" s="305"/>
      <c r="AD270" s="305"/>
      <c r="AE270" s="305"/>
      <c r="AF270" s="305"/>
    </row>
    <row r="271" spans="1:32" s="52" customFormat="1" ht="14.25" customHeight="1">
      <c r="A271" s="278"/>
      <c r="B271" s="3407"/>
      <c r="C271" s="3332">
        <v>2021</v>
      </c>
      <c r="D271" s="3333"/>
      <c r="E271" s="3333"/>
      <c r="F271" s="3333"/>
      <c r="G271" s="3333"/>
      <c r="H271" s="3333"/>
      <c r="I271" s="3334"/>
      <c r="J271" s="278"/>
      <c r="M271" s="305"/>
      <c r="W271" s="305"/>
      <c r="X271" s="305"/>
      <c r="Y271" s="305"/>
      <c r="Z271" s="305"/>
      <c r="AA271" s="305"/>
      <c r="AB271" s="305"/>
      <c r="AC271" s="305"/>
      <c r="AD271" s="305"/>
      <c r="AE271" s="305"/>
      <c r="AF271" s="305"/>
    </row>
    <row r="272" spans="1:32" s="52" customFormat="1" ht="14.25" customHeight="1">
      <c r="A272" s="394"/>
      <c r="B272" s="3415"/>
      <c r="C272" s="3410" t="s">
        <v>436</v>
      </c>
      <c r="D272" s="3417" t="s">
        <v>437</v>
      </c>
      <c r="E272" s="3412" t="s">
        <v>438</v>
      </c>
      <c r="F272" s="3419"/>
      <c r="G272" s="3410" t="s">
        <v>439</v>
      </c>
      <c r="H272" s="3420" t="s">
        <v>440</v>
      </c>
      <c r="I272" s="3410" t="s">
        <v>118</v>
      </c>
      <c r="J272" s="278"/>
      <c r="M272" s="305"/>
      <c r="W272" s="305"/>
      <c r="X272" s="305"/>
      <c r="Y272" s="305"/>
      <c r="Z272" s="305"/>
      <c r="AA272" s="305"/>
      <c r="AB272" s="305"/>
      <c r="AC272" s="305"/>
      <c r="AD272" s="305"/>
      <c r="AE272" s="305"/>
      <c r="AF272" s="305"/>
    </row>
    <row r="273" spans="1:32" s="52" customFormat="1" ht="14.25" customHeight="1" thickBot="1">
      <c r="A273" s="394"/>
      <c r="B273" s="3416"/>
      <c r="C273" s="3411"/>
      <c r="D273" s="3421"/>
      <c r="E273" s="1506" t="s">
        <v>442</v>
      </c>
      <c r="F273" s="1512" t="s">
        <v>443</v>
      </c>
      <c r="G273" s="3411"/>
      <c r="H273" s="3421"/>
      <c r="I273" s="3411"/>
      <c r="J273" s="278"/>
      <c r="M273" s="305"/>
      <c r="W273" s="305"/>
      <c r="X273" s="305"/>
      <c r="Y273" s="305"/>
      <c r="Z273" s="305"/>
      <c r="AA273" s="305"/>
      <c r="AB273" s="305"/>
      <c r="AC273" s="305"/>
      <c r="AD273" s="305"/>
      <c r="AE273" s="305"/>
      <c r="AF273" s="305"/>
    </row>
    <row r="274" spans="1:32" s="52" customFormat="1" ht="14.25" customHeight="1">
      <c r="A274" s="285"/>
      <c r="B274" s="1478" t="s">
        <v>342</v>
      </c>
      <c r="C274" s="2350">
        <v>759119</v>
      </c>
      <c r="D274" s="2351">
        <v>81874</v>
      </c>
      <c r="E274" s="2350">
        <v>3947</v>
      </c>
      <c r="F274" s="2351">
        <v>3861339</v>
      </c>
      <c r="G274" s="2350">
        <v>584277</v>
      </c>
      <c r="H274" s="2351">
        <v>358022</v>
      </c>
      <c r="I274" s="1514">
        <f t="shared" ref="I274:I286" si="17">H274+G274+F274+E274+D274+C274</f>
        <v>5648578</v>
      </c>
      <c r="J274" s="278"/>
      <c r="L274" s="305"/>
      <c r="M274" s="305"/>
      <c r="N274" s="305"/>
      <c r="O274" s="305"/>
      <c r="P274" s="305"/>
      <c r="Q274" s="305"/>
      <c r="R274" s="305"/>
      <c r="W274" s="305"/>
      <c r="X274" s="305"/>
      <c r="Y274" s="305"/>
      <c r="Z274" s="305"/>
      <c r="AA274" s="305"/>
      <c r="AB274" s="305"/>
      <c r="AC274" s="305"/>
      <c r="AD274" s="305"/>
      <c r="AE274" s="305"/>
      <c r="AF274" s="305"/>
    </row>
    <row r="275" spans="1:32" s="52" customFormat="1" ht="14.25" customHeight="1">
      <c r="A275" s="285"/>
      <c r="B275" s="2246" t="s">
        <v>473</v>
      </c>
      <c r="C275" s="829"/>
      <c r="D275" s="830"/>
      <c r="E275" s="829"/>
      <c r="F275" s="830"/>
      <c r="G275" s="829"/>
      <c r="H275" s="830"/>
      <c r="I275" s="2352">
        <f t="shared" si="17"/>
        <v>0</v>
      </c>
      <c r="J275" s="278"/>
      <c r="L275" s="305"/>
      <c r="M275" s="305"/>
      <c r="N275" s="305"/>
      <c r="O275" s="305"/>
      <c r="P275" s="305"/>
      <c r="Q275" s="305"/>
      <c r="R275" s="305"/>
      <c r="W275" s="305"/>
      <c r="X275" s="305"/>
      <c r="Y275" s="305"/>
      <c r="Z275" s="305"/>
      <c r="AA275" s="305"/>
      <c r="AB275" s="305"/>
      <c r="AC275" s="305"/>
      <c r="AD275" s="305"/>
      <c r="AE275" s="305"/>
      <c r="AF275" s="305"/>
    </row>
    <row r="276" spans="1:32" s="52" customFormat="1" ht="14.25" customHeight="1">
      <c r="A276" s="285"/>
      <c r="B276" s="2246" t="s">
        <v>445</v>
      </c>
      <c r="C276" s="829">
        <v>-326774</v>
      </c>
      <c r="D276" s="830">
        <v>-994</v>
      </c>
      <c r="E276" s="829"/>
      <c r="F276" s="830">
        <v>-103838</v>
      </c>
      <c r="G276" s="829"/>
      <c r="H276" s="830">
        <v>-50160</v>
      </c>
      <c r="I276" s="2352">
        <f t="shared" si="17"/>
        <v>-481766</v>
      </c>
      <c r="J276" s="278"/>
      <c r="L276" s="305"/>
      <c r="M276" s="305"/>
      <c r="N276" s="305"/>
      <c r="O276" s="305"/>
      <c r="P276" s="305"/>
      <c r="Q276" s="305"/>
      <c r="R276" s="305"/>
      <c r="W276" s="305"/>
      <c r="X276" s="305"/>
      <c r="Y276" s="305"/>
      <c r="Z276" s="305"/>
      <c r="AA276" s="305"/>
      <c r="AB276" s="305"/>
      <c r="AC276" s="305"/>
      <c r="AD276" s="305"/>
      <c r="AE276" s="305"/>
      <c r="AF276" s="305"/>
    </row>
    <row r="277" spans="1:32" s="52" customFormat="1" ht="14.25" customHeight="1">
      <c r="A277" s="285"/>
      <c r="B277" s="2246" t="s">
        <v>446</v>
      </c>
      <c r="C277" s="829">
        <v>-405688</v>
      </c>
      <c r="D277" s="830">
        <v>-75429</v>
      </c>
      <c r="E277" s="829">
        <v>-166</v>
      </c>
      <c r="F277" s="830">
        <v>-71607</v>
      </c>
      <c r="G277" s="829">
        <v>0</v>
      </c>
      <c r="H277" s="830">
        <v>-258667</v>
      </c>
      <c r="I277" s="2352">
        <f t="shared" si="17"/>
        <v>-811557</v>
      </c>
      <c r="J277" s="278"/>
      <c r="K277" s="418"/>
      <c r="L277" s="305"/>
      <c r="M277" s="305"/>
      <c r="N277" s="305"/>
      <c r="O277" s="305"/>
      <c r="P277" s="305"/>
      <c r="Q277" s="305"/>
      <c r="R277" s="305"/>
      <c r="W277" s="305"/>
      <c r="X277" s="305"/>
      <c r="Y277" s="305"/>
      <c r="Z277" s="305"/>
      <c r="AA277" s="305"/>
      <c r="AB277" s="305"/>
      <c r="AC277" s="305"/>
      <c r="AD277" s="305"/>
      <c r="AE277" s="305"/>
      <c r="AF277" s="305"/>
    </row>
    <row r="278" spans="1:32" s="52" customFormat="1" ht="14.25" customHeight="1">
      <c r="A278" s="285"/>
      <c r="B278" s="2248" t="s">
        <v>447</v>
      </c>
      <c r="C278" s="2353">
        <v>26657</v>
      </c>
      <c r="D278" s="2354">
        <v>5451</v>
      </c>
      <c r="E278" s="2353">
        <v>3781</v>
      </c>
      <c r="F278" s="2354">
        <v>3685893</v>
      </c>
      <c r="G278" s="2353">
        <v>584277</v>
      </c>
      <c r="H278" s="2354">
        <v>49195</v>
      </c>
      <c r="I278" s="2355">
        <f t="shared" si="17"/>
        <v>4355254</v>
      </c>
      <c r="J278" s="278"/>
      <c r="K278" s="418"/>
      <c r="L278" s="305"/>
      <c r="M278" s="305"/>
      <c r="N278" s="305"/>
      <c r="O278" s="305"/>
      <c r="P278" s="305"/>
      <c r="Q278" s="305"/>
      <c r="R278" s="305"/>
      <c r="W278" s="305"/>
      <c r="X278" s="305"/>
      <c r="Y278" s="305"/>
      <c r="Z278" s="305"/>
      <c r="AA278" s="305"/>
      <c r="AB278" s="305"/>
      <c r="AC278" s="305"/>
      <c r="AD278" s="305"/>
      <c r="AE278" s="305"/>
      <c r="AF278" s="305"/>
    </row>
    <row r="279" spans="1:32" s="52" customFormat="1" ht="14.25" customHeight="1">
      <c r="A279" s="285"/>
      <c r="B279" s="2246" t="s">
        <v>448</v>
      </c>
      <c r="C279" s="2350">
        <v>-6237</v>
      </c>
      <c r="D279" s="2351">
        <v>-363</v>
      </c>
      <c r="E279" s="2350">
        <v>-301</v>
      </c>
      <c r="F279" s="2351">
        <v>-165563</v>
      </c>
      <c r="G279" s="2350">
        <v>-60594</v>
      </c>
      <c r="H279" s="2351">
        <v>-9194</v>
      </c>
      <c r="I279" s="2352">
        <f t="shared" si="17"/>
        <v>-242252</v>
      </c>
      <c r="J279" s="278"/>
      <c r="K279" s="416"/>
      <c r="L279" s="305"/>
      <c r="M279" s="305"/>
      <c r="N279" s="305"/>
      <c r="O279" s="305"/>
      <c r="P279" s="305"/>
      <c r="Q279" s="305"/>
      <c r="R279" s="305"/>
      <c r="W279" s="305"/>
      <c r="X279" s="305"/>
      <c r="Y279" s="305"/>
      <c r="Z279" s="305"/>
      <c r="AA279" s="305"/>
      <c r="AB279" s="305"/>
      <c r="AC279" s="305"/>
      <c r="AD279" s="305"/>
      <c r="AE279" s="305"/>
      <c r="AF279" s="305"/>
    </row>
    <row r="280" spans="1:32" s="52" customFormat="1" ht="14.25" customHeight="1">
      <c r="A280" s="285"/>
      <c r="B280" s="2248" t="s">
        <v>449</v>
      </c>
      <c r="C280" s="2353">
        <v>20420</v>
      </c>
      <c r="D280" s="2354">
        <v>5089</v>
      </c>
      <c r="E280" s="2353">
        <v>3480</v>
      </c>
      <c r="F280" s="2354">
        <v>3520330</v>
      </c>
      <c r="G280" s="2353">
        <v>523683</v>
      </c>
      <c r="H280" s="2354">
        <v>40001</v>
      </c>
      <c r="I280" s="2355">
        <f t="shared" si="17"/>
        <v>4113003</v>
      </c>
      <c r="J280" s="278"/>
      <c r="K280" s="416"/>
      <c r="L280" s="305"/>
      <c r="M280" s="305"/>
      <c r="N280" s="305"/>
      <c r="O280" s="305"/>
      <c r="P280" s="305"/>
      <c r="Q280" s="305"/>
      <c r="R280" s="305"/>
      <c r="W280" s="305"/>
      <c r="X280" s="305"/>
      <c r="Y280" s="305"/>
      <c r="Z280" s="305"/>
      <c r="AA280" s="305"/>
      <c r="AB280" s="305"/>
      <c r="AC280" s="305"/>
      <c r="AD280" s="305"/>
      <c r="AE280" s="305"/>
      <c r="AF280" s="305"/>
    </row>
    <row r="281" spans="1:32" s="52" customFormat="1" ht="14.25" customHeight="1">
      <c r="A281" s="285"/>
      <c r="B281" s="2246"/>
      <c r="C281" s="2356"/>
      <c r="D281" s="2357"/>
      <c r="E281" s="2356"/>
      <c r="F281" s="2357"/>
      <c r="G281" s="2356"/>
      <c r="H281" s="2357"/>
      <c r="I281" s="2352">
        <f t="shared" si="17"/>
        <v>0</v>
      </c>
      <c r="J281" s="278"/>
      <c r="K281" s="416"/>
      <c r="M281" s="305"/>
      <c r="W281" s="305"/>
      <c r="X281" s="305"/>
      <c r="Y281" s="305"/>
      <c r="Z281" s="305"/>
      <c r="AA281" s="305"/>
      <c r="AB281" s="305"/>
      <c r="AC281" s="305"/>
      <c r="AD281" s="305"/>
      <c r="AE281" s="305"/>
      <c r="AF281" s="305"/>
    </row>
    <row r="282" spans="1:32" s="52" customFormat="1" ht="14.25" customHeight="1">
      <c r="A282" s="285"/>
      <c r="B282" s="2248" t="s">
        <v>450</v>
      </c>
      <c r="C282" s="2356"/>
      <c r="D282" s="2357"/>
      <c r="E282" s="2356"/>
      <c r="F282" s="2357"/>
      <c r="G282" s="2356"/>
      <c r="H282" s="2357"/>
      <c r="I282" s="2352">
        <f t="shared" si="17"/>
        <v>0</v>
      </c>
      <c r="J282" s="278"/>
      <c r="K282" s="416"/>
      <c r="L282" s="305"/>
      <c r="M282" s="305"/>
      <c r="W282" s="305"/>
      <c r="X282" s="305"/>
      <c r="Y282" s="305"/>
      <c r="Z282" s="305"/>
      <c r="AA282" s="305"/>
      <c r="AB282" s="305"/>
      <c r="AC282" s="305"/>
      <c r="AD282" s="305"/>
      <c r="AE282" s="305"/>
      <c r="AF282" s="305"/>
    </row>
    <row r="283" spans="1:32" s="52" customFormat="1" ht="30" customHeight="1">
      <c r="A283" s="285"/>
      <c r="B283" s="2246" t="s">
        <v>451</v>
      </c>
      <c r="C283" s="2350">
        <v>-29124</v>
      </c>
      <c r="D283" s="2351">
        <v>-3759</v>
      </c>
      <c r="E283" s="2350">
        <v>-1448</v>
      </c>
      <c r="F283" s="2351">
        <v>-1927261</v>
      </c>
      <c r="G283" s="2350">
        <v>-599085</v>
      </c>
      <c r="H283" s="2351">
        <v>-18077</v>
      </c>
      <c r="I283" s="2352">
        <f t="shared" si="17"/>
        <v>-2578754</v>
      </c>
      <c r="J283" s="278"/>
      <c r="K283" s="416"/>
      <c r="L283" s="305"/>
      <c r="M283" s="305"/>
      <c r="N283" s="305"/>
      <c r="O283" s="305"/>
      <c r="P283" s="305"/>
      <c r="Q283" s="305"/>
      <c r="R283" s="305"/>
      <c r="W283" s="305"/>
      <c r="X283" s="305"/>
      <c r="Y283" s="305"/>
      <c r="Z283" s="305"/>
      <c r="AA283" s="305"/>
      <c r="AB283" s="305"/>
      <c r="AC283" s="305"/>
      <c r="AD283" s="305"/>
      <c r="AE283" s="305"/>
      <c r="AF283" s="305"/>
    </row>
    <row r="284" spans="1:32" s="52" customFormat="1" ht="14.25" customHeight="1">
      <c r="A284" s="285"/>
      <c r="B284" s="2246" t="s">
        <v>452</v>
      </c>
      <c r="C284" s="829">
        <v>64909</v>
      </c>
      <c r="D284" s="830">
        <v>14329</v>
      </c>
      <c r="E284" s="829">
        <v>-176</v>
      </c>
      <c r="F284" s="830">
        <v>-449036</v>
      </c>
      <c r="G284" s="829">
        <v>-44336</v>
      </c>
      <c r="H284" s="830">
        <v>37594</v>
      </c>
      <c r="I284" s="2352">
        <f t="shared" si="17"/>
        <v>-376716</v>
      </c>
      <c r="J284" s="278"/>
      <c r="K284" s="416"/>
      <c r="L284" s="305"/>
      <c r="M284" s="305"/>
      <c r="N284" s="305"/>
      <c r="O284" s="305"/>
      <c r="P284" s="305"/>
      <c r="Q284" s="305"/>
      <c r="R284" s="305"/>
      <c r="W284" s="305"/>
      <c r="X284" s="305"/>
      <c r="Y284" s="305"/>
      <c r="Z284" s="305"/>
      <c r="AA284" s="305"/>
      <c r="AB284" s="305"/>
      <c r="AC284" s="305"/>
      <c r="AD284" s="305"/>
      <c r="AE284" s="305"/>
      <c r="AF284" s="305"/>
    </row>
    <row r="285" spans="1:32" s="52" customFormat="1" ht="14.25" customHeight="1">
      <c r="A285" s="285"/>
      <c r="B285" s="2246" t="s">
        <v>453</v>
      </c>
      <c r="C285" s="829">
        <v>3472</v>
      </c>
      <c r="D285" s="830">
        <v>90</v>
      </c>
      <c r="E285" s="829">
        <v>-1</v>
      </c>
      <c r="F285" s="830">
        <v>-5020</v>
      </c>
      <c r="G285" s="829">
        <v>-1352</v>
      </c>
      <c r="H285" s="830">
        <v>-844</v>
      </c>
      <c r="I285" s="2352">
        <f t="shared" si="17"/>
        <v>-3655</v>
      </c>
      <c r="J285" s="278"/>
      <c r="K285" s="416"/>
      <c r="L285" s="305"/>
      <c r="M285" s="305"/>
      <c r="N285" s="305"/>
      <c r="O285" s="305"/>
      <c r="P285" s="305"/>
      <c r="Q285" s="305"/>
      <c r="R285" s="305"/>
      <c r="W285" s="305"/>
      <c r="X285" s="305"/>
      <c r="Y285" s="305"/>
      <c r="Z285" s="305"/>
      <c r="AA285" s="305"/>
      <c r="AB285" s="305"/>
      <c r="AC285" s="305"/>
      <c r="AD285" s="305"/>
      <c r="AE285" s="305"/>
      <c r="AF285" s="305"/>
    </row>
    <row r="286" spans="1:32" s="52" customFormat="1" ht="14.25" customHeight="1">
      <c r="A286" s="285"/>
      <c r="B286" s="2248" t="s">
        <v>454</v>
      </c>
      <c r="C286" s="2353">
        <f t="shared" ref="C286:H286" si="18">C280+C283+C284+C285</f>
        <v>59677</v>
      </c>
      <c r="D286" s="2354">
        <f t="shared" si="18"/>
        <v>15749</v>
      </c>
      <c r="E286" s="2353">
        <f t="shared" si="18"/>
        <v>1855</v>
      </c>
      <c r="F286" s="2354">
        <f t="shared" si="18"/>
        <v>1139013</v>
      </c>
      <c r="G286" s="2353">
        <f t="shared" si="18"/>
        <v>-121090</v>
      </c>
      <c r="H286" s="2354">
        <f t="shared" si="18"/>
        <v>58674</v>
      </c>
      <c r="I286" s="2355">
        <f t="shared" si="17"/>
        <v>1153878</v>
      </c>
      <c r="J286" s="278"/>
      <c r="K286" s="432"/>
      <c r="L286" s="305"/>
      <c r="M286" s="305"/>
      <c r="N286" s="305"/>
      <c r="O286" s="305"/>
      <c r="P286" s="305"/>
      <c r="Q286" s="305"/>
      <c r="R286" s="305"/>
      <c r="W286" s="305"/>
      <c r="X286" s="305"/>
      <c r="Y286" s="305"/>
      <c r="Z286" s="305"/>
      <c r="AA286" s="305"/>
      <c r="AB286" s="305"/>
      <c r="AC286" s="305"/>
      <c r="AD286" s="305"/>
      <c r="AE286" s="305"/>
      <c r="AF286" s="305"/>
    </row>
    <row r="287" spans="1:32" s="52" customFormat="1" ht="14.25" customHeight="1">
      <c r="A287" s="285"/>
      <c r="B287" s="2246"/>
      <c r="C287" s="2358"/>
      <c r="D287" s="2359"/>
      <c r="E287" s="2358"/>
      <c r="F287" s="2359"/>
      <c r="G287" s="2358"/>
      <c r="H287" s="2359"/>
      <c r="I287" s="2352"/>
      <c r="J287" s="278"/>
      <c r="K287" s="416"/>
      <c r="M287" s="305"/>
      <c r="W287" s="305"/>
      <c r="X287" s="305"/>
      <c r="Y287" s="305"/>
      <c r="Z287" s="305"/>
      <c r="AA287" s="305"/>
      <c r="AB287" s="305"/>
      <c r="AC287" s="305"/>
      <c r="AD287" s="305"/>
      <c r="AE287" s="305"/>
      <c r="AF287" s="305"/>
    </row>
    <row r="288" spans="1:32" s="52" customFormat="1" ht="14.25" customHeight="1">
      <c r="A288" s="285"/>
      <c r="B288" s="2248" t="s">
        <v>455</v>
      </c>
      <c r="C288" s="2358"/>
      <c r="D288" s="2359"/>
      <c r="E288" s="2358"/>
      <c r="F288" s="2359"/>
      <c r="G288" s="2358"/>
      <c r="H288" s="2359"/>
      <c r="I288" s="2355">
        <f>SUM(I289:I293)</f>
        <v>583503</v>
      </c>
      <c r="J288" s="278"/>
      <c r="K288" s="416"/>
      <c r="M288" s="305"/>
      <c r="W288" s="305"/>
      <c r="X288" s="305"/>
      <c r="Y288" s="305"/>
      <c r="Z288" s="305"/>
      <c r="AA288" s="305"/>
      <c r="AB288" s="305"/>
      <c r="AC288" s="305"/>
      <c r="AD288" s="305"/>
      <c r="AE288" s="305"/>
      <c r="AF288" s="305"/>
    </row>
    <row r="289" spans="1:32" s="52" customFormat="1" ht="14.25" customHeight="1">
      <c r="A289" s="285"/>
      <c r="B289" s="2246" t="s">
        <v>456</v>
      </c>
      <c r="C289" s="2358"/>
      <c r="D289" s="2359"/>
      <c r="E289" s="2358"/>
      <c r="F289" s="2359"/>
      <c r="G289" s="2358"/>
      <c r="H289" s="2359"/>
      <c r="I289" s="2360">
        <v>181325</v>
      </c>
      <c r="J289" s="278"/>
      <c r="K289" s="416"/>
      <c r="M289" s="305"/>
      <c r="W289" s="305"/>
      <c r="X289" s="305"/>
      <c r="Y289" s="305"/>
      <c r="Z289" s="305"/>
      <c r="AA289" s="305"/>
      <c r="AB289" s="305"/>
      <c r="AC289" s="305"/>
      <c r="AD289" s="305"/>
      <c r="AE289" s="305"/>
      <c r="AF289" s="305"/>
    </row>
    <row r="290" spans="1:32" s="52" customFormat="1" ht="14.25" customHeight="1">
      <c r="A290" s="285"/>
      <c r="B290" s="2246" t="s">
        <v>472</v>
      </c>
      <c r="C290" s="2358"/>
      <c r="D290" s="2359"/>
      <c r="E290" s="2358"/>
      <c r="F290" s="2359"/>
      <c r="G290" s="2358"/>
      <c r="H290" s="2359"/>
      <c r="I290" s="1515">
        <v>359154</v>
      </c>
      <c r="J290" s="278"/>
      <c r="K290" s="416"/>
      <c r="M290" s="305"/>
      <c r="W290" s="305"/>
      <c r="X290" s="305"/>
      <c r="Y290" s="305"/>
      <c r="Z290" s="305"/>
      <c r="AA290" s="305"/>
      <c r="AB290" s="305"/>
      <c r="AC290" s="305"/>
      <c r="AD290" s="305"/>
      <c r="AE290" s="305"/>
      <c r="AF290" s="305"/>
    </row>
    <row r="291" spans="1:32" s="52" customFormat="1" ht="14.25" customHeight="1">
      <c r="A291" s="285"/>
      <c r="B291" s="2246" t="s">
        <v>458</v>
      </c>
      <c r="C291" s="2358"/>
      <c r="D291" s="2359"/>
      <c r="E291" s="2358"/>
      <c r="F291" s="2359"/>
      <c r="G291" s="2358"/>
      <c r="H291" s="2359"/>
      <c r="I291" s="1515">
        <v>2812</v>
      </c>
      <c r="J291" s="278"/>
      <c r="K291" s="416"/>
      <c r="M291" s="305"/>
      <c r="W291" s="305"/>
      <c r="X291" s="305"/>
      <c r="Y291" s="305"/>
      <c r="Z291" s="305"/>
      <c r="AA291" s="305"/>
      <c r="AB291" s="305"/>
      <c r="AC291" s="305"/>
      <c r="AD291" s="305"/>
      <c r="AE291" s="305"/>
      <c r="AF291" s="305"/>
    </row>
    <row r="292" spans="1:32" s="52" customFormat="1" ht="14.25" customHeight="1">
      <c r="A292" s="285"/>
      <c r="B292" s="2246" t="s">
        <v>459</v>
      </c>
      <c r="C292" s="2358"/>
      <c r="D292" s="2359"/>
      <c r="E292" s="2358"/>
      <c r="F292" s="2359"/>
      <c r="G292" s="2358"/>
      <c r="H292" s="2359"/>
      <c r="I292" s="1515">
        <v>29644</v>
      </c>
      <c r="J292" s="278"/>
      <c r="K292" s="416"/>
      <c r="M292" s="305"/>
      <c r="W292" s="305"/>
      <c r="X292" s="305"/>
      <c r="Y292" s="305"/>
      <c r="Z292" s="305"/>
      <c r="AA292" s="305"/>
      <c r="AB292" s="305"/>
      <c r="AC292" s="305"/>
      <c r="AD292" s="305"/>
      <c r="AE292" s="305"/>
      <c r="AF292" s="305"/>
    </row>
    <row r="293" spans="1:32" s="52" customFormat="1" ht="14.25" customHeight="1">
      <c r="A293" s="285"/>
      <c r="B293" s="2246" t="s">
        <v>460</v>
      </c>
      <c r="C293" s="2358"/>
      <c r="D293" s="2359"/>
      <c r="E293" s="2358"/>
      <c r="F293" s="2359"/>
      <c r="G293" s="2358"/>
      <c r="H293" s="2359"/>
      <c r="I293" s="1515">
        <v>10568</v>
      </c>
      <c r="J293" s="278"/>
      <c r="K293" s="416"/>
      <c r="M293" s="305"/>
      <c r="W293" s="305"/>
      <c r="X293" s="305"/>
      <c r="Y293" s="305"/>
      <c r="Z293" s="305"/>
      <c r="AA293" s="305"/>
      <c r="AB293" s="305"/>
      <c r="AC293" s="305"/>
      <c r="AD293" s="305"/>
      <c r="AE293" s="305"/>
      <c r="AF293" s="305"/>
    </row>
    <row r="294" spans="1:32" s="52" customFormat="1" ht="14.25" customHeight="1">
      <c r="A294" s="285"/>
      <c r="B294" s="2246"/>
      <c r="C294" s="2358"/>
      <c r="D294" s="2359"/>
      <c r="E294" s="2358"/>
      <c r="F294" s="2359"/>
      <c r="G294" s="2358"/>
      <c r="H294" s="2359"/>
      <c r="I294" s="2352"/>
      <c r="J294" s="278"/>
      <c r="K294" s="416"/>
      <c r="M294" s="305"/>
      <c r="W294" s="305"/>
      <c r="X294" s="305"/>
      <c r="Y294" s="305"/>
      <c r="Z294" s="305"/>
      <c r="AA294" s="305"/>
      <c r="AB294" s="305"/>
      <c r="AC294" s="305"/>
      <c r="AD294" s="305"/>
      <c r="AE294" s="305"/>
      <c r="AF294" s="305"/>
    </row>
    <row r="295" spans="1:32" s="52" customFormat="1" ht="14.25" customHeight="1">
      <c r="A295" s="285"/>
      <c r="B295" s="2248" t="s">
        <v>461</v>
      </c>
      <c r="C295" s="2358"/>
      <c r="D295" s="2359"/>
      <c r="E295" s="2358"/>
      <c r="F295" s="2359"/>
      <c r="G295" s="2358"/>
      <c r="H295" s="2359"/>
      <c r="I295" s="2352">
        <f>I296+I297</f>
        <v>-1302901</v>
      </c>
      <c r="J295" s="278"/>
      <c r="K295" s="416"/>
      <c r="M295" s="305"/>
      <c r="W295" s="305"/>
      <c r="X295" s="305"/>
      <c r="Y295" s="305"/>
      <c r="Z295" s="305"/>
      <c r="AA295" s="305"/>
      <c r="AB295" s="305"/>
      <c r="AC295" s="305"/>
      <c r="AD295" s="305"/>
      <c r="AE295" s="305"/>
      <c r="AF295" s="305"/>
    </row>
    <row r="296" spans="1:32" s="52" customFormat="1" ht="28.15" customHeight="1">
      <c r="A296" s="285"/>
      <c r="B296" s="2246" t="s">
        <v>462</v>
      </c>
      <c r="C296" s="2358"/>
      <c r="D296" s="2359"/>
      <c r="E296" s="2358"/>
      <c r="F296" s="2359"/>
      <c r="G296" s="2358"/>
      <c r="H296" s="2359"/>
      <c r="I296" s="2360">
        <v>-1302901</v>
      </c>
      <c r="J296" s="278"/>
      <c r="K296" s="416"/>
      <c r="M296" s="305"/>
      <c r="W296" s="305"/>
      <c r="X296" s="305"/>
      <c r="Y296" s="305"/>
      <c r="Z296" s="305"/>
      <c r="AA296" s="305"/>
      <c r="AB296" s="305"/>
      <c r="AC296" s="305"/>
      <c r="AD296" s="305"/>
      <c r="AE296" s="305"/>
      <c r="AF296" s="305"/>
    </row>
    <row r="297" spans="1:32" s="52" customFormat="1" ht="28.15" customHeight="1">
      <c r="A297" s="285"/>
      <c r="B297" s="2246" t="s">
        <v>463</v>
      </c>
      <c r="C297" s="2358"/>
      <c r="D297" s="2359"/>
      <c r="E297" s="2358"/>
      <c r="F297" s="2359"/>
      <c r="G297" s="2358"/>
      <c r="H297" s="2359"/>
      <c r="I297" s="2352"/>
      <c r="J297" s="278"/>
      <c r="K297" s="416"/>
      <c r="M297" s="305"/>
      <c r="W297" s="305"/>
      <c r="X297" s="305"/>
      <c r="Y297" s="305"/>
      <c r="Z297" s="305"/>
      <c r="AA297" s="305"/>
      <c r="AB297" s="305"/>
      <c r="AC297" s="305"/>
      <c r="AD297" s="305"/>
      <c r="AE297" s="305"/>
      <c r="AF297" s="305"/>
    </row>
    <row r="298" spans="1:32" s="52" customFormat="1" ht="14.25" customHeight="1">
      <c r="A298" s="285"/>
      <c r="B298" s="2248" t="s">
        <v>464</v>
      </c>
      <c r="C298" s="2358"/>
      <c r="D298" s="2359"/>
      <c r="E298" s="2358"/>
      <c r="F298" s="2359"/>
      <c r="G298" s="2358"/>
      <c r="H298" s="2359"/>
      <c r="I298" s="2355">
        <f>+I286+I288+I296</f>
        <v>434480</v>
      </c>
      <c r="J298" s="278"/>
      <c r="K298" s="416"/>
      <c r="M298" s="305"/>
      <c r="W298" s="305"/>
      <c r="X298" s="305"/>
      <c r="Y298" s="305"/>
      <c r="Z298" s="305"/>
      <c r="AA298" s="305"/>
      <c r="AB298" s="305"/>
      <c r="AC298" s="305"/>
      <c r="AD298" s="305"/>
      <c r="AE298" s="305"/>
      <c r="AF298" s="305"/>
    </row>
    <row r="299" spans="1:32" s="52" customFormat="1" ht="14.25" customHeight="1">
      <c r="A299" s="285"/>
      <c r="B299" s="2246" t="s">
        <v>465</v>
      </c>
      <c r="C299" s="2358"/>
      <c r="D299" s="2359"/>
      <c r="E299" s="2358"/>
      <c r="F299" s="2359"/>
      <c r="G299" s="2358"/>
      <c r="H299" s="2359"/>
      <c r="I299" s="2360">
        <v>-23312</v>
      </c>
      <c r="J299" s="278"/>
      <c r="K299" s="416"/>
      <c r="M299" s="305"/>
      <c r="W299" s="305"/>
      <c r="X299" s="305"/>
      <c r="Y299" s="305"/>
      <c r="Z299" s="305"/>
      <c r="AA299" s="305"/>
      <c r="AB299" s="305"/>
      <c r="AC299" s="305"/>
      <c r="AD299" s="305"/>
      <c r="AE299" s="305"/>
      <c r="AF299" s="305"/>
    </row>
    <row r="300" spans="1:32" s="52" customFormat="1" ht="14.25" customHeight="1">
      <c r="A300" s="285"/>
      <c r="B300" s="2248" t="s">
        <v>466</v>
      </c>
      <c r="C300" s="2358"/>
      <c r="D300" s="2359"/>
      <c r="E300" s="2358"/>
      <c r="F300" s="2359"/>
      <c r="G300" s="2358"/>
      <c r="H300" s="2359"/>
      <c r="I300" s="2355">
        <f>SUM(I298:I299)</f>
        <v>411168</v>
      </c>
      <c r="J300" s="278"/>
      <c r="K300" s="416"/>
      <c r="M300" s="305"/>
      <c r="W300" s="305"/>
      <c r="X300" s="305"/>
      <c r="Y300" s="305"/>
      <c r="Z300" s="305"/>
      <c r="AA300" s="305"/>
      <c r="AB300" s="305"/>
      <c r="AC300" s="305"/>
      <c r="AD300" s="305"/>
      <c r="AE300" s="305"/>
      <c r="AF300" s="305"/>
    </row>
    <row r="301" spans="1:32" s="52" customFormat="1" ht="14.25" customHeight="1">
      <c r="A301" s="285"/>
      <c r="B301" s="2246" t="s">
        <v>467</v>
      </c>
      <c r="C301" s="2358"/>
      <c r="D301" s="2359"/>
      <c r="E301" s="2358"/>
      <c r="F301" s="2359"/>
      <c r="G301" s="2358"/>
      <c r="H301" s="2359"/>
      <c r="I301" s="2361">
        <v>-73018</v>
      </c>
      <c r="J301" s="278"/>
      <c r="K301" s="416"/>
      <c r="M301" s="305"/>
      <c r="W301" s="305"/>
      <c r="X301" s="305"/>
      <c r="Y301" s="305"/>
      <c r="Z301" s="305"/>
      <c r="AA301" s="305"/>
      <c r="AB301" s="305"/>
      <c r="AC301" s="305"/>
      <c r="AD301" s="305"/>
      <c r="AE301" s="305"/>
      <c r="AF301" s="305"/>
    </row>
    <row r="302" spans="1:32" s="52" customFormat="1" ht="14.25" customHeight="1" thickBot="1">
      <c r="A302" s="285"/>
      <c r="B302" s="1501" t="s">
        <v>468</v>
      </c>
      <c r="C302" s="831"/>
      <c r="D302" s="1112"/>
      <c r="E302" s="831"/>
      <c r="F302" s="1112"/>
      <c r="G302" s="831"/>
      <c r="H302" s="1112"/>
      <c r="I302" s="1516">
        <f>SUM(I300:I301)</f>
        <v>338150</v>
      </c>
      <c r="J302" s="278"/>
      <c r="K302" s="416"/>
      <c r="M302" s="305"/>
      <c r="W302" s="305"/>
      <c r="X302" s="305"/>
      <c r="Y302" s="305"/>
      <c r="Z302" s="305"/>
      <c r="AA302" s="305"/>
      <c r="AB302" s="305"/>
      <c r="AC302" s="305"/>
      <c r="AD302" s="305"/>
      <c r="AE302" s="305"/>
      <c r="AF302" s="305"/>
    </row>
    <row r="303" spans="1:32" s="52" customFormat="1" ht="14.25" customHeight="1">
      <c r="A303" s="285"/>
      <c r="B303" s="455"/>
      <c r="C303" s="414"/>
      <c r="D303" s="414"/>
      <c r="E303" s="414"/>
      <c r="F303" s="414"/>
      <c r="G303" s="414"/>
      <c r="H303" s="414"/>
      <c r="I303" s="278"/>
      <c r="J303" s="278"/>
      <c r="K303" s="416"/>
      <c r="M303" s="305"/>
      <c r="W303" s="305"/>
      <c r="X303" s="305"/>
      <c r="Y303" s="305"/>
      <c r="Z303" s="305"/>
      <c r="AA303" s="305"/>
      <c r="AB303" s="305"/>
      <c r="AC303" s="305"/>
      <c r="AD303" s="305"/>
      <c r="AE303" s="305"/>
      <c r="AF303" s="305"/>
    </row>
    <row r="304" spans="1:32" s="52" customFormat="1" ht="14.25" customHeight="1">
      <c r="A304" s="285"/>
      <c r="B304" s="455"/>
      <c r="C304" s="414"/>
      <c r="D304" s="414"/>
      <c r="E304" s="414"/>
      <c r="F304" s="414"/>
      <c r="G304" s="414"/>
      <c r="H304" s="414"/>
      <c r="I304" s="278"/>
      <c r="J304" s="278"/>
      <c r="K304" s="394">
        <v>133</v>
      </c>
      <c r="M304" s="305"/>
      <c r="W304" s="305"/>
      <c r="X304" s="305"/>
      <c r="Y304" s="305"/>
      <c r="Z304" s="305"/>
      <c r="AA304" s="305"/>
      <c r="AB304" s="305"/>
      <c r="AC304" s="305"/>
      <c r="AD304" s="305"/>
      <c r="AE304" s="305"/>
      <c r="AF304" s="305"/>
    </row>
    <row r="305" spans="1:32" s="52" customFormat="1" ht="14.25" customHeight="1">
      <c r="A305" s="285"/>
      <c r="B305" s="455"/>
      <c r="C305" s="414"/>
      <c r="D305" s="414"/>
      <c r="E305" s="414"/>
      <c r="F305" s="414"/>
      <c r="G305" s="414"/>
      <c r="H305" s="414"/>
      <c r="I305" s="278"/>
      <c r="J305" s="278"/>
      <c r="K305" s="416"/>
      <c r="M305" s="305"/>
      <c r="W305" s="305"/>
      <c r="X305" s="305"/>
      <c r="Y305" s="305"/>
      <c r="Z305" s="305"/>
      <c r="AA305" s="305"/>
      <c r="AB305" s="305"/>
      <c r="AC305" s="305"/>
      <c r="AD305" s="305"/>
      <c r="AE305" s="305"/>
      <c r="AF305" s="305"/>
    </row>
    <row r="306" spans="1:32" s="52" customFormat="1" ht="14.25" customHeight="1">
      <c r="A306" s="285"/>
      <c r="B306" s="455"/>
      <c r="C306" s="414"/>
      <c r="D306" s="414"/>
      <c r="E306" s="414"/>
      <c r="F306" s="414"/>
      <c r="G306" s="414"/>
      <c r="H306" s="414"/>
      <c r="I306" s="278"/>
      <c r="J306" s="278"/>
      <c r="K306" s="416"/>
      <c r="M306" s="305"/>
      <c r="W306" s="305"/>
      <c r="X306" s="305"/>
      <c r="Y306" s="305"/>
      <c r="Z306" s="305"/>
      <c r="AA306" s="305"/>
      <c r="AB306" s="305"/>
      <c r="AC306" s="305"/>
      <c r="AD306" s="305"/>
      <c r="AE306" s="305"/>
      <c r="AF306" s="305"/>
    </row>
    <row r="307" spans="1:32" s="52" customFormat="1" ht="14.25" customHeight="1">
      <c r="A307" s="285"/>
      <c r="B307" s="236" t="s">
        <v>477</v>
      </c>
      <c r="C307" s="279"/>
      <c r="D307" s="279"/>
      <c r="E307" s="414"/>
      <c r="F307" s="414"/>
      <c r="G307" s="414"/>
      <c r="H307" s="414"/>
      <c r="I307" s="278"/>
      <c r="J307" s="278"/>
      <c r="K307" s="416"/>
      <c r="M307" s="305"/>
      <c r="W307" s="305"/>
      <c r="X307" s="305"/>
      <c r="Y307" s="305"/>
      <c r="Z307" s="305"/>
      <c r="AA307" s="305"/>
      <c r="AB307" s="305"/>
      <c r="AC307" s="305"/>
      <c r="AD307" s="305"/>
      <c r="AE307" s="305"/>
      <c r="AF307" s="305"/>
    </row>
    <row r="308" spans="1:32" s="52" customFormat="1" ht="14.25" customHeight="1" thickBot="1">
      <c r="A308" s="285"/>
      <c r="B308" s="51"/>
      <c r="C308" s="526"/>
      <c r="D308" s="526"/>
      <c r="E308" s="414"/>
      <c r="F308" s="414"/>
      <c r="G308" s="414"/>
      <c r="H308" s="414"/>
      <c r="I308" s="278"/>
      <c r="J308" s="278"/>
      <c r="K308" s="416"/>
      <c r="M308" s="305"/>
      <c r="W308" s="305"/>
      <c r="X308" s="305"/>
      <c r="Y308" s="305"/>
      <c r="Z308" s="305"/>
      <c r="AA308" s="305"/>
      <c r="AB308" s="305"/>
      <c r="AC308" s="305"/>
      <c r="AD308" s="305"/>
      <c r="AE308" s="305"/>
      <c r="AF308" s="305"/>
    </row>
    <row r="309" spans="1:32" ht="14.25" customHeight="1" thickBot="1">
      <c r="B309" s="1476" t="s">
        <v>108</v>
      </c>
      <c r="C309" s="514"/>
      <c r="D309" s="514"/>
      <c r="E309" s="514"/>
      <c r="F309" s="514"/>
      <c r="H309" s="3432" t="s">
        <v>238</v>
      </c>
      <c r="I309" s="3432"/>
      <c r="J309" s="383"/>
      <c r="M309" s="305"/>
      <c r="W309" s="305"/>
      <c r="X309" s="305"/>
      <c r="Y309" s="305"/>
      <c r="Z309" s="305"/>
      <c r="AA309" s="305"/>
      <c r="AB309" s="305"/>
      <c r="AC309" s="305"/>
      <c r="AD309" s="305"/>
      <c r="AE309" s="305"/>
      <c r="AF309" s="305"/>
    </row>
    <row r="310" spans="1:32" s="52" customFormat="1" ht="14.25" customHeight="1" thickBot="1">
      <c r="A310" s="278"/>
      <c r="B310" s="3422"/>
      <c r="C310" s="3332">
        <v>2021</v>
      </c>
      <c r="D310" s="3333"/>
      <c r="E310" s="3333"/>
      <c r="F310" s="3333"/>
      <c r="G310" s="3333"/>
      <c r="H310" s="3333"/>
      <c r="I310" s="3334"/>
      <c r="J310" s="315"/>
      <c r="K310" s="416"/>
      <c r="M310" s="305"/>
      <c r="W310" s="305"/>
      <c r="X310" s="305"/>
      <c r="Y310" s="305"/>
      <c r="Z310" s="305"/>
      <c r="AA310" s="305"/>
      <c r="AB310" s="305"/>
      <c r="AC310" s="305"/>
      <c r="AD310" s="305"/>
      <c r="AE310" s="305"/>
      <c r="AF310" s="305"/>
    </row>
    <row r="311" spans="1:32" s="52" customFormat="1" ht="14.25" customHeight="1" thickBot="1">
      <c r="A311" s="394"/>
      <c r="B311" s="3415"/>
      <c r="C311" s="3423" t="s">
        <v>436</v>
      </c>
      <c r="D311" s="3425" t="s">
        <v>437</v>
      </c>
      <c r="E311" s="3412" t="s">
        <v>438</v>
      </c>
      <c r="F311" s="3419"/>
      <c r="G311" s="3410" t="s">
        <v>439</v>
      </c>
      <c r="H311" s="3425" t="s">
        <v>440</v>
      </c>
      <c r="I311" s="3410" t="s">
        <v>118</v>
      </c>
      <c r="J311" s="278"/>
      <c r="K311" s="416"/>
      <c r="M311" s="305"/>
      <c r="W311" s="305"/>
      <c r="X311" s="305"/>
      <c r="Y311" s="305"/>
      <c r="Z311" s="305"/>
      <c r="AA311" s="305"/>
      <c r="AB311" s="305"/>
      <c r="AC311" s="305"/>
      <c r="AD311" s="305"/>
      <c r="AE311" s="305"/>
      <c r="AF311" s="305"/>
    </row>
    <row r="312" spans="1:32" s="52" customFormat="1" ht="14.25" customHeight="1" thickBot="1">
      <c r="A312" s="394"/>
      <c r="B312" s="3416"/>
      <c r="C312" s="3424"/>
      <c r="D312" s="3421"/>
      <c r="E312" s="1517" t="s">
        <v>442</v>
      </c>
      <c r="F312" s="1675" t="s">
        <v>443</v>
      </c>
      <c r="G312" s="3411"/>
      <c r="H312" s="3421"/>
      <c r="I312" s="3411"/>
      <c r="J312" s="278"/>
      <c r="K312" s="416"/>
      <c r="M312" s="305"/>
      <c r="W312" s="305"/>
      <c r="X312" s="305"/>
      <c r="Y312" s="305"/>
      <c r="Z312" s="305"/>
      <c r="AA312" s="305"/>
      <c r="AB312" s="305"/>
      <c r="AC312" s="305"/>
      <c r="AD312" s="305"/>
      <c r="AE312" s="305"/>
      <c r="AF312" s="305"/>
    </row>
    <row r="313" spans="1:32" s="52" customFormat="1" ht="14.25" customHeight="1">
      <c r="A313" s="285"/>
      <c r="B313" s="1518" t="s">
        <v>342</v>
      </c>
      <c r="C313" s="2362">
        <v>1283530</v>
      </c>
      <c r="D313" s="833">
        <v>47960</v>
      </c>
      <c r="E313" s="2362">
        <v>16967</v>
      </c>
      <c r="F313" s="833">
        <v>5719072</v>
      </c>
      <c r="G313" s="2362"/>
      <c r="H313" s="833">
        <v>216952</v>
      </c>
      <c r="I313" s="1520">
        <f t="shared" ref="I313:I325" si="19">H313+G313+F313+E313+D313+C313</f>
        <v>7284481</v>
      </c>
      <c r="J313" s="264"/>
      <c r="K313" s="416"/>
      <c r="L313" s="305"/>
      <c r="M313" s="305"/>
      <c r="N313" s="305"/>
      <c r="O313" s="305"/>
      <c r="P313" s="305"/>
      <c r="Q313" s="305"/>
      <c r="R313" s="305"/>
      <c r="W313" s="305"/>
      <c r="X313" s="305"/>
      <c r="Y313" s="305"/>
      <c r="Z313" s="305"/>
      <c r="AA313" s="305"/>
      <c r="AB313" s="305"/>
      <c r="AC313" s="305"/>
      <c r="AD313" s="305"/>
      <c r="AE313" s="305"/>
      <c r="AF313" s="305"/>
    </row>
    <row r="314" spans="1:32" s="52" customFormat="1" ht="14.25" customHeight="1">
      <c r="A314" s="285"/>
      <c r="B314" s="2281" t="s">
        <v>444</v>
      </c>
      <c r="C314" s="832">
        <v>839</v>
      </c>
      <c r="D314" s="834"/>
      <c r="E314" s="832"/>
      <c r="F314" s="834">
        <v>0</v>
      </c>
      <c r="G314" s="832"/>
      <c r="H314" s="834">
        <v>0</v>
      </c>
      <c r="I314" s="2363">
        <f t="shared" si="19"/>
        <v>839</v>
      </c>
      <c r="J314" s="264"/>
      <c r="K314" s="416"/>
      <c r="L314" s="305"/>
      <c r="M314" s="305"/>
      <c r="N314" s="305"/>
      <c r="O314" s="305"/>
      <c r="P314" s="305"/>
      <c r="Q314" s="305"/>
      <c r="R314" s="305"/>
      <c r="W314" s="305"/>
      <c r="X314" s="305"/>
      <c r="Y314" s="305"/>
      <c r="Z314" s="305"/>
      <c r="AA314" s="305"/>
      <c r="AB314" s="305"/>
      <c r="AC314" s="305"/>
      <c r="AD314" s="305"/>
      <c r="AE314" s="305"/>
      <c r="AF314" s="305"/>
    </row>
    <row r="315" spans="1:32" s="52" customFormat="1" ht="14.25" customHeight="1">
      <c r="A315" s="285"/>
      <c r="B315" s="2281" t="s">
        <v>445</v>
      </c>
      <c r="C315" s="832">
        <v>-540603</v>
      </c>
      <c r="D315" s="834">
        <v>-455</v>
      </c>
      <c r="E315" s="832"/>
      <c r="F315" s="834">
        <v>-133016</v>
      </c>
      <c r="G315" s="832"/>
      <c r="H315" s="834">
        <v>-48595</v>
      </c>
      <c r="I315" s="2363">
        <f>H315+G315+F315+E315+D315+C315</f>
        <v>-722669</v>
      </c>
      <c r="J315" s="264"/>
      <c r="K315" s="429"/>
      <c r="L315" s="305"/>
      <c r="M315" s="305"/>
      <c r="N315" s="305"/>
      <c r="O315" s="305"/>
      <c r="P315" s="305"/>
      <c r="Q315" s="305"/>
      <c r="R315" s="305"/>
      <c r="W315" s="305"/>
      <c r="X315" s="305"/>
      <c r="Y315" s="305"/>
      <c r="Z315" s="305"/>
      <c r="AA315" s="305"/>
      <c r="AB315" s="305"/>
      <c r="AC315" s="305"/>
      <c r="AD315" s="305"/>
      <c r="AE315" s="305"/>
      <c r="AF315" s="305"/>
    </row>
    <row r="316" spans="1:32" s="52" customFormat="1" ht="14.25" customHeight="1">
      <c r="A316" s="285"/>
      <c r="B316" s="2281" t="s">
        <v>446</v>
      </c>
      <c r="C316" s="832">
        <v>-300813</v>
      </c>
      <c r="D316" s="834">
        <v>-27650</v>
      </c>
      <c r="E316" s="832"/>
      <c r="F316" s="834">
        <v>-86705</v>
      </c>
      <c r="G316" s="832"/>
      <c r="H316" s="834">
        <v>-23314</v>
      </c>
      <c r="I316" s="2363">
        <f t="shared" si="19"/>
        <v>-438482</v>
      </c>
      <c r="J316" s="264"/>
      <c r="K316" s="416"/>
      <c r="L316" s="305"/>
      <c r="M316" s="305"/>
      <c r="N316" s="305"/>
      <c r="O316" s="305"/>
      <c r="P316" s="305"/>
      <c r="Q316" s="305"/>
      <c r="R316" s="305"/>
      <c r="W316" s="305"/>
      <c r="X316" s="305"/>
      <c r="Y316" s="305"/>
      <c r="Z316" s="305"/>
      <c r="AA316" s="305"/>
      <c r="AB316" s="305"/>
      <c r="AC316" s="305"/>
      <c r="AD316" s="305"/>
      <c r="AE316" s="305"/>
      <c r="AF316" s="305"/>
    </row>
    <row r="317" spans="1:32" s="52" customFormat="1" ht="14.25" customHeight="1">
      <c r="A317" s="285"/>
      <c r="B317" s="2283" t="s">
        <v>447</v>
      </c>
      <c r="C317" s="2364">
        <v>442952</v>
      </c>
      <c r="D317" s="2365">
        <v>19856</v>
      </c>
      <c r="E317" s="2364">
        <v>16967</v>
      </c>
      <c r="F317" s="2365">
        <v>5499352</v>
      </c>
      <c r="G317" s="2364"/>
      <c r="H317" s="2365">
        <v>145043</v>
      </c>
      <c r="I317" s="2290">
        <f t="shared" si="19"/>
        <v>6124170</v>
      </c>
      <c r="J317" s="264"/>
      <c r="K317" s="416"/>
      <c r="L317" s="305"/>
      <c r="M317" s="305"/>
      <c r="N317" s="305"/>
      <c r="O317" s="305"/>
      <c r="P317" s="305"/>
      <c r="Q317" s="305"/>
      <c r="R317" s="305"/>
      <c r="W317" s="305"/>
      <c r="X317" s="305"/>
      <c r="Y317" s="305"/>
      <c r="Z317" s="305"/>
      <c r="AA317" s="305"/>
      <c r="AB317" s="305"/>
      <c r="AC317" s="305"/>
      <c r="AD317" s="305"/>
      <c r="AE317" s="305"/>
      <c r="AF317" s="305"/>
    </row>
    <row r="318" spans="1:32" s="52" customFormat="1" ht="14.25" customHeight="1">
      <c r="A318" s="285"/>
      <c r="B318" s="2281" t="s">
        <v>448</v>
      </c>
      <c r="C318" s="2362">
        <v>-204005</v>
      </c>
      <c r="D318" s="2366">
        <v>-2127</v>
      </c>
      <c r="E318" s="2362">
        <v>0</v>
      </c>
      <c r="F318" s="2366">
        <v>-572108</v>
      </c>
      <c r="G318" s="2362"/>
      <c r="H318" s="2366">
        <v>-48577</v>
      </c>
      <c r="I318" s="2367">
        <v>-289254</v>
      </c>
      <c r="J318" s="264"/>
      <c r="K318" s="416"/>
      <c r="L318" s="305"/>
      <c r="M318" s="305"/>
      <c r="N318" s="305"/>
      <c r="O318" s="305"/>
      <c r="P318" s="305"/>
      <c r="Q318" s="305"/>
      <c r="R318" s="305"/>
      <c r="W318" s="305"/>
      <c r="X318" s="305"/>
      <c r="Y318" s="305"/>
      <c r="Z318" s="305"/>
      <c r="AA318" s="305"/>
      <c r="AB318" s="305"/>
      <c r="AC318" s="305"/>
      <c r="AD318" s="305"/>
      <c r="AE318" s="305"/>
      <c r="AF318" s="305"/>
    </row>
    <row r="319" spans="1:32" s="52" customFormat="1" ht="14.25" customHeight="1">
      <c r="A319" s="285"/>
      <c r="B319" s="2283" t="s">
        <v>449</v>
      </c>
      <c r="C319" s="2364">
        <v>238947</v>
      </c>
      <c r="D319" s="2365">
        <v>17729</v>
      </c>
      <c r="E319" s="2364">
        <v>16967</v>
      </c>
      <c r="F319" s="2365">
        <v>4927244</v>
      </c>
      <c r="G319" s="2364"/>
      <c r="H319" s="2365">
        <v>96465</v>
      </c>
      <c r="I319" s="2290">
        <f t="shared" si="19"/>
        <v>5297352</v>
      </c>
      <c r="J319" s="264"/>
      <c r="K319" s="416"/>
      <c r="L319" s="305"/>
      <c r="M319" s="305"/>
      <c r="N319" s="305"/>
      <c r="O319" s="305"/>
      <c r="P319" s="305"/>
      <c r="Q319" s="305"/>
      <c r="R319" s="305"/>
      <c r="W319" s="305"/>
      <c r="X319" s="305"/>
      <c r="Y319" s="305"/>
      <c r="Z319" s="305"/>
      <c r="AA319" s="305"/>
      <c r="AB319" s="305"/>
      <c r="AC319" s="305"/>
      <c r="AD319" s="305"/>
      <c r="AE319" s="305"/>
      <c r="AF319" s="305"/>
    </row>
    <row r="320" spans="1:32" s="52" customFormat="1" ht="14.25" customHeight="1">
      <c r="A320" s="285"/>
      <c r="B320" s="2281"/>
      <c r="C320" s="2368"/>
      <c r="D320" s="2369"/>
      <c r="E320" s="2368"/>
      <c r="F320" s="2369"/>
      <c r="G320" s="2368"/>
      <c r="H320" s="2369"/>
      <c r="I320" s="2363">
        <f t="shared" si="19"/>
        <v>0</v>
      </c>
      <c r="J320" s="264"/>
      <c r="K320" s="416"/>
      <c r="M320" s="305"/>
      <c r="W320" s="305"/>
      <c r="X320" s="305"/>
      <c r="Y320" s="305"/>
      <c r="Z320" s="305"/>
      <c r="AA320" s="305"/>
      <c r="AB320" s="305"/>
      <c r="AC320" s="305"/>
      <c r="AD320" s="305"/>
      <c r="AE320" s="305"/>
      <c r="AF320" s="305"/>
    </row>
    <row r="321" spans="1:32" s="52" customFormat="1" ht="14.25" customHeight="1">
      <c r="A321" s="285"/>
      <c r="B321" s="2283" t="s">
        <v>450</v>
      </c>
      <c r="C321" s="2368"/>
      <c r="D321" s="2369"/>
      <c r="E321" s="2368"/>
      <c r="F321" s="2369"/>
      <c r="G321" s="2368"/>
      <c r="H321" s="2369"/>
      <c r="I321" s="2363">
        <f t="shared" si="19"/>
        <v>0</v>
      </c>
      <c r="J321" s="264"/>
      <c r="K321" s="416"/>
      <c r="L321" s="305"/>
      <c r="M321" s="305"/>
      <c r="N321" s="305"/>
      <c r="O321" s="305"/>
      <c r="P321" s="305"/>
      <c r="Q321" s="305"/>
      <c r="R321" s="305"/>
      <c r="W321" s="305"/>
      <c r="X321" s="305"/>
      <c r="Y321" s="305"/>
      <c r="Z321" s="305"/>
      <c r="AA321" s="305"/>
      <c r="AB321" s="305"/>
      <c r="AC321" s="305"/>
      <c r="AD321" s="305"/>
      <c r="AE321" s="305"/>
      <c r="AF321" s="305"/>
    </row>
    <row r="322" spans="1:32" s="52" customFormat="1" ht="24.6" customHeight="1">
      <c r="A322" s="285"/>
      <c r="B322" s="2281" t="s">
        <v>451</v>
      </c>
      <c r="C322" s="2370">
        <v>-317121</v>
      </c>
      <c r="D322" s="2371">
        <v>-4531</v>
      </c>
      <c r="E322" s="2370">
        <v>-67790</v>
      </c>
      <c r="F322" s="2371">
        <v>-2240564</v>
      </c>
      <c r="G322" s="2370"/>
      <c r="H322" s="2371">
        <v>-37812</v>
      </c>
      <c r="I322" s="2363">
        <f t="shared" si="19"/>
        <v>-2667818</v>
      </c>
      <c r="J322" s="264"/>
      <c r="K322" s="416"/>
      <c r="L322" s="305"/>
      <c r="M322" s="305"/>
      <c r="N322" s="305"/>
      <c r="O322" s="305"/>
      <c r="P322" s="305"/>
      <c r="Q322" s="305"/>
      <c r="R322" s="305"/>
      <c r="W322" s="305"/>
      <c r="X322" s="305"/>
      <c r="Y322" s="305"/>
      <c r="Z322" s="305"/>
      <c r="AA322" s="305"/>
      <c r="AB322" s="305"/>
      <c r="AC322" s="305"/>
      <c r="AD322" s="305"/>
      <c r="AE322" s="305"/>
      <c r="AF322" s="305"/>
    </row>
    <row r="323" spans="1:32" s="52" customFormat="1" ht="14.25" customHeight="1">
      <c r="A323" s="285"/>
      <c r="B323" s="2281" t="s">
        <v>452</v>
      </c>
      <c r="C323" s="832">
        <v>117261</v>
      </c>
      <c r="D323" s="834">
        <v>4302</v>
      </c>
      <c r="E323" s="832"/>
      <c r="F323" s="834">
        <v>-180133</v>
      </c>
      <c r="G323" s="832"/>
      <c r="H323" s="834">
        <v>21568</v>
      </c>
      <c r="I323" s="2363">
        <f t="shared" si="19"/>
        <v>-37002</v>
      </c>
      <c r="J323" s="264"/>
      <c r="K323" s="416"/>
      <c r="L323" s="305"/>
      <c r="M323" s="305"/>
      <c r="N323" s="305"/>
      <c r="O323" s="305"/>
      <c r="P323" s="305"/>
      <c r="Q323" s="305"/>
      <c r="R323" s="305"/>
      <c r="W323" s="305"/>
      <c r="X323" s="305"/>
      <c r="Y323" s="305"/>
      <c r="Z323" s="305"/>
      <c r="AA323" s="305"/>
      <c r="AB323" s="305"/>
      <c r="AC323" s="305"/>
      <c r="AD323" s="305"/>
      <c r="AE323" s="305"/>
      <c r="AF323" s="305"/>
    </row>
    <row r="324" spans="1:32" s="52" customFormat="1" ht="14.25" customHeight="1">
      <c r="A324" s="285"/>
      <c r="B324" s="2281" t="s">
        <v>453</v>
      </c>
      <c r="C324" s="2368"/>
      <c r="D324" s="2369"/>
      <c r="E324" s="2368"/>
      <c r="F324" s="2369"/>
      <c r="G324" s="2368"/>
      <c r="H324" s="2369"/>
      <c r="I324" s="2363">
        <f t="shared" si="19"/>
        <v>0</v>
      </c>
      <c r="J324" s="264"/>
      <c r="K324" s="416"/>
      <c r="L324" s="305"/>
      <c r="M324" s="305"/>
      <c r="N324" s="305"/>
      <c r="O324" s="305"/>
      <c r="P324" s="305"/>
      <c r="Q324" s="305"/>
      <c r="R324" s="305"/>
      <c r="W324" s="305"/>
      <c r="X324" s="305"/>
      <c r="Y324" s="305"/>
      <c r="Z324" s="305"/>
      <c r="AA324" s="305"/>
      <c r="AB324" s="305"/>
      <c r="AC324" s="305"/>
      <c r="AD324" s="305"/>
      <c r="AE324" s="305"/>
      <c r="AF324" s="305"/>
    </row>
    <row r="325" spans="1:32" s="52" customFormat="1" ht="14.25" customHeight="1">
      <c r="A325" s="285"/>
      <c r="B325" s="2283" t="s">
        <v>454</v>
      </c>
      <c r="C325" s="2364">
        <f t="shared" ref="C325:H325" si="20">C319+C322+C323+C324</f>
        <v>39087</v>
      </c>
      <c r="D325" s="2365">
        <f t="shared" si="20"/>
        <v>17500</v>
      </c>
      <c r="E325" s="2364">
        <f t="shared" si="20"/>
        <v>-50823</v>
      </c>
      <c r="F325" s="2365">
        <f>F319+F322+F323+F324</f>
        <v>2506547</v>
      </c>
      <c r="G325" s="2364">
        <f t="shared" si="20"/>
        <v>0</v>
      </c>
      <c r="H325" s="2365">
        <f t="shared" si="20"/>
        <v>80221</v>
      </c>
      <c r="I325" s="2290">
        <f t="shared" si="19"/>
        <v>2592532</v>
      </c>
      <c r="J325" s="264"/>
      <c r="K325" s="432"/>
      <c r="L325" s="305"/>
      <c r="M325" s="305"/>
      <c r="N325" s="305"/>
      <c r="O325" s="305"/>
      <c r="P325" s="305"/>
      <c r="Q325" s="305"/>
      <c r="R325" s="305"/>
      <c r="W325" s="305"/>
      <c r="X325" s="305"/>
      <c r="Y325" s="305"/>
      <c r="Z325" s="305"/>
      <c r="AA325" s="305"/>
      <c r="AB325" s="305"/>
      <c r="AC325" s="305"/>
      <c r="AD325" s="305"/>
      <c r="AE325" s="305"/>
      <c r="AF325" s="305"/>
    </row>
    <row r="326" spans="1:32" s="52" customFormat="1" ht="14.25" customHeight="1">
      <c r="A326" s="285"/>
      <c r="B326" s="2281"/>
      <c r="C326" s="2372"/>
      <c r="D326" s="2373"/>
      <c r="E326" s="2372"/>
      <c r="F326" s="2373"/>
      <c r="G326" s="2372"/>
      <c r="H326" s="2373"/>
      <c r="I326" s="2363"/>
      <c r="J326" s="264"/>
      <c r="K326" s="416"/>
      <c r="M326" s="305"/>
      <c r="W326" s="305"/>
      <c r="X326" s="305"/>
      <c r="Y326" s="305"/>
      <c r="Z326" s="305"/>
      <c r="AA326" s="305"/>
      <c r="AB326" s="305"/>
      <c r="AC326" s="305"/>
      <c r="AD326" s="305"/>
      <c r="AE326" s="305"/>
      <c r="AF326" s="305"/>
    </row>
    <row r="327" spans="1:32" s="52" customFormat="1" ht="14.25" customHeight="1">
      <c r="A327" s="285"/>
      <c r="B327" s="2283" t="s">
        <v>455</v>
      </c>
      <c r="C327" s="2372"/>
      <c r="D327" s="2373"/>
      <c r="E327" s="2372"/>
      <c r="F327" s="2373"/>
      <c r="G327" s="2372"/>
      <c r="H327" s="2373"/>
      <c r="I327" s="2290">
        <f>SUM(I328:I332)</f>
        <v>757751</v>
      </c>
      <c r="J327" s="264"/>
      <c r="K327" s="416"/>
      <c r="M327" s="305"/>
      <c r="W327" s="305"/>
      <c r="X327" s="305"/>
      <c r="Y327" s="305"/>
      <c r="Z327" s="305"/>
      <c r="AA327" s="305"/>
      <c r="AB327" s="305"/>
      <c r="AC327" s="305"/>
      <c r="AD327" s="305"/>
      <c r="AE327" s="305"/>
      <c r="AF327" s="305"/>
    </row>
    <row r="328" spans="1:32" s="52" customFormat="1" ht="14.25" customHeight="1">
      <c r="A328" s="285"/>
      <c r="B328" s="2281" t="s">
        <v>456</v>
      </c>
      <c r="C328" s="2372"/>
      <c r="D328" s="2373"/>
      <c r="E328" s="2372"/>
      <c r="F328" s="2373"/>
      <c r="G328" s="2372"/>
      <c r="H328" s="2373"/>
      <c r="I328" s="2367">
        <v>157511</v>
      </c>
      <c r="J328" s="264"/>
      <c r="K328" s="416"/>
      <c r="M328" s="305"/>
      <c r="W328" s="305"/>
      <c r="X328" s="305"/>
      <c r="Y328" s="305"/>
      <c r="Z328" s="305"/>
      <c r="AA328" s="305"/>
      <c r="AB328" s="305"/>
      <c r="AC328" s="305"/>
      <c r="AD328" s="305"/>
      <c r="AE328" s="305"/>
      <c r="AF328" s="305"/>
    </row>
    <row r="329" spans="1:32" s="52" customFormat="1" ht="14.25" customHeight="1">
      <c r="A329" s="285"/>
      <c r="B329" s="2281" t="s">
        <v>472</v>
      </c>
      <c r="C329" s="2372"/>
      <c r="D329" s="2373"/>
      <c r="E329" s="2372"/>
      <c r="F329" s="2373"/>
      <c r="G329" s="2372"/>
      <c r="H329" s="2373"/>
      <c r="I329" s="1521">
        <v>527810</v>
      </c>
      <c r="J329" s="264"/>
      <c r="K329" s="416"/>
      <c r="M329" s="305"/>
      <c r="W329" s="305"/>
      <c r="X329" s="305"/>
      <c r="Y329" s="305"/>
      <c r="Z329" s="305"/>
      <c r="AA329" s="305"/>
      <c r="AB329" s="305"/>
      <c r="AC329" s="305"/>
      <c r="AD329" s="305"/>
      <c r="AE329" s="305"/>
      <c r="AF329" s="305"/>
    </row>
    <row r="330" spans="1:32" s="52" customFormat="1" ht="14.25" customHeight="1">
      <c r="A330" s="285"/>
      <c r="B330" s="2281" t="s">
        <v>458</v>
      </c>
      <c r="C330" s="2372"/>
      <c r="D330" s="2373"/>
      <c r="E330" s="2372"/>
      <c r="F330" s="2373"/>
      <c r="G330" s="2372"/>
      <c r="H330" s="2373"/>
      <c r="I330" s="1521">
        <v>95169</v>
      </c>
      <c r="J330" s="264"/>
      <c r="K330" s="416"/>
      <c r="M330" s="305"/>
      <c r="W330" s="305"/>
      <c r="X330" s="305"/>
      <c r="Y330" s="305"/>
      <c r="Z330" s="305"/>
      <c r="AA330" s="305"/>
      <c r="AB330" s="305"/>
      <c r="AC330" s="305"/>
      <c r="AD330" s="305"/>
      <c r="AE330" s="305"/>
      <c r="AF330" s="305"/>
    </row>
    <row r="331" spans="1:32" s="52" customFormat="1" ht="14.25" customHeight="1">
      <c r="A331" s="285"/>
      <c r="B331" s="2281" t="s">
        <v>459</v>
      </c>
      <c r="C331" s="2372"/>
      <c r="D331" s="2373"/>
      <c r="E331" s="2372"/>
      <c r="F331" s="2373"/>
      <c r="G331" s="2372"/>
      <c r="H331" s="2373"/>
      <c r="I331" s="1521">
        <v>-6167</v>
      </c>
      <c r="J331" s="264"/>
      <c r="K331" s="416"/>
      <c r="M331" s="305"/>
      <c r="W331" s="305"/>
      <c r="X331" s="305"/>
      <c r="Y331" s="305"/>
      <c r="Z331" s="305"/>
      <c r="AA331" s="305"/>
      <c r="AB331" s="305"/>
      <c r="AC331" s="305"/>
      <c r="AD331" s="305"/>
      <c r="AE331" s="305"/>
      <c r="AF331" s="305"/>
    </row>
    <row r="332" spans="1:32" s="52" customFormat="1" ht="14.25" customHeight="1">
      <c r="A332" s="285"/>
      <c r="B332" s="2281" t="s">
        <v>460</v>
      </c>
      <c r="C332" s="2372"/>
      <c r="D332" s="2373"/>
      <c r="E332" s="2372"/>
      <c r="F332" s="2373"/>
      <c r="G332" s="2372"/>
      <c r="H332" s="2373"/>
      <c r="I332" s="1521">
        <v>-16572</v>
      </c>
      <c r="J332" s="264"/>
      <c r="K332" s="416"/>
      <c r="M332" s="305"/>
      <c r="W332" s="305"/>
      <c r="X332" s="305"/>
      <c r="Y332" s="305"/>
      <c r="Z332" s="305"/>
      <c r="AA332" s="305"/>
      <c r="AB332" s="305"/>
      <c r="AC332" s="305"/>
      <c r="AD332" s="305"/>
      <c r="AE332" s="305"/>
      <c r="AF332" s="305"/>
    </row>
    <row r="333" spans="1:32" s="52" customFormat="1" ht="14.25" customHeight="1">
      <c r="A333" s="285"/>
      <c r="B333" s="2281"/>
      <c r="C333" s="2372"/>
      <c r="D333" s="2373"/>
      <c r="E333" s="2372"/>
      <c r="F333" s="2373"/>
      <c r="G333" s="2372"/>
      <c r="H333" s="2373"/>
      <c r="I333" s="2363"/>
      <c r="J333" s="264"/>
      <c r="K333" s="416"/>
      <c r="M333" s="305"/>
      <c r="W333" s="305"/>
      <c r="X333" s="305"/>
      <c r="Y333" s="305"/>
      <c r="Z333" s="305"/>
      <c r="AA333" s="305"/>
      <c r="AB333" s="305"/>
      <c r="AC333" s="305"/>
      <c r="AD333" s="305"/>
      <c r="AE333" s="305"/>
      <c r="AF333" s="305"/>
    </row>
    <row r="334" spans="1:32" s="52" customFormat="1" ht="14.25" customHeight="1">
      <c r="A334" s="285"/>
      <c r="B334" s="2283" t="s">
        <v>461</v>
      </c>
      <c r="C334" s="2372"/>
      <c r="D334" s="2373"/>
      <c r="E334" s="2372"/>
      <c r="F334" s="2373"/>
      <c r="G334" s="2372"/>
      <c r="H334" s="2373"/>
      <c r="I334" s="2363">
        <f>I335+I336</f>
        <v>-2049052</v>
      </c>
      <c r="J334" s="264"/>
      <c r="K334" s="416"/>
      <c r="M334" s="305"/>
      <c r="W334" s="305"/>
      <c r="X334" s="305"/>
      <c r="Y334" s="305"/>
      <c r="Z334" s="305"/>
      <c r="AA334" s="305"/>
      <c r="AB334" s="305"/>
      <c r="AC334" s="305"/>
      <c r="AD334" s="305"/>
      <c r="AE334" s="305"/>
      <c r="AF334" s="305"/>
    </row>
    <row r="335" spans="1:32" s="52" customFormat="1" ht="27" customHeight="1">
      <c r="A335" s="285"/>
      <c r="B335" s="2281" t="s">
        <v>462</v>
      </c>
      <c r="C335" s="2372"/>
      <c r="D335" s="2373"/>
      <c r="E335" s="2372"/>
      <c r="F335" s="2373"/>
      <c r="G335" s="2372"/>
      <c r="H335" s="2373"/>
      <c r="I335" s="2367">
        <v>-2049052</v>
      </c>
      <c r="J335" s="264"/>
      <c r="K335" s="416"/>
      <c r="M335" s="305"/>
      <c r="W335" s="305"/>
      <c r="X335" s="305"/>
      <c r="Y335" s="305"/>
      <c r="Z335" s="305"/>
      <c r="AA335" s="305"/>
      <c r="AB335" s="305"/>
      <c r="AC335" s="305"/>
      <c r="AD335" s="305"/>
      <c r="AE335" s="305"/>
      <c r="AF335" s="305"/>
    </row>
    <row r="336" spans="1:32" s="52" customFormat="1" ht="27" customHeight="1">
      <c r="A336" s="285"/>
      <c r="B336" s="2281" t="s">
        <v>463</v>
      </c>
      <c r="C336" s="2372"/>
      <c r="D336" s="2373"/>
      <c r="E336" s="2372"/>
      <c r="F336" s="2373"/>
      <c r="G336" s="2372"/>
      <c r="H336" s="2373"/>
      <c r="I336" s="2363"/>
      <c r="J336" s="264"/>
      <c r="K336" s="416"/>
      <c r="M336" s="305"/>
      <c r="W336" s="305"/>
      <c r="X336" s="305"/>
      <c r="Y336" s="305"/>
      <c r="Z336" s="305"/>
      <c r="AA336" s="305"/>
      <c r="AB336" s="305"/>
      <c r="AC336" s="305"/>
      <c r="AD336" s="305"/>
      <c r="AE336" s="305"/>
      <c r="AF336" s="305"/>
    </row>
    <row r="337" spans="1:32" s="52" customFormat="1" ht="14.25" customHeight="1">
      <c r="A337" s="285"/>
      <c r="B337" s="2283" t="s">
        <v>464</v>
      </c>
      <c r="C337" s="2372"/>
      <c r="D337" s="2373"/>
      <c r="E337" s="2372"/>
      <c r="F337" s="2373"/>
      <c r="G337" s="2372"/>
      <c r="H337" s="2373"/>
      <c r="I337" s="2290">
        <f>+I325+I327+I335</f>
        <v>1301231</v>
      </c>
      <c r="J337" s="264"/>
      <c r="K337" s="416"/>
      <c r="M337" s="305"/>
      <c r="W337" s="305"/>
      <c r="X337" s="305"/>
      <c r="Y337" s="305"/>
      <c r="Z337" s="305"/>
      <c r="AA337" s="305"/>
      <c r="AB337" s="305"/>
      <c r="AC337" s="305"/>
      <c r="AD337" s="305"/>
      <c r="AE337" s="305"/>
      <c r="AF337" s="305"/>
    </row>
    <row r="338" spans="1:32" s="52" customFormat="1" ht="14.25" customHeight="1">
      <c r="A338" s="285"/>
      <c r="B338" s="2281" t="s">
        <v>465</v>
      </c>
      <c r="C338" s="2372"/>
      <c r="D338" s="2373"/>
      <c r="E338" s="2372"/>
      <c r="F338" s="2373"/>
      <c r="G338" s="2372"/>
      <c r="H338" s="2373"/>
      <c r="I338" s="2367">
        <v>-29828</v>
      </c>
      <c r="J338" s="264"/>
      <c r="K338" s="416"/>
      <c r="M338" s="305"/>
      <c r="W338" s="305"/>
      <c r="X338" s="305"/>
      <c r="Y338" s="305"/>
      <c r="Z338" s="305"/>
      <c r="AA338" s="305"/>
      <c r="AB338" s="305"/>
      <c r="AC338" s="305"/>
      <c r="AD338" s="305"/>
      <c r="AE338" s="305"/>
      <c r="AF338" s="305"/>
    </row>
    <row r="339" spans="1:32" s="52" customFormat="1" ht="14.25" customHeight="1">
      <c r="A339" s="285"/>
      <c r="B339" s="2283" t="s">
        <v>466</v>
      </c>
      <c r="C339" s="2372"/>
      <c r="D339" s="2373"/>
      <c r="E339" s="2372"/>
      <c r="F339" s="2373"/>
      <c r="G339" s="2372"/>
      <c r="H339" s="2373"/>
      <c r="I339" s="2290">
        <f>SUM(I337:I338)</f>
        <v>1271403</v>
      </c>
      <c r="J339" s="264"/>
      <c r="K339" s="416"/>
      <c r="M339" s="305"/>
      <c r="W339" s="305"/>
      <c r="X339" s="305"/>
      <c r="Y339" s="305"/>
      <c r="Z339" s="305"/>
      <c r="AA339" s="305"/>
      <c r="AB339" s="305"/>
      <c r="AC339" s="305"/>
      <c r="AD339" s="305"/>
      <c r="AE339" s="305"/>
      <c r="AF339" s="305"/>
    </row>
    <row r="340" spans="1:32" s="52" customFormat="1" ht="14.25" customHeight="1">
      <c r="A340" s="285"/>
      <c r="B340" s="2281" t="s">
        <v>467</v>
      </c>
      <c r="C340" s="2372"/>
      <c r="D340" s="2373"/>
      <c r="E340" s="2372"/>
      <c r="F340" s="2373"/>
      <c r="G340" s="2372"/>
      <c r="H340" s="2373"/>
      <c r="I340" s="2367">
        <v>-176681</v>
      </c>
      <c r="J340" s="264"/>
      <c r="K340" s="416"/>
      <c r="M340" s="305"/>
      <c r="W340" s="305"/>
      <c r="X340" s="305"/>
      <c r="Y340" s="305"/>
      <c r="Z340" s="305"/>
      <c r="AA340" s="305"/>
      <c r="AB340" s="305"/>
      <c r="AC340" s="305"/>
      <c r="AD340" s="305"/>
      <c r="AE340" s="305"/>
      <c r="AF340" s="305"/>
    </row>
    <row r="341" spans="1:32" s="52" customFormat="1" ht="14.25" customHeight="1" thickBot="1">
      <c r="A341" s="285"/>
      <c r="B341" s="1519" t="s">
        <v>468</v>
      </c>
      <c r="C341" s="1113"/>
      <c r="D341" s="835"/>
      <c r="E341" s="1113"/>
      <c r="F341" s="835"/>
      <c r="G341" s="1113"/>
      <c r="H341" s="835"/>
      <c r="I341" s="1493">
        <f>SUM(I339:I340)</f>
        <v>1094722</v>
      </c>
      <c r="J341" s="264"/>
      <c r="K341" s="416"/>
      <c r="M341" s="305"/>
      <c r="W341" s="305"/>
      <c r="X341" s="305"/>
      <c r="Y341" s="305"/>
      <c r="Z341" s="305"/>
      <c r="AA341" s="305"/>
      <c r="AB341" s="305"/>
      <c r="AC341" s="305"/>
      <c r="AD341" s="305"/>
      <c r="AE341" s="305"/>
      <c r="AF341" s="305"/>
    </row>
    <row r="342" spans="1:32" s="52" customFormat="1" ht="14.25" customHeight="1">
      <c r="A342" s="285"/>
      <c r="B342" s="455"/>
      <c r="C342" s="414"/>
      <c r="D342" s="414"/>
      <c r="E342" s="414"/>
      <c r="F342" s="414"/>
      <c r="G342" s="414"/>
      <c r="H342" s="414"/>
      <c r="I342" s="264"/>
      <c r="J342" s="264"/>
      <c r="K342" s="416"/>
      <c r="M342" s="305"/>
      <c r="W342" s="305"/>
      <c r="X342" s="305"/>
      <c r="Y342" s="305"/>
      <c r="Z342" s="305"/>
      <c r="AA342" s="305"/>
      <c r="AB342" s="305"/>
      <c r="AC342" s="305"/>
      <c r="AD342" s="305"/>
      <c r="AE342" s="305"/>
      <c r="AF342" s="305"/>
    </row>
    <row r="343" spans="1:32" s="52" customFormat="1" ht="14.25" customHeight="1">
      <c r="A343" s="285"/>
      <c r="B343" s="455"/>
      <c r="C343" s="414"/>
      <c r="D343" s="414"/>
      <c r="E343" s="414"/>
      <c r="F343" s="414"/>
      <c r="G343" s="414"/>
      <c r="H343" s="414"/>
      <c r="I343" s="264"/>
      <c r="J343" s="264"/>
      <c r="K343" s="394">
        <v>134</v>
      </c>
      <c r="M343" s="305"/>
      <c r="W343" s="305"/>
      <c r="X343" s="305"/>
      <c r="Y343" s="305"/>
      <c r="Z343" s="305"/>
      <c r="AA343" s="305"/>
      <c r="AB343" s="305"/>
      <c r="AC343" s="305"/>
      <c r="AD343" s="305"/>
      <c r="AE343" s="305"/>
      <c r="AF343" s="305"/>
    </row>
    <row r="344" spans="1:32" s="52" customFormat="1" ht="14.25" customHeight="1">
      <c r="A344" s="285"/>
      <c r="B344" s="455"/>
      <c r="C344" s="414"/>
      <c r="D344" s="414"/>
      <c r="E344" s="414"/>
      <c r="F344" s="414"/>
      <c r="G344" s="414"/>
      <c r="H344" s="414"/>
      <c r="I344" s="264"/>
      <c r="J344" s="264"/>
      <c r="K344" s="416"/>
      <c r="M344" s="305"/>
      <c r="W344" s="305"/>
      <c r="X344" s="305"/>
      <c r="Y344" s="305"/>
      <c r="Z344" s="305"/>
      <c r="AA344" s="305"/>
      <c r="AB344" s="305"/>
      <c r="AC344" s="305"/>
      <c r="AD344" s="305"/>
      <c r="AE344" s="305"/>
      <c r="AF344" s="305"/>
    </row>
    <row r="345" spans="1:32" s="52" customFormat="1" ht="14.25" customHeight="1">
      <c r="A345" s="285"/>
      <c r="B345" s="236" t="s">
        <v>477</v>
      </c>
      <c r="C345" s="279"/>
      <c r="D345" s="279"/>
      <c r="E345" s="414"/>
      <c r="F345" s="414"/>
      <c r="G345" s="414"/>
      <c r="H345" s="414"/>
      <c r="I345" s="264"/>
      <c r="J345" s="264"/>
      <c r="K345" s="416"/>
      <c r="M345" s="305"/>
      <c r="W345" s="305"/>
      <c r="X345" s="305"/>
      <c r="Y345" s="305"/>
      <c r="Z345" s="305"/>
      <c r="AA345" s="305"/>
      <c r="AB345" s="305"/>
      <c r="AC345" s="305"/>
      <c r="AD345" s="305"/>
      <c r="AE345" s="305"/>
      <c r="AF345" s="305"/>
    </row>
    <row r="346" spans="1:32" s="52" customFormat="1" ht="14.25" customHeight="1" thickBot="1">
      <c r="A346" s="285"/>
      <c r="B346" s="51"/>
      <c r="C346" s="526"/>
      <c r="D346" s="526"/>
      <c r="E346" s="414"/>
      <c r="F346" s="414"/>
      <c r="G346" s="414"/>
      <c r="H346" s="414"/>
      <c r="I346" s="264"/>
      <c r="J346" s="264"/>
      <c r="K346" s="416"/>
      <c r="M346" s="305"/>
      <c r="W346" s="305"/>
      <c r="X346" s="305"/>
      <c r="Y346" s="305"/>
      <c r="Z346" s="305"/>
      <c r="AA346" s="305"/>
      <c r="AB346" s="305"/>
      <c r="AC346" s="305"/>
      <c r="AD346" s="305"/>
      <c r="AE346" s="305"/>
      <c r="AF346" s="305"/>
    </row>
    <row r="347" spans="1:32" ht="14.25" customHeight="1" thickBot="1">
      <c r="B347" s="1481" t="s">
        <v>109</v>
      </c>
      <c r="C347" s="514"/>
      <c r="D347" s="514"/>
      <c r="E347" s="514"/>
      <c r="F347" s="514"/>
      <c r="G347" s="3414" t="s">
        <v>238</v>
      </c>
      <c r="H347" s="3414"/>
      <c r="I347" s="3414"/>
      <c r="J347" s="385"/>
      <c r="K347" s="429"/>
      <c r="M347" s="305"/>
      <c r="W347" s="305"/>
      <c r="X347" s="305"/>
      <c r="Y347" s="305"/>
      <c r="Z347" s="305"/>
      <c r="AA347" s="305"/>
      <c r="AB347" s="305"/>
      <c r="AC347" s="305"/>
      <c r="AD347" s="305"/>
      <c r="AE347" s="305"/>
      <c r="AF347" s="305"/>
    </row>
    <row r="348" spans="1:32" s="52" customFormat="1" ht="14.25" customHeight="1" thickBot="1">
      <c r="A348" s="278"/>
      <c r="B348" s="3407"/>
      <c r="C348" s="3332">
        <v>2021</v>
      </c>
      <c r="D348" s="3333"/>
      <c r="E348" s="3333"/>
      <c r="F348" s="3333"/>
      <c r="G348" s="3333"/>
      <c r="H348" s="3333"/>
      <c r="I348" s="3334"/>
      <c r="J348" s="315"/>
      <c r="K348" s="429"/>
      <c r="M348" s="305"/>
      <c r="W348" s="305"/>
      <c r="X348" s="305"/>
      <c r="Y348" s="305"/>
      <c r="Z348" s="305"/>
      <c r="AA348" s="305"/>
      <c r="AB348" s="305"/>
      <c r="AC348" s="305"/>
      <c r="AD348" s="305"/>
      <c r="AE348" s="305"/>
      <c r="AF348" s="305"/>
    </row>
    <row r="349" spans="1:32" s="52" customFormat="1" ht="14.25" customHeight="1" thickBot="1">
      <c r="A349" s="394"/>
      <c r="B349" s="3415"/>
      <c r="C349" s="3410" t="s">
        <v>436</v>
      </c>
      <c r="D349" s="3417" t="s">
        <v>437</v>
      </c>
      <c r="E349" s="3412" t="s">
        <v>438</v>
      </c>
      <c r="F349" s="3419"/>
      <c r="G349" s="3410" t="s">
        <v>439</v>
      </c>
      <c r="H349" s="3420" t="s">
        <v>440</v>
      </c>
      <c r="I349" s="3410" t="s">
        <v>118</v>
      </c>
      <c r="J349" s="278"/>
      <c r="K349" s="429"/>
      <c r="M349" s="305"/>
      <c r="W349" s="305"/>
      <c r="X349" s="305"/>
      <c r="Y349" s="305"/>
      <c r="Z349" s="305"/>
      <c r="AA349" s="305"/>
      <c r="AB349" s="305"/>
      <c r="AC349" s="305"/>
      <c r="AD349" s="305"/>
      <c r="AE349" s="305"/>
      <c r="AF349" s="305"/>
    </row>
    <row r="350" spans="1:32" s="52" customFormat="1" ht="14.25" customHeight="1" thickBot="1">
      <c r="A350" s="394"/>
      <c r="B350" s="3416"/>
      <c r="C350" s="3411"/>
      <c r="D350" s="3421"/>
      <c r="E350" s="1506" t="s">
        <v>442</v>
      </c>
      <c r="F350" s="1512" t="s">
        <v>443</v>
      </c>
      <c r="G350" s="3411"/>
      <c r="H350" s="3421"/>
      <c r="I350" s="3411"/>
      <c r="J350" s="278"/>
      <c r="K350" s="429"/>
      <c r="M350" s="305"/>
      <c r="W350" s="305"/>
      <c r="X350" s="305"/>
      <c r="Y350" s="305"/>
      <c r="Z350" s="305"/>
      <c r="AA350" s="305"/>
      <c r="AB350" s="305"/>
      <c r="AC350" s="305"/>
      <c r="AD350" s="305"/>
      <c r="AE350" s="305"/>
      <c r="AF350" s="305"/>
    </row>
    <row r="351" spans="1:32" s="52" customFormat="1" ht="14.25" customHeight="1">
      <c r="A351" s="285"/>
      <c r="B351" s="1478" t="s">
        <v>342</v>
      </c>
      <c r="C351" s="2374">
        <v>32175</v>
      </c>
      <c r="D351" s="2375">
        <v>1017</v>
      </c>
      <c r="E351" s="2374">
        <v>29894</v>
      </c>
      <c r="F351" s="2376">
        <v>298044</v>
      </c>
      <c r="G351" s="2374">
        <v>9100</v>
      </c>
      <c r="H351" s="2376">
        <v>67006</v>
      </c>
      <c r="I351" s="1502">
        <f t="shared" ref="I351:I363" si="21">H351+G351+F351+E351+D351+C351</f>
        <v>437236</v>
      </c>
      <c r="J351" s="278"/>
      <c r="K351" s="429"/>
      <c r="L351" s="491"/>
      <c r="M351" s="305"/>
      <c r="N351" s="491"/>
      <c r="O351" s="491"/>
      <c r="P351" s="491"/>
      <c r="Q351" s="491"/>
      <c r="R351" s="491"/>
      <c r="W351" s="305"/>
      <c r="X351" s="305"/>
      <c r="Y351" s="305"/>
      <c r="Z351" s="305"/>
      <c r="AA351" s="305"/>
      <c r="AB351" s="305"/>
      <c r="AC351" s="305"/>
      <c r="AD351" s="305"/>
      <c r="AE351" s="305"/>
      <c r="AF351" s="305"/>
    </row>
    <row r="352" spans="1:32" s="52" customFormat="1" ht="14.25" customHeight="1">
      <c r="A352" s="285"/>
      <c r="B352" s="2246" t="s">
        <v>444</v>
      </c>
      <c r="C352" s="795">
        <v>-4653</v>
      </c>
      <c r="D352" s="688">
        <v>-15</v>
      </c>
      <c r="E352" s="795">
        <v>0</v>
      </c>
      <c r="F352" s="688">
        <v>-165</v>
      </c>
      <c r="G352" s="795">
        <v>0</v>
      </c>
      <c r="H352" s="633">
        <v>-1262</v>
      </c>
      <c r="I352" s="2314">
        <f t="shared" si="21"/>
        <v>-6095</v>
      </c>
      <c r="J352" s="278"/>
      <c r="K352" s="429"/>
      <c r="L352" s="491"/>
      <c r="M352" s="305"/>
      <c r="N352" s="491"/>
      <c r="O352" s="491"/>
      <c r="P352" s="491"/>
      <c r="Q352" s="491"/>
      <c r="R352" s="491"/>
      <c r="W352" s="305"/>
      <c r="X352" s="305"/>
      <c r="Y352" s="305"/>
      <c r="Z352" s="305"/>
      <c r="AA352" s="305"/>
      <c r="AB352" s="305"/>
      <c r="AC352" s="305"/>
      <c r="AD352" s="305"/>
      <c r="AE352" s="305"/>
      <c r="AF352" s="305"/>
    </row>
    <row r="353" spans="1:32" s="52" customFormat="1" ht="14.25" customHeight="1">
      <c r="A353" s="285"/>
      <c r="B353" s="2246" t="s">
        <v>445</v>
      </c>
      <c r="C353" s="796">
        <v>-15692</v>
      </c>
      <c r="D353" s="688">
        <v>0</v>
      </c>
      <c r="E353" s="795">
        <v>0</v>
      </c>
      <c r="F353" s="688">
        <v>0</v>
      </c>
      <c r="G353" s="795">
        <v>0</v>
      </c>
      <c r="H353" s="2376">
        <v>-2379</v>
      </c>
      <c r="I353" s="2314">
        <f t="shared" si="21"/>
        <v>-18071</v>
      </c>
      <c r="J353" s="278"/>
      <c r="K353" s="429"/>
      <c r="L353" s="491"/>
      <c r="M353" s="305"/>
      <c r="N353" s="491"/>
      <c r="O353" s="491"/>
      <c r="P353" s="491"/>
      <c r="Q353" s="491"/>
      <c r="R353" s="491"/>
      <c r="W353" s="305"/>
      <c r="X353" s="305"/>
      <c r="Y353" s="305"/>
      <c r="Z353" s="305"/>
      <c r="AA353" s="305"/>
      <c r="AB353" s="305"/>
      <c r="AC353" s="305"/>
      <c r="AD353" s="305"/>
      <c r="AE353" s="305"/>
      <c r="AF353" s="305"/>
    </row>
    <row r="354" spans="1:32" s="52" customFormat="1" ht="14.25" customHeight="1">
      <c r="A354" s="285"/>
      <c r="B354" s="2246" t="s">
        <v>446</v>
      </c>
      <c r="C354" s="796">
        <v>-9362</v>
      </c>
      <c r="D354" s="688">
        <v>-767</v>
      </c>
      <c r="E354" s="796">
        <v>-2857</v>
      </c>
      <c r="F354" s="687">
        <v>-34956</v>
      </c>
      <c r="G354" s="795">
        <v>0</v>
      </c>
      <c r="H354" s="687">
        <v>-54515</v>
      </c>
      <c r="I354" s="2314">
        <f t="shared" si="21"/>
        <v>-102457</v>
      </c>
      <c r="J354" s="278"/>
      <c r="K354" s="429"/>
      <c r="L354" s="491"/>
      <c r="M354" s="305"/>
      <c r="N354" s="491"/>
      <c r="O354" s="491"/>
      <c r="P354" s="491"/>
      <c r="Q354" s="491"/>
      <c r="R354" s="491"/>
      <c r="W354" s="305"/>
      <c r="X354" s="305"/>
      <c r="Y354" s="305"/>
      <c r="Z354" s="305"/>
      <c r="AA354" s="305"/>
      <c r="AB354" s="305"/>
      <c r="AC354" s="305"/>
      <c r="AD354" s="305"/>
      <c r="AE354" s="305"/>
      <c r="AF354" s="305"/>
    </row>
    <row r="355" spans="1:32" s="52" customFormat="1" ht="14.25" customHeight="1">
      <c r="A355" s="285"/>
      <c r="B355" s="2248" t="s">
        <v>447</v>
      </c>
      <c r="C355" s="2249">
        <v>2468</v>
      </c>
      <c r="D355" s="2250">
        <v>235</v>
      </c>
      <c r="E355" s="2249">
        <v>27037</v>
      </c>
      <c r="F355" s="2250">
        <v>262923</v>
      </c>
      <c r="G355" s="2249">
        <v>9100</v>
      </c>
      <c r="H355" s="2250">
        <v>8850</v>
      </c>
      <c r="I355" s="2327">
        <f t="shared" si="21"/>
        <v>310613</v>
      </c>
      <c r="J355" s="278"/>
      <c r="K355" s="416"/>
      <c r="L355" s="491"/>
      <c r="M355" s="305"/>
      <c r="N355" s="491"/>
      <c r="O355" s="491"/>
      <c r="P355" s="491"/>
      <c r="Q355" s="491"/>
      <c r="R355" s="491"/>
      <c r="W355" s="305"/>
      <c r="X355" s="305"/>
      <c r="Y355" s="305"/>
      <c r="Z355" s="305"/>
      <c r="AA355" s="305"/>
      <c r="AB355" s="305"/>
      <c r="AC355" s="305"/>
      <c r="AD355" s="305"/>
      <c r="AE355" s="305"/>
      <c r="AF355" s="305"/>
    </row>
    <row r="356" spans="1:32" s="52" customFormat="1" ht="14.25" customHeight="1">
      <c r="A356" s="285"/>
      <c r="B356" s="2246" t="s">
        <v>448</v>
      </c>
      <c r="C356" s="2377">
        <v>-1166</v>
      </c>
      <c r="D356" s="2375">
        <v>2</v>
      </c>
      <c r="E356" s="2374">
        <v>-5752</v>
      </c>
      <c r="F356" s="2376">
        <v>-22606</v>
      </c>
      <c r="G356" s="2377">
        <v>1568</v>
      </c>
      <c r="H356" s="2376">
        <v>-3775</v>
      </c>
      <c r="I356" s="2314">
        <f t="shared" si="21"/>
        <v>-31729</v>
      </c>
      <c r="J356" s="278"/>
      <c r="K356" s="416"/>
      <c r="L356" s="491"/>
      <c r="M356" s="305"/>
      <c r="N356" s="491"/>
      <c r="O356" s="491"/>
      <c r="P356" s="491"/>
      <c r="Q356" s="491"/>
      <c r="R356" s="491"/>
      <c r="W356" s="305"/>
      <c r="X356" s="305"/>
      <c r="Y356" s="305"/>
      <c r="Z356" s="305"/>
      <c r="AA356" s="305"/>
      <c r="AB356" s="305"/>
      <c r="AC356" s="305"/>
      <c r="AD356" s="305"/>
      <c r="AE356" s="305"/>
      <c r="AF356" s="305"/>
    </row>
    <row r="357" spans="1:32" s="52" customFormat="1" ht="14.25" customHeight="1">
      <c r="A357" s="285"/>
      <c r="B357" s="2248" t="s">
        <v>449</v>
      </c>
      <c r="C357" s="2249">
        <v>1302</v>
      </c>
      <c r="D357" s="2250">
        <v>237</v>
      </c>
      <c r="E357" s="2249">
        <v>21285</v>
      </c>
      <c r="F357" s="2250">
        <v>240317</v>
      </c>
      <c r="G357" s="2249">
        <v>10668</v>
      </c>
      <c r="H357" s="2250">
        <v>5075</v>
      </c>
      <c r="I357" s="2327">
        <f t="shared" si="21"/>
        <v>278884</v>
      </c>
      <c r="J357" s="278"/>
      <c r="K357" s="416"/>
      <c r="L357" s="491"/>
      <c r="M357" s="305"/>
      <c r="N357" s="491"/>
      <c r="O357" s="491"/>
      <c r="P357" s="491"/>
      <c r="Q357" s="491"/>
      <c r="R357" s="491"/>
      <c r="W357" s="305"/>
      <c r="X357" s="305"/>
      <c r="Y357" s="305"/>
      <c r="Z357" s="305"/>
      <c r="AA357" s="305"/>
      <c r="AB357" s="305"/>
      <c r="AC357" s="305"/>
      <c r="AD357" s="305"/>
      <c r="AE357" s="305"/>
      <c r="AF357" s="305"/>
    </row>
    <row r="358" spans="1:32" s="52" customFormat="1" ht="14.25" customHeight="1">
      <c r="A358" s="285"/>
      <c r="B358" s="2246"/>
      <c r="C358" s="1866"/>
      <c r="D358" s="1865"/>
      <c r="E358" s="1866"/>
      <c r="F358" s="1865"/>
      <c r="G358" s="1866"/>
      <c r="H358" s="1865"/>
      <c r="I358" s="2314">
        <f t="shared" si="21"/>
        <v>0</v>
      </c>
      <c r="J358" s="278"/>
      <c r="K358" s="416"/>
      <c r="M358" s="305"/>
      <c r="W358" s="305"/>
      <c r="X358" s="305"/>
      <c r="Y358" s="305"/>
      <c r="Z358" s="305"/>
      <c r="AA358" s="305"/>
      <c r="AB358" s="305"/>
      <c r="AC358" s="305"/>
      <c r="AD358" s="305"/>
      <c r="AE358" s="305"/>
      <c r="AF358" s="305"/>
    </row>
    <row r="359" spans="1:32" s="52" customFormat="1" ht="14.25" customHeight="1">
      <c r="A359" s="285"/>
      <c r="B359" s="2248" t="s">
        <v>450</v>
      </c>
      <c r="C359" s="1866"/>
      <c r="D359" s="1865"/>
      <c r="E359" s="1866"/>
      <c r="F359" s="1865"/>
      <c r="G359" s="1866"/>
      <c r="H359" s="1865"/>
      <c r="I359" s="2314">
        <f t="shared" si="21"/>
        <v>0</v>
      </c>
      <c r="J359" s="278"/>
      <c r="K359" s="416"/>
      <c r="L359" s="305"/>
      <c r="M359" s="305"/>
      <c r="N359" s="305"/>
      <c r="O359" s="305"/>
      <c r="P359" s="305"/>
      <c r="Q359" s="305"/>
      <c r="R359" s="305"/>
      <c r="W359" s="305"/>
      <c r="X359" s="305"/>
      <c r="Y359" s="305"/>
      <c r="Z359" s="305"/>
      <c r="AA359" s="305"/>
      <c r="AB359" s="305"/>
      <c r="AC359" s="305"/>
      <c r="AD359" s="305"/>
      <c r="AE359" s="305"/>
      <c r="AF359" s="305"/>
    </row>
    <row r="360" spans="1:32" s="52" customFormat="1" ht="27.75" customHeight="1">
      <c r="A360" s="285"/>
      <c r="B360" s="2246" t="s">
        <v>451</v>
      </c>
      <c r="C360" s="2377">
        <v>780</v>
      </c>
      <c r="D360" s="2375">
        <v>-29</v>
      </c>
      <c r="E360" s="2377">
        <v>0</v>
      </c>
      <c r="F360" s="2376">
        <v>-134151</v>
      </c>
      <c r="G360" s="2377">
        <v>-15464</v>
      </c>
      <c r="H360" s="2376">
        <v>-5503</v>
      </c>
      <c r="I360" s="2314">
        <f t="shared" si="21"/>
        <v>-154367</v>
      </c>
      <c r="J360" s="278"/>
      <c r="K360" s="416"/>
      <c r="L360" s="305"/>
      <c r="M360" s="305"/>
      <c r="N360" s="305"/>
      <c r="O360" s="305"/>
      <c r="P360" s="305"/>
      <c r="Q360" s="305"/>
      <c r="R360" s="305"/>
      <c r="W360" s="305"/>
      <c r="X360" s="305"/>
      <c r="Y360" s="305"/>
      <c r="Z360" s="305"/>
      <c r="AA360" s="305"/>
      <c r="AB360" s="305"/>
      <c r="AC360" s="305"/>
      <c r="AD360" s="305"/>
      <c r="AE360" s="305"/>
      <c r="AF360" s="305"/>
    </row>
    <row r="361" spans="1:32" s="52" customFormat="1" ht="14.25" customHeight="1">
      <c r="A361" s="285"/>
      <c r="B361" s="2246" t="s">
        <v>452</v>
      </c>
      <c r="C361" s="795">
        <v>-2814</v>
      </c>
      <c r="D361" s="688">
        <v>-12</v>
      </c>
      <c r="E361" s="795">
        <v>-4327</v>
      </c>
      <c r="F361" s="687">
        <v>-4951</v>
      </c>
      <c r="G361" s="795">
        <v>-275</v>
      </c>
      <c r="H361" s="687">
        <v>-6081</v>
      </c>
      <c r="I361" s="2314">
        <f t="shared" si="21"/>
        <v>-18460</v>
      </c>
      <c r="J361" s="278"/>
      <c r="K361" s="416"/>
      <c r="L361" s="305"/>
      <c r="M361" s="305"/>
      <c r="N361" s="305"/>
      <c r="O361" s="305"/>
      <c r="P361" s="305"/>
      <c r="Q361" s="305"/>
      <c r="R361" s="305"/>
      <c r="W361" s="305"/>
      <c r="X361" s="305"/>
      <c r="Y361" s="305"/>
      <c r="Z361" s="305"/>
      <c r="AA361" s="305"/>
      <c r="AB361" s="305"/>
      <c r="AC361" s="305"/>
      <c r="AD361" s="305"/>
      <c r="AE361" s="305"/>
      <c r="AF361" s="305"/>
    </row>
    <row r="362" spans="1:32" s="52" customFormat="1" ht="14.25" customHeight="1">
      <c r="A362" s="285"/>
      <c r="B362" s="2246" t="s">
        <v>453</v>
      </c>
      <c r="C362" s="795">
        <v>-107</v>
      </c>
      <c r="D362" s="688">
        <v>-1</v>
      </c>
      <c r="E362" s="795">
        <v>0</v>
      </c>
      <c r="F362" s="687">
        <v>-7513</v>
      </c>
      <c r="G362" s="795">
        <v>0</v>
      </c>
      <c r="H362" s="687">
        <v>-1315</v>
      </c>
      <c r="I362" s="2314">
        <f t="shared" si="21"/>
        <v>-8936</v>
      </c>
      <c r="J362" s="278"/>
      <c r="K362" s="416"/>
      <c r="L362" s="305"/>
      <c r="M362" s="305"/>
      <c r="N362" s="305"/>
      <c r="O362" s="305"/>
      <c r="P362" s="305"/>
      <c r="Q362" s="305"/>
      <c r="R362" s="305"/>
      <c r="W362" s="305"/>
      <c r="X362" s="305"/>
      <c r="Y362" s="305"/>
      <c r="Z362" s="305"/>
      <c r="AA362" s="305"/>
      <c r="AB362" s="305"/>
      <c r="AC362" s="305"/>
      <c r="AD362" s="305"/>
      <c r="AE362" s="305"/>
      <c r="AF362" s="305"/>
    </row>
    <row r="363" spans="1:32" s="52" customFormat="1" ht="14.25" customHeight="1">
      <c r="A363" s="285"/>
      <c r="B363" s="2248" t="s">
        <v>454</v>
      </c>
      <c r="C363" s="2249">
        <v>-838</v>
      </c>
      <c r="D363" s="2250">
        <v>195</v>
      </c>
      <c r="E363" s="2249">
        <v>16958</v>
      </c>
      <c r="F363" s="2250">
        <v>93701</v>
      </c>
      <c r="G363" s="2249">
        <v>-5071</v>
      </c>
      <c r="H363" s="2250">
        <v>-7825</v>
      </c>
      <c r="I363" s="2327">
        <f t="shared" si="21"/>
        <v>97120</v>
      </c>
      <c r="J363" s="278"/>
      <c r="K363" s="432"/>
      <c r="L363" s="305"/>
      <c r="M363" s="305"/>
      <c r="N363" s="305"/>
      <c r="O363" s="305"/>
      <c r="P363" s="305"/>
      <c r="Q363" s="305"/>
      <c r="R363" s="305"/>
      <c r="W363" s="305"/>
      <c r="X363" s="305"/>
      <c r="Y363" s="305"/>
      <c r="Z363" s="305"/>
      <c r="AA363" s="305"/>
      <c r="AB363" s="305"/>
      <c r="AC363" s="305"/>
      <c r="AD363" s="305"/>
      <c r="AE363" s="305"/>
      <c r="AF363" s="305"/>
    </row>
    <row r="364" spans="1:32" s="52" customFormat="1" ht="14.25" customHeight="1">
      <c r="A364" s="285"/>
      <c r="B364" s="2246"/>
      <c r="C364" s="2316"/>
      <c r="D364" s="2318"/>
      <c r="E364" s="2316"/>
      <c r="F364" s="2318"/>
      <c r="G364" s="2316"/>
      <c r="H364" s="2318"/>
      <c r="I364" s="2314"/>
      <c r="J364" s="278"/>
      <c r="K364" s="416"/>
      <c r="M364" s="305"/>
      <c r="W364" s="305"/>
      <c r="X364" s="305"/>
      <c r="Y364" s="305"/>
      <c r="Z364" s="305"/>
      <c r="AA364" s="305"/>
      <c r="AB364" s="305"/>
      <c r="AC364" s="305"/>
      <c r="AD364" s="305"/>
      <c r="AE364" s="305"/>
      <c r="AF364" s="305"/>
    </row>
    <row r="365" spans="1:32" s="52" customFormat="1" ht="14.25" customHeight="1">
      <c r="A365" s="285"/>
      <c r="B365" s="2248" t="s">
        <v>455</v>
      </c>
      <c r="C365" s="2316"/>
      <c r="D365" s="2318"/>
      <c r="E365" s="2316"/>
      <c r="F365" s="2318"/>
      <c r="G365" s="2316"/>
      <c r="H365" s="2318"/>
      <c r="I365" s="2327">
        <f>SUM(I366:I370)</f>
        <v>119806</v>
      </c>
      <c r="J365" s="278"/>
      <c r="K365" s="416"/>
      <c r="M365" s="305"/>
      <c r="W365" s="305"/>
      <c r="X365" s="305"/>
      <c r="Y365" s="305"/>
      <c r="Z365" s="305"/>
      <c r="AA365" s="305"/>
      <c r="AB365" s="305"/>
      <c r="AC365" s="305"/>
      <c r="AD365" s="305"/>
      <c r="AE365" s="305"/>
      <c r="AF365" s="305"/>
    </row>
    <row r="366" spans="1:32" s="52" customFormat="1" ht="14.25" customHeight="1">
      <c r="A366" s="285"/>
      <c r="B366" s="2246" t="s">
        <v>456</v>
      </c>
      <c r="C366" s="2316"/>
      <c r="D366" s="2318"/>
      <c r="E366" s="2316"/>
      <c r="F366" s="2318"/>
      <c r="G366" s="2316"/>
      <c r="H366" s="2318"/>
      <c r="I366" s="2378">
        <v>37910</v>
      </c>
      <c r="J366" s="278"/>
      <c r="K366" s="416"/>
      <c r="M366" s="305"/>
      <c r="W366" s="305"/>
      <c r="X366" s="305"/>
      <c r="Y366" s="305"/>
      <c r="Z366" s="305"/>
      <c r="AA366" s="305"/>
      <c r="AB366" s="305"/>
      <c r="AC366" s="305"/>
      <c r="AD366" s="305"/>
      <c r="AE366" s="305"/>
      <c r="AF366" s="305"/>
    </row>
    <row r="367" spans="1:32" s="52" customFormat="1" ht="14.25" customHeight="1">
      <c r="A367" s="285"/>
      <c r="B367" s="2246" t="s">
        <v>472</v>
      </c>
      <c r="C367" s="2316"/>
      <c r="D367" s="2318"/>
      <c r="E367" s="2316"/>
      <c r="F367" s="2318"/>
      <c r="G367" s="2316"/>
      <c r="H367" s="2318"/>
      <c r="I367" s="1522">
        <v>66739</v>
      </c>
      <c r="J367" s="278"/>
      <c r="K367" s="416"/>
      <c r="M367" s="305"/>
      <c r="W367" s="305"/>
      <c r="X367" s="305"/>
      <c r="Y367" s="305"/>
      <c r="Z367" s="305"/>
      <c r="AA367" s="305"/>
      <c r="AB367" s="305"/>
      <c r="AC367" s="305"/>
      <c r="AD367" s="305"/>
      <c r="AE367" s="305"/>
      <c r="AF367" s="305"/>
    </row>
    <row r="368" spans="1:32" s="52" customFormat="1" ht="14.25" customHeight="1">
      <c r="A368" s="285"/>
      <c r="B368" s="2246" t="s">
        <v>458</v>
      </c>
      <c r="C368" s="2316"/>
      <c r="D368" s="2318"/>
      <c r="E368" s="2316"/>
      <c r="F368" s="2318"/>
      <c r="G368" s="2316"/>
      <c r="H368" s="2318"/>
      <c r="I368" s="1522">
        <v>0</v>
      </c>
      <c r="J368" s="278"/>
      <c r="K368" s="416"/>
      <c r="M368" s="305"/>
      <c r="W368" s="305"/>
      <c r="X368" s="305"/>
      <c r="Y368" s="305"/>
      <c r="Z368" s="305"/>
      <c r="AA368" s="305"/>
      <c r="AB368" s="305"/>
      <c r="AC368" s="305"/>
      <c r="AD368" s="305"/>
      <c r="AE368" s="305"/>
      <c r="AF368" s="305"/>
    </row>
    <row r="369" spans="1:32" s="52" customFormat="1" ht="14.25" customHeight="1">
      <c r="A369" s="285"/>
      <c r="B369" s="2246" t="s">
        <v>459</v>
      </c>
      <c r="C369" s="2316"/>
      <c r="D369" s="2318"/>
      <c r="E369" s="2316"/>
      <c r="F369" s="2318"/>
      <c r="G369" s="2316"/>
      <c r="H369" s="2318"/>
      <c r="I369" s="1522">
        <v>3351</v>
      </c>
      <c r="J369" s="278"/>
      <c r="K369" s="416"/>
      <c r="M369" s="305"/>
      <c r="W369" s="305"/>
      <c r="X369" s="305"/>
      <c r="Y369" s="305"/>
      <c r="Z369" s="305"/>
      <c r="AA369" s="305"/>
      <c r="AB369" s="305"/>
      <c r="AC369" s="305"/>
      <c r="AD369" s="305"/>
      <c r="AE369" s="305"/>
      <c r="AF369" s="305"/>
    </row>
    <row r="370" spans="1:32" s="52" customFormat="1" ht="14.25" customHeight="1">
      <c r="A370" s="285"/>
      <c r="B370" s="2246" t="s">
        <v>460</v>
      </c>
      <c r="C370" s="2316"/>
      <c r="D370" s="2318"/>
      <c r="E370" s="2316"/>
      <c r="F370" s="2318"/>
      <c r="G370" s="2316"/>
      <c r="H370" s="2318"/>
      <c r="I370" s="1522">
        <v>11806</v>
      </c>
      <c r="J370" s="278"/>
      <c r="K370" s="416"/>
      <c r="M370" s="305"/>
      <c r="W370" s="305"/>
      <c r="X370" s="305"/>
      <c r="Y370" s="305"/>
      <c r="Z370" s="305"/>
      <c r="AA370" s="305"/>
      <c r="AB370" s="305"/>
      <c r="AC370" s="305"/>
      <c r="AD370" s="305"/>
      <c r="AE370" s="305"/>
      <c r="AF370" s="305"/>
    </row>
    <row r="371" spans="1:32" s="52" customFormat="1" ht="14.25" customHeight="1">
      <c r="A371" s="285"/>
      <c r="B371" s="2246"/>
      <c r="C371" s="2316"/>
      <c r="D371" s="2318"/>
      <c r="E371" s="2316"/>
      <c r="F371" s="2318"/>
      <c r="G371" s="2316"/>
      <c r="H371" s="2318"/>
      <c r="I371" s="2314"/>
      <c r="J371" s="278"/>
      <c r="K371" s="416"/>
      <c r="M371" s="305"/>
      <c r="W371" s="305"/>
      <c r="X371" s="305"/>
      <c r="Y371" s="305"/>
      <c r="Z371" s="305"/>
      <c r="AA371" s="305"/>
      <c r="AB371" s="305"/>
      <c r="AC371" s="305"/>
      <c r="AD371" s="305"/>
      <c r="AE371" s="305"/>
      <c r="AF371" s="305"/>
    </row>
    <row r="372" spans="1:32" s="52" customFormat="1" ht="14.25" customHeight="1">
      <c r="A372" s="285"/>
      <c r="B372" s="2248" t="s">
        <v>461</v>
      </c>
      <c r="C372" s="2316"/>
      <c r="D372" s="2318"/>
      <c r="E372" s="2316"/>
      <c r="F372" s="2318"/>
      <c r="G372" s="2316"/>
      <c r="H372" s="2318"/>
      <c r="I372" s="2314">
        <f>I373+I374</f>
        <v>-253868</v>
      </c>
      <c r="J372" s="278"/>
      <c r="K372" s="416"/>
      <c r="M372" s="305"/>
      <c r="W372" s="305"/>
      <c r="X372" s="305"/>
      <c r="Y372" s="305"/>
      <c r="Z372" s="305"/>
      <c r="AA372" s="305"/>
      <c r="AB372" s="305"/>
      <c r="AC372" s="305"/>
      <c r="AD372" s="305"/>
      <c r="AE372" s="305"/>
      <c r="AF372" s="305"/>
    </row>
    <row r="373" spans="1:32" s="52" customFormat="1" ht="30.6" customHeight="1">
      <c r="A373" s="285"/>
      <c r="B373" s="2246" t="s">
        <v>462</v>
      </c>
      <c r="C373" s="2316"/>
      <c r="D373" s="2318"/>
      <c r="E373" s="2316"/>
      <c r="F373" s="2318"/>
      <c r="G373" s="2316"/>
      <c r="H373" s="2318"/>
      <c r="I373" s="2378">
        <v>-253868</v>
      </c>
      <c r="J373" s="278"/>
      <c r="K373" s="416"/>
      <c r="M373" s="305"/>
      <c r="W373" s="305"/>
      <c r="X373" s="305"/>
      <c r="Y373" s="305"/>
      <c r="Z373" s="305"/>
      <c r="AA373" s="305"/>
      <c r="AB373" s="305"/>
      <c r="AC373" s="305"/>
      <c r="AD373" s="305"/>
      <c r="AE373" s="305"/>
      <c r="AF373" s="305"/>
    </row>
    <row r="374" spans="1:32" s="52" customFormat="1" ht="30.6" customHeight="1">
      <c r="A374" s="285"/>
      <c r="B374" s="2246" t="s">
        <v>463</v>
      </c>
      <c r="C374" s="2316"/>
      <c r="D374" s="2318"/>
      <c r="E374" s="2316"/>
      <c r="F374" s="2318"/>
      <c r="G374" s="2316"/>
      <c r="H374" s="2318"/>
      <c r="I374" s="2314"/>
      <c r="J374" s="278"/>
      <c r="K374" s="416"/>
      <c r="M374" s="305"/>
      <c r="W374" s="305"/>
      <c r="X374" s="305"/>
      <c r="Y374" s="305"/>
      <c r="Z374" s="305"/>
      <c r="AA374" s="305"/>
      <c r="AB374" s="305"/>
      <c r="AC374" s="305"/>
      <c r="AD374" s="305"/>
      <c r="AE374" s="305"/>
      <c r="AF374" s="305"/>
    </row>
    <row r="375" spans="1:32" s="52" customFormat="1" ht="14.25" customHeight="1">
      <c r="A375" s="285"/>
      <c r="B375" s="2248" t="s">
        <v>464</v>
      </c>
      <c r="C375" s="2316"/>
      <c r="D375" s="2318"/>
      <c r="E375" s="2316"/>
      <c r="F375" s="2318"/>
      <c r="G375" s="2316"/>
      <c r="H375" s="2318"/>
      <c r="I375" s="2327">
        <f>+I363+I365+I373</f>
        <v>-36942</v>
      </c>
      <c r="J375" s="278"/>
      <c r="K375" s="416"/>
      <c r="M375" s="305"/>
      <c r="W375" s="305"/>
      <c r="X375" s="305"/>
      <c r="Y375" s="305"/>
      <c r="Z375" s="305"/>
      <c r="AA375" s="305"/>
      <c r="AB375" s="305"/>
      <c r="AC375" s="305"/>
      <c r="AD375" s="305"/>
      <c r="AE375" s="305"/>
      <c r="AF375" s="305"/>
    </row>
    <row r="376" spans="1:32" s="52" customFormat="1" ht="14.25" customHeight="1">
      <c r="A376" s="285"/>
      <c r="B376" s="2246" t="s">
        <v>465</v>
      </c>
      <c r="C376" s="2316"/>
      <c r="D376" s="2318"/>
      <c r="E376" s="2316"/>
      <c r="F376" s="2318"/>
      <c r="G376" s="2316"/>
      <c r="H376" s="2318"/>
      <c r="I376" s="2378">
        <v>-55695</v>
      </c>
      <c r="J376" s="278"/>
      <c r="K376" s="416"/>
      <c r="M376" s="305"/>
      <c r="W376" s="305"/>
      <c r="X376" s="305"/>
      <c r="Y376" s="305"/>
      <c r="Z376" s="305"/>
      <c r="AA376" s="305"/>
      <c r="AB376" s="305"/>
      <c r="AC376" s="305"/>
      <c r="AD376" s="305"/>
      <c r="AE376" s="305"/>
      <c r="AF376" s="305"/>
    </row>
    <row r="377" spans="1:32" s="52" customFormat="1" ht="14.25" customHeight="1">
      <c r="A377" s="285"/>
      <c r="B377" s="2248" t="s">
        <v>466</v>
      </c>
      <c r="C377" s="2316"/>
      <c r="D377" s="2318"/>
      <c r="E377" s="2316"/>
      <c r="F377" s="2318"/>
      <c r="G377" s="2316"/>
      <c r="H377" s="2318"/>
      <c r="I377" s="2327">
        <f>SUM(I375:I376)</f>
        <v>-92637</v>
      </c>
      <c r="J377" s="278"/>
      <c r="K377" s="416"/>
      <c r="M377" s="305"/>
      <c r="W377" s="305"/>
      <c r="X377" s="305"/>
      <c r="Y377" s="305"/>
      <c r="Z377" s="305"/>
      <c r="AA377" s="305"/>
      <c r="AB377" s="305"/>
      <c r="AC377" s="305"/>
      <c r="AD377" s="305"/>
      <c r="AE377" s="305"/>
      <c r="AF377" s="305"/>
    </row>
    <row r="378" spans="1:32" s="52" customFormat="1" ht="14.25" customHeight="1">
      <c r="A378" s="285"/>
      <c r="B378" s="2246" t="s">
        <v>467</v>
      </c>
      <c r="C378" s="2316"/>
      <c r="D378" s="2318"/>
      <c r="E378" s="2316"/>
      <c r="F378" s="2318"/>
      <c r="G378" s="2316"/>
      <c r="H378" s="2318"/>
      <c r="I378" s="2378">
        <v>-44382</v>
      </c>
      <c r="J378" s="278"/>
      <c r="K378" s="416"/>
      <c r="M378" s="305"/>
      <c r="W378" s="305"/>
      <c r="X378" s="305"/>
      <c r="Y378" s="305"/>
      <c r="Z378" s="305"/>
      <c r="AA378" s="305"/>
      <c r="AB378" s="305"/>
      <c r="AC378" s="305"/>
      <c r="AD378" s="305"/>
      <c r="AE378" s="305"/>
      <c r="AF378" s="305"/>
    </row>
    <row r="379" spans="1:32" s="52" customFormat="1" ht="14.25" customHeight="1" thickBot="1">
      <c r="A379" s="285"/>
      <c r="B379" s="1501" t="s">
        <v>468</v>
      </c>
      <c r="C379" s="823"/>
      <c r="D379" s="1110"/>
      <c r="E379" s="823"/>
      <c r="F379" s="1110"/>
      <c r="G379" s="823"/>
      <c r="H379" s="1110"/>
      <c r="I379" s="1504">
        <f>SUM(I377:I378)</f>
        <v>-137019</v>
      </c>
      <c r="J379" s="278"/>
      <c r="K379" s="416"/>
      <c r="M379" s="305"/>
      <c r="W379" s="305"/>
      <c r="X379" s="305"/>
      <c r="Y379" s="305"/>
      <c r="Z379" s="305"/>
      <c r="AA379" s="305"/>
      <c r="AB379" s="305"/>
      <c r="AC379" s="305"/>
      <c r="AD379" s="305"/>
      <c r="AE379" s="305"/>
      <c r="AF379" s="305"/>
    </row>
    <row r="380" spans="1:32" s="52" customFormat="1" ht="14.25" customHeight="1">
      <c r="A380" s="285"/>
      <c r="B380" s="455"/>
      <c r="C380" s="414"/>
      <c r="D380" s="414"/>
      <c r="E380" s="414"/>
      <c r="F380" s="414"/>
      <c r="G380" s="414"/>
      <c r="H380" s="414"/>
      <c r="I380" s="278"/>
      <c r="J380" s="278"/>
      <c r="K380" s="416"/>
      <c r="M380" s="305"/>
      <c r="W380" s="305"/>
      <c r="X380" s="305"/>
      <c r="Y380" s="305"/>
      <c r="Z380" s="305"/>
      <c r="AA380" s="305"/>
      <c r="AB380" s="305"/>
      <c r="AC380" s="305"/>
      <c r="AD380" s="305"/>
      <c r="AE380" s="305"/>
      <c r="AF380" s="305"/>
    </row>
    <row r="381" spans="1:32" s="52" customFormat="1" ht="14.25" customHeight="1">
      <c r="A381" s="285"/>
      <c r="B381" s="455"/>
      <c r="C381" s="414"/>
      <c r="D381" s="414"/>
      <c r="E381" s="414"/>
      <c r="F381" s="414"/>
      <c r="G381" s="414"/>
      <c r="H381" s="414"/>
      <c r="I381" s="278"/>
      <c r="J381" s="278"/>
      <c r="K381" s="394">
        <v>135</v>
      </c>
      <c r="M381" s="305"/>
      <c r="W381" s="305"/>
      <c r="X381" s="305"/>
      <c r="Y381" s="305"/>
      <c r="Z381" s="305"/>
      <c r="AA381" s="305"/>
      <c r="AB381" s="305"/>
      <c r="AC381" s="305"/>
      <c r="AD381" s="305"/>
      <c r="AE381" s="305"/>
      <c r="AF381" s="305"/>
    </row>
    <row r="382" spans="1:32" s="52" customFormat="1" ht="14.25" customHeight="1">
      <c r="A382" s="285"/>
      <c r="B382" s="455"/>
      <c r="C382" s="414"/>
      <c r="D382" s="414"/>
      <c r="E382" s="414"/>
      <c r="F382" s="414"/>
      <c r="G382" s="414"/>
      <c r="H382" s="414"/>
      <c r="I382" s="278"/>
      <c r="J382" s="278"/>
      <c r="K382" s="416"/>
      <c r="M382" s="305"/>
      <c r="W382" s="305"/>
      <c r="X382" s="305"/>
      <c r="Y382" s="305"/>
      <c r="Z382" s="305"/>
      <c r="AA382" s="305"/>
      <c r="AB382" s="305"/>
      <c r="AC382" s="305"/>
      <c r="AD382" s="305"/>
      <c r="AE382" s="305"/>
      <c r="AF382" s="305"/>
    </row>
    <row r="383" spans="1:32" s="52" customFormat="1" ht="14.25" customHeight="1">
      <c r="A383" s="285"/>
      <c r="B383" s="236" t="s">
        <v>477</v>
      </c>
      <c r="C383" s="279"/>
      <c r="D383" s="279"/>
      <c r="E383" s="414"/>
      <c r="F383" s="414"/>
      <c r="G383" s="414"/>
      <c r="H383" s="414"/>
      <c r="I383" s="278"/>
      <c r="J383" s="278"/>
      <c r="K383" s="416"/>
      <c r="M383" s="305"/>
      <c r="W383" s="305"/>
      <c r="X383" s="305"/>
      <c r="Y383" s="305"/>
      <c r="Z383" s="305"/>
      <c r="AA383" s="305"/>
      <c r="AB383" s="305"/>
      <c r="AC383" s="305"/>
      <c r="AD383" s="305"/>
      <c r="AE383" s="305"/>
      <c r="AF383" s="305"/>
    </row>
    <row r="384" spans="1:32" s="52" customFormat="1" ht="14.25" customHeight="1" thickBot="1">
      <c r="A384" s="285"/>
      <c r="B384" s="51"/>
      <c r="C384" s="526"/>
      <c r="D384" s="526"/>
      <c r="E384" s="414"/>
      <c r="F384" s="414"/>
      <c r="G384" s="414"/>
      <c r="H384" s="414"/>
      <c r="I384" s="278"/>
      <c r="J384" s="278"/>
      <c r="K384" s="416"/>
      <c r="M384" s="305"/>
      <c r="W384" s="305"/>
      <c r="X384" s="305"/>
      <c r="Y384" s="305"/>
      <c r="Z384" s="305"/>
      <c r="AA384" s="305"/>
      <c r="AB384" s="305"/>
      <c r="AC384" s="305"/>
      <c r="AD384" s="305"/>
      <c r="AE384" s="305"/>
      <c r="AF384" s="305"/>
    </row>
    <row r="385" spans="1:32" s="52" customFormat="1" ht="14.25" customHeight="1" thickBot="1">
      <c r="A385" s="285"/>
      <c r="B385" s="1481" t="s">
        <v>110</v>
      </c>
      <c r="C385" s="1676"/>
      <c r="D385" s="1676"/>
      <c r="E385" s="414"/>
      <c r="F385" s="414"/>
      <c r="G385" s="414"/>
      <c r="H385" s="414"/>
      <c r="I385" s="3414" t="s">
        <v>238</v>
      </c>
      <c r="J385" s="3414"/>
      <c r="K385" s="3414"/>
      <c r="M385" s="305"/>
      <c r="W385" s="305"/>
      <c r="X385" s="305"/>
      <c r="Y385" s="305"/>
      <c r="Z385" s="305"/>
      <c r="AA385" s="305"/>
      <c r="AB385" s="305"/>
      <c r="AC385" s="305"/>
      <c r="AD385" s="305"/>
      <c r="AE385" s="305"/>
      <c r="AF385" s="305"/>
    </row>
    <row r="386" spans="1:32" s="52" customFormat="1" ht="14.25" customHeight="1" thickBot="1">
      <c r="A386" s="285"/>
      <c r="B386" s="3426"/>
      <c r="C386" s="3359">
        <v>2021</v>
      </c>
      <c r="D386" s="3360"/>
      <c r="E386" s="3360"/>
      <c r="F386" s="3360"/>
      <c r="G386" s="3360"/>
      <c r="H386" s="3360"/>
      <c r="I386" s="3360"/>
      <c r="J386" s="3360"/>
      <c r="K386" s="3361"/>
      <c r="M386" s="305"/>
      <c r="W386" s="305"/>
      <c r="X386" s="305"/>
      <c r="Y386" s="305"/>
      <c r="Z386" s="305"/>
      <c r="AA386" s="305"/>
      <c r="AB386" s="305"/>
      <c r="AC386" s="305"/>
      <c r="AD386" s="305"/>
      <c r="AE386" s="305"/>
      <c r="AF386" s="305"/>
    </row>
    <row r="387" spans="1:32" s="52" customFormat="1" ht="14.25" customHeight="1" thickBot="1">
      <c r="A387" s="285"/>
      <c r="B387" s="3427"/>
      <c r="C387" s="3384" t="s">
        <v>436</v>
      </c>
      <c r="D387" s="3429" t="s">
        <v>437</v>
      </c>
      <c r="E387" s="3430" t="s">
        <v>438</v>
      </c>
      <c r="F387" s="3431"/>
      <c r="G387" s="3410" t="s">
        <v>439</v>
      </c>
      <c r="H387" s="3420" t="s">
        <v>440</v>
      </c>
      <c r="I387" s="3410" t="s">
        <v>474</v>
      </c>
      <c r="J387" s="3386" t="s">
        <v>118</v>
      </c>
      <c r="K387" s="3384" t="s">
        <v>441</v>
      </c>
      <c r="M387" s="305"/>
      <c r="W387" s="305"/>
      <c r="X387" s="305"/>
      <c r="Y387" s="305"/>
      <c r="Z387" s="305"/>
      <c r="AA387" s="305"/>
      <c r="AB387" s="305"/>
      <c r="AC387" s="305"/>
      <c r="AD387" s="305"/>
      <c r="AE387" s="305"/>
      <c r="AF387" s="305"/>
    </row>
    <row r="388" spans="1:32" s="52" customFormat="1" ht="14.25" customHeight="1" thickBot="1">
      <c r="A388" s="285"/>
      <c r="B388" s="3428"/>
      <c r="C388" s="3385"/>
      <c r="D388" s="3387"/>
      <c r="E388" s="1506" t="s">
        <v>442</v>
      </c>
      <c r="F388" s="1512" t="s">
        <v>443</v>
      </c>
      <c r="G388" s="3411"/>
      <c r="H388" s="3421"/>
      <c r="I388" s="3411"/>
      <c r="J388" s="3387"/>
      <c r="K388" s="3385"/>
      <c r="M388" s="305"/>
      <c r="W388" s="305"/>
      <c r="X388" s="305"/>
      <c r="Y388" s="305"/>
      <c r="Z388" s="305"/>
      <c r="AA388" s="305"/>
      <c r="AB388" s="305"/>
      <c r="AC388" s="305"/>
      <c r="AD388" s="305"/>
      <c r="AE388" s="305"/>
      <c r="AF388" s="305"/>
    </row>
    <row r="389" spans="1:32" s="52" customFormat="1" ht="14.25" customHeight="1">
      <c r="A389" s="285"/>
      <c r="B389" s="1486" t="s">
        <v>342</v>
      </c>
      <c r="C389" s="2301">
        <v>6567</v>
      </c>
      <c r="D389" s="2302">
        <v>1597</v>
      </c>
      <c r="E389" s="2301"/>
      <c r="F389" s="2302">
        <v>175572</v>
      </c>
      <c r="G389" s="2301">
        <v>6322002</v>
      </c>
      <c r="H389" s="2302">
        <v>105476</v>
      </c>
      <c r="I389" s="2301">
        <v>6754134</v>
      </c>
      <c r="J389" s="1523">
        <f>SUM(C389:I389)</f>
        <v>13365348</v>
      </c>
      <c r="K389" s="2301">
        <v>3548785</v>
      </c>
      <c r="M389" s="305"/>
      <c r="W389" s="305"/>
      <c r="X389" s="305"/>
      <c r="Y389" s="305"/>
      <c r="Z389" s="305"/>
      <c r="AA389" s="305"/>
      <c r="AB389" s="305"/>
      <c r="AC389" s="305"/>
      <c r="AD389" s="305"/>
      <c r="AE389" s="305"/>
      <c r="AF389" s="305"/>
    </row>
    <row r="390" spans="1:32" s="52" customFormat="1" ht="14.25" customHeight="1">
      <c r="A390" s="285"/>
      <c r="B390" s="2246" t="s">
        <v>444</v>
      </c>
      <c r="C390" s="513"/>
      <c r="D390" s="798"/>
      <c r="E390" s="513"/>
      <c r="F390" s="798"/>
      <c r="G390" s="513">
        <v>0</v>
      </c>
      <c r="H390" s="798">
        <v>0</v>
      </c>
      <c r="I390" s="513"/>
      <c r="J390" s="2379">
        <f t="shared" ref="J390:J400" si="22">SUM(C390:I390)</f>
        <v>0</v>
      </c>
      <c r="K390" s="810"/>
      <c r="M390" s="305"/>
      <c r="W390" s="305"/>
      <c r="X390" s="305"/>
      <c r="Y390" s="305"/>
      <c r="Z390" s="305"/>
      <c r="AA390" s="305"/>
      <c r="AB390" s="305"/>
      <c r="AC390" s="305"/>
      <c r="AD390" s="305"/>
      <c r="AE390" s="305"/>
      <c r="AF390" s="305"/>
    </row>
    <row r="391" spans="1:32" s="52" customFormat="1" ht="14.25" customHeight="1">
      <c r="A391" s="285"/>
      <c r="B391" s="2246" t="s">
        <v>445</v>
      </c>
      <c r="C391" s="513"/>
      <c r="D391" s="798"/>
      <c r="E391" s="513"/>
      <c r="F391" s="798"/>
      <c r="G391" s="513">
        <v>0</v>
      </c>
      <c r="H391" s="798">
        <v>0</v>
      </c>
      <c r="I391" s="513"/>
      <c r="J391" s="2379">
        <f t="shared" si="22"/>
        <v>0</v>
      </c>
      <c r="K391" s="810"/>
      <c r="M391" s="305"/>
      <c r="W391" s="305"/>
      <c r="X391" s="305"/>
      <c r="Y391" s="305"/>
      <c r="Z391" s="305"/>
      <c r="AA391" s="305"/>
      <c r="AB391" s="305"/>
      <c r="AC391" s="305"/>
      <c r="AD391" s="305"/>
      <c r="AE391" s="305"/>
      <c r="AF391" s="305"/>
    </row>
    <row r="392" spans="1:32" s="52" customFormat="1" ht="14.25" customHeight="1">
      <c r="A392" s="285"/>
      <c r="B392" s="2246" t="s">
        <v>446</v>
      </c>
      <c r="C392" s="513"/>
      <c r="D392" s="798"/>
      <c r="E392" s="513"/>
      <c r="F392" s="798"/>
      <c r="G392" s="513">
        <v>0</v>
      </c>
      <c r="H392" s="798">
        <v>-123388</v>
      </c>
      <c r="I392" s="513">
        <v>-362233</v>
      </c>
      <c r="J392" s="2379">
        <f t="shared" si="22"/>
        <v>-485621</v>
      </c>
      <c r="K392" s="513">
        <v>-1119703</v>
      </c>
      <c r="M392" s="305"/>
      <c r="W392" s="305"/>
      <c r="X392" s="305"/>
      <c r="Y392" s="305"/>
      <c r="Z392" s="305"/>
      <c r="AA392" s="305"/>
      <c r="AB392" s="305"/>
      <c r="AC392" s="305"/>
      <c r="AD392" s="305"/>
      <c r="AE392" s="305"/>
      <c r="AF392" s="305"/>
    </row>
    <row r="393" spans="1:32" s="52" customFormat="1" ht="14.25" customHeight="1">
      <c r="A393" s="285"/>
      <c r="B393" s="2248" t="s">
        <v>447</v>
      </c>
      <c r="C393" s="2249">
        <v>6567</v>
      </c>
      <c r="D393" s="2250">
        <v>1597</v>
      </c>
      <c r="E393" s="2249">
        <v>0</v>
      </c>
      <c r="F393" s="2250">
        <v>175572</v>
      </c>
      <c r="G393" s="2249">
        <v>6322002</v>
      </c>
      <c r="H393" s="2250">
        <v>-17912</v>
      </c>
      <c r="I393" s="2249">
        <v>6391901</v>
      </c>
      <c r="J393" s="2380">
        <f t="shared" si="22"/>
        <v>12879727</v>
      </c>
      <c r="K393" s="2249">
        <v>2429082</v>
      </c>
      <c r="M393" s="305"/>
      <c r="W393" s="305"/>
      <c r="X393" s="305"/>
      <c r="Y393" s="305"/>
      <c r="Z393" s="305"/>
      <c r="AA393" s="305"/>
      <c r="AB393" s="305"/>
      <c r="AC393" s="305"/>
      <c r="AD393" s="305"/>
      <c r="AE393" s="305"/>
      <c r="AF393" s="305"/>
    </row>
    <row r="394" spans="1:32" s="52" customFormat="1" ht="14.25" customHeight="1">
      <c r="A394" s="285"/>
      <c r="B394" s="2246" t="s">
        <v>448</v>
      </c>
      <c r="C394" s="2301">
        <v>0</v>
      </c>
      <c r="D394" s="2302">
        <v>0</v>
      </c>
      <c r="E394" s="2301">
        <v>0</v>
      </c>
      <c r="F394" s="2302">
        <v>27581</v>
      </c>
      <c r="G394" s="2301">
        <v>0</v>
      </c>
      <c r="H394" s="2302">
        <v>35869</v>
      </c>
      <c r="I394" s="2301">
        <v>-77523</v>
      </c>
      <c r="J394" s="2379">
        <f t="shared" si="22"/>
        <v>-14073</v>
      </c>
      <c r="K394" s="2301">
        <v>-109659</v>
      </c>
      <c r="M394" s="305"/>
      <c r="W394" s="305"/>
      <c r="X394" s="305"/>
      <c r="Y394" s="305"/>
      <c r="Z394" s="305"/>
      <c r="AA394" s="305"/>
      <c r="AB394" s="305"/>
      <c r="AC394" s="305"/>
      <c r="AD394" s="305"/>
      <c r="AE394" s="305"/>
      <c r="AF394" s="305"/>
    </row>
    <row r="395" spans="1:32" s="52" customFormat="1" ht="14.25" customHeight="1">
      <c r="A395" s="285"/>
      <c r="B395" s="2248" t="s">
        <v>479</v>
      </c>
      <c r="C395" s="2249">
        <v>6567</v>
      </c>
      <c r="D395" s="2250">
        <v>1597</v>
      </c>
      <c r="E395" s="2249">
        <v>0</v>
      </c>
      <c r="F395" s="2250">
        <v>203153</v>
      </c>
      <c r="G395" s="2249">
        <v>6322002</v>
      </c>
      <c r="H395" s="2250">
        <v>17957</v>
      </c>
      <c r="I395" s="2249">
        <v>6314378</v>
      </c>
      <c r="J395" s="2251">
        <f>J393+J394</f>
        <v>12865654</v>
      </c>
      <c r="K395" s="2249">
        <v>2319423</v>
      </c>
      <c r="M395" s="305"/>
      <c r="W395" s="305"/>
      <c r="X395" s="305"/>
      <c r="Y395" s="305"/>
      <c r="Z395" s="305"/>
      <c r="AA395" s="305"/>
      <c r="AB395" s="305"/>
      <c r="AC395" s="305"/>
      <c r="AD395" s="305"/>
      <c r="AE395" s="305"/>
      <c r="AF395" s="305"/>
    </row>
    <row r="396" spans="1:32" s="52" customFormat="1" ht="14.25" customHeight="1">
      <c r="A396" s="285"/>
      <c r="B396" s="2246"/>
      <c r="C396" s="1866"/>
      <c r="D396" s="1865"/>
      <c r="E396" s="1866"/>
      <c r="F396" s="1865"/>
      <c r="G396" s="1866">
        <v>0</v>
      </c>
      <c r="H396" s="1865">
        <v>0</v>
      </c>
      <c r="I396" s="2225"/>
      <c r="J396" s="2379">
        <f t="shared" si="22"/>
        <v>0</v>
      </c>
      <c r="K396" s="2225"/>
      <c r="M396" s="305"/>
      <c r="W396" s="305"/>
      <c r="X396" s="305"/>
      <c r="Y396" s="305"/>
      <c r="Z396" s="305"/>
      <c r="AA396" s="305"/>
      <c r="AB396" s="305"/>
      <c r="AC396" s="305"/>
      <c r="AD396" s="305"/>
      <c r="AE396" s="305"/>
      <c r="AF396" s="305"/>
    </row>
    <row r="397" spans="1:32" s="52" customFormat="1" ht="14.25" customHeight="1">
      <c r="A397" s="285"/>
      <c r="B397" s="2248" t="s">
        <v>450</v>
      </c>
      <c r="C397" s="1866"/>
      <c r="D397" s="1865"/>
      <c r="E397" s="1866"/>
      <c r="F397" s="1865"/>
      <c r="G397" s="1866">
        <v>0</v>
      </c>
      <c r="H397" s="1865">
        <v>0</v>
      </c>
      <c r="I397" s="1866"/>
      <c r="J397" s="2379">
        <f t="shared" si="22"/>
        <v>0</v>
      </c>
      <c r="K397" s="2225"/>
      <c r="M397" s="305"/>
      <c r="W397" s="305"/>
      <c r="X397" s="305"/>
      <c r="Y397" s="305"/>
      <c r="Z397" s="305"/>
      <c r="AA397" s="305"/>
      <c r="AB397" s="305"/>
      <c r="AC397" s="305"/>
      <c r="AD397" s="305"/>
      <c r="AE397" s="305"/>
      <c r="AF397" s="305"/>
    </row>
    <row r="398" spans="1:32" s="52" customFormat="1" ht="30" customHeight="1">
      <c r="A398" s="285"/>
      <c r="B398" s="2246" t="s">
        <v>451</v>
      </c>
      <c r="C398" s="2301">
        <v>-49</v>
      </c>
      <c r="D398" s="2302">
        <v>-13787</v>
      </c>
      <c r="E398" s="2301">
        <v>0</v>
      </c>
      <c r="F398" s="2302">
        <v>-202355</v>
      </c>
      <c r="G398" s="2301">
        <v>-6759392</v>
      </c>
      <c r="H398" s="2302">
        <v>-217236</v>
      </c>
      <c r="I398" s="2301">
        <v>-36899</v>
      </c>
      <c r="J398" s="2379">
        <f>SUM(C398:I398)</f>
        <v>-7229718</v>
      </c>
      <c r="K398" s="2301">
        <v>-2379115</v>
      </c>
      <c r="M398" s="305"/>
      <c r="W398" s="305"/>
      <c r="X398" s="305"/>
      <c r="Y398" s="305"/>
      <c r="Z398" s="305"/>
      <c r="AA398" s="305"/>
      <c r="AB398" s="305"/>
      <c r="AC398" s="305"/>
      <c r="AD398" s="305"/>
      <c r="AE398" s="305"/>
      <c r="AF398" s="305"/>
    </row>
    <row r="399" spans="1:32" s="52" customFormat="1" ht="14.25" customHeight="1">
      <c r="A399" s="285"/>
      <c r="B399" s="2246" t="s">
        <v>452</v>
      </c>
      <c r="C399" s="513">
        <v>0</v>
      </c>
      <c r="D399" s="798">
        <v>0</v>
      </c>
      <c r="E399" s="513">
        <v>0</v>
      </c>
      <c r="F399" s="798">
        <v>-48</v>
      </c>
      <c r="G399" s="513">
        <v>0</v>
      </c>
      <c r="H399" s="798">
        <v>-6051</v>
      </c>
      <c r="I399" s="513">
        <v>-1028622</v>
      </c>
      <c r="J399" s="2379">
        <f>SUM(C399:I399)</f>
        <v>-1034721</v>
      </c>
      <c r="K399" s="513">
        <v>-714168</v>
      </c>
      <c r="M399" s="305"/>
      <c r="W399" s="305"/>
      <c r="X399" s="305"/>
      <c r="Y399" s="305"/>
      <c r="Z399" s="305"/>
      <c r="AA399" s="305"/>
      <c r="AB399" s="305"/>
      <c r="AC399" s="305"/>
      <c r="AD399" s="305"/>
      <c r="AE399" s="305"/>
      <c r="AF399" s="305"/>
    </row>
    <row r="400" spans="1:32" s="52" customFormat="1" ht="14.25" customHeight="1">
      <c r="A400" s="285"/>
      <c r="B400" s="2246" t="s">
        <v>453</v>
      </c>
      <c r="C400" s="513">
        <v>0</v>
      </c>
      <c r="D400" s="798">
        <v>0</v>
      </c>
      <c r="E400" s="513">
        <v>0</v>
      </c>
      <c r="F400" s="798">
        <v>0</v>
      </c>
      <c r="G400" s="513">
        <v>0</v>
      </c>
      <c r="H400" s="798">
        <v>0</v>
      </c>
      <c r="I400" s="513">
        <v>-115033</v>
      </c>
      <c r="J400" s="2379">
        <f t="shared" si="22"/>
        <v>-115033</v>
      </c>
      <c r="K400" s="513">
        <v>0</v>
      </c>
      <c r="M400" s="305"/>
      <c r="W400" s="305"/>
      <c r="X400" s="305"/>
      <c r="Y400" s="305"/>
      <c r="Z400" s="305"/>
      <c r="AA400" s="305"/>
      <c r="AB400" s="305"/>
      <c r="AC400" s="305"/>
      <c r="AD400" s="305"/>
      <c r="AE400" s="305"/>
      <c r="AF400" s="305"/>
    </row>
    <row r="401" spans="1:32" s="52" customFormat="1" ht="14.25" customHeight="1">
      <c r="A401" s="285"/>
      <c r="B401" s="2248" t="s">
        <v>454</v>
      </c>
      <c r="C401" s="2249">
        <f>C395+C398+C399+C400</f>
        <v>6518</v>
      </c>
      <c r="D401" s="2250">
        <f t="shared" ref="D401:I401" si="23">D395+D398+D399+D400</f>
        <v>-12190</v>
      </c>
      <c r="E401" s="2249">
        <f t="shared" si="23"/>
        <v>0</v>
      </c>
      <c r="F401" s="2250">
        <f>F395+F398+F399+F400</f>
        <v>750</v>
      </c>
      <c r="G401" s="2249">
        <f t="shared" si="23"/>
        <v>-437390</v>
      </c>
      <c r="H401" s="2250">
        <f t="shared" si="23"/>
        <v>-205330</v>
      </c>
      <c r="I401" s="2249">
        <f t="shared" si="23"/>
        <v>5133824</v>
      </c>
      <c r="J401" s="2251">
        <f>J395+J398+J399+J400</f>
        <v>4486182</v>
      </c>
      <c r="K401" s="2249">
        <v>-773860</v>
      </c>
      <c r="M401" s="305"/>
      <c r="W401" s="305"/>
      <c r="X401" s="305"/>
      <c r="Y401" s="305"/>
      <c r="Z401" s="305"/>
      <c r="AA401" s="305"/>
      <c r="AB401" s="305"/>
      <c r="AC401" s="305"/>
      <c r="AD401" s="305"/>
      <c r="AE401" s="305"/>
      <c r="AF401" s="305"/>
    </row>
    <row r="402" spans="1:32" s="52" customFormat="1" ht="14.25" customHeight="1">
      <c r="A402" s="285"/>
      <c r="B402" s="2246"/>
      <c r="C402" s="1866"/>
      <c r="D402" s="1865"/>
      <c r="E402" s="1866"/>
      <c r="F402" s="1865"/>
      <c r="G402" s="1866"/>
      <c r="H402" s="1865"/>
      <c r="I402" s="2225"/>
      <c r="J402" s="2379">
        <f>H402+G402+F402+E402+D402+C402</f>
        <v>0</v>
      </c>
      <c r="K402" s="2225"/>
      <c r="M402" s="305"/>
      <c r="W402" s="305"/>
      <c r="X402" s="305"/>
      <c r="Y402" s="305"/>
      <c r="Z402" s="305"/>
      <c r="AA402" s="305"/>
      <c r="AB402" s="305"/>
      <c r="AC402" s="305"/>
      <c r="AD402" s="305"/>
      <c r="AE402" s="305"/>
      <c r="AF402" s="305"/>
    </row>
    <row r="403" spans="1:32" s="52" customFormat="1" ht="14.25" customHeight="1">
      <c r="A403" s="285"/>
      <c r="B403" s="2248" t="s">
        <v>455</v>
      </c>
      <c r="C403" s="2249">
        <f t="shared" ref="C403:I403" si="24">SUM(C404:C408)</f>
        <v>0</v>
      </c>
      <c r="D403" s="2250">
        <f t="shared" si="24"/>
        <v>0</v>
      </c>
      <c r="E403" s="2249">
        <f t="shared" si="24"/>
        <v>0</v>
      </c>
      <c r="F403" s="2250">
        <f>SUM(F404:F408)</f>
        <v>23393</v>
      </c>
      <c r="G403" s="2249">
        <f>SUM(G404:G408)</f>
        <v>36509</v>
      </c>
      <c r="H403" s="2250">
        <f t="shared" si="24"/>
        <v>1792</v>
      </c>
      <c r="I403" s="2249">
        <f t="shared" si="24"/>
        <v>1164787</v>
      </c>
      <c r="J403" s="2380">
        <f>SUM(J404:J408)</f>
        <v>1226481</v>
      </c>
      <c r="K403" s="2249">
        <v>282825</v>
      </c>
      <c r="M403" s="305"/>
      <c r="W403" s="305"/>
      <c r="X403" s="305"/>
      <c r="Y403" s="305"/>
      <c r="Z403" s="305"/>
      <c r="AA403" s="305"/>
      <c r="AB403" s="305"/>
      <c r="AC403" s="305"/>
      <c r="AD403" s="305"/>
      <c r="AE403" s="305"/>
      <c r="AF403" s="305"/>
    </row>
    <row r="404" spans="1:32" s="52" customFormat="1" ht="14.25" customHeight="1">
      <c r="A404" s="285"/>
      <c r="B404" s="2246" t="s">
        <v>456</v>
      </c>
      <c r="C404" s="1931">
        <v>0</v>
      </c>
      <c r="D404" s="3036">
        <v>0</v>
      </c>
      <c r="E404" s="1931">
        <v>0</v>
      </c>
      <c r="F404" s="3036">
        <v>1307</v>
      </c>
      <c r="G404" s="1931">
        <v>0</v>
      </c>
      <c r="H404" s="3036">
        <v>23</v>
      </c>
      <c r="I404" s="1931"/>
      <c r="J404" s="2303">
        <f>SUM(F404:I404)</f>
        <v>1330</v>
      </c>
      <c r="K404" s="2301"/>
      <c r="M404" s="305"/>
      <c r="W404" s="305"/>
      <c r="X404" s="305"/>
      <c r="Y404" s="305"/>
      <c r="Z404" s="305"/>
      <c r="AA404" s="305"/>
      <c r="AB404" s="305"/>
      <c r="AC404" s="305"/>
      <c r="AD404" s="305"/>
      <c r="AE404" s="305"/>
      <c r="AF404" s="305"/>
    </row>
    <row r="405" spans="1:32" s="52" customFormat="1" ht="14.25" customHeight="1">
      <c r="A405" s="285"/>
      <c r="B405" s="2246" t="s">
        <v>472</v>
      </c>
      <c r="C405" s="1931">
        <v>0</v>
      </c>
      <c r="D405" s="3036">
        <v>0</v>
      </c>
      <c r="E405" s="1931">
        <v>0</v>
      </c>
      <c r="F405" s="3036">
        <v>4098</v>
      </c>
      <c r="G405" s="1931">
        <v>34539</v>
      </c>
      <c r="H405" s="3036">
        <v>1767</v>
      </c>
      <c r="I405" s="1931">
        <v>1158103</v>
      </c>
      <c r="J405" s="2303">
        <f>SUM(F405:I405)</f>
        <v>1198507</v>
      </c>
      <c r="K405" s="513">
        <v>145401</v>
      </c>
      <c r="M405" s="305"/>
      <c r="W405" s="305"/>
      <c r="X405" s="305"/>
      <c r="Y405" s="305"/>
      <c r="Z405" s="305"/>
      <c r="AA405" s="305"/>
      <c r="AB405" s="305"/>
      <c r="AC405" s="305"/>
      <c r="AD405" s="305"/>
      <c r="AE405" s="305"/>
      <c r="AF405" s="305"/>
    </row>
    <row r="406" spans="1:32" s="52" customFormat="1" ht="14.25" customHeight="1">
      <c r="A406" s="285"/>
      <c r="B406" s="2246" t="s">
        <v>458</v>
      </c>
      <c r="C406" s="1931"/>
      <c r="D406" s="3036"/>
      <c r="E406" s="1931"/>
      <c r="F406" s="3036"/>
      <c r="G406" s="1931"/>
      <c r="H406" s="3036"/>
      <c r="I406" s="1931"/>
      <c r="J406" s="2303">
        <f>SUM(F406:I406)</f>
        <v>0</v>
      </c>
      <c r="K406" s="513"/>
      <c r="M406" s="305"/>
      <c r="W406" s="305"/>
      <c r="X406" s="305"/>
      <c r="Y406" s="305"/>
      <c r="Z406" s="305"/>
      <c r="AA406" s="305"/>
      <c r="AB406" s="305"/>
      <c r="AC406" s="305"/>
      <c r="AD406" s="305"/>
      <c r="AE406" s="305"/>
      <c r="AF406" s="305"/>
    </row>
    <row r="407" spans="1:32" s="52" customFormat="1" ht="14.25" customHeight="1">
      <c r="A407" s="285"/>
      <c r="B407" s="2246" t="s">
        <v>459</v>
      </c>
      <c r="C407" s="1931"/>
      <c r="D407" s="3036"/>
      <c r="E407" s="1931"/>
      <c r="F407" s="3036"/>
      <c r="G407" s="1931"/>
      <c r="H407" s="3036"/>
      <c r="I407" s="1931"/>
      <c r="J407" s="2303">
        <f>SUM(F407:I407)</f>
        <v>0</v>
      </c>
      <c r="K407" s="513"/>
      <c r="M407" s="305"/>
      <c r="W407" s="305"/>
      <c r="X407" s="305"/>
      <c r="Y407" s="305"/>
      <c r="Z407" s="305"/>
      <c r="AA407" s="305"/>
      <c r="AB407" s="305"/>
      <c r="AC407" s="305"/>
      <c r="AD407" s="305"/>
      <c r="AE407" s="305"/>
      <c r="AF407" s="305"/>
    </row>
    <row r="408" spans="1:32" s="52" customFormat="1" ht="14.25" customHeight="1">
      <c r="A408" s="285"/>
      <c r="B408" s="2246" t="s">
        <v>460</v>
      </c>
      <c r="C408" s="1931">
        <v>0</v>
      </c>
      <c r="D408" s="3036">
        <v>0</v>
      </c>
      <c r="E408" s="1931">
        <v>0</v>
      </c>
      <c r="F408" s="3036">
        <v>17988</v>
      </c>
      <c r="G408" s="1931">
        <v>1970</v>
      </c>
      <c r="H408" s="3036">
        <v>2</v>
      </c>
      <c r="I408" s="1931">
        <v>6684</v>
      </c>
      <c r="J408" s="2303">
        <f>SUM(F408:I408)</f>
        <v>26644</v>
      </c>
      <c r="K408" s="513">
        <v>137424</v>
      </c>
      <c r="M408" s="305"/>
      <c r="W408" s="305"/>
      <c r="X408" s="305"/>
      <c r="Y408" s="305"/>
      <c r="Z408" s="305"/>
      <c r="AA408" s="305"/>
      <c r="AB408" s="305"/>
      <c r="AC408" s="305"/>
      <c r="AD408" s="305"/>
      <c r="AE408" s="305"/>
      <c r="AF408" s="305"/>
    </row>
    <row r="409" spans="1:32" s="52" customFormat="1" ht="14.25" customHeight="1">
      <c r="A409" s="285"/>
      <c r="B409" s="2246"/>
      <c r="C409" s="3037"/>
      <c r="D409" s="3038"/>
      <c r="E409" s="3037"/>
      <c r="F409" s="3038"/>
      <c r="G409" s="3037"/>
      <c r="H409" s="3038"/>
      <c r="I409" s="3037"/>
      <c r="J409" s="2379"/>
      <c r="K409" s="1866"/>
      <c r="M409" s="305"/>
      <c r="W409" s="305"/>
      <c r="X409" s="305"/>
      <c r="Y409" s="305"/>
      <c r="Z409" s="305"/>
      <c r="AA409" s="305"/>
      <c r="AB409" s="305"/>
      <c r="AC409" s="305"/>
      <c r="AD409" s="305"/>
      <c r="AE409" s="305"/>
      <c r="AF409" s="305"/>
    </row>
    <row r="410" spans="1:32" s="52" customFormat="1" ht="14.25" customHeight="1">
      <c r="A410" s="285"/>
      <c r="B410" s="2248" t="s">
        <v>461</v>
      </c>
      <c r="C410" s="3037"/>
      <c r="D410" s="3038"/>
      <c r="E410" s="3037"/>
      <c r="F410" s="3037">
        <f>F411</f>
        <v>-62047</v>
      </c>
      <c r="G410" s="3037">
        <f>G411</f>
        <v>-189588</v>
      </c>
      <c r="H410" s="3037">
        <f>H411</f>
        <v>-51706</v>
      </c>
      <c r="I410" s="3037">
        <f>I411</f>
        <v>-47536</v>
      </c>
      <c r="J410" s="2380">
        <f>SUM(J411:J412)</f>
        <v>-350877</v>
      </c>
      <c r="K410" s="2249"/>
      <c r="M410" s="305"/>
      <c r="W410" s="305"/>
      <c r="X410" s="305"/>
      <c r="Y410" s="305"/>
      <c r="Z410" s="305"/>
      <c r="AA410" s="305"/>
      <c r="AB410" s="305"/>
      <c r="AC410" s="305"/>
      <c r="AD410" s="305"/>
      <c r="AE410" s="305"/>
      <c r="AF410" s="305"/>
    </row>
    <row r="411" spans="1:32" s="52" customFormat="1" ht="27.75" customHeight="1">
      <c r="A411" s="285"/>
      <c r="B411" s="2246" t="s">
        <v>462</v>
      </c>
      <c r="C411" s="1931">
        <v>0</v>
      </c>
      <c r="D411" s="3036">
        <v>0</v>
      </c>
      <c r="E411" s="1931">
        <v>0</v>
      </c>
      <c r="F411" s="3036">
        <v>-62047</v>
      </c>
      <c r="G411" s="1931">
        <v>-189588</v>
      </c>
      <c r="H411" s="3036">
        <v>-51706</v>
      </c>
      <c r="I411" s="2924">
        <v>-47536</v>
      </c>
      <c r="J411" s="2303">
        <f>SUM(F411:I411)</f>
        <v>-350877</v>
      </c>
      <c r="K411" s="2301">
        <v>-34471</v>
      </c>
      <c r="M411" s="305"/>
      <c r="W411" s="305"/>
      <c r="X411" s="305"/>
      <c r="Y411" s="305"/>
      <c r="Z411" s="305"/>
      <c r="AA411" s="305"/>
      <c r="AB411" s="305"/>
      <c r="AC411" s="305"/>
      <c r="AD411" s="305"/>
      <c r="AE411" s="305"/>
      <c r="AF411" s="305"/>
    </row>
    <row r="412" spans="1:32" s="52" customFormat="1" ht="24" customHeight="1">
      <c r="A412" s="285"/>
      <c r="B412" s="2246" t="s">
        <v>463</v>
      </c>
      <c r="C412" s="1931">
        <v>0</v>
      </c>
      <c r="D412" s="3036">
        <v>0</v>
      </c>
      <c r="E412" s="1931">
        <v>0</v>
      </c>
      <c r="F412" s="3036"/>
      <c r="G412" s="1931"/>
      <c r="H412" s="3036"/>
      <c r="I412" s="2924">
        <v>0</v>
      </c>
      <c r="J412" s="2379"/>
      <c r="K412" s="1866">
        <v>0</v>
      </c>
      <c r="M412" s="305"/>
      <c r="W412" s="305"/>
      <c r="X412" s="305"/>
      <c r="Y412" s="305"/>
      <c r="Z412" s="305"/>
      <c r="AA412" s="305"/>
      <c r="AB412" s="305"/>
      <c r="AC412" s="305"/>
      <c r="AD412" s="305"/>
      <c r="AE412" s="305"/>
      <c r="AF412" s="305"/>
    </row>
    <row r="413" spans="1:32" s="52" customFormat="1" ht="14.25" customHeight="1">
      <c r="A413" s="285"/>
      <c r="B413" s="2248" t="s">
        <v>464</v>
      </c>
      <c r="C413" s="3037">
        <v>6518</v>
      </c>
      <c r="D413" s="3038">
        <v>-12190</v>
      </c>
      <c r="E413" s="3037">
        <v>0</v>
      </c>
      <c r="F413" s="3038">
        <v>-37904</v>
      </c>
      <c r="G413" s="3037">
        <v>-590469</v>
      </c>
      <c r="H413" s="3038">
        <v>-255244</v>
      </c>
      <c r="I413" s="3023">
        <f>I401+I405+I408+I411</f>
        <v>6251075</v>
      </c>
      <c r="J413" s="2380">
        <f>+J401+J403+J410</f>
        <v>5361786</v>
      </c>
      <c r="K413" s="2228">
        <v>-525506</v>
      </c>
      <c r="M413" s="305"/>
      <c r="W413" s="305"/>
      <c r="X413" s="305"/>
      <c r="Y413" s="305"/>
      <c r="Z413" s="305"/>
      <c r="AA413" s="305"/>
      <c r="AB413" s="305"/>
      <c r="AC413" s="305"/>
      <c r="AD413" s="305"/>
      <c r="AE413" s="305"/>
      <c r="AF413" s="305"/>
    </row>
    <row r="414" spans="1:32" s="52" customFormat="1" ht="14.25" customHeight="1">
      <c r="A414" s="285"/>
      <c r="B414" s="2246" t="s">
        <v>465</v>
      </c>
      <c r="C414" s="1931">
        <v>0</v>
      </c>
      <c r="D414" s="3036">
        <v>0</v>
      </c>
      <c r="E414" s="1931">
        <v>0</v>
      </c>
      <c r="F414" s="3036">
        <v>-76</v>
      </c>
      <c r="G414" s="1931">
        <v>-232</v>
      </c>
      <c r="H414" s="3036">
        <v>-63</v>
      </c>
      <c r="I414" s="2924">
        <v>-15445</v>
      </c>
      <c r="J414" s="2303">
        <f>SUM(F414:I414)</f>
        <v>-15816</v>
      </c>
      <c r="K414" s="1866">
        <v>-42</v>
      </c>
      <c r="M414" s="305"/>
      <c r="W414" s="305"/>
      <c r="X414" s="305"/>
      <c r="Y414" s="305"/>
      <c r="Z414" s="305"/>
      <c r="AA414" s="305"/>
      <c r="AB414" s="305"/>
      <c r="AC414" s="305"/>
      <c r="AD414" s="305"/>
      <c r="AE414" s="305"/>
      <c r="AF414" s="305"/>
    </row>
    <row r="415" spans="1:32" s="52" customFormat="1" ht="14.25" customHeight="1">
      <c r="A415" s="285"/>
      <c r="B415" s="2248" t="s">
        <v>466</v>
      </c>
      <c r="C415" s="3037">
        <v>6518</v>
      </c>
      <c r="D415" s="3038">
        <v>-12190</v>
      </c>
      <c r="E415" s="3037">
        <v>0</v>
      </c>
      <c r="F415" s="3038">
        <v>-37980</v>
      </c>
      <c r="G415" s="3037">
        <v>-590701</v>
      </c>
      <c r="H415" s="3038">
        <v>-255307</v>
      </c>
      <c r="I415" s="3023">
        <f>+I413+I414</f>
        <v>6235630</v>
      </c>
      <c r="J415" s="2380">
        <f>J413+J414</f>
        <v>5345970</v>
      </c>
      <c r="K415" s="2228">
        <v>-525548</v>
      </c>
      <c r="M415" s="305"/>
      <c r="W415" s="305"/>
      <c r="X415" s="305"/>
      <c r="Y415" s="305"/>
      <c r="Z415" s="305"/>
      <c r="AA415" s="305"/>
      <c r="AB415" s="305"/>
      <c r="AC415" s="305"/>
      <c r="AD415" s="305"/>
      <c r="AE415" s="305"/>
      <c r="AF415" s="305"/>
    </row>
    <row r="416" spans="1:32" s="52" customFormat="1" ht="14.25" customHeight="1">
      <c r="A416" s="285"/>
      <c r="B416" s="2246" t="s">
        <v>467</v>
      </c>
      <c r="C416" s="1931">
        <v>0</v>
      </c>
      <c r="D416" s="3036">
        <v>0</v>
      </c>
      <c r="E416" s="1931">
        <v>0</v>
      </c>
      <c r="F416" s="3036">
        <v>0</v>
      </c>
      <c r="G416" s="1931">
        <v>0</v>
      </c>
      <c r="H416" s="3036">
        <v>0</v>
      </c>
      <c r="I416" s="2924">
        <v>-991504</v>
      </c>
      <c r="J416" s="2303">
        <f>SUM(I416)</f>
        <v>-991504</v>
      </c>
      <c r="K416" s="1866"/>
      <c r="M416" s="305"/>
      <c r="W416" s="305"/>
      <c r="X416" s="305"/>
      <c r="Y416" s="305"/>
      <c r="Z416" s="305"/>
      <c r="AA416" s="305"/>
      <c r="AB416" s="305"/>
      <c r="AC416" s="305"/>
      <c r="AD416" s="305"/>
      <c r="AE416" s="305"/>
      <c r="AF416" s="305"/>
    </row>
    <row r="417" spans="1:32" s="52" customFormat="1" ht="14.25" customHeight="1" thickBot="1">
      <c r="A417" s="285"/>
      <c r="B417" s="1501" t="s">
        <v>468</v>
      </c>
      <c r="C417" s="3039">
        <v>6518</v>
      </c>
      <c r="D417" s="3040">
        <v>-12190</v>
      </c>
      <c r="E417" s="3039">
        <v>0</v>
      </c>
      <c r="F417" s="3040">
        <v>-37980</v>
      </c>
      <c r="G417" s="3039">
        <v>-590701</v>
      </c>
      <c r="H417" s="3040">
        <v>-255307</v>
      </c>
      <c r="I417" s="3023">
        <f>SUM(I415:I416)</f>
        <v>5244126</v>
      </c>
      <c r="J417" s="1524">
        <f>SUM(J415:J416)</f>
        <v>4354466</v>
      </c>
      <c r="K417" s="558">
        <v>-525548</v>
      </c>
      <c r="M417" s="305"/>
      <c r="W417" s="305"/>
      <c r="X417" s="305"/>
      <c r="Y417" s="305"/>
      <c r="Z417" s="305"/>
      <c r="AA417" s="305"/>
      <c r="AB417" s="305"/>
      <c r="AC417" s="305"/>
      <c r="AD417" s="305"/>
      <c r="AE417" s="305"/>
      <c r="AF417" s="305"/>
    </row>
    <row r="418" spans="1:32" s="52" customFormat="1" ht="14.25" customHeight="1">
      <c r="A418" s="285"/>
      <c r="B418" s="456"/>
      <c r="C418" s="278"/>
      <c r="D418" s="278"/>
      <c r="E418" s="278"/>
      <c r="F418" s="278"/>
      <c r="G418" s="278"/>
      <c r="H418" s="278"/>
      <c r="I418" s="278"/>
      <c r="J418" s="279"/>
      <c r="K418" s="279"/>
      <c r="M418" s="305"/>
      <c r="W418" s="305"/>
      <c r="X418" s="305"/>
      <c r="Y418" s="305"/>
      <c r="Z418" s="305"/>
      <c r="AA418" s="305"/>
      <c r="AB418" s="305"/>
      <c r="AC418" s="305"/>
      <c r="AD418" s="305"/>
      <c r="AE418" s="305"/>
      <c r="AF418" s="305"/>
    </row>
    <row r="419" spans="1:32" s="52" customFormat="1" ht="14.25" customHeight="1">
      <c r="A419" s="285"/>
      <c r="B419" s="51"/>
      <c r="C419" s="526"/>
      <c r="D419" s="526"/>
      <c r="E419" s="278"/>
      <c r="F419" s="278"/>
      <c r="G419" s="278"/>
      <c r="H419" s="278"/>
      <c r="I419" s="278"/>
      <c r="J419" s="278"/>
      <c r="K419" s="394">
        <v>136</v>
      </c>
      <c r="M419" s="305"/>
      <c r="W419" s="305"/>
      <c r="X419" s="305"/>
      <c r="Y419" s="305"/>
      <c r="Z419" s="305"/>
      <c r="AA419" s="305"/>
      <c r="AB419" s="305"/>
      <c r="AC419" s="305"/>
      <c r="AD419" s="305"/>
      <c r="AE419" s="305"/>
      <c r="AF419" s="305"/>
    </row>
    <row r="420" spans="1:32" s="52" customFormat="1" ht="14.25" customHeight="1">
      <c r="A420" s="285"/>
      <c r="B420" s="51"/>
      <c r="C420" s="526"/>
      <c r="D420" s="526"/>
      <c r="E420" s="278"/>
      <c r="F420" s="278"/>
      <c r="G420" s="278"/>
      <c r="H420" s="278"/>
      <c r="I420" s="278"/>
      <c r="J420" s="278"/>
      <c r="K420" s="394"/>
      <c r="M420" s="305"/>
      <c r="W420" s="305"/>
      <c r="X420" s="305"/>
      <c r="Y420" s="305"/>
      <c r="Z420" s="305"/>
      <c r="AA420" s="305"/>
      <c r="AB420" s="305"/>
      <c r="AC420" s="305"/>
      <c r="AD420" s="305"/>
      <c r="AE420" s="305"/>
      <c r="AF420" s="305"/>
    </row>
    <row r="421" spans="1:32" s="52" customFormat="1" ht="14.25" customHeight="1">
      <c r="A421" s="285"/>
      <c r="B421" s="236" t="s">
        <v>477</v>
      </c>
      <c r="C421" s="526"/>
      <c r="D421" s="526"/>
      <c r="E421" s="414"/>
      <c r="F421" s="414"/>
      <c r="G421" s="414"/>
      <c r="H421" s="414"/>
      <c r="I421" s="278"/>
      <c r="J421" s="278"/>
      <c r="K421" s="416"/>
      <c r="M421" s="305"/>
      <c r="W421" s="305"/>
      <c r="X421" s="305"/>
      <c r="Y421" s="305"/>
      <c r="Z421" s="305"/>
      <c r="AA421" s="305"/>
      <c r="AB421" s="305"/>
      <c r="AC421" s="305"/>
      <c r="AD421" s="305"/>
      <c r="AE421" s="305"/>
      <c r="AF421" s="305"/>
    </row>
    <row r="422" spans="1:32" s="52" customFormat="1" ht="14.25" customHeight="1" thickBot="1">
      <c r="A422" s="285"/>
      <c r="B422" s="51"/>
      <c r="C422" s="526"/>
      <c r="D422" s="526"/>
      <c r="E422" s="414"/>
      <c r="F422" s="414"/>
      <c r="G422" s="414"/>
      <c r="H422" s="414"/>
      <c r="I422" s="278"/>
      <c r="J422" s="278"/>
      <c r="K422" s="416"/>
      <c r="M422" s="305"/>
      <c r="W422" s="305"/>
      <c r="X422" s="305"/>
      <c r="Y422" s="305"/>
      <c r="Z422" s="305"/>
      <c r="AA422" s="305"/>
      <c r="AB422" s="305"/>
      <c r="AC422" s="305"/>
      <c r="AD422" s="305"/>
      <c r="AE422" s="305"/>
      <c r="AF422" s="305"/>
    </row>
    <row r="423" spans="1:32" s="52" customFormat="1" ht="14.25" customHeight="1">
      <c r="A423" s="285"/>
      <c r="B423" s="1481" t="s">
        <v>111</v>
      </c>
      <c r="C423" s="514"/>
      <c r="D423" s="514"/>
      <c r="E423" s="514"/>
      <c r="F423" s="514"/>
      <c r="G423" s="3414" t="s">
        <v>238</v>
      </c>
      <c r="H423" s="3414"/>
      <c r="I423" s="3414"/>
      <c r="J423" s="278"/>
      <c r="K423" s="416"/>
      <c r="M423" s="305"/>
      <c r="W423" s="305"/>
      <c r="X423" s="305"/>
      <c r="Y423" s="305"/>
      <c r="Z423" s="305"/>
      <c r="AA423" s="305"/>
      <c r="AB423" s="305"/>
      <c r="AC423" s="305"/>
      <c r="AD423" s="305"/>
      <c r="AE423" s="305"/>
      <c r="AF423" s="305"/>
    </row>
    <row r="424" spans="1:32" s="52" customFormat="1" ht="14.25" customHeight="1">
      <c r="A424" s="285"/>
      <c r="B424" s="3407"/>
      <c r="C424" s="3332">
        <v>2021</v>
      </c>
      <c r="D424" s="3333"/>
      <c r="E424" s="3333"/>
      <c r="F424" s="3333"/>
      <c r="G424" s="3333"/>
      <c r="H424" s="3333"/>
      <c r="I424" s="3334"/>
      <c r="J424" s="278"/>
      <c r="K424" s="416"/>
      <c r="M424" s="305"/>
      <c r="W424" s="305"/>
      <c r="X424" s="305"/>
      <c r="Y424" s="305"/>
      <c r="Z424" s="305"/>
      <c r="AA424" s="305"/>
      <c r="AB424" s="305"/>
      <c r="AC424" s="305"/>
      <c r="AD424" s="305"/>
      <c r="AE424" s="305"/>
      <c r="AF424" s="305"/>
    </row>
    <row r="425" spans="1:32" s="52" customFormat="1" ht="14.25" customHeight="1">
      <c r="A425" s="285"/>
      <c r="B425" s="3408"/>
      <c r="C425" s="3410" t="s">
        <v>436</v>
      </c>
      <c r="D425" s="3410" t="s">
        <v>437</v>
      </c>
      <c r="E425" s="3412" t="s">
        <v>438</v>
      </c>
      <c r="F425" s="3413"/>
      <c r="G425" s="3410" t="s">
        <v>439</v>
      </c>
      <c r="H425" s="3410" t="s">
        <v>440</v>
      </c>
      <c r="I425" s="3410" t="s">
        <v>118</v>
      </c>
      <c r="J425" s="278"/>
      <c r="K425" s="416"/>
      <c r="M425" s="305"/>
      <c r="W425" s="305"/>
      <c r="X425" s="305"/>
      <c r="Y425" s="305"/>
      <c r="Z425" s="305"/>
      <c r="AA425" s="305"/>
      <c r="AB425" s="305"/>
      <c r="AC425" s="305"/>
      <c r="AD425" s="305"/>
      <c r="AE425" s="305"/>
      <c r="AF425" s="305"/>
    </row>
    <row r="426" spans="1:32" s="52" customFormat="1" ht="14.25" customHeight="1" thickBot="1">
      <c r="A426" s="285"/>
      <c r="B426" s="3409"/>
      <c r="C426" s="3411"/>
      <c r="D426" s="3411"/>
      <c r="E426" s="1506" t="s">
        <v>442</v>
      </c>
      <c r="F426" s="1506" t="s">
        <v>443</v>
      </c>
      <c r="G426" s="3411"/>
      <c r="H426" s="3411"/>
      <c r="I426" s="3411"/>
      <c r="J426" s="278"/>
      <c r="K426" s="416"/>
      <c r="M426" s="305"/>
      <c r="W426" s="305"/>
      <c r="X426" s="305"/>
      <c r="Y426" s="305"/>
      <c r="Z426" s="305"/>
      <c r="AA426" s="305"/>
      <c r="AB426" s="305"/>
      <c r="AC426" s="305"/>
      <c r="AD426" s="305"/>
      <c r="AE426" s="305"/>
      <c r="AF426" s="305"/>
    </row>
    <row r="427" spans="1:32" s="52" customFormat="1" ht="14.25" customHeight="1">
      <c r="A427" s="285"/>
      <c r="B427" s="1518" t="s">
        <v>342</v>
      </c>
      <c r="C427" s="2376">
        <v>239844.94856200009</v>
      </c>
      <c r="D427" s="797">
        <v>17915.768499999998</v>
      </c>
      <c r="E427" s="2375"/>
      <c r="F427" s="797">
        <v>1666171.5842999925</v>
      </c>
      <c r="G427" s="2376">
        <v>134938.65920999998</v>
      </c>
      <c r="H427" s="797">
        <v>110013.42938500001</v>
      </c>
      <c r="I427" s="1502">
        <f t="shared" ref="I427:I440" si="25">H427+G427+F427+E427+D427+C427</f>
        <v>2168884.3899569926</v>
      </c>
      <c r="J427" s="278"/>
      <c r="K427" s="416"/>
      <c r="M427" s="305"/>
      <c r="W427" s="305"/>
      <c r="X427" s="305"/>
      <c r="Y427" s="305"/>
      <c r="Z427" s="305"/>
      <c r="AA427" s="305"/>
      <c r="AB427" s="305"/>
      <c r="AC427" s="305"/>
      <c r="AD427" s="305"/>
      <c r="AE427" s="305"/>
      <c r="AF427" s="305"/>
    </row>
    <row r="428" spans="1:32" s="52" customFormat="1" ht="14.25" customHeight="1">
      <c r="A428" s="285"/>
      <c r="B428" s="2281" t="s">
        <v>444</v>
      </c>
      <c r="C428" s="688"/>
      <c r="D428" s="795"/>
      <c r="E428" s="688"/>
      <c r="F428" s="795"/>
      <c r="G428" s="688"/>
      <c r="H428" s="795"/>
      <c r="I428" s="2314">
        <f t="shared" si="25"/>
        <v>0</v>
      </c>
      <c r="J428" s="278"/>
      <c r="K428" s="416"/>
      <c r="M428" s="305"/>
      <c r="W428" s="305"/>
      <c r="X428" s="305"/>
      <c r="Y428" s="305"/>
      <c r="Z428" s="305"/>
      <c r="AA428" s="305"/>
      <c r="AB428" s="305"/>
      <c r="AC428" s="305"/>
      <c r="AD428" s="305"/>
      <c r="AE428" s="305"/>
      <c r="AF428" s="305"/>
    </row>
    <row r="429" spans="1:32" s="52" customFormat="1" ht="14.25" customHeight="1">
      <c r="A429" s="285"/>
      <c r="B429" s="2281" t="s">
        <v>471</v>
      </c>
      <c r="C429" s="687">
        <v>-89228.741850000006</v>
      </c>
      <c r="D429" s="795">
        <v>-70.462729999999993</v>
      </c>
      <c r="E429" s="688"/>
      <c r="F429" s="796">
        <v>-43403.758697999998</v>
      </c>
      <c r="G429" s="688"/>
      <c r="H429" s="796">
        <v>-8296.7372099999993</v>
      </c>
      <c r="I429" s="2314">
        <f t="shared" si="25"/>
        <v>-140999.700488</v>
      </c>
      <c r="J429" s="278"/>
      <c r="K429" s="416"/>
      <c r="M429" s="305"/>
      <c r="W429" s="305"/>
      <c r="X429" s="305"/>
      <c r="Y429" s="305"/>
      <c r="Z429" s="305"/>
      <c r="AA429" s="305"/>
      <c r="AB429" s="305"/>
      <c r="AC429" s="305"/>
      <c r="AD429" s="305"/>
      <c r="AE429" s="305"/>
      <c r="AF429" s="305"/>
    </row>
    <row r="430" spans="1:32" s="52" customFormat="1" ht="14.25" customHeight="1">
      <c r="A430" s="285"/>
      <c r="B430" s="2281" t="s">
        <v>446</v>
      </c>
      <c r="C430" s="687">
        <v>-124632.318594223</v>
      </c>
      <c r="D430" s="796">
        <v>-12357.0834245025</v>
      </c>
      <c r="E430" s="688"/>
      <c r="F430" s="796">
        <v>-30925.022627428807</v>
      </c>
      <c r="G430" s="688"/>
      <c r="H430" s="796">
        <v>-69766.286535677093</v>
      </c>
      <c r="I430" s="2314">
        <f t="shared" si="25"/>
        <v>-237680.71118183143</v>
      </c>
      <c r="J430" s="278"/>
      <c r="K430" s="416"/>
      <c r="M430" s="305"/>
      <c r="W430" s="305"/>
      <c r="X430" s="305"/>
      <c r="Y430" s="305"/>
      <c r="Z430" s="305"/>
      <c r="AA430" s="305"/>
      <c r="AB430" s="305"/>
      <c r="AC430" s="305"/>
      <c r="AD430" s="305"/>
      <c r="AE430" s="305"/>
      <c r="AF430" s="305"/>
    </row>
    <row r="431" spans="1:32" s="52" customFormat="1" ht="14.25" customHeight="1">
      <c r="A431" s="285"/>
      <c r="B431" s="2283" t="s">
        <v>447</v>
      </c>
      <c r="C431" s="2250">
        <v>25983.888117777067</v>
      </c>
      <c r="D431" s="2249">
        <v>5488.2223454974992</v>
      </c>
      <c r="E431" s="2250"/>
      <c r="F431" s="2249">
        <v>1591842.8029745636</v>
      </c>
      <c r="G431" s="2250">
        <v>134938.65920999998</v>
      </c>
      <c r="H431" s="2249">
        <v>31950.405639322911</v>
      </c>
      <c r="I431" s="2327">
        <f t="shared" si="25"/>
        <v>1790203.9782871609</v>
      </c>
      <c r="J431" s="278"/>
      <c r="K431" s="416"/>
      <c r="M431" s="305"/>
      <c r="W431" s="305"/>
      <c r="X431" s="305"/>
      <c r="Y431" s="305"/>
      <c r="Z431" s="305"/>
      <c r="AA431" s="305"/>
      <c r="AB431" s="305"/>
      <c r="AC431" s="305"/>
      <c r="AD431" s="305"/>
      <c r="AE431" s="305"/>
      <c r="AF431" s="305"/>
    </row>
    <row r="432" spans="1:32" s="52" customFormat="1" ht="14.25" customHeight="1">
      <c r="A432" s="285"/>
      <c r="B432" s="2281" t="s">
        <v>448</v>
      </c>
      <c r="C432" s="2381">
        <v>-5672.3425866408352</v>
      </c>
      <c r="D432" s="2382">
        <v>-1517.4326510416799</v>
      </c>
      <c r="E432" s="2375"/>
      <c r="F432" s="2374">
        <v>-169308.47053493466</v>
      </c>
      <c r="G432" s="2376">
        <v>-10765.520017083403</v>
      </c>
      <c r="H432" s="2377">
        <v>-1631.9934821367506</v>
      </c>
      <c r="I432" s="2314">
        <f t="shared" si="25"/>
        <v>-188895.75927183733</v>
      </c>
      <c r="J432" s="278"/>
      <c r="K432" s="416"/>
      <c r="M432" s="305"/>
      <c r="W432" s="305"/>
      <c r="X432" s="305"/>
      <c r="Y432" s="305"/>
      <c r="Z432" s="305"/>
      <c r="AA432" s="305"/>
      <c r="AB432" s="305"/>
      <c r="AC432" s="305"/>
      <c r="AD432" s="305"/>
      <c r="AE432" s="305"/>
      <c r="AF432" s="305"/>
    </row>
    <row r="433" spans="1:32" s="52" customFormat="1" ht="14.25" customHeight="1">
      <c r="A433" s="285"/>
      <c r="B433" s="2283" t="s">
        <v>449</v>
      </c>
      <c r="C433" s="2250">
        <v>20311.545531136231</v>
      </c>
      <c r="D433" s="2249">
        <v>3970.7896944558192</v>
      </c>
      <c r="E433" s="2250"/>
      <c r="F433" s="2249">
        <v>1422534.3324396289</v>
      </c>
      <c r="G433" s="2250">
        <v>124173.13919291658</v>
      </c>
      <c r="H433" s="2249">
        <v>30318.412157186161</v>
      </c>
      <c r="I433" s="2327">
        <f t="shared" si="25"/>
        <v>1601308.2190153238</v>
      </c>
      <c r="J433" s="278"/>
      <c r="K433" s="416"/>
      <c r="M433" s="305"/>
      <c r="W433" s="305"/>
      <c r="X433" s="305"/>
      <c r="Y433" s="305"/>
      <c r="Z433" s="305"/>
      <c r="AA433" s="305"/>
      <c r="AB433" s="305"/>
      <c r="AC433" s="305"/>
      <c r="AD433" s="305"/>
      <c r="AE433" s="305"/>
      <c r="AF433" s="305"/>
    </row>
    <row r="434" spans="1:32" s="52" customFormat="1" ht="14.25" customHeight="1">
      <c r="A434" s="285"/>
      <c r="B434" s="2281"/>
      <c r="C434" s="1865"/>
      <c r="D434" s="1866"/>
      <c r="E434" s="1865"/>
      <c r="F434" s="1866"/>
      <c r="G434" s="1865"/>
      <c r="H434" s="1866"/>
      <c r="I434" s="2314">
        <f t="shared" si="25"/>
        <v>0</v>
      </c>
      <c r="J434" s="278"/>
      <c r="K434" s="416"/>
      <c r="M434" s="305"/>
      <c r="W434" s="305"/>
      <c r="X434" s="305"/>
      <c r="Y434" s="305"/>
      <c r="Z434" s="305"/>
      <c r="AA434" s="305"/>
      <c r="AB434" s="305"/>
      <c r="AC434" s="305"/>
      <c r="AD434" s="305"/>
      <c r="AE434" s="305"/>
      <c r="AF434" s="305"/>
    </row>
    <row r="435" spans="1:32" s="52" customFormat="1" ht="14.25" customHeight="1">
      <c r="A435" s="285"/>
      <c r="B435" s="2283" t="s">
        <v>450</v>
      </c>
      <c r="C435" s="1865"/>
      <c r="D435" s="1866"/>
      <c r="E435" s="1865"/>
      <c r="F435" s="1866"/>
      <c r="G435" s="1865"/>
      <c r="H435" s="1866"/>
      <c r="I435" s="2314">
        <f t="shared" si="25"/>
        <v>0</v>
      </c>
      <c r="J435" s="278"/>
      <c r="K435" s="416"/>
      <c r="M435" s="305"/>
      <c r="W435" s="305"/>
      <c r="X435" s="305"/>
      <c r="Y435" s="305"/>
      <c r="Z435" s="305"/>
      <c r="AA435" s="305"/>
      <c r="AB435" s="305"/>
      <c r="AC435" s="305"/>
      <c r="AD435" s="305"/>
      <c r="AE435" s="305"/>
      <c r="AF435" s="305"/>
    </row>
    <row r="436" spans="1:32" s="52" customFormat="1" ht="26.25" customHeight="1">
      <c r="A436" s="285"/>
      <c r="B436" s="2281" t="s">
        <v>451</v>
      </c>
      <c r="C436" s="2376">
        <v>-5883.2934286731106</v>
      </c>
      <c r="D436" s="2377">
        <v>-2012.2367380848229</v>
      </c>
      <c r="E436" s="2375"/>
      <c r="F436" s="2374">
        <v>-751596.59307439555</v>
      </c>
      <c r="G436" s="2376">
        <v>-103703.17620829062</v>
      </c>
      <c r="H436" s="2374">
        <v>-2700.0608908750114</v>
      </c>
      <c r="I436" s="2314">
        <f t="shared" si="25"/>
        <v>-865895.36034031911</v>
      </c>
      <c r="J436" s="278"/>
      <c r="K436" s="416"/>
      <c r="M436" s="305"/>
      <c r="W436" s="305"/>
      <c r="X436" s="305"/>
      <c r="Y436" s="305"/>
      <c r="Z436" s="305"/>
      <c r="AA436" s="305"/>
      <c r="AB436" s="305"/>
      <c r="AC436" s="305"/>
      <c r="AD436" s="305"/>
      <c r="AE436" s="305"/>
      <c r="AF436" s="305"/>
    </row>
    <row r="437" spans="1:32" s="52" customFormat="1" ht="14.25" customHeight="1">
      <c r="A437" s="285"/>
      <c r="B437" s="2281" t="s">
        <v>452</v>
      </c>
      <c r="C437" s="687">
        <v>16487.245379550401</v>
      </c>
      <c r="D437" s="796">
        <v>1399.6654551479201</v>
      </c>
      <c r="E437" s="688"/>
      <c r="F437" s="796">
        <v>-181774.52787749699</v>
      </c>
      <c r="G437" s="687">
        <v>-2024.36940474417</v>
      </c>
      <c r="H437" s="796">
        <v>-3392.6524975000002</v>
      </c>
      <c r="I437" s="2314">
        <f t="shared" si="25"/>
        <v>-169304.63894504283</v>
      </c>
      <c r="J437" s="278"/>
      <c r="K437" s="416"/>
      <c r="M437" s="305"/>
      <c r="W437" s="305"/>
      <c r="X437" s="305"/>
      <c r="Y437" s="305"/>
      <c r="Z437" s="305"/>
      <c r="AA437" s="305"/>
      <c r="AB437" s="305"/>
      <c r="AC437" s="305"/>
      <c r="AD437" s="305"/>
      <c r="AE437" s="305"/>
      <c r="AF437" s="305"/>
    </row>
    <row r="438" spans="1:32" s="52" customFormat="1" ht="14.25" customHeight="1">
      <c r="A438" s="285"/>
      <c r="B438" s="2281" t="s">
        <v>453</v>
      </c>
      <c r="C438" s="1865"/>
      <c r="D438" s="1866"/>
      <c r="E438" s="1865"/>
      <c r="F438" s="1866"/>
      <c r="G438" s="1865"/>
      <c r="H438" s="1866"/>
      <c r="I438" s="2314">
        <f t="shared" si="25"/>
        <v>0</v>
      </c>
      <c r="J438" s="278"/>
      <c r="K438" s="416"/>
      <c r="M438" s="305"/>
      <c r="W438" s="305"/>
      <c r="X438" s="305"/>
      <c r="Y438" s="305"/>
      <c r="Z438" s="305"/>
      <c r="AA438" s="305"/>
      <c r="AB438" s="305"/>
      <c r="AC438" s="305"/>
      <c r="AD438" s="305"/>
      <c r="AE438" s="305"/>
      <c r="AF438" s="305"/>
    </row>
    <row r="439" spans="1:32" s="52" customFormat="1" ht="14.25" customHeight="1">
      <c r="A439" s="285"/>
      <c r="B439" s="2283" t="s">
        <v>454</v>
      </c>
      <c r="C439" s="2250">
        <v>30915.497482013521</v>
      </c>
      <c r="D439" s="2249">
        <v>3358.2184115189166</v>
      </c>
      <c r="E439" s="2250"/>
      <c r="F439" s="2249">
        <v>489163.21148773632</v>
      </c>
      <c r="G439" s="2250">
        <v>18445.593579881792</v>
      </c>
      <c r="H439" s="2249">
        <v>24225.698768811151</v>
      </c>
      <c r="I439" s="2327">
        <f t="shared" si="25"/>
        <v>566108.21972996171</v>
      </c>
      <c r="J439" s="278"/>
      <c r="K439" s="416"/>
      <c r="M439" s="305"/>
      <c r="W439" s="305"/>
      <c r="X439" s="305"/>
      <c r="Y439" s="305"/>
      <c r="Z439" s="305"/>
      <c r="AA439" s="305"/>
      <c r="AB439" s="305"/>
      <c r="AC439" s="305"/>
      <c r="AD439" s="305"/>
      <c r="AE439" s="305"/>
      <c r="AF439" s="305"/>
    </row>
    <row r="440" spans="1:32" s="52" customFormat="1" ht="14.25" customHeight="1">
      <c r="A440" s="285"/>
      <c r="B440" s="2281"/>
      <c r="C440" s="2318"/>
      <c r="D440" s="2316"/>
      <c r="E440" s="2318"/>
      <c r="F440" s="2316"/>
      <c r="G440" s="2318"/>
      <c r="H440" s="2316"/>
      <c r="I440" s="2314">
        <f t="shared" si="25"/>
        <v>0</v>
      </c>
      <c r="J440" s="278"/>
      <c r="K440" s="416"/>
      <c r="M440" s="305"/>
      <c r="W440" s="305"/>
      <c r="X440" s="305"/>
      <c r="Y440" s="305"/>
      <c r="Z440" s="305"/>
      <c r="AA440" s="305"/>
      <c r="AB440" s="305"/>
      <c r="AC440" s="305"/>
      <c r="AD440" s="305"/>
      <c r="AE440" s="305"/>
      <c r="AF440" s="305"/>
    </row>
    <row r="441" spans="1:32" s="52" customFormat="1" ht="14.25" customHeight="1">
      <c r="A441" s="285"/>
      <c r="B441" s="2283" t="s">
        <v>455</v>
      </c>
      <c r="C441" s="2318"/>
      <c r="D441" s="2316"/>
      <c r="E441" s="2318"/>
      <c r="F441" s="2316"/>
      <c r="G441" s="2318"/>
      <c r="H441" s="2316"/>
      <c r="I441" s="2327">
        <f>SUM(I442:I443)</f>
        <v>171540</v>
      </c>
      <c r="J441" s="278"/>
      <c r="K441" s="416"/>
      <c r="M441" s="305"/>
      <c r="W441" s="305"/>
      <c r="X441" s="305"/>
      <c r="Y441" s="305"/>
      <c r="Z441" s="305"/>
      <c r="AA441" s="305"/>
      <c r="AB441" s="305"/>
      <c r="AC441" s="305"/>
      <c r="AD441" s="305"/>
      <c r="AE441" s="305"/>
      <c r="AF441" s="305"/>
    </row>
    <row r="442" spans="1:32" s="52" customFormat="1" ht="14.25" customHeight="1">
      <c r="A442" s="285"/>
      <c r="B442" s="2281" t="s">
        <v>456</v>
      </c>
      <c r="C442" s="2318"/>
      <c r="D442" s="2316"/>
      <c r="E442" s="2318"/>
      <c r="F442" s="2316"/>
      <c r="G442" s="2318"/>
      <c r="H442" s="2316"/>
      <c r="I442" s="2383">
        <v>50957</v>
      </c>
      <c r="J442" s="278"/>
      <c r="K442" s="416"/>
      <c r="M442" s="305"/>
      <c r="W442" s="305"/>
      <c r="X442" s="305"/>
      <c r="Y442" s="305"/>
      <c r="Z442" s="305"/>
      <c r="AA442" s="305"/>
      <c r="AB442" s="305"/>
      <c r="AC442" s="305"/>
      <c r="AD442" s="305"/>
      <c r="AE442" s="305"/>
      <c r="AF442" s="305"/>
    </row>
    <row r="443" spans="1:32" s="52" customFormat="1" ht="14.25" customHeight="1">
      <c r="A443" s="285"/>
      <c r="B443" s="2281" t="s">
        <v>472</v>
      </c>
      <c r="C443" s="2318"/>
      <c r="D443" s="2316"/>
      <c r="E443" s="2318"/>
      <c r="F443" s="2316"/>
      <c r="G443" s="2318"/>
      <c r="H443" s="2316"/>
      <c r="I443" s="1525">
        <v>120583</v>
      </c>
      <c r="J443" s="278"/>
      <c r="K443" s="416"/>
      <c r="M443" s="305"/>
      <c r="W443" s="305"/>
      <c r="X443" s="305"/>
      <c r="Y443" s="305"/>
      <c r="Z443" s="305"/>
      <c r="AA443" s="305"/>
      <c r="AB443" s="305"/>
      <c r="AC443" s="305"/>
      <c r="AD443" s="305"/>
      <c r="AE443" s="305"/>
      <c r="AF443" s="305"/>
    </row>
    <row r="444" spans="1:32" s="52" customFormat="1" ht="14.25" customHeight="1">
      <c r="A444" s="285"/>
      <c r="B444" s="2281" t="s">
        <v>458</v>
      </c>
      <c r="C444" s="2318"/>
      <c r="D444" s="2316"/>
      <c r="E444" s="2318"/>
      <c r="F444" s="2316"/>
      <c r="G444" s="2318"/>
      <c r="H444" s="2316"/>
      <c r="I444" s="2314"/>
      <c r="J444" s="278"/>
      <c r="K444" s="416"/>
      <c r="M444" s="305"/>
      <c r="W444" s="305"/>
      <c r="X444" s="305"/>
      <c r="Y444" s="305"/>
      <c r="Z444" s="305"/>
      <c r="AA444" s="305"/>
      <c r="AB444" s="305"/>
      <c r="AC444" s="305"/>
      <c r="AD444" s="305"/>
      <c r="AE444" s="305"/>
      <c r="AF444" s="305"/>
    </row>
    <row r="445" spans="1:32" s="52" customFormat="1" ht="14.25" customHeight="1">
      <c r="A445" s="285"/>
      <c r="B445" s="2281" t="s">
        <v>459</v>
      </c>
      <c r="C445" s="2318"/>
      <c r="D445" s="2316"/>
      <c r="E445" s="2318"/>
      <c r="F445" s="2316"/>
      <c r="G445" s="2318"/>
      <c r="H445" s="2316"/>
      <c r="I445" s="2314"/>
      <c r="J445" s="278"/>
      <c r="K445" s="416"/>
      <c r="M445" s="305"/>
      <c r="W445" s="305"/>
      <c r="X445" s="305"/>
      <c r="Y445" s="305"/>
      <c r="Z445" s="305"/>
      <c r="AA445" s="305"/>
      <c r="AB445" s="305"/>
      <c r="AC445" s="305"/>
      <c r="AD445" s="305"/>
      <c r="AE445" s="305"/>
      <c r="AF445" s="305"/>
    </row>
    <row r="446" spans="1:32" s="52" customFormat="1" ht="14.25" customHeight="1">
      <c r="A446" s="285"/>
      <c r="B446" s="2281" t="s">
        <v>460</v>
      </c>
      <c r="C446" s="2318"/>
      <c r="D446" s="2316"/>
      <c r="E446" s="2318"/>
      <c r="F446" s="2316"/>
      <c r="G446" s="2318"/>
      <c r="H446" s="2316"/>
      <c r="I446" s="2314"/>
      <c r="J446" s="278"/>
      <c r="K446" s="416"/>
      <c r="M446" s="305"/>
      <c r="W446" s="305"/>
      <c r="X446" s="305"/>
      <c r="Y446" s="305"/>
      <c r="Z446" s="305"/>
      <c r="AA446" s="305"/>
      <c r="AB446" s="305"/>
      <c r="AC446" s="305"/>
      <c r="AD446" s="305"/>
      <c r="AE446" s="305"/>
      <c r="AF446" s="305"/>
    </row>
    <row r="447" spans="1:32" s="52" customFormat="1" ht="14.25" customHeight="1">
      <c r="A447" s="285"/>
      <c r="B447" s="2281"/>
      <c r="C447" s="2318"/>
      <c r="D447" s="2316"/>
      <c r="E447" s="2318"/>
      <c r="F447" s="2316"/>
      <c r="G447" s="2318"/>
      <c r="H447" s="2316"/>
      <c r="I447" s="2314"/>
      <c r="J447" s="278"/>
      <c r="K447" s="416"/>
      <c r="M447" s="305"/>
      <c r="W447" s="305"/>
      <c r="X447" s="305"/>
      <c r="Y447" s="305"/>
      <c r="Z447" s="305"/>
      <c r="AA447" s="305"/>
      <c r="AB447" s="305"/>
      <c r="AC447" s="305"/>
      <c r="AD447" s="305"/>
      <c r="AE447" s="305"/>
      <c r="AF447" s="305"/>
    </row>
    <row r="448" spans="1:32" s="52" customFormat="1" ht="14.25" customHeight="1">
      <c r="A448" s="285"/>
      <c r="B448" s="2283" t="s">
        <v>461</v>
      </c>
      <c r="C448" s="2318"/>
      <c r="D448" s="2316"/>
      <c r="E448" s="2318"/>
      <c r="F448" s="2316"/>
      <c r="G448" s="2318"/>
      <c r="H448" s="2316"/>
      <c r="I448" s="2327">
        <f>I449+I450</f>
        <v>-549907</v>
      </c>
      <c r="J448" s="278"/>
      <c r="K448" s="416"/>
      <c r="M448" s="305"/>
      <c r="W448" s="305"/>
      <c r="X448" s="305"/>
      <c r="Y448" s="305"/>
      <c r="Z448" s="305"/>
      <c r="AA448" s="305"/>
      <c r="AB448" s="305"/>
      <c r="AC448" s="305"/>
      <c r="AD448" s="305"/>
      <c r="AE448" s="305"/>
      <c r="AF448" s="305"/>
    </row>
    <row r="449" spans="1:32" s="52" customFormat="1" ht="27" customHeight="1">
      <c r="A449" s="285"/>
      <c r="B449" s="2281" t="s">
        <v>462</v>
      </c>
      <c r="C449" s="2318"/>
      <c r="D449" s="2316"/>
      <c r="E449" s="2318"/>
      <c r="F449" s="2316"/>
      <c r="G449" s="2318"/>
      <c r="H449" s="2316"/>
      <c r="I449" s="1525">
        <v>-549907</v>
      </c>
      <c r="J449" s="278"/>
      <c r="K449" s="416"/>
      <c r="M449" s="305"/>
      <c r="W449" s="305"/>
      <c r="X449" s="305"/>
      <c r="Y449" s="305"/>
      <c r="Z449" s="305"/>
      <c r="AA449" s="305"/>
      <c r="AB449" s="305"/>
      <c r="AC449" s="305"/>
      <c r="AD449" s="305"/>
      <c r="AE449" s="305"/>
      <c r="AF449" s="305"/>
    </row>
    <row r="450" spans="1:32" s="52" customFormat="1" ht="14.25" customHeight="1">
      <c r="A450" s="285"/>
      <c r="B450" s="2281" t="s">
        <v>463</v>
      </c>
      <c r="C450" s="2318"/>
      <c r="D450" s="2316"/>
      <c r="E450" s="2318"/>
      <c r="F450" s="2316"/>
      <c r="G450" s="2318"/>
      <c r="H450" s="2316"/>
      <c r="I450" s="2314"/>
      <c r="J450" s="278"/>
      <c r="K450" s="416"/>
      <c r="M450" s="305"/>
      <c r="W450" s="305"/>
      <c r="X450" s="305"/>
      <c r="Y450" s="305"/>
      <c r="Z450" s="305"/>
      <c r="AA450" s="305"/>
      <c r="AB450" s="305"/>
      <c r="AC450" s="305"/>
      <c r="AD450" s="305"/>
      <c r="AE450" s="305"/>
      <c r="AF450" s="305"/>
    </row>
    <row r="451" spans="1:32" s="52" customFormat="1" ht="14.25" customHeight="1">
      <c r="A451" s="285"/>
      <c r="B451" s="2283" t="s">
        <v>464</v>
      </c>
      <c r="C451" s="2318"/>
      <c r="D451" s="2316"/>
      <c r="E451" s="2318"/>
      <c r="F451" s="2316"/>
      <c r="G451" s="2318"/>
      <c r="H451" s="2316"/>
      <c r="I451" s="2327">
        <f>+I439+I441+I448</f>
        <v>187741.21972996171</v>
      </c>
      <c r="J451" s="278"/>
      <c r="K451" s="416"/>
      <c r="M451" s="305"/>
      <c r="W451" s="305"/>
      <c r="X451" s="305"/>
      <c r="Y451" s="305"/>
      <c r="Z451" s="305"/>
      <c r="AA451" s="305"/>
      <c r="AB451" s="305"/>
      <c r="AC451" s="305"/>
      <c r="AD451" s="305"/>
      <c r="AE451" s="305"/>
      <c r="AF451" s="305"/>
    </row>
    <row r="452" spans="1:32" s="52" customFormat="1" ht="14.25" customHeight="1">
      <c r="A452" s="285"/>
      <c r="B452" s="2281" t="s">
        <v>465</v>
      </c>
      <c r="C452" s="2318"/>
      <c r="D452" s="2316"/>
      <c r="E452" s="2318"/>
      <c r="F452" s="2316"/>
      <c r="G452" s="2318"/>
      <c r="H452" s="2316"/>
      <c r="I452" s="2314">
        <v>-3803</v>
      </c>
      <c r="J452" s="278"/>
      <c r="K452" s="416"/>
      <c r="M452" s="305"/>
      <c r="W452" s="305"/>
      <c r="X452" s="305"/>
      <c r="Y452" s="305"/>
      <c r="Z452" s="305"/>
      <c r="AA452" s="305"/>
      <c r="AB452" s="305"/>
      <c r="AC452" s="305"/>
      <c r="AD452" s="305"/>
      <c r="AE452" s="305"/>
      <c r="AF452" s="305"/>
    </row>
    <row r="453" spans="1:32" s="52" customFormat="1" ht="14.25" customHeight="1">
      <c r="A453" s="285"/>
      <c r="B453" s="2283" t="s">
        <v>466</v>
      </c>
      <c r="C453" s="2318"/>
      <c r="D453" s="2316"/>
      <c r="E453" s="2318"/>
      <c r="F453" s="2316"/>
      <c r="G453" s="2318"/>
      <c r="H453" s="2316"/>
      <c r="I453" s="2327">
        <f>SUM(I451:I452)</f>
        <v>183938.21972996171</v>
      </c>
      <c r="J453" s="278"/>
      <c r="K453" s="416"/>
      <c r="M453" s="305"/>
      <c r="W453" s="305"/>
      <c r="X453" s="305"/>
      <c r="Y453" s="305"/>
      <c r="Z453" s="305"/>
      <c r="AA453" s="305"/>
      <c r="AB453" s="305"/>
      <c r="AC453" s="305"/>
      <c r="AD453" s="305"/>
      <c r="AE453" s="305"/>
      <c r="AF453" s="305"/>
    </row>
    <row r="454" spans="1:32" s="52" customFormat="1" ht="14.25" customHeight="1">
      <c r="A454" s="285"/>
      <c r="B454" s="2281" t="s">
        <v>467</v>
      </c>
      <c r="C454" s="2318"/>
      <c r="D454" s="2316"/>
      <c r="E454" s="2318"/>
      <c r="F454" s="2316"/>
      <c r="G454" s="2318"/>
      <c r="H454" s="2316"/>
      <c r="I454" s="1525">
        <v>-47041</v>
      </c>
      <c r="J454" s="278"/>
      <c r="K454" s="416"/>
      <c r="M454" s="305"/>
      <c r="W454" s="305"/>
      <c r="X454" s="305"/>
      <c r="Y454" s="305"/>
      <c r="Z454" s="305"/>
      <c r="AA454" s="305"/>
      <c r="AB454" s="305"/>
      <c r="AC454" s="305"/>
      <c r="AD454" s="305"/>
      <c r="AE454" s="305"/>
      <c r="AF454" s="305"/>
    </row>
    <row r="455" spans="1:32" s="52" customFormat="1" ht="14.25" customHeight="1" thickBot="1">
      <c r="A455" s="285"/>
      <c r="B455" s="1519" t="s">
        <v>468</v>
      </c>
      <c r="C455" s="1110"/>
      <c r="D455" s="823"/>
      <c r="E455" s="1110"/>
      <c r="F455" s="823"/>
      <c r="G455" s="1110"/>
      <c r="H455" s="823"/>
      <c r="I455" s="1504">
        <f>SUM(I453:I454)</f>
        <v>136897.21972996171</v>
      </c>
      <c r="J455" s="278"/>
      <c r="K455" s="416"/>
      <c r="M455" s="305"/>
      <c r="W455" s="305"/>
      <c r="X455" s="305"/>
      <c r="Y455" s="305"/>
      <c r="Z455" s="305"/>
      <c r="AA455" s="305"/>
      <c r="AB455" s="305"/>
      <c r="AC455" s="305"/>
      <c r="AD455" s="305"/>
      <c r="AE455" s="305"/>
      <c r="AF455" s="305"/>
    </row>
    <row r="456" spans="1:32" s="52" customFormat="1" ht="14.25" customHeight="1">
      <c r="A456" s="285"/>
      <c r="B456" s="456"/>
      <c r="C456" s="264"/>
      <c r="D456" s="264"/>
      <c r="E456" s="264"/>
      <c r="F456" s="264"/>
      <c r="G456" s="264"/>
      <c r="H456" s="264"/>
      <c r="I456" s="279"/>
      <c r="J456" s="278"/>
      <c r="K456" s="416"/>
      <c r="M456" s="305"/>
      <c r="W456" s="305"/>
      <c r="X456" s="305"/>
      <c r="Y456" s="305"/>
      <c r="Z456" s="305"/>
      <c r="AA456" s="305"/>
      <c r="AB456" s="305"/>
      <c r="AC456" s="305"/>
      <c r="AD456" s="305"/>
      <c r="AE456" s="305"/>
      <c r="AF456" s="305"/>
    </row>
    <row r="457" spans="1:32" s="52" customFormat="1" ht="14.25" customHeight="1">
      <c r="A457" s="285"/>
      <c r="B457" s="456"/>
      <c r="C457" s="264"/>
      <c r="D457" s="264"/>
      <c r="E457" s="264"/>
      <c r="F457" s="264"/>
      <c r="G457" s="264"/>
      <c r="H457" s="264"/>
      <c r="I457" s="279"/>
      <c r="J457" s="278"/>
      <c r="K457" s="394">
        <v>137</v>
      </c>
      <c r="M457" s="305"/>
      <c r="W457" s="305"/>
      <c r="X457" s="305"/>
      <c r="Y457" s="305"/>
      <c r="Z457" s="305"/>
      <c r="AA457" s="305"/>
      <c r="AB457" s="305"/>
      <c r="AC457" s="305"/>
      <c r="AD457" s="305"/>
      <c r="AE457" s="305"/>
      <c r="AF457" s="305"/>
    </row>
    <row r="458" spans="1:32" s="52" customFormat="1" ht="14.25" customHeight="1">
      <c r="A458" s="285"/>
      <c r="B458" s="456"/>
      <c r="C458" s="264"/>
      <c r="D458" s="264"/>
      <c r="E458" s="264"/>
      <c r="F458" s="264"/>
      <c r="G458" s="264"/>
      <c r="H458" s="264"/>
      <c r="I458" s="279"/>
      <c r="J458" s="278"/>
      <c r="K458" s="394"/>
      <c r="M458" s="305"/>
      <c r="W458" s="305"/>
      <c r="X458" s="305"/>
      <c r="Y458" s="305"/>
      <c r="Z458" s="305"/>
      <c r="AA458" s="305"/>
      <c r="AB458" s="305"/>
      <c r="AC458" s="305"/>
      <c r="AD458" s="305"/>
      <c r="AE458" s="305"/>
      <c r="AF458" s="305"/>
    </row>
    <row r="459" spans="1:32" s="52" customFormat="1" ht="14.25" customHeight="1">
      <c r="A459" s="285"/>
      <c r="B459" s="236" t="s">
        <v>477</v>
      </c>
      <c r="C459" s="264"/>
      <c r="D459" s="264"/>
      <c r="E459" s="264"/>
      <c r="F459" s="264"/>
      <c r="G459" s="264"/>
      <c r="H459" s="264"/>
      <c r="I459" s="279"/>
      <c r="J459" s="278"/>
      <c r="K459" s="416"/>
      <c r="M459" s="305"/>
      <c r="W459" s="305"/>
      <c r="X459" s="305"/>
      <c r="Y459" s="305"/>
      <c r="Z459" s="305"/>
      <c r="AA459" s="305"/>
      <c r="AB459" s="305"/>
      <c r="AC459" s="305"/>
      <c r="AD459" s="305"/>
      <c r="AE459" s="305"/>
      <c r="AF459" s="305"/>
    </row>
    <row r="460" spans="1:32" s="52" customFormat="1" ht="14.25" customHeight="1" thickBot="1">
      <c r="A460" s="285"/>
      <c r="B460" s="51"/>
      <c r="C460" s="526"/>
      <c r="D460" s="526"/>
      <c r="E460" s="414"/>
      <c r="F460" s="414"/>
      <c r="G460" s="414"/>
      <c r="H460" s="414"/>
      <c r="I460" s="278"/>
      <c r="J460" s="278"/>
      <c r="K460" s="416"/>
      <c r="M460" s="305"/>
      <c r="W460" s="305"/>
      <c r="X460" s="305"/>
      <c r="Y460" s="305"/>
      <c r="Z460" s="305"/>
      <c r="AA460" s="305"/>
      <c r="AB460" s="305"/>
      <c r="AC460" s="305"/>
      <c r="AD460" s="305"/>
      <c r="AE460" s="305"/>
      <c r="AF460" s="305"/>
    </row>
    <row r="461" spans="1:32" ht="14.25" customHeight="1">
      <c r="B461" s="1481" t="s">
        <v>426</v>
      </c>
      <c r="C461" s="514"/>
      <c r="D461" s="514"/>
      <c r="E461" s="514"/>
      <c r="F461" s="514"/>
      <c r="G461" s="3414" t="s">
        <v>238</v>
      </c>
      <c r="H461" s="3414"/>
      <c r="I461" s="3414"/>
      <c r="J461" s="385"/>
      <c r="M461" s="305"/>
      <c r="W461" s="305"/>
      <c r="X461" s="305"/>
      <c r="Y461" s="305"/>
      <c r="Z461" s="305"/>
      <c r="AA461" s="305"/>
      <c r="AB461" s="305"/>
      <c r="AC461" s="305"/>
      <c r="AD461" s="305"/>
      <c r="AE461" s="305"/>
      <c r="AF461" s="305"/>
    </row>
    <row r="462" spans="1:32" s="52" customFormat="1" ht="14.25" customHeight="1">
      <c r="A462" s="278"/>
      <c r="B462" s="3407"/>
      <c r="C462" s="3332">
        <v>2021</v>
      </c>
      <c r="D462" s="3333"/>
      <c r="E462" s="3333"/>
      <c r="F462" s="3333"/>
      <c r="G462" s="3333"/>
      <c r="H462" s="3333"/>
      <c r="I462" s="3334"/>
      <c r="J462" s="315"/>
      <c r="M462" s="305"/>
      <c r="W462" s="305"/>
      <c r="X462" s="305"/>
      <c r="Y462" s="305"/>
      <c r="Z462" s="305"/>
      <c r="AA462" s="305"/>
      <c r="AB462" s="305"/>
      <c r="AC462" s="305"/>
      <c r="AD462" s="305"/>
      <c r="AE462" s="305"/>
      <c r="AF462" s="305"/>
    </row>
    <row r="463" spans="1:32" s="52" customFormat="1" ht="14.25" customHeight="1">
      <c r="A463" s="394"/>
      <c r="B463" s="3415"/>
      <c r="C463" s="3410" t="s">
        <v>436</v>
      </c>
      <c r="D463" s="3417" t="s">
        <v>437</v>
      </c>
      <c r="E463" s="3412" t="s">
        <v>438</v>
      </c>
      <c r="F463" s="3419"/>
      <c r="G463" s="3410" t="s">
        <v>439</v>
      </c>
      <c r="H463" s="3420" t="s">
        <v>440</v>
      </c>
      <c r="I463" s="3410" t="s">
        <v>118</v>
      </c>
      <c r="J463" s="278"/>
      <c r="M463" s="305"/>
      <c r="W463" s="305"/>
      <c r="X463" s="305"/>
      <c r="Y463" s="305"/>
      <c r="Z463" s="305"/>
      <c r="AA463" s="305"/>
      <c r="AB463" s="305"/>
      <c r="AC463" s="305"/>
      <c r="AD463" s="305"/>
      <c r="AE463" s="305"/>
      <c r="AF463" s="305"/>
    </row>
    <row r="464" spans="1:32" s="52" customFormat="1" ht="14.25" customHeight="1" thickBot="1">
      <c r="A464" s="394"/>
      <c r="B464" s="3416"/>
      <c r="C464" s="3411"/>
      <c r="D464" s="3421"/>
      <c r="E464" s="1506" t="s">
        <v>442</v>
      </c>
      <c r="F464" s="1512" t="s">
        <v>443</v>
      </c>
      <c r="G464" s="3411"/>
      <c r="H464" s="3421"/>
      <c r="I464" s="3411"/>
      <c r="J464" s="278"/>
      <c r="M464" s="305"/>
      <c r="W464" s="305"/>
      <c r="X464" s="305"/>
      <c r="Y464" s="305"/>
      <c r="Z464" s="305"/>
      <c r="AA464" s="305"/>
      <c r="AB464" s="305"/>
      <c r="AC464" s="305"/>
      <c r="AD464" s="305"/>
      <c r="AE464" s="305"/>
      <c r="AF464" s="305"/>
    </row>
    <row r="465" spans="1:32" s="52" customFormat="1" ht="14.25" customHeight="1">
      <c r="A465" s="285"/>
      <c r="B465" s="1478" t="s">
        <v>342</v>
      </c>
      <c r="C465" s="2285">
        <v>507548.13</v>
      </c>
      <c r="D465" s="2280">
        <v>131413.88800000001</v>
      </c>
      <c r="E465" s="2285">
        <v>212466</v>
      </c>
      <c r="F465" s="2280">
        <v>4551943</v>
      </c>
      <c r="G465" s="2285">
        <v>156916.79973999993</v>
      </c>
      <c r="H465" s="2280">
        <v>443176.99725999997</v>
      </c>
      <c r="I465" s="1520">
        <f t="shared" ref="I465:I477" si="26">H465+G465+F465+E465+D465+C465</f>
        <v>6003464.8150000004</v>
      </c>
      <c r="J465" s="278"/>
      <c r="L465" s="305"/>
      <c r="M465" s="305"/>
      <c r="N465" s="305"/>
      <c r="O465" s="305"/>
      <c r="P465" s="305"/>
      <c r="Q465" s="305"/>
      <c r="R465" s="305"/>
      <c r="W465" s="305"/>
      <c r="X465" s="305"/>
      <c r="Y465" s="305"/>
      <c r="Z465" s="305"/>
      <c r="AA465" s="305"/>
      <c r="AB465" s="305"/>
      <c r="AC465" s="305"/>
      <c r="AD465" s="305"/>
      <c r="AE465" s="305"/>
      <c r="AF465" s="305"/>
    </row>
    <row r="466" spans="1:32" s="52" customFormat="1" ht="14.25" customHeight="1">
      <c r="A466" s="285"/>
      <c r="B466" s="2246" t="s">
        <v>444</v>
      </c>
      <c r="C466" s="817">
        <v>-22667.964</v>
      </c>
      <c r="D466" s="818">
        <v>-12336.671</v>
      </c>
      <c r="E466" s="817"/>
      <c r="F466" s="818"/>
      <c r="G466" s="817"/>
      <c r="H466" s="818">
        <v>-510</v>
      </c>
      <c r="I466" s="2363">
        <f t="shared" si="26"/>
        <v>-35514.635000000002</v>
      </c>
      <c r="J466" s="278"/>
      <c r="L466" s="305"/>
      <c r="M466" s="305"/>
      <c r="N466" s="305"/>
      <c r="O466" s="305"/>
      <c r="P466" s="305"/>
      <c r="Q466" s="305"/>
      <c r="R466" s="305"/>
      <c r="W466" s="305"/>
      <c r="X466" s="305"/>
      <c r="Y466" s="305"/>
      <c r="Z466" s="305"/>
      <c r="AA466" s="305"/>
      <c r="AB466" s="305"/>
      <c r="AC466" s="305"/>
      <c r="AD466" s="305"/>
      <c r="AE466" s="305"/>
      <c r="AF466" s="305"/>
    </row>
    <row r="467" spans="1:32" s="52" customFormat="1" ht="14.25" customHeight="1">
      <c r="A467" s="285"/>
      <c r="B467" s="2246" t="s">
        <v>445</v>
      </c>
      <c r="C467" s="817">
        <v>-201875.54800000001</v>
      </c>
      <c r="D467" s="818">
        <v>-1116.5139999999999</v>
      </c>
      <c r="E467" s="817"/>
      <c r="F467" s="818">
        <v>-118307.97500000001</v>
      </c>
      <c r="G467" s="817"/>
      <c r="H467" s="818">
        <v>-12062.736000000001</v>
      </c>
      <c r="I467" s="2363">
        <f t="shared" si="26"/>
        <v>-333362.77300000004</v>
      </c>
      <c r="J467" s="278"/>
      <c r="K467" s="429"/>
      <c r="L467" s="305"/>
      <c r="M467" s="305"/>
      <c r="N467" s="305"/>
      <c r="O467" s="305"/>
      <c r="P467" s="305"/>
      <c r="Q467" s="305"/>
      <c r="R467" s="305"/>
      <c r="W467" s="305"/>
      <c r="X467" s="305"/>
      <c r="Y467" s="305"/>
      <c r="Z467" s="305"/>
      <c r="AA467" s="305"/>
      <c r="AB467" s="305"/>
      <c r="AC467" s="305"/>
      <c r="AD467" s="305"/>
      <c r="AE467" s="305"/>
      <c r="AF467" s="305"/>
    </row>
    <row r="468" spans="1:32" s="52" customFormat="1" ht="14.25" customHeight="1">
      <c r="A468" s="285"/>
      <c r="B468" s="2246" t="s">
        <v>446</v>
      </c>
      <c r="C468" s="817">
        <v>-190828.677</v>
      </c>
      <c r="D468" s="818">
        <v>-88863.648000000001</v>
      </c>
      <c r="E468" s="817"/>
      <c r="F468" s="818">
        <v>-50421.911999999997</v>
      </c>
      <c r="G468" s="817"/>
      <c r="H468" s="818">
        <v>-260322.552</v>
      </c>
      <c r="I468" s="2363">
        <f t="shared" si="26"/>
        <v>-590436.78899999999</v>
      </c>
      <c r="J468" s="278"/>
      <c r="K468" s="416"/>
      <c r="L468" s="305"/>
      <c r="M468" s="305"/>
      <c r="N468" s="305"/>
      <c r="O468" s="305"/>
      <c r="P468" s="305"/>
      <c r="Q468" s="305"/>
      <c r="R468" s="305"/>
      <c r="W468" s="305"/>
      <c r="X468" s="305"/>
      <c r="Y468" s="305"/>
      <c r="Z468" s="305"/>
      <c r="AA468" s="305"/>
      <c r="AB468" s="305"/>
      <c r="AC468" s="305"/>
      <c r="AD468" s="305"/>
      <c r="AE468" s="305"/>
      <c r="AF468" s="305"/>
    </row>
    <row r="469" spans="1:32" s="52" customFormat="1" ht="14.25" customHeight="1">
      <c r="A469" s="285"/>
      <c r="B469" s="2248" t="s">
        <v>447</v>
      </c>
      <c r="C469" s="2365">
        <v>92175.941000000021</v>
      </c>
      <c r="D469" s="2364">
        <v>29097.055000000008</v>
      </c>
      <c r="E469" s="2365">
        <v>212466</v>
      </c>
      <c r="F469" s="2364">
        <v>4383213.1130000008</v>
      </c>
      <c r="G469" s="2365">
        <v>156916.79973999993</v>
      </c>
      <c r="H469" s="2364">
        <v>170281.70926</v>
      </c>
      <c r="I469" s="2290">
        <f t="shared" si="26"/>
        <v>5044150.6179999998</v>
      </c>
      <c r="J469" s="278"/>
      <c r="K469" s="416"/>
      <c r="L469" s="305"/>
      <c r="M469" s="305"/>
      <c r="N469" s="305"/>
      <c r="O469" s="305"/>
      <c r="P469" s="305"/>
      <c r="Q469" s="305"/>
      <c r="R469" s="305"/>
      <c r="W469" s="305"/>
      <c r="X469" s="305"/>
      <c r="Y469" s="305"/>
      <c r="Z469" s="305"/>
      <c r="AA469" s="305"/>
      <c r="AB469" s="305"/>
      <c r="AC469" s="305"/>
      <c r="AD469" s="305"/>
      <c r="AE469" s="305"/>
      <c r="AF469" s="305"/>
    </row>
    <row r="470" spans="1:32" s="52" customFormat="1" ht="14.25" customHeight="1">
      <c r="A470" s="285"/>
      <c r="B470" s="2246" t="s">
        <v>448</v>
      </c>
      <c r="C470" s="2285">
        <v>-3231.8150000000001</v>
      </c>
      <c r="D470" s="2280">
        <v>-6616.9629999999997</v>
      </c>
      <c r="E470" s="2285">
        <v>15884.53258084377</v>
      </c>
      <c r="F470" s="2280">
        <v>94606</v>
      </c>
      <c r="G470" s="2285"/>
      <c r="H470" s="2280">
        <v>-24165.934999999998</v>
      </c>
      <c r="I470" s="2363">
        <f t="shared" si="26"/>
        <v>76475.819580843774</v>
      </c>
      <c r="J470" s="278"/>
      <c r="K470" s="416"/>
      <c r="L470" s="305"/>
      <c r="M470" s="305"/>
      <c r="N470" s="305"/>
      <c r="O470" s="305"/>
      <c r="P470" s="305"/>
      <c r="Q470" s="305"/>
      <c r="R470" s="305"/>
      <c r="W470" s="305"/>
      <c r="X470" s="305"/>
      <c r="Y470" s="305"/>
      <c r="Z470" s="305"/>
      <c r="AA470" s="305"/>
      <c r="AB470" s="305"/>
      <c r="AC470" s="305"/>
      <c r="AD470" s="305"/>
      <c r="AE470" s="305"/>
      <c r="AF470" s="305"/>
    </row>
    <row r="471" spans="1:32" s="52" customFormat="1" ht="14.25" customHeight="1">
      <c r="A471" s="285"/>
      <c r="B471" s="2248" t="s">
        <v>449</v>
      </c>
      <c r="C471" s="2365">
        <v>88944.126000000018</v>
      </c>
      <c r="D471" s="2364">
        <v>22480.092000000008</v>
      </c>
      <c r="E471" s="2365">
        <v>228350.53258084378</v>
      </c>
      <c r="F471" s="2364">
        <v>4477819.1130000008</v>
      </c>
      <c r="G471" s="2365">
        <v>156916.79973999993</v>
      </c>
      <c r="H471" s="2364">
        <v>146115.77426000001</v>
      </c>
      <c r="I471" s="2290">
        <f t="shared" si="26"/>
        <v>5120626.4375808453</v>
      </c>
      <c r="J471" s="278"/>
      <c r="K471" s="416"/>
      <c r="L471" s="305"/>
      <c r="M471" s="305"/>
      <c r="N471" s="305"/>
      <c r="O471" s="305"/>
      <c r="P471" s="305"/>
      <c r="Q471" s="305"/>
      <c r="R471" s="305"/>
      <c r="W471" s="305"/>
      <c r="X471" s="305"/>
      <c r="Y471" s="305"/>
      <c r="Z471" s="305"/>
      <c r="AA471" s="305"/>
      <c r="AB471" s="305"/>
      <c r="AC471" s="305"/>
      <c r="AD471" s="305"/>
      <c r="AE471" s="305"/>
      <c r="AF471" s="305"/>
    </row>
    <row r="472" spans="1:32" s="52" customFormat="1" ht="14.25" customHeight="1">
      <c r="A472" s="285"/>
      <c r="B472" s="2246"/>
      <c r="C472" s="2369"/>
      <c r="D472" s="2368"/>
      <c r="E472" s="2369"/>
      <c r="F472" s="2368"/>
      <c r="G472" s="2369"/>
      <c r="H472" s="2368"/>
      <c r="I472" s="2363">
        <f t="shared" si="26"/>
        <v>0</v>
      </c>
      <c r="J472" s="278"/>
      <c r="K472" s="416"/>
      <c r="M472" s="305"/>
      <c r="W472" s="305"/>
      <c r="X472" s="305"/>
      <c r="Y472" s="305"/>
      <c r="Z472" s="305"/>
      <c r="AA472" s="305"/>
      <c r="AB472" s="305"/>
      <c r="AC472" s="305"/>
      <c r="AD472" s="305"/>
      <c r="AE472" s="305"/>
      <c r="AF472" s="305"/>
    </row>
    <row r="473" spans="1:32" s="52" customFormat="1" ht="14.25" customHeight="1">
      <c r="A473" s="285"/>
      <c r="B473" s="2248" t="s">
        <v>450</v>
      </c>
      <c r="C473" s="2369"/>
      <c r="D473" s="2368"/>
      <c r="E473" s="2369"/>
      <c r="F473" s="2368"/>
      <c r="G473" s="2369"/>
      <c r="H473" s="2368"/>
      <c r="I473" s="2363">
        <f t="shared" si="26"/>
        <v>0</v>
      </c>
      <c r="J473" s="278"/>
      <c r="K473" s="416"/>
      <c r="L473" s="305"/>
      <c r="M473" s="305"/>
      <c r="N473" s="305"/>
      <c r="O473" s="305"/>
      <c r="P473" s="305"/>
      <c r="Q473" s="305"/>
      <c r="R473" s="305"/>
      <c r="W473" s="305"/>
      <c r="X473" s="305"/>
      <c r="Y473" s="305"/>
      <c r="Z473" s="305"/>
      <c r="AA473" s="305"/>
      <c r="AB473" s="305"/>
      <c r="AC473" s="305"/>
      <c r="AD473" s="305"/>
      <c r="AE473" s="305"/>
      <c r="AF473" s="305"/>
    </row>
    <row r="474" spans="1:32" s="52" customFormat="1" ht="27.6" customHeight="1">
      <c r="A474" s="285"/>
      <c r="B474" s="2246" t="s">
        <v>451</v>
      </c>
      <c r="C474" s="2285">
        <v>-33945.274999999994</v>
      </c>
      <c r="D474" s="2280">
        <v>-20579.335000000006</v>
      </c>
      <c r="E474" s="2285">
        <v>-122003.40712464201</v>
      </c>
      <c r="F474" s="2280">
        <v>-2513050.7149999999</v>
      </c>
      <c r="G474" s="2285">
        <v>-213438.08189535001</v>
      </c>
      <c r="H474" s="2280">
        <v>-91301.516000000018</v>
      </c>
      <c r="I474" s="2363">
        <f t="shared" si="26"/>
        <v>-2994318.3300199914</v>
      </c>
      <c r="J474" s="278"/>
      <c r="K474" s="416"/>
      <c r="L474" s="305"/>
      <c r="M474" s="305"/>
      <c r="N474" s="305"/>
      <c r="O474" s="305"/>
      <c r="P474" s="305"/>
      <c r="Q474" s="305"/>
      <c r="R474" s="305"/>
      <c r="W474" s="305"/>
      <c r="X474" s="305"/>
      <c r="Y474" s="305"/>
      <c r="Z474" s="305"/>
      <c r="AA474" s="305"/>
      <c r="AB474" s="305"/>
      <c r="AC474" s="305"/>
      <c r="AD474" s="305"/>
      <c r="AE474" s="305"/>
      <c r="AF474" s="305"/>
    </row>
    <row r="475" spans="1:32" s="52" customFormat="1" ht="14.25" customHeight="1">
      <c r="A475" s="285"/>
      <c r="B475" s="2246" t="s">
        <v>452</v>
      </c>
      <c r="C475" s="817">
        <v>34709.237000000001</v>
      </c>
      <c r="D475" s="818">
        <v>5244.1890000000003</v>
      </c>
      <c r="E475" s="817">
        <v>-20545.5983875167</v>
      </c>
      <c r="F475" s="818">
        <v>-540130.42261248326</v>
      </c>
      <c r="G475" s="817"/>
      <c r="H475" s="818">
        <v>-6341.4949999999999</v>
      </c>
      <c r="I475" s="2363">
        <f t="shared" si="26"/>
        <v>-527064.09</v>
      </c>
      <c r="J475" s="278"/>
      <c r="K475" s="416"/>
      <c r="L475" s="305"/>
      <c r="M475" s="305"/>
      <c r="N475" s="305"/>
      <c r="O475" s="305"/>
      <c r="P475" s="305"/>
      <c r="Q475" s="305"/>
      <c r="R475" s="305"/>
      <c r="W475" s="305"/>
      <c r="X475" s="305"/>
      <c r="Y475" s="305"/>
      <c r="Z475" s="305"/>
      <c r="AA475" s="305"/>
      <c r="AB475" s="305"/>
      <c r="AC475" s="305"/>
      <c r="AD475" s="305"/>
      <c r="AE475" s="305"/>
      <c r="AF475" s="305"/>
    </row>
    <row r="476" spans="1:32" s="52" customFormat="1" ht="14.25" customHeight="1">
      <c r="A476" s="285"/>
      <c r="B476" s="2246" t="s">
        <v>453</v>
      </c>
      <c r="C476" s="2369"/>
      <c r="D476" s="2368"/>
      <c r="E476" s="2369"/>
      <c r="F476" s="2368"/>
      <c r="G476" s="2369"/>
      <c r="H476" s="2368"/>
      <c r="I476" s="2363">
        <f t="shared" si="26"/>
        <v>0</v>
      </c>
      <c r="J476" s="278"/>
      <c r="K476" s="416"/>
      <c r="L476" s="305"/>
      <c r="M476" s="305"/>
      <c r="N476" s="305"/>
      <c r="O476" s="305"/>
      <c r="P476" s="305"/>
      <c r="Q476" s="305"/>
      <c r="R476" s="305"/>
      <c r="W476" s="305"/>
      <c r="X476" s="305"/>
      <c r="Y476" s="305"/>
      <c r="Z476" s="305"/>
      <c r="AA476" s="305"/>
      <c r="AB476" s="305"/>
      <c r="AC476" s="305"/>
      <c r="AD476" s="305"/>
      <c r="AE476" s="305"/>
      <c r="AF476" s="305"/>
    </row>
    <row r="477" spans="1:32" s="52" customFormat="1" ht="14.25" customHeight="1">
      <c r="A477" s="285"/>
      <c r="B477" s="2248" t="s">
        <v>454</v>
      </c>
      <c r="C477" s="2365">
        <f t="shared" ref="C477:H477" si="27">C471+C474+C475+C476</f>
        <v>89708.088000000018</v>
      </c>
      <c r="D477" s="2364">
        <f>D471+D474+D475+D476</f>
        <v>7144.9460000000017</v>
      </c>
      <c r="E477" s="2365">
        <f t="shared" si="27"/>
        <v>85801.527068685071</v>
      </c>
      <c r="F477" s="2364">
        <f t="shared" si="27"/>
        <v>1424637.9753875178</v>
      </c>
      <c r="G477" s="2365">
        <f t="shared" si="27"/>
        <v>-56521.282155350083</v>
      </c>
      <c r="H477" s="2364">
        <f t="shared" si="27"/>
        <v>48472.763259999985</v>
      </c>
      <c r="I477" s="2290">
        <f t="shared" si="26"/>
        <v>1599244.0175608527</v>
      </c>
      <c r="J477" s="278"/>
      <c r="K477" s="432"/>
      <c r="L477" s="305"/>
      <c r="M477" s="305"/>
      <c r="N477" s="305"/>
      <c r="O477" s="305"/>
      <c r="P477" s="305"/>
      <c r="Q477" s="305"/>
      <c r="R477" s="305"/>
      <c r="W477" s="305"/>
      <c r="X477" s="305"/>
      <c r="Y477" s="305"/>
      <c r="Z477" s="305"/>
      <c r="AA477" s="305"/>
      <c r="AB477" s="305"/>
      <c r="AC477" s="305"/>
      <c r="AD477" s="305"/>
      <c r="AE477" s="305"/>
      <c r="AF477" s="305"/>
    </row>
    <row r="478" spans="1:32" s="52" customFormat="1" ht="14.25" customHeight="1">
      <c r="A478" s="285"/>
      <c r="B478" s="2246"/>
      <c r="C478" s="2373"/>
      <c r="D478" s="2372"/>
      <c r="E478" s="2373"/>
      <c r="F478" s="2372"/>
      <c r="G478" s="2373"/>
      <c r="H478" s="2372"/>
      <c r="I478" s="2363"/>
      <c r="J478" s="278"/>
      <c r="K478" s="416"/>
      <c r="M478" s="305"/>
      <c r="W478" s="305"/>
      <c r="X478" s="305"/>
      <c r="Y478" s="305"/>
      <c r="Z478" s="305"/>
      <c r="AA478" s="305"/>
      <c r="AB478" s="305"/>
      <c r="AC478" s="305"/>
      <c r="AD478" s="305"/>
      <c r="AE478" s="305"/>
      <c r="AF478" s="305"/>
    </row>
    <row r="479" spans="1:32" s="52" customFormat="1" ht="14.25" customHeight="1">
      <c r="A479" s="285"/>
      <c r="B479" s="2248" t="s">
        <v>455</v>
      </c>
      <c r="C479" s="2373"/>
      <c r="D479" s="2372"/>
      <c r="E479" s="2373"/>
      <c r="F479" s="2372"/>
      <c r="G479" s="2373"/>
      <c r="H479" s="2372"/>
      <c r="I479" s="2290">
        <f>SUM(I480:I484)</f>
        <v>785096</v>
      </c>
      <c r="J479" s="278"/>
      <c r="K479" s="416"/>
      <c r="M479" s="305"/>
      <c r="W479" s="305"/>
      <c r="X479" s="305"/>
      <c r="Y479" s="305"/>
      <c r="Z479" s="305"/>
      <c r="AA479" s="305"/>
      <c r="AB479" s="305"/>
      <c r="AC479" s="305"/>
      <c r="AD479" s="305"/>
      <c r="AE479" s="305"/>
      <c r="AF479" s="305"/>
    </row>
    <row r="480" spans="1:32" s="52" customFormat="1" ht="14.25" customHeight="1">
      <c r="A480" s="285"/>
      <c r="B480" s="2246" t="s">
        <v>456</v>
      </c>
      <c r="C480" s="2373"/>
      <c r="D480" s="2372"/>
      <c r="E480" s="2373"/>
      <c r="F480" s="2372"/>
      <c r="G480" s="2373"/>
      <c r="H480" s="2372"/>
      <c r="I480" s="2384">
        <v>54300</v>
      </c>
      <c r="J480" s="278"/>
      <c r="K480" s="416"/>
      <c r="M480" s="305"/>
      <c r="W480" s="305"/>
      <c r="X480" s="305"/>
      <c r="Y480" s="305"/>
      <c r="Z480" s="305"/>
      <c r="AA480" s="305"/>
      <c r="AB480" s="305"/>
      <c r="AC480" s="305"/>
      <c r="AD480" s="305"/>
      <c r="AE480" s="305"/>
      <c r="AF480" s="305"/>
    </row>
    <row r="481" spans="1:32" s="52" customFormat="1" ht="14.25" customHeight="1">
      <c r="A481" s="285"/>
      <c r="B481" s="2246" t="s">
        <v>472</v>
      </c>
      <c r="C481" s="2373"/>
      <c r="D481" s="2372"/>
      <c r="E481" s="2373"/>
      <c r="F481" s="2372"/>
      <c r="G481" s="2373"/>
      <c r="H481" s="2372"/>
      <c r="I481" s="1526">
        <v>657537</v>
      </c>
      <c r="J481" s="278"/>
      <c r="K481" s="416"/>
      <c r="M481" s="305"/>
      <c r="W481" s="305"/>
      <c r="X481" s="305"/>
      <c r="Y481" s="305"/>
      <c r="Z481" s="305"/>
      <c r="AA481" s="305"/>
      <c r="AB481" s="305"/>
      <c r="AC481" s="305"/>
      <c r="AD481" s="305"/>
      <c r="AE481" s="305"/>
      <c r="AF481" s="305"/>
    </row>
    <row r="482" spans="1:32" s="52" customFormat="1" ht="14.25" customHeight="1">
      <c r="A482" s="285"/>
      <c r="B482" s="2246" t="s">
        <v>458</v>
      </c>
      <c r="C482" s="2373"/>
      <c r="D482" s="2372"/>
      <c r="E482" s="2373"/>
      <c r="F482" s="2372"/>
      <c r="G482" s="2373"/>
      <c r="H482" s="2372"/>
      <c r="I482" s="1526">
        <v>22372</v>
      </c>
      <c r="J482" s="278"/>
      <c r="K482" s="416"/>
      <c r="M482" s="305"/>
      <c r="W482" s="305"/>
      <c r="X482" s="305"/>
      <c r="Y482" s="305"/>
      <c r="Z482" s="305"/>
      <c r="AA482" s="305"/>
      <c r="AB482" s="305"/>
      <c r="AC482" s="305"/>
      <c r="AD482" s="305"/>
      <c r="AE482" s="305"/>
      <c r="AF482" s="305"/>
    </row>
    <row r="483" spans="1:32" s="52" customFormat="1" ht="14.25" customHeight="1">
      <c r="A483" s="285"/>
      <c r="B483" s="2246" t="s">
        <v>459</v>
      </c>
      <c r="C483" s="2373"/>
      <c r="D483" s="2372"/>
      <c r="E483" s="2373"/>
      <c r="F483" s="2372"/>
      <c r="G483" s="2373"/>
      <c r="H483" s="2372"/>
      <c r="I483" s="1526">
        <v>50880</v>
      </c>
      <c r="J483" s="278"/>
      <c r="K483" s="416"/>
      <c r="M483" s="305"/>
      <c r="W483" s="305"/>
      <c r="X483" s="305"/>
      <c r="Y483" s="305"/>
      <c r="Z483" s="305"/>
      <c r="AA483" s="305"/>
      <c r="AB483" s="305"/>
      <c r="AC483" s="305"/>
      <c r="AD483" s="305"/>
      <c r="AE483" s="305"/>
      <c r="AF483" s="305"/>
    </row>
    <row r="484" spans="1:32" s="52" customFormat="1" ht="14.25" customHeight="1">
      <c r="A484" s="285"/>
      <c r="B484" s="2246" t="s">
        <v>460</v>
      </c>
      <c r="C484" s="2373"/>
      <c r="D484" s="2372"/>
      <c r="E484" s="2373"/>
      <c r="F484" s="2372"/>
      <c r="G484" s="2373"/>
      <c r="H484" s="2372"/>
      <c r="I484" s="1526">
        <v>7</v>
      </c>
      <c r="J484" s="278"/>
      <c r="K484" s="416"/>
      <c r="M484" s="305"/>
      <c r="W484" s="305"/>
      <c r="X484" s="305"/>
      <c r="Y484" s="305"/>
      <c r="Z484" s="305"/>
      <c r="AA484" s="305"/>
      <c r="AB484" s="305"/>
      <c r="AC484" s="305"/>
      <c r="AD484" s="305"/>
      <c r="AE484" s="305"/>
      <c r="AF484" s="305"/>
    </row>
    <row r="485" spans="1:32" s="52" customFormat="1" ht="14.25" customHeight="1">
      <c r="A485" s="285"/>
      <c r="B485" s="2246"/>
      <c r="C485" s="2373"/>
      <c r="D485" s="2372"/>
      <c r="E485" s="2373"/>
      <c r="F485" s="2372"/>
      <c r="G485" s="2373"/>
      <c r="H485" s="2372"/>
      <c r="I485" s="2363"/>
      <c r="J485" s="278"/>
      <c r="K485" s="416"/>
      <c r="M485" s="305"/>
      <c r="W485" s="305"/>
      <c r="X485" s="305"/>
      <c r="Y485" s="305"/>
      <c r="Z485" s="305"/>
      <c r="AA485" s="305"/>
      <c r="AB485" s="305"/>
      <c r="AC485" s="305"/>
      <c r="AD485" s="305"/>
      <c r="AE485" s="305"/>
      <c r="AF485" s="305"/>
    </row>
    <row r="486" spans="1:32" s="52" customFormat="1" ht="14.25" customHeight="1">
      <c r="A486" s="285"/>
      <c r="B486" s="2248" t="s">
        <v>461</v>
      </c>
      <c r="C486" s="2373"/>
      <c r="D486" s="2372"/>
      <c r="E486" s="2373"/>
      <c r="F486" s="2372"/>
      <c r="G486" s="2373"/>
      <c r="H486" s="2372"/>
      <c r="I486" s="2363">
        <f>I487+I488</f>
        <v>-1203691</v>
      </c>
      <c r="J486" s="278"/>
      <c r="K486" s="416"/>
      <c r="M486" s="305"/>
      <c r="W486" s="305"/>
      <c r="X486" s="305"/>
      <c r="Y486" s="305"/>
      <c r="Z486" s="305"/>
      <c r="AA486" s="305"/>
      <c r="AB486" s="305"/>
      <c r="AC486" s="305"/>
      <c r="AD486" s="305"/>
      <c r="AE486" s="305"/>
      <c r="AF486" s="305"/>
    </row>
    <row r="487" spans="1:32" s="52" customFormat="1" ht="27" customHeight="1">
      <c r="A487" s="285"/>
      <c r="B487" s="2246" t="s">
        <v>462</v>
      </c>
      <c r="C487" s="2373"/>
      <c r="D487" s="2372"/>
      <c r="E487" s="2373"/>
      <c r="F487" s="2372"/>
      <c r="G487" s="2373"/>
      <c r="H487" s="2372"/>
      <c r="I487" s="2384">
        <v>-1203691</v>
      </c>
      <c r="J487" s="278"/>
      <c r="K487" s="416"/>
      <c r="M487" s="305"/>
      <c r="W487" s="305"/>
      <c r="X487" s="305"/>
      <c r="Y487" s="305"/>
      <c r="Z487" s="305"/>
      <c r="AA487" s="305"/>
      <c r="AB487" s="305"/>
      <c r="AC487" s="305"/>
      <c r="AD487" s="305"/>
      <c r="AE487" s="305"/>
      <c r="AF487" s="305"/>
    </row>
    <row r="488" spans="1:32" s="52" customFormat="1" ht="27" customHeight="1">
      <c r="A488" s="285"/>
      <c r="B488" s="2246" t="s">
        <v>463</v>
      </c>
      <c r="C488" s="2373"/>
      <c r="D488" s="2372"/>
      <c r="E488" s="2373"/>
      <c r="F488" s="2372"/>
      <c r="G488" s="2373"/>
      <c r="H488" s="2372"/>
      <c r="I488" s="2363"/>
      <c r="J488" s="278"/>
      <c r="K488" s="416"/>
      <c r="M488" s="305"/>
      <c r="W488" s="305"/>
      <c r="X488" s="305"/>
      <c r="Y488" s="305"/>
      <c r="Z488" s="305"/>
      <c r="AA488" s="305"/>
      <c r="AB488" s="305"/>
      <c r="AC488" s="305"/>
      <c r="AD488" s="305"/>
      <c r="AE488" s="305"/>
      <c r="AF488" s="305"/>
    </row>
    <row r="489" spans="1:32" s="52" customFormat="1" ht="14.25" customHeight="1">
      <c r="A489" s="285"/>
      <c r="B489" s="2248" t="s">
        <v>464</v>
      </c>
      <c r="C489" s="2373"/>
      <c r="D489" s="2372"/>
      <c r="E489" s="2373"/>
      <c r="F489" s="2372"/>
      <c r="G489" s="2373"/>
      <c r="H489" s="2372"/>
      <c r="I489" s="2290">
        <f>+I477+I479+I487</f>
        <v>1180649.0175608527</v>
      </c>
      <c r="J489" s="278"/>
      <c r="K489" s="416"/>
      <c r="M489" s="305"/>
      <c r="W489" s="305"/>
      <c r="X489" s="305"/>
      <c r="Y489" s="305"/>
      <c r="Z489" s="305"/>
      <c r="AA489" s="305"/>
      <c r="AB489" s="305"/>
      <c r="AC489" s="305"/>
      <c r="AD489" s="305"/>
      <c r="AE489" s="305"/>
      <c r="AF489" s="305"/>
    </row>
    <row r="490" spans="1:32" s="52" customFormat="1" ht="14.25" customHeight="1">
      <c r="A490" s="285"/>
      <c r="B490" s="2246" t="s">
        <v>465</v>
      </c>
      <c r="C490" s="2373"/>
      <c r="D490" s="2372"/>
      <c r="E490" s="2373"/>
      <c r="F490" s="2372"/>
      <c r="G490" s="2373"/>
      <c r="H490" s="2372"/>
      <c r="I490" s="2384">
        <v>-11560</v>
      </c>
      <c r="J490" s="278"/>
      <c r="K490" s="416"/>
      <c r="M490" s="305"/>
      <c r="W490" s="305"/>
      <c r="X490" s="305"/>
      <c r="Y490" s="305"/>
      <c r="Z490" s="305"/>
      <c r="AA490" s="305"/>
      <c r="AB490" s="305"/>
      <c r="AC490" s="305"/>
      <c r="AD490" s="305"/>
      <c r="AE490" s="305"/>
      <c r="AF490" s="305"/>
    </row>
    <row r="491" spans="1:32" s="52" customFormat="1" ht="14.25" customHeight="1">
      <c r="A491" s="285"/>
      <c r="B491" s="2248" t="s">
        <v>466</v>
      </c>
      <c r="C491" s="2373"/>
      <c r="D491" s="2372"/>
      <c r="E491" s="2373"/>
      <c r="F491" s="2372"/>
      <c r="G491" s="2373"/>
      <c r="H491" s="2372"/>
      <c r="I491" s="2290">
        <f>SUM(I489:I490)</f>
        <v>1169089.0175608527</v>
      </c>
      <c r="J491" s="278"/>
      <c r="K491" s="416"/>
      <c r="M491" s="305"/>
      <c r="W491" s="305"/>
      <c r="X491" s="305"/>
      <c r="Y491" s="305"/>
      <c r="Z491" s="305"/>
      <c r="AA491" s="305"/>
      <c r="AB491" s="305"/>
      <c r="AC491" s="305"/>
      <c r="AD491" s="305"/>
      <c r="AE491" s="305"/>
      <c r="AF491" s="305"/>
    </row>
    <row r="492" spans="1:32" s="52" customFormat="1" ht="14.25" customHeight="1">
      <c r="A492" s="285"/>
      <c r="B492" s="2246" t="s">
        <v>467</v>
      </c>
      <c r="C492" s="2373"/>
      <c r="D492" s="2372"/>
      <c r="E492" s="2373"/>
      <c r="F492" s="2372"/>
      <c r="G492" s="2373"/>
      <c r="H492" s="2372"/>
      <c r="I492" s="2384">
        <v>-189420</v>
      </c>
      <c r="J492" s="278"/>
      <c r="K492" s="416"/>
      <c r="M492" s="305"/>
      <c r="W492" s="305"/>
      <c r="X492" s="305"/>
      <c r="Y492" s="305"/>
      <c r="Z492" s="305"/>
      <c r="AA492" s="305"/>
      <c r="AB492" s="305"/>
      <c r="AC492" s="305"/>
      <c r="AD492" s="305"/>
      <c r="AE492" s="305"/>
      <c r="AF492" s="305"/>
    </row>
    <row r="493" spans="1:32" s="52" customFormat="1" ht="14.25" customHeight="1" thickBot="1">
      <c r="A493" s="285"/>
      <c r="B493" s="1501" t="s">
        <v>468</v>
      </c>
      <c r="C493" s="835"/>
      <c r="D493" s="1113"/>
      <c r="E493" s="835"/>
      <c r="F493" s="1113"/>
      <c r="G493" s="835"/>
      <c r="H493" s="1113"/>
      <c r="I493" s="1493">
        <f>SUM(I491:I492)</f>
        <v>979669.01756085269</v>
      </c>
      <c r="J493" s="278"/>
      <c r="K493" s="416"/>
      <c r="M493" s="305"/>
      <c r="W493" s="305"/>
      <c r="X493" s="305"/>
      <c r="Y493" s="305"/>
      <c r="Z493" s="305"/>
      <c r="AA493" s="305"/>
      <c r="AB493" s="305"/>
      <c r="AC493" s="305"/>
      <c r="AD493" s="305"/>
      <c r="AE493" s="305"/>
      <c r="AF493" s="305"/>
    </row>
    <row r="494" spans="1:32" s="52" customFormat="1" ht="14.25" customHeight="1">
      <c r="A494" s="285"/>
      <c r="B494" s="455"/>
      <c r="C494" s="414"/>
      <c r="D494" s="414"/>
      <c r="E494" s="414"/>
      <c r="F494" s="414"/>
      <c r="G494" s="414"/>
      <c r="H494" s="414"/>
      <c r="I494" s="278"/>
      <c r="J494" s="278"/>
      <c r="K494" s="416"/>
      <c r="M494" s="305"/>
      <c r="W494" s="305"/>
      <c r="X494" s="305"/>
      <c r="Y494" s="305"/>
      <c r="Z494" s="305"/>
      <c r="AA494" s="305"/>
      <c r="AB494" s="305"/>
      <c r="AC494" s="305"/>
      <c r="AD494" s="305"/>
      <c r="AE494" s="305"/>
      <c r="AF494" s="305"/>
    </row>
    <row r="495" spans="1:32" s="52" customFormat="1" ht="14.25" customHeight="1">
      <c r="A495" s="285"/>
      <c r="B495" s="455"/>
      <c r="C495" s="414"/>
      <c r="D495" s="414"/>
      <c r="E495" s="414"/>
      <c r="F495" s="414"/>
      <c r="G495" s="414"/>
      <c r="H495" s="414"/>
      <c r="I495" s="278"/>
      <c r="J495" s="278"/>
      <c r="K495" s="394">
        <v>138</v>
      </c>
      <c r="M495" s="305"/>
      <c r="W495" s="305"/>
      <c r="X495" s="305"/>
      <c r="Y495" s="305"/>
      <c r="Z495" s="305"/>
      <c r="AA495" s="305"/>
      <c r="AB495" s="305"/>
      <c r="AC495" s="305"/>
      <c r="AD495" s="305"/>
      <c r="AE495" s="305"/>
      <c r="AF495" s="305"/>
    </row>
    <row r="496" spans="1:32" s="52" customFormat="1" ht="14.25" customHeight="1">
      <c r="A496" s="285"/>
      <c r="B496" s="455"/>
      <c r="C496" s="414"/>
      <c r="D496" s="414"/>
      <c r="E496" s="414"/>
      <c r="F496" s="414"/>
      <c r="G496" s="414"/>
      <c r="H496" s="414"/>
      <c r="I496" s="278"/>
      <c r="J496" s="278"/>
      <c r="K496" s="416"/>
      <c r="M496" s="305"/>
      <c r="W496" s="305"/>
      <c r="X496" s="305"/>
      <c r="Y496" s="305"/>
      <c r="Z496" s="305"/>
      <c r="AA496" s="305"/>
      <c r="AB496" s="305"/>
      <c r="AC496" s="305"/>
      <c r="AD496" s="305"/>
      <c r="AE496" s="305"/>
      <c r="AF496" s="305"/>
    </row>
    <row r="497" spans="1:32" s="52" customFormat="1" ht="14.25" customHeight="1">
      <c r="A497" s="285"/>
      <c r="B497" s="236" t="s">
        <v>477</v>
      </c>
      <c r="C497" s="279"/>
      <c r="D497" s="279"/>
      <c r="E497" s="414"/>
      <c r="F497" s="414"/>
      <c r="G497" s="414"/>
      <c r="H497" s="414"/>
      <c r="I497" s="278"/>
      <c r="J497" s="278"/>
      <c r="K497" s="416"/>
      <c r="M497" s="305"/>
      <c r="W497" s="305"/>
      <c r="X497" s="305"/>
      <c r="Y497" s="305"/>
      <c r="Z497" s="305"/>
      <c r="AA497" s="305"/>
      <c r="AB497" s="305"/>
      <c r="AC497" s="305"/>
      <c r="AD497" s="305"/>
      <c r="AE497" s="305"/>
      <c r="AF497" s="305"/>
    </row>
    <row r="498" spans="1:32" s="52" customFormat="1" ht="14.25" customHeight="1" thickBot="1">
      <c r="A498" s="285"/>
      <c r="B498" s="51"/>
      <c r="C498" s="526"/>
      <c r="D498" s="526"/>
      <c r="E498" s="414"/>
      <c r="F498" s="414"/>
      <c r="G498" s="414"/>
      <c r="H498" s="414"/>
      <c r="I498" s="278"/>
      <c r="J498" s="278"/>
      <c r="K498" s="416"/>
      <c r="M498" s="305"/>
      <c r="W498" s="305"/>
      <c r="X498" s="305"/>
      <c r="Y498" s="305"/>
      <c r="Z498" s="305"/>
      <c r="AA498" s="305"/>
      <c r="AB498" s="305"/>
      <c r="AC498" s="305"/>
      <c r="AD498" s="305"/>
      <c r="AE498" s="305"/>
      <c r="AF498" s="305"/>
    </row>
    <row r="499" spans="1:32" ht="14.25" customHeight="1">
      <c r="B499" s="1481" t="s">
        <v>135</v>
      </c>
      <c r="C499" s="514"/>
      <c r="D499" s="514"/>
      <c r="E499" s="514"/>
      <c r="F499" s="514"/>
      <c r="G499" s="3414" t="s">
        <v>238</v>
      </c>
      <c r="H499" s="3414"/>
      <c r="I499" s="3414"/>
      <c r="J499" s="385"/>
      <c r="M499" s="305"/>
      <c r="W499" s="305"/>
      <c r="X499" s="305"/>
      <c r="Y499" s="305"/>
      <c r="Z499" s="305"/>
      <c r="AA499" s="305"/>
      <c r="AB499" s="305"/>
      <c r="AC499" s="305"/>
      <c r="AD499" s="305"/>
      <c r="AE499" s="305"/>
      <c r="AF499" s="305"/>
    </row>
    <row r="500" spans="1:32" s="52" customFormat="1" ht="14.25" customHeight="1">
      <c r="A500" s="278"/>
      <c r="B500" s="3407"/>
      <c r="C500" s="3332">
        <v>2021</v>
      </c>
      <c r="D500" s="3333"/>
      <c r="E500" s="3333"/>
      <c r="F500" s="3333"/>
      <c r="G500" s="3333"/>
      <c r="H500" s="3333"/>
      <c r="I500" s="3334"/>
      <c r="J500" s="315"/>
      <c r="K500" s="416"/>
      <c r="M500" s="305"/>
      <c r="W500" s="305"/>
      <c r="X500" s="305"/>
      <c r="Y500" s="305"/>
      <c r="Z500" s="305"/>
      <c r="AA500" s="305"/>
      <c r="AB500" s="305"/>
      <c r="AC500" s="305"/>
      <c r="AD500" s="305"/>
      <c r="AE500" s="305"/>
      <c r="AF500" s="305"/>
    </row>
    <row r="501" spans="1:32" s="52" customFormat="1" ht="14.25" customHeight="1">
      <c r="A501" s="394"/>
      <c r="B501" s="3415"/>
      <c r="C501" s="3410" t="s">
        <v>436</v>
      </c>
      <c r="D501" s="3417" t="s">
        <v>437</v>
      </c>
      <c r="E501" s="3412" t="s">
        <v>438</v>
      </c>
      <c r="F501" s="3419"/>
      <c r="G501" s="3410" t="s">
        <v>439</v>
      </c>
      <c r="H501" s="3420" t="s">
        <v>440</v>
      </c>
      <c r="I501" s="3410" t="s">
        <v>118</v>
      </c>
      <c r="J501" s="278"/>
      <c r="K501" s="3406"/>
      <c r="M501" s="305"/>
      <c r="W501" s="305"/>
      <c r="X501" s="305"/>
      <c r="Y501" s="305"/>
      <c r="Z501" s="305"/>
      <c r="AA501" s="305"/>
      <c r="AB501" s="305"/>
      <c r="AC501" s="305"/>
      <c r="AD501" s="305"/>
      <c r="AE501" s="305"/>
      <c r="AF501" s="305"/>
    </row>
    <row r="502" spans="1:32" s="52" customFormat="1" ht="14.25" customHeight="1" thickBot="1">
      <c r="A502" s="394"/>
      <c r="B502" s="3416"/>
      <c r="C502" s="3411"/>
      <c r="D502" s="3418"/>
      <c r="E502" s="1506" t="s">
        <v>442</v>
      </c>
      <c r="F502" s="1505" t="s">
        <v>443</v>
      </c>
      <c r="G502" s="3411"/>
      <c r="H502" s="3421"/>
      <c r="I502" s="3411"/>
      <c r="J502" s="278"/>
      <c r="K502" s="3406"/>
      <c r="M502" s="305"/>
      <c r="W502" s="305"/>
      <c r="X502" s="305"/>
      <c r="Y502" s="305"/>
      <c r="Z502" s="305"/>
      <c r="AA502" s="305"/>
      <c r="AB502" s="305"/>
      <c r="AC502" s="305"/>
      <c r="AD502" s="305"/>
      <c r="AE502" s="305"/>
      <c r="AF502" s="305"/>
    </row>
    <row r="503" spans="1:32" s="52" customFormat="1" ht="14.25" customHeight="1">
      <c r="A503" s="285"/>
      <c r="B503" s="1478" t="s">
        <v>342</v>
      </c>
      <c r="C503" s="2385">
        <v>14488</v>
      </c>
      <c r="D503" s="2280"/>
      <c r="E503" s="816">
        <v>81874</v>
      </c>
      <c r="F503" s="2280">
        <v>526850</v>
      </c>
      <c r="G503" s="2285">
        <v>16522</v>
      </c>
      <c r="H503" s="2280">
        <v>250373</v>
      </c>
      <c r="I503" s="1520">
        <f t="shared" ref="I503:I515" si="28">H503+G503+F503+E503+D503+C503</f>
        <v>890107</v>
      </c>
      <c r="J503" s="278"/>
      <c r="K503" s="429"/>
      <c r="L503" s="305"/>
      <c r="M503" s="305"/>
      <c r="N503" s="305"/>
      <c r="O503" s="305"/>
      <c r="P503" s="305"/>
      <c r="Q503" s="305"/>
      <c r="R503" s="305"/>
      <c r="W503" s="305"/>
      <c r="X503" s="305"/>
      <c r="Y503" s="305"/>
      <c r="Z503" s="305"/>
      <c r="AA503" s="305"/>
      <c r="AB503" s="305"/>
      <c r="AC503" s="305"/>
      <c r="AD503" s="305"/>
      <c r="AE503" s="305"/>
      <c r="AF503" s="305"/>
    </row>
    <row r="504" spans="1:32" s="52" customFormat="1" ht="14.25" customHeight="1">
      <c r="A504" s="285"/>
      <c r="B504" s="2246" t="s">
        <v>444</v>
      </c>
      <c r="C504" s="817"/>
      <c r="D504" s="818"/>
      <c r="E504" s="817"/>
      <c r="F504" s="818"/>
      <c r="G504" s="817"/>
      <c r="H504" s="818"/>
      <c r="I504" s="2363">
        <f t="shared" si="28"/>
        <v>0</v>
      </c>
      <c r="J504" s="278"/>
      <c r="K504" s="429"/>
      <c r="L504" s="305"/>
      <c r="M504" s="305"/>
      <c r="N504" s="305"/>
      <c r="O504" s="305"/>
      <c r="P504" s="305"/>
      <c r="Q504" s="305"/>
      <c r="R504" s="305"/>
      <c r="W504" s="305"/>
      <c r="X504" s="305"/>
      <c r="Y504" s="305"/>
      <c r="Z504" s="305"/>
      <c r="AA504" s="305"/>
      <c r="AB504" s="305"/>
      <c r="AC504" s="305"/>
      <c r="AD504" s="305"/>
      <c r="AE504" s="305"/>
      <c r="AF504" s="305"/>
    </row>
    <row r="505" spans="1:32" s="52" customFormat="1" ht="14.25" customHeight="1">
      <c r="A505" s="285"/>
      <c r="B505" s="2246" t="s">
        <v>445</v>
      </c>
      <c r="C505" s="817">
        <v>-4931</v>
      </c>
      <c r="D505" s="818"/>
      <c r="E505" s="817"/>
      <c r="F505" s="818">
        <v>-10063</v>
      </c>
      <c r="G505" s="817"/>
      <c r="H505" s="818">
        <v>-6807</v>
      </c>
      <c r="I505" s="2363">
        <f t="shared" si="28"/>
        <v>-21801</v>
      </c>
      <c r="J505" s="278"/>
      <c r="K505" s="429"/>
      <c r="L505" s="305"/>
      <c r="M505" s="305"/>
      <c r="N505" s="305"/>
      <c r="O505" s="305"/>
      <c r="P505" s="305"/>
      <c r="Q505" s="305"/>
      <c r="R505" s="305"/>
      <c r="W505" s="305"/>
      <c r="X505" s="305"/>
      <c r="Y505" s="305"/>
      <c r="Z505" s="305"/>
      <c r="AA505" s="305"/>
      <c r="AB505" s="305"/>
      <c r="AC505" s="305"/>
      <c r="AD505" s="305"/>
      <c r="AE505" s="305"/>
      <c r="AF505" s="305"/>
    </row>
    <row r="506" spans="1:32" s="52" customFormat="1" ht="14.25" customHeight="1">
      <c r="A506" s="285"/>
      <c r="B506" s="2246" t="s">
        <v>446</v>
      </c>
      <c r="C506" s="817">
        <v>-3758</v>
      </c>
      <c r="D506" s="818"/>
      <c r="E506" s="817"/>
      <c r="F506" s="818">
        <v>-15257</v>
      </c>
      <c r="G506" s="817">
        <v>-3060</v>
      </c>
      <c r="H506" s="818">
        <v>-80746</v>
      </c>
      <c r="I506" s="2363">
        <f t="shared" si="28"/>
        <v>-102821</v>
      </c>
      <c r="J506" s="278"/>
      <c r="K506" s="416"/>
      <c r="L506" s="305"/>
      <c r="M506" s="305"/>
      <c r="N506" s="305"/>
      <c r="O506" s="305"/>
      <c r="P506" s="305"/>
      <c r="Q506" s="305"/>
      <c r="R506" s="305"/>
      <c r="W506" s="305"/>
      <c r="X506" s="305"/>
      <c r="Y506" s="305"/>
      <c r="Z506" s="305"/>
      <c r="AA506" s="305"/>
      <c r="AB506" s="305"/>
      <c r="AC506" s="305"/>
      <c r="AD506" s="305"/>
      <c r="AE506" s="305"/>
      <c r="AF506" s="305"/>
    </row>
    <row r="507" spans="1:32" s="52" customFormat="1" ht="14.25" customHeight="1">
      <c r="A507" s="285"/>
      <c r="B507" s="2248" t="s">
        <v>447</v>
      </c>
      <c r="C507" s="2365">
        <v>5799</v>
      </c>
      <c r="D507" s="2364"/>
      <c r="E507" s="2365">
        <v>81874</v>
      </c>
      <c r="F507" s="2364">
        <v>501530</v>
      </c>
      <c r="G507" s="2365">
        <v>13462</v>
      </c>
      <c r="H507" s="2364">
        <v>162819</v>
      </c>
      <c r="I507" s="2290">
        <f t="shared" si="28"/>
        <v>765484</v>
      </c>
      <c r="J507" s="278"/>
      <c r="K507" s="416"/>
      <c r="L507" s="305"/>
      <c r="M507" s="305"/>
      <c r="N507" s="305"/>
      <c r="O507" s="305"/>
      <c r="P507" s="305"/>
      <c r="Q507" s="305"/>
      <c r="R507" s="305"/>
      <c r="W507" s="305"/>
      <c r="X507" s="305"/>
      <c r="Y507" s="305"/>
      <c r="Z507" s="305"/>
      <c r="AA507" s="305"/>
      <c r="AB507" s="305"/>
      <c r="AC507" s="305"/>
      <c r="AD507" s="305"/>
      <c r="AE507" s="305"/>
      <c r="AF507" s="305"/>
    </row>
    <row r="508" spans="1:32" s="52" customFormat="1" ht="14.25" customHeight="1">
      <c r="A508" s="285"/>
      <c r="B508" s="2246" t="s">
        <v>448</v>
      </c>
      <c r="C508" s="2285">
        <v>-452</v>
      </c>
      <c r="D508" s="2280"/>
      <c r="E508" s="2285">
        <v>-489</v>
      </c>
      <c r="F508" s="2280">
        <v>-6484</v>
      </c>
      <c r="G508" s="2285">
        <v>-1098</v>
      </c>
      <c r="H508" s="2280">
        <v>721</v>
      </c>
      <c r="I508" s="2363">
        <f t="shared" si="28"/>
        <v>-7802</v>
      </c>
      <c r="J508" s="278"/>
      <c r="K508" s="416"/>
      <c r="L508" s="305"/>
      <c r="M508" s="305"/>
      <c r="N508" s="305"/>
      <c r="O508" s="305"/>
      <c r="P508" s="305"/>
      <c r="Q508" s="305"/>
      <c r="R508" s="305"/>
      <c r="W508" s="305"/>
      <c r="X508" s="305"/>
      <c r="Y508" s="305"/>
      <c r="Z508" s="305"/>
      <c r="AA508" s="305"/>
      <c r="AB508" s="305"/>
      <c r="AC508" s="305"/>
      <c r="AD508" s="305"/>
      <c r="AE508" s="305"/>
      <c r="AF508" s="305"/>
    </row>
    <row r="509" spans="1:32" s="52" customFormat="1" ht="14.25" customHeight="1">
      <c r="A509" s="285"/>
      <c r="B509" s="2248" t="s">
        <v>449</v>
      </c>
      <c r="C509" s="2365">
        <v>5347</v>
      </c>
      <c r="D509" s="2364"/>
      <c r="E509" s="2365">
        <v>81386</v>
      </c>
      <c r="F509" s="2364">
        <v>495047</v>
      </c>
      <c r="G509" s="2365">
        <v>12365</v>
      </c>
      <c r="H509" s="2364">
        <v>163540</v>
      </c>
      <c r="I509" s="2290">
        <f t="shared" si="28"/>
        <v>757685</v>
      </c>
      <c r="J509" s="278"/>
      <c r="K509" s="416"/>
      <c r="L509" s="305"/>
      <c r="M509" s="305"/>
      <c r="N509" s="305"/>
      <c r="O509" s="305"/>
      <c r="P509" s="305"/>
      <c r="Q509" s="305"/>
      <c r="R509" s="305"/>
      <c r="W509" s="305"/>
      <c r="X509" s="305"/>
      <c r="Y509" s="305"/>
      <c r="Z509" s="305"/>
      <c r="AA509" s="305"/>
      <c r="AB509" s="305"/>
      <c r="AC509" s="305"/>
      <c r="AD509" s="305"/>
      <c r="AE509" s="305"/>
      <c r="AF509" s="305"/>
    </row>
    <row r="510" spans="1:32" s="52" customFormat="1" ht="14.25" customHeight="1">
      <c r="A510" s="285"/>
      <c r="B510" s="2246"/>
      <c r="C510" s="2369"/>
      <c r="D510" s="2368"/>
      <c r="E510" s="2369"/>
      <c r="F510" s="2368"/>
      <c r="G510" s="2369"/>
      <c r="H510" s="2368"/>
      <c r="I510" s="2363">
        <f t="shared" si="28"/>
        <v>0</v>
      </c>
      <c r="J510" s="278"/>
      <c r="K510" s="416"/>
      <c r="L510" s="305"/>
      <c r="M510" s="305"/>
      <c r="N510" s="305"/>
      <c r="O510" s="305"/>
      <c r="P510" s="305"/>
      <c r="Q510" s="305"/>
      <c r="R510" s="305"/>
      <c r="W510" s="305"/>
      <c r="X510" s="305"/>
      <c r="Y510" s="305"/>
      <c r="Z510" s="305"/>
      <c r="AA510" s="305"/>
      <c r="AB510" s="305"/>
      <c r="AC510" s="305"/>
      <c r="AD510" s="305"/>
      <c r="AE510" s="305"/>
      <c r="AF510" s="305"/>
    </row>
    <row r="511" spans="1:32" s="52" customFormat="1" ht="14.25" customHeight="1">
      <c r="A511" s="285"/>
      <c r="B511" s="2248" t="s">
        <v>450</v>
      </c>
      <c r="C511" s="2369"/>
      <c r="D511" s="2368"/>
      <c r="E511" s="2369"/>
      <c r="F511" s="2368"/>
      <c r="G511" s="2369"/>
      <c r="H511" s="2368"/>
      <c r="I511" s="2363">
        <f t="shared" si="28"/>
        <v>0</v>
      </c>
      <c r="J511" s="278"/>
      <c r="K511" s="416"/>
      <c r="L511" s="305"/>
      <c r="M511" s="305"/>
      <c r="N511" s="305"/>
      <c r="O511" s="305"/>
      <c r="P511" s="305"/>
      <c r="Q511" s="305"/>
      <c r="R511" s="305"/>
      <c r="W511" s="305"/>
      <c r="X511" s="305"/>
      <c r="Y511" s="305"/>
      <c r="Z511" s="305"/>
      <c r="AA511" s="305"/>
      <c r="AB511" s="305"/>
      <c r="AC511" s="305"/>
      <c r="AD511" s="305"/>
      <c r="AE511" s="305"/>
      <c r="AF511" s="305"/>
    </row>
    <row r="512" spans="1:32" s="52" customFormat="1" ht="29.25" customHeight="1">
      <c r="A512" s="285"/>
      <c r="B512" s="2246" t="s">
        <v>451</v>
      </c>
      <c r="C512" s="2285">
        <v>-5430</v>
      </c>
      <c r="D512" s="2280"/>
      <c r="E512" s="2285">
        <v>-214</v>
      </c>
      <c r="F512" s="2280">
        <v>-228937</v>
      </c>
      <c r="G512" s="2285">
        <v>-5034</v>
      </c>
      <c r="H512" s="2280">
        <v>-30348</v>
      </c>
      <c r="I512" s="2363">
        <f t="shared" si="28"/>
        <v>-269963</v>
      </c>
      <c r="J512" s="315"/>
      <c r="K512" s="416"/>
      <c r="L512" s="305"/>
      <c r="M512" s="305"/>
      <c r="N512" s="305"/>
      <c r="O512" s="305"/>
      <c r="P512" s="305"/>
      <c r="Q512" s="305"/>
      <c r="R512" s="305"/>
      <c r="W512" s="305"/>
      <c r="X512" s="305"/>
      <c r="Y512" s="305"/>
      <c r="Z512" s="305"/>
      <c r="AA512" s="305"/>
      <c r="AB512" s="305"/>
      <c r="AC512" s="305"/>
      <c r="AD512" s="305"/>
      <c r="AE512" s="305"/>
      <c r="AF512" s="305"/>
    </row>
    <row r="513" spans="1:32" s="52" customFormat="1" ht="14.25" customHeight="1">
      <c r="A513" s="285"/>
      <c r="B513" s="2246" t="s">
        <v>452</v>
      </c>
      <c r="C513" s="817">
        <v>-508</v>
      </c>
      <c r="D513" s="818"/>
      <c r="E513" s="817"/>
      <c r="F513" s="818"/>
      <c r="G513" s="817"/>
      <c r="H513" s="818">
        <v>-27248</v>
      </c>
      <c r="I513" s="2363">
        <f t="shared" si="28"/>
        <v>-27756</v>
      </c>
      <c r="J513" s="315"/>
      <c r="K513" s="416"/>
      <c r="L513" s="305"/>
      <c r="M513" s="305"/>
      <c r="N513" s="305"/>
      <c r="O513" s="305"/>
      <c r="P513" s="305"/>
      <c r="Q513" s="305"/>
      <c r="R513" s="305"/>
      <c r="W513" s="305"/>
      <c r="X513" s="305"/>
      <c r="Y513" s="305"/>
      <c r="Z513" s="305"/>
      <c r="AA513" s="305"/>
      <c r="AB513" s="305"/>
      <c r="AC513" s="305"/>
      <c r="AD513" s="305"/>
      <c r="AE513" s="305"/>
      <c r="AF513" s="305"/>
    </row>
    <row r="514" spans="1:32" s="52" customFormat="1" ht="14.25" customHeight="1">
      <c r="A514" s="285"/>
      <c r="B514" s="2246" t="s">
        <v>453</v>
      </c>
      <c r="C514" s="817"/>
      <c r="D514" s="818"/>
      <c r="E514" s="817"/>
      <c r="F514" s="818">
        <v>-45894</v>
      </c>
      <c r="G514" s="836"/>
      <c r="H514" s="837"/>
      <c r="I514" s="2363">
        <f t="shared" si="28"/>
        <v>-45894</v>
      </c>
      <c r="J514" s="315"/>
      <c r="K514" s="416"/>
      <c r="L514" s="305"/>
      <c r="M514" s="305"/>
      <c r="N514" s="305"/>
      <c r="O514" s="305"/>
      <c r="P514" s="305"/>
      <c r="Q514" s="305"/>
      <c r="R514" s="305"/>
      <c r="W514" s="305"/>
      <c r="X514" s="305"/>
      <c r="Y514" s="305"/>
      <c r="Z514" s="305"/>
      <c r="AA514" s="305"/>
      <c r="AB514" s="305"/>
      <c r="AC514" s="305"/>
      <c r="AD514" s="305"/>
      <c r="AE514" s="305"/>
      <c r="AF514" s="305"/>
    </row>
    <row r="515" spans="1:32" s="52" customFormat="1" ht="14.25" customHeight="1">
      <c r="A515" s="285"/>
      <c r="B515" s="2248" t="s">
        <v>454</v>
      </c>
      <c r="C515" s="2365">
        <v>-591</v>
      </c>
      <c r="D515" s="2364">
        <v>0</v>
      </c>
      <c r="E515" s="2365">
        <v>81172</v>
      </c>
      <c r="F515" s="2364">
        <v>220216</v>
      </c>
      <c r="G515" s="2365">
        <v>7331</v>
      </c>
      <c r="H515" s="2364">
        <v>105944</v>
      </c>
      <c r="I515" s="2290">
        <f t="shared" si="28"/>
        <v>414072</v>
      </c>
      <c r="J515" s="278"/>
      <c r="K515" s="432"/>
      <c r="L515" s="305"/>
      <c r="M515" s="305"/>
      <c r="N515" s="305"/>
      <c r="O515" s="305"/>
      <c r="P515" s="305"/>
      <c r="Q515" s="305"/>
      <c r="R515" s="305"/>
      <c r="W515" s="305"/>
      <c r="X515" s="305"/>
      <c r="Y515" s="305"/>
      <c r="Z515" s="305"/>
      <c r="AA515" s="305"/>
      <c r="AB515" s="305"/>
      <c r="AC515" s="305"/>
      <c r="AD515" s="305"/>
      <c r="AE515" s="305"/>
      <c r="AF515" s="305"/>
    </row>
    <row r="516" spans="1:32" s="52" customFormat="1" ht="14.25" customHeight="1">
      <c r="A516" s="285"/>
      <c r="B516" s="2246"/>
      <c r="C516" s="2373"/>
      <c r="D516" s="2372"/>
      <c r="E516" s="2373"/>
      <c r="F516" s="2372"/>
      <c r="G516" s="2373"/>
      <c r="H516" s="2372"/>
      <c r="I516" s="2363"/>
      <c r="J516" s="278"/>
      <c r="K516" s="416"/>
      <c r="M516" s="305"/>
      <c r="W516" s="305"/>
      <c r="X516" s="305"/>
      <c r="Y516" s="305"/>
      <c r="Z516" s="305"/>
      <c r="AA516" s="305"/>
      <c r="AB516" s="305"/>
      <c r="AC516" s="305"/>
      <c r="AD516" s="305"/>
      <c r="AE516" s="305"/>
      <c r="AF516" s="305"/>
    </row>
    <row r="517" spans="1:32" s="52" customFormat="1" ht="14.25" customHeight="1">
      <c r="A517" s="285"/>
      <c r="B517" s="2248" t="s">
        <v>455</v>
      </c>
      <c r="C517" s="2373"/>
      <c r="D517" s="2372"/>
      <c r="E517" s="2373"/>
      <c r="F517" s="2372"/>
      <c r="G517" s="2373"/>
      <c r="H517" s="2372"/>
      <c r="I517" s="2290">
        <f>SUM(I518:I523)</f>
        <v>210846</v>
      </c>
      <c r="J517" s="278"/>
      <c r="K517" s="416"/>
      <c r="M517" s="305"/>
      <c r="W517" s="305"/>
      <c r="X517" s="305"/>
      <c r="Y517" s="305"/>
      <c r="Z517" s="305"/>
      <c r="AA517" s="305"/>
      <c r="AB517" s="305"/>
      <c r="AC517" s="305"/>
      <c r="AD517" s="305"/>
      <c r="AE517" s="305"/>
      <c r="AF517" s="305"/>
    </row>
    <row r="518" spans="1:32" s="52" customFormat="1" ht="14.25" customHeight="1">
      <c r="A518" s="285"/>
      <c r="B518" s="2246" t="s">
        <v>456</v>
      </c>
      <c r="C518" s="2373"/>
      <c r="D518" s="2372"/>
      <c r="E518" s="2373"/>
      <c r="F518" s="2372"/>
      <c r="G518" s="2373"/>
      <c r="H518" s="2372"/>
      <c r="I518" s="2386">
        <v>135738</v>
      </c>
      <c r="J518" s="278"/>
      <c r="K518" s="416"/>
      <c r="M518" s="305"/>
      <c r="W518" s="305"/>
      <c r="X518" s="305"/>
      <c r="Y518" s="305"/>
      <c r="Z518" s="305"/>
      <c r="AA518" s="305"/>
      <c r="AB518" s="305"/>
      <c r="AC518" s="305"/>
      <c r="AD518" s="305"/>
      <c r="AE518" s="305"/>
      <c r="AF518" s="305"/>
    </row>
    <row r="519" spans="1:32" s="52" customFormat="1" ht="14.25" customHeight="1">
      <c r="A519" s="285"/>
      <c r="B519" s="2246" t="s">
        <v>472</v>
      </c>
      <c r="C519" s="2373"/>
      <c r="D519" s="2372"/>
      <c r="E519" s="2373"/>
      <c r="F519" s="2372"/>
      <c r="G519" s="2373"/>
      <c r="H519" s="2372"/>
      <c r="I519" s="1526">
        <v>71354</v>
      </c>
      <c r="J519" s="278"/>
      <c r="K519" s="416"/>
      <c r="M519" s="305"/>
      <c r="W519" s="305"/>
      <c r="X519" s="305"/>
      <c r="Y519" s="305"/>
      <c r="Z519" s="305"/>
      <c r="AA519" s="305"/>
      <c r="AB519" s="305"/>
      <c r="AC519" s="305"/>
      <c r="AD519" s="305"/>
      <c r="AE519" s="305"/>
      <c r="AF519" s="305"/>
    </row>
    <row r="520" spans="1:32" s="52" customFormat="1" ht="14.25" customHeight="1">
      <c r="A520" s="285"/>
      <c r="B520" s="2246" t="s">
        <v>458</v>
      </c>
      <c r="C520" s="2373"/>
      <c r="D520" s="2372"/>
      <c r="E520" s="2373"/>
      <c r="F520" s="2372"/>
      <c r="G520" s="2373"/>
      <c r="H520" s="2372"/>
      <c r="I520" s="1526"/>
      <c r="J520" s="278"/>
      <c r="K520" s="416"/>
      <c r="M520" s="305"/>
      <c r="W520" s="305"/>
      <c r="X520" s="305"/>
      <c r="Y520" s="305"/>
      <c r="Z520" s="305"/>
      <c r="AA520" s="305"/>
      <c r="AB520" s="305"/>
      <c r="AC520" s="305"/>
      <c r="AD520" s="305"/>
      <c r="AE520" s="305"/>
      <c r="AF520" s="305"/>
    </row>
    <row r="521" spans="1:32" s="52" customFormat="1" ht="14.25" customHeight="1">
      <c r="A521" s="285"/>
      <c r="B521" s="2246" t="s">
        <v>459</v>
      </c>
      <c r="C521" s="2373"/>
      <c r="D521" s="2372"/>
      <c r="E521" s="2373"/>
      <c r="F521" s="2372"/>
      <c r="G521" s="2373"/>
      <c r="H521" s="2372"/>
      <c r="I521" s="1526">
        <v>-29078</v>
      </c>
      <c r="J521" s="278"/>
      <c r="K521" s="416"/>
      <c r="M521" s="305"/>
      <c r="W521" s="305"/>
      <c r="X521" s="305"/>
      <c r="Y521" s="305"/>
      <c r="Z521" s="305"/>
      <c r="AA521" s="305"/>
      <c r="AB521" s="305"/>
      <c r="AC521" s="305"/>
      <c r="AD521" s="305"/>
      <c r="AE521" s="305"/>
      <c r="AF521" s="305"/>
    </row>
    <row r="522" spans="1:32" s="52" customFormat="1" ht="14.25" customHeight="1">
      <c r="A522" s="285"/>
      <c r="B522" s="2246" t="s">
        <v>460</v>
      </c>
      <c r="C522" s="2373"/>
      <c r="D522" s="2372"/>
      <c r="E522" s="2373"/>
      <c r="F522" s="2372"/>
      <c r="G522" s="2373"/>
      <c r="H522" s="2372"/>
      <c r="I522" s="1526">
        <v>32832</v>
      </c>
      <c r="J522" s="278"/>
      <c r="K522" s="416"/>
      <c r="M522" s="305"/>
      <c r="W522" s="305"/>
      <c r="X522" s="305"/>
      <c r="Y522" s="305"/>
      <c r="Z522" s="305"/>
      <c r="AA522" s="305"/>
      <c r="AB522" s="305"/>
      <c r="AC522" s="305"/>
      <c r="AD522" s="305"/>
      <c r="AE522" s="305"/>
      <c r="AF522" s="305"/>
    </row>
    <row r="523" spans="1:32" s="52" customFormat="1" ht="14.25" customHeight="1">
      <c r="A523" s="285"/>
      <c r="B523" s="2246"/>
      <c r="C523" s="2373"/>
      <c r="D523" s="2372"/>
      <c r="E523" s="2373"/>
      <c r="F523" s="2372"/>
      <c r="G523" s="2373"/>
      <c r="H523" s="2372"/>
      <c r="I523" s="2363"/>
      <c r="J523" s="278"/>
      <c r="K523" s="416"/>
      <c r="M523" s="305"/>
      <c r="W523" s="305"/>
      <c r="X523" s="305"/>
      <c r="Y523" s="305"/>
      <c r="Z523" s="305"/>
      <c r="AA523" s="305"/>
      <c r="AB523" s="305"/>
      <c r="AC523" s="305"/>
      <c r="AD523" s="305"/>
      <c r="AE523" s="305"/>
      <c r="AF523" s="305"/>
    </row>
    <row r="524" spans="1:32" s="52" customFormat="1" ht="14.25" customHeight="1">
      <c r="A524" s="285"/>
      <c r="B524" s="2248" t="s">
        <v>461</v>
      </c>
      <c r="C524" s="2373"/>
      <c r="D524" s="2372"/>
      <c r="E524" s="2373"/>
      <c r="F524" s="2372"/>
      <c r="G524" s="2373"/>
      <c r="H524" s="2372"/>
      <c r="I524" s="2363">
        <f>I525+I526</f>
        <v>-540011</v>
      </c>
      <c r="J524" s="278"/>
      <c r="K524" s="416"/>
      <c r="M524" s="305"/>
      <c r="W524" s="305"/>
      <c r="X524" s="305"/>
      <c r="Y524" s="305"/>
      <c r="Z524" s="305"/>
      <c r="AA524" s="305"/>
      <c r="AB524" s="305"/>
      <c r="AC524" s="305"/>
      <c r="AD524" s="305"/>
      <c r="AE524" s="305"/>
      <c r="AF524" s="305"/>
    </row>
    <row r="525" spans="1:32" s="52" customFormat="1" ht="28.15" customHeight="1">
      <c r="A525" s="285"/>
      <c r="B525" s="2246" t="s">
        <v>462</v>
      </c>
      <c r="C525" s="2373"/>
      <c r="D525" s="2372"/>
      <c r="E525" s="2373"/>
      <c r="F525" s="2372"/>
      <c r="G525" s="2373"/>
      <c r="H525" s="2372"/>
      <c r="I525" s="2384">
        <v>-540011</v>
      </c>
      <c r="J525" s="278"/>
      <c r="K525" s="416"/>
      <c r="M525" s="305"/>
      <c r="W525" s="305"/>
      <c r="X525" s="305"/>
      <c r="Y525" s="305"/>
      <c r="Z525" s="305"/>
      <c r="AA525" s="305"/>
      <c r="AB525" s="305"/>
      <c r="AC525" s="305"/>
      <c r="AD525" s="305"/>
      <c r="AE525" s="305"/>
      <c r="AF525" s="305"/>
    </row>
    <row r="526" spans="1:32" s="52" customFormat="1" ht="28.15" customHeight="1">
      <c r="A526" s="285"/>
      <c r="B526" s="2246" t="s">
        <v>463</v>
      </c>
      <c r="C526" s="2373"/>
      <c r="D526" s="2372"/>
      <c r="E526" s="2373"/>
      <c r="F526" s="2372"/>
      <c r="G526" s="2373"/>
      <c r="H526" s="2372"/>
      <c r="I526" s="2363"/>
      <c r="J526" s="278"/>
      <c r="K526" s="416"/>
      <c r="M526" s="305"/>
      <c r="W526" s="305"/>
      <c r="X526" s="305"/>
      <c r="Y526" s="305"/>
      <c r="Z526" s="305"/>
      <c r="AA526" s="305"/>
      <c r="AB526" s="305"/>
      <c r="AC526" s="305"/>
      <c r="AD526" s="305"/>
      <c r="AE526" s="305"/>
      <c r="AF526" s="305"/>
    </row>
    <row r="527" spans="1:32" s="52" customFormat="1" ht="14.25" customHeight="1">
      <c r="A527" s="285"/>
      <c r="B527" s="2248" t="s">
        <v>464</v>
      </c>
      <c r="C527" s="2373"/>
      <c r="D527" s="2372"/>
      <c r="E527" s="2373"/>
      <c r="F527" s="2372"/>
      <c r="G527" s="2373"/>
      <c r="H527" s="2372"/>
      <c r="I527" s="2290">
        <f>+I515+I517+I525</f>
        <v>84907</v>
      </c>
      <c r="J527" s="278"/>
      <c r="K527" s="416"/>
      <c r="M527" s="305"/>
      <c r="W527" s="305"/>
      <c r="X527" s="305"/>
      <c r="Y527" s="305"/>
      <c r="Z527" s="305"/>
      <c r="AA527" s="305"/>
      <c r="AB527" s="305"/>
      <c r="AC527" s="305"/>
      <c r="AD527" s="305"/>
      <c r="AE527" s="305"/>
      <c r="AF527" s="305"/>
    </row>
    <row r="528" spans="1:32" s="52" customFormat="1" ht="14.25" customHeight="1">
      <c r="A528" s="285"/>
      <c r="B528" s="2246" t="s">
        <v>465</v>
      </c>
      <c r="C528" s="2373"/>
      <c r="D528" s="2372"/>
      <c r="E528" s="2373"/>
      <c r="F528" s="2372"/>
      <c r="G528" s="2373"/>
      <c r="H528" s="2372"/>
      <c r="I528" s="2384">
        <v>-15748</v>
      </c>
      <c r="J528" s="278"/>
      <c r="K528" s="416"/>
      <c r="M528" s="305"/>
      <c r="W528" s="305"/>
      <c r="X528" s="305"/>
      <c r="Y528" s="305"/>
      <c r="Z528" s="305"/>
      <c r="AA528" s="305"/>
      <c r="AB528" s="305"/>
      <c r="AC528" s="305"/>
      <c r="AD528" s="305"/>
      <c r="AE528" s="305"/>
      <c r="AF528" s="305"/>
    </row>
    <row r="529" spans="1:32" s="52" customFormat="1" ht="14.25" customHeight="1">
      <c r="A529" s="285"/>
      <c r="B529" s="2248" t="s">
        <v>466</v>
      </c>
      <c r="C529" s="2373"/>
      <c r="D529" s="2372"/>
      <c r="E529" s="2373"/>
      <c r="F529" s="2372"/>
      <c r="G529" s="2373"/>
      <c r="H529" s="2372"/>
      <c r="I529" s="2290">
        <f>SUM(I527:I528)</f>
        <v>69159</v>
      </c>
      <c r="J529" s="278"/>
      <c r="K529" s="416"/>
      <c r="M529" s="305"/>
      <c r="W529" s="305"/>
      <c r="X529" s="305"/>
      <c r="Y529" s="305"/>
      <c r="Z529" s="305"/>
      <c r="AA529" s="305"/>
      <c r="AB529" s="305"/>
      <c r="AC529" s="305"/>
      <c r="AD529" s="305"/>
      <c r="AE529" s="305"/>
      <c r="AF529" s="305"/>
    </row>
    <row r="530" spans="1:32" s="52" customFormat="1" ht="14.25" customHeight="1">
      <c r="A530" s="285"/>
      <c r="B530" s="2246" t="s">
        <v>467</v>
      </c>
      <c r="C530" s="2373"/>
      <c r="D530" s="2372"/>
      <c r="E530" s="2373"/>
      <c r="F530" s="2372"/>
      <c r="G530" s="2373"/>
      <c r="H530" s="2372"/>
      <c r="I530" s="2384">
        <v>-21816</v>
      </c>
      <c r="J530" s="278"/>
      <c r="K530" s="416"/>
      <c r="M530" s="305"/>
      <c r="W530" s="305"/>
      <c r="X530" s="305"/>
      <c r="Y530" s="305"/>
      <c r="Z530" s="305"/>
      <c r="AA530" s="305"/>
      <c r="AB530" s="305"/>
      <c r="AC530" s="305"/>
      <c r="AD530" s="305"/>
      <c r="AE530" s="305"/>
      <c r="AF530" s="305"/>
    </row>
    <row r="531" spans="1:32" s="52" customFormat="1" ht="14.25" customHeight="1" thickBot="1">
      <c r="A531" s="285"/>
      <c r="B531" s="1501" t="s">
        <v>468</v>
      </c>
      <c r="C531" s="835"/>
      <c r="D531" s="1113"/>
      <c r="E531" s="835"/>
      <c r="F531" s="1113"/>
      <c r="G531" s="835"/>
      <c r="H531" s="1113"/>
      <c r="I531" s="1493">
        <f>SUM(I529:I530)</f>
        <v>47343</v>
      </c>
      <c r="J531" s="278"/>
      <c r="K531" s="416"/>
      <c r="M531" s="305"/>
      <c r="W531" s="305"/>
      <c r="X531" s="305"/>
      <c r="Y531" s="305"/>
      <c r="Z531" s="305"/>
      <c r="AA531" s="305"/>
      <c r="AB531" s="305"/>
      <c r="AC531" s="305"/>
      <c r="AD531" s="305"/>
      <c r="AE531" s="305"/>
      <c r="AF531" s="305"/>
    </row>
    <row r="532" spans="1:32" s="52" customFormat="1" ht="14.25" customHeight="1">
      <c r="A532" s="285"/>
      <c r="B532" s="455"/>
      <c r="C532" s="414"/>
      <c r="D532" s="414"/>
      <c r="E532" s="414"/>
      <c r="F532" s="414"/>
      <c r="G532" s="414"/>
      <c r="H532" s="414"/>
      <c r="I532" s="278"/>
      <c r="J532" s="278"/>
      <c r="K532" s="416"/>
      <c r="M532" s="305"/>
      <c r="W532" s="305"/>
      <c r="X532" s="305"/>
      <c r="Y532" s="305"/>
      <c r="Z532" s="305"/>
      <c r="AA532" s="305"/>
      <c r="AB532" s="305"/>
      <c r="AC532" s="305"/>
      <c r="AD532" s="305"/>
      <c r="AE532" s="305"/>
      <c r="AF532" s="305"/>
    </row>
    <row r="533" spans="1:32" s="52" customFormat="1" ht="14.25" customHeight="1">
      <c r="A533" s="285"/>
      <c r="B533" s="455"/>
      <c r="C533" s="414"/>
      <c r="D533" s="414"/>
      <c r="E533" s="414"/>
      <c r="F533" s="414"/>
      <c r="G533" s="414"/>
      <c r="H533" s="414"/>
      <c r="I533" s="278"/>
      <c r="J533" s="278"/>
      <c r="K533" s="394">
        <v>139</v>
      </c>
      <c r="M533" s="305"/>
      <c r="W533" s="305"/>
      <c r="X533" s="305"/>
      <c r="Y533" s="305"/>
      <c r="Z533" s="305"/>
      <c r="AA533" s="305"/>
      <c r="AB533" s="305"/>
      <c r="AC533" s="305"/>
      <c r="AD533" s="305"/>
      <c r="AE533" s="305"/>
      <c r="AF533" s="305"/>
    </row>
    <row r="534" spans="1:32" s="52" customFormat="1" ht="14.25" customHeight="1">
      <c r="A534" s="285"/>
      <c r="B534" s="391"/>
      <c r="C534" s="264"/>
      <c r="D534" s="264"/>
      <c r="E534" s="264"/>
      <c r="F534" s="264"/>
      <c r="G534" s="264"/>
      <c r="H534" s="264"/>
      <c r="I534" s="278"/>
      <c r="J534" s="278"/>
      <c r="K534" s="416"/>
      <c r="M534" s="305"/>
      <c r="W534" s="305"/>
      <c r="X534" s="305"/>
      <c r="Y534" s="305"/>
      <c r="Z534" s="305"/>
      <c r="AA534" s="305"/>
      <c r="AB534" s="305"/>
      <c r="AC534" s="305"/>
      <c r="AD534" s="305"/>
      <c r="AE534" s="305"/>
      <c r="AF534" s="305"/>
    </row>
    <row r="535" spans="1:32" s="52" customFormat="1" ht="14.25" customHeight="1">
      <c r="A535" s="285"/>
      <c r="B535" s="236" t="s">
        <v>477</v>
      </c>
      <c r="C535" s="279"/>
      <c r="D535" s="279"/>
      <c r="E535" s="264"/>
      <c r="F535" s="264"/>
      <c r="G535" s="264"/>
      <c r="H535" s="264"/>
      <c r="I535" s="278"/>
      <c r="J535" s="278"/>
      <c r="K535" s="416"/>
      <c r="M535" s="305"/>
      <c r="W535" s="305"/>
      <c r="X535" s="305"/>
      <c r="Y535" s="305"/>
      <c r="Z535" s="305"/>
      <c r="AA535" s="305"/>
      <c r="AB535" s="305"/>
      <c r="AC535" s="305"/>
      <c r="AD535" s="305"/>
      <c r="AE535" s="305"/>
      <c r="AF535" s="305"/>
    </row>
    <row r="536" spans="1:32" s="52" customFormat="1" ht="14.25" customHeight="1" thickBot="1">
      <c r="A536" s="285"/>
      <c r="B536" s="51"/>
      <c r="C536" s="526"/>
      <c r="D536" s="526"/>
      <c r="E536" s="264"/>
      <c r="F536" s="264"/>
      <c r="G536" s="264"/>
      <c r="H536" s="264"/>
      <c r="I536" s="278"/>
      <c r="J536" s="278"/>
      <c r="K536" s="416"/>
      <c r="M536" s="305"/>
      <c r="W536" s="305"/>
      <c r="X536" s="305"/>
      <c r="Y536" s="305"/>
      <c r="Z536" s="305"/>
      <c r="AA536" s="305"/>
      <c r="AB536" s="305"/>
      <c r="AC536" s="305"/>
      <c r="AD536" s="305"/>
      <c r="AE536" s="305"/>
      <c r="AF536" s="305"/>
    </row>
    <row r="537" spans="1:32" ht="14.25" customHeight="1">
      <c r="B537" s="1481" t="s">
        <v>115</v>
      </c>
      <c r="C537" s="514"/>
      <c r="D537" s="514"/>
      <c r="E537" s="514"/>
      <c r="F537" s="514"/>
      <c r="G537" s="3414" t="s">
        <v>238</v>
      </c>
      <c r="H537" s="3414"/>
      <c r="I537" s="3414"/>
      <c r="J537" s="385"/>
      <c r="M537" s="305"/>
      <c r="W537" s="305"/>
      <c r="X537" s="305"/>
      <c r="Y537" s="305"/>
      <c r="Z537" s="305"/>
      <c r="AA537" s="305"/>
      <c r="AB537" s="305"/>
      <c r="AC537" s="305"/>
      <c r="AD537" s="305"/>
      <c r="AE537" s="305"/>
      <c r="AF537" s="305"/>
    </row>
    <row r="538" spans="1:32" s="52" customFormat="1" ht="14.25" customHeight="1">
      <c r="A538" s="278"/>
      <c r="B538" s="3407"/>
      <c r="C538" s="3332">
        <v>2021</v>
      </c>
      <c r="D538" s="3333"/>
      <c r="E538" s="3333"/>
      <c r="F538" s="3333"/>
      <c r="G538" s="3333"/>
      <c r="H538" s="3333"/>
      <c r="I538" s="3334"/>
      <c r="J538" s="315"/>
      <c r="K538" s="416"/>
      <c r="M538" s="305"/>
      <c r="W538" s="305"/>
      <c r="X538" s="305"/>
      <c r="Y538" s="305"/>
      <c r="Z538" s="305"/>
      <c r="AA538" s="305"/>
      <c r="AB538" s="305"/>
      <c r="AC538" s="305"/>
      <c r="AD538" s="305"/>
      <c r="AE538" s="305"/>
      <c r="AF538" s="305"/>
    </row>
    <row r="539" spans="1:32" s="52" customFormat="1" ht="14.25" customHeight="1">
      <c r="A539" s="394"/>
      <c r="B539" s="3408"/>
      <c r="C539" s="3410" t="s">
        <v>436</v>
      </c>
      <c r="D539" s="3410" t="s">
        <v>437</v>
      </c>
      <c r="E539" s="3412" t="s">
        <v>438</v>
      </c>
      <c r="F539" s="3413"/>
      <c r="G539" s="3410" t="s">
        <v>439</v>
      </c>
      <c r="H539" s="3410" t="s">
        <v>440</v>
      </c>
      <c r="I539" s="3410" t="s">
        <v>118</v>
      </c>
      <c r="J539" s="278"/>
      <c r="K539" s="3406"/>
      <c r="M539" s="305"/>
      <c r="W539" s="305"/>
      <c r="X539" s="305"/>
      <c r="Y539" s="305"/>
      <c r="Z539" s="305"/>
      <c r="AA539" s="305"/>
      <c r="AB539" s="305"/>
      <c r="AC539" s="305"/>
      <c r="AD539" s="305"/>
      <c r="AE539" s="305"/>
      <c r="AF539" s="305"/>
    </row>
    <row r="540" spans="1:32" s="52" customFormat="1" ht="14.25" customHeight="1" thickBot="1">
      <c r="A540" s="394"/>
      <c r="B540" s="3409"/>
      <c r="C540" s="3411"/>
      <c r="D540" s="3411"/>
      <c r="E540" s="1506" t="s">
        <v>442</v>
      </c>
      <c r="F540" s="1506" t="s">
        <v>443</v>
      </c>
      <c r="G540" s="3411"/>
      <c r="H540" s="3411"/>
      <c r="I540" s="3411"/>
      <c r="J540" s="278"/>
      <c r="K540" s="3406"/>
      <c r="M540" s="305"/>
      <c r="W540" s="305"/>
      <c r="X540" s="305"/>
      <c r="Y540" s="305"/>
      <c r="Z540" s="305"/>
      <c r="AA540" s="305"/>
      <c r="AB540" s="305"/>
      <c r="AC540" s="305"/>
      <c r="AD540" s="305"/>
      <c r="AE540" s="305"/>
      <c r="AF540" s="305"/>
    </row>
    <row r="541" spans="1:32" s="52" customFormat="1" ht="14.25" customHeight="1">
      <c r="A541" s="285"/>
      <c r="B541" s="1518" t="s">
        <v>342</v>
      </c>
      <c r="C541" s="2280">
        <v>2338650</v>
      </c>
      <c r="D541" s="816">
        <v>613047</v>
      </c>
      <c r="E541" s="2280">
        <v>972499</v>
      </c>
      <c r="F541" s="816">
        <v>10699994</v>
      </c>
      <c r="G541" s="2280">
        <v>4655476</v>
      </c>
      <c r="H541" s="816">
        <v>1975358</v>
      </c>
      <c r="I541" s="1520">
        <f t="shared" ref="I541:I552" si="29">H541+G541+F541+E541+D541+C541</f>
        <v>21255024</v>
      </c>
      <c r="J541" s="278"/>
      <c r="K541" s="429"/>
      <c r="L541" s="305"/>
      <c r="M541" s="305"/>
      <c r="N541" s="305"/>
      <c r="O541" s="305"/>
      <c r="P541" s="305"/>
      <c r="Q541" s="305"/>
      <c r="R541" s="305"/>
      <c r="W541" s="305"/>
      <c r="X541" s="305"/>
      <c r="Y541" s="305"/>
      <c r="Z541" s="305"/>
      <c r="AA541" s="305"/>
      <c r="AB541" s="305"/>
      <c r="AC541" s="305"/>
      <c r="AD541" s="305"/>
      <c r="AE541" s="305"/>
      <c r="AF541" s="305"/>
    </row>
    <row r="542" spans="1:32" s="52" customFormat="1" ht="14.25" customHeight="1">
      <c r="A542" s="285"/>
      <c r="B542" s="2281" t="s">
        <v>444</v>
      </c>
      <c r="C542" s="818"/>
      <c r="D542" s="817"/>
      <c r="E542" s="818"/>
      <c r="F542" s="817"/>
      <c r="G542" s="818"/>
      <c r="H542" s="817"/>
      <c r="I542" s="2363">
        <f t="shared" si="29"/>
        <v>0</v>
      </c>
      <c r="J542" s="278"/>
      <c r="K542" s="429"/>
      <c r="L542" s="305"/>
      <c r="M542" s="305"/>
      <c r="N542" s="305"/>
      <c r="O542" s="305"/>
      <c r="P542" s="305"/>
      <c r="Q542" s="305"/>
      <c r="R542" s="305"/>
      <c r="W542" s="305"/>
      <c r="X542" s="305"/>
      <c r="Y542" s="305"/>
      <c r="Z542" s="305"/>
      <c r="AA542" s="305"/>
      <c r="AB542" s="305"/>
      <c r="AC542" s="305"/>
      <c r="AD542" s="305"/>
      <c r="AE542" s="305"/>
      <c r="AF542" s="305"/>
    </row>
    <row r="543" spans="1:32" s="52" customFormat="1" ht="14.25" customHeight="1">
      <c r="A543" s="285"/>
      <c r="B543" s="2281" t="s">
        <v>445</v>
      </c>
      <c r="C543" s="818">
        <v>-577963</v>
      </c>
      <c r="D543" s="817">
        <v>-6777</v>
      </c>
      <c r="E543" s="818">
        <v>0</v>
      </c>
      <c r="F543" s="817">
        <v>-228640</v>
      </c>
      <c r="G543" s="818">
        <v>0</v>
      </c>
      <c r="H543" s="817">
        <v>-59456</v>
      </c>
      <c r="I543" s="2363">
        <f t="shared" si="29"/>
        <v>-872836</v>
      </c>
      <c r="J543" s="278"/>
      <c r="K543" s="429"/>
      <c r="L543" s="305"/>
      <c r="M543" s="305"/>
      <c r="N543" s="305"/>
      <c r="O543" s="305"/>
      <c r="P543" s="305"/>
      <c r="Q543" s="305"/>
      <c r="R543" s="305"/>
      <c r="W543" s="305"/>
      <c r="X543" s="305"/>
      <c r="Y543" s="305"/>
      <c r="Z543" s="305"/>
      <c r="AA543" s="305"/>
      <c r="AB543" s="305"/>
      <c r="AC543" s="305"/>
      <c r="AD543" s="305"/>
      <c r="AE543" s="305"/>
      <c r="AF543" s="305"/>
    </row>
    <row r="544" spans="1:32" s="52" customFormat="1" ht="14.25" customHeight="1">
      <c r="A544" s="285"/>
      <c r="B544" s="2281" t="s">
        <v>446</v>
      </c>
      <c r="C544" s="818">
        <v>-1491119</v>
      </c>
      <c r="D544" s="817">
        <v>-435526</v>
      </c>
      <c r="E544" s="818">
        <v>-3664</v>
      </c>
      <c r="F544" s="817">
        <v>-69728</v>
      </c>
      <c r="G544" s="818">
        <v>-1010</v>
      </c>
      <c r="H544" s="817">
        <v>-1155126</v>
      </c>
      <c r="I544" s="2363">
        <f t="shared" si="29"/>
        <v>-3156173</v>
      </c>
      <c r="J544" s="278"/>
      <c r="K544" s="416"/>
      <c r="L544" s="305"/>
      <c r="M544" s="305"/>
      <c r="N544" s="305"/>
      <c r="O544" s="305"/>
      <c r="P544" s="305"/>
      <c r="Q544" s="305"/>
      <c r="R544" s="305"/>
      <c r="W544" s="305"/>
      <c r="X544" s="305"/>
      <c r="Y544" s="305"/>
      <c r="Z544" s="305"/>
      <c r="AA544" s="305"/>
      <c r="AB544" s="305"/>
      <c r="AC544" s="305"/>
      <c r="AD544" s="305"/>
      <c r="AE544" s="305"/>
      <c r="AF544" s="305"/>
    </row>
    <row r="545" spans="1:32" s="52" customFormat="1" ht="14.25" customHeight="1">
      <c r="A545" s="285"/>
      <c r="B545" s="2283" t="s">
        <v>447</v>
      </c>
      <c r="C545" s="2364">
        <v>269568</v>
      </c>
      <c r="D545" s="2365">
        <v>170744</v>
      </c>
      <c r="E545" s="2364">
        <v>968835</v>
      </c>
      <c r="F545" s="2365">
        <v>10401626</v>
      </c>
      <c r="G545" s="2364">
        <v>4654466</v>
      </c>
      <c r="H545" s="2365">
        <v>760776</v>
      </c>
      <c r="I545" s="2290">
        <f t="shared" si="29"/>
        <v>17226015</v>
      </c>
      <c r="J545" s="278"/>
      <c r="K545" s="416"/>
      <c r="L545" s="305"/>
      <c r="M545" s="305"/>
      <c r="N545" s="305"/>
      <c r="O545" s="305"/>
      <c r="P545" s="305"/>
      <c r="Q545" s="305"/>
      <c r="R545" s="305"/>
      <c r="W545" s="305"/>
      <c r="X545" s="305"/>
      <c r="Y545" s="305"/>
      <c r="Z545" s="305"/>
      <c r="AA545" s="305"/>
      <c r="AB545" s="305"/>
      <c r="AC545" s="305"/>
      <c r="AD545" s="305"/>
      <c r="AE545" s="305"/>
      <c r="AF545" s="305"/>
    </row>
    <row r="546" spans="1:32" s="52" customFormat="1" ht="14.25" customHeight="1">
      <c r="A546" s="285"/>
      <c r="B546" s="2281" t="s">
        <v>448</v>
      </c>
      <c r="C546" s="2280">
        <v>-63220</v>
      </c>
      <c r="D546" s="2285">
        <v>-12972</v>
      </c>
      <c r="E546" s="2280">
        <v>-3132</v>
      </c>
      <c r="F546" s="2285">
        <v>-130711</v>
      </c>
      <c r="G546" s="2280">
        <v>44444</v>
      </c>
      <c r="H546" s="2285">
        <v>-159833</v>
      </c>
      <c r="I546" s="2363">
        <f t="shared" si="29"/>
        <v>-325424</v>
      </c>
      <c r="J546" s="278"/>
      <c r="K546" s="416"/>
      <c r="L546" s="305"/>
      <c r="M546" s="305"/>
      <c r="N546" s="305"/>
      <c r="O546" s="305"/>
      <c r="P546" s="305"/>
      <c r="Q546" s="305"/>
      <c r="R546" s="305"/>
      <c r="W546" s="305"/>
      <c r="X546" s="305"/>
      <c r="Y546" s="305"/>
      <c r="Z546" s="305"/>
      <c r="AA546" s="305"/>
      <c r="AB546" s="305"/>
      <c r="AC546" s="305"/>
      <c r="AD546" s="305"/>
      <c r="AE546" s="305"/>
      <c r="AF546" s="305"/>
    </row>
    <row r="547" spans="1:32" s="52" customFormat="1" ht="14.25" customHeight="1">
      <c r="A547" s="285"/>
      <c r="B547" s="2283" t="s">
        <v>449</v>
      </c>
      <c r="C547" s="2364">
        <v>206348</v>
      </c>
      <c r="D547" s="2365">
        <v>157772</v>
      </c>
      <c r="E547" s="2364">
        <v>965703</v>
      </c>
      <c r="F547" s="2365">
        <v>10270915</v>
      </c>
      <c r="G547" s="2364">
        <v>4698910</v>
      </c>
      <c r="H547" s="2365">
        <v>600943</v>
      </c>
      <c r="I547" s="2290">
        <f t="shared" si="29"/>
        <v>16900591</v>
      </c>
      <c r="J547" s="278"/>
      <c r="K547" s="416"/>
      <c r="L547" s="305"/>
      <c r="M547" s="305"/>
      <c r="N547" s="305"/>
      <c r="O547" s="305"/>
      <c r="P547" s="305"/>
      <c r="Q547" s="305"/>
      <c r="R547" s="305"/>
      <c r="W547" s="305"/>
      <c r="X547" s="305"/>
      <c r="Y547" s="305"/>
      <c r="Z547" s="305"/>
      <c r="AA547" s="305"/>
      <c r="AB547" s="305"/>
      <c r="AC547" s="305"/>
      <c r="AD547" s="305"/>
      <c r="AE547" s="305"/>
      <c r="AF547" s="305"/>
    </row>
    <row r="548" spans="1:32" s="52" customFormat="1" ht="14.25" customHeight="1">
      <c r="A548" s="285"/>
      <c r="B548" s="2281"/>
      <c r="C548" s="2368"/>
      <c r="D548" s="2369"/>
      <c r="E548" s="2368"/>
      <c r="F548" s="2369"/>
      <c r="G548" s="2368"/>
      <c r="H548" s="2369"/>
      <c r="I548" s="2363">
        <f t="shared" si="29"/>
        <v>0</v>
      </c>
      <c r="J548" s="278"/>
      <c r="K548" s="416"/>
      <c r="L548" s="305"/>
      <c r="M548" s="305"/>
      <c r="N548" s="305"/>
      <c r="O548" s="305"/>
      <c r="P548" s="305"/>
      <c r="Q548" s="305"/>
      <c r="R548" s="305"/>
      <c r="W548" s="305"/>
      <c r="X548" s="305"/>
      <c r="Y548" s="305"/>
      <c r="Z548" s="305"/>
      <c r="AA548" s="305"/>
      <c r="AB548" s="305"/>
      <c r="AC548" s="305"/>
      <c r="AD548" s="305"/>
      <c r="AE548" s="305"/>
      <c r="AF548" s="305"/>
    </row>
    <row r="549" spans="1:32" s="52" customFormat="1" ht="14.25" customHeight="1">
      <c r="A549" s="285"/>
      <c r="B549" s="2283" t="s">
        <v>450</v>
      </c>
      <c r="C549" s="2368"/>
      <c r="D549" s="2369"/>
      <c r="E549" s="2368"/>
      <c r="F549" s="2369"/>
      <c r="G549" s="2368"/>
      <c r="H549" s="2369"/>
      <c r="I549" s="2363">
        <f t="shared" si="29"/>
        <v>0</v>
      </c>
      <c r="J549" s="278"/>
      <c r="K549" s="416"/>
      <c r="L549" s="305"/>
      <c r="M549" s="305"/>
      <c r="N549" s="305"/>
      <c r="O549" s="305"/>
      <c r="P549" s="305"/>
      <c r="Q549" s="305"/>
      <c r="R549" s="305"/>
      <c r="W549" s="305"/>
      <c r="X549" s="305"/>
      <c r="Y549" s="305"/>
      <c r="Z549" s="305"/>
      <c r="AA549" s="305"/>
      <c r="AB549" s="305"/>
      <c r="AC549" s="305"/>
      <c r="AD549" s="305"/>
      <c r="AE549" s="305"/>
      <c r="AF549" s="305"/>
    </row>
    <row r="550" spans="1:32" s="52" customFormat="1" ht="28.15" customHeight="1">
      <c r="A550" s="285"/>
      <c r="B550" s="2281" t="s">
        <v>451</v>
      </c>
      <c r="C550" s="2280">
        <v>-209943</v>
      </c>
      <c r="D550" s="2285">
        <v>-53723</v>
      </c>
      <c r="E550" s="2280">
        <v>-216937</v>
      </c>
      <c r="F550" s="2285">
        <v>-4807110</v>
      </c>
      <c r="G550" s="2280">
        <v>-4613612</v>
      </c>
      <c r="H550" s="2285">
        <v>-305265</v>
      </c>
      <c r="I550" s="2363">
        <f t="shared" si="29"/>
        <v>-10206590</v>
      </c>
      <c r="J550" s="278"/>
      <c r="K550" s="416"/>
      <c r="L550" s="305"/>
      <c r="M550" s="305"/>
      <c r="N550" s="305"/>
      <c r="O550" s="305"/>
      <c r="P550" s="305"/>
      <c r="Q550" s="305"/>
      <c r="R550" s="305"/>
      <c r="W550" s="305"/>
      <c r="X550" s="305"/>
      <c r="Y550" s="305"/>
      <c r="Z550" s="305"/>
      <c r="AA550" s="305"/>
      <c r="AB550" s="305"/>
      <c r="AC550" s="305"/>
      <c r="AD550" s="305"/>
      <c r="AE550" s="305"/>
      <c r="AF550" s="305"/>
    </row>
    <row r="551" spans="1:32" s="52" customFormat="1" ht="14.25" customHeight="1">
      <c r="A551" s="285"/>
      <c r="B551" s="2281" t="s">
        <v>452</v>
      </c>
      <c r="C551" s="818">
        <v>193104</v>
      </c>
      <c r="D551" s="817">
        <v>60208</v>
      </c>
      <c r="E551" s="818">
        <v>-35944</v>
      </c>
      <c r="F551" s="817">
        <v>-745224</v>
      </c>
      <c r="G551" s="818">
        <v>-103739</v>
      </c>
      <c r="H551" s="817">
        <v>-22227</v>
      </c>
      <c r="I551" s="2363">
        <f t="shared" si="29"/>
        <v>-653822</v>
      </c>
      <c r="J551" s="278"/>
      <c r="K551" s="416"/>
      <c r="L551" s="305"/>
      <c r="M551" s="305"/>
      <c r="N551" s="305"/>
      <c r="O551" s="305"/>
      <c r="P551" s="305"/>
      <c r="Q551" s="305"/>
      <c r="R551" s="305"/>
      <c r="W551" s="305"/>
      <c r="X551" s="305"/>
      <c r="Y551" s="305"/>
      <c r="Z551" s="305"/>
      <c r="AA551" s="305"/>
      <c r="AB551" s="305"/>
      <c r="AC551" s="305"/>
      <c r="AD551" s="305"/>
      <c r="AE551" s="305"/>
      <c r="AF551" s="305"/>
    </row>
    <row r="552" spans="1:32" s="52" customFormat="1" ht="14.25" customHeight="1">
      <c r="A552" s="285"/>
      <c r="B552" s="2281" t="s">
        <v>453</v>
      </c>
      <c r="C552" s="818">
        <v>-557111</v>
      </c>
      <c r="D552" s="817">
        <v>-213522</v>
      </c>
      <c r="E552" s="818">
        <v>-660941</v>
      </c>
      <c r="F552" s="817">
        <v>-2532556</v>
      </c>
      <c r="G552" s="818">
        <v>-884980</v>
      </c>
      <c r="H552" s="817">
        <v>-446169</v>
      </c>
      <c r="I552" s="2363">
        <f t="shared" si="29"/>
        <v>-5295279</v>
      </c>
      <c r="J552" s="278"/>
      <c r="K552" s="416"/>
      <c r="L552" s="305"/>
      <c r="M552" s="305"/>
      <c r="N552" s="305"/>
      <c r="O552" s="305"/>
      <c r="P552" s="305"/>
      <c r="Q552" s="305"/>
      <c r="R552" s="305"/>
      <c r="W552" s="305"/>
      <c r="X552" s="305"/>
      <c r="Y552" s="305"/>
      <c r="Z552" s="305"/>
      <c r="AA552" s="305"/>
      <c r="AB552" s="305"/>
      <c r="AC552" s="305"/>
      <c r="AD552" s="305"/>
      <c r="AE552" s="305"/>
      <c r="AF552" s="305"/>
    </row>
    <row r="553" spans="1:32" s="52" customFormat="1" ht="14.25" customHeight="1">
      <c r="A553" s="285"/>
      <c r="B553" s="2283" t="s">
        <v>454</v>
      </c>
      <c r="C553" s="2364">
        <f t="shared" ref="C553:H553" si="30">C547+C550+C551+C552</f>
        <v>-367602</v>
      </c>
      <c r="D553" s="2365">
        <f t="shared" si="30"/>
        <v>-49265</v>
      </c>
      <c r="E553" s="2364">
        <f t="shared" si="30"/>
        <v>51881</v>
      </c>
      <c r="F553" s="2365">
        <f>F547+F550+F551+F552</f>
        <v>2186025</v>
      </c>
      <c r="G553" s="2364">
        <f t="shared" si="30"/>
        <v>-903421</v>
      </c>
      <c r="H553" s="2365">
        <f t="shared" si="30"/>
        <v>-172718</v>
      </c>
      <c r="I553" s="2290">
        <f>H553+G553+F553+E553+D553+C553+3</f>
        <v>744903</v>
      </c>
      <c r="J553" s="278"/>
      <c r="K553" s="432"/>
      <c r="L553" s="305"/>
      <c r="M553" s="305"/>
      <c r="N553" s="305"/>
      <c r="O553" s="305"/>
      <c r="P553" s="305"/>
      <c r="Q553" s="305"/>
      <c r="R553" s="305"/>
      <c r="W553" s="305"/>
      <c r="X553" s="305"/>
      <c r="Y553" s="305"/>
      <c r="Z553" s="305"/>
      <c r="AA553" s="305"/>
      <c r="AB553" s="305"/>
      <c r="AC553" s="305"/>
      <c r="AD553" s="305"/>
      <c r="AE553" s="305"/>
      <c r="AF553" s="305"/>
    </row>
    <row r="554" spans="1:32" s="52" customFormat="1" ht="14.25" customHeight="1">
      <c r="A554" s="285"/>
      <c r="B554" s="2281"/>
      <c r="C554" s="2372"/>
      <c r="D554" s="2373"/>
      <c r="E554" s="2372"/>
      <c r="F554" s="2373"/>
      <c r="G554" s="2372"/>
      <c r="H554" s="2373"/>
      <c r="I554" s="2363"/>
      <c r="J554" s="278"/>
      <c r="K554" s="416"/>
      <c r="M554" s="305"/>
      <c r="W554" s="305"/>
      <c r="X554" s="305"/>
      <c r="Y554" s="305"/>
      <c r="Z554" s="305"/>
      <c r="AA554" s="305"/>
      <c r="AB554" s="305"/>
      <c r="AC554" s="305"/>
      <c r="AD554" s="305"/>
      <c r="AE554" s="305"/>
      <c r="AF554" s="305"/>
    </row>
    <row r="555" spans="1:32" s="52" customFormat="1" ht="14.25" customHeight="1">
      <c r="A555" s="285"/>
      <c r="B555" s="2283" t="s">
        <v>455</v>
      </c>
      <c r="C555" s="2372"/>
      <c r="D555" s="2373"/>
      <c r="E555" s="2372"/>
      <c r="F555" s="2373"/>
      <c r="G555" s="2372"/>
      <c r="H555" s="2373"/>
      <c r="I555" s="2290">
        <f>SUM(I556:I560)</f>
        <v>4655817.5533199999</v>
      </c>
      <c r="J555" s="278"/>
      <c r="K555" s="416"/>
      <c r="M555" s="305"/>
      <c r="W555" s="305"/>
      <c r="X555" s="305"/>
      <c r="Y555" s="305"/>
      <c r="Z555" s="305"/>
      <c r="AA555" s="305"/>
      <c r="AB555" s="305"/>
      <c r="AC555" s="305"/>
      <c r="AD555" s="305"/>
      <c r="AE555" s="305"/>
      <c r="AF555" s="305"/>
    </row>
    <row r="556" spans="1:32" s="52" customFormat="1" ht="14.25" customHeight="1">
      <c r="A556" s="285"/>
      <c r="B556" s="2281" t="s">
        <v>456</v>
      </c>
      <c r="C556" s="2372"/>
      <c r="D556" s="2373"/>
      <c r="E556" s="2372"/>
      <c r="F556" s="2373"/>
      <c r="G556" s="2372"/>
      <c r="H556" s="2373"/>
      <c r="I556" s="2363"/>
      <c r="J556" s="278"/>
      <c r="K556" s="416"/>
      <c r="M556" s="305"/>
      <c r="W556" s="305"/>
      <c r="X556" s="305"/>
      <c r="Y556" s="305"/>
      <c r="Z556" s="305"/>
      <c r="AA556" s="305"/>
      <c r="AB556" s="305"/>
      <c r="AC556" s="305"/>
      <c r="AD556" s="305"/>
      <c r="AE556" s="305"/>
      <c r="AF556" s="305"/>
    </row>
    <row r="557" spans="1:32" s="52" customFormat="1" ht="14.25" customHeight="1">
      <c r="A557" s="285"/>
      <c r="B557" s="2281" t="s">
        <v>472</v>
      </c>
      <c r="C557" s="2372"/>
      <c r="D557" s="2373"/>
      <c r="E557" s="2372"/>
      <c r="F557" s="2373"/>
      <c r="G557" s="2372"/>
      <c r="H557" s="2373"/>
      <c r="I557" s="2384">
        <v>2153716.8297600001</v>
      </c>
      <c r="J557" s="278"/>
      <c r="K557" s="416"/>
      <c r="M557" s="305"/>
      <c r="W557" s="305"/>
      <c r="X557" s="305"/>
      <c r="Y557" s="305"/>
      <c r="Z557" s="305"/>
      <c r="AA557" s="305"/>
      <c r="AB557" s="305"/>
      <c r="AC557" s="305"/>
      <c r="AD557" s="305"/>
      <c r="AE557" s="305"/>
      <c r="AF557" s="305"/>
    </row>
    <row r="558" spans="1:32" s="52" customFormat="1" ht="14.25" customHeight="1">
      <c r="A558" s="285"/>
      <c r="B558" s="2281" t="s">
        <v>458</v>
      </c>
      <c r="C558" s="2372"/>
      <c r="D558" s="2373"/>
      <c r="E558" s="2372"/>
      <c r="F558" s="2373"/>
      <c r="G558" s="2372"/>
      <c r="H558" s="2373"/>
      <c r="I558" s="1526">
        <v>26281.884060000004</v>
      </c>
      <c r="J558" s="278"/>
      <c r="K558" s="416"/>
      <c r="M558" s="305"/>
      <c r="W558" s="305"/>
      <c r="X558" s="305"/>
      <c r="Y558" s="305"/>
      <c r="Z558" s="305"/>
      <c r="AA558" s="305"/>
      <c r="AB558" s="305"/>
      <c r="AC558" s="305"/>
      <c r="AD558" s="305"/>
      <c r="AE558" s="305"/>
      <c r="AF558" s="305"/>
    </row>
    <row r="559" spans="1:32" s="52" customFormat="1" ht="14.25" customHeight="1">
      <c r="A559" s="285"/>
      <c r="B559" s="2281" t="s">
        <v>459</v>
      </c>
      <c r="C559" s="2372"/>
      <c r="D559" s="2373"/>
      <c r="E559" s="2372"/>
      <c r="F559" s="2373"/>
      <c r="G559" s="2372"/>
      <c r="H559" s="2373"/>
      <c r="I559" s="1526">
        <v>1224457.8395</v>
      </c>
      <c r="J559" s="278"/>
      <c r="K559" s="416"/>
      <c r="M559" s="305"/>
      <c r="W559" s="305"/>
      <c r="X559" s="305"/>
      <c r="Y559" s="305"/>
      <c r="Z559" s="305"/>
      <c r="AA559" s="305"/>
      <c r="AB559" s="305"/>
      <c r="AC559" s="305"/>
      <c r="AD559" s="305"/>
      <c r="AE559" s="305"/>
      <c r="AF559" s="305"/>
    </row>
    <row r="560" spans="1:32" s="52" customFormat="1" ht="14.25" customHeight="1">
      <c r="A560" s="285"/>
      <c r="B560" s="2281" t="s">
        <v>460</v>
      </c>
      <c r="C560" s="2372"/>
      <c r="D560" s="2373"/>
      <c r="E560" s="2372"/>
      <c r="F560" s="2373"/>
      <c r="G560" s="2372"/>
      <c r="H560" s="2373"/>
      <c r="I560" s="1526">
        <v>1251361</v>
      </c>
      <c r="J560" s="278"/>
      <c r="K560" s="416"/>
      <c r="M560" s="305"/>
      <c r="W560" s="305"/>
      <c r="X560" s="305"/>
      <c r="Y560" s="305"/>
      <c r="Z560" s="305"/>
      <c r="AA560" s="305"/>
      <c r="AB560" s="305"/>
      <c r="AC560" s="305"/>
      <c r="AD560" s="305"/>
      <c r="AE560" s="305"/>
      <c r="AF560" s="305"/>
    </row>
    <row r="561" spans="1:32" s="52" customFormat="1" ht="14.25" customHeight="1">
      <c r="A561" s="285"/>
      <c r="B561" s="2281"/>
      <c r="C561" s="2372"/>
      <c r="D561" s="2373"/>
      <c r="E561" s="2372"/>
      <c r="F561" s="2373"/>
      <c r="G561" s="2372"/>
      <c r="H561" s="2373"/>
      <c r="I561" s="2363"/>
      <c r="J561" s="278"/>
      <c r="K561" s="416"/>
      <c r="M561" s="305"/>
      <c r="W561" s="305"/>
      <c r="X561" s="305"/>
      <c r="Y561" s="305"/>
      <c r="Z561" s="305"/>
      <c r="AA561" s="305"/>
      <c r="AB561" s="305"/>
      <c r="AC561" s="305"/>
      <c r="AD561" s="305"/>
      <c r="AE561" s="305"/>
      <c r="AF561" s="305"/>
    </row>
    <row r="562" spans="1:32" s="52" customFormat="1" ht="14.25" customHeight="1">
      <c r="A562" s="285"/>
      <c r="B562" s="2283" t="s">
        <v>461</v>
      </c>
      <c r="C562" s="2372"/>
      <c r="D562" s="2373"/>
      <c r="E562" s="2372"/>
      <c r="F562" s="2373"/>
      <c r="G562" s="2372"/>
      <c r="H562" s="2373"/>
      <c r="I562" s="2363">
        <f>I563+I564</f>
        <v>-162033</v>
      </c>
      <c r="J562" s="278"/>
      <c r="K562" s="416"/>
      <c r="M562" s="305"/>
      <c r="W562" s="305"/>
      <c r="X562" s="305"/>
      <c r="Y562" s="305"/>
      <c r="Z562" s="305"/>
      <c r="AA562" s="305"/>
      <c r="AB562" s="305"/>
      <c r="AC562" s="305"/>
      <c r="AD562" s="305"/>
      <c r="AE562" s="305"/>
      <c r="AF562" s="305"/>
    </row>
    <row r="563" spans="1:32" s="52" customFormat="1" ht="27" customHeight="1">
      <c r="A563" s="285"/>
      <c r="B563" s="2281" t="s">
        <v>462</v>
      </c>
      <c r="C563" s="2372"/>
      <c r="D563" s="2373"/>
      <c r="E563" s="2372"/>
      <c r="F563" s="2373"/>
      <c r="G563" s="2372"/>
      <c r="H563" s="2373"/>
      <c r="I563" s="2384">
        <v>-162033</v>
      </c>
      <c r="J563" s="278"/>
      <c r="K563" s="416"/>
      <c r="M563" s="305"/>
      <c r="W563" s="305"/>
      <c r="X563" s="305"/>
      <c r="Y563" s="305"/>
      <c r="Z563" s="305"/>
      <c r="AA563" s="305"/>
      <c r="AB563" s="305"/>
      <c r="AC563" s="305"/>
      <c r="AD563" s="305"/>
      <c r="AE563" s="305"/>
      <c r="AF563" s="305"/>
    </row>
    <row r="564" spans="1:32" s="52" customFormat="1" ht="27" customHeight="1">
      <c r="A564" s="285"/>
      <c r="B564" s="2281" t="s">
        <v>463</v>
      </c>
      <c r="C564" s="2372"/>
      <c r="D564" s="2373"/>
      <c r="E564" s="2372"/>
      <c r="F564" s="2373"/>
      <c r="G564" s="2372"/>
      <c r="H564" s="2373"/>
      <c r="I564" s="2363"/>
      <c r="J564" s="278"/>
      <c r="K564" s="416"/>
      <c r="M564" s="305"/>
      <c r="W564" s="305"/>
      <c r="X564" s="305"/>
      <c r="Y564" s="305"/>
      <c r="Z564" s="305"/>
      <c r="AA564" s="305"/>
      <c r="AB564" s="305"/>
      <c r="AC564" s="305"/>
      <c r="AD564" s="305"/>
      <c r="AE564" s="305"/>
      <c r="AF564" s="305"/>
    </row>
    <row r="565" spans="1:32" s="52" customFormat="1" ht="14.25" customHeight="1">
      <c r="A565" s="285"/>
      <c r="B565" s="2283" t="s">
        <v>464</v>
      </c>
      <c r="C565" s="2372"/>
      <c r="D565" s="2373"/>
      <c r="E565" s="2372"/>
      <c r="F565" s="2373"/>
      <c r="G565" s="2372"/>
      <c r="H565" s="2373"/>
      <c r="I565" s="2290">
        <f>+I553+I555+I562</f>
        <v>5238687.5533199999</v>
      </c>
      <c r="J565" s="278"/>
      <c r="K565" s="416"/>
      <c r="M565" s="305"/>
      <c r="W565" s="305"/>
      <c r="X565" s="305"/>
      <c r="Y565" s="305"/>
      <c r="Z565" s="305"/>
      <c r="AA565" s="305"/>
      <c r="AB565" s="305"/>
      <c r="AC565" s="305"/>
      <c r="AD565" s="305"/>
      <c r="AE565" s="305"/>
      <c r="AF565" s="305"/>
    </row>
    <row r="566" spans="1:32" s="52" customFormat="1" ht="14.25" customHeight="1">
      <c r="A566" s="285"/>
      <c r="B566" s="2281" t="s">
        <v>465</v>
      </c>
      <c r="C566" s="2372"/>
      <c r="D566" s="2373"/>
      <c r="E566" s="2372"/>
      <c r="F566" s="2373"/>
      <c r="G566" s="2372"/>
      <c r="H566" s="2373"/>
      <c r="I566" s="2363"/>
      <c r="J566" s="278"/>
      <c r="K566" s="416"/>
      <c r="M566" s="305"/>
      <c r="W566" s="305"/>
      <c r="X566" s="305"/>
      <c r="Y566" s="305"/>
      <c r="Z566" s="305"/>
      <c r="AA566" s="305"/>
      <c r="AB566" s="305"/>
      <c r="AC566" s="305"/>
      <c r="AD566" s="305"/>
      <c r="AE566" s="305"/>
      <c r="AF566" s="305"/>
    </row>
    <row r="567" spans="1:32" s="52" customFormat="1" ht="14.25" customHeight="1">
      <c r="A567" s="285"/>
      <c r="B567" s="2283" t="s">
        <v>466</v>
      </c>
      <c r="C567" s="2372"/>
      <c r="D567" s="2373"/>
      <c r="E567" s="2372"/>
      <c r="F567" s="2373"/>
      <c r="G567" s="2372"/>
      <c r="H567" s="2373"/>
      <c r="I567" s="2290">
        <f>SUM(I565:I566)</f>
        <v>5238687.5533199999</v>
      </c>
      <c r="J567" s="278"/>
      <c r="K567" s="416"/>
      <c r="M567" s="305"/>
      <c r="W567" s="305"/>
      <c r="X567" s="305"/>
      <c r="Y567" s="305"/>
      <c r="Z567" s="305"/>
      <c r="AA567" s="305"/>
      <c r="AB567" s="305"/>
      <c r="AC567" s="305"/>
      <c r="AD567" s="305"/>
      <c r="AE567" s="305"/>
      <c r="AF567" s="305"/>
    </row>
    <row r="568" spans="1:32" s="52" customFormat="1" ht="14.25" customHeight="1">
      <c r="A568" s="285"/>
      <c r="B568" s="2281" t="s">
        <v>467</v>
      </c>
      <c r="C568" s="2372"/>
      <c r="D568" s="2373"/>
      <c r="E568" s="2372"/>
      <c r="F568" s="2373"/>
      <c r="G568" s="2372"/>
      <c r="H568" s="2373"/>
      <c r="I568" s="1527">
        <v>-181339</v>
      </c>
      <c r="J568" s="278"/>
      <c r="K568" s="416"/>
      <c r="M568" s="305"/>
      <c r="W568" s="305"/>
      <c r="X568" s="305"/>
      <c r="Y568" s="305"/>
      <c r="Z568" s="305"/>
      <c r="AA568" s="305"/>
      <c r="AB568" s="305"/>
      <c r="AC568" s="305"/>
      <c r="AD568" s="305"/>
      <c r="AE568" s="305"/>
      <c r="AF568" s="305"/>
    </row>
    <row r="569" spans="1:32" s="52" customFormat="1" ht="14.25" customHeight="1" thickBot="1">
      <c r="A569" s="285"/>
      <c r="B569" s="1519" t="s">
        <v>468</v>
      </c>
      <c r="C569" s="1113"/>
      <c r="D569" s="835"/>
      <c r="E569" s="1113"/>
      <c r="F569" s="835"/>
      <c r="G569" s="1113"/>
      <c r="H569" s="835"/>
      <c r="I569" s="1493">
        <f>SUM(I567:I568)</f>
        <v>5057348.5533199999</v>
      </c>
      <c r="J569" s="278"/>
      <c r="K569" s="416"/>
      <c r="M569" s="305"/>
      <c r="W569" s="305"/>
      <c r="X569" s="305"/>
      <c r="Y569" s="305"/>
      <c r="Z569" s="305"/>
      <c r="AA569" s="305"/>
      <c r="AB569" s="305"/>
      <c r="AC569" s="305"/>
      <c r="AD569" s="305"/>
      <c r="AE569" s="305"/>
      <c r="AF569" s="305"/>
    </row>
    <row r="570" spans="1:32" s="52" customFormat="1" ht="14.25" customHeight="1">
      <c r="A570" s="285"/>
      <c r="B570" s="455"/>
      <c r="C570" s="433"/>
      <c r="D570" s="433"/>
      <c r="E570" s="433"/>
      <c r="F570" s="433"/>
      <c r="G570" s="433"/>
      <c r="H570" s="433"/>
      <c r="I570" s="431"/>
      <c r="J570" s="431"/>
      <c r="K570" s="417"/>
      <c r="M570" s="305"/>
      <c r="W570" s="305"/>
      <c r="X570" s="305"/>
      <c r="Y570" s="305"/>
      <c r="Z570" s="305"/>
      <c r="AA570" s="305"/>
      <c r="AB570" s="305"/>
      <c r="AC570" s="305"/>
      <c r="AD570" s="305"/>
      <c r="AE570" s="305"/>
      <c r="AF570" s="305"/>
    </row>
    <row r="571" spans="1:32" s="52" customFormat="1" ht="14.25" customHeight="1">
      <c r="A571" s="285"/>
      <c r="B571" s="455"/>
      <c r="C571" s="433"/>
      <c r="D571" s="433"/>
      <c r="E571" s="433"/>
      <c r="F571" s="433"/>
      <c r="G571" s="433"/>
      <c r="H571" s="433"/>
      <c r="I571" s="431"/>
      <c r="J571" s="431"/>
      <c r="K571" s="394">
        <v>140</v>
      </c>
      <c r="M571" s="305"/>
      <c r="W571" s="305"/>
      <c r="X571" s="305"/>
      <c r="Y571" s="305"/>
      <c r="Z571" s="305"/>
      <c r="AA571" s="305"/>
      <c r="AB571" s="305"/>
      <c r="AC571" s="305"/>
      <c r="AD571" s="305"/>
      <c r="AE571" s="305"/>
      <c r="AF571" s="305"/>
    </row>
    <row r="572" spans="1:32" ht="14.25" customHeight="1"/>
    <row r="573" spans="1:32" ht="14.25" customHeight="1">
      <c r="B573" s="52"/>
    </row>
    <row r="574" spans="1:32" ht="48.6" customHeight="1">
      <c r="B574" s="395"/>
    </row>
    <row r="575" spans="1:32" ht="14.25" customHeight="1"/>
    <row r="576" spans="1:32"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sheetData>
  <mergeCells count="152">
    <mergeCell ref="M5:U5"/>
    <mergeCell ref="C6:C7"/>
    <mergeCell ref="D6:D7"/>
    <mergeCell ref="E6:F6"/>
    <mergeCell ref="G6:G7"/>
    <mergeCell ref="H6:H7"/>
    <mergeCell ref="I6:I7"/>
    <mergeCell ref="T6:T7"/>
    <mergeCell ref="U6:U7"/>
    <mergeCell ref="K6:K7"/>
    <mergeCell ref="O6:P6"/>
    <mergeCell ref="Q6:Q7"/>
    <mergeCell ref="R6:R7"/>
    <mergeCell ref="S6:S7"/>
    <mergeCell ref="H80:I80"/>
    <mergeCell ref="I3:K3"/>
    <mergeCell ref="B43:B45"/>
    <mergeCell ref="C43:I43"/>
    <mergeCell ref="C44:C45"/>
    <mergeCell ref="D44:D45"/>
    <mergeCell ref="E44:F44"/>
    <mergeCell ref="G44:G45"/>
    <mergeCell ref="H44:H45"/>
    <mergeCell ref="J6:J7"/>
    <mergeCell ref="I44:I45"/>
    <mergeCell ref="H42:I42"/>
    <mergeCell ref="B5:B7"/>
    <mergeCell ref="C5:K5"/>
    <mergeCell ref="H156:I156"/>
    <mergeCell ref="K82:K83"/>
    <mergeCell ref="B119:B121"/>
    <mergeCell ref="C119:I119"/>
    <mergeCell ref="C120:C121"/>
    <mergeCell ref="D120:D121"/>
    <mergeCell ref="E120:F120"/>
    <mergeCell ref="G120:G121"/>
    <mergeCell ref="H120:H121"/>
    <mergeCell ref="I120:I121"/>
    <mergeCell ref="K120:K121"/>
    <mergeCell ref="H118:I118"/>
    <mergeCell ref="B81:B83"/>
    <mergeCell ref="C81:I81"/>
    <mergeCell ref="C82:C83"/>
    <mergeCell ref="D82:D83"/>
    <mergeCell ref="E82:F82"/>
    <mergeCell ref="G82:G83"/>
    <mergeCell ref="H82:H83"/>
    <mergeCell ref="I82:I83"/>
    <mergeCell ref="H232:I232"/>
    <mergeCell ref="K158:K159"/>
    <mergeCell ref="B195:B197"/>
    <mergeCell ref="C195:I195"/>
    <mergeCell ref="C196:C197"/>
    <mergeCell ref="D196:D197"/>
    <mergeCell ref="E196:F196"/>
    <mergeCell ref="G196:G197"/>
    <mergeCell ref="H196:H197"/>
    <mergeCell ref="I196:I197"/>
    <mergeCell ref="H194:I194"/>
    <mergeCell ref="B157:B159"/>
    <mergeCell ref="C157:I157"/>
    <mergeCell ref="C158:C159"/>
    <mergeCell ref="D158:D159"/>
    <mergeCell ref="E158:F158"/>
    <mergeCell ref="G158:G159"/>
    <mergeCell ref="H158:H159"/>
    <mergeCell ref="I158:I159"/>
    <mergeCell ref="H309:I309"/>
    <mergeCell ref="K234:K235"/>
    <mergeCell ref="B271:B273"/>
    <mergeCell ref="C271:I271"/>
    <mergeCell ref="C272:C273"/>
    <mergeCell ref="D272:D273"/>
    <mergeCell ref="E272:F272"/>
    <mergeCell ref="G272:G273"/>
    <mergeCell ref="H272:H273"/>
    <mergeCell ref="I272:I273"/>
    <mergeCell ref="H270:I270"/>
    <mergeCell ref="B233:B235"/>
    <mergeCell ref="C233:I233"/>
    <mergeCell ref="C234:C235"/>
    <mergeCell ref="D234:D235"/>
    <mergeCell ref="E234:F234"/>
    <mergeCell ref="G234:G235"/>
    <mergeCell ref="H234:H235"/>
    <mergeCell ref="I234:I235"/>
    <mergeCell ref="B348:B350"/>
    <mergeCell ref="C348:I348"/>
    <mergeCell ref="C349:C350"/>
    <mergeCell ref="D349:D350"/>
    <mergeCell ref="E349:F349"/>
    <mergeCell ref="G349:G350"/>
    <mergeCell ref="H349:H350"/>
    <mergeCell ref="I349:I350"/>
    <mergeCell ref="G347:I347"/>
    <mergeCell ref="B310:B312"/>
    <mergeCell ref="C310:I310"/>
    <mergeCell ref="C311:C312"/>
    <mergeCell ref="D311:D312"/>
    <mergeCell ref="E311:F311"/>
    <mergeCell ref="G311:G312"/>
    <mergeCell ref="H311:H312"/>
    <mergeCell ref="I311:I312"/>
    <mergeCell ref="G461:I461"/>
    <mergeCell ref="I385:K385"/>
    <mergeCell ref="B424:B426"/>
    <mergeCell ref="C424:I424"/>
    <mergeCell ref="C425:C426"/>
    <mergeCell ref="D425:D426"/>
    <mergeCell ref="E425:F425"/>
    <mergeCell ref="G425:G426"/>
    <mergeCell ref="H425:H426"/>
    <mergeCell ref="I425:I426"/>
    <mergeCell ref="G423:I423"/>
    <mergeCell ref="B386:B388"/>
    <mergeCell ref="C386:K386"/>
    <mergeCell ref="C387:C388"/>
    <mergeCell ref="D387:D388"/>
    <mergeCell ref="E387:F387"/>
    <mergeCell ref="G387:G388"/>
    <mergeCell ref="H387:H388"/>
    <mergeCell ref="I387:I388"/>
    <mergeCell ref="J387:J388"/>
    <mergeCell ref="K387:K388"/>
    <mergeCell ref="G499:I499"/>
    <mergeCell ref="B462:B464"/>
    <mergeCell ref="C462:I462"/>
    <mergeCell ref="C463:C464"/>
    <mergeCell ref="D463:D464"/>
    <mergeCell ref="E463:F463"/>
    <mergeCell ref="G463:G464"/>
    <mergeCell ref="H463:H464"/>
    <mergeCell ref="I463:I464"/>
    <mergeCell ref="K539:K540"/>
    <mergeCell ref="K501:K502"/>
    <mergeCell ref="B538:B540"/>
    <mergeCell ref="C538:I538"/>
    <mergeCell ref="C539:C540"/>
    <mergeCell ref="D539:D540"/>
    <mergeCell ref="E539:F539"/>
    <mergeCell ref="G539:G540"/>
    <mergeCell ref="H539:H540"/>
    <mergeCell ref="I539:I540"/>
    <mergeCell ref="G537:I537"/>
    <mergeCell ref="B500:B502"/>
    <mergeCell ref="C500:I500"/>
    <mergeCell ref="C501:C502"/>
    <mergeCell ref="D501:D502"/>
    <mergeCell ref="E501:F501"/>
    <mergeCell ref="G501:G502"/>
    <mergeCell ref="H501:H502"/>
    <mergeCell ref="I501:I502"/>
  </mergeCells>
  <pageMargins left="0.18" right="0.17" top="0.27" bottom="0.75" header="0.3" footer="0.3"/>
  <pageSetup paperSize="9" scale="77" orientation="landscape" r:id="rId1"/>
  <rowBreaks count="19" manualBreakCount="19">
    <brk id="38" max="10" man="1"/>
    <brk id="76" max="10" man="1"/>
    <brk id="114" max="10" man="1"/>
    <brk id="152" max="10" man="1"/>
    <brk id="190" max="10" man="1"/>
    <brk id="228" max="11" man="1"/>
    <brk id="38" max="11" man="1"/>
    <brk id="76" max="11" man="1"/>
    <brk id="114" max="11" man="1"/>
    <brk id="152" max="11" man="1"/>
    <brk id="190" max="11" man="1"/>
    <brk id="266" max="11" man="1"/>
    <brk id="304" max="11" man="1"/>
    <brk id="343" max="11" man="1"/>
    <brk id="381" max="11" man="1"/>
    <brk id="419" max="10" man="1"/>
    <brk id="457" max="10" man="1"/>
    <brk id="495" max="11" man="1"/>
    <brk id="533" max="11" man="1"/>
  </row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92D050"/>
  </sheetPr>
  <dimension ref="B1:N103"/>
  <sheetViews>
    <sheetView showGridLines="0" tabSelected="1" view="pageBreakPreview" topLeftCell="B1" zoomScale="85" zoomScaleNormal="80" zoomScaleSheetLayoutView="85" workbookViewId="0">
      <pane ySplit="7" topLeftCell="I16" activePane="bottomLeft" state="frozen"/>
      <selection pane="bottomLeft" activeCell="I16" sqref="I16"/>
      <selection activeCell="B1" sqref="B1"/>
    </sheetView>
  </sheetViews>
  <sheetFormatPr defaultColWidth="9.140625" defaultRowHeight="13.15"/>
  <cols>
    <col min="1" max="1" width="5.28515625" style="292" customWidth="1"/>
    <col min="2" max="2" width="30" style="292" customWidth="1"/>
    <col min="3" max="7" width="17.28515625" style="292" customWidth="1"/>
    <col min="8" max="8" width="10.5703125" style="292" customWidth="1"/>
    <col min="9" max="9" width="16" style="292" customWidth="1"/>
    <col min="10" max="10" width="8.28515625" style="292" customWidth="1"/>
    <col min="11" max="14" width="6.140625" style="292" customWidth="1"/>
    <col min="15" max="16384" width="9.140625" style="292"/>
  </cols>
  <sheetData>
    <row r="1" spans="2:14">
      <c r="B1" s="295"/>
      <c r="C1" s="295"/>
      <c r="D1" s="295"/>
      <c r="E1" s="295"/>
      <c r="F1" s="295"/>
    </row>
    <row r="2" spans="2:14" ht="14.45">
      <c r="B2" s="3340" t="s">
        <v>480</v>
      </c>
      <c r="C2" s="3450"/>
      <c r="D2" s="3450"/>
      <c r="E2" s="3450"/>
      <c r="F2" s="3450"/>
      <c r="G2" s="3450"/>
      <c r="H2" s="3450"/>
    </row>
    <row r="3" spans="2:14">
      <c r="B3" s="218"/>
      <c r="C3" s="218"/>
      <c r="D3" s="218"/>
      <c r="E3" s="218"/>
      <c r="F3" s="218"/>
      <c r="G3" s="218"/>
      <c r="H3" s="218"/>
    </row>
    <row r="4" spans="2:14">
      <c r="F4" s="3434" t="s">
        <v>238</v>
      </c>
      <c r="G4" s="3434"/>
    </row>
    <row r="5" spans="2:14" ht="40.9">
      <c r="B5" s="3452" t="s">
        <v>84</v>
      </c>
      <c r="C5" s="1605" t="s">
        <v>481</v>
      </c>
      <c r="D5" s="3234" t="s">
        <v>482</v>
      </c>
      <c r="E5" s="3235"/>
      <c r="F5" s="3235"/>
      <c r="G5" s="3236"/>
    </row>
    <row r="6" spans="2:14">
      <c r="B6" s="3453"/>
      <c r="C6" s="3455" t="s">
        <v>483</v>
      </c>
      <c r="D6" s="3457" t="s">
        <v>484</v>
      </c>
      <c r="E6" s="3457" t="s">
        <v>485</v>
      </c>
      <c r="F6" s="3457" t="s">
        <v>486</v>
      </c>
      <c r="G6" s="3459" t="s">
        <v>483</v>
      </c>
      <c r="H6" s="559"/>
    </row>
    <row r="7" spans="2:14">
      <c r="B7" s="3454"/>
      <c r="C7" s="3456"/>
      <c r="D7" s="3458"/>
      <c r="E7" s="3458"/>
      <c r="F7" s="3458"/>
      <c r="G7" s="3460"/>
      <c r="H7" s="559"/>
    </row>
    <row r="8" spans="2:14">
      <c r="B8" s="1597" t="s">
        <v>90</v>
      </c>
      <c r="C8" s="2387">
        <v>24565112.634542942</v>
      </c>
      <c r="D8" s="1709">
        <v>22542548.780832868</v>
      </c>
      <c r="E8" s="1709">
        <v>6313763.8949999996</v>
      </c>
      <c r="F8" s="1709">
        <v>4819081.1145715937</v>
      </c>
      <c r="G8" s="2388">
        <v>24037231.561261274</v>
      </c>
      <c r="H8" s="396"/>
      <c r="I8" s="396"/>
      <c r="J8" s="726"/>
      <c r="K8" s="396"/>
      <c r="L8" s="396"/>
      <c r="M8" s="396"/>
      <c r="N8" s="396"/>
    </row>
    <row r="9" spans="2:14">
      <c r="B9" s="1747" t="s">
        <v>92</v>
      </c>
      <c r="C9" s="2387">
        <v>1627921.9026897482</v>
      </c>
      <c r="D9" s="1709">
        <v>2083892.4889058853</v>
      </c>
      <c r="E9" s="1685">
        <v>0</v>
      </c>
      <c r="F9" s="1709">
        <v>1174486.6032400001</v>
      </c>
      <c r="G9" s="2388">
        <v>909405.88566588517</v>
      </c>
      <c r="H9" s="396"/>
      <c r="I9" s="396"/>
      <c r="J9" s="726"/>
      <c r="K9" s="396"/>
      <c r="L9" s="396"/>
      <c r="M9" s="396"/>
      <c r="N9" s="396"/>
    </row>
    <row r="10" spans="2:14">
      <c r="B10" s="1747" t="s">
        <v>93</v>
      </c>
      <c r="C10" s="2387">
        <v>573239.68109229498</v>
      </c>
      <c r="D10" s="1709">
        <v>557941.32384554832</v>
      </c>
      <c r="E10" s="1709">
        <v>150414.21919353009</v>
      </c>
      <c r="F10" s="1709">
        <v>54340.561300000001</v>
      </c>
      <c r="G10" s="2388">
        <v>654014.98173907842</v>
      </c>
      <c r="H10" s="396"/>
      <c r="I10" s="396"/>
      <c r="J10" s="726"/>
      <c r="K10" s="396"/>
      <c r="L10" s="396"/>
      <c r="M10" s="396"/>
      <c r="N10" s="396"/>
    </row>
    <row r="11" spans="2:14">
      <c r="B11" s="1747" t="s">
        <v>95</v>
      </c>
      <c r="C11" s="2387">
        <v>2221251.8023580769</v>
      </c>
      <c r="D11" s="1709">
        <v>1946146.767436475</v>
      </c>
      <c r="E11" s="1685">
        <v>0</v>
      </c>
      <c r="F11" s="1709">
        <v>289397.50091236533</v>
      </c>
      <c r="G11" s="2388">
        <v>1656749.2665241098</v>
      </c>
      <c r="H11" s="396"/>
      <c r="I11" s="396"/>
      <c r="J11" s="726"/>
      <c r="K11" s="396"/>
      <c r="L11" s="396"/>
      <c r="M11" s="396"/>
      <c r="N11" s="396"/>
    </row>
    <row r="12" spans="2:14">
      <c r="B12" s="1747" t="s">
        <v>96</v>
      </c>
      <c r="C12" s="2387">
        <v>72242294.170744568</v>
      </c>
      <c r="D12" s="1709">
        <v>79124138.174016088</v>
      </c>
      <c r="E12" s="1709">
        <v>4020275.0632134331</v>
      </c>
      <c r="F12" s="1709">
        <v>17204084.397980001</v>
      </c>
      <c r="G12" s="2388">
        <v>65940328.839249521</v>
      </c>
      <c r="H12" s="396"/>
      <c r="I12" s="396"/>
      <c r="J12" s="726"/>
      <c r="K12" s="396"/>
      <c r="L12" s="396"/>
      <c r="M12" s="396"/>
      <c r="N12" s="396"/>
    </row>
    <row r="13" spans="2:14">
      <c r="B13" s="1747" t="s">
        <v>99</v>
      </c>
      <c r="C13" s="2387"/>
      <c r="D13" s="1709">
        <v>548270.86659365229</v>
      </c>
      <c r="E13" s="1709">
        <v>0</v>
      </c>
      <c r="F13" s="1709">
        <v>12635.121419999907</v>
      </c>
      <c r="G13" s="2388">
        <v>535635.74517365242</v>
      </c>
      <c r="H13" s="396"/>
      <c r="I13" s="396"/>
      <c r="J13" s="726"/>
      <c r="K13" s="396"/>
      <c r="L13" s="396"/>
      <c r="M13" s="396"/>
      <c r="N13" s="396"/>
    </row>
    <row r="14" spans="2:14">
      <c r="B14" s="1747" t="s">
        <v>100</v>
      </c>
      <c r="C14" s="2387">
        <v>1494307.3515452698</v>
      </c>
      <c r="D14" s="1709">
        <v>1789338.1328695947</v>
      </c>
      <c r="E14" s="1709">
        <v>262095.57723000002</v>
      </c>
      <c r="F14" s="1709">
        <v>190340.66743794802</v>
      </c>
      <c r="G14" s="2388">
        <v>1861093.0426616466</v>
      </c>
      <c r="H14" s="396"/>
      <c r="I14" s="396"/>
      <c r="J14" s="726"/>
      <c r="K14" s="396"/>
      <c r="L14" s="396"/>
      <c r="M14" s="396"/>
      <c r="N14" s="396"/>
    </row>
    <row r="15" spans="2:14">
      <c r="B15" s="1747" t="s">
        <v>103</v>
      </c>
      <c r="C15" s="2387">
        <v>11139697.871478738</v>
      </c>
      <c r="D15" s="1709">
        <v>16674708.285454458</v>
      </c>
      <c r="E15" s="1709">
        <v>381156</v>
      </c>
      <c r="F15" s="1709">
        <v>2541510.2492232998</v>
      </c>
      <c r="G15" s="2388">
        <v>14514354.03623116</v>
      </c>
      <c r="H15" s="396"/>
      <c r="I15" s="396"/>
      <c r="J15" s="726"/>
      <c r="K15" s="396"/>
      <c r="L15" s="396"/>
      <c r="M15" s="396"/>
      <c r="N15" s="396"/>
    </row>
    <row r="16" spans="2:14">
      <c r="B16" s="1747" t="s">
        <v>105</v>
      </c>
      <c r="C16" s="2387">
        <v>12864544.270914746</v>
      </c>
      <c r="D16" s="1709">
        <v>14263942.224608762</v>
      </c>
      <c r="E16" s="1709">
        <v>1795828.6910000001</v>
      </c>
      <c r="F16" s="1709">
        <v>1027773.8381793647</v>
      </c>
      <c r="G16" s="2388">
        <v>15031997.077429397</v>
      </c>
      <c r="H16" s="396"/>
      <c r="I16" s="396"/>
      <c r="J16" s="726"/>
      <c r="K16" s="396"/>
      <c r="L16" s="396"/>
      <c r="M16" s="396"/>
      <c r="N16" s="396"/>
    </row>
    <row r="17" spans="2:14">
      <c r="B17" s="1747" t="s">
        <v>106</v>
      </c>
      <c r="C17" s="2387">
        <v>563897.35588054301</v>
      </c>
      <c r="D17" s="1709">
        <v>213105.65751539887</v>
      </c>
      <c r="E17" s="1709">
        <v>61899</v>
      </c>
      <c r="F17" s="1709">
        <v>47438.457549999999</v>
      </c>
      <c r="G17" s="2388">
        <v>227566.19996539888</v>
      </c>
      <c r="H17" s="396"/>
      <c r="I17" s="396"/>
      <c r="J17" s="726"/>
      <c r="K17" s="396"/>
      <c r="L17" s="396"/>
      <c r="M17" s="396"/>
      <c r="N17" s="396"/>
    </row>
    <row r="18" spans="2:14">
      <c r="B18" s="1747" t="s">
        <v>107</v>
      </c>
      <c r="C18" s="2387">
        <v>3464727.9035775834</v>
      </c>
      <c r="D18" s="1709">
        <v>4149838.7461842881</v>
      </c>
      <c r="E18" s="1709">
        <v>256134.38</v>
      </c>
      <c r="F18" s="1709">
        <v>305739.03671999997</v>
      </c>
      <c r="G18" s="2388">
        <v>4100234.0894642882</v>
      </c>
      <c r="H18" s="396"/>
      <c r="I18" s="396"/>
      <c r="J18" s="726"/>
      <c r="K18" s="396"/>
      <c r="L18" s="396"/>
      <c r="M18" s="396"/>
      <c r="N18" s="396"/>
    </row>
    <row r="19" spans="2:14">
      <c r="B19" s="1747" t="s">
        <v>109</v>
      </c>
      <c r="C19" s="2387">
        <v>513655.6115549797</v>
      </c>
      <c r="D19" s="1709">
        <v>591693.02962956706</v>
      </c>
      <c r="E19" s="1685">
        <v>0</v>
      </c>
      <c r="F19" s="1709">
        <v>1418.48173</v>
      </c>
      <c r="G19" s="2388">
        <v>590274.54789956706</v>
      </c>
      <c r="H19" s="396"/>
      <c r="I19" s="396"/>
      <c r="J19" s="726"/>
      <c r="K19" s="396"/>
      <c r="L19" s="396"/>
      <c r="M19" s="396"/>
      <c r="N19" s="396"/>
    </row>
    <row r="20" spans="2:14">
      <c r="B20" s="1747" t="s">
        <v>113</v>
      </c>
      <c r="C20" s="2387">
        <v>791658.29999893007</v>
      </c>
      <c r="D20" s="1709">
        <v>1361326.546702465</v>
      </c>
      <c r="E20" s="1685">
        <v>0</v>
      </c>
      <c r="F20" s="1709">
        <v>565762.69364000007</v>
      </c>
      <c r="G20" s="2388">
        <v>795563.85306246497</v>
      </c>
      <c r="H20" s="396"/>
      <c r="I20" s="396"/>
      <c r="J20" s="726"/>
      <c r="K20" s="396"/>
      <c r="L20" s="396"/>
      <c r="M20" s="396"/>
      <c r="N20" s="396"/>
    </row>
    <row r="21" spans="2:14">
      <c r="B21" s="1747" t="s">
        <v>115</v>
      </c>
      <c r="C21" s="2387">
        <v>101026529.75403418</v>
      </c>
      <c r="D21" s="1709">
        <v>126978051.93466747</v>
      </c>
      <c r="E21" s="1709">
        <v>169909.38508000001</v>
      </c>
      <c r="F21" s="1709">
        <v>6901313.0647910004</v>
      </c>
      <c r="G21" s="2388">
        <v>120246648.25495647</v>
      </c>
      <c r="H21" s="396"/>
      <c r="I21" s="396"/>
      <c r="J21" s="726"/>
      <c r="K21" s="396"/>
      <c r="L21" s="396"/>
      <c r="M21" s="396"/>
      <c r="N21" s="396"/>
    </row>
    <row r="22" spans="2:14">
      <c r="B22" s="1747" t="s">
        <v>116</v>
      </c>
      <c r="C22" s="2387">
        <v>27081811.40461104</v>
      </c>
      <c r="D22" s="1709">
        <v>26560930.190478966</v>
      </c>
      <c r="E22" s="1709">
        <v>6417848.3723900001</v>
      </c>
      <c r="F22" s="1709">
        <v>676572.59265000001</v>
      </c>
      <c r="G22" s="2388">
        <v>32302205.970218968</v>
      </c>
      <c r="H22" s="396"/>
      <c r="I22" s="396"/>
      <c r="J22" s="726"/>
      <c r="K22" s="396"/>
      <c r="L22" s="396"/>
      <c r="M22" s="396"/>
      <c r="N22" s="396"/>
    </row>
    <row r="23" spans="2:14">
      <c r="B23" s="1747" t="s">
        <v>117</v>
      </c>
      <c r="C23" s="2389">
        <v>21582364</v>
      </c>
      <c r="D23" s="1709">
        <v>24190107.547224097</v>
      </c>
      <c r="E23" s="1709">
        <v>5649914</v>
      </c>
      <c r="F23" s="1709">
        <v>5062809</v>
      </c>
      <c r="G23" s="2388">
        <v>24777212.547224097</v>
      </c>
      <c r="H23" s="396"/>
      <c r="I23" s="396"/>
      <c r="J23" s="726"/>
      <c r="K23" s="396"/>
      <c r="L23" s="396"/>
      <c r="M23" s="396"/>
      <c r="N23" s="396"/>
    </row>
    <row r="24" spans="2:14">
      <c r="B24" s="2390" t="s">
        <v>118</v>
      </c>
      <c r="C24" s="2391">
        <f>SUM(C8:C23)</f>
        <v>281753014.01502365</v>
      </c>
      <c r="D24" s="2391">
        <f>SUM(D8:D23)</f>
        <v>323575980.69696558</v>
      </c>
      <c r="E24" s="2391">
        <f>SUM(E8:E23)</f>
        <v>25479238.583106965</v>
      </c>
      <c r="F24" s="2391">
        <f>SUM(F8:F23)</f>
        <v>40874703.38134557</v>
      </c>
      <c r="G24" s="1719">
        <f>+D24+E24-F24</f>
        <v>308180515.898727</v>
      </c>
      <c r="H24" s="396"/>
      <c r="I24" s="396"/>
      <c r="J24" s="726"/>
      <c r="K24" s="396"/>
      <c r="L24" s="396"/>
      <c r="M24" s="396"/>
      <c r="N24" s="396"/>
    </row>
    <row r="25" spans="2:14" ht="24" customHeight="1">
      <c r="B25" s="218"/>
      <c r="C25" s="478"/>
      <c r="D25" s="478"/>
      <c r="E25" s="478"/>
      <c r="F25" s="478"/>
      <c r="G25" s="424"/>
      <c r="H25" s="396"/>
      <c r="I25" s="396"/>
    </row>
    <row r="26" spans="2:14" ht="24" customHeight="1">
      <c r="B26" s="3448"/>
      <c r="C26" s="3448"/>
      <c r="D26" s="3448"/>
      <c r="E26" s="3448"/>
      <c r="F26" s="3448"/>
      <c r="G26" s="3448"/>
      <c r="H26" s="396"/>
      <c r="I26" s="396"/>
    </row>
    <row r="27" spans="2:14">
      <c r="B27" s="218"/>
      <c r="C27" s="478"/>
      <c r="D27" s="478"/>
      <c r="E27" s="478"/>
      <c r="F27" s="478"/>
      <c r="G27" s="424"/>
      <c r="H27" s="396"/>
      <c r="I27" s="396"/>
    </row>
    <row r="28" spans="2:14">
      <c r="D28" s="396"/>
      <c r="E28" s="396"/>
      <c r="I28" s="396"/>
    </row>
    <row r="29" spans="2:14">
      <c r="G29" s="292">
        <v>141</v>
      </c>
    </row>
    <row r="30" spans="2:14">
      <c r="B30" s="37"/>
      <c r="H30" s="396"/>
    </row>
    <row r="31" spans="2:14">
      <c r="B31" s="295"/>
      <c r="C31" s="295"/>
      <c r="D31" s="295"/>
      <c r="E31" s="295"/>
      <c r="F31" s="295"/>
      <c r="G31" s="295"/>
      <c r="H31" s="295"/>
      <c r="I31" s="295"/>
      <c r="J31" s="295"/>
      <c r="K31" s="295"/>
    </row>
    <row r="32" spans="2:14">
      <c r="B32" s="489"/>
      <c r="C32" s="218"/>
      <c r="D32" s="218"/>
      <c r="E32" s="218"/>
      <c r="F32" s="218"/>
      <c r="G32" s="218"/>
      <c r="H32" s="218"/>
      <c r="I32" s="218"/>
      <c r="J32" s="218"/>
      <c r="K32" s="218"/>
    </row>
    <row r="33" spans="2:11">
      <c r="I33" s="3434"/>
      <c r="J33" s="3434"/>
      <c r="K33" s="295"/>
    </row>
    <row r="34" spans="2:11">
      <c r="B34" s="3240"/>
      <c r="C34" s="214"/>
      <c r="D34" s="3240"/>
      <c r="E34" s="3451"/>
      <c r="F34" s="3240"/>
      <c r="G34" s="3451"/>
      <c r="H34" s="3451"/>
      <c r="I34" s="3451"/>
      <c r="J34" s="3451"/>
      <c r="K34" s="3451"/>
    </row>
    <row r="35" spans="2:11">
      <c r="B35" s="3240"/>
      <c r="C35" s="214"/>
      <c r="D35" s="3240"/>
      <c r="E35" s="3451"/>
      <c r="F35" s="3240"/>
      <c r="G35" s="3451"/>
      <c r="H35" s="3451"/>
      <c r="I35" s="3451"/>
      <c r="J35" s="3451"/>
      <c r="K35" s="3451"/>
    </row>
    <row r="36" spans="2:11">
      <c r="D36" s="468"/>
      <c r="E36" s="468"/>
      <c r="F36" s="468"/>
      <c r="G36" s="477"/>
      <c r="H36" s="468"/>
      <c r="I36" s="468"/>
      <c r="J36" s="468"/>
      <c r="K36" s="468"/>
    </row>
    <row r="37" spans="2:11">
      <c r="D37" s="468"/>
      <c r="E37" s="468"/>
      <c r="F37" s="468"/>
      <c r="G37" s="468"/>
      <c r="H37" s="468"/>
      <c r="I37" s="468"/>
      <c r="J37" s="468"/>
      <c r="K37" s="468"/>
    </row>
    <row r="38" spans="2:11">
      <c r="D38" s="468"/>
      <c r="E38" s="468"/>
      <c r="F38" s="468"/>
      <c r="G38" s="468"/>
      <c r="H38" s="468"/>
      <c r="I38" s="468"/>
      <c r="J38" s="468"/>
      <c r="K38" s="468"/>
    </row>
    <row r="39" spans="2:11">
      <c r="D39" s="468"/>
      <c r="E39" s="293"/>
      <c r="F39" s="293"/>
      <c r="G39" s="293"/>
      <c r="H39" s="293"/>
      <c r="I39" s="293"/>
      <c r="J39" s="293"/>
      <c r="K39" s="293"/>
    </row>
    <row r="40" spans="2:11">
      <c r="D40" s="468"/>
      <c r="E40" s="468"/>
      <c r="F40" s="468"/>
      <c r="G40" s="477"/>
      <c r="H40" s="468"/>
      <c r="I40" s="468"/>
      <c r="J40" s="468"/>
      <c r="K40" s="468"/>
    </row>
    <row r="41" spans="2:11">
      <c r="D41" s="468"/>
      <c r="E41" s="468"/>
      <c r="F41" s="468"/>
      <c r="G41" s="468"/>
      <c r="H41" s="468"/>
      <c r="I41" s="468"/>
      <c r="J41" s="468"/>
      <c r="K41" s="468"/>
    </row>
    <row r="42" spans="2:11">
      <c r="D42" s="468"/>
      <c r="E42" s="468"/>
      <c r="F42" s="468"/>
      <c r="G42" s="477"/>
      <c r="H42" s="468"/>
      <c r="I42" s="468"/>
      <c r="J42" s="468"/>
      <c r="K42" s="468"/>
    </row>
    <row r="43" spans="2:11">
      <c r="D43" s="468"/>
      <c r="E43" s="468"/>
      <c r="F43" s="468"/>
      <c r="G43" s="468"/>
      <c r="H43" s="468"/>
      <c r="I43" s="468"/>
      <c r="J43" s="468"/>
      <c r="K43" s="468"/>
    </row>
    <row r="44" spans="2:11">
      <c r="D44" s="468"/>
      <c r="E44" s="468"/>
      <c r="F44" s="468"/>
      <c r="G44" s="468"/>
      <c r="H44" s="468"/>
      <c r="I44" s="468"/>
      <c r="J44" s="468"/>
      <c r="K44" s="468"/>
    </row>
    <row r="45" spans="2:11">
      <c r="D45" s="468"/>
      <c r="E45" s="468"/>
      <c r="F45" s="468"/>
      <c r="G45" s="468"/>
      <c r="H45" s="468"/>
      <c r="I45" s="468"/>
      <c r="J45" s="468"/>
      <c r="K45" s="468"/>
    </row>
    <row r="46" spans="2:11">
      <c r="D46" s="468"/>
      <c r="E46" s="468"/>
      <c r="F46" s="468"/>
      <c r="G46" s="468"/>
      <c r="H46" s="468"/>
      <c r="I46" s="468"/>
      <c r="J46" s="468"/>
      <c r="K46" s="468"/>
    </row>
    <row r="47" spans="2:11">
      <c r="D47" s="468"/>
      <c r="E47" s="468"/>
      <c r="F47" s="468"/>
      <c r="G47" s="468"/>
      <c r="H47" s="468"/>
      <c r="I47" s="468"/>
      <c r="J47" s="468"/>
      <c r="K47" s="468"/>
    </row>
    <row r="48" spans="2:11">
      <c r="D48" s="468"/>
      <c r="E48" s="468"/>
      <c r="F48" s="468"/>
      <c r="G48" s="468"/>
      <c r="H48" s="468"/>
      <c r="I48" s="468"/>
      <c r="J48" s="468"/>
      <c r="K48" s="468"/>
    </row>
    <row r="49" spans="2:11">
      <c r="D49" s="468"/>
      <c r="E49" s="468"/>
      <c r="F49" s="468"/>
      <c r="G49" s="477"/>
      <c r="H49" s="468"/>
      <c r="I49" s="468"/>
      <c r="J49" s="468"/>
      <c r="K49" s="468"/>
    </row>
    <row r="50" spans="2:11">
      <c r="D50" s="468"/>
      <c r="E50" s="468"/>
      <c r="F50" s="468"/>
      <c r="G50" s="468"/>
      <c r="H50" s="468"/>
      <c r="I50" s="468"/>
      <c r="J50" s="468"/>
      <c r="K50" s="468"/>
    </row>
    <row r="51" spans="2:11">
      <c r="B51" s="218"/>
      <c r="C51" s="218"/>
      <c r="D51" s="478"/>
      <c r="E51" s="478"/>
      <c r="F51" s="478"/>
      <c r="G51" s="478"/>
      <c r="H51" s="478"/>
      <c r="I51" s="478"/>
      <c r="J51" s="478"/>
      <c r="K51" s="478"/>
    </row>
    <row r="53" spans="2:11">
      <c r="K53" s="293"/>
    </row>
    <row r="56" spans="2:11">
      <c r="B56" s="3198"/>
      <c r="C56" s="3198"/>
      <c r="D56" s="3198"/>
      <c r="E56" s="3198"/>
      <c r="F56" s="3198"/>
      <c r="G56" s="3198"/>
    </row>
    <row r="57" spans="2:11">
      <c r="B57" s="3198"/>
      <c r="C57" s="3198"/>
      <c r="D57" s="3198"/>
      <c r="E57" s="3198"/>
      <c r="F57" s="3198"/>
      <c r="G57" s="3198"/>
    </row>
    <row r="58" spans="2:11">
      <c r="B58" s="492"/>
      <c r="C58" s="492"/>
      <c r="D58" s="492"/>
      <c r="E58" s="492"/>
      <c r="F58" s="492"/>
      <c r="G58" s="492"/>
    </row>
    <row r="59" spans="2:11">
      <c r="B59" s="492"/>
      <c r="C59" s="492"/>
      <c r="D59" s="492"/>
      <c r="E59" s="492"/>
      <c r="F59" s="3451"/>
      <c r="G59" s="3451"/>
    </row>
    <row r="60" spans="2:11">
      <c r="B60" s="3240"/>
      <c r="C60" s="214"/>
      <c r="D60" s="3240"/>
      <c r="E60" s="3240"/>
      <c r="F60" s="3240"/>
      <c r="G60" s="3451"/>
    </row>
    <row r="61" spans="2:11">
      <c r="B61" s="3240"/>
      <c r="C61" s="214"/>
      <c r="D61" s="3240"/>
      <c r="E61" s="3240"/>
      <c r="F61" s="3240"/>
      <c r="G61" s="3451"/>
    </row>
    <row r="62" spans="2:11">
      <c r="D62" s="468"/>
      <c r="E62" s="477"/>
      <c r="F62" s="468"/>
      <c r="G62" s="477"/>
    </row>
    <row r="63" spans="2:11">
      <c r="D63" s="468"/>
      <c r="E63" s="468"/>
      <c r="F63" s="468"/>
      <c r="G63" s="477"/>
    </row>
    <row r="64" spans="2:11">
      <c r="D64" s="553"/>
      <c r="E64" s="483"/>
      <c r="F64" s="553"/>
      <c r="G64" s="560"/>
    </row>
    <row r="65" spans="2:7">
      <c r="D65" s="468"/>
      <c r="E65" s="477"/>
      <c r="F65" s="468"/>
      <c r="G65" s="477"/>
    </row>
    <row r="66" spans="2:7">
      <c r="D66" s="479"/>
      <c r="E66" s="480"/>
      <c r="F66" s="479"/>
      <c r="G66" s="480"/>
    </row>
    <row r="67" spans="2:7">
      <c r="D67" s="468"/>
      <c r="E67" s="468"/>
      <c r="F67" s="468"/>
      <c r="G67" s="477"/>
    </row>
    <row r="68" spans="2:7">
      <c r="D68" s="468"/>
      <c r="E68" s="477"/>
      <c r="F68" s="468"/>
      <c r="G68" s="477"/>
    </row>
    <row r="69" spans="2:7">
      <c r="D69" s="468"/>
      <c r="E69" s="468"/>
      <c r="F69" s="468"/>
      <c r="G69" s="477"/>
    </row>
    <row r="70" spans="2:7">
      <c r="D70" s="468"/>
      <c r="E70" s="477"/>
      <c r="F70" s="468"/>
      <c r="G70" s="477"/>
    </row>
    <row r="71" spans="2:7">
      <c r="D71" s="468"/>
      <c r="E71" s="468"/>
      <c r="F71" s="468"/>
      <c r="G71" s="477"/>
    </row>
    <row r="72" spans="2:7">
      <c r="D72" s="468"/>
      <c r="E72" s="477"/>
      <c r="F72" s="468"/>
      <c r="G72" s="477"/>
    </row>
    <row r="73" spans="2:7">
      <c r="D73" s="468"/>
      <c r="E73" s="477"/>
      <c r="F73" s="468"/>
      <c r="G73" s="561"/>
    </row>
    <row r="74" spans="2:7">
      <c r="D74" s="468"/>
      <c r="E74" s="468"/>
      <c r="F74" s="468"/>
      <c r="G74" s="477"/>
    </row>
    <row r="75" spans="2:7">
      <c r="D75" s="468"/>
      <c r="E75" s="468"/>
      <c r="F75" s="468"/>
      <c r="G75" s="477"/>
    </row>
    <row r="76" spans="2:7">
      <c r="D76" s="475"/>
      <c r="E76" s="475"/>
      <c r="F76" s="475"/>
      <c r="G76" s="562"/>
    </row>
    <row r="77" spans="2:7">
      <c r="B77" s="218"/>
      <c r="C77" s="218"/>
      <c r="D77" s="478"/>
      <c r="E77" s="478"/>
      <c r="F77" s="478"/>
      <c r="G77" s="478"/>
    </row>
    <row r="81" spans="2:11">
      <c r="B81" s="3450"/>
      <c r="C81" s="3450"/>
      <c r="D81" s="3450"/>
      <c r="E81" s="3450"/>
      <c r="F81" s="3450"/>
      <c r="G81" s="3450"/>
      <c r="H81" s="3450"/>
      <c r="I81" s="3450"/>
      <c r="J81" s="3450"/>
    </row>
    <row r="82" spans="2:11">
      <c r="B82" s="218"/>
      <c r="C82" s="218"/>
      <c r="D82" s="218"/>
      <c r="E82" s="218"/>
      <c r="F82" s="218"/>
      <c r="G82" s="218"/>
      <c r="H82" s="218"/>
      <c r="I82" s="218"/>
      <c r="J82" s="218"/>
    </row>
    <row r="83" spans="2:11">
      <c r="I83" s="3434"/>
      <c r="J83" s="3434"/>
    </row>
    <row r="84" spans="2:11">
      <c r="B84" s="3240"/>
      <c r="C84" s="214"/>
      <c r="D84" s="3240"/>
      <c r="E84" s="3451"/>
      <c r="F84" s="3240"/>
      <c r="G84" s="3449"/>
      <c r="H84" s="3449"/>
      <c r="I84" s="3449"/>
      <c r="J84" s="3449"/>
      <c r="K84" s="3449"/>
    </row>
    <row r="85" spans="2:11">
      <c r="B85" s="3240"/>
      <c r="C85" s="214"/>
      <c r="D85" s="3240"/>
      <c r="E85" s="3451"/>
      <c r="F85" s="3240"/>
      <c r="G85" s="3449"/>
      <c r="H85" s="3449"/>
      <c r="I85" s="3449"/>
      <c r="J85" s="3449"/>
      <c r="K85" s="3449"/>
    </row>
    <row r="86" spans="2:11">
      <c r="D86" s="468"/>
      <c r="E86" s="468"/>
      <c r="F86" s="468"/>
      <c r="G86" s="468"/>
      <c r="H86" s="468"/>
      <c r="I86" s="468"/>
      <c r="J86" s="468"/>
      <c r="K86" s="468"/>
    </row>
    <row r="87" spans="2:11">
      <c r="D87" s="468"/>
      <c r="E87" s="293"/>
      <c r="F87" s="293"/>
      <c r="G87" s="293"/>
      <c r="H87" s="293"/>
      <c r="I87" s="293"/>
      <c r="J87" s="293"/>
      <c r="K87" s="293"/>
    </row>
    <row r="88" spans="2:11">
      <c r="D88" s="468"/>
      <c r="E88" s="468"/>
      <c r="F88" s="468"/>
      <c r="G88" s="468"/>
      <c r="H88" s="468"/>
      <c r="I88" s="468"/>
      <c r="J88" s="468"/>
      <c r="K88" s="468"/>
    </row>
    <row r="89" spans="2:11">
      <c r="D89" s="468"/>
      <c r="E89" s="468"/>
      <c r="F89" s="468"/>
      <c r="G89" s="468"/>
      <c r="H89" s="468"/>
      <c r="I89" s="468"/>
      <c r="J89" s="468"/>
      <c r="K89" s="468"/>
    </row>
    <row r="90" spans="2:11">
      <c r="D90" s="468"/>
      <c r="E90" s="468"/>
      <c r="F90" s="468"/>
      <c r="G90" s="468"/>
      <c r="H90" s="468"/>
      <c r="I90" s="468"/>
      <c r="J90" s="468"/>
      <c r="K90" s="468"/>
    </row>
    <row r="91" spans="2:11">
      <c r="D91" s="468"/>
      <c r="E91" s="468"/>
      <c r="F91" s="468"/>
      <c r="G91" s="468"/>
      <c r="H91" s="468"/>
      <c r="I91" s="468"/>
      <c r="J91" s="468"/>
      <c r="K91" s="468"/>
    </row>
    <row r="92" spans="2:11">
      <c r="D92" s="468"/>
      <c r="E92" s="468"/>
      <c r="F92" s="468"/>
      <c r="G92" s="468"/>
      <c r="H92" s="468"/>
      <c r="I92" s="468"/>
      <c r="J92" s="468"/>
      <c r="K92" s="468"/>
    </row>
    <row r="93" spans="2:11">
      <c r="D93" s="468"/>
      <c r="E93" s="468"/>
      <c r="F93" s="468"/>
      <c r="G93" s="468"/>
      <c r="H93" s="468"/>
      <c r="I93" s="468"/>
      <c r="J93" s="468"/>
      <c r="K93" s="468"/>
    </row>
    <row r="94" spans="2:11">
      <c r="D94" s="468"/>
      <c r="E94" s="468"/>
      <c r="F94" s="468"/>
      <c r="G94" s="468"/>
      <c r="H94" s="468"/>
      <c r="I94" s="468"/>
      <c r="J94" s="468"/>
      <c r="K94" s="468"/>
    </row>
    <row r="95" spans="2:11">
      <c r="D95" s="468"/>
      <c r="E95" s="468"/>
      <c r="F95" s="468"/>
      <c r="G95" s="468"/>
      <c r="H95" s="468"/>
      <c r="I95" s="468"/>
      <c r="J95" s="468"/>
      <c r="K95" s="468"/>
    </row>
    <row r="96" spans="2:11">
      <c r="D96" s="468"/>
      <c r="E96" s="468"/>
      <c r="F96" s="468"/>
      <c r="G96" s="468"/>
      <c r="H96" s="468"/>
      <c r="I96" s="468"/>
      <c r="J96" s="468"/>
      <c r="K96" s="468"/>
    </row>
    <row r="97" spans="2:11">
      <c r="D97" s="468"/>
      <c r="E97" s="468"/>
      <c r="F97" s="468"/>
      <c r="G97" s="468"/>
      <c r="H97" s="468"/>
      <c r="I97" s="468"/>
      <c r="J97" s="468"/>
      <c r="K97" s="468"/>
    </row>
    <row r="98" spans="2:11">
      <c r="D98" s="468"/>
      <c r="E98" s="468"/>
      <c r="F98" s="468"/>
      <c r="G98" s="468"/>
      <c r="H98" s="468"/>
      <c r="I98" s="468"/>
      <c r="J98" s="468"/>
      <c r="K98" s="468"/>
    </row>
    <row r="99" spans="2:11">
      <c r="D99" s="468"/>
      <c r="E99" s="468"/>
      <c r="F99" s="468"/>
      <c r="G99" s="468"/>
      <c r="H99" s="468"/>
      <c r="I99" s="468"/>
      <c r="J99" s="468"/>
      <c r="K99" s="468"/>
    </row>
    <row r="100" spans="2:11">
      <c r="D100" s="475"/>
      <c r="E100" s="475"/>
      <c r="F100" s="475"/>
      <c r="G100" s="475"/>
      <c r="H100" s="475"/>
      <c r="I100" s="475"/>
      <c r="J100" s="475"/>
      <c r="K100" s="475"/>
    </row>
    <row r="101" spans="2:11">
      <c r="B101" s="218"/>
      <c r="C101" s="218"/>
      <c r="D101" s="478"/>
      <c r="E101" s="478"/>
      <c r="F101" s="478"/>
      <c r="G101" s="478"/>
      <c r="H101" s="478"/>
      <c r="I101" s="478"/>
      <c r="J101" s="478"/>
      <c r="K101" s="478"/>
    </row>
    <row r="103" spans="2:11">
      <c r="D103" s="563"/>
      <c r="E103" s="563"/>
      <c r="F103" s="563"/>
      <c r="G103" s="563"/>
      <c r="H103" s="563"/>
      <c r="I103" s="563"/>
    </row>
  </sheetData>
  <sortState xmlns:xlrd2="http://schemas.microsoft.com/office/spreadsheetml/2017/richdata2" ref="B9:G23">
    <sortCondition ref="B8"/>
  </sortState>
  <mergeCells count="38">
    <mergeCell ref="K34:K35"/>
    <mergeCell ref="B2:H2"/>
    <mergeCell ref="F4:G4"/>
    <mergeCell ref="B5:B7"/>
    <mergeCell ref="D5:G5"/>
    <mergeCell ref="C6:C7"/>
    <mergeCell ref="D6:D7"/>
    <mergeCell ref="E6:E7"/>
    <mergeCell ref="F6:F7"/>
    <mergeCell ref="G6:G7"/>
    <mergeCell ref="I33:J33"/>
    <mergeCell ref="B34:B35"/>
    <mergeCell ref="D34:D35"/>
    <mergeCell ref="E34:E35"/>
    <mergeCell ref="F34:F35"/>
    <mergeCell ref="G34:G35"/>
    <mergeCell ref="G60:G61"/>
    <mergeCell ref="H34:H35"/>
    <mergeCell ref="I34:I35"/>
    <mergeCell ref="J34:J35"/>
    <mergeCell ref="B56:G57"/>
    <mergeCell ref="F59:G59"/>
    <mergeCell ref="B26:G26"/>
    <mergeCell ref="K84:K85"/>
    <mergeCell ref="B81:J81"/>
    <mergeCell ref="I83:J83"/>
    <mergeCell ref="B84:B85"/>
    <mergeCell ref="D84:D85"/>
    <mergeCell ref="E84:E85"/>
    <mergeCell ref="F84:F85"/>
    <mergeCell ref="G84:G85"/>
    <mergeCell ref="H84:H85"/>
    <mergeCell ref="I84:I85"/>
    <mergeCell ref="J84:J85"/>
    <mergeCell ref="B60:B61"/>
    <mergeCell ref="D60:D61"/>
    <mergeCell ref="E60:E61"/>
    <mergeCell ref="F60:F61"/>
  </mergeCells>
  <pageMargins left="0.7" right="0.7" top="0.75" bottom="0.75" header="0.3" footer="0.3"/>
  <pageSetup paperSize="9" scale="78" orientation="landscape" r:id="rId1"/>
  <rowBreaks count="1" manualBreakCount="1">
    <brk id="53" min="1" max="9"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92D050"/>
  </sheetPr>
  <dimension ref="B1:T48"/>
  <sheetViews>
    <sheetView showGridLines="0" view="pageBreakPreview" topLeftCell="A22" zoomScale="85" zoomScaleNormal="80" zoomScaleSheetLayoutView="85" workbookViewId="0">
      <pane xSplit="2" topLeftCell="C1" activePane="topRight" state="frozen"/>
      <selection pane="topRight" activeCell="N18" sqref="N18"/>
    </sheetView>
  </sheetViews>
  <sheetFormatPr defaultColWidth="9.140625" defaultRowHeight="13.15"/>
  <cols>
    <col min="1" max="1" width="4.42578125" style="292" customWidth="1"/>
    <col min="2" max="2" width="22.28515625" style="292" customWidth="1"/>
    <col min="3" max="10" width="16.140625" style="292" customWidth="1"/>
    <col min="11" max="11" width="14.5703125" style="292" customWidth="1"/>
    <col min="12" max="12" width="9.7109375" style="292" customWidth="1"/>
    <col min="13" max="13" width="14" style="292" customWidth="1"/>
    <col min="14" max="18" width="6.5703125" style="292" customWidth="1"/>
    <col min="19" max="16384" width="9.140625" style="292"/>
  </cols>
  <sheetData>
    <row r="1" spans="2:19">
      <c r="B1" s="295"/>
      <c r="C1" s="295"/>
      <c r="D1" s="295"/>
      <c r="E1" s="295"/>
    </row>
    <row r="2" spans="2:19" ht="18.75" customHeight="1">
      <c r="B2" s="3340" t="s">
        <v>487</v>
      </c>
      <c r="C2" s="3450"/>
      <c r="D2" s="3450"/>
      <c r="E2" s="3450"/>
      <c r="F2" s="3450"/>
      <c r="G2" s="3450"/>
      <c r="H2" s="3450"/>
      <c r="I2" s="3450"/>
      <c r="J2" s="3450"/>
    </row>
    <row r="3" spans="2:19" ht="18.75" customHeight="1">
      <c r="B3" s="218"/>
      <c r="C3" s="218"/>
      <c r="D3" s="218"/>
      <c r="E3" s="218"/>
      <c r="F3" s="218"/>
      <c r="G3" s="218"/>
      <c r="H3" s="218"/>
      <c r="I3" s="218"/>
      <c r="J3" s="218"/>
    </row>
    <row r="4" spans="2:19" ht="14.45">
      <c r="B4" s="3452" t="s">
        <v>84</v>
      </c>
      <c r="C4" s="3234" t="s">
        <v>488</v>
      </c>
      <c r="D4" s="3235"/>
      <c r="E4" s="3235"/>
      <c r="F4" s="3235"/>
      <c r="G4" s="3235"/>
      <c r="H4" s="3235"/>
      <c r="I4" s="3235"/>
      <c r="J4" s="3236"/>
    </row>
    <row r="5" spans="2:19" ht="52.9">
      <c r="B5" s="3454"/>
      <c r="C5" s="1606" t="s">
        <v>489</v>
      </c>
      <c r="D5" s="1534" t="s">
        <v>490</v>
      </c>
      <c r="E5" s="1533" t="s">
        <v>491</v>
      </c>
      <c r="F5" s="1534" t="s">
        <v>492</v>
      </c>
      <c r="G5" s="1534" t="s">
        <v>493</v>
      </c>
      <c r="H5" s="1534" t="s">
        <v>494</v>
      </c>
      <c r="I5" s="1534" t="s">
        <v>495</v>
      </c>
      <c r="J5" s="1534" t="s">
        <v>496</v>
      </c>
    </row>
    <row r="6" spans="2:19">
      <c r="B6" s="1597" t="s">
        <v>90</v>
      </c>
      <c r="C6" s="1709">
        <v>403735.43789051281</v>
      </c>
      <c r="D6" s="1709">
        <v>510328.20303999999</v>
      </c>
      <c r="E6" s="1709">
        <v>2744866.0034343502</v>
      </c>
      <c r="F6" s="1685">
        <v>0.14118144000000002</v>
      </c>
      <c r="G6" s="1709">
        <v>2500255.5490733497</v>
      </c>
      <c r="H6" s="1709">
        <v>722277.83733242925</v>
      </c>
      <c r="I6" s="2387">
        <v>6881463.1719520818</v>
      </c>
      <c r="J6" s="2387">
        <v>4490070.1843658974</v>
      </c>
      <c r="K6" s="564"/>
      <c r="L6" s="564"/>
      <c r="M6" s="564"/>
      <c r="N6" s="564"/>
      <c r="O6" s="564"/>
      <c r="P6" s="564"/>
      <c r="Q6" s="564"/>
      <c r="R6" s="564"/>
      <c r="S6" s="564"/>
    </row>
    <row r="7" spans="2:19">
      <c r="B7" s="1747" t="s">
        <v>92</v>
      </c>
      <c r="C7" s="1709">
        <v>3968.532281507928</v>
      </c>
      <c r="D7" s="1709">
        <v>6945.3266299999996</v>
      </c>
      <c r="E7" s="1709">
        <v>266807.53104159422</v>
      </c>
      <c r="F7" s="1709">
        <v>1414.4170855245588</v>
      </c>
      <c r="G7" s="1709">
        <v>258273.49510263279</v>
      </c>
      <c r="H7" s="1709">
        <v>64194.957282213181</v>
      </c>
      <c r="I7" s="2387">
        <v>601604.25942347257</v>
      </c>
      <c r="J7" s="2387">
        <v>385672.1270510747</v>
      </c>
      <c r="K7" s="564"/>
      <c r="L7" s="564"/>
      <c r="M7" s="564"/>
      <c r="N7" s="564"/>
      <c r="O7" s="564"/>
      <c r="P7" s="564"/>
      <c r="Q7" s="564"/>
      <c r="R7" s="564"/>
      <c r="S7" s="564"/>
    </row>
    <row r="8" spans="2:19">
      <c r="B8" s="1747" t="s">
        <v>93</v>
      </c>
      <c r="C8" s="1709">
        <v>20275.901988000001</v>
      </c>
      <c r="D8" s="1709">
        <v>144051.59905999998</v>
      </c>
      <c r="E8" s="1709">
        <v>117770.63737437871</v>
      </c>
      <c r="F8" s="1709">
        <v>504.05264185106279</v>
      </c>
      <c r="G8" s="1709">
        <v>0</v>
      </c>
      <c r="H8" s="1709">
        <v>33370.018629999999</v>
      </c>
      <c r="I8" s="2387">
        <v>315972.20969422976</v>
      </c>
      <c r="J8" s="2387">
        <v>284565.55753933039</v>
      </c>
      <c r="K8" s="564"/>
      <c r="L8" s="564"/>
      <c r="M8" s="564"/>
      <c r="N8" s="564"/>
      <c r="O8" s="564"/>
      <c r="P8" s="564"/>
      <c r="Q8" s="564"/>
      <c r="R8" s="564"/>
      <c r="S8" s="564"/>
    </row>
    <row r="9" spans="2:19">
      <c r="B9" s="1747" t="s">
        <v>95</v>
      </c>
      <c r="C9" s="1709">
        <v>57884.306298241965</v>
      </c>
      <c r="D9" s="1709">
        <v>20375.897009999993</v>
      </c>
      <c r="E9" s="1709">
        <v>190809.11278362715</v>
      </c>
      <c r="F9" s="1709">
        <v>67.484536031994963</v>
      </c>
      <c r="G9" s="1709">
        <v>391312.39443536499</v>
      </c>
      <c r="H9" s="1709">
        <v>42480.212984048914</v>
      </c>
      <c r="I9" s="2387">
        <v>702929.40804731508</v>
      </c>
      <c r="J9" s="2387">
        <v>476827.61663533235</v>
      </c>
      <c r="K9" s="564"/>
      <c r="L9" s="564"/>
      <c r="M9" s="564"/>
      <c r="N9" s="564"/>
      <c r="O9" s="564"/>
      <c r="P9" s="564"/>
      <c r="Q9" s="564"/>
      <c r="R9" s="564"/>
      <c r="S9" s="564"/>
    </row>
    <row r="10" spans="2:19">
      <c r="B10" s="1747" t="s">
        <v>96</v>
      </c>
      <c r="C10" s="1709">
        <v>2023077.4262232163</v>
      </c>
      <c r="D10" s="1709">
        <v>812952.31378000008</v>
      </c>
      <c r="E10" s="1709">
        <v>14950847.076814834</v>
      </c>
      <c r="F10" s="1709">
        <v>6682.7138288869974</v>
      </c>
      <c r="G10" s="1709">
        <v>4195359.5982498676</v>
      </c>
      <c r="H10" s="1709">
        <v>1754851.3696550927</v>
      </c>
      <c r="I10" s="2387">
        <v>23743770.498551898</v>
      </c>
      <c r="J10" s="2387">
        <v>18365492.268351648</v>
      </c>
      <c r="K10" s="564"/>
      <c r="L10" s="564"/>
      <c r="M10" s="564"/>
      <c r="N10" s="564"/>
      <c r="O10" s="564"/>
      <c r="P10" s="564"/>
      <c r="Q10" s="564"/>
      <c r="R10" s="564"/>
      <c r="S10" s="564"/>
    </row>
    <row r="11" spans="2:19">
      <c r="B11" s="1747" t="s">
        <v>100</v>
      </c>
      <c r="C11" s="1709">
        <v>108420.70715049843</v>
      </c>
      <c r="D11" s="1709">
        <v>12076.234839999999</v>
      </c>
      <c r="E11" s="1709">
        <v>303238.7914494701</v>
      </c>
      <c r="F11" s="1709">
        <v>2158.0777905284835</v>
      </c>
      <c r="G11" s="1709">
        <v>272764.41951343371</v>
      </c>
      <c r="H11" s="1709">
        <v>36413.666439773406</v>
      </c>
      <c r="I11" s="2387">
        <v>735071.89718370407</v>
      </c>
      <c r="J11" s="2387">
        <v>507062.04955658608</v>
      </c>
      <c r="K11" s="564"/>
      <c r="L11" s="564"/>
      <c r="M11" s="564"/>
      <c r="N11" s="564"/>
      <c r="O11" s="564"/>
      <c r="P11" s="564"/>
      <c r="Q11" s="564"/>
      <c r="R11" s="564"/>
      <c r="S11" s="564"/>
    </row>
    <row r="12" spans="2:19">
      <c r="B12" s="1747" t="s">
        <v>103</v>
      </c>
      <c r="C12" s="1709">
        <v>473138.6460007662</v>
      </c>
      <c r="D12" s="1709">
        <v>227543.12328</v>
      </c>
      <c r="E12" s="1709">
        <v>3230050.6392262187</v>
      </c>
      <c r="F12" s="1709">
        <v>0</v>
      </c>
      <c r="G12" s="1709">
        <v>808261.91533864895</v>
      </c>
      <c r="H12" s="1709">
        <v>287928.19130122522</v>
      </c>
      <c r="I12" s="2387">
        <v>5026922.515146859</v>
      </c>
      <c r="J12" s="2387">
        <v>4023288.1122808019</v>
      </c>
      <c r="K12" s="564"/>
      <c r="L12" s="564"/>
      <c r="M12" s="564"/>
      <c r="N12" s="564"/>
      <c r="O12" s="564"/>
      <c r="P12" s="564"/>
      <c r="Q12" s="564"/>
      <c r="R12" s="564"/>
      <c r="S12" s="564"/>
    </row>
    <row r="13" spans="2:19">
      <c r="B13" s="1747" t="s">
        <v>105</v>
      </c>
      <c r="C13" s="1709">
        <v>478683.87989220489</v>
      </c>
      <c r="D13" s="1709">
        <v>267434.50799000001</v>
      </c>
      <c r="E13" s="1709">
        <v>2373253.919074452</v>
      </c>
      <c r="F13" s="1709">
        <v>2289.5897638780029</v>
      </c>
      <c r="G13" s="1709">
        <v>1125373.8322395924</v>
      </c>
      <c r="H13" s="1709">
        <v>250039.63029284269</v>
      </c>
      <c r="I13" s="2387">
        <v>4497075.3592529707</v>
      </c>
      <c r="J13" s="2387">
        <v>3327725.8114879988</v>
      </c>
      <c r="K13" s="564"/>
      <c r="L13" s="564"/>
      <c r="M13" s="564"/>
      <c r="N13" s="564"/>
      <c r="O13" s="564"/>
      <c r="P13" s="564"/>
      <c r="Q13" s="564"/>
      <c r="R13" s="564"/>
      <c r="S13" s="564"/>
    </row>
    <row r="14" spans="2:19">
      <c r="B14" s="1747" t="s">
        <v>106</v>
      </c>
      <c r="C14" s="1709">
        <v>40356.704021280049</v>
      </c>
      <c r="D14" s="1709">
        <v>25025</v>
      </c>
      <c r="E14" s="1709">
        <v>228100.34842526077</v>
      </c>
      <c r="F14" s="1709">
        <v>35.770918100112965</v>
      </c>
      <c r="G14" s="1709">
        <v>93367.639051118866</v>
      </c>
      <c r="H14" s="1709">
        <v>34650.798700213505</v>
      </c>
      <c r="I14" s="2387">
        <v>421536.26111597329</v>
      </c>
      <c r="J14" s="2387">
        <v>309953.07145640498</v>
      </c>
      <c r="K14" s="564"/>
      <c r="L14" s="564"/>
      <c r="M14" s="564"/>
      <c r="N14" s="564"/>
      <c r="O14" s="564"/>
      <c r="P14" s="564"/>
      <c r="Q14" s="564"/>
      <c r="R14" s="564"/>
      <c r="S14" s="564"/>
    </row>
    <row r="15" spans="2:19">
      <c r="B15" s="1747" t="s">
        <v>107</v>
      </c>
      <c r="C15" s="1709">
        <v>77563.189373985835</v>
      </c>
      <c r="D15" s="1709">
        <v>123119.93027</v>
      </c>
      <c r="E15" s="1709">
        <v>439121.45651412051</v>
      </c>
      <c r="F15" s="1709">
        <v>560.13373248000005</v>
      </c>
      <c r="G15" s="1709">
        <v>318411.79735483835</v>
      </c>
      <c r="H15" s="1709">
        <v>95128.818078623211</v>
      </c>
      <c r="I15" s="2387">
        <v>1053905.3253240478</v>
      </c>
      <c r="J15" s="2387">
        <v>721458.61031456909</v>
      </c>
      <c r="K15" s="564"/>
      <c r="L15" s="564"/>
      <c r="M15" s="564"/>
      <c r="N15" s="564"/>
      <c r="O15" s="564"/>
      <c r="P15" s="564"/>
      <c r="Q15" s="564"/>
      <c r="R15" s="564"/>
      <c r="S15" s="564"/>
    </row>
    <row r="16" spans="2:19">
      <c r="B16" s="1747" t="s">
        <v>109</v>
      </c>
      <c r="C16" s="1709">
        <v>6135.3624923747939</v>
      </c>
      <c r="D16" s="1709">
        <v>5667.7153579635396</v>
      </c>
      <c r="E16" s="1709">
        <v>41166.25491364082</v>
      </c>
      <c r="F16" s="1709">
        <v>114.90414787972161</v>
      </c>
      <c r="G16" s="1709">
        <v>17158.715959833353</v>
      </c>
      <c r="H16" s="1709">
        <v>10044.313146613486</v>
      </c>
      <c r="I16" s="2387">
        <v>80287.266018305701</v>
      </c>
      <c r="J16" s="2387">
        <v>56685.500513727784</v>
      </c>
      <c r="K16" s="564"/>
      <c r="L16" s="564"/>
      <c r="M16" s="564"/>
      <c r="N16" s="564"/>
      <c r="O16" s="564"/>
      <c r="P16" s="564"/>
      <c r="Q16" s="564"/>
      <c r="R16" s="564"/>
      <c r="S16" s="564"/>
    </row>
    <row r="17" spans="2:20">
      <c r="B17" s="1747" t="s">
        <v>113</v>
      </c>
      <c r="C17" s="1709">
        <v>38341.365679632159</v>
      </c>
      <c r="D17" s="1709">
        <v>167164.93234522094</v>
      </c>
      <c r="E17" s="1709">
        <v>253991.84317172875</v>
      </c>
      <c r="F17" s="1709">
        <v>0</v>
      </c>
      <c r="G17" s="1709">
        <v>83279.609198705482</v>
      </c>
      <c r="H17" s="1709">
        <v>25586.72002586216</v>
      </c>
      <c r="I17" s="2387">
        <v>568364.47042114963</v>
      </c>
      <c r="J17" s="2387">
        <v>467684.41850577499</v>
      </c>
      <c r="K17" s="564"/>
      <c r="L17" s="564"/>
      <c r="M17" s="564"/>
      <c r="N17" s="564"/>
      <c r="O17" s="564"/>
      <c r="P17" s="564"/>
      <c r="Q17" s="564"/>
      <c r="R17" s="564"/>
      <c r="S17" s="564"/>
    </row>
    <row r="18" spans="2:20">
      <c r="B18" s="1747" t="s">
        <v>115</v>
      </c>
      <c r="C18" s="1709">
        <v>1772086.7614041595</v>
      </c>
      <c r="D18" s="1709">
        <v>2511326.4938830012</v>
      </c>
      <c r="E18" s="1709">
        <v>14690317.53050377</v>
      </c>
      <c r="F18" s="1685">
        <v>0</v>
      </c>
      <c r="G18" s="1709">
        <v>6610930.0643971041</v>
      </c>
      <c r="H18" s="1709">
        <v>1853067.6424540766</v>
      </c>
      <c r="I18" s="2387">
        <v>27437728.492642112</v>
      </c>
      <c r="J18" s="2387">
        <v>20177728.21542431</v>
      </c>
      <c r="K18" s="564"/>
      <c r="L18" s="564"/>
      <c r="M18" s="564"/>
      <c r="N18" s="564"/>
      <c r="O18" s="564"/>
      <c r="P18" s="564"/>
      <c r="Q18" s="564"/>
      <c r="R18" s="564"/>
      <c r="S18" s="564"/>
    </row>
    <row r="19" spans="2:20">
      <c r="B19" s="1747" t="s">
        <v>116</v>
      </c>
      <c r="C19" s="1709">
        <v>493550.78052522009</v>
      </c>
      <c r="D19" s="1709">
        <v>991030.34614075138</v>
      </c>
      <c r="E19" s="1709">
        <v>2242838.8214673274</v>
      </c>
      <c r="F19" s="1709">
        <v>847.68263600000012</v>
      </c>
      <c r="G19" s="1709">
        <v>5735787.1007456882</v>
      </c>
      <c r="H19" s="1709">
        <v>373306.71541560575</v>
      </c>
      <c r="I19" s="2387">
        <v>9837361.4469305929</v>
      </c>
      <c r="J19" s="2387">
        <v>6851174.4318399262</v>
      </c>
      <c r="K19" s="564"/>
      <c r="L19" s="564"/>
      <c r="M19" s="564"/>
      <c r="N19" s="564"/>
      <c r="O19" s="564"/>
      <c r="P19" s="564"/>
      <c r="Q19" s="564"/>
      <c r="R19" s="564"/>
      <c r="S19" s="564"/>
    </row>
    <row r="20" spans="2:20">
      <c r="B20" s="1747" t="s">
        <v>117</v>
      </c>
      <c r="C20" s="1709">
        <v>618464</v>
      </c>
      <c r="D20" s="1709">
        <v>516349</v>
      </c>
      <c r="E20" s="1709">
        <v>8174153</v>
      </c>
      <c r="F20" s="1709">
        <v>140</v>
      </c>
      <c r="G20" s="1709">
        <v>1586154</v>
      </c>
      <c r="H20" s="1709">
        <v>689689</v>
      </c>
      <c r="I20" s="2387">
        <v>11584949</v>
      </c>
      <c r="J20" s="2387">
        <v>9468421.7242195643</v>
      </c>
      <c r="K20" s="564"/>
      <c r="L20" s="564"/>
      <c r="M20" s="564"/>
      <c r="N20" s="564"/>
      <c r="O20" s="564"/>
      <c r="P20" s="564"/>
      <c r="Q20" s="564"/>
      <c r="R20" s="564"/>
      <c r="S20" s="564"/>
    </row>
    <row r="21" spans="2:20">
      <c r="B21" s="2392" t="s">
        <v>118</v>
      </c>
      <c r="C21" s="2391">
        <f>SUM(C6:C20)</f>
        <v>6615683.0012216009</v>
      </c>
      <c r="D21" s="2391">
        <f t="shared" ref="D21:J21" si="0">SUM(D6:D20)</f>
        <v>6341390.6236269372</v>
      </c>
      <c r="E21" s="2391">
        <f t="shared" si="0"/>
        <v>50247332.966194771</v>
      </c>
      <c r="F21" s="2391">
        <f t="shared" si="0"/>
        <v>14814.968262600934</v>
      </c>
      <c r="G21" s="2391">
        <f t="shared" si="0"/>
        <v>23996690.13066018</v>
      </c>
      <c r="H21" s="2391">
        <f>SUM(H6:H20)</f>
        <v>6273029.8917386187</v>
      </c>
      <c r="I21" s="2391">
        <f t="shared" si="0"/>
        <v>93488941.581704721</v>
      </c>
      <c r="J21" s="2391">
        <f t="shared" si="0"/>
        <v>69913809.699542955</v>
      </c>
      <c r="K21" s="564"/>
      <c r="L21" s="564"/>
      <c r="M21" s="564"/>
      <c r="N21" s="564"/>
      <c r="O21" s="564"/>
      <c r="P21" s="564"/>
      <c r="Q21" s="564"/>
      <c r="R21" s="564"/>
      <c r="S21" s="564"/>
    </row>
    <row r="22" spans="2:20" ht="18.75" customHeight="1">
      <c r="B22" s="218"/>
      <c r="C22" s="478"/>
      <c r="D22" s="478"/>
      <c r="E22" s="478"/>
      <c r="F22" s="478"/>
      <c r="G22" s="478"/>
      <c r="H22" s="478"/>
      <c r="I22" s="478"/>
      <c r="J22" s="478"/>
    </row>
    <row r="23" spans="2:20" ht="18.75" customHeight="1">
      <c r="C23" s="396"/>
      <c r="D23" s="396"/>
      <c r="E23" s="396"/>
      <c r="F23" s="396"/>
      <c r="G23" s="396"/>
      <c r="H23" s="396"/>
      <c r="I23" s="396"/>
      <c r="J23" s="396"/>
    </row>
    <row r="24" spans="2:20" ht="14.45">
      <c r="B24" s="3452" t="s">
        <v>84</v>
      </c>
      <c r="C24" s="3234" t="s">
        <v>497</v>
      </c>
      <c r="D24" s="3235"/>
      <c r="E24" s="3235"/>
      <c r="F24" s="3235"/>
      <c r="G24" s="3235"/>
      <c r="H24" s="3235"/>
      <c r="I24" s="3235"/>
      <c r="J24" s="3236"/>
    </row>
    <row r="25" spans="2:20" ht="52.9">
      <c r="B25" s="3454"/>
      <c r="C25" s="1606" t="s">
        <v>489</v>
      </c>
      <c r="D25" s="1534" t="s">
        <v>490</v>
      </c>
      <c r="E25" s="1533" t="s">
        <v>491</v>
      </c>
      <c r="F25" s="1534" t="s">
        <v>492</v>
      </c>
      <c r="G25" s="1534" t="s">
        <v>493</v>
      </c>
      <c r="H25" s="1534" t="s">
        <v>494</v>
      </c>
      <c r="I25" s="1534" t="s">
        <v>495</v>
      </c>
      <c r="J25" s="1534" t="s">
        <v>496</v>
      </c>
    </row>
    <row r="26" spans="2:20">
      <c r="B26" s="1597" t="s">
        <v>90</v>
      </c>
      <c r="C26" s="1709">
        <v>392819.85354463995</v>
      </c>
      <c r="D26" s="1709">
        <v>663265.08675000002</v>
      </c>
      <c r="E26" s="1709">
        <v>3789245.5771296858</v>
      </c>
      <c r="F26" s="1685">
        <v>0</v>
      </c>
      <c r="G26" s="1709">
        <v>1723769.7088288907</v>
      </c>
      <c r="H26" s="1709">
        <v>649884.08158269001</v>
      </c>
      <c r="I26" s="2393">
        <v>7218984.3078359058</v>
      </c>
      <c r="J26" s="2393">
        <v>5183720.5896589467</v>
      </c>
      <c r="K26" s="564"/>
      <c r="L26" s="437"/>
      <c r="M26" s="23"/>
      <c r="N26" s="23"/>
      <c r="O26" s="23"/>
      <c r="P26" s="23"/>
      <c r="Q26" s="23"/>
      <c r="R26" s="23"/>
      <c r="S26" s="291"/>
      <c r="T26" s="699"/>
    </row>
    <row r="27" spans="2:20">
      <c r="B27" s="1747" t="s">
        <v>92</v>
      </c>
      <c r="C27" s="1709">
        <v>3496.649545168264</v>
      </c>
      <c r="D27" s="1709">
        <v>6719.1122100000002</v>
      </c>
      <c r="E27" s="1709">
        <v>213469.0354268041</v>
      </c>
      <c r="F27" s="1709">
        <v>1002.8888900233532</v>
      </c>
      <c r="G27" s="1709">
        <v>257010.12583016627</v>
      </c>
      <c r="H27" s="1709">
        <v>54858.793980718161</v>
      </c>
      <c r="I27" s="2393">
        <v>536556.60588288016</v>
      </c>
      <c r="J27" s="2393">
        <v>345757.49930933455</v>
      </c>
      <c r="K27" s="564"/>
      <c r="L27" s="437"/>
    </row>
    <row r="28" spans="2:20">
      <c r="B28" s="1747" t="s">
        <v>93</v>
      </c>
      <c r="C28" s="1709">
        <v>24677.972671452331</v>
      </c>
      <c r="D28" s="1709">
        <v>151393.39946201496</v>
      </c>
      <c r="E28" s="1709">
        <v>178413.82612686319</v>
      </c>
      <c r="F28" s="1709">
        <v>416.26501683750746</v>
      </c>
      <c r="G28" s="1709">
        <v>21295.848371430489</v>
      </c>
      <c r="H28" s="1709">
        <v>37738.189065606304</v>
      </c>
      <c r="I28" s="2393">
        <v>413935.50071420474</v>
      </c>
      <c r="J28" s="2393">
        <v>357537.03683406761</v>
      </c>
      <c r="K28" s="564"/>
      <c r="L28" s="437"/>
    </row>
    <row r="29" spans="2:20">
      <c r="B29" s="1747" t="s">
        <v>95</v>
      </c>
      <c r="C29" s="1709">
        <v>52724.434959834769</v>
      </c>
      <c r="D29" s="1709">
        <v>562827.06604580325</v>
      </c>
      <c r="E29" s="1709">
        <v>218753.39359610839</v>
      </c>
      <c r="F29" s="1709">
        <v>24.907852667897942</v>
      </c>
      <c r="G29" s="1709">
        <v>361635.17595912749</v>
      </c>
      <c r="H29" s="1709">
        <v>44309.541662090924</v>
      </c>
      <c r="I29" s="2393">
        <v>1240274.5200756327</v>
      </c>
      <c r="J29" s="2393">
        <v>910411.75038381165</v>
      </c>
      <c r="K29" s="564"/>
      <c r="L29" s="437"/>
    </row>
    <row r="30" spans="2:20">
      <c r="B30" s="1747" t="s">
        <v>96</v>
      </c>
      <c r="C30" s="1709">
        <v>1635652.0670224801</v>
      </c>
      <c r="D30" s="1709">
        <v>739543.91072000004</v>
      </c>
      <c r="E30" s="1709">
        <v>19379024.705455706</v>
      </c>
      <c r="F30" s="1709">
        <v>4228.217259395361</v>
      </c>
      <c r="G30" s="1709">
        <v>3648610.9590514153</v>
      </c>
      <c r="H30" s="1709">
        <v>1699432.7378513075</v>
      </c>
      <c r="I30" s="2393">
        <v>27106492.597360302</v>
      </c>
      <c r="J30" s="2393">
        <v>22127596.618585005</v>
      </c>
      <c r="K30" s="564"/>
      <c r="L30" s="437"/>
    </row>
    <row r="31" spans="2:20">
      <c r="B31" s="1747" t="s">
        <v>99</v>
      </c>
      <c r="C31" s="1709">
        <v>9034.1454875561285</v>
      </c>
      <c r="D31" s="1709">
        <v>4638.7460000000001</v>
      </c>
      <c r="E31" s="1709">
        <v>50928.471879052071</v>
      </c>
      <c r="F31" s="2394"/>
      <c r="G31" s="1709"/>
      <c r="H31" s="1709">
        <v>6148.450319036865</v>
      </c>
      <c r="I31" s="2393">
        <v>70749.813685645073</v>
      </c>
      <c r="J31" s="2393">
        <v>64893.29387656488</v>
      </c>
      <c r="K31" s="564"/>
      <c r="L31" s="437"/>
    </row>
    <row r="32" spans="2:20">
      <c r="B32" s="1747" t="s">
        <v>100</v>
      </c>
      <c r="C32" s="1709">
        <v>92163.238781080552</v>
      </c>
      <c r="D32" s="1709">
        <v>6922.1704700000037</v>
      </c>
      <c r="E32" s="1709">
        <v>399369.16228520678</v>
      </c>
      <c r="F32" s="1709">
        <v>985.05717186169329</v>
      </c>
      <c r="G32" s="1709">
        <v>209996.1494238954</v>
      </c>
      <c r="H32" s="1709">
        <v>39994.45453052636</v>
      </c>
      <c r="I32" s="2393">
        <v>749430.2326625709</v>
      </c>
      <c r="J32" s="2393">
        <v>543265.94030013611</v>
      </c>
      <c r="K32" s="564"/>
      <c r="L32" s="437"/>
    </row>
    <row r="33" spans="2:20">
      <c r="B33" s="1747" t="s">
        <v>103</v>
      </c>
      <c r="C33" s="1709">
        <v>524606.54299674893</v>
      </c>
      <c r="D33" s="1709">
        <v>293855.50625000003</v>
      </c>
      <c r="E33" s="1709">
        <v>2577569.4399208124</v>
      </c>
      <c r="F33" s="2394">
        <v>0</v>
      </c>
      <c r="G33" s="1709">
        <v>729572.89057890465</v>
      </c>
      <c r="H33" s="1709">
        <v>305712.19123087364</v>
      </c>
      <c r="I33" s="2393">
        <v>4431316.5709773395</v>
      </c>
      <c r="J33" s="2393">
        <v>3486942.2739633191</v>
      </c>
      <c r="K33" s="564"/>
      <c r="L33" s="437"/>
    </row>
    <row r="34" spans="2:20">
      <c r="B34" s="1747" t="s">
        <v>105</v>
      </c>
      <c r="C34" s="1709">
        <v>461405.10787357215</v>
      </c>
      <c r="D34" s="1709">
        <v>999538.90836784989</v>
      </c>
      <c r="E34" s="1709">
        <v>3189210.2645440646</v>
      </c>
      <c r="F34" s="1709">
        <v>1525.0755275627821</v>
      </c>
      <c r="G34" s="1709">
        <v>1220098.5607302189</v>
      </c>
      <c r="H34" s="1709">
        <v>238352.74907111845</v>
      </c>
      <c r="I34" s="2393">
        <v>6110130.6661143862</v>
      </c>
      <c r="J34" s="2393">
        <v>4814932.3323214725</v>
      </c>
      <c r="K34" s="564"/>
      <c r="L34" s="437"/>
    </row>
    <row r="35" spans="2:20">
      <c r="B35" s="1747" t="s">
        <v>106</v>
      </c>
      <c r="C35" s="1709">
        <v>25794.538048455554</v>
      </c>
      <c r="D35" s="1709">
        <v>80496.167337684499</v>
      </c>
      <c r="E35" s="1709">
        <v>359540.70999090478</v>
      </c>
      <c r="F35" s="1709">
        <v>42.651985704826359</v>
      </c>
      <c r="G35" s="1709">
        <v>53685.590048999758</v>
      </c>
      <c r="H35" s="1709">
        <v>26216.548086321032</v>
      </c>
      <c r="I35" s="2393">
        <v>545776.20549807046</v>
      </c>
      <c r="J35" s="2393">
        <v>469689.36182713724</v>
      </c>
      <c r="K35" s="564"/>
      <c r="L35" s="437"/>
    </row>
    <row r="36" spans="2:20">
      <c r="B36" s="1747" t="s">
        <v>107</v>
      </c>
      <c r="C36" s="1709">
        <v>110314.74313400715</v>
      </c>
      <c r="D36" s="1709">
        <v>650061.53793563088</v>
      </c>
      <c r="E36" s="1709">
        <v>826986.73231294821</v>
      </c>
      <c r="F36" s="1709">
        <v>40.491275680000008</v>
      </c>
      <c r="G36" s="1709">
        <v>329962.66227997607</v>
      </c>
      <c r="H36" s="1709">
        <v>102394.47148364919</v>
      </c>
      <c r="I36" s="2393">
        <v>2019760.6384218915</v>
      </c>
      <c r="J36" s="2393">
        <v>1624564.5179218496</v>
      </c>
      <c r="K36" s="564"/>
      <c r="L36" s="437"/>
      <c r="M36" s="293"/>
      <c r="N36" s="293"/>
      <c r="O36" s="293"/>
      <c r="P36" s="293"/>
      <c r="Q36" s="293"/>
      <c r="R36" s="293"/>
      <c r="S36" s="291"/>
      <c r="T36" s="699"/>
    </row>
    <row r="37" spans="2:20" ht="14.45">
      <c r="B37" s="1747" t="s">
        <v>109</v>
      </c>
      <c r="C37" s="1709">
        <v>8084.6983652366498</v>
      </c>
      <c r="D37" s="1709">
        <v>75800.22484429543</v>
      </c>
      <c r="E37" s="1709">
        <v>56194.95041267042</v>
      </c>
      <c r="F37" s="1709">
        <v>64.508601034395397</v>
      </c>
      <c r="G37" s="1709">
        <v>15522.493455923861</v>
      </c>
      <c r="H37" s="1709">
        <v>10186.390326545814</v>
      </c>
      <c r="I37" s="2393">
        <v>165853.26600570657</v>
      </c>
      <c r="J37" s="2393">
        <v>141368.87288122045</v>
      </c>
      <c r="K37" s="564"/>
      <c r="L37" s="437"/>
      <c r="M37" s="700"/>
      <c r="N37" s="700"/>
      <c r="O37" s="700"/>
      <c r="P37" s="700"/>
      <c r="Q37" s="700"/>
      <c r="R37" s="700"/>
      <c r="S37" s="701"/>
      <c r="T37" s="699"/>
    </row>
    <row r="38" spans="2:20">
      <c r="B38" s="1747" t="s">
        <v>113</v>
      </c>
      <c r="C38" s="1709">
        <v>42433.309189041094</v>
      </c>
      <c r="D38" s="1709">
        <v>87027.947595000005</v>
      </c>
      <c r="E38" s="1709">
        <v>314126.95132781973</v>
      </c>
      <c r="F38" s="1685">
        <v>0</v>
      </c>
      <c r="G38" s="1709">
        <v>80306.231725383739</v>
      </c>
      <c r="H38" s="1709">
        <v>28075.064347848631</v>
      </c>
      <c r="I38" s="2393">
        <v>551969.5041850931</v>
      </c>
      <c r="J38" s="2393">
        <v>451672.22459207999</v>
      </c>
      <c r="K38" s="564"/>
      <c r="L38" s="437"/>
      <c r="M38" s="293"/>
      <c r="N38" s="293"/>
      <c r="O38" s="293"/>
      <c r="P38" s="293"/>
      <c r="Q38" s="293"/>
      <c r="R38" s="293"/>
      <c r="S38" s="291"/>
      <c r="T38" s="699"/>
    </row>
    <row r="39" spans="2:20">
      <c r="B39" s="1747" t="s">
        <v>115</v>
      </c>
      <c r="C39" s="1709">
        <v>1572857.6480910701</v>
      </c>
      <c r="D39" s="1709">
        <v>3917026.9479000014</v>
      </c>
      <c r="E39" s="1709">
        <v>22950161.957348153</v>
      </c>
      <c r="F39" s="1685">
        <v>0</v>
      </c>
      <c r="G39" s="1709">
        <v>4653983.4946867079</v>
      </c>
      <c r="H39" s="1709">
        <v>1669608.2760904939</v>
      </c>
      <c r="I39" s="2393">
        <v>34763638.324116424</v>
      </c>
      <c r="J39" s="2393">
        <v>28866648.612551272</v>
      </c>
      <c r="K39" s="564"/>
      <c r="L39" s="437"/>
      <c r="M39" s="293"/>
      <c r="N39" s="293"/>
      <c r="O39" s="293"/>
      <c r="P39" s="699"/>
      <c r="Q39" s="293"/>
      <c r="R39" s="293"/>
      <c r="S39" s="291"/>
      <c r="T39" s="699"/>
    </row>
    <row r="40" spans="2:20">
      <c r="B40" s="1747" t="s">
        <v>116</v>
      </c>
      <c r="C40" s="1709">
        <v>502390.67690894182</v>
      </c>
      <c r="D40" s="1709">
        <v>1349916.2459833005</v>
      </c>
      <c r="E40" s="1709">
        <v>8236413.1566137709</v>
      </c>
      <c r="F40" s="1784">
        <v>785.99200733587872</v>
      </c>
      <c r="G40" s="1709">
        <v>4985413.7844870873</v>
      </c>
      <c r="H40" s="1709">
        <v>430456.7251691015</v>
      </c>
      <c r="I40" s="2393">
        <v>15505376.581169538</v>
      </c>
      <c r="J40" s="2393">
        <v>11262227.859615605</v>
      </c>
      <c r="K40" s="564"/>
      <c r="L40" s="437"/>
      <c r="M40" s="291"/>
      <c r="N40" s="291"/>
      <c r="O40" s="291"/>
      <c r="P40" s="291"/>
      <c r="Q40" s="291"/>
      <c r="R40" s="291"/>
      <c r="S40" s="291"/>
      <c r="T40" s="699"/>
    </row>
    <row r="41" spans="2:20" ht="14.45">
      <c r="B41" s="1747" t="s">
        <v>117</v>
      </c>
      <c r="C41" s="1709">
        <v>517950.37600000005</v>
      </c>
      <c r="D41" s="1709">
        <v>503666</v>
      </c>
      <c r="E41" s="1709">
        <v>8280547.1721766517</v>
      </c>
      <c r="F41" s="702">
        <v>82.346596736763502</v>
      </c>
      <c r="G41" s="1709">
        <v>1676245.563273821</v>
      </c>
      <c r="H41" s="1709">
        <v>618250.43000000005</v>
      </c>
      <c r="I41" s="2393">
        <v>11596741.888047209</v>
      </c>
      <c r="J41" s="2393">
        <v>9472265.3821257949</v>
      </c>
      <c r="K41" s="564"/>
      <c r="L41" s="437"/>
      <c r="M41" s="273"/>
      <c r="N41" s="273"/>
      <c r="O41" s="273"/>
      <c r="P41" s="273"/>
      <c r="Q41" s="273"/>
      <c r="R41" s="273"/>
      <c r="S41" s="291"/>
      <c r="T41" s="699"/>
    </row>
    <row r="42" spans="2:20">
      <c r="B42" s="2392" t="s">
        <v>118</v>
      </c>
      <c r="C42" s="2391">
        <f t="shared" ref="C42:J42" si="1">SUM(C26:C41)</f>
        <v>5976406.0026192861</v>
      </c>
      <c r="D42" s="2391">
        <f t="shared" si="1"/>
        <v>10092698.97787158</v>
      </c>
      <c r="E42" s="2391">
        <f t="shared" si="1"/>
        <v>71019955.506547213</v>
      </c>
      <c r="F42" s="2391">
        <f t="shared" si="1"/>
        <v>9198.4021848404573</v>
      </c>
      <c r="G42" s="2391">
        <f t="shared" si="1"/>
        <v>19967109.238731947</v>
      </c>
      <c r="H42" s="2391">
        <f t="shared" si="1"/>
        <v>5961619.0947979279</v>
      </c>
      <c r="I42" s="2391">
        <f t="shared" si="1"/>
        <v>113026987.22275279</v>
      </c>
      <c r="J42" s="2391">
        <f t="shared" si="1"/>
        <v>90123494.166747615</v>
      </c>
      <c r="K42" s="564"/>
      <c r="L42" s="437"/>
      <c r="M42" s="527"/>
      <c r="N42" s="527"/>
      <c r="O42" s="527"/>
      <c r="P42" s="527"/>
      <c r="Q42" s="527"/>
      <c r="R42" s="527"/>
      <c r="S42" s="527"/>
    </row>
    <row r="44" spans="2:20" ht="27.6" customHeight="1">
      <c r="B44" s="3461"/>
      <c r="C44" s="3461"/>
      <c r="D44" s="3461"/>
      <c r="E44" s="3461"/>
      <c r="F44" s="3461"/>
      <c r="G44" s="3461"/>
      <c r="H44" s="3461"/>
      <c r="I44" s="3461"/>
      <c r="J44" s="3461"/>
    </row>
    <row r="46" spans="2:20">
      <c r="C46" s="396"/>
      <c r="J46" s="292">
        <v>142</v>
      </c>
    </row>
    <row r="47" spans="2:20">
      <c r="B47" s="489"/>
    </row>
    <row r="48" spans="2:20">
      <c r="J48" s="396"/>
    </row>
  </sheetData>
  <sortState xmlns:xlrd2="http://schemas.microsoft.com/office/spreadsheetml/2017/richdata2" ref="B26:J41">
    <sortCondition ref="B26"/>
  </sortState>
  <mergeCells count="6">
    <mergeCell ref="B44:J44"/>
    <mergeCell ref="B2:J2"/>
    <mergeCell ref="B4:B5"/>
    <mergeCell ref="C4:J4"/>
    <mergeCell ref="B24:B25"/>
    <mergeCell ref="C24:J24"/>
  </mergeCells>
  <pageMargins left="0.7" right="0.35" top="0.75" bottom="0.75" header="0.3" footer="0.3"/>
  <pageSetup paperSize="9" scale="60"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F6699"/>
  </sheetPr>
  <dimension ref="B1:M31"/>
  <sheetViews>
    <sheetView showGridLines="0" view="pageBreakPreview" zoomScale="85" zoomScaleNormal="100" zoomScaleSheetLayoutView="85" workbookViewId="0">
      <selection activeCell="J32" sqref="J32"/>
    </sheetView>
  </sheetViews>
  <sheetFormatPr defaultColWidth="9.140625" defaultRowHeight="13.15"/>
  <cols>
    <col min="1" max="1" width="5.85546875" style="292" customWidth="1"/>
    <col min="2" max="2" width="25.28515625" style="292" customWidth="1"/>
    <col min="3" max="3" width="15.28515625" style="292" customWidth="1"/>
    <col min="4" max="6" width="18.5703125" style="292" customWidth="1"/>
    <col min="7" max="7" width="21.28515625" style="292" customWidth="1"/>
    <col min="8" max="9" width="11.5703125" style="292" bestFit="1" customWidth="1"/>
    <col min="10" max="10" width="14.140625" style="292" customWidth="1"/>
    <col min="11" max="16384" width="9.140625" style="292"/>
  </cols>
  <sheetData>
    <row r="1" spans="2:13">
      <c r="B1" s="295"/>
      <c r="C1" s="295"/>
      <c r="D1" s="295"/>
      <c r="E1" s="295"/>
      <c r="F1" s="295"/>
    </row>
    <row r="2" spans="2:13" ht="12.75" customHeight="1">
      <c r="B2" s="3462" t="s">
        <v>498</v>
      </c>
      <c r="C2" s="3198"/>
      <c r="D2" s="3198"/>
      <c r="E2" s="3198"/>
      <c r="F2" s="3198"/>
      <c r="G2" s="3198"/>
    </row>
    <row r="3" spans="2:13">
      <c r="B3" s="3198"/>
      <c r="C3" s="3198"/>
      <c r="D3" s="3198"/>
      <c r="E3" s="3198"/>
      <c r="F3" s="3198"/>
      <c r="G3" s="3198"/>
    </row>
    <row r="4" spans="2:13">
      <c r="B4" s="492"/>
      <c r="C4" s="492"/>
      <c r="D4" s="492"/>
      <c r="E4" s="492"/>
      <c r="F4" s="492"/>
      <c r="G4" s="492"/>
    </row>
    <row r="5" spans="2:13" ht="15" customHeight="1">
      <c r="B5" s="492"/>
      <c r="C5" s="492"/>
      <c r="D5" s="492"/>
      <c r="E5" s="492"/>
      <c r="F5" s="3451" t="s">
        <v>499</v>
      </c>
      <c r="G5" s="3451"/>
    </row>
    <row r="6" spans="2:13" ht="19.5" customHeight="1">
      <c r="B6" s="3452" t="s">
        <v>84</v>
      </c>
      <c r="C6" s="3463" t="s">
        <v>500</v>
      </c>
      <c r="D6" s="3208" t="s">
        <v>501</v>
      </c>
      <c r="E6" s="3201"/>
      <c r="F6" s="3201"/>
      <c r="G6" s="3202"/>
    </row>
    <row r="7" spans="2:13" ht="21" customHeight="1">
      <c r="B7" s="3453"/>
      <c r="C7" s="3464"/>
      <c r="D7" s="3466" t="s">
        <v>484</v>
      </c>
      <c r="E7" s="3468" t="s">
        <v>485</v>
      </c>
      <c r="F7" s="3468" t="s">
        <v>486</v>
      </c>
      <c r="G7" s="3469" t="s">
        <v>502</v>
      </c>
    </row>
    <row r="8" spans="2:13" ht="35.25" customHeight="1">
      <c r="B8" s="3454"/>
      <c r="C8" s="3465"/>
      <c r="D8" s="3467"/>
      <c r="E8" s="3457"/>
      <c r="F8" s="3457"/>
      <c r="G8" s="3459"/>
      <c r="I8" s="396"/>
    </row>
    <row r="9" spans="2:13">
      <c r="B9" s="1545" t="s">
        <v>91</v>
      </c>
      <c r="C9" s="1528">
        <v>9554630</v>
      </c>
      <c r="D9" s="2395">
        <v>12655465</v>
      </c>
      <c r="E9" s="2396">
        <v>0</v>
      </c>
      <c r="F9" s="2395">
        <v>4234851</v>
      </c>
      <c r="G9" s="2397">
        <v>8420614</v>
      </c>
      <c r="H9" s="396"/>
      <c r="I9" s="396"/>
      <c r="J9" s="396"/>
      <c r="K9" s="396"/>
      <c r="L9" s="396"/>
      <c r="M9" s="396"/>
    </row>
    <row r="10" spans="2:13">
      <c r="B10" s="2398" t="s">
        <v>94</v>
      </c>
      <c r="C10" s="1528">
        <v>697680.21933423774</v>
      </c>
      <c r="D10" s="715">
        <v>2767850.841591245</v>
      </c>
      <c r="E10" s="2399">
        <v>490696.17949999997</v>
      </c>
      <c r="F10" s="715">
        <v>2373308.5269499999</v>
      </c>
      <c r="G10" s="1530">
        <v>885238.49414124526</v>
      </c>
      <c r="H10" s="396"/>
      <c r="I10" s="396"/>
      <c r="J10" s="396"/>
      <c r="K10" s="396"/>
      <c r="L10" s="396"/>
      <c r="M10" s="396"/>
    </row>
    <row r="11" spans="2:13">
      <c r="B11" s="2398" t="s">
        <v>97</v>
      </c>
      <c r="C11" s="1528">
        <v>7785548.6859647408</v>
      </c>
      <c r="D11" s="715">
        <v>15035940.859489221</v>
      </c>
      <c r="E11" s="1535">
        <v>494241</v>
      </c>
      <c r="F11" s="715">
        <v>6652025</v>
      </c>
      <c r="G11" s="1530">
        <v>8878156.8594892211</v>
      </c>
      <c r="H11" s="396"/>
      <c r="I11" s="396"/>
      <c r="J11" s="396"/>
      <c r="K11" s="396"/>
      <c r="L11" s="396"/>
      <c r="M11" s="396"/>
    </row>
    <row r="12" spans="2:13">
      <c r="B12" s="2398" t="s">
        <v>205</v>
      </c>
      <c r="C12" s="1528">
        <v>2767549</v>
      </c>
      <c r="D12" s="703">
        <v>4874835</v>
      </c>
      <c r="E12" s="2396">
        <v>0</v>
      </c>
      <c r="F12" s="703">
        <v>707060</v>
      </c>
      <c r="G12" s="1530">
        <v>4167775</v>
      </c>
      <c r="H12" s="396"/>
      <c r="I12" s="396"/>
      <c r="J12" s="396"/>
      <c r="K12" s="396"/>
      <c r="L12" s="396"/>
      <c r="M12" s="396"/>
    </row>
    <row r="13" spans="2:13">
      <c r="B13" s="2398" t="s">
        <v>101</v>
      </c>
      <c r="C13" s="1528">
        <v>3389680</v>
      </c>
      <c r="D13" s="715">
        <v>3542832</v>
      </c>
      <c r="E13" s="2395">
        <v>935577</v>
      </c>
      <c r="F13" s="715">
        <v>1124781</v>
      </c>
      <c r="G13" s="1530">
        <v>3353628</v>
      </c>
      <c r="H13" s="396"/>
      <c r="I13" s="396"/>
      <c r="J13" s="396"/>
      <c r="K13" s="396"/>
      <c r="L13" s="396"/>
      <c r="M13" s="396"/>
    </row>
    <row r="14" spans="2:13">
      <c r="B14" s="2398" t="s">
        <v>102</v>
      </c>
      <c r="C14" s="1528">
        <v>5244163</v>
      </c>
      <c r="D14" s="715">
        <v>7485370</v>
      </c>
      <c r="E14" s="2396">
        <v>0</v>
      </c>
      <c r="F14" s="715">
        <v>2288312</v>
      </c>
      <c r="G14" s="1530">
        <v>5197058</v>
      </c>
      <c r="H14" s="396"/>
      <c r="I14" s="396"/>
      <c r="J14" s="396"/>
      <c r="K14" s="396"/>
      <c r="L14" s="396"/>
      <c r="M14" s="396"/>
    </row>
    <row r="15" spans="2:13">
      <c r="B15" s="2398" t="s">
        <v>104</v>
      </c>
      <c r="C15" s="1528">
        <v>1903450</v>
      </c>
      <c r="D15" s="715">
        <v>2342483</v>
      </c>
      <c r="E15" s="2396"/>
      <c r="F15" s="715">
        <v>395191</v>
      </c>
      <c r="G15" s="1530">
        <v>1947292</v>
      </c>
      <c r="H15" s="396"/>
      <c r="I15" s="396"/>
      <c r="J15" s="396"/>
      <c r="K15" s="396"/>
      <c r="L15" s="396"/>
      <c r="M15" s="396"/>
    </row>
    <row r="16" spans="2:13">
      <c r="B16" s="2398" t="s">
        <v>108</v>
      </c>
      <c r="C16" s="2403">
        <v>3685885</v>
      </c>
      <c r="D16" s="2395">
        <v>4002987</v>
      </c>
      <c r="E16" s="2396"/>
      <c r="F16" s="2395">
        <v>498209</v>
      </c>
      <c r="G16" s="2404">
        <v>3504778</v>
      </c>
      <c r="H16" s="396"/>
      <c r="I16" s="396"/>
      <c r="J16" s="396"/>
      <c r="K16" s="396"/>
      <c r="L16" s="396"/>
      <c r="M16" s="396"/>
    </row>
    <row r="17" spans="2:13">
      <c r="B17" s="2398" t="s">
        <v>109</v>
      </c>
      <c r="C17" s="1528">
        <v>288676</v>
      </c>
      <c r="D17" s="715">
        <v>318955</v>
      </c>
      <c r="E17" s="2399">
        <v>5567</v>
      </c>
      <c r="F17" s="715">
        <v>85310</v>
      </c>
      <c r="G17" s="1531">
        <v>239212</v>
      </c>
      <c r="H17" s="396"/>
      <c r="I17" s="396"/>
      <c r="J17" s="396"/>
      <c r="K17" s="396"/>
      <c r="L17" s="396"/>
      <c r="M17" s="396"/>
    </row>
    <row r="18" spans="2:13">
      <c r="B18" s="2398" t="s">
        <v>111</v>
      </c>
      <c r="C18" s="1528">
        <v>1060412.2257974667</v>
      </c>
      <c r="D18" s="715">
        <v>1279801.6368224912</v>
      </c>
      <c r="E18" s="2396">
        <v>0</v>
      </c>
      <c r="F18" s="715">
        <v>93239.900592014703</v>
      </c>
      <c r="G18" s="1531">
        <v>1186561.7362304765</v>
      </c>
      <c r="H18" s="396"/>
      <c r="I18" s="396"/>
      <c r="J18" s="396"/>
      <c r="K18" s="396"/>
      <c r="L18" s="396"/>
      <c r="M18" s="396"/>
    </row>
    <row r="19" spans="2:13">
      <c r="B19" s="2398" t="s">
        <v>112</v>
      </c>
      <c r="C19" s="1528">
        <v>4549199.0151124084</v>
      </c>
      <c r="D19" s="715">
        <v>4543696.7450933494</v>
      </c>
      <c r="E19" s="2396"/>
      <c r="F19" s="715">
        <v>462894.40674999997</v>
      </c>
      <c r="G19" s="1531">
        <v>4080803.3383433493</v>
      </c>
      <c r="H19" s="396"/>
      <c r="I19" s="396"/>
      <c r="J19" s="396"/>
      <c r="K19" s="396"/>
      <c r="L19" s="396"/>
      <c r="M19" s="396"/>
    </row>
    <row r="20" spans="2:13">
      <c r="B20" s="2398" t="s">
        <v>114</v>
      </c>
      <c r="C20" s="1529">
        <v>598080</v>
      </c>
      <c r="D20" s="715">
        <v>654293</v>
      </c>
      <c r="E20" s="1733"/>
      <c r="F20" s="715">
        <v>129826</v>
      </c>
      <c r="G20" s="1531">
        <v>524467</v>
      </c>
      <c r="H20" s="396"/>
      <c r="I20" s="396"/>
      <c r="J20" s="396"/>
      <c r="K20" s="396"/>
      <c r="L20" s="396"/>
      <c r="M20" s="396"/>
    </row>
    <row r="21" spans="2:13">
      <c r="B21" s="2398" t="s">
        <v>115</v>
      </c>
      <c r="C21" s="1529">
        <v>33415841</v>
      </c>
      <c r="D21" s="715">
        <v>52780553</v>
      </c>
      <c r="E21" s="2395">
        <v>9203609</v>
      </c>
      <c r="F21" s="715">
        <v>22615509</v>
      </c>
      <c r="G21" s="1531">
        <v>39368653</v>
      </c>
      <c r="H21" s="396"/>
      <c r="I21" s="396"/>
      <c r="J21" s="396"/>
      <c r="K21" s="396"/>
      <c r="L21" s="396"/>
      <c r="M21" s="396"/>
    </row>
    <row r="22" spans="2:13">
      <c r="B22" s="2390" t="s">
        <v>118</v>
      </c>
      <c r="C22" s="2405">
        <f>SUM(C9:C21)</f>
        <v>74940794.146208853</v>
      </c>
      <c r="D22" s="2405">
        <f>SUM(D9:D21)</f>
        <v>112285063.08299631</v>
      </c>
      <c r="E22" s="2405">
        <f>SUM(E9:E21)</f>
        <v>11129690.179500001</v>
      </c>
      <c r="F22" s="2405">
        <f>SUM(F9:F21)</f>
        <v>41660516.834292017</v>
      </c>
      <c r="G22" s="2406">
        <f>SUM(G9:G21)</f>
        <v>81754237.428204298</v>
      </c>
      <c r="H22" s="396"/>
      <c r="I22" s="396"/>
      <c r="J22" s="396"/>
      <c r="K22" s="396"/>
      <c r="L22" s="396"/>
      <c r="M22" s="396"/>
    </row>
    <row r="23" spans="2:13">
      <c r="J23" s="396"/>
    </row>
    <row r="24" spans="2:13">
      <c r="B24" s="3086"/>
      <c r="I24" s="396"/>
    </row>
    <row r="26" spans="2:13">
      <c r="G26" s="292">
        <v>143</v>
      </c>
    </row>
    <row r="27" spans="2:13">
      <c r="B27" s="37"/>
    </row>
    <row r="31" spans="2:13">
      <c r="G31" s="396"/>
    </row>
  </sheetData>
  <sortState xmlns:xlrd2="http://schemas.microsoft.com/office/spreadsheetml/2017/richdata2" ref="B9:G21">
    <sortCondition ref="B9"/>
  </sortState>
  <mergeCells count="9">
    <mergeCell ref="B2:G3"/>
    <mergeCell ref="F5:G5"/>
    <mergeCell ref="B6:B8"/>
    <mergeCell ref="C6:C8"/>
    <mergeCell ref="D6:G6"/>
    <mergeCell ref="D7:D8"/>
    <mergeCell ref="E7:E8"/>
    <mergeCell ref="F7:F8"/>
    <mergeCell ref="G7:G8"/>
  </mergeCells>
  <pageMargins left="0.7" right="0.7" top="0.75" bottom="0.75" header="0.3" footer="0.3"/>
  <pageSetup paperSize="9" scale="83"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FF6699"/>
  </sheetPr>
  <dimension ref="B1:S44"/>
  <sheetViews>
    <sheetView showGridLines="0" view="pageBreakPreview" zoomScale="85" zoomScaleNormal="100" zoomScaleSheetLayoutView="85" workbookViewId="0">
      <selection activeCell="P14" sqref="P14"/>
    </sheetView>
  </sheetViews>
  <sheetFormatPr defaultColWidth="9.140625" defaultRowHeight="13.15"/>
  <cols>
    <col min="1" max="1" width="6.85546875" style="292" customWidth="1"/>
    <col min="2" max="2" width="18" style="292" customWidth="1"/>
    <col min="3" max="3" width="12.7109375" style="292" customWidth="1"/>
    <col min="4" max="4" width="14.28515625" style="292" customWidth="1"/>
    <col min="5" max="5" width="16" style="292" bestFit="1" customWidth="1"/>
    <col min="6" max="6" width="12.7109375" style="292" customWidth="1"/>
    <col min="7" max="7" width="16" style="292" bestFit="1" customWidth="1"/>
    <col min="8" max="8" width="12.7109375" style="292" customWidth="1"/>
    <col min="9" max="9" width="14.85546875" style="292" customWidth="1"/>
    <col min="10" max="10" width="14.28515625" style="292" customWidth="1"/>
    <col min="11" max="11" width="11.7109375" style="292" customWidth="1"/>
    <col min="12" max="12" width="11.5703125" style="292" bestFit="1" customWidth="1"/>
    <col min="13" max="19" width="11.85546875" style="292" customWidth="1"/>
    <col min="20" max="16384" width="9.140625" style="292"/>
  </cols>
  <sheetData>
    <row r="1" spans="2:18">
      <c r="B1" s="295"/>
      <c r="C1" s="295"/>
      <c r="D1" s="295"/>
      <c r="E1" s="295"/>
    </row>
    <row r="2" spans="2:18" ht="14.45">
      <c r="B2" s="1670" t="s">
        <v>503</v>
      </c>
      <c r="C2" s="218"/>
      <c r="D2" s="218"/>
      <c r="E2" s="218"/>
      <c r="F2" s="218"/>
      <c r="G2" s="218"/>
      <c r="H2" s="218"/>
      <c r="I2" s="218"/>
      <c r="J2" s="471"/>
    </row>
    <row r="3" spans="2:18">
      <c r="B3" s="218"/>
      <c r="C3" s="218"/>
      <c r="D3" s="218"/>
      <c r="E3" s="218"/>
      <c r="F3" s="218"/>
      <c r="G3" s="218"/>
      <c r="H3" s="218"/>
      <c r="I3" s="218"/>
    </row>
    <row r="4" spans="2:18" ht="14.45">
      <c r="B4" s="3452" t="s">
        <v>84</v>
      </c>
      <c r="C4" s="3201" t="s">
        <v>488</v>
      </c>
      <c r="D4" s="3201"/>
      <c r="E4" s="3201"/>
      <c r="F4" s="3201"/>
      <c r="G4" s="3201"/>
      <c r="H4" s="3201"/>
      <c r="I4" s="3201"/>
      <c r="J4" s="3202"/>
    </row>
    <row r="5" spans="2:18" ht="79.150000000000006">
      <c r="B5" s="3454"/>
      <c r="C5" s="1606" t="s">
        <v>489</v>
      </c>
      <c r="D5" s="1534" t="s">
        <v>490</v>
      </c>
      <c r="E5" s="1533" t="s">
        <v>491</v>
      </c>
      <c r="F5" s="1534" t="s">
        <v>492</v>
      </c>
      <c r="G5" s="1534" t="s">
        <v>493</v>
      </c>
      <c r="H5" s="1534" t="s">
        <v>494</v>
      </c>
      <c r="I5" s="1534" t="s">
        <v>495</v>
      </c>
      <c r="J5" s="1534" t="s">
        <v>496</v>
      </c>
    </row>
    <row r="6" spans="2:18">
      <c r="B6" s="1545" t="s">
        <v>91</v>
      </c>
      <c r="C6" s="2395">
        <v>78721</v>
      </c>
      <c r="D6" s="2407">
        <v>1886959</v>
      </c>
      <c r="E6" s="2408">
        <v>698024</v>
      </c>
      <c r="F6" s="2408">
        <v>49792</v>
      </c>
      <c r="G6" s="2408">
        <v>1761594</v>
      </c>
      <c r="H6" s="2408">
        <v>257786</v>
      </c>
      <c r="I6" s="2409">
        <v>4732877</v>
      </c>
      <c r="J6" s="2409">
        <v>3245417</v>
      </c>
      <c r="K6" s="396"/>
      <c r="L6" s="396"/>
      <c r="M6" s="396"/>
      <c r="N6" s="396"/>
      <c r="O6" s="396"/>
      <c r="P6" s="396"/>
      <c r="Q6" s="396"/>
      <c r="R6" s="396"/>
    </row>
    <row r="7" spans="2:18">
      <c r="B7" s="2398" t="s">
        <v>94</v>
      </c>
      <c r="C7" s="715">
        <v>26889.928975515657</v>
      </c>
      <c r="D7" s="716">
        <v>263192.64721808897</v>
      </c>
      <c r="E7" s="716">
        <v>37972.550012674212</v>
      </c>
      <c r="F7" s="716">
        <v>9347.0724807151128</v>
      </c>
      <c r="G7" s="716">
        <v>185514.07737961685</v>
      </c>
      <c r="H7" s="716">
        <v>31789.57254293466</v>
      </c>
      <c r="I7" s="1532">
        <v>554705.84860954538</v>
      </c>
      <c r="J7" s="1532">
        <v>386349.96247869713</v>
      </c>
      <c r="K7" s="396"/>
      <c r="L7" s="396"/>
      <c r="M7" s="396"/>
      <c r="N7" s="396"/>
      <c r="O7" s="396"/>
      <c r="P7" s="396"/>
      <c r="Q7" s="396"/>
      <c r="R7" s="396"/>
    </row>
    <row r="8" spans="2:18">
      <c r="B8" s="2398" t="s">
        <v>97</v>
      </c>
      <c r="C8" s="715">
        <v>273070.60800000001</v>
      </c>
      <c r="D8" s="716">
        <v>1728928</v>
      </c>
      <c r="E8" s="716">
        <v>1013435.7865052</v>
      </c>
      <c r="F8" s="716">
        <v>294495.74850172002</v>
      </c>
      <c r="G8" s="716">
        <v>1926292.0378276601</v>
      </c>
      <c r="H8" s="716">
        <v>307497.61292576202</v>
      </c>
      <c r="I8" s="1532">
        <v>5543719.7937603425</v>
      </c>
      <c r="J8" s="1532">
        <v>3841977.7912605233</v>
      </c>
      <c r="K8" s="396"/>
      <c r="L8" s="396"/>
      <c r="M8" s="396"/>
      <c r="N8" s="396"/>
      <c r="O8" s="396"/>
      <c r="P8" s="396"/>
      <c r="Q8" s="396"/>
      <c r="R8" s="396"/>
    </row>
    <row r="9" spans="2:18">
      <c r="B9" s="2398" t="s">
        <v>128</v>
      </c>
      <c r="C9" s="715">
        <v>109613</v>
      </c>
      <c r="D9" s="716">
        <v>211684</v>
      </c>
      <c r="E9" s="716">
        <v>393193</v>
      </c>
      <c r="F9" s="716">
        <v>28551</v>
      </c>
      <c r="G9" s="716">
        <v>434697</v>
      </c>
      <c r="H9" s="716">
        <v>76404</v>
      </c>
      <c r="I9" s="1532">
        <v>1254142</v>
      </c>
      <c r="J9" s="1532">
        <v>864239</v>
      </c>
      <c r="K9" s="396"/>
      <c r="L9" s="396"/>
      <c r="M9" s="396"/>
      <c r="N9" s="396"/>
      <c r="O9" s="396"/>
      <c r="P9" s="396"/>
      <c r="Q9" s="396"/>
      <c r="R9" s="396"/>
    </row>
    <row r="10" spans="2:18">
      <c r="B10" s="2398" t="s">
        <v>101</v>
      </c>
      <c r="C10" s="715">
        <v>174124</v>
      </c>
      <c r="D10" s="716">
        <v>111572</v>
      </c>
      <c r="E10" s="716">
        <v>690495</v>
      </c>
      <c r="F10" s="716">
        <v>30415</v>
      </c>
      <c r="G10" s="716">
        <v>551718</v>
      </c>
      <c r="H10" s="716">
        <v>90849</v>
      </c>
      <c r="I10" s="1532">
        <v>1649173</v>
      </c>
      <c r="J10" s="1532">
        <v>1151478</v>
      </c>
      <c r="K10" s="396"/>
      <c r="L10" s="396"/>
      <c r="M10" s="396"/>
      <c r="N10" s="396"/>
      <c r="O10" s="396"/>
      <c r="P10" s="396"/>
      <c r="Q10" s="396"/>
      <c r="R10" s="396"/>
    </row>
    <row r="11" spans="2:18">
      <c r="B11" s="2398" t="s">
        <v>102</v>
      </c>
      <c r="C11" s="715">
        <v>62557</v>
      </c>
      <c r="D11" s="716">
        <v>984517</v>
      </c>
      <c r="E11" s="716">
        <v>815478</v>
      </c>
      <c r="F11" s="716">
        <v>361452</v>
      </c>
      <c r="G11" s="716">
        <v>1154715</v>
      </c>
      <c r="H11" s="716">
        <v>156293</v>
      </c>
      <c r="I11" s="1532">
        <v>3535012</v>
      </c>
      <c r="J11" s="1532">
        <v>2510774</v>
      </c>
      <c r="K11" s="396"/>
      <c r="L11" s="396"/>
      <c r="M11" s="396"/>
      <c r="N11" s="396"/>
      <c r="O11" s="396"/>
      <c r="P11" s="396"/>
      <c r="Q11" s="396"/>
      <c r="R11" s="396"/>
    </row>
    <row r="12" spans="2:18">
      <c r="B12" s="2398" t="s">
        <v>104</v>
      </c>
      <c r="C12" s="715">
        <v>84074</v>
      </c>
      <c r="D12" s="716">
        <v>173859</v>
      </c>
      <c r="E12" s="716">
        <v>191437</v>
      </c>
      <c r="F12" s="716">
        <v>29482</v>
      </c>
      <c r="G12" s="716">
        <v>549587</v>
      </c>
      <c r="H12" s="716">
        <v>67056</v>
      </c>
      <c r="I12" s="1532">
        <v>1095495</v>
      </c>
      <c r="J12" s="1532">
        <v>732013</v>
      </c>
      <c r="K12" s="396"/>
      <c r="L12" s="396"/>
      <c r="M12" s="396"/>
      <c r="N12" s="396"/>
      <c r="O12" s="396"/>
      <c r="P12" s="396"/>
      <c r="Q12" s="396"/>
      <c r="R12" s="396"/>
    </row>
    <row r="13" spans="2:18">
      <c r="B13" s="2398" t="s">
        <v>108</v>
      </c>
      <c r="C13" s="715">
        <v>78137</v>
      </c>
      <c r="D13" s="716">
        <v>631919</v>
      </c>
      <c r="E13" s="716">
        <v>957019</v>
      </c>
      <c r="F13" s="716">
        <v>28739</v>
      </c>
      <c r="G13" s="716">
        <v>903945</v>
      </c>
      <c r="H13" s="716">
        <v>105843</v>
      </c>
      <c r="I13" s="1532">
        <v>2705602</v>
      </c>
      <c r="J13" s="1532">
        <v>1924605</v>
      </c>
      <c r="K13" s="396"/>
      <c r="L13" s="396"/>
      <c r="M13" s="396"/>
      <c r="N13" s="396"/>
      <c r="O13" s="396"/>
      <c r="P13" s="396"/>
      <c r="Q13" s="396"/>
      <c r="R13" s="396"/>
    </row>
    <row r="14" spans="2:18">
      <c r="B14" s="2398" t="s">
        <v>109</v>
      </c>
      <c r="C14" s="715">
        <v>7119</v>
      </c>
      <c r="D14" s="716">
        <v>56578</v>
      </c>
      <c r="E14" s="716">
        <v>6459</v>
      </c>
      <c r="F14" s="716">
        <v>4372</v>
      </c>
      <c r="G14" s="716">
        <v>104223</v>
      </c>
      <c r="H14" s="716">
        <v>13004</v>
      </c>
      <c r="I14" s="1532">
        <v>191755</v>
      </c>
      <c r="J14" s="1532">
        <v>128787</v>
      </c>
      <c r="K14" s="396"/>
      <c r="L14" s="396"/>
      <c r="M14" s="396"/>
      <c r="N14" s="396"/>
      <c r="O14" s="396"/>
      <c r="P14" s="396"/>
      <c r="Q14" s="396"/>
      <c r="R14" s="396"/>
    </row>
    <row r="15" spans="2:18">
      <c r="B15" s="2398" t="s">
        <v>111</v>
      </c>
      <c r="C15" s="715">
        <v>36069.014684042879</v>
      </c>
      <c r="D15" s="716">
        <v>221050.8705247</v>
      </c>
      <c r="E15" s="716">
        <v>40114.206150977407</v>
      </c>
      <c r="F15" s="716">
        <v>6559.9382817137284</v>
      </c>
      <c r="G15" s="716">
        <v>242246.51855485479</v>
      </c>
      <c r="H15" s="716">
        <v>28004.924624487059</v>
      </c>
      <c r="I15" s="1532">
        <v>574045.47282077582</v>
      </c>
      <c r="J15" s="1532">
        <v>389561.88725406816</v>
      </c>
      <c r="K15" s="396"/>
      <c r="L15" s="396"/>
      <c r="M15" s="396"/>
      <c r="N15" s="396"/>
      <c r="O15" s="396"/>
      <c r="P15" s="396"/>
      <c r="Q15" s="396"/>
      <c r="R15" s="396"/>
    </row>
    <row r="16" spans="2:18">
      <c r="B16" s="2398" t="s">
        <v>112</v>
      </c>
      <c r="C16" s="717">
        <v>155385.04146202953</v>
      </c>
      <c r="D16" s="718">
        <v>591629.15074814507</v>
      </c>
      <c r="E16" s="718">
        <v>380411.2956174771</v>
      </c>
      <c r="F16" s="718">
        <v>30564.914760067397</v>
      </c>
      <c r="G16" s="718">
        <v>844042.27744432236</v>
      </c>
      <c r="H16" s="718">
        <v>103308.72</v>
      </c>
      <c r="I16" s="1532">
        <v>2105342.4000320416</v>
      </c>
      <c r="J16" s="1532">
        <v>8618075.0372977946</v>
      </c>
      <c r="K16" s="396"/>
      <c r="L16" s="396"/>
      <c r="M16" s="396"/>
      <c r="N16" s="396"/>
      <c r="O16" s="396"/>
      <c r="P16" s="396"/>
      <c r="Q16" s="396"/>
      <c r="R16" s="396"/>
    </row>
    <row r="17" spans="2:19">
      <c r="B17" s="2398" t="s">
        <v>114</v>
      </c>
      <c r="C17" s="715">
        <v>13528</v>
      </c>
      <c r="D17" s="716">
        <v>111013</v>
      </c>
      <c r="E17" s="716">
        <v>94134</v>
      </c>
      <c r="F17" s="716">
        <v>2398</v>
      </c>
      <c r="G17" s="716">
        <v>71094</v>
      </c>
      <c r="H17" s="716">
        <v>12815</v>
      </c>
      <c r="I17" s="1532">
        <v>304982</v>
      </c>
      <c r="J17" s="1532">
        <v>232577</v>
      </c>
      <c r="K17" s="396"/>
      <c r="L17" s="396"/>
      <c r="M17" s="396"/>
      <c r="N17" s="396"/>
      <c r="O17" s="396"/>
      <c r="P17" s="396"/>
      <c r="Q17" s="396"/>
      <c r="R17" s="396"/>
    </row>
    <row r="18" spans="2:19">
      <c r="B18" s="2398" t="s">
        <v>115</v>
      </c>
      <c r="C18" s="715">
        <v>173616</v>
      </c>
      <c r="D18" s="716">
        <v>5541923</v>
      </c>
      <c r="E18" s="716">
        <v>7329786</v>
      </c>
      <c r="F18" s="716">
        <v>117270</v>
      </c>
      <c r="G18" s="716">
        <v>3591404</v>
      </c>
      <c r="H18" s="716">
        <v>834415</v>
      </c>
      <c r="I18" s="1532">
        <v>17588414</v>
      </c>
      <c r="J18" s="1532">
        <v>13669247</v>
      </c>
      <c r="K18" s="396"/>
      <c r="L18" s="396"/>
      <c r="M18" s="396"/>
      <c r="N18" s="396"/>
      <c r="O18" s="396"/>
      <c r="P18" s="396"/>
      <c r="Q18" s="396"/>
      <c r="R18" s="396"/>
    </row>
    <row r="19" spans="2:19">
      <c r="B19" s="2390" t="s">
        <v>118</v>
      </c>
      <c r="C19" s="2391">
        <f>SUM(C6:C18)</f>
        <v>1272903.593121588</v>
      </c>
      <c r="D19" s="2391">
        <f t="shared" ref="D19:J19" si="0">SUM(D6:D18)</f>
        <v>12514824.668490935</v>
      </c>
      <c r="E19" s="2391">
        <f t="shared" si="0"/>
        <v>12647958.838286329</v>
      </c>
      <c r="F19" s="2391">
        <f t="shared" si="0"/>
        <v>993438.67402421625</v>
      </c>
      <c r="G19" s="2391">
        <f t="shared" si="0"/>
        <v>12321071.911206454</v>
      </c>
      <c r="H19" s="2391">
        <f t="shared" si="0"/>
        <v>2085065.8300931838</v>
      </c>
      <c r="I19" s="2391">
        <f t="shared" si="0"/>
        <v>41835265.515222706</v>
      </c>
      <c r="J19" s="2391">
        <f t="shared" si="0"/>
        <v>37695101.678291082</v>
      </c>
      <c r="K19" s="396"/>
      <c r="L19" s="396"/>
      <c r="M19" s="396"/>
      <c r="N19" s="396"/>
      <c r="O19" s="396"/>
      <c r="P19" s="396"/>
      <c r="Q19" s="396"/>
      <c r="R19" s="396"/>
    </row>
    <row r="20" spans="2:19">
      <c r="B20" s="218"/>
      <c r="C20" s="838"/>
      <c r="D20" s="838"/>
      <c r="E20" s="838"/>
      <c r="F20" s="838"/>
      <c r="G20" s="838"/>
      <c r="H20" s="838"/>
      <c r="I20" s="838"/>
      <c r="J20" s="514"/>
      <c r="K20" s="564"/>
      <c r="L20" s="564"/>
      <c r="M20" s="564"/>
      <c r="N20" s="564"/>
      <c r="O20" s="564"/>
      <c r="P20" s="564"/>
      <c r="Q20" s="564"/>
      <c r="R20" s="564"/>
      <c r="S20" s="396"/>
    </row>
    <row r="21" spans="2:19">
      <c r="C21" s="396"/>
      <c r="D21" s="396"/>
      <c r="E21" s="396"/>
      <c r="F21" s="396"/>
      <c r="G21" s="396"/>
      <c r="H21" s="396"/>
      <c r="I21" s="396"/>
      <c r="J21" s="396"/>
      <c r="K21" s="396"/>
      <c r="L21" s="396"/>
      <c r="M21" s="396"/>
      <c r="N21" s="396"/>
      <c r="O21" s="396"/>
      <c r="P21" s="396"/>
      <c r="Q21" s="396"/>
      <c r="R21" s="396"/>
    </row>
    <row r="22" spans="2:19" ht="19.5" customHeight="1">
      <c r="B22" s="3452" t="s">
        <v>84</v>
      </c>
      <c r="C22" s="3201" t="s">
        <v>497</v>
      </c>
      <c r="D22" s="3201"/>
      <c r="E22" s="3201"/>
      <c r="F22" s="3201"/>
      <c r="G22" s="3201"/>
      <c r="H22" s="3201"/>
      <c r="I22" s="3201"/>
      <c r="J22" s="3202"/>
      <c r="K22" s="396"/>
      <c r="L22" s="396"/>
      <c r="M22" s="396"/>
      <c r="N22" s="396"/>
      <c r="O22" s="396"/>
      <c r="P22" s="396"/>
      <c r="Q22" s="396"/>
      <c r="R22" s="396"/>
    </row>
    <row r="23" spans="2:19" ht="79.150000000000006">
      <c r="B23" s="3454"/>
      <c r="C23" s="1606" t="s">
        <v>489</v>
      </c>
      <c r="D23" s="1534" t="s">
        <v>490</v>
      </c>
      <c r="E23" s="1533" t="s">
        <v>491</v>
      </c>
      <c r="F23" s="1534" t="s">
        <v>492</v>
      </c>
      <c r="G23" s="1534" t="s">
        <v>493</v>
      </c>
      <c r="H23" s="1534" t="s">
        <v>494</v>
      </c>
      <c r="I23" s="1534" t="s">
        <v>495</v>
      </c>
      <c r="J23" s="1534" t="s">
        <v>496</v>
      </c>
      <c r="K23" s="396"/>
      <c r="L23" s="396"/>
      <c r="M23" s="396"/>
      <c r="N23" s="396"/>
      <c r="O23" s="396"/>
      <c r="P23" s="396"/>
      <c r="Q23" s="396"/>
      <c r="R23" s="396"/>
    </row>
    <row r="24" spans="2:19">
      <c r="B24" s="1545" t="s">
        <v>91</v>
      </c>
      <c r="C24" s="2395">
        <v>108576</v>
      </c>
      <c r="D24" s="2408">
        <v>2767914</v>
      </c>
      <c r="E24" s="2408">
        <v>1149167</v>
      </c>
      <c r="F24" s="2408">
        <v>35711</v>
      </c>
      <c r="G24" s="2408">
        <v>1766755</v>
      </c>
      <c r="H24" s="2408">
        <v>312427</v>
      </c>
      <c r="I24" s="2404">
        <v>6140550</v>
      </c>
      <c r="J24" s="2404">
        <v>4440016</v>
      </c>
      <c r="K24" s="396"/>
      <c r="L24" s="396"/>
      <c r="M24" s="396"/>
      <c r="N24" s="396"/>
      <c r="O24" s="396"/>
      <c r="P24" s="396"/>
      <c r="Q24" s="396"/>
      <c r="R24" s="396"/>
    </row>
    <row r="25" spans="2:19">
      <c r="B25" s="2398" t="s">
        <v>94</v>
      </c>
      <c r="C25" s="715">
        <v>40853.845976096927</v>
      </c>
      <c r="D25" s="716">
        <v>421419.3649550596</v>
      </c>
      <c r="E25" s="716">
        <v>34277.479130487001</v>
      </c>
      <c r="F25" s="716">
        <v>9521.6603939885281</v>
      </c>
      <c r="G25" s="716">
        <v>185571.01465459535</v>
      </c>
      <c r="H25" s="716">
        <v>48867.502007768264</v>
      </c>
      <c r="I25" s="1531">
        <v>740510.86711799563</v>
      </c>
      <c r="J25" s="1531">
        <v>541233.64467492537</v>
      </c>
      <c r="K25" s="396"/>
      <c r="L25" s="396"/>
      <c r="M25" s="396"/>
      <c r="N25" s="396"/>
      <c r="O25" s="396"/>
      <c r="P25" s="396"/>
      <c r="Q25" s="396"/>
      <c r="R25" s="396"/>
    </row>
    <row r="26" spans="2:19">
      <c r="B26" s="2398" t="s">
        <v>97</v>
      </c>
      <c r="C26" s="715">
        <v>245485.09599999999</v>
      </c>
      <c r="D26" s="716">
        <v>1705728</v>
      </c>
      <c r="E26" s="716">
        <v>1873111.0327240401</v>
      </c>
      <c r="F26" s="716">
        <v>351152.76884785498</v>
      </c>
      <c r="G26" s="716">
        <v>1889344.20289851</v>
      </c>
      <c r="H26" s="716">
        <v>341555.421808224</v>
      </c>
      <c r="I26" s="1531">
        <v>6406376.5222786292</v>
      </c>
      <c r="J26" s="1531">
        <v>4595746.8321644319</v>
      </c>
      <c r="K26" s="396"/>
      <c r="L26" s="396"/>
      <c r="M26" s="396"/>
      <c r="N26" s="396"/>
      <c r="O26" s="396"/>
      <c r="P26" s="396"/>
      <c r="Q26" s="396"/>
      <c r="R26" s="396"/>
    </row>
    <row r="27" spans="2:19">
      <c r="B27" s="2398" t="s">
        <v>128</v>
      </c>
      <c r="C27" s="715">
        <v>172408</v>
      </c>
      <c r="D27" s="716">
        <v>484012</v>
      </c>
      <c r="E27" s="716">
        <v>642178</v>
      </c>
      <c r="F27" s="716">
        <v>36812</v>
      </c>
      <c r="G27" s="716">
        <v>536535</v>
      </c>
      <c r="H27" s="716">
        <v>107262</v>
      </c>
      <c r="I27" s="1531">
        <v>1979207</v>
      </c>
      <c r="J27" s="1531">
        <v>1443155</v>
      </c>
      <c r="K27" s="396"/>
      <c r="L27" s="396"/>
      <c r="M27" s="396"/>
      <c r="N27" s="396"/>
      <c r="O27" s="396"/>
      <c r="P27" s="396"/>
      <c r="Q27" s="396"/>
      <c r="R27" s="396"/>
    </row>
    <row r="28" spans="2:19">
      <c r="B28" s="2398" t="s">
        <v>101</v>
      </c>
      <c r="C28" s="715">
        <v>157605</v>
      </c>
      <c r="D28" s="716">
        <v>530344</v>
      </c>
      <c r="E28" s="716">
        <v>859290</v>
      </c>
      <c r="F28" s="716">
        <v>27497</v>
      </c>
      <c r="G28" s="716">
        <v>638285</v>
      </c>
      <c r="H28" s="716">
        <v>92835</v>
      </c>
      <c r="I28" s="1531">
        <v>2305856</v>
      </c>
      <c r="J28" s="1531">
        <v>1701711</v>
      </c>
      <c r="K28" s="396"/>
      <c r="L28" s="396"/>
      <c r="M28" s="396"/>
      <c r="N28" s="396"/>
      <c r="O28" s="396"/>
      <c r="P28" s="396"/>
      <c r="Q28" s="396"/>
      <c r="R28" s="396"/>
    </row>
    <row r="29" spans="2:19">
      <c r="B29" s="2398" t="s">
        <v>102</v>
      </c>
      <c r="C29" s="715">
        <v>51408</v>
      </c>
      <c r="D29" s="716">
        <v>822306</v>
      </c>
      <c r="E29" s="716">
        <v>1455509</v>
      </c>
      <c r="F29" s="716">
        <v>134242</v>
      </c>
      <c r="G29" s="716">
        <v>1101149</v>
      </c>
      <c r="H29" s="716">
        <v>170801</v>
      </c>
      <c r="I29" s="1531">
        <v>3735415</v>
      </c>
      <c r="J29" s="1531">
        <v>2703768</v>
      </c>
      <c r="K29" s="396"/>
      <c r="L29" s="396"/>
      <c r="M29" s="396"/>
      <c r="N29" s="396"/>
      <c r="O29" s="396"/>
      <c r="P29" s="396"/>
      <c r="Q29" s="396"/>
      <c r="R29" s="396"/>
    </row>
    <row r="30" spans="2:19">
      <c r="B30" s="2398" t="s">
        <v>104</v>
      </c>
      <c r="C30" s="715">
        <v>114548</v>
      </c>
      <c r="D30" s="716">
        <v>278851</v>
      </c>
      <c r="E30" s="716">
        <v>179321</v>
      </c>
      <c r="F30" s="716">
        <v>28675</v>
      </c>
      <c r="G30" s="716">
        <v>542332</v>
      </c>
      <c r="H30" s="716">
        <v>74222</v>
      </c>
      <c r="I30" s="1531">
        <v>1217949</v>
      </c>
      <c r="J30" s="1531">
        <v>813209</v>
      </c>
      <c r="K30" s="396"/>
      <c r="L30" s="396"/>
      <c r="M30" s="396"/>
      <c r="N30" s="396"/>
      <c r="O30" s="396"/>
      <c r="P30" s="396"/>
      <c r="Q30" s="396"/>
      <c r="R30" s="396"/>
    </row>
    <row r="31" spans="2:19">
      <c r="B31" s="2398" t="s">
        <v>108</v>
      </c>
      <c r="C31" s="715">
        <v>94901</v>
      </c>
      <c r="D31" s="716">
        <v>351095</v>
      </c>
      <c r="E31" s="716">
        <v>1322064</v>
      </c>
      <c r="F31" s="716">
        <v>40311</v>
      </c>
      <c r="G31" s="716">
        <v>952784</v>
      </c>
      <c r="H31" s="716">
        <v>120758</v>
      </c>
      <c r="I31" s="1531">
        <v>2881913</v>
      </c>
      <c r="J31" s="1531">
        <v>2047580</v>
      </c>
      <c r="K31" s="564"/>
      <c r="L31" s="564"/>
      <c r="M31" s="564"/>
      <c r="N31" s="564"/>
      <c r="O31" s="564"/>
      <c r="P31" s="564"/>
      <c r="Q31" s="564"/>
      <c r="R31" s="564"/>
    </row>
    <row r="32" spans="2:19">
      <c r="B32" s="2398" t="s">
        <v>109</v>
      </c>
      <c r="C32" s="715">
        <v>1801</v>
      </c>
      <c r="D32" s="716">
        <v>33929</v>
      </c>
      <c r="E32" s="716">
        <v>49126</v>
      </c>
      <c r="F32" s="716">
        <v>5293</v>
      </c>
      <c r="G32" s="716">
        <v>125700</v>
      </c>
      <c r="H32" s="716">
        <v>12957</v>
      </c>
      <c r="I32" s="1531">
        <v>228806</v>
      </c>
      <c r="J32" s="1531">
        <v>155226</v>
      </c>
      <c r="K32" s="396"/>
      <c r="L32" s="396"/>
      <c r="M32" s="396"/>
      <c r="N32" s="396"/>
      <c r="O32" s="396"/>
      <c r="P32" s="396"/>
      <c r="Q32" s="396"/>
      <c r="R32" s="396"/>
    </row>
    <row r="33" spans="2:19">
      <c r="B33" s="2398" t="s">
        <v>111</v>
      </c>
      <c r="C33" s="715">
        <v>58851.670768968092</v>
      </c>
      <c r="D33" s="716">
        <v>428870.43365065253</v>
      </c>
      <c r="E33" s="716">
        <v>20169.748548533185</v>
      </c>
      <c r="F33" s="716">
        <v>13210.814085736314</v>
      </c>
      <c r="G33" s="716">
        <v>275461.92047276528</v>
      </c>
      <c r="H33" s="716">
        <v>33014.817771156107</v>
      </c>
      <c r="I33" s="1531">
        <v>829579.40529781138</v>
      </c>
      <c r="J33" s="1531">
        <v>590353.48515417799</v>
      </c>
      <c r="K33" s="396"/>
      <c r="L33" s="396"/>
      <c r="M33" s="396"/>
      <c r="N33" s="396"/>
      <c r="O33" s="396"/>
      <c r="P33" s="396"/>
      <c r="Q33" s="396"/>
      <c r="R33" s="396"/>
    </row>
    <row r="34" spans="2:19">
      <c r="B34" s="2398" t="s">
        <v>112</v>
      </c>
      <c r="C34" s="717">
        <v>198274.72169924135</v>
      </c>
      <c r="D34" s="718">
        <v>444222.51268599648</v>
      </c>
      <c r="E34" s="718">
        <v>643544.2790472093</v>
      </c>
      <c r="F34" s="718">
        <v>52630.665111690963</v>
      </c>
      <c r="G34" s="718">
        <v>793090.9628396167</v>
      </c>
      <c r="H34" s="718">
        <v>99259.72</v>
      </c>
      <c r="I34" s="1531">
        <v>2231022.8613837552</v>
      </c>
      <c r="J34" s="1531">
        <v>1559130.8376657995</v>
      </c>
      <c r="K34" s="396"/>
      <c r="L34" s="396"/>
      <c r="M34" s="396"/>
      <c r="N34" s="396"/>
      <c r="O34" s="396"/>
      <c r="P34" s="396"/>
      <c r="Q34" s="396"/>
      <c r="R34" s="396"/>
    </row>
    <row r="35" spans="2:19">
      <c r="B35" s="2398" t="s">
        <v>114</v>
      </c>
      <c r="C35" s="715">
        <v>12877</v>
      </c>
      <c r="D35" s="716">
        <v>145505</v>
      </c>
      <c r="E35" s="716">
        <v>137060</v>
      </c>
      <c r="F35" s="716">
        <v>22</v>
      </c>
      <c r="G35" s="716">
        <v>66944</v>
      </c>
      <c r="H35" s="716">
        <v>13131</v>
      </c>
      <c r="I35" s="1531">
        <v>375539</v>
      </c>
      <c r="J35" s="1531">
        <v>303237</v>
      </c>
      <c r="K35" s="396"/>
      <c r="L35" s="396"/>
      <c r="M35" s="396"/>
      <c r="N35" s="396"/>
      <c r="O35" s="396"/>
      <c r="P35" s="396"/>
      <c r="Q35" s="396"/>
      <c r="R35" s="396"/>
    </row>
    <row r="36" spans="2:19">
      <c r="B36" s="2398" t="s">
        <v>115</v>
      </c>
      <c r="C36" s="715">
        <v>209102</v>
      </c>
      <c r="D36" s="716">
        <v>7479948</v>
      </c>
      <c r="E36" s="716">
        <v>6859123</v>
      </c>
      <c r="F36" s="716">
        <v>155828</v>
      </c>
      <c r="G36" s="716">
        <v>3146441</v>
      </c>
      <c r="H36" s="716">
        <v>879692</v>
      </c>
      <c r="I36" s="1531">
        <v>18730134</v>
      </c>
      <c r="J36" s="1531">
        <v>15062590</v>
      </c>
      <c r="K36" s="396"/>
      <c r="L36" s="396"/>
      <c r="M36" s="396"/>
      <c r="N36" s="396"/>
      <c r="O36" s="396"/>
      <c r="P36" s="396"/>
      <c r="Q36" s="396"/>
      <c r="R36" s="396"/>
    </row>
    <row r="37" spans="2:19">
      <c r="B37" s="2390" t="s">
        <v>118</v>
      </c>
      <c r="C37" s="2391">
        <f t="shared" ref="C37:J37" si="1">SUM(C24:C36)</f>
        <v>1466691.3344443063</v>
      </c>
      <c r="D37" s="2391">
        <f t="shared" si="1"/>
        <v>15894144.31129171</v>
      </c>
      <c r="E37" s="2391">
        <f t="shared" si="1"/>
        <v>15223940.539450269</v>
      </c>
      <c r="F37" s="2391">
        <f t="shared" si="1"/>
        <v>890906.9084392708</v>
      </c>
      <c r="G37" s="2391">
        <f t="shared" si="1"/>
        <v>12020393.100865487</v>
      </c>
      <c r="H37" s="2391">
        <f t="shared" si="1"/>
        <v>2306782.4615871483</v>
      </c>
      <c r="I37" s="2391">
        <f t="shared" si="1"/>
        <v>47802858.65607819</v>
      </c>
      <c r="J37" s="2391">
        <f t="shared" si="1"/>
        <v>35956956.799659334</v>
      </c>
      <c r="K37" s="396"/>
      <c r="L37" s="396"/>
      <c r="M37" s="396"/>
      <c r="N37" s="396"/>
      <c r="O37" s="396"/>
      <c r="P37" s="396"/>
      <c r="Q37" s="396"/>
      <c r="R37" s="396"/>
      <c r="S37" s="396"/>
    </row>
    <row r="38" spans="2:19" ht="20.45" customHeight="1">
      <c r="C38" s="514"/>
      <c r="D38" s="514"/>
      <c r="E38" s="514"/>
      <c r="F38" s="514"/>
      <c r="G38" s="514"/>
      <c r="H38" s="514"/>
      <c r="I38" s="514"/>
      <c r="J38" s="514"/>
    </row>
    <row r="39" spans="2:19" ht="20.45" customHeight="1">
      <c r="B39" s="3086"/>
    </row>
    <row r="40" spans="2:19" ht="20.45" customHeight="1">
      <c r="J40" s="292">
        <v>144</v>
      </c>
    </row>
    <row r="41" spans="2:19" ht="20.45" customHeight="1"/>
    <row r="42" spans="2:19" ht="20.45" customHeight="1">
      <c r="B42" s="37"/>
      <c r="C42" s="396"/>
      <c r="D42" s="396"/>
      <c r="E42" s="396"/>
      <c r="F42" s="396"/>
      <c r="G42" s="396"/>
      <c r="H42" s="396"/>
      <c r="I42" s="396"/>
      <c r="J42" s="396"/>
    </row>
    <row r="43" spans="2:19" ht="20.45" customHeight="1"/>
    <row r="44" spans="2:19">
      <c r="B44" s="384"/>
    </row>
  </sheetData>
  <sortState xmlns:xlrd2="http://schemas.microsoft.com/office/spreadsheetml/2017/richdata2" ref="B25:J36">
    <sortCondition ref="B24"/>
  </sortState>
  <mergeCells count="4">
    <mergeCell ref="B4:B5"/>
    <mergeCell ref="C4:J4"/>
    <mergeCell ref="B22:B23"/>
    <mergeCell ref="C22:J22"/>
  </mergeCells>
  <pageMargins left="0.7" right="0.17" top="0.75" bottom="0.75" header="0.3" footer="0.3"/>
  <pageSetup paperSize="9" scale="68"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92D050"/>
  </sheetPr>
  <dimension ref="A2:S27"/>
  <sheetViews>
    <sheetView showGridLines="0" view="pageBreakPreview" zoomScale="85" zoomScaleNormal="80" zoomScaleSheetLayoutView="85" workbookViewId="0">
      <pane xSplit="2" topLeftCell="C1" activePane="topRight" state="frozen"/>
      <selection pane="topRight" activeCell="J22" sqref="J22"/>
    </sheetView>
  </sheetViews>
  <sheetFormatPr defaultColWidth="9.140625" defaultRowHeight="13.15"/>
  <cols>
    <col min="1" max="1" width="4" style="292" bestFit="1" customWidth="1"/>
    <col min="2" max="2" width="34" style="292" customWidth="1"/>
    <col min="3" max="5" width="15.42578125" style="292" customWidth="1"/>
    <col min="6" max="6" width="11.5703125" style="292" customWidth="1"/>
    <col min="7" max="9" width="15.42578125" style="292" customWidth="1"/>
    <col min="10" max="10" width="11.5703125" style="565" customWidth="1"/>
    <col min="11" max="12" width="8.5703125" style="292" customWidth="1"/>
    <col min="13" max="13" width="10.140625" style="292" customWidth="1"/>
    <col min="14" max="20" width="8.5703125" style="292" customWidth="1"/>
    <col min="21" max="16384" width="9.140625" style="292"/>
  </cols>
  <sheetData>
    <row r="2" spans="1:19" ht="12.75" customHeight="1">
      <c r="B2" s="3462" t="s">
        <v>504</v>
      </c>
      <c r="C2" s="3198"/>
      <c r="D2" s="3198"/>
      <c r="E2" s="3198"/>
      <c r="F2" s="3198"/>
      <c r="G2" s="3198"/>
      <c r="H2" s="3198"/>
      <c r="I2" s="3198"/>
      <c r="J2" s="3198"/>
    </row>
    <row r="3" spans="1:19">
      <c r="B3" s="425"/>
      <c r="C3" s="425"/>
      <c r="D3" s="425"/>
      <c r="E3" s="425"/>
      <c r="F3" s="425"/>
      <c r="G3" s="425"/>
      <c r="H3" s="425"/>
      <c r="I3" s="425"/>
      <c r="J3" s="425"/>
    </row>
    <row r="4" spans="1:19" ht="13.15" customHeight="1">
      <c r="B4" s="3452" t="s">
        <v>84</v>
      </c>
      <c r="C4" s="3470" t="s">
        <v>481</v>
      </c>
      <c r="D4" s="3471"/>
      <c r="E4" s="3471"/>
      <c r="F4" s="3276"/>
      <c r="G4" s="3275" t="s">
        <v>482</v>
      </c>
      <c r="H4" s="3471"/>
      <c r="I4" s="3471"/>
      <c r="J4" s="3276"/>
    </row>
    <row r="5" spans="1:19" ht="26.45" customHeight="1">
      <c r="A5" s="395"/>
      <c r="B5" s="3454"/>
      <c r="C5" s="1599" t="s">
        <v>505</v>
      </c>
      <c r="D5" s="1534" t="s">
        <v>506</v>
      </c>
      <c r="E5" s="1534" t="s">
        <v>507</v>
      </c>
      <c r="F5" s="1607" t="s">
        <v>508</v>
      </c>
      <c r="G5" s="1534" t="s">
        <v>505</v>
      </c>
      <c r="H5" s="1534" t="s">
        <v>506</v>
      </c>
      <c r="I5" s="1534" t="s">
        <v>507</v>
      </c>
      <c r="J5" s="1607" t="s">
        <v>508</v>
      </c>
      <c r="M5" s="291"/>
      <c r="N5" s="291"/>
      <c r="O5" s="291"/>
    </row>
    <row r="6" spans="1:19">
      <c r="B6" s="1597" t="s">
        <v>90</v>
      </c>
      <c r="C6" s="2410">
        <v>24565112.634542942</v>
      </c>
      <c r="D6" s="2410">
        <v>4490070.1843658974</v>
      </c>
      <c r="E6" s="2396">
        <v>0</v>
      </c>
      <c r="F6" s="2411">
        <v>5.4709863378253871</v>
      </c>
      <c r="G6" s="2410">
        <v>24037231.561261274</v>
      </c>
      <c r="H6" s="2410">
        <v>5183720.5896589467</v>
      </c>
      <c r="I6" s="2396">
        <v>5986338.2891209237</v>
      </c>
      <c r="J6" s="2411">
        <v>4.0153480141515807</v>
      </c>
      <c r="K6" s="514"/>
      <c r="M6" s="697"/>
      <c r="N6" s="697"/>
      <c r="O6" s="697"/>
      <c r="P6" s="293"/>
      <c r="Q6" s="514"/>
      <c r="R6" s="514"/>
      <c r="S6" s="514"/>
    </row>
    <row r="7" spans="1:19" s="395" customFormat="1">
      <c r="A7" s="292"/>
      <c r="B7" s="1747" t="s">
        <v>92</v>
      </c>
      <c r="C7" s="2410">
        <v>1627921.9026897482</v>
      </c>
      <c r="D7" s="2410">
        <v>385672.1270510747</v>
      </c>
      <c r="E7" s="2412">
        <v>250894.84591680366</v>
      </c>
      <c r="F7" s="2411">
        <v>4.2209996224958255</v>
      </c>
      <c r="G7" s="2410">
        <v>909405.88566588517</v>
      </c>
      <c r="H7" s="2410">
        <v>345757.49930933455</v>
      </c>
      <c r="I7" s="2410">
        <v>457740.78685687814</v>
      </c>
      <c r="J7" s="2411">
        <v>1.9867267933679442</v>
      </c>
      <c r="K7" s="514"/>
      <c r="L7" s="292"/>
      <c r="M7" s="291"/>
      <c r="N7" s="291"/>
      <c r="O7" s="291"/>
      <c r="P7" s="293"/>
      <c r="Q7" s="514"/>
      <c r="R7" s="514"/>
      <c r="S7" s="514"/>
    </row>
    <row r="8" spans="1:19">
      <c r="B8" s="1747" t="s">
        <v>93</v>
      </c>
      <c r="C8" s="2410">
        <v>573239.68109229498</v>
      </c>
      <c r="D8" s="2410">
        <v>284565.55753933039</v>
      </c>
      <c r="E8" s="2396">
        <v>0</v>
      </c>
      <c r="F8" s="2411">
        <v>2.0144380298485927</v>
      </c>
      <c r="G8" s="2410">
        <v>654014.98173907842</v>
      </c>
      <c r="H8" s="2410">
        <v>357537.03683406761</v>
      </c>
      <c r="I8" s="2396">
        <v>0</v>
      </c>
      <c r="J8" s="2411">
        <v>1.8292230296762395</v>
      </c>
      <c r="K8" s="514"/>
      <c r="M8" s="293"/>
      <c r="N8" s="698"/>
      <c r="O8" s="698"/>
      <c r="P8" s="293"/>
      <c r="Q8" s="514"/>
      <c r="R8" s="514"/>
      <c r="S8" s="514"/>
    </row>
    <row r="9" spans="1:19">
      <c r="B9" s="1747" t="s">
        <v>95</v>
      </c>
      <c r="C9" s="2410">
        <v>2221251.8023580769</v>
      </c>
      <c r="D9" s="2410">
        <v>476827.61663533235</v>
      </c>
      <c r="E9" s="2413">
        <v>511231.65404905693</v>
      </c>
      <c r="F9" s="2411">
        <v>4.3449027163426175</v>
      </c>
      <c r="G9" s="2410">
        <v>1656749.2665241098</v>
      </c>
      <c r="H9" s="2410">
        <v>910411.75038381165</v>
      </c>
      <c r="I9" s="2410">
        <v>870635.8991394029</v>
      </c>
      <c r="J9" s="2411">
        <v>1.8197801882781686</v>
      </c>
      <c r="K9" s="514"/>
      <c r="M9" s="293"/>
      <c r="N9" s="293"/>
      <c r="O9" s="293"/>
      <c r="P9" s="293"/>
      <c r="Q9" s="514"/>
      <c r="R9" s="514"/>
      <c r="S9" s="514"/>
    </row>
    <row r="10" spans="1:19">
      <c r="B10" s="1747" t="s">
        <v>96</v>
      </c>
      <c r="C10" s="2410">
        <v>72242294.170744568</v>
      </c>
      <c r="D10" s="2410">
        <v>18365492.268351648</v>
      </c>
      <c r="E10" s="1717">
        <v>3051.2891369276622</v>
      </c>
      <c r="F10" s="2411">
        <v>3.9335887715482678</v>
      </c>
      <c r="G10" s="2410">
        <v>65940328.839249521</v>
      </c>
      <c r="H10" s="2410">
        <v>22127596.618585005</v>
      </c>
      <c r="I10" s="2410">
        <v>3494.9345834562555</v>
      </c>
      <c r="J10" s="2411">
        <v>2.9800041087094895</v>
      </c>
      <c r="K10" s="514"/>
      <c r="M10" s="293"/>
      <c r="N10" s="293"/>
      <c r="O10" s="293"/>
      <c r="P10" s="293"/>
      <c r="Q10" s="514"/>
      <c r="R10" s="514"/>
      <c r="S10" s="514"/>
    </row>
    <row r="11" spans="1:19">
      <c r="B11" s="1747" t="s">
        <v>99</v>
      </c>
      <c r="C11" s="2410"/>
      <c r="D11" s="2410"/>
      <c r="E11" s="2396"/>
      <c r="F11" s="2411"/>
      <c r="G11" s="2410">
        <v>535635.74517365242</v>
      </c>
      <c r="H11" s="2410">
        <v>64893.29387656488</v>
      </c>
      <c r="I11" s="2396">
        <v>0</v>
      </c>
      <c r="J11" s="2411">
        <v>8.25410012616247</v>
      </c>
      <c r="K11" s="514"/>
      <c r="M11" s="293"/>
      <c r="N11" s="293"/>
      <c r="O11" s="293"/>
      <c r="P11" s="293"/>
      <c r="Q11" s="514"/>
      <c r="R11" s="514"/>
      <c r="S11" s="514"/>
    </row>
    <row r="12" spans="1:19">
      <c r="B12" s="1747" t="s">
        <v>100</v>
      </c>
      <c r="C12" s="2410">
        <v>1494307.3515452698</v>
      </c>
      <c r="D12" s="2410">
        <v>507062.04955658608</v>
      </c>
      <c r="E12" s="2396">
        <v>0</v>
      </c>
      <c r="F12" s="2411">
        <v>2.9469911085872167</v>
      </c>
      <c r="G12" s="2410">
        <v>1861093.0426616466</v>
      </c>
      <c r="H12" s="2410">
        <v>543265.94030013611</v>
      </c>
      <c r="I12" s="2396">
        <v>0</v>
      </c>
      <c r="J12" s="2411">
        <v>3.4257495355469101</v>
      </c>
      <c r="K12" s="514"/>
      <c r="M12" s="293"/>
      <c r="N12" s="293"/>
      <c r="O12" s="293"/>
      <c r="P12" s="293"/>
      <c r="Q12" s="514"/>
      <c r="R12" s="514"/>
      <c r="S12" s="514"/>
    </row>
    <row r="13" spans="1:19">
      <c r="B13" s="1747" t="s">
        <v>103</v>
      </c>
      <c r="C13" s="2410">
        <v>11139697.871478738</v>
      </c>
      <c r="D13" s="2410">
        <v>4023288.1122808019</v>
      </c>
      <c r="E13" s="2396">
        <v>694632.00279921247</v>
      </c>
      <c r="F13" s="2411">
        <v>2.7688044108687122</v>
      </c>
      <c r="G13" s="2410">
        <v>14514354.03623116</v>
      </c>
      <c r="H13" s="2410">
        <v>3486942.2739633191</v>
      </c>
      <c r="I13" s="2410">
        <v>4744437.1185376402</v>
      </c>
      <c r="J13" s="2411">
        <v>3.0592362536580238</v>
      </c>
      <c r="K13" s="514"/>
      <c r="M13" s="293"/>
      <c r="N13" s="293"/>
      <c r="O13" s="293"/>
      <c r="P13" s="293"/>
      <c r="Q13" s="514"/>
      <c r="R13" s="514"/>
      <c r="S13" s="514"/>
    </row>
    <row r="14" spans="1:19">
      <c r="B14" s="1747" t="s">
        <v>105</v>
      </c>
      <c r="C14" s="2410">
        <v>12864544.270914746</v>
      </c>
      <c r="D14" s="2410">
        <v>3327725.8114879988</v>
      </c>
      <c r="E14" s="2396">
        <v>804347.28813305637</v>
      </c>
      <c r="F14" s="2411">
        <v>3.8658666607998997</v>
      </c>
      <c r="G14" s="2410">
        <v>15031997.077429397</v>
      </c>
      <c r="H14" s="2410">
        <v>4814932.3323214725</v>
      </c>
      <c r="I14" s="2410">
        <v>4162753.1917898678</v>
      </c>
      <c r="J14" s="2411">
        <v>3.1219539631997004</v>
      </c>
      <c r="K14" s="514"/>
      <c r="M14" s="293"/>
      <c r="N14" s="293"/>
      <c r="O14" s="293"/>
      <c r="P14" s="293"/>
      <c r="Q14" s="514"/>
      <c r="R14" s="514"/>
      <c r="S14" s="514"/>
    </row>
    <row r="15" spans="1:19">
      <c r="B15" s="1747" t="s">
        <v>106</v>
      </c>
      <c r="C15" s="2410">
        <v>563897.35588054301</v>
      </c>
      <c r="D15" s="2410">
        <v>309953.07145640498</v>
      </c>
      <c r="E15" s="2396">
        <v>0</v>
      </c>
      <c r="F15" s="2411">
        <v>1.8192991385144424</v>
      </c>
      <c r="G15" s="2410">
        <v>227566.19996539888</v>
      </c>
      <c r="H15" s="2410">
        <v>469689.36182713724</v>
      </c>
      <c r="I15" s="2396">
        <v>0</v>
      </c>
      <c r="J15" s="2411">
        <v>0.4845036282707027</v>
      </c>
      <c r="K15" s="514"/>
      <c r="M15" s="293"/>
      <c r="N15" s="293"/>
      <c r="O15" s="293"/>
      <c r="P15" s="293"/>
      <c r="Q15" s="514"/>
      <c r="R15" s="514"/>
      <c r="S15" s="514"/>
    </row>
    <row r="16" spans="1:19">
      <c r="B16" s="1747" t="s">
        <v>107</v>
      </c>
      <c r="C16" s="2410">
        <v>3464727.9035775834</v>
      </c>
      <c r="D16" s="2410">
        <v>721458.61031456909</v>
      </c>
      <c r="E16" s="2396"/>
      <c r="F16" s="2411">
        <v>4.8023931713378527</v>
      </c>
      <c r="G16" s="2410">
        <v>4100234.0894642882</v>
      </c>
      <c r="H16" s="2410">
        <v>1624564.5179218496</v>
      </c>
      <c r="I16" s="2396">
        <v>754624.36618077359</v>
      </c>
      <c r="J16" s="2411">
        <v>2.5238973547873162</v>
      </c>
      <c r="K16" s="514"/>
      <c r="M16" s="293"/>
      <c r="N16" s="293"/>
      <c r="O16" s="291"/>
      <c r="P16" s="293"/>
      <c r="Q16" s="514"/>
      <c r="R16" s="514"/>
      <c r="S16" s="514"/>
    </row>
    <row r="17" spans="2:19">
      <c r="B17" s="1747" t="s">
        <v>109</v>
      </c>
      <c r="C17" s="2410">
        <v>513655.60898497968</v>
      </c>
      <c r="D17" s="2410">
        <v>56685.500513727784</v>
      </c>
      <c r="E17" s="2396">
        <v>0</v>
      </c>
      <c r="F17" s="2411">
        <v>9.0614990487838316</v>
      </c>
      <c r="G17" s="2410">
        <v>590274.54789956706</v>
      </c>
      <c r="H17" s="2410">
        <v>141368.87288122045</v>
      </c>
      <c r="I17" s="2396"/>
      <c r="J17" s="2411">
        <v>4.1754209103408622</v>
      </c>
      <c r="K17" s="514"/>
      <c r="M17" s="293"/>
      <c r="N17" s="293"/>
      <c r="O17" s="293"/>
      <c r="P17" s="293"/>
      <c r="Q17" s="514"/>
      <c r="R17" s="514"/>
      <c r="S17" s="514"/>
    </row>
    <row r="18" spans="2:19">
      <c r="B18" s="1747" t="s">
        <v>113</v>
      </c>
      <c r="C18" s="2410">
        <v>791658.29999893007</v>
      </c>
      <c r="D18" s="2410">
        <v>467684.41850577499</v>
      </c>
      <c r="E18" s="2396">
        <v>0</v>
      </c>
      <c r="F18" s="2411">
        <v>1.6931354453616871</v>
      </c>
      <c r="G18" s="2410">
        <v>795563.85306246497</v>
      </c>
      <c r="H18" s="2410">
        <v>451672.22459207999</v>
      </c>
      <c r="I18" s="2396">
        <v>49292.788347966103</v>
      </c>
      <c r="J18" s="2411">
        <v>1.7613743102776904</v>
      </c>
      <c r="K18" s="514"/>
      <c r="M18" s="293"/>
      <c r="N18" s="293"/>
      <c r="O18" s="293"/>
      <c r="P18" s="293"/>
      <c r="Q18" s="514"/>
      <c r="R18" s="514"/>
      <c r="S18" s="514"/>
    </row>
    <row r="19" spans="2:19">
      <c r="B19" s="1747" t="s">
        <v>115</v>
      </c>
      <c r="C19" s="2410">
        <v>101026529.75403418</v>
      </c>
      <c r="D19" s="2410">
        <v>20177728.21542431</v>
      </c>
      <c r="E19" s="2396">
        <v>0</v>
      </c>
      <c r="F19" s="2411">
        <v>5.0068337067206219</v>
      </c>
      <c r="G19" s="2410">
        <v>120246648.25495647</v>
      </c>
      <c r="H19" s="2410">
        <v>28866648.612551272</v>
      </c>
      <c r="I19" s="2396">
        <v>23781063.740854785</v>
      </c>
      <c r="J19" s="2411">
        <v>4.165590882021303</v>
      </c>
      <c r="K19" s="514"/>
      <c r="M19" s="293"/>
      <c r="N19" s="293"/>
      <c r="O19" s="293"/>
      <c r="P19" s="293"/>
      <c r="Q19" s="514"/>
      <c r="R19" s="514"/>
      <c r="S19" s="514"/>
    </row>
    <row r="20" spans="2:19">
      <c r="B20" s="1747" t="s">
        <v>116</v>
      </c>
      <c r="C20" s="2410">
        <v>27081811.40461104</v>
      </c>
      <c r="D20" s="2410">
        <v>6851174.4318399262</v>
      </c>
      <c r="E20" s="1717">
        <v>4935500.2543812208</v>
      </c>
      <c r="F20" s="2411">
        <v>3.9528713907431561</v>
      </c>
      <c r="G20" s="2410">
        <v>32302205.970218968</v>
      </c>
      <c r="H20" s="2410">
        <v>11262227.859615605</v>
      </c>
      <c r="I20" s="2410">
        <v>7487171.8660338083</v>
      </c>
      <c r="J20" s="2411">
        <v>2.8681897021502354</v>
      </c>
      <c r="K20" s="514"/>
      <c r="M20" s="293"/>
      <c r="N20" s="293"/>
      <c r="O20" s="527"/>
      <c r="P20" s="293"/>
      <c r="Q20" s="514"/>
      <c r="R20" s="514"/>
      <c r="S20" s="514"/>
    </row>
    <row r="21" spans="2:19">
      <c r="B21" s="1747" t="s">
        <v>117</v>
      </c>
      <c r="C21" s="2410">
        <v>21582364</v>
      </c>
      <c r="D21" s="2410">
        <v>9468422</v>
      </c>
      <c r="E21" s="1727">
        <v>932135</v>
      </c>
      <c r="F21" s="2411">
        <v>2.2799999999999998</v>
      </c>
      <c r="G21" s="2410">
        <v>24777212.547224097</v>
      </c>
      <c r="H21" s="2410">
        <v>9472265.3821257949</v>
      </c>
      <c r="I21" s="2410">
        <v>12777165.998586571</v>
      </c>
      <c r="J21" s="2411">
        <v>1.9391790440826229</v>
      </c>
      <c r="K21" s="514"/>
      <c r="M21" s="293"/>
      <c r="N21" s="293"/>
      <c r="O21" s="293"/>
      <c r="P21" s="293"/>
      <c r="Q21" s="514"/>
      <c r="R21" s="514"/>
      <c r="S21" s="514"/>
    </row>
    <row r="22" spans="2:19" ht="14.45">
      <c r="B22" s="2392" t="s">
        <v>509</v>
      </c>
      <c r="C22" s="1800">
        <f>SUM(C6:C21)</f>
        <v>281753014.01245368</v>
      </c>
      <c r="D22" s="1800">
        <f>SUM(D6:D21)</f>
        <v>69913809.975323394</v>
      </c>
      <c r="E22" s="1800">
        <f>SUM(E6:E21)</f>
        <v>8131792.3344162777</v>
      </c>
      <c r="F22" s="2414">
        <v>3.8788406373185405</v>
      </c>
      <c r="G22" s="1800">
        <f>SUM(G6:G21)</f>
        <v>308180515.898727</v>
      </c>
      <c r="H22" s="1800">
        <f>SUM(H6:H21)</f>
        <v>90123494.166747615</v>
      </c>
      <c r="I22" s="1800">
        <f>SUM(I6:I21)</f>
        <v>61074718.980032071</v>
      </c>
      <c r="J22" s="2415">
        <f>+AVERAGE(J6:J21)</f>
        <v>3.0256423652925784</v>
      </c>
      <c r="K22" s="514"/>
      <c r="L22" s="295"/>
      <c r="M22" s="293"/>
      <c r="N22" s="293"/>
      <c r="O22" s="293"/>
      <c r="P22" s="514"/>
      <c r="Q22" s="514"/>
      <c r="R22" s="514"/>
      <c r="S22" s="514"/>
    </row>
    <row r="23" spans="2:19">
      <c r="O23" s="52"/>
      <c r="P23" s="491"/>
      <c r="Q23" s="491"/>
    </row>
    <row r="24" spans="2:19" ht="28.15" customHeight="1">
      <c r="B24" s="3258"/>
      <c r="C24" s="3258"/>
      <c r="D24" s="3258"/>
      <c r="E24" s="3258"/>
      <c r="F24" s="3258"/>
      <c r="G24" s="3258"/>
      <c r="H24" s="3258"/>
      <c r="I24" s="3258"/>
      <c r="J24" s="3258"/>
      <c r="O24" s="52"/>
      <c r="P24" s="491"/>
      <c r="Q24" s="491"/>
    </row>
    <row r="25" spans="2:19">
      <c r="B25" s="529"/>
      <c r="C25" s="529"/>
      <c r="D25" s="529"/>
      <c r="E25" s="529"/>
      <c r="F25" s="529"/>
      <c r="G25" s="529"/>
      <c r="H25" s="529"/>
      <c r="I25" s="529"/>
      <c r="J25" s="529"/>
      <c r="O25" s="52"/>
      <c r="P25" s="491"/>
      <c r="Q25" s="491"/>
    </row>
    <row r="26" spans="2:19">
      <c r="J26" s="566">
        <v>145</v>
      </c>
    </row>
    <row r="27" spans="2:19">
      <c r="B27" s="384"/>
      <c r="C27" s="567"/>
      <c r="D27" s="567"/>
      <c r="E27" s="567"/>
      <c r="F27" s="567"/>
      <c r="G27" s="384"/>
      <c r="H27" s="384"/>
      <c r="I27" s="384"/>
      <c r="J27" s="568"/>
    </row>
  </sheetData>
  <sortState xmlns:xlrd2="http://schemas.microsoft.com/office/spreadsheetml/2017/richdata2" ref="B6:J21">
    <sortCondition ref="B6"/>
  </sortState>
  <mergeCells count="5">
    <mergeCell ref="B2:J2"/>
    <mergeCell ref="B4:B5"/>
    <mergeCell ref="C4:F4"/>
    <mergeCell ref="G4:J4"/>
    <mergeCell ref="B24:J24"/>
  </mergeCells>
  <pageMargins left="0.7" right="0.7" top="0.75" bottom="0.75" header="0.3" footer="0.3"/>
  <pageSetup paperSize="9" scale="87" orientation="landscape" r:id="rId1"/>
  <rowBreaks count="1" manualBreakCount="1">
    <brk id="26" min="1" max="5" man="1"/>
  </rowBreaks>
  <colBreaks count="1" manualBreakCount="1">
    <brk id="13"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H50"/>
  <sheetViews>
    <sheetView view="pageBreakPreview" topLeftCell="A21" zoomScaleNormal="100" zoomScaleSheetLayoutView="100" workbookViewId="0">
      <selection activeCell="A3" sqref="A3"/>
    </sheetView>
  </sheetViews>
  <sheetFormatPr defaultColWidth="9.140625" defaultRowHeight="15.75" customHeight="1"/>
  <cols>
    <col min="1" max="1" width="5.140625" style="52" customWidth="1"/>
    <col min="2" max="2" width="83.85546875" style="440" customWidth="1"/>
    <col min="3" max="3" width="11.42578125" style="257" customWidth="1"/>
    <col min="4" max="16384" width="9.140625" style="2"/>
  </cols>
  <sheetData>
    <row r="2" spans="1:8" ht="13.15">
      <c r="B2" s="501" t="s">
        <v>24</v>
      </c>
      <c r="C2" s="498" t="s">
        <v>25</v>
      </c>
    </row>
    <row r="3" spans="1:8" ht="26.45">
      <c r="A3" s="611">
        <v>1</v>
      </c>
      <c r="B3" s="413" t="s">
        <v>26</v>
      </c>
      <c r="C3" s="45">
        <v>1</v>
      </c>
    </row>
    <row r="4" spans="1:8" s="292" customFormat="1" ht="26.45">
      <c r="A4" s="611">
        <v>2</v>
      </c>
      <c r="B4" s="413" t="s">
        <v>27</v>
      </c>
      <c r="C4" s="45">
        <v>2</v>
      </c>
    </row>
    <row r="5" spans="1:8" s="292" customFormat="1" ht="26.45">
      <c r="A5" s="611">
        <v>3</v>
      </c>
      <c r="B5" s="413" t="s">
        <v>28</v>
      </c>
      <c r="C5" s="45">
        <v>3</v>
      </c>
    </row>
    <row r="6" spans="1:8" s="292" customFormat="1" ht="14.45">
      <c r="A6" s="611">
        <v>4</v>
      </c>
      <c r="B6" s="413" t="s">
        <v>29</v>
      </c>
      <c r="C6" s="45">
        <v>4</v>
      </c>
    </row>
    <row r="7" spans="1:8" s="292" customFormat="1" ht="14.45">
      <c r="A7" s="611">
        <v>5</v>
      </c>
      <c r="B7" s="413" t="s">
        <v>30</v>
      </c>
      <c r="C7" s="45">
        <v>5</v>
      </c>
    </row>
    <row r="8" spans="1:8" s="292" customFormat="1" ht="14.45">
      <c r="A8" s="611">
        <v>6</v>
      </c>
      <c r="B8" s="413" t="s">
        <v>31</v>
      </c>
      <c r="C8" s="45">
        <v>6</v>
      </c>
    </row>
    <row r="9" spans="1:8" s="292" customFormat="1" ht="14.45">
      <c r="A9" s="611">
        <v>7</v>
      </c>
      <c r="B9" s="413" t="s">
        <v>32</v>
      </c>
      <c r="C9" s="45">
        <v>7</v>
      </c>
    </row>
    <row r="10" spans="1:8" s="292" customFormat="1" ht="26.45">
      <c r="A10" s="611">
        <v>8</v>
      </c>
      <c r="B10" s="413" t="s">
        <v>33</v>
      </c>
      <c r="C10" s="499" t="s">
        <v>34</v>
      </c>
    </row>
    <row r="11" spans="1:8" s="292" customFormat="1" ht="14.45">
      <c r="A11" s="611">
        <v>9</v>
      </c>
      <c r="B11" s="413" t="s">
        <v>35</v>
      </c>
      <c r="C11" s="45">
        <v>10</v>
      </c>
      <c r="H11" s="644"/>
    </row>
    <row r="12" spans="1:8" s="292" customFormat="1" ht="26.45">
      <c r="A12" s="611">
        <v>10</v>
      </c>
      <c r="B12" s="413" t="s">
        <v>36</v>
      </c>
      <c r="C12" s="499" t="s">
        <v>37</v>
      </c>
    </row>
    <row r="13" spans="1:8" s="292" customFormat="1" ht="26.45">
      <c r="A13" s="611">
        <v>11</v>
      </c>
      <c r="B13" s="413" t="s">
        <v>38</v>
      </c>
      <c r="C13" s="499" t="s">
        <v>39</v>
      </c>
    </row>
    <row r="14" spans="1:8" s="292" customFormat="1" ht="26.45">
      <c r="A14" s="611">
        <v>12</v>
      </c>
      <c r="B14" s="413" t="s">
        <v>40</v>
      </c>
      <c r="C14" s="45" t="s">
        <v>41</v>
      </c>
    </row>
    <row r="15" spans="1:8" s="292" customFormat="1" ht="14.45">
      <c r="A15" s="611">
        <v>13</v>
      </c>
      <c r="B15" s="413" t="s">
        <v>42</v>
      </c>
      <c r="C15" s="45" t="s">
        <v>43</v>
      </c>
    </row>
    <row r="16" spans="1:8" s="292" customFormat="1" ht="14.45">
      <c r="A16" s="611">
        <v>14</v>
      </c>
      <c r="B16" s="413" t="s">
        <v>44</v>
      </c>
      <c r="C16" s="45" t="s">
        <v>45</v>
      </c>
    </row>
    <row r="17" spans="1:3" s="292" customFormat="1" ht="26.45">
      <c r="A17" s="611">
        <v>15</v>
      </c>
      <c r="B17" s="413" t="s">
        <v>46</v>
      </c>
      <c r="C17" s="45" t="s">
        <v>47</v>
      </c>
    </row>
    <row r="18" spans="1:3" s="292" customFormat="1" ht="26.45">
      <c r="A18" s="611">
        <v>16</v>
      </c>
      <c r="B18" s="413" t="s">
        <v>48</v>
      </c>
      <c r="C18" s="45" t="s">
        <v>49</v>
      </c>
    </row>
    <row r="19" spans="1:3" s="292" customFormat="1" ht="14.45">
      <c r="A19" s="611">
        <v>17</v>
      </c>
      <c r="B19" s="413" t="s">
        <v>50</v>
      </c>
      <c r="C19" s="45" t="s">
        <v>51</v>
      </c>
    </row>
    <row r="20" spans="1:3" s="292" customFormat="1" ht="14.45">
      <c r="A20" s="611">
        <v>18</v>
      </c>
      <c r="B20" s="413" t="s">
        <v>52</v>
      </c>
      <c r="C20" s="45" t="s">
        <v>53</v>
      </c>
    </row>
    <row r="21" spans="1:3" s="292" customFormat="1" ht="26.45">
      <c r="A21" s="613">
        <v>19</v>
      </c>
      <c r="B21" s="413" t="s">
        <v>54</v>
      </c>
      <c r="C21" s="45">
        <v>141</v>
      </c>
    </row>
    <row r="22" spans="1:3" s="292" customFormat="1" ht="26.45">
      <c r="A22" s="612">
        <v>20</v>
      </c>
      <c r="B22" s="413" t="s">
        <v>55</v>
      </c>
      <c r="C22" s="45">
        <v>142</v>
      </c>
    </row>
    <row r="23" spans="1:3" s="292" customFormat="1" ht="26.45">
      <c r="A23" s="612">
        <v>21</v>
      </c>
      <c r="B23" s="413" t="s">
        <v>56</v>
      </c>
      <c r="C23" s="45">
        <v>143</v>
      </c>
    </row>
    <row r="24" spans="1:3" s="292" customFormat="1" ht="26.45">
      <c r="A24" s="612">
        <v>22</v>
      </c>
      <c r="B24" s="413" t="s">
        <v>57</v>
      </c>
      <c r="C24" s="45">
        <v>144</v>
      </c>
    </row>
    <row r="25" spans="1:3" s="292" customFormat="1" ht="26.45">
      <c r="A25" s="612">
        <v>23</v>
      </c>
      <c r="B25" s="413" t="s">
        <v>58</v>
      </c>
      <c r="C25" s="45">
        <v>145</v>
      </c>
    </row>
    <row r="26" spans="1:3" s="292" customFormat="1" ht="26.45">
      <c r="A26" s="612">
        <v>24</v>
      </c>
      <c r="B26" s="413" t="s">
        <v>59</v>
      </c>
      <c r="C26" s="45">
        <v>146</v>
      </c>
    </row>
    <row r="27" spans="1:3" s="292" customFormat="1" ht="26.45">
      <c r="A27" s="612">
        <v>25</v>
      </c>
      <c r="B27" s="413" t="s">
        <v>60</v>
      </c>
      <c r="C27" s="45" t="s">
        <v>61</v>
      </c>
    </row>
    <row r="28" spans="1:3" s="52" customFormat="1" ht="26.45">
      <c r="A28" s="612">
        <v>26</v>
      </c>
      <c r="B28" s="438" t="s">
        <v>62</v>
      </c>
      <c r="C28" s="196">
        <v>152</v>
      </c>
    </row>
    <row r="29" spans="1:3" s="292" customFormat="1" ht="14.45">
      <c r="A29" s="612">
        <v>27</v>
      </c>
      <c r="B29" s="413" t="s">
        <v>63</v>
      </c>
      <c r="C29" s="45" t="s">
        <v>64</v>
      </c>
    </row>
    <row r="30" spans="1:3" s="292" customFormat="1" ht="14.45">
      <c r="A30" s="612">
        <v>28</v>
      </c>
      <c r="B30" s="413" t="s">
        <v>65</v>
      </c>
      <c r="C30" s="45" t="s">
        <v>66</v>
      </c>
    </row>
    <row r="31" spans="1:3" s="292" customFormat="1" ht="14.45">
      <c r="A31" s="612">
        <v>29</v>
      </c>
      <c r="B31" s="413" t="s">
        <v>67</v>
      </c>
      <c r="C31" s="45">
        <v>163</v>
      </c>
    </row>
    <row r="32" spans="1:3" s="292" customFormat="1" ht="26.45">
      <c r="A32" s="612">
        <v>30</v>
      </c>
      <c r="B32" s="413" t="s">
        <v>68</v>
      </c>
      <c r="C32" s="45">
        <v>164</v>
      </c>
    </row>
    <row r="33" spans="1:4" s="292" customFormat="1" ht="14.45">
      <c r="A33" s="612">
        <v>31</v>
      </c>
      <c r="B33" s="413" t="s">
        <v>69</v>
      </c>
      <c r="C33" s="45" t="s">
        <v>70</v>
      </c>
    </row>
    <row r="34" spans="1:4" s="292" customFormat="1" ht="14.45">
      <c r="A34" s="612">
        <v>32</v>
      </c>
      <c r="B34" s="413" t="s">
        <v>71</v>
      </c>
      <c r="C34" s="45" t="s">
        <v>72</v>
      </c>
    </row>
    <row r="35" spans="1:4" s="292" customFormat="1" ht="14.45">
      <c r="A35" s="611">
        <v>33</v>
      </c>
      <c r="B35" s="413" t="s">
        <v>73</v>
      </c>
      <c r="C35" s="45">
        <v>180</v>
      </c>
    </row>
    <row r="36" spans="1:4" s="292" customFormat="1" ht="14.45">
      <c r="A36" s="611">
        <v>34</v>
      </c>
      <c r="B36" s="413" t="s">
        <v>74</v>
      </c>
      <c r="C36" s="45">
        <v>181</v>
      </c>
    </row>
    <row r="37" spans="1:4" s="292" customFormat="1" ht="14.45">
      <c r="A37" s="611">
        <v>35</v>
      </c>
      <c r="B37" s="413" t="s">
        <v>75</v>
      </c>
      <c r="C37" s="45" t="s">
        <v>76</v>
      </c>
    </row>
    <row r="38" spans="1:4" s="292" customFormat="1" ht="14.45">
      <c r="A38" s="611">
        <v>36</v>
      </c>
      <c r="B38" s="413" t="s">
        <v>77</v>
      </c>
      <c r="C38" s="45" t="s">
        <v>78</v>
      </c>
      <c r="D38" s="500"/>
    </row>
    <row r="39" spans="1:4" s="292" customFormat="1" ht="14.45">
      <c r="A39" s="611">
        <v>37</v>
      </c>
      <c r="B39" s="413" t="s">
        <v>79</v>
      </c>
      <c r="C39" s="45" t="s">
        <v>80</v>
      </c>
    </row>
    <row r="40" spans="1:4" s="292" customFormat="1" ht="14.45">
      <c r="A40" s="611">
        <v>38</v>
      </c>
      <c r="B40" s="413" t="s">
        <v>81</v>
      </c>
      <c r="C40" s="45">
        <v>195</v>
      </c>
    </row>
    <row r="41" spans="1:4" s="292" customFormat="1" ht="15.75" customHeight="1">
      <c r="A41" s="52"/>
      <c r="B41" s="440"/>
      <c r="C41" s="45"/>
    </row>
    <row r="42" spans="1:4" s="292" customFormat="1" ht="15.75" customHeight="1">
      <c r="A42" s="3197" t="s">
        <v>82</v>
      </c>
      <c r="B42" s="3197"/>
      <c r="C42" s="3197"/>
    </row>
    <row r="43" spans="1:4" s="292" customFormat="1" ht="15.75" customHeight="1">
      <c r="A43" s="52"/>
      <c r="B43" s="440"/>
      <c r="C43" s="45"/>
    </row>
    <row r="44" spans="1:4" s="292" customFormat="1" ht="15.75" customHeight="1">
      <c r="A44" s="52"/>
      <c r="B44" s="440"/>
      <c r="C44" s="45"/>
    </row>
    <row r="45" spans="1:4" s="292" customFormat="1" ht="15.75" customHeight="1">
      <c r="A45" s="52"/>
      <c r="B45" s="440"/>
      <c r="C45" s="45"/>
    </row>
    <row r="46" spans="1:4" s="292" customFormat="1" ht="15.75" customHeight="1">
      <c r="A46" s="52"/>
      <c r="B46" s="440"/>
      <c r="C46" s="45"/>
    </row>
    <row r="47" spans="1:4" s="292" customFormat="1" ht="15.75" customHeight="1">
      <c r="A47" s="52"/>
      <c r="B47" s="440"/>
      <c r="C47" s="45"/>
    </row>
    <row r="48" spans="1:4" s="292" customFormat="1" ht="15.75" customHeight="1">
      <c r="A48" s="52"/>
      <c r="B48" s="440"/>
      <c r="C48" s="45"/>
    </row>
    <row r="49" spans="1:3" s="292" customFormat="1" ht="15.75" customHeight="1">
      <c r="A49" s="52"/>
      <c r="B49" s="502"/>
      <c r="C49" s="45"/>
    </row>
    <row r="50" spans="1:3" s="292" customFormat="1" ht="15.75" customHeight="1">
      <c r="A50" s="52"/>
      <c r="B50" s="502"/>
    </row>
  </sheetData>
  <customSheetViews>
    <customSheetView guid="{2ACFE167-4169-43A6-9AB2-59D5A2DA2DB4}" scale="85" showPageBreaks="1" printArea="1" topLeftCell="A16">
      <selection activeCell="B20" sqref="B20"/>
      <pageMargins left="0" right="0" top="0" bottom="0" header="0" footer="0"/>
      <pageSetup scale="63" orientation="portrait" r:id="rId1"/>
    </customSheetView>
    <customSheetView guid="{967E0446-E234-427F-8E57-7FE287052E2E}" scale="85" showPageBreaks="1" printArea="1" topLeftCell="A16">
      <selection activeCell="B20" sqref="B20"/>
      <pageMargins left="0" right="0" top="0" bottom="0" header="0" footer="0"/>
      <pageSetup scale="63" orientation="portrait" r:id="rId2"/>
    </customSheetView>
    <customSheetView guid="{B2E1A0C6-5BA1-4CF1-B412-16D81FCDF11F}" scale="85" showPageBreaks="1" printArea="1" topLeftCell="A16">
      <selection activeCell="B20" sqref="B20"/>
      <pageMargins left="0" right="0" top="0" bottom="0" header="0" footer="0"/>
      <pageSetup scale="63" orientation="portrait" r:id="rId3"/>
    </customSheetView>
    <customSheetView guid="{46F31544-8E6F-41C5-8628-1D6EE074AF15}" scale="85">
      <selection activeCell="B2" sqref="B2"/>
      <pageMargins left="0" right="0" top="0" bottom="0" header="0" footer="0"/>
      <pageSetup scale="63" orientation="portrait" r:id="rId4"/>
    </customSheetView>
    <customSheetView guid="{E82B35BE-4719-4C53-A9EF-1CC6F153A6F3}" showPageBreaks="1" printArea="1">
      <selection activeCell="B6" sqref="B6"/>
      <pageMargins left="0" right="0" top="0" bottom="0" header="0" footer="0"/>
      <pageSetup scale="70" orientation="portrait" r:id="rId5"/>
    </customSheetView>
    <customSheetView guid="{B1E1B596-A9A1-411D-A882-A48CB025B978}" showPageBreaks="1" printArea="1" topLeftCell="A7">
      <selection activeCell="B36" sqref="B36"/>
      <pageMargins left="0" right="0" top="0" bottom="0" header="0" footer="0"/>
      <pageSetup scale="80" orientation="portrait" r:id="rId6"/>
    </customSheetView>
    <customSheetView guid="{5E394B0B-7867-4722-9497-A93AB2A9A773}" showPageBreaks="1" printArea="1">
      <selection activeCell="B17" sqref="B17"/>
      <pageMargins left="0" right="0" top="0" bottom="0" header="0" footer="0"/>
      <pageSetup scale="66" orientation="portrait" r:id="rId7"/>
    </customSheetView>
  </customSheetViews>
  <mergeCells count="1">
    <mergeCell ref="A42:C42"/>
  </mergeCells>
  <hyperlinks>
    <hyperlink ref="B13" location="'BS 2014 '!A1" display="Industry &amp; Company -wise Balance Sheets - 31st December 2014" xr:uid="{00000000-0004-0000-0200-000000000000}"/>
    <hyperlink ref="B6" location="'Industry Assets'!A1" display=" Company-wise analysis of Total Assets" xr:uid="{00000000-0004-0000-0200-000001000000}"/>
    <hyperlink ref="B8" location="'SH Fund'!A1" display="Total Shareholders' Funds of Insurance Companies" xr:uid="{00000000-0004-0000-0200-000002000000}"/>
    <hyperlink ref="B9" location="'Concentration of Assets - LTIB'!A1" display="Concentration of Assets of Long Term Insurance  Business " xr:uid="{00000000-0004-0000-0200-000003000000}"/>
    <hyperlink ref="B10" location="'Assets Con - Company-wise - LTI'!A1" display="Company-wise Analysis of Concentration of Assets 31st December 2013" xr:uid="{00000000-0004-0000-0200-000004000000}"/>
    <hyperlink ref="B7" location="'Fin Inst''n'!A1" display="Distribution of Total Assets of Major Financial Institutions" xr:uid="{00000000-0004-0000-0200-000005000000}"/>
    <hyperlink ref="B4" location="'GWP - LTIB'!Print_Area" display="Company-wise Market Share of Gross Written Premium - Long Term Insurance Business " xr:uid="{00000000-0004-0000-0200-000006000000}"/>
    <hyperlink ref="B11" location="'Concentration Assets - GIB'!A1" display="Concentration of Assets of General Insurance Business and Shareholders - 2012 &amp; 2013" xr:uid="{00000000-0004-0000-0200-000007000000}"/>
    <hyperlink ref="B12" location="'Concen Assets - Companywise - G'!A1" display="Company-wise concentration of assets of General Insurance Business and Shareholders - 2013" xr:uid="{00000000-0004-0000-0200-000008000000}"/>
    <hyperlink ref="B5" location="'GWP - GIB'!A1" display="Company - wise  Gross Written Premium &amp; Market Share - General Insurance Business - 2009 to 2013" xr:uid="{00000000-0004-0000-0200-000009000000}"/>
    <hyperlink ref="B14" location="'BS 2013'!Print_Area" display="Industry &amp; Company -wise Balance Sheets - 31st December 2013" xr:uid="{00000000-0004-0000-0200-00000A000000}"/>
    <hyperlink ref="B17" location="'BS 2014 '!A1" display="Industry &amp; Company -wise Balance Sheets - 31st December 2014" xr:uid="{00000000-0004-0000-0200-00000B000000}"/>
    <hyperlink ref="B18" location="'BS 2014 '!A1" display="Industry &amp; Company -wise Balance Sheets - 31st December 2014" xr:uid="{00000000-0004-0000-0200-00000C000000}"/>
    <hyperlink ref="A3" location="'1. GWP - LT + GI  (Final) '!A1" display="'1. GWP - LT + GI  (Final) '!A1" xr:uid="{00000000-0004-0000-0200-00000D000000}"/>
    <hyperlink ref="A4" location="'2. GWP - LTIB '!A1" display="'2. GWP - LTIB '!A1" xr:uid="{00000000-0004-0000-0200-00000E000000}"/>
    <hyperlink ref="A5" location="'3. GWP - GIB'!A1" display="'3. GWP - GIB'!A1" xr:uid="{00000000-0004-0000-0200-00000F000000}"/>
    <hyperlink ref="A6" location="'4. Industry Assets '!A1" display="'4. Industry Assets '!A1" xr:uid="{00000000-0004-0000-0200-000010000000}"/>
    <hyperlink ref="A7" location="'5. Fin Inst''n '!A1" display="'5. Fin Inst''n '!A1" xr:uid="{00000000-0004-0000-0200-000011000000}"/>
    <hyperlink ref="A8" location="'6. SH Fund '!A1" display="'6. SH Fund '!A1" xr:uid="{00000000-0004-0000-0200-000012000000}"/>
    <hyperlink ref="A9" location="'7. Concentration of Assets-LTIB'!A1" display="'7. Concentration of Assets-LTIB'!A1" xr:uid="{00000000-0004-0000-0200-000013000000}"/>
    <hyperlink ref="A10" location="'8. Assets Con-Company-wise LTI '!A1" display="'8. Assets Con-Company-wise LTI '!A1" xr:uid="{00000000-0004-0000-0200-000014000000}"/>
    <hyperlink ref="A11" location="'9. Concentration Assets - G '!A1" display="'9. Concentration Assets - G '!A1" xr:uid="{00000000-0004-0000-0200-000015000000}"/>
    <hyperlink ref="A19" location="'17. P &amp; L - GI - 2021'!Print_Area" display="'17. P &amp; L - GI - 2021'!Print_Area" xr:uid="{00000000-0004-0000-0200-000016000000}"/>
    <hyperlink ref="A20" location="'18. P &amp; L - GI - 2020'!Print_Area" display="'18. P &amp; L - GI - 2020'!Print_Area" xr:uid="{00000000-0004-0000-0200-000017000000}"/>
    <hyperlink ref="A21" location="'19. TAC LI '!Print_Area" display="'19. TAC LI '!Print_Area" xr:uid="{00000000-0004-0000-0200-000018000000}"/>
    <hyperlink ref="A22" location="'20. RCR LI '!A1" display="'20. RCR LI '!A1" xr:uid="{00000000-0004-0000-0200-000019000000}"/>
    <hyperlink ref="A23" location="'21. TAC'!A1" display="'21. TAC'!A1" xr:uid="{00000000-0004-0000-0200-00001A000000}"/>
    <hyperlink ref="A24" location="'22. RCR'!A1" display="'22. RCR'!A1" xr:uid="{00000000-0004-0000-0200-00001B000000}"/>
    <hyperlink ref="A25" location="'23. Solvency LI  '!A1" display="'23. Solvency LI  '!A1" xr:uid="{00000000-0004-0000-0200-00001C000000}"/>
    <hyperlink ref="A26" location="'24.  Solvency  GI '!A1" display="'24.  Solvency  GI '!A1" xr:uid="{00000000-0004-0000-0200-00001D000000}"/>
    <hyperlink ref="A27" location="'25. GWP Class&amp; Com Wise-GI '!A1" display="'25. GWP Class&amp; Com Wise-GI '!A1" xr:uid="{00000000-0004-0000-0200-00001E000000}"/>
    <hyperlink ref="A28" location="'26. Combined Ratio'!A1" display="'26. Combined Ratio'!A1" xr:uid="{00000000-0004-0000-0200-00001F000000}"/>
    <hyperlink ref="A29" location="'27. Earned premium-GIB'!A1" display="'27. Earned premium-GIB'!A1" xr:uid="{00000000-0004-0000-0200-000020000000}"/>
    <hyperlink ref="A30" location="'28. Claims Incurred-GIB compltd'!A1" display="'28. Claims Incurred-GIB compltd'!A1" xr:uid="{00000000-0004-0000-0200-000021000000}"/>
    <hyperlink ref="A31" location="'29. Combined Ratio-Com wise GI'!A1" display="'29. Combined Ratio-Com wise GI'!A1" xr:uid="{00000000-0004-0000-0200-000022000000}"/>
    <hyperlink ref="A32" location="'30. Retention final '!A1" display="'30. Retention final '!A1" xr:uid="{00000000-0004-0000-0200-000023000000}"/>
    <hyperlink ref="A33" location="'31. Reinsurance Premium'!A1" display="'31. Reinsurance Premium'!A1" xr:uid="{00000000-0004-0000-0200-000024000000}"/>
    <hyperlink ref="A34" location="'32. Branches, Emp, Agents'!A1" display="'32. Branches, Emp, Agents'!A1" xr:uid="{00000000-0004-0000-0200-000025000000}"/>
    <hyperlink ref="A35" location="'33. New Policies LI (Final) '!Print_Area" display="'33. New Policies LI (Final) '!Print_Area" xr:uid="{00000000-0004-0000-0200-000026000000}"/>
    <hyperlink ref="A36" location="'34. Inforced Policies LI '!Print_Area" display="'34. Inforced Policies LI '!Print_Area" xr:uid="{00000000-0004-0000-0200-000027000000}"/>
    <hyperlink ref="A37" location="'35. New Business '!Print_Area" display="'35. New Business '!Print_Area" xr:uid="{00000000-0004-0000-0200-000028000000}"/>
    <hyperlink ref="A38" location="'36. Life Benefits Rs.''000'!Print_Area" display="'36. Life Benefits Rs.''000'!Print_Area" xr:uid="{00000000-0004-0000-0200-000029000000}"/>
    <hyperlink ref="A39" location="'37. Num of Life Benefits Paid'!Print_Area" display="'37. Num of Life Benefits Paid'!Print_Area" xr:uid="{00000000-0004-0000-0200-00002A000000}"/>
    <hyperlink ref="A40" location="'38. Appendix'!Print_Area" display="'38. Appendix'!Print_Area" xr:uid="{00000000-0004-0000-0200-00002B000000}"/>
    <hyperlink ref="A12" location="'10.Concen Assets-Companywis '!Print_Area" display="'10.Concen Assets-Companywis '!Print_Area" xr:uid="{00000000-0004-0000-0200-00002C000000}"/>
    <hyperlink ref="A13" location="'11. Balance Sheet - 2021-LI '!Print_Area" display="'11. Balance Sheet - 2021-LI '!Print_Area" xr:uid="{00000000-0004-0000-0200-00002D000000}"/>
    <hyperlink ref="A14" location="'12. Balance Sheet - 2020-LI'!Print_Area" display="'12. Balance Sheet - 2020-LI'!Print_Area" xr:uid="{00000000-0004-0000-0200-00002E000000}"/>
    <hyperlink ref="A15" location="'13. Income St.- 2021 - LI '!Print_Area" display="'13. Income St.- 2021 - LI '!Print_Area" xr:uid="{00000000-0004-0000-0200-00002F000000}"/>
    <hyperlink ref="A16" location="'14. Income St.- 2020 - LI'!Print_Area" display="'14. Income St.- 2020 - LI'!Print_Area" xr:uid="{00000000-0004-0000-0200-000030000000}"/>
    <hyperlink ref="A17" location="'15. BS 2021 GI '!Print_Area" display="'15. BS 2021 GI '!Print_Area" xr:uid="{00000000-0004-0000-0200-000031000000}"/>
    <hyperlink ref="A18" location="'16. BS 2020 GI'!Print_Area" display="'16. BS 2020 GI'!Print_Area" xr:uid="{00000000-0004-0000-0200-000032000000}"/>
  </hyperlinks>
  <pageMargins left="0.7" right="0.37" top="0.75" bottom="0.75" header="0.3" footer="0.3"/>
  <pageSetup paperSize="9" scale="85" orientation="portrait" r:id="rId8"/>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FF6699"/>
  </sheetPr>
  <dimension ref="B2:N27"/>
  <sheetViews>
    <sheetView showGridLines="0" view="pageBreakPreview" topLeftCell="B1" zoomScale="85" zoomScaleNormal="100" zoomScaleSheetLayoutView="85" workbookViewId="0">
      <selection activeCell="G6" sqref="G6:G17"/>
    </sheetView>
  </sheetViews>
  <sheetFormatPr defaultColWidth="9.140625" defaultRowHeight="13.15"/>
  <cols>
    <col min="1" max="1" width="4" style="292" bestFit="1" customWidth="1"/>
    <col min="2" max="2" width="30.5703125" style="292" customWidth="1"/>
    <col min="3" max="7" width="17.7109375" style="292" customWidth="1"/>
    <col min="8" max="8" width="16.42578125" style="292" customWidth="1"/>
    <col min="9" max="9" width="9.140625" style="292" customWidth="1"/>
    <col min="10" max="10" width="13.7109375" style="292" customWidth="1"/>
    <col min="11" max="11" width="14.5703125" style="292" customWidth="1"/>
    <col min="12" max="13" width="9.140625" style="292"/>
    <col min="14" max="14" width="12.28515625" style="292" bestFit="1" customWidth="1"/>
    <col min="15" max="16384" width="9.140625" style="292"/>
  </cols>
  <sheetData>
    <row r="2" spans="2:14" ht="14.25" customHeight="1">
      <c r="B2" s="3198" t="s">
        <v>510</v>
      </c>
      <c r="C2" s="3198"/>
      <c r="D2" s="3198"/>
      <c r="E2" s="3198"/>
      <c r="F2" s="3198"/>
      <c r="G2" s="3198"/>
      <c r="H2" s="3198"/>
    </row>
    <row r="3" spans="2:14">
      <c r="B3" s="295"/>
      <c r="C3" s="295"/>
      <c r="D3" s="295"/>
      <c r="E3" s="295"/>
      <c r="F3" s="295"/>
      <c r="G3" s="3434"/>
      <c r="H3" s="3434"/>
    </row>
    <row r="4" spans="2:14">
      <c r="B4" s="3452" t="s">
        <v>84</v>
      </c>
      <c r="C4" s="3238" t="s">
        <v>511</v>
      </c>
      <c r="D4" s="3235"/>
      <c r="E4" s="3236"/>
      <c r="F4" s="3234" t="s">
        <v>501</v>
      </c>
      <c r="G4" s="3235"/>
      <c r="H4" s="3236"/>
      <c r="J4" s="3451"/>
      <c r="K4" s="3451"/>
    </row>
    <row r="5" spans="2:14" s="395" customFormat="1">
      <c r="B5" s="3454"/>
      <c r="C5" s="1608" t="s">
        <v>512</v>
      </c>
      <c r="D5" s="1536" t="s">
        <v>513</v>
      </c>
      <c r="E5" s="1533" t="s">
        <v>508</v>
      </c>
      <c r="F5" s="1536" t="s">
        <v>512</v>
      </c>
      <c r="G5" s="1536" t="s">
        <v>513</v>
      </c>
      <c r="H5" s="1533" t="s">
        <v>508</v>
      </c>
      <c r="J5" s="458"/>
      <c r="K5" s="458"/>
    </row>
    <row r="6" spans="2:14" ht="21" customHeight="1">
      <c r="B6" s="1597" t="s">
        <v>91</v>
      </c>
      <c r="C6" s="2416">
        <v>9554629</v>
      </c>
      <c r="D6" s="2416">
        <v>3245417</v>
      </c>
      <c r="E6" s="2417">
        <v>2.94</v>
      </c>
      <c r="F6" s="2416">
        <v>8420614</v>
      </c>
      <c r="G6" s="3147">
        <v>4440016</v>
      </c>
      <c r="H6" s="2417">
        <v>1.9</v>
      </c>
      <c r="I6" s="396"/>
      <c r="J6" s="396"/>
      <c r="K6" s="396"/>
      <c r="L6" s="565"/>
      <c r="M6" s="396"/>
      <c r="N6" s="565"/>
    </row>
    <row r="7" spans="2:14" ht="21" customHeight="1">
      <c r="B7" s="1747" t="s">
        <v>94</v>
      </c>
      <c r="C7" s="2395">
        <v>697680.21933423774</v>
      </c>
      <c r="D7" s="2408">
        <v>386349.96247869713</v>
      </c>
      <c r="E7" s="3148">
        <v>1.80582447804096</v>
      </c>
      <c r="F7" s="2395">
        <v>885238.49414124526</v>
      </c>
      <c r="G7" s="2376">
        <v>541233.64467492537</v>
      </c>
      <c r="H7" s="2418">
        <v>1.6355939857969017</v>
      </c>
      <c r="I7" s="396"/>
      <c r="J7" s="396"/>
      <c r="K7" s="396"/>
      <c r="L7" s="565"/>
      <c r="M7" s="396"/>
      <c r="N7" s="565"/>
    </row>
    <row r="8" spans="2:14" ht="21" customHeight="1">
      <c r="B8" s="1747" t="s">
        <v>97</v>
      </c>
      <c r="C8" s="715">
        <v>7785548.6859646998</v>
      </c>
      <c r="D8" s="716">
        <v>3841977.7912605298</v>
      </c>
      <c r="E8" s="2419">
        <v>2.0264429179353241</v>
      </c>
      <c r="F8" s="716">
        <v>8878156.8594892193</v>
      </c>
      <c r="G8" s="716">
        <v>4595746.8321644301</v>
      </c>
      <c r="H8" s="719">
        <v>1.9318202641958695</v>
      </c>
      <c r="I8" s="396"/>
      <c r="J8" s="396"/>
      <c r="K8" s="396"/>
      <c r="L8" s="565"/>
      <c r="M8" s="396"/>
      <c r="N8" s="565"/>
    </row>
    <row r="9" spans="2:14" ht="21" customHeight="1">
      <c r="B9" s="2420" t="s">
        <v>128</v>
      </c>
      <c r="C9" s="715">
        <v>2767549</v>
      </c>
      <c r="D9" s="716">
        <v>864239</v>
      </c>
      <c r="E9" s="719">
        <v>3.2</v>
      </c>
      <c r="F9" s="716">
        <v>4167775</v>
      </c>
      <c r="G9" s="716">
        <v>1443155</v>
      </c>
      <c r="H9" s="719">
        <v>2.89</v>
      </c>
      <c r="I9" s="396"/>
      <c r="J9" s="396"/>
      <c r="K9" s="396"/>
      <c r="L9" s="565"/>
      <c r="M9" s="396"/>
      <c r="N9" s="565"/>
    </row>
    <row r="10" spans="2:14" ht="21" customHeight="1">
      <c r="B10" s="1747" t="s">
        <v>101</v>
      </c>
      <c r="C10" s="715">
        <v>3389680</v>
      </c>
      <c r="D10" s="687">
        <v>1151478</v>
      </c>
      <c r="E10" s="720">
        <v>2.94</v>
      </c>
      <c r="F10" s="716">
        <v>3353629</v>
      </c>
      <c r="G10" s="687">
        <v>1701711</v>
      </c>
      <c r="H10" s="720">
        <v>1.97</v>
      </c>
      <c r="I10" s="396"/>
      <c r="J10" s="396"/>
      <c r="K10" s="396"/>
      <c r="L10" s="565"/>
      <c r="M10" s="396"/>
      <c r="N10" s="565"/>
    </row>
    <row r="11" spans="2:14" ht="21" customHeight="1">
      <c r="B11" s="1747" t="s">
        <v>102</v>
      </c>
      <c r="C11" s="715">
        <v>5244163</v>
      </c>
      <c r="D11" s="687">
        <v>2510774</v>
      </c>
      <c r="E11" s="720">
        <v>2.09</v>
      </c>
      <c r="F11" s="716">
        <v>5197058</v>
      </c>
      <c r="G11" s="687">
        <v>2703768</v>
      </c>
      <c r="H11" s="720">
        <v>1.92</v>
      </c>
      <c r="I11" s="396"/>
      <c r="J11" s="396"/>
      <c r="K11" s="396"/>
      <c r="L11" s="565"/>
      <c r="M11" s="396"/>
      <c r="N11" s="565"/>
    </row>
    <row r="12" spans="2:14" ht="21" customHeight="1">
      <c r="B12" s="1747" t="s">
        <v>104</v>
      </c>
      <c r="C12" s="715">
        <v>1903450</v>
      </c>
      <c r="D12" s="687">
        <v>732013</v>
      </c>
      <c r="E12" s="720">
        <v>2.6</v>
      </c>
      <c r="F12" s="716">
        <v>1947292</v>
      </c>
      <c r="G12" s="687">
        <v>813209</v>
      </c>
      <c r="H12" s="720">
        <v>2.39</v>
      </c>
      <c r="I12" s="396"/>
      <c r="J12" s="396"/>
      <c r="K12" s="396"/>
      <c r="L12" s="565"/>
      <c r="M12" s="396"/>
      <c r="N12" s="565"/>
    </row>
    <row r="13" spans="2:14" ht="21" customHeight="1">
      <c r="B13" s="1747" t="s">
        <v>108</v>
      </c>
      <c r="C13" s="715">
        <v>3685885</v>
      </c>
      <c r="D13" s="687">
        <v>1924605</v>
      </c>
      <c r="E13" s="720">
        <v>1.92</v>
      </c>
      <c r="F13" s="716">
        <v>3504779</v>
      </c>
      <c r="G13" s="687">
        <v>2047580</v>
      </c>
      <c r="H13" s="720">
        <v>1.71</v>
      </c>
      <c r="I13" s="396"/>
      <c r="J13" s="396"/>
      <c r="K13" s="396"/>
      <c r="M13" s="396"/>
      <c r="N13" s="565"/>
    </row>
    <row r="14" spans="2:14" ht="21" customHeight="1">
      <c r="B14" s="1747" t="s">
        <v>109</v>
      </c>
      <c r="C14" s="715">
        <v>288676</v>
      </c>
      <c r="D14" s="687">
        <v>128787</v>
      </c>
      <c r="E14" s="720">
        <v>2.2400000000000002</v>
      </c>
      <c r="F14" s="716">
        <v>239211</v>
      </c>
      <c r="G14" s="687">
        <v>155226</v>
      </c>
      <c r="H14" s="720">
        <v>1.54</v>
      </c>
      <c r="I14" s="396"/>
      <c r="J14" s="396"/>
      <c r="K14" s="396"/>
      <c r="L14" s="565"/>
      <c r="M14" s="396"/>
      <c r="N14" s="565"/>
    </row>
    <row r="15" spans="2:14" ht="21" customHeight="1">
      <c r="B15" s="1747" t="s">
        <v>111</v>
      </c>
      <c r="C15" s="715">
        <v>1060412.2257974667</v>
      </c>
      <c r="D15" s="687">
        <v>389404.31318106543</v>
      </c>
      <c r="E15" s="720">
        <v>2.7231650752270831</v>
      </c>
      <c r="F15" s="716">
        <v>1186561.7362304765</v>
      </c>
      <c r="G15" s="687">
        <v>590353.48515417788</v>
      </c>
      <c r="H15" s="720">
        <v>2.0099173902913297</v>
      </c>
      <c r="I15" s="396"/>
      <c r="J15" s="396"/>
      <c r="K15" s="396"/>
      <c r="L15" s="565"/>
      <c r="M15" s="396"/>
      <c r="N15" s="565"/>
    </row>
    <row r="16" spans="2:14" ht="21" customHeight="1">
      <c r="B16" s="1747" t="s">
        <v>112</v>
      </c>
      <c r="C16" s="717">
        <v>4549198.0151124084</v>
      </c>
      <c r="D16" s="718">
        <v>1436670.3972124937</v>
      </c>
      <c r="E16" s="721">
        <v>3.1664869158152147</v>
      </c>
      <c r="F16" s="718">
        <v>4080802.3383433493</v>
      </c>
      <c r="G16" s="718">
        <v>1559130.8376657995</v>
      </c>
      <c r="H16" s="721">
        <v>2.6173572093877544</v>
      </c>
      <c r="I16" s="396"/>
      <c r="J16" s="396"/>
      <c r="K16" s="396"/>
      <c r="L16" s="565"/>
      <c r="M16" s="396"/>
      <c r="N16" s="565"/>
    </row>
    <row r="17" spans="2:14" ht="21" customHeight="1">
      <c r="B17" s="1747" t="s">
        <v>114</v>
      </c>
      <c r="C17" s="715">
        <v>598080</v>
      </c>
      <c r="D17" s="687">
        <v>232577</v>
      </c>
      <c r="E17" s="720">
        <v>2.57</v>
      </c>
      <c r="F17" s="722">
        <v>524468</v>
      </c>
      <c r="G17" s="722">
        <v>303237</v>
      </c>
      <c r="H17" s="723">
        <v>1.73</v>
      </c>
      <c r="I17" s="396"/>
      <c r="J17" s="396"/>
      <c r="K17" s="396"/>
      <c r="L17" s="565"/>
      <c r="M17" s="396"/>
      <c r="N17" s="565"/>
    </row>
    <row r="18" spans="2:14" ht="21" customHeight="1">
      <c r="B18" s="1753" t="s">
        <v>115</v>
      </c>
      <c r="C18" s="715">
        <v>33415841</v>
      </c>
      <c r="D18" s="687">
        <v>13669247</v>
      </c>
      <c r="E18" s="720">
        <v>2.44</v>
      </c>
      <c r="F18" s="716">
        <v>39368653</v>
      </c>
      <c r="G18" s="687">
        <v>15062590</v>
      </c>
      <c r="H18" s="720">
        <v>2.6139999999999999</v>
      </c>
      <c r="I18" s="396"/>
      <c r="J18" s="396"/>
      <c r="K18" s="396"/>
      <c r="L18" s="565"/>
      <c r="M18" s="396"/>
      <c r="N18" s="565"/>
    </row>
    <row r="19" spans="2:14" ht="21" customHeight="1">
      <c r="B19" s="2392" t="s">
        <v>509</v>
      </c>
      <c r="C19" s="2406">
        <f>SUM(C6:C18)</f>
        <v>74940792.146208808</v>
      </c>
      <c r="D19" s="1585">
        <f>SUM(D6:D18)</f>
        <v>30513539.464132786</v>
      </c>
      <c r="E19" s="1586">
        <f>AVERAGE(E6:E18)</f>
        <v>2.5124553374629679</v>
      </c>
      <c r="F19" s="2406">
        <f>SUM(F6:F18)</f>
        <v>81754238.428204298</v>
      </c>
      <c r="G19" s="2406">
        <f>SUM(G6:G18)</f>
        <v>35956956.799659334</v>
      </c>
      <c r="H19" s="1586">
        <f>AVERAGE(H6:H18)</f>
        <v>2.0660529884362968</v>
      </c>
      <c r="I19" s="396"/>
      <c r="J19" s="396"/>
      <c r="K19" s="396"/>
      <c r="L19" s="565"/>
      <c r="M19" s="396"/>
      <c r="N19" s="565"/>
    </row>
    <row r="20" spans="2:14" ht="20.100000000000001" customHeight="1">
      <c r="G20" s="384"/>
      <c r="I20" s="396"/>
      <c r="J20" s="396"/>
      <c r="K20" s="396"/>
      <c r="L20" s="565"/>
      <c r="M20" s="396"/>
      <c r="N20" s="396"/>
    </row>
    <row r="21" spans="2:14">
      <c r="B21" s="528"/>
      <c r="G21" s="384"/>
    </row>
    <row r="22" spans="2:14">
      <c r="G22" s="384"/>
    </row>
    <row r="23" spans="2:14">
      <c r="C23" s="514"/>
      <c r="D23" s="514"/>
      <c r="F23" s="514"/>
      <c r="G23" s="293"/>
    </row>
    <row r="24" spans="2:14">
      <c r="G24" s="384"/>
      <c r="H24" s="292">
        <v>146</v>
      </c>
    </row>
    <row r="26" spans="2:14">
      <c r="B26" s="37"/>
    </row>
    <row r="27" spans="2:14">
      <c r="I27" s="514"/>
    </row>
  </sheetData>
  <sortState xmlns:xlrd2="http://schemas.microsoft.com/office/spreadsheetml/2017/richdata2" ref="B7:H18">
    <sortCondition ref="B6"/>
  </sortState>
  <mergeCells count="6">
    <mergeCell ref="J4:K4"/>
    <mergeCell ref="B2:H2"/>
    <mergeCell ref="G3:H3"/>
    <mergeCell ref="B4:B5"/>
    <mergeCell ref="C4:E4"/>
    <mergeCell ref="F4:H4"/>
  </mergeCells>
  <pageMargins left="0.7" right="0.7" top="0.75" bottom="0.75" header="0.3" footer="0.3"/>
  <pageSetup paperSize="9" scale="9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FF6699"/>
  </sheetPr>
  <dimension ref="A1:S182"/>
  <sheetViews>
    <sheetView showGridLines="0" view="pageBreakPreview" topLeftCell="A16" zoomScaleNormal="100" zoomScaleSheetLayoutView="100" workbookViewId="0">
      <selection activeCell="G40" sqref="G40"/>
    </sheetView>
  </sheetViews>
  <sheetFormatPr defaultColWidth="9.140625" defaultRowHeight="13.15"/>
  <cols>
    <col min="1" max="1" width="3.5703125" style="292" customWidth="1"/>
    <col min="2" max="2" width="18.85546875" style="471" customWidth="1"/>
    <col min="3" max="3" width="14.42578125" style="292" customWidth="1"/>
    <col min="4" max="6" width="16.5703125" style="292" customWidth="1"/>
    <col min="7" max="7" width="19.42578125" style="292" customWidth="1"/>
    <col min="8" max="8" width="16.5703125" style="292" customWidth="1"/>
    <col min="9" max="9" width="17.85546875" style="292" customWidth="1"/>
    <col min="10" max="10" width="16.42578125" style="514" customWidth="1"/>
    <col min="11" max="11" width="14.7109375" style="292" bestFit="1" customWidth="1"/>
    <col min="12" max="12" width="12.85546875" style="385" customWidth="1"/>
    <col min="13" max="13" width="13.140625" style="292" customWidth="1"/>
    <col min="14" max="14" width="12.140625" style="292" customWidth="1"/>
    <col min="15" max="15" width="14.28515625" style="292" customWidth="1"/>
    <col min="16" max="16" width="14.7109375" style="292" customWidth="1"/>
    <col min="17" max="17" width="16.42578125" style="292" customWidth="1"/>
    <col min="18" max="18" width="14.5703125" style="385" customWidth="1"/>
    <col min="19" max="19" width="13.5703125" style="292" customWidth="1"/>
    <col min="20" max="16384" width="9.140625" style="292"/>
  </cols>
  <sheetData>
    <row r="1" spans="2:18">
      <c r="B1" s="292"/>
    </row>
    <row r="2" spans="2:18" s="295" customFormat="1">
      <c r="B2" s="3450" t="s">
        <v>514</v>
      </c>
      <c r="C2" s="3450"/>
      <c r="D2" s="3450"/>
      <c r="E2" s="3450"/>
      <c r="F2" s="3450"/>
      <c r="G2" s="3450"/>
      <c r="H2" s="3450"/>
      <c r="I2" s="3450"/>
      <c r="J2" s="628"/>
      <c r="L2" s="569"/>
      <c r="R2" s="569"/>
    </row>
    <row r="3" spans="2:18" s="295" customFormat="1">
      <c r="B3" s="218"/>
      <c r="C3" s="218"/>
      <c r="D3" s="218"/>
      <c r="E3" s="218"/>
      <c r="F3" s="218"/>
      <c r="G3" s="218"/>
      <c r="H3" s="218"/>
      <c r="I3" s="218"/>
      <c r="J3" s="628"/>
      <c r="L3" s="569"/>
      <c r="R3" s="569"/>
    </row>
    <row r="4" spans="2:18" s="295" customFormat="1">
      <c r="B4" s="218" t="s">
        <v>515</v>
      </c>
      <c r="C4" s="218"/>
      <c r="D4" s="218"/>
      <c r="E4" s="218"/>
      <c r="F4" s="218"/>
      <c r="G4" s="218"/>
      <c r="H4" s="218"/>
      <c r="I4" s="218"/>
      <c r="J4" s="628"/>
      <c r="L4" s="569"/>
      <c r="R4" s="569"/>
    </row>
    <row r="5" spans="2:18" s="295" customFormat="1">
      <c r="B5" s="218"/>
      <c r="C5" s="218"/>
      <c r="D5" s="218"/>
      <c r="E5" s="218"/>
      <c r="F5" s="218"/>
      <c r="G5" s="218"/>
      <c r="H5" s="218"/>
      <c r="I5" s="218"/>
      <c r="J5" s="628"/>
      <c r="L5" s="569"/>
      <c r="R5" s="569"/>
    </row>
    <row r="6" spans="2:18" s="295" customFormat="1">
      <c r="B6" s="2421" t="s">
        <v>84</v>
      </c>
      <c r="C6" s="1721" t="s">
        <v>436</v>
      </c>
      <c r="D6" s="1812" t="s">
        <v>437</v>
      </c>
      <c r="E6" s="1721" t="s">
        <v>438</v>
      </c>
      <c r="F6" s="1721" t="s">
        <v>439</v>
      </c>
      <c r="G6" s="1721" t="s">
        <v>440</v>
      </c>
      <c r="H6" s="1721" t="s">
        <v>474</v>
      </c>
      <c r="I6" s="1721" t="s">
        <v>118</v>
      </c>
      <c r="J6" s="628"/>
      <c r="L6" s="569"/>
      <c r="R6" s="569"/>
    </row>
    <row r="7" spans="2:18" s="295" customFormat="1">
      <c r="B7" s="2420" t="s">
        <v>91</v>
      </c>
      <c r="C7" s="2422">
        <v>3258683.0326599991</v>
      </c>
      <c r="D7" s="2422">
        <v>384557.58537999995</v>
      </c>
      <c r="E7" s="2422">
        <v>8075511.9939400088</v>
      </c>
      <c r="F7" s="2422">
        <v>2096851.8144</v>
      </c>
      <c r="G7" s="2422">
        <v>717602.55311999971</v>
      </c>
      <c r="H7" s="2423"/>
      <c r="I7" s="2424">
        <f>SUM(C7:H7)</f>
        <v>14533206.979500009</v>
      </c>
      <c r="J7" s="628"/>
      <c r="L7" s="569"/>
      <c r="R7" s="569"/>
    </row>
    <row r="8" spans="2:18" s="295" customFormat="1">
      <c r="B8" s="2420" t="s">
        <v>94</v>
      </c>
      <c r="C8" s="2422">
        <v>180303.38463269922</v>
      </c>
      <c r="D8" s="2422">
        <v>195274.12853391131</v>
      </c>
      <c r="E8" s="2422">
        <v>1601831.1726600281</v>
      </c>
      <c r="F8" s="2422">
        <v>537265.77799000463</v>
      </c>
      <c r="G8" s="2422">
        <v>166261.07189979966</v>
      </c>
      <c r="H8" s="2423"/>
      <c r="I8" s="2424">
        <f t="shared" ref="I8:I20" si="0">SUM(C8:H8)</f>
        <v>2680935.5357164429</v>
      </c>
      <c r="J8" s="628"/>
      <c r="L8" s="569"/>
      <c r="R8" s="569"/>
    </row>
    <row r="9" spans="2:18" s="295" customFormat="1">
      <c r="B9" s="2420" t="s">
        <v>97</v>
      </c>
      <c r="C9" s="2422">
        <v>3057342.740950793</v>
      </c>
      <c r="D9" s="2422">
        <v>927073.83512109995</v>
      </c>
      <c r="E9" s="2422">
        <v>10721170.01778</v>
      </c>
      <c r="F9" s="2422">
        <v>2431969</v>
      </c>
      <c r="G9" s="2422">
        <v>4876060.2007223312</v>
      </c>
      <c r="H9" s="2423"/>
      <c r="I9" s="2424">
        <f t="shared" si="0"/>
        <v>22013615.794574223</v>
      </c>
      <c r="J9" s="628"/>
      <c r="L9" s="569"/>
      <c r="R9" s="569"/>
    </row>
    <row r="10" spans="2:18" s="295" customFormat="1">
      <c r="B10" s="2420" t="s">
        <v>128</v>
      </c>
      <c r="C10" s="2422">
        <v>1670776</v>
      </c>
      <c r="D10" s="2422">
        <v>140950</v>
      </c>
      <c r="E10" s="2422">
        <v>2724765</v>
      </c>
      <c r="F10" s="2422">
        <v>1655849</v>
      </c>
      <c r="G10" s="2422">
        <v>561342</v>
      </c>
      <c r="H10" s="2423"/>
      <c r="I10" s="2424">
        <f t="shared" si="0"/>
        <v>6753682</v>
      </c>
      <c r="J10" s="628"/>
      <c r="L10" s="569"/>
      <c r="R10" s="569"/>
    </row>
    <row r="11" spans="2:18" s="295" customFormat="1">
      <c r="B11" s="2420" t="s">
        <v>101</v>
      </c>
      <c r="C11" s="2422">
        <v>245456</v>
      </c>
      <c r="D11" s="2422">
        <v>54926</v>
      </c>
      <c r="E11" s="2422">
        <v>4250078</v>
      </c>
      <c r="F11" s="2422">
        <v>144808</v>
      </c>
      <c r="G11" s="2422">
        <v>391677</v>
      </c>
      <c r="H11" s="2423"/>
      <c r="I11" s="2424">
        <f t="shared" si="0"/>
        <v>5086945</v>
      </c>
      <c r="J11" s="628"/>
      <c r="L11" s="569"/>
      <c r="R11" s="569"/>
    </row>
    <row r="12" spans="2:18" s="295" customFormat="1">
      <c r="B12" s="2420" t="s">
        <v>102</v>
      </c>
      <c r="C12" s="2422">
        <v>1702491</v>
      </c>
      <c r="D12" s="2422">
        <v>930868</v>
      </c>
      <c r="E12" s="2422">
        <v>6154165</v>
      </c>
      <c r="F12" s="2422">
        <v>2609470</v>
      </c>
      <c r="G12" s="2422">
        <v>1231453</v>
      </c>
      <c r="H12" s="2423"/>
      <c r="I12" s="2424">
        <f t="shared" si="0"/>
        <v>12628447</v>
      </c>
      <c r="J12" s="628"/>
      <c r="L12" s="569"/>
      <c r="R12" s="569"/>
    </row>
    <row r="13" spans="2:18" s="295" customFormat="1">
      <c r="B13" s="2420" t="s">
        <v>104</v>
      </c>
      <c r="C13" s="2422">
        <v>542381</v>
      </c>
      <c r="D13" s="2422">
        <v>152621</v>
      </c>
      <c r="E13" s="2422">
        <v>4098550</v>
      </c>
      <c r="F13" s="2422">
        <v>968552</v>
      </c>
      <c r="G13" s="2422">
        <v>449062</v>
      </c>
      <c r="H13" s="2423"/>
      <c r="I13" s="2424">
        <f t="shared" si="0"/>
        <v>6211166</v>
      </c>
      <c r="J13" s="628"/>
      <c r="L13" s="569"/>
      <c r="R13" s="569"/>
    </row>
    <row r="14" spans="2:18" s="295" customFormat="1">
      <c r="B14" s="2420" t="s">
        <v>108</v>
      </c>
      <c r="C14" s="2422">
        <v>956832</v>
      </c>
      <c r="D14" s="2422">
        <v>69284</v>
      </c>
      <c r="E14" s="2422">
        <v>6434525.6100000003</v>
      </c>
      <c r="F14" s="2423"/>
      <c r="G14" s="2422">
        <v>223666</v>
      </c>
      <c r="H14" s="2423"/>
      <c r="I14" s="2424">
        <f t="shared" si="0"/>
        <v>7684307.6100000003</v>
      </c>
      <c r="J14" s="628"/>
      <c r="L14" s="569"/>
      <c r="R14" s="569"/>
    </row>
    <row r="15" spans="2:18" s="295" customFormat="1">
      <c r="B15" s="2420" t="s">
        <v>109</v>
      </c>
      <c r="C15" s="2422">
        <v>20048</v>
      </c>
      <c r="D15" s="2422">
        <v>17531</v>
      </c>
      <c r="E15" s="2422">
        <v>425328</v>
      </c>
      <c r="F15" s="2422">
        <v>45540</v>
      </c>
      <c r="G15" s="2422">
        <v>74983</v>
      </c>
      <c r="H15" s="2423"/>
      <c r="I15" s="2424">
        <f t="shared" si="0"/>
        <v>583430</v>
      </c>
      <c r="J15" s="628"/>
      <c r="L15" s="569"/>
      <c r="R15" s="569"/>
    </row>
    <row r="16" spans="2:18" s="295" customFormat="1">
      <c r="B16" s="2420" t="s">
        <v>110</v>
      </c>
      <c r="C16" s="2422">
        <v>5175</v>
      </c>
      <c r="D16" s="2422">
        <v>401</v>
      </c>
      <c r="E16" s="2422">
        <v>121257</v>
      </c>
      <c r="F16" s="2422">
        <v>6823827</v>
      </c>
      <c r="G16" s="2422">
        <v>171555</v>
      </c>
      <c r="H16" s="2422">
        <v>8063134</v>
      </c>
      <c r="I16" s="2424">
        <f t="shared" si="0"/>
        <v>15185349</v>
      </c>
      <c r="J16" s="628"/>
      <c r="L16" s="569"/>
      <c r="R16" s="569"/>
    </row>
    <row r="17" spans="2:18" s="295" customFormat="1">
      <c r="B17" s="2420" t="s">
        <v>111</v>
      </c>
      <c r="C17" s="2422">
        <v>276966.13687504298</v>
      </c>
      <c r="D17" s="2422">
        <v>19239.457449999998</v>
      </c>
      <c r="E17" s="2422">
        <v>1732180.3463563984</v>
      </c>
      <c r="F17" s="2422">
        <v>83320.104640000034</v>
      </c>
      <c r="G17" s="2422">
        <v>228906.00301000013</v>
      </c>
      <c r="H17" s="2423"/>
      <c r="I17" s="2424">
        <f t="shared" si="0"/>
        <v>2340612.0483314414</v>
      </c>
      <c r="J17" s="628"/>
      <c r="L17" s="569"/>
      <c r="R17" s="569"/>
    </row>
    <row r="18" spans="2:18" s="295" customFormat="1">
      <c r="B18" s="2420" t="s">
        <v>112</v>
      </c>
      <c r="C18" s="2422">
        <v>242974.65100000001</v>
      </c>
      <c r="D18" s="2422">
        <v>95833.821000000011</v>
      </c>
      <c r="E18" s="2422">
        <v>4385146.3550000004</v>
      </c>
      <c r="F18" s="2422">
        <v>171163.01856999999</v>
      </c>
      <c r="G18" s="2422">
        <v>898584.61505999847</v>
      </c>
      <c r="H18" s="2423"/>
      <c r="I18" s="2424">
        <f t="shared" si="0"/>
        <v>5793702.4606299996</v>
      </c>
      <c r="J18" s="628"/>
      <c r="L18" s="569"/>
      <c r="R18" s="569"/>
    </row>
    <row r="19" spans="2:18" s="295" customFormat="1">
      <c r="B19" s="2420" t="s">
        <v>114</v>
      </c>
      <c r="C19" s="2422">
        <v>17573</v>
      </c>
      <c r="D19" s="2422">
        <v>1045</v>
      </c>
      <c r="E19" s="2422">
        <v>864429</v>
      </c>
      <c r="F19" s="2422">
        <v>27024</v>
      </c>
      <c r="G19" s="2422">
        <v>104247</v>
      </c>
      <c r="H19" s="2423"/>
      <c r="I19" s="2424">
        <f t="shared" si="0"/>
        <v>1014318</v>
      </c>
      <c r="J19" s="628"/>
      <c r="L19" s="569"/>
      <c r="R19" s="569"/>
    </row>
    <row r="20" spans="2:18" s="295" customFormat="1">
      <c r="B20" s="2420" t="s">
        <v>115</v>
      </c>
      <c r="C20" s="2422">
        <v>2451112</v>
      </c>
      <c r="D20" s="2422">
        <v>935208</v>
      </c>
      <c r="E20" s="2422">
        <v>12508839</v>
      </c>
      <c r="F20" s="2422">
        <v>811767</v>
      </c>
      <c r="G20" s="2422">
        <v>2612793</v>
      </c>
      <c r="H20" s="2423"/>
      <c r="I20" s="2424">
        <f t="shared" si="0"/>
        <v>19319719</v>
      </c>
      <c r="J20" s="628"/>
      <c r="L20" s="569"/>
      <c r="R20" s="569"/>
    </row>
    <row r="21" spans="2:18" s="295" customFormat="1">
      <c r="B21" s="2426" t="s">
        <v>118</v>
      </c>
      <c r="C21" s="2427">
        <f t="shared" ref="C21:H21" si="1">SUM(C7:C20)</f>
        <v>14628113.946118535</v>
      </c>
      <c r="D21" s="2427">
        <f t="shared" si="1"/>
        <v>3924812.8274850114</v>
      </c>
      <c r="E21" s="2427">
        <f t="shared" si="1"/>
        <v>64097776.495736435</v>
      </c>
      <c r="F21" s="2427">
        <f t="shared" si="1"/>
        <v>18407406.715600003</v>
      </c>
      <c r="G21" s="2427">
        <f t="shared" si="1"/>
        <v>12708192.443812128</v>
      </c>
      <c r="H21" s="2427">
        <f t="shared" si="1"/>
        <v>8063134</v>
      </c>
      <c r="I21" s="2427">
        <f>SUM(C21:H21)</f>
        <v>121829436.42875211</v>
      </c>
      <c r="J21" s="628"/>
      <c r="L21" s="569"/>
      <c r="R21" s="569"/>
    </row>
    <row r="22" spans="2:18" s="295" customFormat="1">
      <c r="B22" s="218"/>
      <c r="C22" s="218"/>
      <c r="D22" s="218"/>
      <c r="E22" s="218"/>
      <c r="F22" s="218"/>
      <c r="G22" s="218"/>
      <c r="H22" s="218"/>
      <c r="I22" s="218"/>
      <c r="J22" s="628"/>
      <c r="L22" s="569"/>
      <c r="R22" s="569"/>
    </row>
    <row r="23" spans="2:18" s="295" customFormat="1">
      <c r="B23" s="218" t="s">
        <v>516</v>
      </c>
      <c r="C23" s="218"/>
      <c r="D23" s="218"/>
      <c r="E23" s="218"/>
      <c r="F23" s="218"/>
      <c r="G23" s="218"/>
      <c r="H23" s="218"/>
      <c r="I23" s="218"/>
      <c r="J23" s="628"/>
      <c r="L23" s="569"/>
      <c r="R23" s="569"/>
    </row>
    <row r="24" spans="2:18" s="295" customFormat="1">
      <c r="B24" s="218"/>
      <c r="C24" s="218"/>
      <c r="D24" s="218"/>
      <c r="E24" s="218"/>
      <c r="F24" s="218"/>
      <c r="G24" s="218"/>
      <c r="H24" s="3473" t="s">
        <v>238</v>
      </c>
      <c r="I24" s="3473"/>
      <c r="J24" s="628"/>
      <c r="L24" s="569"/>
      <c r="R24" s="569"/>
    </row>
    <row r="25" spans="2:18" s="295" customFormat="1">
      <c r="B25" s="2421" t="s">
        <v>84</v>
      </c>
      <c r="C25" s="1721" t="s">
        <v>436</v>
      </c>
      <c r="D25" s="1812" t="s">
        <v>437</v>
      </c>
      <c r="E25" s="1721" t="s">
        <v>438</v>
      </c>
      <c r="F25" s="1721" t="s">
        <v>439</v>
      </c>
      <c r="G25" s="1721" t="s">
        <v>440</v>
      </c>
      <c r="H25" s="1721" t="s">
        <v>474</v>
      </c>
      <c r="I25" s="1721" t="s">
        <v>118</v>
      </c>
      <c r="J25" s="628"/>
      <c r="L25" s="569"/>
      <c r="R25" s="569"/>
    </row>
    <row r="26" spans="2:18" s="295" customFormat="1">
      <c r="B26" s="2420" t="s">
        <v>91</v>
      </c>
      <c r="C26" s="2422">
        <v>1930969</v>
      </c>
      <c r="D26" s="2422">
        <v>391022</v>
      </c>
      <c r="E26" s="2422">
        <v>7963927</v>
      </c>
      <c r="F26" s="2422">
        <v>1575709</v>
      </c>
      <c r="G26" s="2422">
        <v>628506</v>
      </c>
      <c r="H26" s="2423"/>
      <c r="I26" s="2424">
        <f>SUM(C26:H26)</f>
        <v>12490133</v>
      </c>
      <c r="J26" s="628"/>
      <c r="L26" s="569"/>
      <c r="R26" s="569"/>
    </row>
    <row r="27" spans="2:18" s="295" customFormat="1">
      <c r="B27" s="2420" t="s">
        <v>94</v>
      </c>
      <c r="C27" s="2422">
        <v>134064</v>
      </c>
      <c r="D27" s="2422">
        <v>261248</v>
      </c>
      <c r="E27" s="2422">
        <v>1196472</v>
      </c>
      <c r="F27" s="2422">
        <v>408510</v>
      </c>
      <c r="G27" s="2422">
        <v>172779</v>
      </c>
      <c r="H27" s="2423"/>
      <c r="I27" s="2424">
        <f t="shared" ref="I27:I39" si="2">SUM(C27:H27)</f>
        <v>2173073</v>
      </c>
      <c r="J27" s="628"/>
      <c r="L27" s="569"/>
      <c r="R27" s="569"/>
    </row>
    <row r="28" spans="2:18" s="295" customFormat="1">
      <c r="B28" s="2420" t="s">
        <v>97</v>
      </c>
      <c r="C28" s="2422">
        <v>2120817</v>
      </c>
      <c r="D28" s="2422">
        <v>757965</v>
      </c>
      <c r="E28" s="2422">
        <v>10044492</v>
      </c>
      <c r="F28" s="2422">
        <v>2076839</v>
      </c>
      <c r="G28" s="2422">
        <v>3498638</v>
      </c>
      <c r="H28" s="2423"/>
      <c r="I28" s="2424">
        <f t="shared" si="2"/>
        <v>18498751</v>
      </c>
      <c r="J28" s="628"/>
      <c r="L28" s="569"/>
      <c r="R28" s="569"/>
    </row>
    <row r="29" spans="2:18" s="295" customFormat="1">
      <c r="B29" s="2420" t="s">
        <v>128</v>
      </c>
      <c r="C29" s="2422">
        <v>916660</v>
      </c>
      <c r="D29" s="2422">
        <v>111082</v>
      </c>
      <c r="E29" s="2422">
        <v>2689121</v>
      </c>
      <c r="F29" s="2422">
        <v>853020</v>
      </c>
      <c r="G29" s="2422">
        <v>319047</v>
      </c>
      <c r="H29" s="2423"/>
      <c r="I29" s="2424">
        <f t="shared" si="2"/>
        <v>4888930</v>
      </c>
      <c r="J29" s="628"/>
      <c r="L29" s="569"/>
      <c r="R29" s="569"/>
    </row>
    <row r="30" spans="2:18" s="295" customFormat="1">
      <c r="B30" s="2420" t="s">
        <v>101</v>
      </c>
      <c r="C30" s="2422">
        <v>177675</v>
      </c>
      <c r="D30" s="2422">
        <v>49864</v>
      </c>
      <c r="E30" s="2422">
        <v>3739027</v>
      </c>
      <c r="F30" s="2422">
        <v>169822</v>
      </c>
      <c r="G30" s="2422">
        <v>382971</v>
      </c>
      <c r="H30" s="2423"/>
      <c r="I30" s="2424">
        <f t="shared" si="2"/>
        <v>4519359</v>
      </c>
      <c r="J30" s="628"/>
      <c r="L30" s="569"/>
      <c r="R30" s="569"/>
    </row>
    <row r="31" spans="2:18" s="295" customFormat="1">
      <c r="B31" s="2420" t="s">
        <v>102</v>
      </c>
      <c r="C31" s="2422">
        <v>1694702</v>
      </c>
      <c r="D31" s="2422">
        <v>632869</v>
      </c>
      <c r="E31" s="2422">
        <v>6002165</v>
      </c>
      <c r="F31" s="2422">
        <v>2997014</v>
      </c>
      <c r="G31" s="2422">
        <v>587314</v>
      </c>
      <c r="H31" s="2423"/>
      <c r="I31" s="2424">
        <f t="shared" si="2"/>
        <v>11914064</v>
      </c>
      <c r="J31" s="628"/>
      <c r="L31" s="569"/>
      <c r="R31" s="569"/>
    </row>
    <row r="32" spans="2:18" s="295" customFormat="1">
      <c r="B32" s="2420" t="s">
        <v>104</v>
      </c>
      <c r="C32" s="2422">
        <v>432345</v>
      </c>
      <c r="D32" s="2422">
        <v>80880</v>
      </c>
      <c r="E32" s="2422">
        <v>3761448</v>
      </c>
      <c r="F32" s="2422">
        <v>584277</v>
      </c>
      <c r="G32" s="2422">
        <v>307862</v>
      </c>
      <c r="H32" s="2423"/>
      <c r="I32" s="2424">
        <f t="shared" si="2"/>
        <v>5166812</v>
      </c>
      <c r="J32" s="628"/>
      <c r="L32" s="569"/>
      <c r="R32" s="569"/>
    </row>
    <row r="33" spans="2:18" s="295" customFormat="1">
      <c r="B33" s="2420" t="s">
        <v>108</v>
      </c>
      <c r="C33" s="2422">
        <v>743766</v>
      </c>
      <c r="D33" s="2422">
        <v>47505</v>
      </c>
      <c r="E33" s="2422">
        <v>5603023</v>
      </c>
      <c r="F33" s="2423"/>
      <c r="G33" s="2422">
        <v>168357</v>
      </c>
      <c r="H33" s="2423"/>
      <c r="I33" s="2424">
        <f t="shared" si="2"/>
        <v>6562651</v>
      </c>
      <c r="J33" s="628"/>
      <c r="L33" s="569"/>
      <c r="R33" s="569"/>
    </row>
    <row r="34" spans="2:18" s="295" customFormat="1">
      <c r="B34" s="2420" t="s">
        <v>109</v>
      </c>
      <c r="C34" s="2422">
        <v>11830</v>
      </c>
      <c r="D34" s="2422">
        <v>1002</v>
      </c>
      <c r="E34" s="2422">
        <v>327773</v>
      </c>
      <c r="F34" s="2422">
        <v>9100</v>
      </c>
      <c r="G34" s="2422">
        <v>63365</v>
      </c>
      <c r="H34" s="2423"/>
      <c r="I34" s="2424">
        <f t="shared" si="2"/>
        <v>413070</v>
      </c>
      <c r="J34" s="628"/>
      <c r="L34" s="569"/>
      <c r="R34" s="569"/>
    </row>
    <row r="35" spans="2:18" s="295" customFormat="1">
      <c r="B35" s="2420" t="s">
        <v>110</v>
      </c>
      <c r="C35" s="2422">
        <v>6567</v>
      </c>
      <c r="D35" s="2422">
        <v>1597</v>
      </c>
      <c r="E35" s="2422">
        <v>175572</v>
      </c>
      <c r="F35" s="2422">
        <v>6322002</v>
      </c>
      <c r="G35" s="2422">
        <v>105476</v>
      </c>
      <c r="H35" s="2422">
        <v>6754134</v>
      </c>
      <c r="I35" s="2424">
        <f t="shared" si="2"/>
        <v>13365348</v>
      </c>
      <c r="J35" s="628"/>
      <c r="L35" s="569"/>
      <c r="R35" s="569"/>
    </row>
    <row r="36" spans="2:18" s="295" customFormat="1">
      <c r="B36" s="2420" t="s">
        <v>111</v>
      </c>
      <c r="C36" s="2422">
        <v>150616</v>
      </c>
      <c r="D36" s="2422">
        <v>17846</v>
      </c>
      <c r="E36" s="2422">
        <v>1622768</v>
      </c>
      <c r="F36" s="2422">
        <v>134939</v>
      </c>
      <c r="G36" s="2422">
        <v>101716</v>
      </c>
      <c r="H36" s="2423"/>
      <c r="I36" s="2424">
        <f t="shared" si="2"/>
        <v>2027885</v>
      </c>
      <c r="J36" s="628"/>
      <c r="L36" s="569"/>
      <c r="R36" s="569"/>
    </row>
    <row r="37" spans="2:18" s="295" customFormat="1">
      <c r="B37" s="2420" t="s">
        <v>112</v>
      </c>
      <c r="C37" s="2422">
        <v>283004</v>
      </c>
      <c r="D37" s="2422">
        <v>117960</v>
      </c>
      <c r="E37" s="2422">
        <v>4646101</v>
      </c>
      <c r="F37" s="2422">
        <v>156917</v>
      </c>
      <c r="G37" s="2422">
        <v>430604</v>
      </c>
      <c r="H37" s="2423"/>
      <c r="I37" s="2424">
        <f t="shared" si="2"/>
        <v>5634586</v>
      </c>
      <c r="J37" s="628"/>
      <c r="L37" s="569"/>
      <c r="R37" s="569"/>
    </row>
    <row r="38" spans="2:18" s="295" customFormat="1">
      <c r="B38" s="2420" t="s">
        <v>114</v>
      </c>
      <c r="C38" s="2422">
        <v>9557</v>
      </c>
      <c r="D38" s="2423"/>
      <c r="E38" s="2422">
        <v>598661</v>
      </c>
      <c r="F38" s="1822">
        <v>16522</v>
      </c>
      <c r="G38" s="2422">
        <v>243566</v>
      </c>
      <c r="H38" s="2423"/>
      <c r="I38" s="2424">
        <f t="shared" si="2"/>
        <v>868306</v>
      </c>
      <c r="J38" s="628"/>
      <c r="L38" s="569"/>
      <c r="R38" s="569"/>
    </row>
    <row r="39" spans="2:18" s="295" customFormat="1">
      <c r="B39" s="2420" t="s">
        <v>115</v>
      </c>
      <c r="C39" s="2422">
        <v>1760687</v>
      </c>
      <c r="D39" s="2425">
        <v>606270</v>
      </c>
      <c r="E39" s="2425">
        <v>11443853</v>
      </c>
      <c r="F39" s="2425">
        <v>4655476</v>
      </c>
      <c r="G39" s="2425">
        <v>1915902</v>
      </c>
      <c r="H39" s="2423"/>
      <c r="I39" s="2424">
        <f t="shared" si="2"/>
        <v>20382188</v>
      </c>
      <c r="J39" s="628"/>
      <c r="L39" s="569"/>
      <c r="R39" s="569"/>
    </row>
    <row r="40" spans="2:18" s="295" customFormat="1">
      <c r="B40" s="2426" t="s">
        <v>118</v>
      </c>
      <c r="C40" s="2427">
        <f t="shared" ref="C40:H40" si="3">SUM(C26:C39)</f>
        <v>10373259</v>
      </c>
      <c r="D40" s="2427">
        <f t="shared" si="3"/>
        <v>3077110</v>
      </c>
      <c r="E40" s="2427">
        <f t="shared" si="3"/>
        <v>59814403</v>
      </c>
      <c r="F40" s="2427">
        <f t="shared" si="3"/>
        <v>19960147</v>
      </c>
      <c r="G40" s="2427">
        <f t="shared" si="3"/>
        <v>8926103</v>
      </c>
      <c r="H40" s="2427">
        <f t="shared" si="3"/>
        <v>6754134</v>
      </c>
      <c r="I40" s="2427">
        <f>SUM(C40:H40)</f>
        <v>108905156</v>
      </c>
      <c r="J40" s="628"/>
      <c r="L40" s="569"/>
      <c r="R40" s="569"/>
    </row>
    <row r="41" spans="2:18" s="295" customFormat="1">
      <c r="B41" s="218"/>
      <c r="C41" s="218"/>
      <c r="D41" s="218"/>
      <c r="E41" s="218"/>
      <c r="F41" s="218"/>
      <c r="G41" s="218"/>
      <c r="H41" s="218"/>
      <c r="I41" s="218"/>
      <c r="J41" s="628"/>
      <c r="L41" s="569"/>
      <c r="R41" s="569"/>
    </row>
    <row r="42" spans="2:18" s="295" customFormat="1">
      <c r="B42" s="218"/>
      <c r="C42" s="218"/>
      <c r="D42" s="218"/>
      <c r="E42" s="218"/>
      <c r="F42" s="218"/>
      <c r="G42" s="218"/>
      <c r="H42" s="218"/>
      <c r="I42" s="630">
        <v>147</v>
      </c>
      <c r="J42" s="628"/>
      <c r="L42" s="569"/>
      <c r="R42" s="569"/>
    </row>
    <row r="43" spans="2:18" s="295" customFormat="1">
      <c r="B43" s="218"/>
      <c r="C43" s="218"/>
      <c r="D43" s="218"/>
      <c r="E43" s="218"/>
      <c r="F43" s="218"/>
      <c r="G43" s="218"/>
      <c r="H43" s="218"/>
      <c r="I43" s="218"/>
      <c r="J43" s="628"/>
      <c r="L43" s="569"/>
      <c r="R43" s="569"/>
    </row>
    <row r="44" spans="2:18" s="295" customFormat="1">
      <c r="B44" s="218" t="s">
        <v>517</v>
      </c>
      <c r="C44" s="218"/>
      <c r="D44" s="218"/>
      <c r="E44" s="218"/>
      <c r="F44" s="218"/>
      <c r="G44" s="218"/>
      <c r="H44" s="218"/>
      <c r="I44" s="218"/>
      <c r="J44" s="628"/>
      <c r="L44" s="569"/>
      <c r="R44" s="569"/>
    </row>
    <row r="45" spans="2:18" s="295" customFormat="1">
      <c r="B45" s="218"/>
      <c r="C45" s="218"/>
      <c r="D45" s="218"/>
      <c r="E45" s="218"/>
      <c r="F45" s="218"/>
      <c r="G45" s="218"/>
      <c r="H45" s="218" t="s">
        <v>238</v>
      </c>
      <c r="I45" s="218"/>
      <c r="J45" s="628"/>
      <c r="L45" s="569"/>
      <c r="R45" s="569"/>
    </row>
    <row r="46" spans="2:18" s="295" customFormat="1">
      <c r="B46" s="2421" t="s">
        <v>84</v>
      </c>
      <c r="C46" s="1721" t="s">
        <v>436</v>
      </c>
      <c r="D46" s="1812" t="s">
        <v>437</v>
      </c>
      <c r="E46" s="1721" t="s">
        <v>438</v>
      </c>
      <c r="F46" s="1721" t="s">
        <v>439</v>
      </c>
      <c r="G46" s="1721" t="s">
        <v>440</v>
      </c>
      <c r="H46" s="2428" t="s">
        <v>474</v>
      </c>
      <c r="I46" s="1721" t="s">
        <v>118</v>
      </c>
      <c r="J46" s="628"/>
      <c r="L46" s="569"/>
      <c r="R46" s="569"/>
    </row>
    <row r="47" spans="2:18" s="295" customFormat="1">
      <c r="B47" s="2420" t="s">
        <v>91</v>
      </c>
      <c r="C47" s="2422">
        <v>2127864</v>
      </c>
      <c r="D47" s="2422">
        <v>409268</v>
      </c>
      <c r="E47" s="2422">
        <v>8823232</v>
      </c>
      <c r="F47" s="2422">
        <v>1732397</v>
      </c>
      <c r="G47" s="2422">
        <v>760068</v>
      </c>
      <c r="H47" s="2423"/>
      <c r="I47" s="1588">
        <f>SUM(C47:H47)</f>
        <v>13852829</v>
      </c>
      <c r="J47" s="628"/>
      <c r="L47" s="569"/>
      <c r="R47" s="569"/>
    </row>
    <row r="48" spans="2:18" s="295" customFormat="1">
      <c r="B48" s="2420" t="s">
        <v>94</v>
      </c>
      <c r="C48" s="2422">
        <v>103133</v>
      </c>
      <c r="D48" s="2422">
        <v>126199</v>
      </c>
      <c r="E48" s="2422">
        <v>989159</v>
      </c>
      <c r="F48" s="2422">
        <v>248746</v>
      </c>
      <c r="G48" s="2422">
        <v>164428</v>
      </c>
      <c r="H48" s="2423"/>
      <c r="I48" s="2429">
        <f t="shared" ref="I48:I60" si="4">SUM(C48:H48)</f>
        <v>1631665</v>
      </c>
      <c r="J48" s="628"/>
      <c r="L48" s="569"/>
      <c r="R48" s="569"/>
    </row>
    <row r="49" spans="2:18" s="295" customFormat="1">
      <c r="B49" s="2420" t="s">
        <v>97</v>
      </c>
      <c r="C49" s="2422">
        <v>1787601</v>
      </c>
      <c r="D49" s="2422">
        <v>572539</v>
      </c>
      <c r="E49" s="2422">
        <v>10854678</v>
      </c>
      <c r="F49" s="2422">
        <v>2019630</v>
      </c>
      <c r="G49" s="2422">
        <v>3446097</v>
      </c>
      <c r="H49" s="2423"/>
      <c r="I49" s="2429">
        <f t="shared" si="4"/>
        <v>18680545</v>
      </c>
      <c r="J49" s="628"/>
      <c r="L49" s="569"/>
      <c r="R49" s="569"/>
    </row>
    <row r="50" spans="2:18" s="295" customFormat="1">
      <c r="B50" s="2420" t="s">
        <v>128</v>
      </c>
      <c r="C50" s="2422">
        <v>841295</v>
      </c>
      <c r="D50" s="2422">
        <v>89276</v>
      </c>
      <c r="E50" s="2422">
        <v>3027496</v>
      </c>
      <c r="F50" s="2422">
        <v>628397</v>
      </c>
      <c r="G50" s="2422">
        <v>222500</v>
      </c>
      <c r="H50" s="2423"/>
      <c r="I50" s="2429">
        <f t="shared" si="4"/>
        <v>4808964</v>
      </c>
      <c r="J50" s="628"/>
      <c r="L50" s="569"/>
      <c r="R50" s="569"/>
    </row>
    <row r="51" spans="2:18" s="295" customFormat="1">
      <c r="B51" s="2420" t="s">
        <v>101</v>
      </c>
      <c r="C51" s="2422">
        <v>112481</v>
      </c>
      <c r="D51" s="2422">
        <v>24882</v>
      </c>
      <c r="E51" s="2422">
        <v>3771674</v>
      </c>
      <c r="F51" s="2422">
        <v>107082</v>
      </c>
      <c r="G51" s="2422">
        <v>258277</v>
      </c>
      <c r="H51" s="2423"/>
      <c r="I51" s="2429">
        <f t="shared" si="4"/>
        <v>4274396</v>
      </c>
      <c r="J51" s="628"/>
      <c r="L51" s="569"/>
      <c r="R51" s="569"/>
    </row>
    <row r="52" spans="2:18" s="295" customFormat="1">
      <c r="B52" s="2420" t="s">
        <v>102</v>
      </c>
      <c r="C52" s="2422">
        <v>1231791</v>
      </c>
      <c r="D52" s="2422">
        <v>486822</v>
      </c>
      <c r="E52" s="2422">
        <v>6245582</v>
      </c>
      <c r="F52" s="2422">
        <v>3279880</v>
      </c>
      <c r="G52" s="2422">
        <v>693407</v>
      </c>
      <c r="H52" s="2423"/>
      <c r="I52" s="2429">
        <f t="shared" si="4"/>
        <v>11937482</v>
      </c>
      <c r="J52" s="628"/>
      <c r="L52" s="569"/>
      <c r="R52" s="569"/>
    </row>
    <row r="53" spans="2:18" s="295" customFormat="1">
      <c r="B53" s="2420" t="s">
        <v>104</v>
      </c>
      <c r="C53" s="2422">
        <v>369036</v>
      </c>
      <c r="D53" s="2422">
        <v>54680</v>
      </c>
      <c r="E53" s="2422">
        <v>3491353</v>
      </c>
      <c r="F53" s="2422">
        <v>472065</v>
      </c>
      <c r="G53" s="2422">
        <v>196101</v>
      </c>
      <c r="H53" s="2423"/>
      <c r="I53" s="2429">
        <f t="shared" si="4"/>
        <v>4583235</v>
      </c>
      <c r="J53" s="628"/>
      <c r="L53" s="569"/>
      <c r="R53" s="569"/>
    </row>
    <row r="54" spans="2:18" s="295" customFormat="1">
      <c r="B54" s="2420" t="s">
        <v>108</v>
      </c>
      <c r="C54" s="2422">
        <v>488696</v>
      </c>
      <c r="D54" s="2422">
        <v>19482</v>
      </c>
      <c r="E54" s="2422">
        <v>4980872</v>
      </c>
      <c r="F54" s="2423"/>
      <c r="G54" s="2422">
        <v>123844</v>
      </c>
      <c r="H54" s="2423"/>
      <c r="I54" s="2429">
        <f t="shared" si="4"/>
        <v>5612894</v>
      </c>
      <c r="J54" s="628"/>
      <c r="L54" s="569"/>
      <c r="R54" s="569"/>
    </row>
    <row r="55" spans="2:18" s="295" customFormat="1">
      <c r="B55" s="2420" t="s">
        <v>109</v>
      </c>
      <c r="C55" s="2422">
        <v>3878</v>
      </c>
      <c r="D55" s="2430">
        <v>752</v>
      </c>
      <c r="E55" s="2422">
        <v>255779</v>
      </c>
      <c r="F55" s="2422">
        <v>8297</v>
      </c>
      <c r="G55" s="2422">
        <v>29289</v>
      </c>
      <c r="H55" s="2423"/>
      <c r="I55" s="2429">
        <f t="shared" si="4"/>
        <v>297995</v>
      </c>
      <c r="J55" s="628"/>
      <c r="L55" s="569"/>
      <c r="R55" s="569"/>
    </row>
    <row r="56" spans="2:18" s="295" customFormat="1">
      <c r="B56" s="2420" t="s">
        <v>110</v>
      </c>
      <c r="C56" s="2422">
        <v>9420</v>
      </c>
      <c r="D56" s="2422">
        <v>18684</v>
      </c>
      <c r="E56" s="2422">
        <v>260600</v>
      </c>
      <c r="F56" s="2422">
        <v>5516870</v>
      </c>
      <c r="G56" s="2422">
        <v>157793</v>
      </c>
      <c r="H56" s="2422">
        <v>6088496</v>
      </c>
      <c r="I56" s="2429">
        <f t="shared" si="4"/>
        <v>12051863</v>
      </c>
      <c r="J56" s="628"/>
      <c r="L56" s="569"/>
      <c r="R56" s="569"/>
    </row>
    <row r="57" spans="2:18" s="295" customFormat="1">
      <c r="B57" s="2420" t="s">
        <v>111</v>
      </c>
      <c r="C57" s="2422">
        <v>85608</v>
      </c>
      <c r="D57" s="2422">
        <v>15229</v>
      </c>
      <c r="E57" s="2422">
        <v>1346927</v>
      </c>
      <c r="F57" s="2422">
        <v>95074</v>
      </c>
      <c r="G57" s="2422">
        <v>85315</v>
      </c>
      <c r="H57" s="2423"/>
      <c r="I57" s="2429">
        <f t="shared" si="4"/>
        <v>1628153</v>
      </c>
      <c r="J57" s="628"/>
      <c r="L57" s="569"/>
      <c r="R57" s="569"/>
    </row>
    <row r="58" spans="2:18" s="295" customFormat="1">
      <c r="B58" s="2420" t="s">
        <v>112</v>
      </c>
      <c r="C58" s="2422">
        <v>301878</v>
      </c>
      <c r="D58" s="2422">
        <v>41365</v>
      </c>
      <c r="E58" s="2422">
        <v>4912944</v>
      </c>
      <c r="F58" s="2422">
        <v>159001</v>
      </c>
      <c r="G58" s="2422">
        <v>271570</v>
      </c>
      <c r="H58" s="2423"/>
      <c r="I58" s="2429">
        <f t="shared" si="4"/>
        <v>5686758</v>
      </c>
      <c r="J58" s="628"/>
      <c r="L58" s="569"/>
      <c r="R58" s="569"/>
    </row>
    <row r="59" spans="2:18" s="295" customFormat="1">
      <c r="B59" s="2420" t="s">
        <v>114</v>
      </c>
      <c r="C59" s="2422">
        <v>8003</v>
      </c>
      <c r="D59" s="2423"/>
      <c r="E59" s="2422">
        <v>728921</v>
      </c>
      <c r="F59" s="2422">
        <v>25769</v>
      </c>
      <c r="G59" s="2422">
        <v>84424</v>
      </c>
      <c r="H59" s="2423"/>
      <c r="I59" s="2429">
        <f t="shared" si="4"/>
        <v>847117</v>
      </c>
      <c r="J59" s="628"/>
      <c r="L59" s="569"/>
      <c r="R59" s="569"/>
    </row>
    <row r="60" spans="2:18" s="295" customFormat="1">
      <c r="B60" s="2420" t="s">
        <v>115</v>
      </c>
      <c r="C60" s="2422">
        <v>1417574</v>
      </c>
      <c r="D60" s="2425">
        <v>417296</v>
      </c>
      <c r="E60" s="2425">
        <v>11586993</v>
      </c>
      <c r="F60" s="2425">
        <v>4584377</v>
      </c>
      <c r="G60" s="2425">
        <v>1364655</v>
      </c>
      <c r="H60" s="2431"/>
      <c r="I60" s="2429">
        <f t="shared" si="4"/>
        <v>19370895</v>
      </c>
      <c r="J60" s="628"/>
      <c r="L60" s="569"/>
      <c r="R60" s="569"/>
    </row>
    <row r="61" spans="2:18" s="295" customFormat="1">
      <c r="B61" s="2432" t="s">
        <v>118</v>
      </c>
      <c r="C61" s="2429">
        <f t="shared" ref="C61:H61" si="5">SUM(C47:C60)</f>
        <v>8888258</v>
      </c>
      <c r="D61" s="2429">
        <f t="shared" si="5"/>
        <v>2276474</v>
      </c>
      <c r="E61" s="2429">
        <f t="shared" si="5"/>
        <v>61276210</v>
      </c>
      <c r="F61" s="2429">
        <f t="shared" si="5"/>
        <v>18877585</v>
      </c>
      <c r="G61" s="2429">
        <f t="shared" si="5"/>
        <v>7857768</v>
      </c>
      <c r="H61" s="2429">
        <f t="shared" si="5"/>
        <v>6088496</v>
      </c>
      <c r="I61" s="2429">
        <f>SUM(C61:H61)</f>
        <v>105264791</v>
      </c>
      <c r="J61" s="628"/>
      <c r="L61" s="569"/>
      <c r="R61" s="569"/>
    </row>
    <row r="62" spans="2:18" s="295" customFormat="1">
      <c r="B62" s="471"/>
      <c r="C62" s="629"/>
      <c r="D62" s="629"/>
      <c r="E62" s="629"/>
      <c r="F62" s="629"/>
      <c r="G62" s="629"/>
      <c r="H62" s="629"/>
      <c r="I62" s="629"/>
      <c r="J62" s="628"/>
      <c r="L62" s="569"/>
      <c r="R62" s="569"/>
    </row>
    <row r="63" spans="2:18" s="295" customFormat="1">
      <c r="B63" s="471"/>
      <c r="C63" s="629"/>
      <c r="D63" s="629"/>
      <c r="E63" s="629"/>
      <c r="F63" s="629"/>
      <c r="G63" s="629"/>
      <c r="H63" s="629"/>
      <c r="I63" s="630">
        <v>148</v>
      </c>
      <c r="J63" s="628"/>
      <c r="L63" s="569"/>
      <c r="R63" s="569"/>
    </row>
    <row r="64" spans="2:18" s="295" customFormat="1">
      <c r="B64" s="471"/>
      <c r="C64" s="629"/>
      <c r="D64" s="629"/>
      <c r="E64" s="629"/>
      <c r="F64" s="629"/>
      <c r="G64" s="629"/>
      <c r="H64" s="629"/>
      <c r="I64" s="629"/>
      <c r="J64" s="628"/>
      <c r="L64" s="569"/>
      <c r="R64" s="569"/>
    </row>
    <row r="65" spans="2:18" s="295" customFormat="1">
      <c r="B65" s="3450" t="s">
        <v>518</v>
      </c>
      <c r="C65" s="3450"/>
      <c r="D65" s="3450"/>
      <c r="E65" s="3450"/>
      <c r="F65" s="3450"/>
      <c r="G65" s="3450"/>
      <c r="H65" s="629"/>
      <c r="I65" s="629"/>
      <c r="J65" s="628"/>
      <c r="L65" s="569"/>
      <c r="R65" s="569"/>
    </row>
    <row r="66" spans="2:18" s="295" customFormat="1">
      <c r="B66" s="471"/>
      <c r="C66" s="629"/>
      <c r="D66" s="629"/>
      <c r="E66" s="629"/>
      <c r="F66" s="629"/>
      <c r="G66" s="629"/>
      <c r="H66" s="629"/>
      <c r="I66" s="629"/>
      <c r="J66" s="628"/>
      <c r="L66" s="569"/>
      <c r="R66" s="569"/>
    </row>
    <row r="67" spans="2:18" s="295" customFormat="1">
      <c r="B67" s="2433" t="s">
        <v>84</v>
      </c>
      <c r="C67" s="1721" t="s">
        <v>436</v>
      </c>
      <c r="D67" s="1812" t="s">
        <v>437</v>
      </c>
      <c r="E67" s="1721" t="s">
        <v>438</v>
      </c>
      <c r="F67" s="1721" t="s">
        <v>439</v>
      </c>
      <c r="G67" s="1721" t="s">
        <v>440</v>
      </c>
      <c r="H67" s="1721" t="s">
        <v>474</v>
      </c>
      <c r="I67" s="1721" t="s">
        <v>118</v>
      </c>
      <c r="J67" s="628"/>
      <c r="L67" s="569"/>
      <c r="R67" s="569"/>
    </row>
    <row r="68" spans="2:18" s="295" customFormat="1">
      <c r="B68" s="2420" t="s">
        <v>91</v>
      </c>
      <c r="C68" s="2434">
        <v>2315498</v>
      </c>
      <c r="D68" s="2434">
        <v>453996</v>
      </c>
      <c r="E68" s="2434">
        <v>10250178</v>
      </c>
      <c r="F68" s="2434">
        <v>3853022</v>
      </c>
      <c r="G68" s="2434">
        <v>1222565</v>
      </c>
      <c r="H68" s="2423"/>
      <c r="I68" s="2435">
        <f>SUM(C68:H68)</f>
        <v>18095259</v>
      </c>
      <c r="J68" s="628"/>
      <c r="K68" s="550"/>
      <c r="L68" s="569"/>
      <c r="R68" s="569"/>
    </row>
    <row r="69" spans="2:18" s="295" customFormat="1">
      <c r="B69" s="2420" t="s">
        <v>94</v>
      </c>
      <c r="C69" s="2434">
        <v>129329</v>
      </c>
      <c r="D69" s="2434">
        <v>119128</v>
      </c>
      <c r="E69" s="2434">
        <v>969120</v>
      </c>
      <c r="F69" s="2434">
        <v>217279</v>
      </c>
      <c r="G69" s="2434">
        <v>186605</v>
      </c>
      <c r="H69" s="2423"/>
      <c r="I69" s="2435">
        <f t="shared" ref="I69:I81" si="6">SUM(C69:H69)</f>
        <v>1621461</v>
      </c>
      <c r="J69" s="628"/>
      <c r="K69" s="550"/>
      <c r="L69" s="569"/>
      <c r="R69" s="569"/>
    </row>
    <row r="70" spans="2:18" s="295" customFormat="1">
      <c r="B70" s="2420" t="s">
        <v>97</v>
      </c>
      <c r="C70" s="2434">
        <v>1638711</v>
      </c>
      <c r="D70" s="2434">
        <v>643140</v>
      </c>
      <c r="E70" s="2434">
        <v>11075512</v>
      </c>
      <c r="F70" s="2434">
        <v>1747370</v>
      </c>
      <c r="G70" s="2434">
        <v>3296672</v>
      </c>
      <c r="H70" s="2423"/>
      <c r="I70" s="2435">
        <f t="shared" si="6"/>
        <v>18401405</v>
      </c>
      <c r="J70" s="628"/>
      <c r="K70" s="550"/>
      <c r="L70" s="569"/>
      <c r="R70" s="569"/>
    </row>
    <row r="71" spans="2:18" s="295" customFormat="1">
      <c r="B71" s="2420" t="s">
        <v>128</v>
      </c>
      <c r="C71" s="2434">
        <v>844040</v>
      </c>
      <c r="D71" s="2434">
        <v>69248</v>
      </c>
      <c r="E71" s="2434">
        <v>3409852</v>
      </c>
      <c r="F71" s="2434">
        <v>459805.04200000002</v>
      </c>
      <c r="G71" s="2434">
        <v>219603.01552000002</v>
      </c>
      <c r="H71" s="2423"/>
      <c r="I71" s="2435">
        <f t="shared" si="6"/>
        <v>5002548.0575200003</v>
      </c>
      <c r="J71" s="628"/>
      <c r="K71" s="550"/>
      <c r="L71" s="569"/>
      <c r="R71" s="569"/>
    </row>
    <row r="72" spans="2:18" s="295" customFormat="1">
      <c r="B72" s="2420" t="s">
        <v>101</v>
      </c>
      <c r="C72" s="2434">
        <v>105402</v>
      </c>
      <c r="D72" s="2434">
        <v>13539</v>
      </c>
      <c r="E72" s="2434">
        <v>3715803</v>
      </c>
      <c r="F72" s="2434">
        <v>41849</v>
      </c>
      <c r="G72" s="2434">
        <v>316367</v>
      </c>
      <c r="H72" s="2423"/>
      <c r="I72" s="2435">
        <f t="shared" si="6"/>
        <v>4192960</v>
      </c>
      <c r="J72" s="628"/>
      <c r="K72" s="550"/>
      <c r="L72" s="569"/>
      <c r="R72" s="569"/>
    </row>
    <row r="73" spans="2:18" s="295" customFormat="1">
      <c r="B73" s="2420" t="s">
        <v>102</v>
      </c>
      <c r="C73" s="2434">
        <v>1164021</v>
      </c>
      <c r="D73" s="2434">
        <v>463348</v>
      </c>
      <c r="E73" s="2434">
        <v>6037369</v>
      </c>
      <c r="F73" s="2434">
        <v>2830214</v>
      </c>
      <c r="G73" s="2434">
        <v>752718</v>
      </c>
      <c r="H73" s="2423"/>
      <c r="I73" s="2435">
        <f t="shared" si="6"/>
        <v>11247670</v>
      </c>
      <c r="J73" s="628"/>
      <c r="K73" s="550"/>
      <c r="L73" s="569"/>
      <c r="R73" s="569"/>
    </row>
    <row r="74" spans="2:18" s="295" customFormat="1">
      <c r="B74" s="2420" t="s">
        <v>104</v>
      </c>
      <c r="C74" s="2434">
        <v>378781</v>
      </c>
      <c r="D74" s="2434">
        <v>57553</v>
      </c>
      <c r="E74" s="2434">
        <v>3540374</v>
      </c>
      <c r="F74" s="2434">
        <v>188338</v>
      </c>
      <c r="G74" s="2434">
        <v>229411</v>
      </c>
      <c r="H74" s="2423"/>
      <c r="I74" s="2435">
        <f t="shared" si="6"/>
        <v>4394457</v>
      </c>
      <c r="J74" s="628"/>
      <c r="K74" s="550"/>
      <c r="L74" s="569"/>
      <c r="R74" s="569"/>
    </row>
    <row r="75" spans="2:18" s="295" customFormat="1">
      <c r="B75" s="2420" t="s">
        <v>108</v>
      </c>
      <c r="C75" s="2434">
        <v>311696</v>
      </c>
      <c r="D75" s="2434">
        <v>14433</v>
      </c>
      <c r="E75" s="2434">
        <v>4490746</v>
      </c>
      <c r="F75" s="2423"/>
      <c r="G75" s="2434">
        <v>138022</v>
      </c>
      <c r="H75" s="2423"/>
      <c r="I75" s="2435">
        <f t="shared" si="6"/>
        <v>4954897</v>
      </c>
      <c r="J75" s="628"/>
      <c r="K75" s="550"/>
      <c r="L75" s="569"/>
      <c r="R75" s="569"/>
    </row>
    <row r="76" spans="2:18" s="295" customFormat="1">
      <c r="B76" s="2420" t="s">
        <v>109</v>
      </c>
      <c r="C76" s="2434">
        <v>3290.0527576200002</v>
      </c>
      <c r="D76" s="2434">
        <v>405.26125000000002</v>
      </c>
      <c r="E76" s="2434">
        <v>78222.888387180021</v>
      </c>
      <c r="F76" s="2434">
        <v>2622</v>
      </c>
      <c r="G76" s="2434">
        <v>11438.413413499999</v>
      </c>
      <c r="H76" s="2423"/>
      <c r="I76" s="2435">
        <f t="shared" si="6"/>
        <v>95978.615808300034</v>
      </c>
      <c r="J76" s="628"/>
      <c r="K76" s="550"/>
      <c r="L76" s="569"/>
      <c r="R76" s="569"/>
    </row>
    <row r="77" spans="2:18" s="295" customFormat="1">
      <c r="B77" s="2420" t="s">
        <v>110</v>
      </c>
      <c r="C77" s="2434">
        <v>2554</v>
      </c>
      <c r="D77" s="2434">
        <v>27306</v>
      </c>
      <c r="E77" s="2434">
        <v>390150</v>
      </c>
      <c r="F77" s="2434">
        <v>4964266</v>
      </c>
      <c r="G77" s="2434">
        <v>1666576</v>
      </c>
      <c r="H77" s="2434">
        <v>6307350</v>
      </c>
      <c r="I77" s="2435">
        <f t="shared" si="6"/>
        <v>13358202</v>
      </c>
      <c r="J77" s="628"/>
      <c r="K77" s="550"/>
      <c r="L77" s="569"/>
      <c r="R77" s="569"/>
    </row>
    <row r="78" spans="2:18" s="295" customFormat="1">
      <c r="B78" s="2420" t="s">
        <v>111</v>
      </c>
      <c r="C78" s="2434">
        <v>71121</v>
      </c>
      <c r="D78" s="2434">
        <v>17188</v>
      </c>
      <c r="E78" s="2434">
        <v>1313241</v>
      </c>
      <c r="F78" s="2434">
        <v>68068</v>
      </c>
      <c r="G78" s="2434">
        <v>95285</v>
      </c>
      <c r="H78" s="2423"/>
      <c r="I78" s="2435">
        <f t="shared" si="6"/>
        <v>1564903</v>
      </c>
      <c r="J78" s="628"/>
      <c r="K78" s="550"/>
      <c r="L78" s="569"/>
      <c r="R78" s="569"/>
    </row>
    <row r="79" spans="2:18" s="295" customFormat="1">
      <c r="B79" s="2420" t="s">
        <v>112</v>
      </c>
      <c r="C79" s="2434">
        <v>268824</v>
      </c>
      <c r="D79" s="2434">
        <v>18583</v>
      </c>
      <c r="E79" s="2434">
        <v>5026352</v>
      </c>
      <c r="F79" s="2434">
        <v>121540</v>
      </c>
      <c r="G79" s="2434">
        <v>258865</v>
      </c>
      <c r="H79" s="2423"/>
      <c r="I79" s="2435">
        <f t="shared" si="6"/>
        <v>5694164</v>
      </c>
      <c r="J79" s="628"/>
      <c r="K79" s="550"/>
      <c r="L79" s="569"/>
      <c r="R79" s="569"/>
    </row>
    <row r="80" spans="2:18" s="295" customFormat="1">
      <c r="B80" s="2420" t="s">
        <v>114</v>
      </c>
      <c r="C80" s="2434">
        <v>8478.1693300000006</v>
      </c>
      <c r="D80" s="2423"/>
      <c r="E80" s="2434">
        <v>723039.78500000003</v>
      </c>
      <c r="F80" s="2434">
        <v>27036.202000000001</v>
      </c>
      <c r="G80" s="2434">
        <v>139525.21227999998</v>
      </c>
      <c r="H80" s="2423"/>
      <c r="I80" s="2435">
        <f t="shared" si="6"/>
        <v>898079.36861</v>
      </c>
      <c r="J80" s="628"/>
      <c r="K80" s="550"/>
      <c r="L80" s="569"/>
      <c r="R80" s="569"/>
    </row>
    <row r="81" spans="2:19" s="295" customFormat="1">
      <c r="B81" s="2420" t="s">
        <v>115</v>
      </c>
      <c r="C81" s="2434">
        <v>1028246</v>
      </c>
      <c r="D81" s="2434">
        <v>487700</v>
      </c>
      <c r="E81" s="2434">
        <v>12665597</v>
      </c>
      <c r="F81" s="2434">
        <v>2072252</v>
      </c>
      <c r="G81" s="2434">
        <v>1908971</v>
      </c>
      <c r="H81" s="2423"/>
      <c r="I81" s="2435">
        <f t="shared" si="6"/>
        <v>18162766</v>
      </c>
      <c r="J81" s="628"/>
      <c r="K81" s="550"/>
      <c r="L81" s="569"/>
      <c r="R81" s="569"/>
    </row>
    <row r="82" spans="2:19" s="295" customFormat="1">
      <c r="B82" s="2436" t="s">
        <v>118</v>
      </c>
      <c r="C82" s="2435">
        <f t="shared" ref="C82:H82" si="7">SUM(C68:C81)</f>
        <v>8269991.2220876198</v>
      </c>
      <c r="D82" s="2435">
        <f t="shared" si="7"/>
        <v>2385567.26125</v>
      </c>
      <c r="E82" s="2435">
        <f t="shared" si="7"/>
        <v>63685556.673387177</v>
      </c>
      <c r="F82" s="2435">
        <f t="shared" si="7"/>
        <v>16593661.243999999</v>
      </c>
      <c r="G82" s="2435">
        <f t="shared" si="7"/>
        <v>10442623.641213501</v>
      </c>
      <c r="H82" s="2435">
        <f t="shared" si="7"/>
        <v>6307350</v>
      </c>
      <c r="I82" s="2435">
        <f>SUM(C82:H82)</f>
        <v>107684750.0419383</v>
      </c>
      <c r="J82" s="628"/>
      <c r="L82" s="569"/>
      <c r="R82" s="569"/>
    </row>
    <row r="83" spans="2:19" s="295" customFormat="1">
      <c r="B83" s="471"/>
      <c r="C83" s="629"/>
      <c r="D83" s="629"/>
      <c r="E83" s="629"/>
      <c r="F83" s="629"/>
      <c r="G83" s="629"/>
      <c r="H83" s="629"/>
      <c r="I83" s="629"/>
      <c r="J83" s="628"/>
      <c r="L83" s="569"/>
      <c r="R83" s="569"/>
    </row>
    <row r="84" spans="2:19" s="295" customFormat="1">
      <c r="B84" s="471"/>
      <c r="C84" s="629"/>
      <c r="D84" s="629"/>
      <c r="E84" s="629"/>
      <c r="F84" s="629"/>
      <c r="G84" s="629"/>
      <c r="H84" s="629"/>
      <c r="I84" s="630">
        <v>149</v>
      </c>
      <c r="J84" s="628"/>
      <c r="L84" s="569"/>
      <c r="R84" s="569"/>
    </row>
    <row r="85" spans="2:19" s="295" customFormat="1">
      <c r="B85" s="218"/>
      <c r="I85" s="292"/>
      <c r="J85" s="628"/>
      <c r="L85" s="569"/>
      <c r="R85" s="569"/>
    </row>
    <row r="86" spans="2:19" s="295" customFormat="1">
      <c r="B86" s="3450" t="s">
        <v>519</v>
      </c>
      <c r="C86" s="3450"/>
      <c r="D86" s="3450"/>
      <c r="E86" s="3450"/>
      <c r="F86" s="3450"/>
      <c r="G86" s="3450"/>
      <c r="H86" s="214"/>
      <c r="I86" s="214"/>
      <c r="J86" s="628"/>
      <c r="L86" s="569"/>
      <c r="R86" s="569"/>
    </row>
    <row r="87" spans="2:19">
      <c r="H87" s="3434" t="s">
        <v>238</v>
      </c>
      <c r="I87" s="3434"/>
    </row>
    <row r="88" spans="2:19">
      <c r="B88" s="1721" t="s">
        <v>84</v>
      </c>
      <c r="C88" s="1722" t="s">
        <v>520</v>
      </c>
      <c r="D88" s="2437" t="s">
        <v>521</v>
      </c>
      <c r="E88" s="2437" t="s">
        <v>522</v>
      </c>
      <c r="F88" s="1722" t="s">
        <v>439</v>
      </c>
      <c r="G88" s="1722" t="s">
        <v>523</v>
      </c>
      <c r="H88" s="1722" t="s">
        <v>474</v>
      </c>
      <c r="I88" s="1722" t="s">
        <v>524</v>
      </c>
      <c r="L88" s="218"/>
      <c r="R88" s="214"/>
      <c r="S88" s="214"/>
    </row>
    <row r="89" spans="2:19" ht="14.45">
      <c r="B89" s="2420" t="s">
        <v>91</v>
      </c>
      <c r="C89" s="1717">
        <v>2460829</v>
      </c>
      <c r="D89" s="1717">
        <v>480335</v>
      </c>
      <c r="E89" s="1717">
        <v>10829708</v>
      </c>
      <c r="F89" s="1717">
        <v>2673303</v>
      </c>
      <c r="G89" s="1717">
        <v>1539574</v>
      </c>
      <c r="H89" s="1733"/>
      <c r="I89" s="2438">
        <f>SUM(C89:H89)</f>
        <v>17983749</v>
      </c>
      <c r="K89" s="396"/>
      <c r="L89" s="292"/>
      <c r="M89" s="1587"/>
      <c r="N89" s="570"/>
      <c r="O89" s="475"/>
      <c r="P89" s="475"/>
      <c r="Q89" s="475"/>
      <c r="R89" s="475"/>
      <c r="S89" s="419"/>
    </row>
    <row r="90" spans="2:19">
      <c r="B90" s="1747" t="s">
        <v>94</v>
      </c>
      <c r="C90" s="1717">
        <v>97862</v>
      </c>
      <c r="D90" s="1717">
        <v>143921</v>
      </c>
      <c r="E90" s="1717">
        <v>1095289</v>
      </c>
      <c r="F90" s="1717">
        <v>303875</v>
      </c>
      <c r="G90" s="1717">
        <v>200120</v>
      </c>
      <c r="H90" s="1733"/>
      <c r="I90" s="2438">
        <f t="shared" ref="I90:I103" si="8">SUM(C90:H90)</f>
        <v>1841067</v>
      </c>
      <c r="K90" s="396"/>
      <c r="L90" s="471"/>
      <c r="M90" s="293"/>
      <c r="N90" s="293"/>
      <c r="O90" s="293"/>
      <c r="P90" s="293"/>
      <c r="Q90" s="293"/>
      <c r="R90" s="293"/>
      <c r="S90" s="419"/>
    </row>
    <row r="91" spans="2:19">
      <c r="B91" s="1814" t="s">
        <v>97</v>
      </c>
      <c r="C91" s="1678">
        <v>2286556</v>
      </c>
      <c r="D91" s="1678">
        <v>625597</v>
      </c>
      <c r="E91" s="1678">
        <v>11184832</v>
      </c>
      <c r="F91" s="1678">
        <v>1606238</v>
      </c>
      <c r="G91" s="1678">
        <v>2434710</v>
      </c>
      <c r="H91" s="1733"/>
      <c r="I91" s="2438">
        <f t="shared" si="8"/>
        <v>18137933</v>
      </c>
      <c r="K91" s="396"/>
      <c r="L91" s="471"/>
      <c r="M91" s="293"/>
      <c r="N91" s="293"/>
      <c r="O91" s="293"/>
      <c r="P91" s="293"/>
      <c r="Q91" s="293"/>
      <c r="R91" s="293"/>
      <c r="S91" s="419"/>
    </row>
    <row r="92" spans="2:19">
      <c r="B92" s="2439" t="s">
        <v>128</v>
      </c>
      <c r="C92" s="1678">
        <v>574231</v>
      </c>
      <c r="D92" s="1678">
        <v>85994</v>
      </c>
      <c r="E92" s="1678">
        <v>3253136</v>
      </c>
      <c r="F92" s="1678">
        <v>455575</v>
      </c>
      <c r="G92" s="1678">
        <v>176469</v>
      </c>
      <c r="H92" s="1733"/>
      <c r="I92" s="2438">
        <f t="shared" si="8"/>
        <v>4545405</v>
      </c>
      <c r="K92" s="396"/>
      <c r="L92" s="292"/>
      <c r="M92" s="293"/>
      <c r="N92" s="293"/>
      <c r="O92" s="293"/>
      <c r="P92" s="293"/>
      <c r="Q92" s="293"/>
      <c r="R92" s="293"/>
      <c r="S92" s="419"/>
    </row>
    <row r="93" spans="2:19">
      <c r="B93" s="1747" t="s">
        <v>101</v>
      </c>
      <c r="C93" s="1717">
        <v>94018</v>
      </c>
      <c r="D93" s="1717">
        <v>7704</v>
      </c>
      <c r="E93" s="1717">
        <v>3226473</v>
      </c>
      <c r="F93" s="1717">
        <v>27221</v>
      </c>
      <c r="G93" s="1717">
        <v>336981</v>
      </c>
      <c r="H93" s="1733"/>
      <c r="I93" s="2438">
        <f t="shared" si="8"/>
        <v>3692397</v>
      </c>
      <c r="K93" s="396"/>
      <c r="L93" s="52"/>
      <c r="M93" s="264"/>
      <c r="N93" s="264"/>
      <c r="O93" s="264"/>
      <c r="P93" s="264"/>
      <c r="Q93" s="264"/>
      <c r="R93" s="264"/>
      <c r="S93" s="419"/>
    </row>
    <row r="94" spans="2:19">
      <c r="B94" s="1814" t="s">
        <v>102</v>
      </c>
      <c r="C94" s="2440">
        <v>995555</v>
      </c>
      <c r="D94" s="1678">
        <v>445281</v>
      </c>
      <c r="E94" s="1678">
        <v>6016592</v>
      </c>
      <c r="F94" s="1678">
        <v>2870132</v>
      </c>
      <c r="G94" s="1678">
        <v>653290</v>
      </c>
      <c r="H94" s="1733"/>
      <c r="I94" s="2438">
        <f t="shared" si="8"/>
        <v>10980850</v>
      </c>
      <c r="K94" s="396"/>
      <c r="L94" s="37"/>
      <c r="M94" s="264"/>
      <c r="N94" s="264"/>
      <c r="O94" s="264"/>
      <c r="P94" s="264"/>
      <c r="Q94" s="264"/>
      <c r="R94" s="264"/>
      <c r="S94" s="419"/>
    </row>
    <row r="95" spans="2:19">
      <c r="B95" s="1814" t="s">
        <v>104</v>
      </c>
      <c r="C95" s="1678">
        <v>368226</v>
      </c>
      <c r="D95" s="1678">
        <v>70452</v>
      </c>
      <c r="E95" s="1678">
        <v>3280875</v>
      </c>
      <c r="F95" s="1678">
        <v>172101</v>
      </c>
      <c r="G95" s="1678">
        <v>170517</v>
      </c>
      <c r="H95" s="1733"/>
      <c r="I95" s="2438">
        <f t="shared" si="8"/>
        <v>4062171</v>
      </c>
      <c r="K95" s="396"/>
      <c r="L95" s="292"/>
      <c r="M95" s="293"/>
      <c r="N95" s="293"/>
      <c r="O95" s="293"/>
      <c r="P95" s="293"/>
      <c r="Q95" s="293"/>
      <c r="R95" s="293"/>
      <c r="S95" s="419"/>
    </row>
    <row r="96" spans="2:19">
      <c r="B96" s="1814" t="s">
        <v>108</v>
      </c>
      <c r="C96" s="1678">
        <v>265615</v>
      </c>
      <c r="D96" s="1678">
        <v>14254</v>
      </c>
      <c r="E96" s="1678">
        <v>3954249</v>
      </c>
      <c r="F96" s="1685"/>
      <c r="G96" s="1678">
        <v>84603</v>
      </c>
      <c r="H96" s="1733"/>
      <c r="I96" s="2438">
        <f t="shared" si="8"/>
        <v>4318721</v>
      </c>
      <c r="K96" s="396"/>
      <c r="L96" s="52"/>
      <c r="M96" s="264"/>
      <c r="N96" s="264"/>
      <c r="O96" s="264"/>
      <c r="P96" s="264"/>
      <c r="Q96" s="264"/>
      <c r="R96" s="264"/>
      <c r="S96" s="419"/>
    </row>
    <row r="97" spans="1:19">
      <c r="B97" s="1814" t="s">
        <v>109</v>
      </c>
      <c r="C97" s="1678">
        <v>-121</v>
      </c>
      <c r="D97" s="1685"/>
      <c r="E97" s="1678">
        <v>-331</v>
      </c>
      <c r="F97" s="1685"/>
      <c r="G97" s="1678">
        <v>-60</v>
      </c>
      <c r="H97" s="1733"/>
      <c r="I97" s="2438">
        <f t="shared" si="8"/>
        <v>-512</v>
      </c>
      <c r="K97" s="396"/>
      <c r="L97" s="52"/>
      <c r="M97" s="264"/>
      <c r="N97" s="264"/>
      <c r="O97" s="264"/>
      <c r="P97" s="264"/>
      <c r="Q97" s="264"/>
      <c r="R97" s="264"/>
      <c r="S97" s="419"/>
    </row>
    <row r="98" spans="1:19">
      <c r="B98" s="1747" t="s">
        <v>110</v>
      </c>
      <c r="C98" s="1717">
        <v>11903</v>
      </c>
      <c r="D98" s="1717">
        <v>3468</v>
      </c>
      <c r="E98" s="1717">
        <v>422117</v>
      </c>
      <c r="F98" s="1717">
        <v>4069119</v>
      </c>
      <c r="G98" s="1717">
        <v>556653</v>
      </c>
      <c r="H98" s="1717">
        <v>4581641</v>
      </c>
      <c r="I98" s="2438">
        <f t="shared" si="8"/>
        <v>9644901</v>
      </c>
      <c r="K98" s="396"/>
      <c r="L98" s="52"/>
      <c r="M98" s="264"/>
      <c r="N98" s="264"/>
      <c r="O98" s="264"/>
      <c r="P98" s="264"/>
      <c r="Q98" s="264"/>
      <c r="R98" s="264"/>
      <c r="S98" s="419"/>
    </row>
    <row r="99" spans="1:19">
      <c r="B99" s="2439" t="s">
        <v>111</v>
      </c>
      <c r="C99" s="1678">
        <v>63171.003484367378</v>
      </c>
      <c r="D99" s="1678">
        <v>23467.926769999998</v>
      </c>
      <c r="E99" s="1678">
        <v>1141152.1842499997</v>
      </c>
      <c r="F99" s="1678">
        <v>44165.845900000008</v>
      </c>
      <c r="G99" s="1678">
        <v>104440.85190230733</v>
      </c>
      <c r="H99" s="1733"/>
      <c r="I99" s="2438">
        <f t="shared" si="8"/>
        <v>1376397.8123066744</v>
      </c>
      <c r="K99" s="396"/>
      <c r="L99" s="52"/>
      <c r="M99" s="264"/>
      <c r="N99" s="264"/>
      <c r="O99" s="264"/>
      <c r="P99" s="264"/>
      <c r="Q99" s="264"/>
      <c r="R99" s="264"/>
      <c r="S99" s="419"/>
    </row>
    <row r="100" spans="1:19">
      <c r="B100" s="2420" t="s">
        <v>112</v>
      </c>
      <c r="C100" s="1717">
        <v>303844</v>
      </c>
      <c r="D100" s="1717">
        <v>9265</v>
      </c>
      <c r="E100" s="1717">
        <v>4659619</v>
      </c>
      <c r="F100" s="1717">
        <v>124051</v>
      </c>
      <c r="G100" s="1717">
        <v>257589.47691000003</v>
      </c>
      <c r="H100" s="1733"/>
      <c r="I100" s="2438">
        <f t="shared" si="8"/>
        <v>5354368.4769099997</v>
      </c>
      <c r="K100" s="396"/>
      <c r="L100" s="292"/>
      <c r="M100" s="293"/>
      <c r="N100" s="293"/>
      <c r="O100" s="293"/>
      <c r="P100" s="293"/>
      <c r="Q100" s="293"/>
      <c r="R100" s="293"/>
      <c r="S100" s="419"/>
    </row>
    <row r="101" spans="1:19">
      <c r="B101" s="2420" t="s">
        <v>135</v>
      </c>
      <c r="C101" s="1717">
        <v>9637.0542600000008</v>
      </c>
      <c r="D101" s="1733"/>
      <c r="E101" s="1717">
        <v>609719.92278000002</v>
      </c>
      <c r="F101" s="1717">
        <v>12666</v>
      </c>
      <c r="G101" s="1717">
        <v>100356.01835000003</v>
      </c>
      <c r="H101" s="1733"/>
      <c r="I101" s="2438">
        <f t="shared" si="8"/>
        <v>732378.99539000005</v>
      </c>
      <c r="K101" s="396"/>
      <c r="L101" s="37"/>
      <c r="M101" s="264"/>
      <c r="N101" s="264"/>
      <c r="O101" s="264"/>
      <c r="P101" s="264"/>
      <c r="Q101" s="264"/>
      <c r="R101" s="264"/>
      <c r="S101" s="419"/>
    </row>
    <row r="102" spans="1:19">
      <c r="B102" s="2420" t="s">
        <v>115</v>
      </c>
      <c r="C102" s="1717">
        <v>1290329.2220700001</v>
      </c>
      <c r="D102" s="1717">
        <v>493627.52853999997</v>
      </c>
      <c r="E102" s="1717">
        <v>12690044.108150002</v>
      </c>
      <c r="F102" s="1717">
        <v>1803094.8404399999</v>
      </c>
      <c r="G102" s="1717">
        <v>1639177.9184999999</v>
      </c>
      <c r="H102" s="1733"/>
      <c r="I102" s="2438">
        <f t="shared" si="8"/>
        <v>17916273.617699999</v>
      </c>
      <c r="K102" s="396"/>
      <c r="L102" s="471"/>
      <c r="M102" s="293"/>
      <c r="N102" s="293"/>
      <c r="O102" s="293"/>
      <c r="P102" s="293"/>
      <c r="Q102" s="293"/>
      <c r="R102" s="293"/>
      <c r="S102" s="419"/>
    </row>
    <row r="103" spans="1:19">
      <c r="B103" s="2436" t="s">
        <v>118</v>
      </c>
      <c r="C103" s="2441">
        <f t="shared" ref="C103:H103" si="9">SUM(C89:C102)</f>
        <v>8821655.2798143663</v>
      </c>
      <c r="D103" s="2441">
        <f t="shared" si="9"/>
        <v>2403366.4553100001</v>
      </c>
      <c r="E103" s="2441">
        <f t="shared" si="9"/>
        <v>62363475.215179995</v>
      </c>
      <c r="F103" s="2441">
        <f t="shared" si="9"/>
        <v>14161541.686339999</v>
      </c>
      <c r="G103" s="2441">
        <f t="shared" si="9"/>
        <v>8254421.265662306</v>
      </c>
      <c r="H103" s="2441">
        <f t="shared" si="9"/>
        <v>4581641</v>
      </c>
      <c r="I103" s="2438">
        <f t="shared" si="8"/>
        <v>100586100.90230668</v>
      </c>
      <c r="K103" s="396"/>
      <c r="L103" s="471"/>
      <c r="M103" s="293"/>
      <c r="N103" s="293"/>
      <c r="O103" s="293"/>
      <c r="P103" s="293"/>
      <c r="Q103" s="293"/>
      <c r="R103" s="293"/>
      <c r="S103" s="419"/>
    </row>
    <row r="104" spans="1:19">
      <c r="B104" s="218"/>
      <c r="C104" s="383"/>
      <c r="D104" s="383"/>
      <c r="E104" s="383"/>
      <c r="F104" s="383"/>
      <c r="G104" s="383"/>
      <c r="H104" s="383"/>
      <c r="I104" s="383"/>
      <c r="K104" s="396"/>
      <c r="L104" s="471"/>
      <c r="M104" s="293"/>
      <c r="N104" s="293"/>
      <c r="O104" s="293"/>
      <c r="P104" s="293"/>
      <c r="Q104" s="293"/>
      <c r="R104" s="293"/>
      <c r="S104" s="419"/>
    </row>
    <row r="105" spans="1:19">
      <c r="B105" s="218"/>
      <c r="C105" s="383"/>
      <c r="D105" s="383"/>
      <c r="E105" s="383"/>
      <c r="F105" s="383"/>
      <c r="G105" s="383"/>
      <c r="H105" s="383"/>
      <c r="I105" s="476">
        <v>150</v>
      </c>
      <c r="K105" s="396"/>
      <c r="L105" s="292"/>
      <c r="M105" s="293"/>
      <c r="N105" s="293"/>
      <c r="O105" s="293"/>
      <c r="P105" s="293"/>
      <c r="Q105" s="293"/>
      <c r="R105" s="293"/>
      <c r="S105" s="419"/>
    </row>
    <row r="106" spans="1:19">
      <c r="B106" s="218"/>
      <c r="C106" s="383"/>
      <c r="D106" s="383"/>
      <c r="E106" s="383"/>
      <c r="F106" s="383"/>
      <c r="G106" s="383"/>
      <c r="H106" s="383"/>
      <c r="I106" s="476"/>
      <c r="K106" s="396"/>
      <c r="L106" s="292"/>
      <c r="M106" s="293"/>
      <c r="N106" s="293"/>
      <c r="O106" s="293"/>
      <c r="P106" s="293"/>
      <c r="Q106" s="293"/>
      <c r="R106" s="293"/>
      <c r="S106" s="419"/>
    </row>
    <row r="107" spans="1:19" s="295" customFormat="1" ht="14.45">
      <c r="A107"/>
      <c r="B107"/>
      <c r="C107"/>
      <c r="D107"/>
      <c r="E107"/>
      <c r="F107"/>
      <c r="G107"/>
      <c r="H107"/>
      <c r="I107"/>
      <c r="J107"/>
      <c r="K107" s="396"/>
      <c r="L107" s="218"/>
      <c r="M107" s="383"/>
      <c r="N107" s="383"/>
      <c r="O107" s="383"/>
      <c r="P107" s="383"/>
      <c r="Q107" s="383"/>
      <c r="R107" s="383"/>
      <c r="S107" s="419"/>
    </row>
    <row r="108" spans="1:19" ht="14.45">
      <c r="A108"/>
      <c r="B108"/>
      <c r="C108"/>
      <c r="D108"/>
      <c r="E108"/>
      <c r="F108"/>
      <c r="G108"/>
      <c r="H108"/>
      <c r="I108"/>
      <c r="J108"/>
    </row>
    <row r="109" spans="1:19" ht="14.45">
      <c r="A109"/>
      <c r="B109"/>
      <c r="C109"/>
      <c r="D109"/>
      <c r="E109"/>
      <c r="F109"/>
      <c r="G109"/>
      <c r="H109"/>
      <c r="I109"/>
      <c r="J109"/>
    </row>
    <row r="110" spans="1:19" ht="14.45">
      <c r="A110"/>
      <c r="B110"/>
      <c r="C110"/>
      <c r="D110"/>
      <c r="E110"/>
      <c r="F110"/>
      <c r="G110"/>
      <c r="H110"/>
      <c r="I110"/>
      <c r="J110"/>
    </row>
    <row r="111" spans="1:19" ht="14.45">
      <c r="A111"/>
      <c r="B111"/>
      <c r="C111"/>
      <c r="D111"/>
      <c r="E111"/>
      <c r="F111"/>
      <c r="G111"/>
      <c r="H111"/>
      <c r="I111"/>
      <c r="J111"/>
    </row>
    <row r="112" spans="1:19" ht="14.45">
      <c r="A112"/>
      <c r="B112"/>
      <c r="C112"/>
      <c r="D112"/>
      <c r="E112"/>
      <c r="F112"/>
      <c r="G112"/>
      <c r="H112"/>
      <c r="I112"/>
      <c r="J112"/>
    </row>
    <row r="113" spans="1:13" ht="14.45">
      <c r="A113"/>
      <c r="B113"/>
      <c r="C113"/>
      <c r="D113"/>
      <c r="E113"/>
      <c r="F113"/>
      <c r="G113"/>
      <c r="H113"/>
      <c r="I113"/>
      <c r="J113"/>
    </row>
    <row r="114" spans="1:13" ht="14.45">
      <c r="A114"/>
      <c r="B114"/>
      <c r="C114"/>
      <c r="D114"/>
      <c r="E114"/>
      <c r="F114"/>
      <c r="G114"/>
      <c r="H114"/>
      <c r="I114"/>
      <c r="J114"/>
    </row>
    <row r="115" spans="1:13" ht="14.45">
      <c r="A115"/>
      <c r="B115"/>
      <c r="C115"/>
      <c r="D115"/>
      <c r="E115"/>
      <c r="F115"/>
      <c r="G115"/>
      <c r="H115"/>
      <c r="I115"/>
      <c r="J115"/>
    </row>
    <row r="116" spans="1:13" ht="14.45">
      <c r="A116"/>
      <c r="B116"/>
      <c r="C116"/>
      <c r="D116"/>
      <c r="E116"/>
      <c r="F116"/>
      <c r="G116"/>
      <c r="H116"/>
      <c r="I116"/>
      <c r="J116"/>
    </row>
    <row r="117" spans="1:13" ht="14.45">
      <c r="A117"/>
      <c r="B117"/>
      <c r="C117"/>
      <c r="D117"/>
      <c r="E117"/>
      <c r="F117"/>
      <c r="G117"/>
      <c r="H117"/>
      <c r="I117"/>
      <c r="J117"/>
    </row>
    <row r="118" spans="1:13" ht="14.45">
      <c r="A118"/>
      <c r="B118"/>
      <c r="C118"/>
      <c r="D118"/>
      <c r="E118"/>
      <c r="F118"/>
      <c r="G118"/>
      <c r="H118"/>
      <c r="I118"/>
      <c r="J118"/>
    </row>
    <row r="119" spans="1:13" ht="14.45">
      <c r="A119"/>
      <c r="B119"/>
      <c r="C119"/>
      <c r="D119"/>
      <c r="E119"/>
      <c r="F119"/>
      <c r="G119"/>
      <c r="H119"/>
      <c r="I119"/>
      <c r="J119"/>
    </row>
    <row r="120" spans="1:13" ht="14.45">
      <c r="A120"/>
      <c r="B120"/>
      <c r="C120"/>
      <c r="D120"/>
      <c r="E120"/>
      <c r="F120"/>
      <c r="G120"/>
      <c r="H120"/>
      <c r="I120"/>
      <c r="J120"/>
    </row>
    <row r="121" spans="1:13" ht="14.45">
      <c r="A121"/>
      <c r="B121"/>
      <c r="C121"/>
      <c r="D121"/>
      <c r="E121"/>
      <c r="F121"/>
      <c r="G121"/>
      <c r="H121"/>
      <c r="I121"/>
      <c r="J121"/>
    </row>
    <row r="122" spans="1:13" ht="14.45">
      <c r="A122"/>
      <c r="B122"/>
      <c r="C122"/>
      <c r="D122"/>
      <c r="E122"/>
      <c r="F122"/>
      <c r="G122"/>
      <c r="H122"/>
      <c r="I122"/>
      <c r="J122"/>
    </row>
    <row r="123" spans="1:13" ht="14.45">
      <c r="A123"/>
      <c r="B123"/>
      <c r="C123"/>
      <c r="D123"/>
      <c r="E123"/>
      <c r="F123"/>
      <c r="G123"/>
      <c r="H123"/>
      <c r="I123"/>
      <c r="J123"/>
    </row>
    <row r="124" spans="1:13" ht="14.45">
      <c r="A124"/>
      <c r="B124"/>
      <c r="C124"/>
      <c r="D124"/>
      <c r="E124"/>
      <c r="F124"/>
      <c r="G124"/>
      <c r="H124"/>
      <c r="I124"/>
      <c r="J124"/>
    </row>
    <row r="125" spans="1:13" ht="14.45">
      <c r="A125"/>
      <c r="B125"/>
      <c r="C125"/>
      <c r="D125"/>
      <c r="E125"/>
      <c r="F125"/>
      <c r="G125"/>
      <c r="H125"/>
      <c r="I125"/>
      <c r="J125"/>
      <c r="M125" s="396"/>
    </row>
    <row r="126" spans="1:13" ht="14.45">
      <c r="A126"/>
      <c r="B126"/>
      <c r="C126"/>
      <c r="D126"/>
      <c r="E126"/>
      <c r="F126"/>
      <c r="G126"/>
      <c r="H126"/>
      <c r="I126"/>
      <c r="J126"/>
    </row>
    <row r="127" spans="1:13" ht="14.45">
      <c r="A127"/>
      <c r="B127"/>
      <c r="C127"/>
      <c r="D127"/>
      <c r="E127"/>
      <c r="F127"/>
      <c r="G127"/>
      <c r="H127"/>
      <c r="I127"/>
      <c r="J127"/>
    </row>
    <row r="128" spans="1:13">
      <c r="B128" s="218"/>
      <c r="C128" s="383"/>
      <c r="D128" s="383"/>
      <c r="E128" s="383"/>
      <c r="F128" s="383"/>
      <c r="G128" s="383"/>
      <c r="H128" s="383"/>
      <c r="I128" s="383"/>
    </row>
    <row r="129" spans="2:15">
      <c r="B129" s="3450"/>
      <c r="C129" s="3450"/>
      <c r="D129" s="3450"/>
      <c r="E129" s="3450"/>
      <c r="F129" s="3450"/>
      <c r="G129" s="3450"/>
      <c r="H129" s="383"/>
      <c r="I129" s="383"/>
    </row>
    <row r="130" spans="2:15">
      <c r="B130" s="218"/>
      <c r="C130" s="383"/>
      <c r="D130" s="383"/>
      <c r="E130" s="383"/>
      <c r="F130" s="383"/>
      <c r="G130" s="383"/>
      <c r="H130" s="3434"/>
      <c r="I130" s="3434"/>
    </row>
    <row r="131" spans="2:15">
      <c r="B131" s="3240"/>
      <c r="C131" s="3451"/>
      <c r="D131" s="3472"/>
      <c r="E131" s="3472"/>
      <c r="F131" s="3451"/>
      <c r="G131" s="3451"/>
      <c r="H131" s="3451"/>
      <c r="I131" s="3451"/>
    </row>
    <row r="132" spans="2:15">
      <c r="B132" s="3240"/>
      <c r="C132" s="3451"/>
      <c r="D132" s="3472"/>
      <c r="E132" s="3472"/>
      <c r="F132" s="3451"/>
      <c r="G132" s="3451"/>
      <c r="H132" s="3451"/>
      <c r="I132" s="3451"/>
    </row>
    <row r="133" spans="2:15">
      <c r="B133" s="3240"/>
      <c r="C133" s="3451"/>
      <c r="D133" s="3472"/>
      <c r="E133" s="3472"/>
      <c r="F133" s="3451"/>
      <c r="G133" s="3451"/>
      <c r="H133" s="3451"/>
      <c r="I133" s="3451"/>
    </row>
    <row r="134" spans="2:15">
      <c r="C134" s="293"/>
      <c r="D134" s="293"/>
      <c r="E134" s="293"/>
      <c r="F134" s="293"/>
      <c r="G134" s="293"/>
      <c r="H134" s="293"/>
      <c r="I134" s="419"/>
      <c r="K134" s="396"/>
      <c r="L134" s="396"/>
      <c r="M134" s="396"/>
      <c r="N134" s="396"/>
      <c r="O134" s="396"/>
    </row>
    <row r="135" spans="2:15">
      <c r="B135" s="292"/>
      <c r="C135" s="293"/>
      <c r="D135" s="293"/>
      <c r="E135" s="293"/>
      <c r="F135" s="293"/>
      <c r="G135" s="293"/>
      <c r="H135" s="293"/>
      <c r="I135" s="419"/>
      <c r="K135" s="396"/>
      <c r="L135" s="396"/>
      <c r="M135" s="396"/>
      <c r="N135" s="396"/>
      <c r="O135" s="396"/>
    </row>
    <row r="136" spans="2:15">
      <c r="B136" s="292"/>
      <c r="C136" s="293"/>
      <c r="D136" s="293"/>
      <c r="E136" s="293"/>
      <c r="F136" s="293"/>
      <c r="G136" s="293"/>
      <c r="H136" s="293"/>
      <c r="I136" s="419"/>
      <c r="K136" s="396"/>
      <c r="L136" s="396"/>
      <c r="M136" s="396"/>
      <c r="N136" s="396"/>
      <c r="O136" s="396"/>
    </row>
    <row r="137" spans="2:15">
      <c r="C137" s="293"/>
      <c r="D137" s="293"/>
      <c r="E137" s="293"/>
      <c r="F137" s="293"/>
      <c r="G137" s="293"/>
      <c r="H137" s="293"/>
      <c r="I137" s="419"/>
      <c r="K137" s="396"/>
      <c r="L137" s="396"/>
      <c r="M137" s="396"/>
      <c r="N137" s="396"/>
      <c r="O137" s="396"/>
    </row>
    <row r="138" spans="2:15">
      <c r="B138" s="292"/>
      <c r="C138" s="293"/>
      <c r="D138" s="293"/>
      <c r="E138" s="293"/>
      <c r="F138" s="293"/>
      <c r="G138" s="293"/>
      <c r="H138" s="293"/>
      <c r="I138" s="419"/>
      <c r="K138" s="396"/>
      <c r="L138" s="396"/>
      <c r="M138" s="396"/>
      <c r="N138" s="396"/>
      <c r="O138" s="396"/>
    </row>
    <row r="139" spans="2:15">
      <c r="B139" s="292"/>
      <c r="C139" s="293"/>
      <c r="D139" s="293"/>
      <c r="E139" s="293"/>
      <c r="F139" s="293"/>
      <c r="G139" s="293"/>
      <c r="H139" s="293"/>
      <c r="I139" s="419"/>
      <c r="K139" s="396"/>
      <c r="L139" s="396"/>
      <c r="M139" s="396"/>
      <c r="N139" s="396"/>
      <c r="O139" s="396"/>
    </row>
    <row r="140" spans="2:15">
      <c r="B140" s="292"/>
      <c r="C140" s="293"/>
      <c r="D140" s="293"/>
      <c r="E140" s="293"/>
      <c r="F140" s="293"/>
      <c r="G140" s="293"/>
      <c r="H140" s="293"/>
      <c r="I140" s="419"/>
      <c r="K140" s="396"/>
      <c r="L140" s="396"/>
      <c r="M140" s="396"/>
      <c r="N140" s="396"/>
      <c r="O140" s="396"/>
    </row>
    <row r="141" spans="2:15">
      <c r="B141" s="292"/>
      <c r="C141" s="293"/>
      <c r="D141" s="293"/>
      <c r="E141" s="293"/>
      <c r="F141" s="293"/>
      <c r="G141" s="293"/>
      <c r="H141" s="293"/>
      <c r="I141" s="419"/>
      <c r="K141" s="396"/>
      <c r="L141" s="396"/>
      <c r="M141" s="396"/>
      <c r="N141" s="396"/>
      <c r="O141" s="396"/>
    </row>
    <row r="142" spans="2:15">
      <c r="B142" s="292"/>
      <c r="C142" s="293"/>
      <c r="D142" s="293"/>
      <c r="E142" s="293"/>
      <c r="F142" s="293"/>
      <c r="G142" s="293"/>
      <c r="H142" s="293"/>
      <c r="I142" s="419"/>
      <c r="K142" s="396"/>
      <c r="L142" s="396"/>
      <c r="M142" s="396"/>
      <c r="N142" s="396"/>
      <c r="O142" s="396"/>
    </row>
    <row r="143" spans="2:15">
      <c r="B143" s="292"/>
      <c r="C143" s="293"/>
      <c r="D143" s="293"/>
      <c r="E143" s="293"/>
      <c r="F143" s="293"/>
      <c r="G143" s="293"/>
      <c r="H143" s="293"/>
      <c r="I143" s="419"/>
      <c r="K143" s="396"/>
      <c r="L143" s="396"/>
      <c r="M143" s="396"/>
      <c r="N143" s="396"/>
      <c r="O143" s="396"/>
    </row>
    <row r="144" spans="2:15">
      <c r="B144" s="292"/>
      <c r="C144" s="293"/>
      <c r="D144" s="293"/>
      <c r="E144" s="293"/>
      <c r="F144" s="293"/>
      <c r="G144" s="293"/>
      <c r="H144" s="293"/>
      <c r="I144" s="419"/>
      <c r="K144" s="396"/>
      <c r="L144" s="396"/>
      <c r="M144" s="396"/>
      <c r="N144" s="396"/>
      <c r="O144" s="396"/>
    </row>
    <row r="145" spans="1:15">
      <c r="C145" s="293"/>
      <c r="D145" s="293"/>
      <c r="E145" s="293"/>
      <c r="F145" s="293"/>
      <c r="G145" s="293"/>
      <c r="H145" s="293"/>
      <c r="I145" s="419"/>
      <c r="K145" s="396"/>
      <c r="L145" s="396"/>
      <c r="M145" s="396"/>
      <c r="N145" s="396"/>
      <c r="O145" s="396"/>
    </row>
    <row r="146" spans="1:15">
      <c r="C146" s="293"/>
      <c r="D146" s="293"/>
      <c r="E146" s="293"/>
      <c r="F146" s="293"/>
      <c r="G146" s="293"/>
      <c r="H146" s="293"/>
      <c r="I146" s="419"/>
      <c r="K146" s="396"/>
      <c r="L146" s="396"/>
      <c r="M146" s="396"/>
      <c r="N146" s="396"/>
      <c r="O146" s="396"/>
    </row>
    <row r="147" spans="1:15">
      <c r="C147" s="293"/>
      <c r="D147" s="293"/>
      <c r="E147" s="293"/>
      <c r="F147" s="293"/>
      <c r="G147" s="293"/>
      <c r="H147" s="293"/>
      <c r="I147" s="419"/>
      <c r="K147" s="396"/>
      <c r="L147" s="396"/>
      <c r="M147" s="396"/>
      <c r="N147" s="396"/>
      <c r="O147" s="396"/>
    </row>
    <row r="148" spans="1:15">
      <c r="C148" s="293"/>
      <c r="D148" s="293"/>
      <c r="E148" s="293"/>
      <c r="F148" s="293"/>
      <c r="G148" s="293"/>
      <c r="H148" s="293"/>
      <c r="I148" s="419"/>
      <c r="K148" s="396"/>
      <c r="L148" s="396"/>
      <c r="M148" s="396"/>
      <c r="N148" s="396"/>
      <c r="O148" s="396"/>
    </row>
    <row r="149" spans="1:15">
      <c r="B149" s="292"/>
      <c r="C149" s="293"/>
      <c r="D149" s="293"/>
      <c r="E149" s="293"/>
      <c r="F149" s="293"/>
      <c r="G149" s="293"/>
      <c r="H149" s="293"/>
      <c r="I149" s="419"/>
      <c r="K149" s="396"/>
      <c r="L149" s="396"/>
      <c r="M149" s="396"/>
      <c r="N149" s="396"/>
      <c r="O149" s="396"/>
    </row>
    <row r="150" spans="1:15">
      <c r="B150" s="218"/>
      <c r="C150" s="383"/>
      <c r="D150" s="383"/>
      <c r="E150" s="383"/>
      <c r="F150" s="383"/>
      <c r="G150" s="383"/>
      <c r="H150" s="383"/>
      <c r="I150" s="383"/>
      <c r="K150" s="396"/>
      <c r="L150" s="396"/>
      <c r="M150" s="396"/>
      <c r="N150" s="396"/>
      <c r="O150" s="396"/>
    </row>
    <row r="151" spans="1:15">
      <c r="B151" s="218"/>
      <c r="C151" s="383"/>
      <c r="D151" s="383"/>
      <c r="E151" s="383"/>
      <c r="F151" s="383"/>
      <c r="G151" s="383"/>
      <c r="H151" s="383"/>
      <c r="I151" s="419"/>
    </row>
    <row r="152" spans="1:15">
      <c r="B152" s="218"/>
      <c r="C152" s="383"/>
      <c r="D152" s="383"/>
      <c r="E152" s="383"/>
      <c r="F152" s="383"/>
      <c r="G152" s="383"/>
      <c r="H152" s="383"/>
      <c r="I152" s="293"/>
    </row>
    <row r="153" spans="1:15">
      <c r="B153" s="218"/>
      <c r="C153" s="383"/>
      <c r="D153" s="383"/>
      <c r="E153" s="383"/>
      <c r="F153" s="383"/>
      <c r="G153" s="383"/>
      <c r="H153" s="383"/>
      <c r="I153" s="383"/>
    </row>
    <row r="154" spans="1:15">
      <c r="B154" s="218"/>
      <c r="C154" s="383"/>
      <c r="D154" s="383"/>
      <c r="E154" s="383"/>
      <c r="F154" s="383"/>
      <c r="G154" s="383"/>
      <c r="H154" s="383"/>
      <c r="I154" s="383"/>
    </row>
    <row r="155" spans="1:15">
      <c r="B155" s="218"/>
      <c r="C155" s="383"/>
      <c r="D155" s="383"/>
      <c r="E155" s="383"/>
      <c r="F155" s="383"/>
      <c r="G155" s="383"/>
      <c r="H155" s="383"/>
      <c r="I155" s="293"/>
    </row>
    <row r="156" spans="1:15">
      <c r="B156" s="292"/>
    </row>
    <row r="157" spans="1:15" ht="14.45">
      <c r="A157" s="39"/>
      <c r="C157" s="39"/>
      <c r="D157" s="39"/>
      <c r="E157" s="39"/>
      <c r="F157" s="39"/>
      <c r="G157" s="39"/>
      <c r="H157" s="39"/>
      <c r="I157" s="39"/>
    </row>
    <row r="158" spans="1:15" ht="14.45">
      <c r="A158" s="39"/>
      <c r="B158" s="39"/>
      <c r="C158" s="39"/>
      <c r="D158" s="39"/>
      <c r="E158" s="39"/>
      <c r="F158" s="39"/>
      <c r="G158" s="39"/>
      <c r="H158" s="39"/>
      <c r="I158" s="39"/>
    </row>
    <row r="159" spans="1:15" ht="14.45">
      <c r="A159" s="39"/>
      <c r="B159" s="39"/>
      <c r="C159" s="39"/>
      <c r="D159" s="39"/>
      <c r="E159" s="39"/>
      <c r="F159" s="39"/>
      <c r="G159" s="39"/>
      <c r="H159" s="39"/>
      <c r="I159" s="39"/>
    </row>
    <row r="160" spans="1:15" ht="14.45">
      <c r="A160" s="39"/>
      <c r="B160" s="39"/>
      <c r="C160" s="39"/>
      <c r="D160" s="39"/>
      <c r="E160" s="39"/>
      <c r="F160" s="39"/>
      <c r="G160" s="39"/>
      <c r="H160" s="39"/>
      <c r="I160" s="39"/>
    </row>
    <row r="161" spans="1:17" ht="14.45">
      <c r="A161" s="39"/>
      <c r="B161" s="39"/>
      <c r="C161" s="39"/>
      <c r="D161" s="39"/>
      <c r="E161" s="39"/>
      <c r="F161" s="39"/>
      <c r="G161" s="39"/>
      <c r="H161" s="39"/>
      <c r="I161" s="39"/>
    </row>
    <row r="162" spans="1:17" ht="14.45">
      <c r="A162" s="39"/>
      <c r="B162" s="39"/>
      <c r="C162" s="39"/>
      <c r="D162" s="39"/>
      <c r="E162" s="39"/>
      <c r="F162" s="39"/>
      <c r="G162" s="39"/>
      <c r="H162" s="39"/>
      <c r="I162" s="39"/>
      <c r="K162" s="396"/>
      <c r="L162" s="396"/>
      <c r="M162" s="396"/>
      <c r="N162" s="396"/>
      <c r="O162" s="396"/>
      <c r="P162" s="396"/>
      <c r="Q162" s="396"/>
    </row>
    <row r="163" spans="1:17" ht="14.45">
      <c r="A163" s="39"/>
      <c r="B163" s="39"/>
      <c r="C163" s="39"/>
      <c r="D163" s="39"/>
      <c r="E163" s="39"/>
      <c r="F163" s="39"/>
      <c r="G163" s="39"/>
      <c r="H163" s="39"/>
      <c r="I163" s="39"/>
      <c r="K163" s="396"/>
      <c r="L163" s="396"/>
      <c r="M163" s="396"/>
      <c r="N163" s="396"/>
      <c r="O163" s="396"/>
      <c r="P163" s="396"/>
      <c r="Q163" s="396"/>
    </row>
    <row r="164" spans="1:17" ht="14.45">
      <c r="A164" s="39"/>
      <c r="B164" s="39"/>
      <c r="C164" s="39"/>
      <c r="D164" s="39"/>
      <c r="E164" s="39"/>
      <c r="F164" s="39"/>
      <c r="G164" s="39"/>
      <c r="H164" s="39"/>
      <c r="I164" s="39"/>
      <c r="K164" s="396"/>
      <c r="L164" s="396"/>
      <c r="M164" s="396"/>
      <c r="N164" s="396"/>
      <c r="O164" s="396"/>
      <c r="P164" s="396"/>
      <c r="Q164" s="396"/>
    </row>
    <row r="165" spans="1:17" ht="14.45">
      <c r="A165" s="39"/>
      <c r="B165" s="39"/>
      <c r="C165" s="39"/>
      <c r="D165" s="39"/>
      <c r="E165" s="39"/>
      <c r="F165" s="39"/>
      <c r="G165" s="39"/>
      <c r="H165" s="39"/>
      <c r="I165" s="39"/>
      <c r="K165" s="396"/>
      <c r="L165" s="396"/>
      <c r="M165" s="396"/>
      <c r="N165" s="396"/>
      <c r="O165" s="396"/>
      <c r="P165" s="396"/>
      <c r="Q165" s="396"/>
    </row>
    <row r="166" spans="1:17" ht="14.45">
      <c r="A166" s="39"/>
      <c r="B166" s="39"/>
      <c r="C166" s="39"/>
      <c r="D166" s="39"/>
      <c r="E166" s="39"/>
      <c r="F166" s="39"/>
      <c r="G166" s="39"/>
      <c r="H166" s="39"/>
      <c r="I166" s="39"/>
      <c r="K166" s="396"/>
      <c r="L166" s="396"/>
      <c r="M166" s="396"/>
      <c r="N166" s="396"/>
      <c r="O166" s="396"/>
      <c r="P166" s="396"/>
      <c r="Q166" s="396"/>
    </row>
    <row r="167" spans="1:17" ht="14.45">
      <c r="A167" s="39"/>
      <c r="B167" s="39"/>
      <c r="C167" s="39"/>
      <c r="D167" s="39"/>
      <c r="E167" s="39"/>
      <c r="F167" s="39"/>
      <c r="G167" s="39"/>
      <c r="H167" s="39"/>
      <c r="I167" s="39"/>
      <c r="K167" s="396"/>
      <c r="L167" s="396"/>
      <c r="M167" s="396"/>
      <c r="N167" s="396"/>
      <c r="O167" s="396"/>
      <c r="P167" s="396"/>
      <c r="Q167" s="396"/>
    </row>
    <row r="168" spans="1:17" ht="14.45">
      <c r="A168" s="39"/>
      <c r="B168" s="39"/>
      <c r="C168" s="39"/>
      <c r="D168" s="39"/>
      <c r="E168" s="39"/>
      <c r="F168" s="39"/>
      <c r="G168" s="39"/>
      <c r="H168" s="39"/>
      <c r="I168" s="39"/>
      <c r="K168" s="396"/>
      <c r="L168" s="396"/>
      <c r="M168" s="396"/>
      <c r="N168" s="396"/>
      <c r="O168" s="396"/>
      <c r="P168" s="396"/>
      <c r="Q168" s="396"/>
    </row>
    <row r="169" spans="1:17" ht="14.45">
      <c r="A169" s="39"/>
      <c r="B169" s="39"/>
      <c r="C169" s="39"/>
      <c r="D169" s="39"/>
      <c r="E169" s="39"/>
      <c r="F169" s="39"/>
      <c r="G169" s="39"/>
      <c r="H169" s="39"/>
      <c r="I169" s="39"/>
      <c r="K169" s="396"/>
      <c r="L169" s="396"/>
      <c r="M169" s="396"/>
      <c r="N169" s="396"/>
      <c r="O169" s="396"/>
      <c r="P169" s="396"/>
      <c r="Q169" s="396"/>
    </row>
    <row r="170" spans="1:17" ht="14.45">
      <c r="A170" s="39"/>
      <c r="B170" s="39"/>
      <c r="C170" s="39"/>
      <c r="D170" s="39"/>
      <c r="E170" s="39"/>
      <c r="F170" s="39"/>
      <c r="G170" s="39"/>
      <c r="H170" s="39"/>
      <c r="I170" s="39"/>
      <c r="K170" s="396"/>
      <c r="L170" s="396"/>
      <c r="M170" s="396"/>
      <c r="N170" s="396"/>
      <c r="O170" s="396"/>
      <c r="P170" s="396"/>
      <c r="Q170" s="396"/>
    </row>
    <row r="171" spans="1:17" ht="14.45">
      <c r="A171" s="39"/>
      <c r="B171" s="39"/>
      <c r="C171" s="39"/>
      <c r="D171" s="39"/>
      <c r="E171" s="39"/>
      <c r="F171" s="39"/>
      <c r="G171" s="39"/>
      <c r="H171" s="39"/>
      <c r="I171" s="39"/>
      <c r="K171" s="396"/>
      <c r="L171" s="396"/>
      <c r="M171" s="396"/>
      <c r="N171" s="396"/>
      <c r="O171" s="396"/>
      <c r="P171" s="396"/>
      <c r="Q171" s="396"/>
    </row>
    <row r="172" spans="1:17" ht="14.45">
      <c r="A172" s="39"/>
      <c r="B172" s="39"/>
      <c r="C172" s="39"/>
      <c r="D172" s="39"/>
      <c r="E172" s="39"/>
      <c r="F172" s="39"/>
      <c r="G172" s="39"/>
      <c r="H172" s="39"/>
      <c r="I172" s="39"/>
      <c r="K172" s="396"/>
      <c r="L172" s="396"/>
      <c r="M172" s="396"/>
      <c r="N172" s="396"/>
      <c r="O172" s="396"/>
      <c r="P172" s="396"/>
      <c r="Q172" s="396"/>
    </row>
    <row r="173" spans="1:17" ht="14.45">
      <c r="A173" s="39"/>
      <c r="B173" s="39"/>
      <c r="C173" s="39"/>
      <c r="D173" s="39"/>
      <c r="E173" s="39"/>
      <c r="F173" s="39"/>
      <c r="G173" s="39"/>
      <c r="H173" s="39"/>
      <c r="I173" s="39"/>
      <c r="K173" s="396"/>
      <c r="L173" s="396"/>
      <c r="M173" s="396"/>
      <c r="N173" s="396"/>
      <c r="O173" s="396"/>
      <c r="P173" s="396"/>
      <c r="Q173" s="396"/>
    </row>
    <row r="174" spans="1:17" ht="14.45">
      <c r="A174" s="39"/>
      <c r="B174" s="39"/>
      <c r="C174" s="39"/>
      <c r="D174" s="39"/>
      <c r="E174" s="39"/>
      <c r="F174" s="39"/>
      <c r="G174" s="39"/>
      <c r="H174" s="39"/>
      <c r="I174" s="39"/>
      <c r="K174" s="396"/>
      <c r="L174" s="396"/>
      <c r="M174" s="396"/>
      <c r="N174" s="396"/>
      <c r="O174" s="396"/>
      <c r="P174" s="396"/>
      <c r="Q174" s="396"/>
    </row>
    <row r="175" spans="1:17" ht="14.45">
      <c r="A175" s="39"/>
      <c r="B175" s="39"/>
      <c r="C175" s="39"/>
      <c r="D175" s="39"/>
      <c r="E175" s="39"/>
      <c r="F175" s="39"/>
      <c r="G175" s="39"/>
      <c r="H175" s="39"/>
      <c r="I175" s="39"/>
      <c r="K175" s="396"/>
      <c r="L175" s="396"/>
      <c r="M175" s="396"/>
      <c r="N175" s="396"/>
      <c r="O175" s="396"/>
      <c r="P175" s="396"/>
      <c r="Q175" s="396"/>
    </row>
    <row r="176" spans="1:17" ht="14.45">
      <c r="A176" s="39"/>
      <c r="B176" s="39"/>
      <c r="C176" s="39"/>
      <c r="D176" s="39"/>
      <c r="E176" s="39"/>
      <c r="F176" s="39"/>
      <c r="G176" s="39"/>
      <c r="H176" s="39"/>
      <c r="I176" s="39"/>
      <c r="K176" s="396"/>
      <c r="L176" s="396"/>
      <c r="M176" s="396"/>
      <c r="N176" s="396"/>
      <c r="O176" s="396"/>
      <c r="P176" s="396"/>
      <c r="Q176" s="396"/>
    </row>
    <row r="177" spans="1:17" ht="14.45">
      <c r="A177" s="39"/>
      <c r="B177" s="39"/>
      <c r="C177" s="39"/>
      <c r="D177" s="39"/>
      <c r="E177" s="39"/>
      <c r="F177" s="39"/>
      <c r="G177" s="39"/>
      <c r="H177" s="39"/>
      <c r="I177" s="39"/>
      <c r="K177" s="396"/>
      <c r="L177" s="396"/>
      <c r="M177" s="396"/>
      <c r="N177" s="396"/>
      <c r="O177" s="396"/>
      <c r="P177" s="396"/>
      <c r="Q177" s="396"/>
    </row>
    <row r="178" spans="1:17" ht="14.45">
      <c r="A178" s="39"/>
      <c r="B178" s="39"/>
      <c r="C178" s="39"/>
      <c r="D178" s="39"/>
      <c r="E178" s="39"/>
      <c r="F178" s="39"/>
      <c r="G178" s="39"/>
      <c r="H178" s="39"/>
      <c r="I178" s="39"/>
      <c r="K178" s="396"/>
      <c r="L178" s="396"/>
      <c r="M178" s="396"/>
      <c r="N178" s="396"/>
      <c r="O178" s="396"/>
      <c r="P178" s="396"/>
      <c r="Q178" s="396"/>
    </row>
    <row r="179" spans="1:17" ht="14.45">
      <c r="A179" s="39"/>
      <c r="B179" s="39"/>
      <c r="C179" s="39"/>
      <c r="D179" s="39"/>
      <c r="E179" s="39"/>
      <c r="F179" s="39"/>
      <c r="G179" s="39"/>
      <c r="H179" s="39"/>
      <c r="I179" s="39"/>
      <c r="K179" s="396"/>
      <c r="L179" s="396"/>
      <c r="M179" s="396"/>
      <c r="N179" s="396"/>
      <c r="O179" s="396"/>
      <c r="P179" s="396"/>
      <c r="Q179" s="396"/>
    </row>
    <row r="180" spans="1:17" ht="14.45">
      <c r="A180" s="39"/>
      <c r="B180" s="39"/>
      <c r="C180" s="39"/>
      <c r="D180" s="39"/>
      <c r="E180" s="39"/>
      <c r="F180" s="39"/>
      <c r="G180" s="39"/>
      <c r="H180" s="39"/>
      <c r="I180" s="39"/>
      <c r="K180" s="396"/>
      <c r="L180" s="396"/>
      <c r="M180" s="396"/>
      <c r="N180" s="396"/>
      <c r="O180" s="396"/>
      <c r="P180" s="396"/>
      <c r="Q180" s="396"/>
    </row>
    <row r="181" spans="1:17">
      <c r="B181" s="218"/>
      <c r="C181" s="383"/>
      <c r="D181" s="383"/>
      <c r="E181" s="383"/>
      <c r="F181" s="383"/>
      <c r="G181" s="383"/>
      <c r="H181" s="383"/>
      <c r="I181" s="383"/>
      <c r="M181" s="385"/>
    </row>
    <row r="182" spans="1:17">
      <c r="J182" s="293"/>
    </row>
  </sheetData>
  <mergeCells count="15">
    <mergeCell ref="B129:G129"/>
    <mergeCell ref="B2:I2"/>
    <mergeCell ref="B86:G86"/>
    <mergeCell ref="H87:I87"/>
    <mergeCell ref="B65:G65"/>
    <mergeCell ref="H24:I24"/>
    <mergeCell ref="H130:I130"/>
    <mergeCell ref="B131:B133"/>
    <mergeCell ref="C131:C133"/>
    <mergeCell ref="D131:D133"/>
    <mergeCell ref="E131:E133"/>
    <mergeCell ref="F131:F133"/>
    <mergeCell ref="G131:G133"/>
    <mergeCell ref="H131:H133"/>
    <mergeCell ref="I131:I133"/>
  </mergeCells>
  <pageMargins left="0.64" right="0.17" top="0.55000000000000004" bottom="0.43" header="0.24" footer="0.3"/>
  <pageSetup paperSize="9" scale="93" orientation="landscape" r:id="rId1"/>
  <rowBreaks count="6" manualBreakCount="6">
    <brk id="42" max="8" man="1"/>
    <brk id="63" max="8" man="1"/>
    <brk id="84" max="8" man="1"/>
    <brk id="105" max="8" man="1"/>
    <brk id="127" max="8" man="1"/>
    <brk id="152" max="8"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FF6699"/>
  </sheetPr>
  <dimension ref="B1:U63"/>
  <sheetViews>
    <sheetView showGridLines="0" view="pageBreakPreview" topLeftCell="A19" zoomScale="90" zoomScaleNormal="100" zoomScaleSheetLayoutView="90" workbookViewId="0">
      <selection activeCell="I52" sqref="I52"/>
    </sheetView>
  </sheetViews>
  <sheetFormatPr defaultColWidth="9.140625" defaultRowHeight="13.15"/>
  <cols>
    <col min="1" max="1" width="4.140625" style="292" customWidth="1"/>
    <col min="2" max="2" width="30.42578125" style="52" customWidth="1"/>
    <col min="3" max="3" width="4.7109375" style="292" hidden="1" customWidth="1"/>
    <col min="4" max="4" width="19.42578125" style="292" hidden="1" customWidth="1"/>
    <col min="5" max="9" width="19.42578125" style="292" customWidth="1"/>
    <col min="10" max="10" width="18.28515625" style="292" customWidth="1"/>
    <col min="11" max="15" width="12.28515625" style="292" customWidth="1"/>
    <col min="16" max="16384" width="9.140625" style="292"/>
  </cols>
  <sheetData>
    <row r="1" spans="2:13">
      <c r="B1" s="292"/>
    </row>
    <row r="2" spans="2:13">
      <c r="B2" s="3237" t="s">
        <v>525</v>
      </c>
      <c r="C2" s="3237"/>
      <c r="D2" s="3237"/>
      <c r="E2" s="3237"/>
      <c r="F2" s="3237"/>
      <c r="G2" s="3237"/>
      <c r="H2" s="627"/>
    </row>
    <row r="3" spans="2:13">
      <c r="B3" s="3237"/>
      <c r="C3" s="3237"/>
      <c r="D3" s="3237"/>
      <c r="E3" s="3237"/>
      <c r="F3" s="3237"/>
      <c r="G3" s="3237"/>
      <c r="H3" s="627"/>
    </row>
    <row r="4" spans="2:13">
      <c r="B4" s="236"/>
      <c r="C4" s="295"/>
      <c r="D4" s="295"/>
      <c r="E4" s="295"/>
      <c r="F4" s="295"/>
    </row>
    <row r="5" spans="2:13">
      <c r="B5" s="3487" t="s">
        <v>526</v>
      </c>
      <c r="C5" s="3482" t="s">
        <v>527</v>
      </c>
      <c r="D5" s="3484"/>
      <c r="E5" s="3484"/>
      <c r="F5" s="3483"/>
      <c r="G5" s="3483"/>
      <c r="H5" s="3483"/>
      <c r="I5" s="3483"/>
    </row>
    <row r="6" spans="2:13" ht="14.45">
      <c r="B6" s="3488"/>
      <c r="C6" s="1567">
        <v>2016</v>
      </c>
      <c r="D6" s="1551">
        <v>2017</v>
      </c>
      <c r="E6" s="1551">
        <v>2018</v>
      </c>
      <c r="F6" s="1552">
        <v>2019</v>
      </c>
      <c r="G6" s="1553">
        <v>2020</v>
      </c>
      <c r="H6" s="1547" t="s">
        <v>138</v>
      </c>
      <c r="I6" s="1547" t="s">
        <v>139</v>
      </c>
      <c r="K6" s="39"/>
      <c r="L6" s="39"/>
      <c r="M6" s="39"/>
    </row>
    <row r="7" spans="2:13" ht="14.45">
      <c r="B7" s="1550" t="s">
        <v>436</v>
      </c>
      <c r="C7" s="1717">
        <v>1213542.3514475848</v>
      </c>
      <c r="D7" s="1549">
        <v>1721159.3812868667</v>
      </c>
      <c r="E7" s="1549">
        <v>1957237.3726512343</v>
      </c>
      <c r="F7" s="2442">
        <v>2183650.4942456605</v>
      </c>
      <c r="G7" s="2442">
        <v>2320976</v>
      </c>
      <c r="H7" s="2443">
        <v>2144140.2250345009</v>
      </c>
      <c r="I7" s="2444">
        <v>3644705.5199145116</v>
      </c>
      <c r="J7" s="396"/>
      <c r="K7" s="197"/>
      <c r="L7" s="39"/>
      <c r="M7" s="39"/>
    </row>
    <row r="8" spans="2:13" ht="14.45">
      <c r="B8" s="1814" t="s">
        <v>437</v>
      </c>
      <c r="C8" s="1717">
        <v>903169.81059502205</v>
      </c>
      <c r="D8" s="1717">
        <v>991572.74424566433</v>
      </c>
      <c r="E8" s="1717">
        <v>1104375.6138433251</v>
      </c>
      <c r="F8" s="2442">
        <v>1175288.911261207</v>
      </c>
      <c r="G8" s="2442">
        <v>973261</v>
      </c>
      <c r="H8" s="1537">
        <v>1135974.1750844559</v>
      </c>
      <c r="I8" s="1538">
        <v>1248652.2648578263</v>
      </c>
      <c r="J8" s="396"/>
      <c r="K8" s="197"/>
      <c r="L8" s="39"/>
      <c r="M8" s="39"/>
    </row>
    <row r="9" spans="2:13" ht="14.45">
      <c r="B9" s="1814" t="s">
        <v>438</v>
      </c>
      <c r="C9" s="1717">
        <v>44593900.136303499</v>
      </c>
      <c r="D9" s="1717">
        <v>50580010.127542384</v>
      </c>
      <c r="E9" s="1717">
        <v>56891348.767830804</v>
      </c>
      <c r="F9" s="2442">
        <v>58724480.377995931</v>
      </c>
      <c r="G9" s="2442">
        <v>57930115</v>
      </c>
      <c r="H9" s="1537">
        <v>56001557.121200472</v>
      </c>
      <c r="I9" s="1538">
        <v>60493737.690369666</v>
      </c>
      <c r="J9" s="396"/>
      <c r="K9" s="197"/>
      <c r="L9" s="39"/>
      <c r="M9" s="39"/>
    </row>
    <row r="10" spans="2:13" ht="14.45">
      <c r="B10" s="1814" t="s">
        <v>439</v>
      </c>
      <c r="C10" s="1717">
        <v>9349093.1894480679</v>
      </c>
      <c r="D10" s="1717">
        <v>11435475.976073358</v>
      </c>
      <c r="E10" s="1717">
        <v>12386133.784671836</v>
      </c>
      <c r="F10" s="2442">
        <v>15153048.912504174</v>
      </c>
      <c r="G10" s="2442">
        <v>14995566</v>
      </c>
      <c r="H10" s="1537">
        <v>18076550.416782916</v>
      </c>
      <c r="I10" s="1538">
        <v>19035821.289255649</v>
      </c>
      <c r="J10" s="396"/>
      <c r="K10" s="197"/>
      <c r="L10" s="39"/>
      <c r="M10" s="39"/>
    </row>
    <row r="11" spans="2:13" ht="14.45">
      <c r="B11" s="1815" t="s">
        <v>440</v>
      </c>
      <c r="C11" s="1717">
        <v>3306900.7818680168</v>
      </c>
      <c r="D11" s="2445">
        <v>3891563.8587018619</v>
      </c>
      <c r="E11" s="2445">
        <v>4492032.7082452113</v>
      </c>
      <c r="F11" s="2446">
        <v>4942850.2475629095</v>
      </c>
      <c r="G11" s="2446">
        <v>4109992</v>
      </c>
      <c r="H11" s="1537">
        <v>3313960.1974271857</v>
      </c>
      <c r="I11" s="1538">
        <v>4190131.4488803097</v>
      </c>
      <c r="J11" s="396"/>
      <c r="K11" s="197"/>
      <c r="L11" s="39"/>
      <c r="M11" s="39"/>
    </row>
    <row r="12" spans="2:13" ht="14.45">
      <c r="B12" s="2447" t="s">
        <v>528</v>
      </c>
      <c r="C12" s="2448">
        <v>59366606.269662187</v>
      </c>
      <c r="D12" s="2449">
        <v>68619782.087850124</v>
      </c>
      <c r="E12" s="2449">
        <v>76831128.247242421</v>
      </c>
      <c r="F12" s="2449">
        <v>82179318.943569884</v>
      </c>
      <c r="G12" s="2449">
        <f>SUM(G7:G11)</f>
        <v>80329910</v>
      </c>
      <c r="H12" s="2450">
        <f>+SUM(H7:H11)</f>
        <v>80672182.135529518</v>
      </c>
      <c r="I12" s="2402">
        <f>+SUM(I7:I11)</f>
        <v>88613048.213277966</v>
      </c>
      <c r="J12" s="396"/>
      <c r="K12" s="197"/>
      <c r="L12" s="396"/>
      <c r="M12" s="396"/>
    </row>
    <row r="13" spans="2:13" ht="14.45">
      <c r="B13" s="1747" t="s">
        <v>422</v>
      </c>
      <c r="C13" s="1717">
        <v>3274296.63222</v>
      </c>
      <c r="D13" s="2445">
        <v>3734321.3482600003</v>
      </c>
      <c r="E13" s="2445">
        <v>4031846.35268</v>
      </c>
      <c r="F13" s="2446">
        <v>5568739.3130600005</v>
      </c>
      <c r="G13" s="2446">
        <v>6159888</v>
      </c>
      <c r="H13" s="2443">
        <v>6314378</v>
      </c>
      <c r="I13" s="2444">
        <v>7401914</v>
      </c>
      <c r="J13" s="396"/>
      <c r="K13" s="197"/>
      <c r="L13" s="396"/>
      <c r="M13" s="396"/>
    </row>
    <row r="14" spans="2:13" ht="14.45">
      <c r="B14" s="2447" t="s">
        <v>160</v>
      </c>
      <c r="C14" s="1800">
        <v>62640902.901882187</v>
      </c>
      <c r="D14" s="2451">
        <v>72354103.436110124</v>
      </c>
      <c r="E14" s="2451">
        <v>80862974.599922419</v>
      </c>
      <c r="F14" s="2451">
        <f>SUM(F12:F13)</f>
        <v>87748058.256629884</v>
      </c>
      <c r="G14" s="2451">
        <f>SUM(G12:G13)</f>
        <v>86489798</v>
      </c>
      <c r="H14" s="2452">
        <f>SUM(H12:H13)</f>
        <v>86986560.135529518</v>
      </c>
      <c r="I14" s="2453">
        <f>SUM(I12:I13)</f>
        <v>96014962.213277966</v>
      </c>
      <c r="J14" s="396"/>
      <c r="K14" s="197"/>
      <c r="L14" s="396"/>
      <c r="M14" s="396"/>
    </row>
    <row r="15" spans="2:13">
      <c r="C15" s="385"/>
      <c r="D15" s="385"/>
      <c r="E15" s="385"/>
      <c r="F15" s="385"/>
      <c r="I15" s="396"/>
      <c r="J15" s="396"/>
      <c r="K15" s="396"/>
      <c r="L15" s="396"/>
      <c r="M15" s="396"/>
    </row>
    <row r="16" spans="2:13">
      <c r="B16" s="3489" t="s">
        <v>526</v>
      </c>
      <c r="C16" s="3492" t="s">
        <v>529</v>
      </c>
      <c r="D16" s="3493"/>
      <c r="E16" s="3493"/>
      <c r="F16" s="3493"/>
      <c r="G16" s="3493"/>
      <c r="H16" s="3494"/>
      <c r="I16" s="3495"/>
      <c r="J16" s="396"/>
      <c r="K16" s="396"/>
      <c r="L16" s="396"/>
      <c r="M16" s="396"/>
    </row>
    <row r="17" spans="2:21">
      <c r="B17" s="3490"/>
      <c r="C17" s="1555">
        <v>2016</v>
      </c>
      <c r="D17" s="1559">
        <v>2017</v>
      </c>
      <c r="E17" s="1556">
        <f>E6</f>
        <v>2018</v>
      </c>
      <c r="F17" s="1551">
        <v>2019</v>
      </c>
      <c r="G17" s="1557">
        <v>2020</v>
      </c>
      <c r="H17" s="1558" t="s">
        <v>138</v>
      </c>
      <c r="I17" s="1558" t="s">
        <v>139</v>
      </c>
      <c r="J17" s="396"/>
      <c r="K17" s="396"/>
      <c r="L17" s="396"/>
      <c r="M17" s="396"/>
    </row>
    <row r="18" spans="2:21">
      <c r="B18" s="1814" t="s">
        <v>436</v>
      </c>
      <c r="C18" s="1717">
        <v>1024289.6490915904</v>
      </c>
      <c r="D18" s="1549">
        <v>1640061.9904225711</v>
      </c>
      <c r="E18" s="1549">
        <v>1696697.9254837027</v>
      </c>
      <c r="F18" s="206">
        <v>2546300.6469620024</v>
      </c>
      <c r="G18" s="2442">
        <v>2039484</v>
      </c>
      <c r="H18" s="2443">
        <v>2429021.0391338067</v>
      </c>
      <c r="I18" s="1539">
        <v>2115643.3968015276</v>
      </c>
      <c r="J18" s="396"/>
      <c r="K18" s="396"/>
      <c r="L18" s="396"/>
      <c r="M18" s="396"/>
    </row>
    <row r="19" spans="2:21">
      <c r="B19" s="1814" t="s">
        <v>437</v>
      </c>
      <c r="C19" s="1717">
        <v>266056.76752371481</v>
      </c>
      <c r="D19" s="1717">
        <v>345331.29653613816</v>
      </c>
      <c r="E19" s="1717">
        <v>453917.36379948427</v>
      </c>
      <c r="F19" s="2442">
        <v>500554.57878853049</v>
      </c>
      <c r="G19" s="2442">
        <v>277372</v>
      </c>
      <c r="H19" s="1537">
        <v>519187.73589552456</v>
      </c>
      <c r="I19" s="1539">
        <v>410595.43768124643</v>
      </c>
      <c r="J19" s="396"/>
      <c r="K19" s="396"/>
      <c r="L19" s="396"/>
      <c r="M19" s="396"/>
    </row>
    <row r="20" spans="2:21">
      <c r="B20" s="1814" t="s">
        <v>438</v>
      </c>
      <c r="C20" s="1717">
        <v>28966018.853411283</v>
      </c>
      <c r="D20" s="2445">
        <v>31134208.969226662</v>
      </c>
      <c r="E20" s="2445">
        <v>34681761.67210798</v>
      </c>
      <c r="F20" s="2446">
        <v>34501309.057805561</v>
      </c>
      <c r="G20" s="2442">
        <v>26891271</v>
      </c>
      <c r="H20" s="1537">
        <v>26521934.873753186</v>
      </c>
      <c r="I20" s="1539">
        <v>35488326.177497238</v>
      </c>
      <c r="J20" s="396"/>
      <c r="K20" s="396"/>
      <c r="L20" s="396"/>
      <c r="M20" s="396"/>
    </row>
    <row r="21" spans="2:21">
      <c r="B21" s="1814" t="s">
        <v>439</v>
      </c>
      <c r="C21" s="1717">
        <v>8065476.4081960749</v>
      </c>
      <c r="D21" s="2445">
        <v>10511211.754895536</v>
      </c>
      <c r="E21" s="2445">
        <v>12148223.939687017</v>
      </c>
      <c r="F21" s="2446">
        <v>16759693.761159215</v>
      </c>
      <c r="G21" s="2442">
        <v>12099917</v>
      </c>
      <c r="H21" s="1537">
        <v>17282664.114717185</v>
      </c>
      <c r="I21" s="1539">
        <v>20382215.162688725</v>
      </c>
      <c r="J21" s="396"/>
      <c r="K21" s="396"/>
      <c r="L21" s="396"/>
      <c r="M21" s="396"/>
    </row>
    <row r="22" spans="2:21">
      <c r="B22" s="1815" t="s">
        <v>440</v>
      </c>
      <c r="C22" s="1717">
        <v>2121221.481640242</v>
      </c>
      <c r="D22" s="2445">
        <v>4186859.7374089528</v>
      </c>
      <c r="E22" s="2445">
        <v>3457622.9637323325</v>
      </c>
      <c r="F22" s="2446">
        <v>3148569.7524881838</v>
      </c>
      <c r="G22" s="2446">
        <v>1225842</v>
      </c>
      <c r="H22" s="1537">
        <v>1485866.3781506128</v>
      </c>
      <c r="I22" s="1539">
        <v>1775176.0428167866</v>
      </c>
      <c r="J22" s="396"/>
      <c r="K22" s="396"/>
      <c r="L22" s="396"/>
      <c r="M22" s="396"/>
    </row>
    <row r="23" spans="2:21">
      <c r="B23" s="2447" t="s">
        <v>528</v>
      </c>
      <c r="C23" s="2448">
        <v>40443063.159862906</v>
      </c>
      <c r="D23" s="2449">
        <v>47817673.748489857</v>
      </c>
      <c r="E23" s="2449">
        <v>52438223.864810511</v>
      </c>
      <c r="F23" s="2449">
        <f>SUM(F18:F22)</f>
        <v>57456427.797203496</v>
      </c>
      <c r="G23" s="2449">
        <f>SUM(G18:G22)</f>
        <v>42533886</v>
      </c>
      <c r="H23" s="2450">
        <f>SUM(H18:H22)</f>
        <v>48238674.141650319</v>
      </c>
      <c r="I23" s="2402">
        <f>SUM(I18:I22)</f>
        <v>60171956.217485525</v>
      </c>
      <c r="J23" s="396"/>
      <c r="K23" s="396"/>
      <c r="L23" s="396"/>
      <c r="M23" s="396"/>
    </row>
    <row r="24" spans="2:21">
      <c r="B24" s="1747" t="s">
        <v>422</v>
      </c>
      <c r="C24" s="1717">
        <v>33677.236259999998</v>
      </c>
      <c r="D24" s="2445">
        <v>-10519.253340000001</v>
      </c>
      <c r="E24" s="2445">
        <v>76067.884519999992</v>
      </c>
      <c r="F24" s="2446">
        <v>692926.50245999999</v>
      </c>
      <c r="G24" s="2446">
        <v>-14382</v>
      </c>
      <c r="H24" s="2443">
        <v>36899</v>
      </c>
      <c r="I24" s="2454">
        <v>1319977</v>
      </c>
      <c r="J24" s="396"/>
      <c r="K24" s="396"/>
      <c r="L24" s="396"/>
      <c r="M24" s="396"/>
    </row>
    <row r="25" spans="2:21">
      <c r="B25" s="2447" t="s">
        <v>160</v>
      </c>
      <c r="C25" s="1800">
        <v>40476740.396122903</v>
      </c>
      <c r="D25" s="2451">
        <v>47807154.495149858</v>
      </c>
      <c r="E25" s="2451">
        <v>52514291.749330513</v>
      </c>
      <c r="F25" s="2451">
        <f>SUM(F23:F24)</f>
        <v>58149354.299663499</v>
      </c>
      <c r="G25" s="2451">
        <f>SUM(G23:G24)</f>
        <v>42519504</v>
      </c>
      <c r="H25" s="2452">
        <f>SUM(H23:H24)</f>
        <v>48275573.141650319</v>
      </c>
      <c r="I25" s="2453">
        <f>SUM(I23:I24)</f>
        <v>61491933.217485525</v>
      </c>
      <c r="J25" s="396"/>
      <c r="K25" s="396"/>
      <c r="L25" s="396"/>
      <c r="M25" s="396"/>
    </row>
    <row r="26" spans="2:21">
      <c r="I26" s="396"/>
      <c r="J26" s="396"/>
      <c r="K26" s="396"/>
      <c r="L26" s="396"/>
      <c r="M26" s="396"/>
    </row>
    <row r="27" spans="2:21">
      <c r="B27" s="3485" t="s">
        <v>526</v>
      </c>
      <c r="C27" s="3491" t="s">
        <v>530</v>
      </c>
      <c r="D27" s="3491"/>
      <c r="E27" s="3491"/>
      <c r="F27" s="3491"/>
      <c r="G27" s="3491"/>
      <c r="H27" s="3491"/>
      <c r="I27" s="3491"/>
      <c r="J27" s="396"/>
      <c r="K27" s="396"/>
      <c r="L27" s="396"/>
      <c r="M27" s="396"/>
    </row>
    <row r="28" spans="2:21">
      <c r="B28" s="3486"/>
      <c r="C28" s="654">
        <v>2016</v>
      </c>
      <c r="D28" s="1551">
        <v>2017</v>
      </c>
      <c r="E28" s="1575">
        <f>E17</f>
        <v>2018</v>
      </c>
      <c r="F28" s="1557">
        <v>2019</v>
      </c>
      <c r="G28" s="1557">
        <v>2020</v>
      </c>
      <c r="H28" s="1576" t="s">
        <v>138</v>
      </c>
      <c r="I28" s="1576" t="s">
        <v>139</v>
      </c>
      <c r="J28" s="396"/>
      <c r="K28" s="396"/>
      <c r="L28" s="396"/>
      <c r="M28" s="396"/>
    </row>
    <row r="29" spans="2:21">
      <c r="B29" s="1550" t="s">
        <v>436</v>
      </c>
      <c r="C29" s="2455">
        <v>84.404936331208987</v>
      </c>
      <c r="D29" s="1560">
        <v>95.29</v>
      </c>
      <c r="E29" s="2455">
        <v>86.688408324504337</v>
      </c>
      <c r="F29" s="1560">
        <v>116.60751817527553</v>
      </c>
      <c r="G29" s="1560">
        <v>87.87</v>
      </c>
      <c r="H29" s="3041">
        <v>113.28648242186314</v>
      </c>
      <c r="I29" s="3042">
        <v>58.047032476059989</v>
      </c>
      <c r="J29" s="588"/>
      <c r="K29" s="588"/>
      <c r="L29" s="588"/>
      <c r="M29" s="588"/>
      <c r="N29" s="588"/>
      <c r="O29" s="437"/>
      <c r="P29" s="437"/>
      <c r="Q29" s="437"/>
      <c r="R29" s="437"/>
      <c r="S29" s="437"/>
      <c r="T29" s="437"/>
      <c r="U29" s="437"/>
    </row>
    <row r="30" spans="2:21">
      <c r="B30" s="1814" t="s">
        <v>437</v>
      </c>
      <c r="C30" s="2455">
        <v>29.458111243602414</v>
      </c>
      <c r="D30" s="2455">
        <v>34.832093870113724</v>
      </c>
      <c r="E30" s="2455">
        <v>41.10171920763549</v>
      </c>
      <c r="F30" s="2455">
        <v>42.58991759323105</v>
      </c>
      <c r="G30" s="1560">
        <v>28.5</v>
      </c>
      <c r="H30" s="3043">
        <v>45.704184767838115</v>
      </c>
      <c r="I30" s="3044">
        <v>32.883089170386242</v>
      </c>
      <c r="J30" s="588"/>
      <c r="K30" s="588"/>
      <c r="L30" s="588"/>
      <c r="M30" s="588"/>
      <c r="N30" s="588"/>
      <c r="O30" s="437"/>
      <c r="P30" s="437"/>
      <c r="Q30" s="437"/>
      <c r="R30" s="437"/>
      <c r="S30" s="437"/>
      <c r="T30" s="437"/>
      <c r="U30" s="437"/>
    </row>
    <row r="31" spans="2:21">
      <c r="B31" s="1814" t="s">
        <v>438</v>
      </c>
      <c r="C31" s="2455">
        <v>64.95511440998699</v>
      </c>
      <c r="D31" s="2455">
        <v>61.554374723766848</v>
      </c>
      <c r="E31" s="2455">
        <v>60.961398214764714</v>
      </c>
      <c r="F31" s="2455">
        <v>58.751152561467713</v>
      </c>
      <c r="G31" s="2455">
        <v>46.42</v>
      </c>
      <c r="H31" s="3043">
        <v>47.359281129189881</v>
      </c>
      <c r="I31" s="3044">
        <v>58.664462690568421</v>
      </c>
      <c r="J31" s="588"/>
      <c r="K31" s="588"/>
      <c r="L31" s="588"/>
      <c r="M31" s="588"/>
      <c r="N31" s="588"/>
      <c r="O31" s="437"/>
      <c r="P31" s="437"/>
      <c r="Q31" s="437"/>
      <c r="R31" s="437"/>
      <c r="S31" s="437"/>
      <c r="T31" s="437"/>
      <c r="U31" s="437"/>
    </row>
    <row r="32" spans="2:21">
      <c r="B32" s="1814" t="s">
        <v>439</v>
      </c>
      <c r="C32" s="2455">
        <v>86.270146684378361</v>
      </c>
      <c r="D32" s="2455">
        <v>91.917571047224655</v>
      </c>
      <c r="E32" s="2455">
        <v>98.079224323579979</v>
      </c>
      <c r="F32" s="2455">
        <v>110.60278270024754</v>
      </c>
      <c r="G32" s="2455">
        <v>80.69</v>
      </c>
      <c r="H32" s="3043">
        <v>95.608198003703976</v>
      </c>
      <c r="I32" s="3044">
        <v>107.07294869485362</v>
      </c>
      <c r="J32" s="588"/>
      <c r="K32" s="588"/>
      <c r="L32" s="588"/>
      <c r="M32" s="588"/>
      <c r="N32" s="588"/>
      <c r="O32" s="437"/>
      <c r="P32" s="437"/>
      <c r="Q32" s="437"/>
      <c r="R32" s="437"/>
      <c r="S32" s="437"/>
      <c r="T32" s="437"/>
      <c r="U32" s="437"/>
    </row>
    <row r="33" spans="2:21">
      <c r="B33" s="1815" t="s">
        <v>440</v>
      </c>
      <c r="C33" s="2455">
        <v>64.145301645306603</v>
      </c>
      <c r="D33" s="2456">
        <v>107.58810312329284</v>
      </c>
      <c r="E33" s="2456">
        <v>76.972346113727085</v>
      </c>
      <c r="F33" s="2456">
        <v>63.699476916999409</v>
      </c>
      <c r="G33" s="2455">
        <v>29.83</v>
      </c>
      <c r="H33" s="3043">
        <v>44.836578885412528</v>
      </c>
      <c r="I33" s="3044">
        <v>42.365640898715732</v>
      </c>
      <c r="J33" s="588"/>
      <c r="K33" s="588"/>
      <c r="L33" s="588"/>
      <c r="M33" s="588"/>
      <c r="N33" s="588"/>
      <c r="O33" s="437"/>
      <c r="P33" s="437"/>
      <c r="Q33" s="437"/>
      <c r="R33" s="437"/>
      <c r="S33" s="437"/>
      <c r="T33" s="437"/>
      <c r="U33" s="437"/>
    </row>
    <row r="34" spans="2:21">
      <c r="B34" s="2447" t="s">
        <v>528</v>
      </c>
      <c r="C34" s="2457">
        <v>68.124263287272186</v>
      </c>
      <c r="D34" s="2458">
        <v>69.68496881449073</v>
      </c>
      <c r="E34" s="2458">
        <v>68.251274009753502</v>
      </c>
      <c r="F34" s="2458">
        <v>69.915921104988882</v>
      </c>
      <c r="G34" s="2458">
        <f>(G23/G12)*100</f>
        <v>52.949002432593282</v>
      </c>
      <c r="H34" s="3088">
        <f>(H23/H12)*100</f>
        <v>59.795920805277333</v>
      </c>
      <c r="I34" s="2459">
        <f>(I23/I12)*100</f>
        <v>67.904171485739766</v>
      </c>
      <c r="J34" s="588"/>
      <c r="K34" s="588"/>
      <c r="L34" s="588"/>
      <c r="M34" s="588"/>
      <c r="N34" s="588"/>
      <c r="O34" s="437"/>
      <c r="P34" s="437"/>
      <c r="Q34" s="437"/>
      <c r="R34" s="437"/>
      <c r="S34" s="437"/>
      <c r="T34" s="437"/>
      <c r="U34" s="437"/>
    </row>
    <row r="35" spans="2:21">
      <c r="B35" s="1747" t="s">
        <v>422</v>
      </c>
      <c r="C35" s="2455">
        <v>1.0285334544404596</v>
      </c>
      <c r="D35" s="2460">
        <v>-0.28169116578307934</v>
      </c>
      <c r="E35" s="2460">
        <v>1.8866761742901503</v>
      </c>
      <c r="F35" s="2460">
        <v>12.443148502838421</v>
      </c>
      <c r="G35" s="2456">
        <v>-0.23</v>
      </c>
      <c r="H35" s="3041">
        <v>0.58436476245166191</v>
      </c>
      <c r="I35" s="3045">
        <v>17.832914567772605</v>
      </c>
      <c r="J35" s="588"/>
      <c r="K35" s="588"/>
      <c r="L35" s="588"/>
      <c r="M35" s="588"/>
      <c r="N35" s="588"/>
      <c r="O35" s="437"/>
      <c r="P35" s="437"/>
      <c r="Q35" s="437"/>
      <c r="R35" s="437"/>
      <c r="S35" s="437"/>
      <c r="T35" s="437"/>
      <c r="U35" s="437"/>
    </row>
    <row r="36" spans="2:21">
      <c r="B36" s="2447" t="s">
        <v>160</v>
      </c>
      <c r="C36" s="2461">
        <v>64.617108823485196</v>
      </c>
      <c r="D36" s="2458">
        <v>66.073867582872296</v>
      </c>
      <c r="E36" s="2458">
        <v>64.942320028604158</v>
      </c>
      <c r="F36" s="2458">
        <v>66.268536825736518</v>
      </c>
      <c r="G36" s="3087">
        <f>(G25/G14)*100</f>
        <v>49.161294144773002</v>
      </c>
      <c r="H36" s="3088">
        <f>(H25/H14)*100</f>
        <v>55.497737887823703</v>
      </c>
      <c r="I36" s="2459">
        <f>(I25/I14)*100</f>
        <v>64.044115417025878</v>
      </c>
      <c r="J36" s="588"/>
      <c r="K36" s="588"/>
      <c r="L36" s="588"/>
      <c r="M36" s="588"/>
      <c r="N36" s="588"/>
      <c r="O36" s="437"/>
      <c r="P36" s="437"/>
      <c r="Q36" s="437"/>
      <c r="R36" s="437"/>
      <c r="S36" s="437"/>
      <c r="T36" s="437"/>
      <c r="U36" s="437"/>
    </row>
    <row r="37" spans="2:21">
      <c r="I37" s="396"/>
      <c r="J37" s="396"/>
      <c r="K37" s="396"/>
      <c r="L37" s="396"/>
      <c r="M37" s="396"/>
    </row>
    <row r="38" spans="2:21">
      <c r="B38" s="3452" t="s">
        <v>531</v>
      </c>
      <c r="C38" s="3482" t="s">
        <v>532</v>
      </c>
      <c r="D38" s="3483"/>
      <c r="E38" s="3484"/>
      <c r="F38" s="3484"/>
      <c r="G38" s="3484"/>
      <c r="H38" s="3484"/>
      <c r="I38" s="3484"/>
      <c r="J38" s="396"/>
      <c r="K38" s="396"/>
      <c r="L38" s="396"/>
      <c r="M38" s="396"/>
      <c r="N38" s="396"/>
    </row>
    <row r="39" spans="2:21">
      <c r="B39" s="3454"/>
      <c r="C39" s="1555">
        <v>2016</v>
      </c>
      <c r="D39" s="1573">
        <v>2017</v>
      </c>
      <c r="E39" s="1551">
        <f>E28</f>
        <v>2018</v>
      </c>
      <c r="F39" s="1571">
        <v>2019</v>
      </c>
      <c r="G39" s="1571">
        <v>2020</v>
      </c>
      <c r="H39" s="1568" t="s">
        <v>138</v>
      </c>
      <c r="I39" s="1568" t="s">
        <v>139</v>
      </c>
      <c r="J39" s="396"/>
      <c r="K39" s="396"/>
      <c r="L39" s="396"/>
      <c r="M39" s="396"/>
      <c r="N39" s="396"/>
    </row>
    <row r="40" spans="2:21" ht="39.6">
      <c r="B40" s="1574" t="s">
        <v>533</v>
      </c>
      <c r="C40" s="1717">
        <v>21421927.896493029</v>
      </c>
      <c r="D40" s="1665">
        <v>24491746.306092836</v>
      </c>
      <c r="E40" s="1666">
        <v>29490543.775128148</v>
      </c>
      <c r="F40" s="1665">
        <v>31855625.256805886</v>
      </c>
      <c r="G40" s="1665">
        <v>32858828</v>
      </c>
      <c r="H40" s="1572">
        <v>33047000.798075043</v>
      </c>
      <c r="I40" s="1570">
        <v>41474495.483918563</v>
      </c>
      <c r="J40" s="396"/>
      <c r="K40" s="396"/>
      <c r="L40" s="396"/>
      <c r="M40" s="396"/>
      <c r="N40" s="396"/>
    </row>
    <row r="41" spans="2:21">
      <c r="B41" s="2420" t="s">
        <v>422</v>
      </c>
      <c r="C41" s="1717">
        <v>653705.95096000005</v>
      </c>
      <c r="D41" s="2445">
        <v>732786.03422000003</v>
      </c>
      <c r="E41" s="2445">
        <v>842514.85986999993</v>
      </c>
      <c r="F41" s="2445">
        <v>1411974.0153099999</v>
      </c>
      <c r="G41" s="2445">
        <v>1102435</v>
      </c>
      <c r="H41" s="1537">
        <v>1091603</v>
      </c>
      <c r="I41" s="1538">
        <v>1273707</v>
      </c>
      <c r="J41" s="396"/>
      <c r="K41" s="396"/>
      <c r="L41" s="396"/>
      <c r="M41" s="396"/>
      <c r="N41" s="396"/>
    </row>
    <row r="42" spans="2:21">
      <c r="B42" s="2462" t="s">
        <v>160</v>
      </c>
      <c r="C42" s="1719">
        <f t="shared" ref="C42:I42" si="0">SUM(C40:C41)</f>
        <v>22075633.847453028</v>
      </c>
      <c r="D42" s="2449">
        <f t="shared" si="0"/>
        <v>25224532.340312835</v>
      </c>
      <c r="E42" s="2449">
        <f t="shared" si="0"/>
        <v>30333058.63499815</v>
      </c>
      <c r="F42" s="2449">
        <f t="shared" si="0"/>
        <v>33267599.272115886</v>
      </c>
      <c r="G42" s="2449">
        <f t="shared" si="0"/>
        <v>33961263</v>
      </c>
      <c r="H42" s="2400">
        <f>SUM(H40:H41)</f>
        <v>34138603.798075043</v>
      </c>
      <c r="I42" s="2402">
        <f t="shared" si="0"/>
        <v>42748202.483918563</v>
      </c>
      <c r="J42" s="396"/>
      <c r="K42" s="396"/>
      <c r="L42" s="396"/>
      <c r="M42" s="396"/>
      <c r="N42" s="396"/>
    </row>
    <row r="43" spans="2:21">
      <c r="B43" s="571"/>
      <c r="C43" s="383"/>
      <c r="D43" s="383"/>
      <c r="E43" s="383"/>
      <c r="F43" s="383"/>
      <c r="G43" s="383"/>
      <c r="H43" s="383"/>
      <c r="I43" s="396"/>
      <c r="J43" s="396"/>
      <c r="K43" s="396"/>
      <c r="L43" s="396"/>
      <c r="M43" s="396"/>
      <c r="N43" s="396"/>
    </row>
    <row r="44" spans="2:21">
      <c r="B44" s="3475" t="s">
        <v>531</v>
      </c>
      <c r="C44" s="3480" t="s">
        <v>534</v>
      </c>
      <c r="D44" s="3481"/>
      <c r="E44" s="3481"/>
      <c r="F44" s="3481"/>
      <c r="G44" s="3481"/>
      <c r="H44" s="3481"/>
      <c r="I44" s="3481"/>
      <c r="J44" s="396"/>
      <c r="K44" s="396"/>
      <c r="L44" s="396"/>
      <c r="M44" s="396"/>
      <c r="N44" s="396"/>
      <c r="O44" s="396"/>
    </row>
    <row r="45" spans="2:21">
      <c r="B45" s="3476"/>
      <c r="C45" s="1567">
        <v>2016</v>
      </c>
      <c r="D45" s="1551">
        <v>2017</v>
      </c>
      <c r="E45" s="1551">
        <f>E39</f>
        <v>2018</v>
      </c>
      <c r="F45" s="1551">
        <v>2019</v>
      </c>
      <c r="G45" s="1564">
        <v>2020</v>
      </c>
      <c r="H45" s="1569" t="s">
        <v>138</v>
      </c>
      <c r="I45" s="1569" t="s">
        <v>139</v>
      </c>
      <c r="J45" s="396"/>
      <c r="K45" s="396"/>
      <c r="L45" s="396"/>
      <c r="M45" s="396"/>
      <c r="N45" s="396"/>
      <c r="O45" s="396"/>
    </row>
    <row r="46" spans="2:21" ht="39.6">
      <c r="B46" s="1565" t="s">
        <v>535</v>
      </c>
      <c r="C46" s="1731">
        <v>36.084137602860025</v>
      </c>
      <c r="D46" s="1561">
        <v>35.69196140977327</v>
      </c>
      <c r="E46" s="1542">
        <v>38.383588068923878</v>
      </c>
      <c r="F46" s="1561">
        <v>38.763554707334826</v>
      </c>
      <c r="G46" s="1561">
        <v>40.9</v>
      </c>
      <c r="H46" s="3070">
        <v>40.964555467900915</v>
      </c>
      <c r="I46" s="3046">
        <v>46.804050103429297</v>
      </c>
      <c r="J46" s="396"/>
      <c r="K46" s="396"/>
      <c r="L46" s="396"/>
      <c r="M46" s="396"/>
      <c r="N46" s="396"/>
      <c r="O46" s="396"/>
    </row>
    <row r="47" spans="2:21" ht="26.45">
      <c r="B47" s="1815" t="s">
        <v>536</v>
      </c>
      <c r="C47" s="1731">
        <v>35.241563937913348</v>
      </c>
      <c r="D47" s="1731">
        <v>34.862614533765004</v>
      </c>
      <c r="E47" s="1731">
        <v>37.511677977558904</v>
      </c>
      <c r="F47" s="1731">
        <v>37.912632977952335</v>
      </c>
      <c r="G47" s="1731">
        <v>39.270000000000003</v>
      </c>
      <c r="H47" s="3070">
        <v>39.245837224607286</v>
      </c>
      <c r="I47" s="3046">
        <v>44.522438480954676</v>
      </c>
      <c r="J47" s="396"/>
      <c r="K47" s="396"/>
      <c r="L47" s="396"/>
      <c r="M47" s="396"/>
    </row>
    <row r="48" spans="2:21">
      <c r="B48" s="236"/>
      <c r="C48" s="437"/>
      <c r="D48" s="437"/>
      <c r="E48" s="437"/>
      <c r="F48" s="437"/>
      <c r="G48" s="437"/>
      <c r="H48" s="437"/>
      <c r="I48" s="396"/>
      <c r="J48" s="396"/>
      <c r="K48" s="396"/>
      <c r="L48" s="396"/>
      <c r="M48" s="396"/>
    </row>
    <row r="49" spans="2:20">
      <c r="B49" s="3453" t="s">
        <v>531</v>
      </c>
      <c r="C49" s="3477" t="s">
        <v>537</v>
      </c>
      <c r="D49" s="3478"/>
      <c r="E49" s="3478"/>
      <c r="F49" s="3478"/>
      <c r="G49" s="3479"/>
      <c r="H49" s="3478"/>
      <c r="I49" s="3478"/>
      <c r="J49" s="396"/>
      <c r="K49" s="396"/>
      <c r="L49" s="396"/>
      <c r="M49" s="396"/>
    </row>
    <row r="50" spans="2:20">
      <c r="B50" s="3454"/>
      <c r="C50" s="1555">
        <v>2016</v>
      </c>
      <c r="D50" s="1548">
        <v>2017</v>
      </c>
      <c r="E50" s="1551">
        <f>E45</f>
        <v>2018</v>
      </c>
      <c r="F50" s="1551">
        <v>2019</v>
      </c>
      <c r="G50" s="1563">
        <v>2020</v>
      </c>
      <c r="H50" s="1562" t="s">
        <v>538</v>
      </c>
      <c r="I50" s="1562" t="s">
        <v>139</v>
      </c>
      <c r="J50" s="396"/>
      <c r="K50" s="396"/>
      <c r="L50" s="396"/>
      <c r="M50" s="396"/>
    </row>
    <row r="51" spans="2:20" ht="39.6">
      <c r="B51" s="1566" t="s">
        <v>539</v>
      </c>
      <c r="C51" s="1731">
        <v>104.20840089013221</v>
      </c>
      <c r="D51" s="1561">
        <v>105.37692975813678</v>
      </c>
      <c r="E51" s="1561">
        <v>106.63486207867734</v>
      </c>
      <c r="F51" s="1561">
        <v>108.67947581232372</v>
      </c>
      <c r="G51" s="1561">
        <v>93.85</v>
      </c>
      <c r="H51" s="3071">
        <v>100.76047627317826</v>
      </c>
      <c r="I51" s="3047">
        <v>114.70822158916904</v>
      </c>
      <c r="J51" s="396"/>
      <c r="K51" s="396"/>
      <c r="L51" s="396"/>
      <c r="M51" s="396"/>
    </row>
    <row r="52" spans="2:20" ht="26.45">
      <c r="B52" s="1815" t="s">
        <v>540</v>
      </c>
      <c r="C52" s="1731">
        <v>99.858672761398537</v>
      </c>
      <c r="D52" s="2463">
        <v>100.936481697476</v>
      </c>
      <c r="E52" s="2463">
        <v>102.45399800616306</v>
      </c>
      <c r="F52" s="1731">
        <v>104.18116980368885</v>
      </c>
      <c r="G52" s="1731">
        <v>88.43</v>
      </c>
      <c r="H52" s="3070">
        <v>94.743575112430989</v>
      </c>
      <c r="I52" s="3046">
        <v>108.566553897981</v>
      </c>
      <c r="J52" s="396"/>
      <c r="K52" s="396"/>
      <c r="L52" s="396"/>
      <c r="M52" s="396"/>
    </row>
    <row r="53" spans="2:20">
      <c r="C53" s="437"/>
      <c r="D53" s="437"/>
      <c r="E53" s="437"/>
      <c r="F53" s="437"/>
      <c r="I53" s="384"/>
      <c r="L53" s="384"/>
    </row>
    <row r="54" spans="2:20">
      <c r="B54" s="384"/>
      <c r="C54" s="384"/>
      <c r="D54" s="384"/>
      <c r="E54" s="388"/>
      <c r="F54" s="388"/>
      <c r="I54" s="292">
        <v>152</v>
      </c>
      <c r="J54" s="330"/>
      <c r="K54" s="330"/>
      <c r="L54" s="330"/>
      <c r="M54" s="330"/>
      <c r="N54" s="330"/>
      <c r="O54" s="330"/>
      <c r="P54" s="330"/>
      <c r="Q54" s="330"/>
      <c r="R54" s="330"/>
      <c r="S54" s="330"/>
      <c r="T54" s="330"/>
    </row>
    <row r="55" spans="2:20">
      <c r="B55" s="384"/>
      <c r="C55" s="642"/>
      <c r="D55" s="642"/>
      <c r="E55" s="643"/>
      <c r="F55" s="643"/>
      <c r="G55" s="588"/>
      <c r="H55" s="588"/>
      <c r="I55" s="3225"/>
      <c r="J55" s="3225"/>
      <c r="K55" s="3225"/>
      <c r="L55" s="3225"/>
      <c r="M55" s="3225"/>
      <c r="N55" s="3225"/>
      <c r="O55" s="3225"/>
      <c r="P55" s="3225"/>
      <c r="Q55" s="3225"/>
      <c r="R55" s="3225"/>
      <c r="S55" s="3225"/>
      <c r="T55" s="3225"/>
    </row>
    <row r="56" spans="2:20">
      <c r="B56" s="3474"/>
      <c r="C56" s="3474"/>
      <c r="D56" s="3474"/>
      <c r="E56" s="572"/>
      <c r="F56" s="572"/>
    </row>
    <row r="57" spans="2:20">
      <c r="B57" s="3225"/>
      <c r="C57" s="3225"/>
      <c r="D57" s="3225"/>
      <c r="E57" s="388"/>
      <c r="F57" s="388"/>
    </row>
    <row r="58" spans="2:20">
      <c r="C58" s="437"/>
      <c r="D58" s="437"/>
      <c r="E58" s="437"/>
      <c r="F58" s="437"/>
      <c r="G58" s="437"/>
      <c r="H58" s="437"/>
    </row>
    <row r="60" spans="2:20">
      <c r="B60" s="3225"/>
      <c r="C60" s="3225"/>
      <c r="D60" s="3225"/>
      <c r="E60" s="3225"/>
      <c r="F60" s="3225"/>
      <c r="G60" s="3225"/>
      <c r="H60" s="3225"/>
      <c r="I60" s="3225"/>
      <c r="J60" s="3225"/>
      <c r="K60" s="3225"/>
    </row>
    <row r="61" spans="2:20">
      <c r="B61" s="3225"/>
      <c r="C61" s="3225"/>
      <c r="D61" s="3225"/>
      <c r="E61" s="3225"/>
      <c r="F61" s="3225"/>
      <c r="G61" s="3225"/>
      <c r="H61" s="3225"/>
      <c r="I61" s="3225"/>
      <c r="J61" s="3225"/>
      <c r="K61" s="3225"/>
    </row>
    <row r="62" spans="2:20">
      <c r="B62" s="3226"/>
      <c r="C62" s="3226"/>
      <c r="D62" s="3226"/>
      <c r="E62" s="3226"/>
      <c r="F62" s="3226"/>
      <c r="G62" s="3226"/>
      <c r="H62" s="3226"/>
      <c r="I62" s="3226"/>
      <c r="J62" s="3226"/>
      <c r="K62" s="3226"/>
    </row>
    <row r="63" spans="2:20">
      <c r="B63" s="3225"/>
      <c r="C63" s="3225"/>
      <c r="D63" s="3225"/>
      <c r="E63" s="3225"/>
      <c r="F63" s="3225"/>
      <c r="G63" s="3225"/>
      <c r="H63" s="3225"/>
      <c r="I63" s="3225"/>
      <c r="J63" s="3225"/>
      <c r="K63" s="3225"/>
    </row>
  </sheetData>
  <mergeCells count="19">
    <mergeCell ref="B27:B28"/>
    <mergeCell ref="B2:G3"/>
    <mergeCell ref="B5:B6"/>
    <mergeCell ref="B16:B17"/>
    <mergeCell ref="C5:I5"/>
    <mergeCell ref="C27:I27"/>
    <mergeCell ref="C16:I16"/>
    <mergeCell ref="B38:B39"/>
    <mergeCell ref="B44:B45"/>
    <mergeCell ref="B49:B50"/>
    <mergeCell ref="C49:I49"/>
    <mergeCell ref="C44:I44"/>
    <mergeCell ref="C38:I38"/>
    <mergeCell ref="B62:K62"/>
    <mergeCell ref="B63:K63"/>
    <mergeCell ref="I55:T55"/>
    <mergeCell ref="B56:D56"/>
    <mergeCell ref="B57:D57"/>
    <mergeCell ref="B60:K61"/>
  </mergeCells>
  <pageMargins left="0.7" right="0.7" top="0.73" bottom="0.75" header="0.3" footer="0.3"/>
  <pageSetup paperSize="9" scale="58"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FF6699"/>
    <pageSetUpPr autoPageBreaks="0"/>
  </sheetPr>
  <dimension ref="B1:Y173"/>
  <sheetViews>
    <sheetView showGridLines="0" view="pageBreakPreview" topLeftCell="A40" zoomScale="85" zoomScaleNormal="85" zoomScaleSheetLayoutView="85" workbookViewId="0">
      <pane xSplit="2" topLeftCell="C1" activePane="topRight" state="frozen"/>
      <selection pane="topRight" activeCell="H25" sqref="H25"/>
    </sheetView>
  </sheetViews>
  <sheetFormatPr defaultColWidth="9.140625" defaultRowHeight="13.15"/>
  <cols>
    <col min="1" max="1" width="3.28515625" style="292" customWidth="1"/>
    <col min="2" max="2" width="23.85546875" style="471" customWidth="1"/>
    <col min="3" max="7" width="20.5703125" style="292" customWidth="1"/>
    <col min="8" max="8" width="20.5703125" style="52" customWidth="1"/>
    <col min="9" max="9" width="16.140625" style="52" customWidth="1"/>
    <col min="10" max="10" width="18.5703125" style="292" customWidth="1"/>
    <col min="11" max="11" width="13.85546875" style="292" customWidth="1"/>
    <col min="12" max="12" width="13.140625" style="292" customWidth="1"/>
    <col min="13" max="13" width="13.28515625" style="292" customWidth="1"/>
    <col min="14" max="15" width="13.28515625" style="292" bestFit="1" customWidth="1"/>
    <col min="16" max="16" width="11.28515625" style="292" customWidth="1"/>
    <col min="17" max="17" width="13.7109375" style="292" bestFit="1" customWidth="1"/>
    <col min="18" max="18" width="14.7109375" style="292" bestFit="1" customWidth="1"/>
    <col min="19" max="19" width="12.85546875" style="292" customWidth="1"/>
    <col min="20" max="20" width="13.140625" style="292" customWidth="1"/>
    <col min="21" max="21" width="12.140625" style="292" customWidth="1"/>
    <col min="22" max="22" width="11.28515625" style="292" customWidth="1"/>
    <col min="23" max="23" width="14.7109375" style="292" customWidth="1"/>
    <col min="24" max="24" width="16.42578125" style="292" customWidth="1"/>
    <col min="25" max="25" width="14.5703125" style="385" customWidth="1"/>
    <col min="26" max="16384" width="9.140625" style="292"/>
  </cols>
  <sheetData>
    <row r="1" spans="2:9">
      <c r="B1" s="292"/>
    </row>
    <row r="2" spans="2:9">
      <c r="B2" s="3198" t="s">
        <v>541</v>
      </c>
      <c r="C2" s="3198"/>
      <c r="D2" s="3198"/>
      <c r="E2" s="3198"/>
      <c r="F2" s="3198"/>
      <c r="G2" s="3198"/>
      <c r="H2" s="3198"/>
      <c r="I2" s="458"/>
    </row>
    <row r="3" spans="2:9">
      <c r="B3" s="492"/>
      <c r="C3" s="492"/>
      <c r="D3" s="492"/>
      <c r="E3" s="492"/>
      <c r="F3" s="492"/>
      <c r="G3" s="492"/>
      <c r="H3" s="492"/>
      <c r="I3" s="458"/>
    </row>
    <row r="4" spans="2:9">
      <c r="B4" s="3450" t="s">
        <v>542</v>
      </c>
      <c r="C4" s="3450"/>
      <c r="D4" s="3450"/>
      <c r="E4" s="3450"/>
      <c r="F4" s="3450"/>
      <c r="G4" s="458"/>
      <c r="H4" s="443"/>
      <c r="I4" s="458"/>
    </row>
    <row r="5" spans="2:9">
      <c r="H5" s="532"/>
      <c r="I5" s="458"/>
    </row>
    <row r="6" spans="2:9">
      <c r="B6" s="3497" t="s">
        <v>84</v>
      </c>
      <c r="C6" s="3460" t="s">
        <v>520</v>
      </c>
      <c r="D6" s="3496" t="s">
        <v>521</v>
      </c>
      <c r="E6" s="3496" t="s">
        <v>522</v>
      </c>
      <c r="F6" s="3460" t="s">
        <v>439</v>
      </c>
      <c r="G6" s="3460" t="s">
        <v>440</v>
      </c>
      <c r="H6" s="3496" t="s">
        <v>543</v>
      </c>
      <c r="I6" s="458"/>
    </row>
    <row r="7" spans="2:9">
      <c r="B7" s="3497"/>
      <c r="C7" s="3460"/>
      <c r="D7" s="3496"/>
      <c r="E7" s="3496"/>
      <c r="F7" s="3460"/>
      <c r="G7" s="3460"/>
      <c r="H7" s="3496"/>
      <c r="I7" s="458"/>
    </row>
    <row r="8" spans="2:9">
      <c r="B8" s="2420" t="s">
        <v>91</v>
      </c>
      <c r="C8" s="1822">
        <v>1232389.1031499999</v>
      </c>
      <c r="D8" s="1822">
        <v>307534.01954999991</v>
      </c>
      <c r="E8" s="1822">
        <v>8251787.8343000095</v>
      </c>
      <c r="F8" s="1822">
        <v>1779559.25762</v>
      </c>
      <c r="G8" s="1822">
        <v>464979.92807999975</v>
      </c>
      <c r="H8" s="2464">
        <f>C8+D8+E8+F8+G8</f>
        <v>12036250.142700009</v>
      </c>
      <c r="I8" s="458"/>
    </row>
    <row r="9" spans="2:9">
      <c r="B9" s="2420" t="s">
        <v>94</v>
      </c>
      <c r="C9" s="1822">
        <v>22088.920905262141</v>
      </c>
      <c r="D9" s="1822">
        <v>41771.210267356873</v>
      </c>
      <c r="E9" s="1822">
        <v>1424977.9717465031</v>
      </c>
      <c r="F9" s="1822">
        <v>515109.0124498136</v>
      </c>
      <c r="G9" s="1822">
        <v>56276.347219377349</v>
      </c>
      <c r="H9" s="2464">
        <f>C9+D9+E9+F9+G9</f>
        <v>2060223.462588313</v>
      </c>
      <c r="I9" s="458"/>
    </row>
    <row r="10" spans="2:9">
      <c r="B10" s="2420" t="s">
        <v>97</v>
      </c>
      <c r="C10" s="1822">
        <v>447015.00000000326</v>
      </c>
      <c r="D10" s="1822">
        <v>432903.99999999994</v>
      </c>
      <c r="E10" s="1822">
        <v>10380604</v>
      </c>
      <c r="F10" s="1822">
        <v>2007126</v>
      </c>
      <c r="G10" s="1822">
        <v>1404277.0000364315</v>
      </c>
      <c r="H10" s="2464">
        <f>C10+D10+E10+F10+G10</f>
        <v>14671926.000036435</v>
      </c>
      <c r="I10" s="458"/>
    </row>
    <row r="11" spans="2:9">
      <c r="B11" s="2420" t="s">
        <v>128</v>
      </c>
      <c r="C11" s="1822">
        <v>444049</v>
      </c>
      <c r="D11" s="1822">
        <v>39637</v>
      </c>
      <c r="E11" s="1822">
        <v>2736026</v>
      </c>
      <c r="F11" s="1822">
        <v>1269106</v>
      </c>
      <c r="G11" s="1822">
        <v>156265</v>
      </c>
      <c r="H11" s="2464">
        <f>C11+D11+E11+F11+G11</f>
        <v>4645083</v>
      </c>
      <c r="I11" s="458"/>
    </row>
    <row r="12" spans="2:9">
      <c r="B12" s="2420" t="s">
        <v>101</v>
      </c>
      <c r="C12" s="1822">
        <v>44321</v>
      </c>
      <c r="D12" s="1822">
        <v>14459</v>
      </c>
      <c r="E12" s="1822">
        <v>3688975</v>
      </c>
      <c r="F12" s="1822">
        <v>172650</v>
      </c>
      <c r="G12" s="1822">
        <v>240833</v>
      </c>
      <c r="H12" s="2464">
        <f>C12+D12+E12+F12+G12</f>
        <v>4161238</v>
      </c>
      <c r="I12" s="458"/>
    </row>
    <row r="13" spans="2:9">
      <c r="B13" s="2420" t="s">
        <v>102</v>
      </c>
      <c r="C13" s="1822">
        <v>332725</v>
      </c>
      <c r="D13" s="1822">
        <v>134672</v>
      </c>
      <c r="E13" s="1822">
        <v>4979278</v>
      </c>
      <c r="F13" s="1822">
        <v>2262048</v>
      </c>
      <c r="G13" s="1822">
        <v>240031</v>
      </c>
      <c r="H13" s="2464">
        <f t="shared" ref="H13:H21" si="0">C13+D13+E13+F13+G13</f>
        <v>7948754</v>
      </c>
      <c r="I13" s="458"/>
    </row>
    <row r="14" spans="2:9">
      <c r="B14" s="2420" t="s">
        <v>104</v>
      </c>
      <c r="C14" s="1822">
        <v>47433</v>
      </c>
      <c r="D14" s="1822">
        <v>11752</v>
      </c>
      <c r="E14" s="1822">
        <v>3898309</v>
      </c>
      <c r="F14" s="1822">
        <v>731049</v>
      </c>
      <c r="G14" s="1822">
        <v>55219</v>
      </c>
      <c r="H14" s="2464">
        <f t="shared" si="0"/>
        <v>4743762</v>
      </c>
      <c r="I14" s="458"/>
    </row>
    <row r="15" spans="2:9">
      <c r="B15" s="2420" t="s">
        <v>108</v>
      </c>
      <c r="C15" s="1822">
        <v>569841</v>
      </c>
      <c r="D15" s="1822">
        <v>20993</v>
      </c>
      <c r="E15" s="1822">
        <v>5927091</v>
      </c>
      <c r="F15" s="2396"/>
      <c r="G15" s="1822">
        <v>105881</v>
      </c>
      <c r="H15" s="2464">
        <f t="shared" si="0"/>
        <v>6623806</v>
      </c>
      <c r="I15" s="458"/>
    </row>
    <row r="16" spans="2:9">
      <c r="B16" s="2420" t="s">
        <v>109</v>
      </c>
      <c r="C16" s="1822">
        <v>3642</v>
      </c>
      <c r="D16" s="1822">
        <v>2180</v>
      </c>
      <c r="E16" s="1822">
        <v>311443</v>
      </c>
      <c r="F16" s="1822">
        <v>27737</v>
      </c>
      <c r="G16" s="1822">
        <v>13462</v>
      </c>
      <c r="H16" s="2464">
        <f t="shared" si="0"/>
        <v>358464</v>
      </c>
      <c r="I16" s="458"/>
    </row>
    <row r="17" spans="2:10">
      <c r="B17" s="2420" t="s">
        <v>110</v>
      </c>
      <c r="C17" s="1822">
        <v>5175</v>
      </c>
      <c r="D17" s="1822">
        <v>401</v>
      </c>
      <c r="E17" s="1822">
        <v>121484</v>
      </c>
      <c r="F17" s="1822">
        <v>6837142</v>
      </c>
      <c r="G17" s="1822">
        <v>159290</v>
      </c>
      <c r="H17" s="2464">
        <f>C17+D17+E17+F17+G17</f>
        <v>7123492</v>
      </c>
      <c r="I17" s="458"/>
    </row>
    <row r="18" spans="2:10">
      <c r="B18" s="2420" t="s">
        <v>111</v>
      </c>
      <c r="C18" s="1822">
        <v>36884.816859246275</v>
      </c>
      <c r="D18" s="1822">
        <v>5533.4500404697592</v>
      </c>
      <c r="E18" s="1822">
        <v>1615454.2993231588</v>
      </c>
      <c r="F18" s="1822">
        <v>91400.000615833429</v>
      </c>
      <c r="G18" s="1822">
        <v>53850.135484502942</v>
      </c>
      <c r="H18" s="2464">
        <f t="shared" si="0"/>
        <v>1803122.7023232111</v>
      </c>
      <c r="I18" s="458"/>
    </row>
    <row r="19" spans="2:10">
      <c r="B19" s="2420" t="s">
        <v>112</v>
      </c>
      <c r="C19" s="1822">
        <v>87768.679000000018</v>
      </c>
      <c r="D19" s="1822">
        <v>17819.585000000006</v>
      </c>
      <c r="E19" s="1822">
        <v>4574524.585</v>
      </c>
      <c r="F19" s="1822">
        <v>161760.01856999999</v>
      </c>
      <c r="G19" s="1822">
        <v>149891.03805999842</v>
      </c>
      <c r="H19" s="2464">
        <f t="shared" si="0"/>
        <v>4991763.905629999</v>
      </c>
      <c r="I19" s="458"/>
    </row>
    <row r="20" spans="2:10">
      <c r="B20" s="2420" t="s">
        <v>114</v>
      </c>
      <c r="C20" s="1822">
        <v>6706</v>
      </c>
      <c r="D20" s="1822">
        <v>-1313</v>
      </c>
      <c r="E20" s="1822">
        <v>687443</v>
      </c>
      <c r="F20" s="1822">
        <v>17223</v>
      </c>
      <c r="G20" s="1822">
        <v>78379</v>
      </c>
      <c r="H20" s="2464">
        <f t="shared" si="0"/>
        <v>788438</v>
      </c>
      <c r="I20" s="458"/>
    </row>
    <row r="21" spans="2:10">
      <c r="B21" s="2420" t="s">
        <v>115</v>
      </c>
      <c r="C21" s="1822">
        <v>364667</v>
      </c>
      <c r="D21" s="1822">
        <v>220309</v>
      </c>
      <c r="E21" s="1822">
        <v>11896340</v>
      </c>
      <c r="F21" s="1822">
        <v>3163912</v>
      </c>
      <c r="G21" s="1822">
        <v>1011497</v>
      </c>
      <c r="H21" s="2464">
        <f t="shared" si="0"/>
        <v>16656725</v>
      </c>
      <c r="I21" s="458"/>
    </row>
    <row r="22" spans="2:10">
      <c r="B22" s="2466" t="s">
        <v>544</v>
      </c>
      <c r="C22" s="2402">
        <f>SUM(C8:C21)</f>
        <v>3644705.5199145116</v>
      </c>
      <c r="D22" s="2402">
        <f>SUM(D8:D21)</f>
        <v>1248652.2648578263</v>
      </c>
      <c r="E22" s="2402">
        <f>SUM(E8:E21)</f>
        <v>60493737.690369673</v>
      </c>
      <c r="F22" s="2402">
        <f>SUM(F8:F21)</f>
        <v>19035821.289255649</v>
      </c>
      <c r="G22" s="2402">
        <f>SUM(G8:G21)</f>
        <v>4190131.4488803097</v>
      </c>
      <c r="H22" s="2464">
        <f>C22+D22+E22+F22+G22</f>
        <v>88613048.213277966</v>
      </c>
      <c r="I22" s="458"/>
    </row>
    <row r="23" spans="2:10">
      <c r="B23" s="2436" t="s">
        <v>422</v>
      </c>
      <c r="C23" s="2401"/>
      <c r="D23" s="2401"/>
      <c r="E23" s="2401"/>
      <c r="F23" s="2401"/>
      <c r="G23" s="2401"/>
      <c r="H23" s="2464">
        <v>7401914</v>
      </c>
      <c r="I23" s="458"/>
    </row>
    <row r="24" spans="2:10">
      <c r="B24" s="2466" t="s">
        <v>118</v>
      </c>
      <c r="C24" s="2402">
        <f>C22+C23</f>
        <v>3644705.5199145116</v>
      </c>
      <c r="D24" s="2402">
        <f>D22+D23</f>
        <v>1248652.2648578263</v>
      </c>
      <c r="E24" s="2402">
        <f>E22+E23</f>
        <v>60493737.690369673</v>
      </c>
      <c r="F24" s="2402">
        <f>F22+F23</f>
        <v>19035821.289255649</v>
      </c>
      <c r="G24" s="2402">
        <f>G22+G23</f>
        <v>4190131.4488803097</v>
      </c>
      <c r="H24" s="2464">
        <f>SUM(H22:H23)</f>
        <v>96014962.213277966</v>
      </c>
      <c r="I24" s="458"/>
    </row>
    <row r="25" spans="2:10" ht="12.6" customHeight="1">
      <c r="B25" s="492"/>
      <c r="C25" s="492"/>
      <c r="D25" s="492"/>
      <c r="E25" s="492"/>
      <c r="F25" s="492"/>
      <c r="G25" s="492"/>
      <c r="H25" s="492"/>
      <c r="I25" s="458"/>
    </row>
    <row r="26" spans="2:10">
      <c r="B26" s="492"/>
      <c r="C26" s="492"/>
      <c r="D26" s="492"/>
      <c r="E26" s="492"/>
      <c r="F26" s="492"/>
      <c r="G26" s="492"/>
      <c r="H26" s="492"/>
      <c r="I26" s="458"/>
    </row>
    <row r="27" spans="2:10">
      <c r="B27" s="3450" t="s">
        <v>545</v>
      </c>
      <c r="C27" s="3450"/>
      <c r="D27" s="3450"/>
      <c r="E27" s="3450"/>
      <c r="F27" s="3450"/>
      <c r="G27" s="458"/>
      <c r="H27" s="443"/>
      <c r="I27" s="458"/>
    </row>
    <row r="28" spans="2:10">
      <c r="H28" s="532"/>
      <c r="I28" s="458"/>
    </row>
    <row r="29" spans="2:10">
      <c r="B29" s="3497" t="s">
        <v>84</v>
      </c>
      <c r="C29" s="3460" t="s">
        <v>520</v>
      </c>
      <c r="D29" s="3496" t="s">
        <v>521</v>
      </c>
      <c r="E29" s="3496" t="s">
        <v>522</v>
      </c>
      <c r="F29" s="3460" t="s">
        <v>439</v>
      </c>
      <c r="G29" s="3460" t="s">
        <v>440</v>
      </c>
      <c r="H29" s="3496" t="s">
        <v>543</v>
      </c>
      <c r="I29" s="458"/>
    </row>
    <row r="30" spans="2:10">
      <c r="B30" s="3497"/>
      <c r="C30" s="3460"/>
      <c r="D30" s="3496"/>
      <c r="E30" s="3496"/>
      <c r="F30" s="3460"/>
      <c r="G30" s="3460"/>
      <c r="H30" s="3496"/>
      <c r="I30" s="458"/>
    </row>
    <row r="31" spans="2:10">
      <c r="B31" s="2420" t="s">
        <v>91</v>
      </c>
      <c r="C31" s="1822">
        <v>872356</v>
      </c>
      <c r="D31" s="1822">
        <v>337305</v>
      </c>
      <c r="E31" s="1822">
        <v>8425647</v>
      </c>
      <c r="F31" s="1822">
        <v>1234101</v>
      </c>
      <c r="G31" s="1822">
        <v>471750</v>
      </c>
      <c r="H31" s="2464">
        <f>C31+D31+E31+F31+G31</f>
        <v>11341159</v>
      </c>
      <c r="I31" s="458"/>
      <c r="J31" s="396"/>
    </row>
    <row r="32" spans="2:10">
      <c r="B32" s="2420" t="s">
        <v>94</v>
      </c>
      <c r="C32" s="1822">
        <v>-6667</v>
      </c>
      <c r="D32" s="1822">
        <v>107155</v>
      </c>
      <c r="E32" s="1822">
        <v>1059034</v>
      </c>
      <c r="F32" s="1822">
        <v>359665</v>
      </c>
      <c r="G32" s="1822">
        <v>86948</v>
      </c>
      <c r="H32" s="2464">
        <f>C32+D32+E32+F32+G32</f>
        <v>1606135</v>
      </c>
      <c r="I32" s="458"/>
      <c r="J32" s="396"/>
    </row>
    <row r="33" spans="2:10">
      <c r="B33" s="2420" t="s">
        <v>97</v>
      </c>
      <c r="C33" s="1824">
        <v>158201</v>
      </c>
      <c r="D33" s="1822">
        <v>363285</v>
      </c>
      <c r="E33" s="1822">
        <v>9521229</v>
      </c>
      <c r="F33" s="1822">
        <v>1941894</v>
      </c>
      <c r="G33" s="1822">
        <v>1268913</v>
      </c>
      <c r="H33" s="2464">
        <f>C33+D33+E33+F33+G33</f>
        <v>13253522</v>
      </c>
      <c r="I33" s="458"/>
      <c r="J33" s="396"/>
    </row>
    <row r="34" spans="2:10">
      <c r="B34" s="2420" t="s">
        <v>128</v>
      </c>
      <c r="C34" s="1822">
        <v>224645</v>
      </c>
      <c r="D34" s="1822">
        <v>11902</v>
      </c>
      <c r="E34" s="1822">
        <v>2806838</v>
      </c>
      <c r="F34" s="1822">
        <v>756496</v>
      </c>
      <c r="G34" s="1822">
        <v>16750</v>
      </c>
      <c r="H34" s="2464">
        <f>C34+D34+E34+F34+G34</f>
        <v>3816631</v>
      </c>
      <c r="I34" s="458"/>
      <c r="J34" s="396"/>
    </row>
    <row r="35" spans="2:10">
      <c r="B35" s="2420" t="s">
        <v>101</v>
      </c>
      <c r="C35" s="1822">
        <v>35391</v>
      </c>
      <c r="D35" s="1822">
        <v>11962</v>
      </c>
      <c r="E35" s="1822">
        <v>3380745</v>
      </c>
      <c r="F35" s="1822">
        <v>128672</v>
      </c>
      <c r="G35" s="1822">
        <v>203364</v>
      </c>
      <c r="H35" s="2464">
        <f>C35+D35+E35+F35+G35</f>
        <v>3760134</v>
      </c>
      <c r="I35" s="458"/>
      <c r="J35" s="396"/>
    </row>
    <row r="36" spans="2:10">
      <c r="B36" s="2420" t="s">
        <v>102</v>
      </c>
      <c r="C36" s="1822">
        <v>272028</v>
      </c>
      <c r="D36" s="1822">
        <v>95490</v>
      </c>
      <c r="E36" s="1822">
        <v>3933533</v>
      </c>
      <c r="F36" s="1822">
        <v>1807004</v>
      </c>
      <c r="G36" s="1822">
        <v>165820</v>
      </c>
      <c r="H36" s="2464">
        <f t="shared" ref="H36:H44" si="1">C36+D36+E36+F36+G36</f>
        <v>6273875</v>
      </c>
      <c r="I36" s="458"/>
      <c r="J36" s="396"/>
    </row>
    <row r="37" spans="2:10">
      <c r="B37" s="2420" t="s">
        <v>104</v>
      </c>
      <c r="C37" s="1822">
        <v>20420</v>
      </c>
      <c r="D37" s="1822">
        <v>5089</v>
      </c>
      <c r="E37" s="1822">
        <v>3523810</v>
      </c>
      <c r="F37" s="1822">
        <v>523683</v>
      </c>
      <c r="G37" s="1822">
        <v>40001</v>
      </c>
      <c r="H37" s="2464">
        <f t="shared" si="1"/>
        <v>4113003</v>
      </c>
      <c r="I37" s="458"/>
      <c r="J37" s="396"/>
    </row>
    <row r="38" spans="2:10">
      <c r="B38" s="2420" t="s">
        <v>108</v>
      </c>
      <c r="C38" s="1822">
        <v>238947</v>
      </c>
      <c r="D38" s="1822">
        <v>17729</v>
      </c>
      <c r="E38" s="1822">
        <v>4944211</v>
      </c>
      <c r="F38" s="2396"/>
      <c r="G38" s="1822">
        <v>96465</v>
      </c>
      <c r="H38" s="2464">
        <f t="shared" si="1"/>
        <v>5297352</v>
      </c>
      <c r="I38" s="458"/>
      <c r="J38" s="396"/>
    </row>
    <row r="39" spans="2:10">
      <c r="B39" s="2420" t="s">
        <v>109</v>
      </c>
      <c r="C39" s="1822">
        <v>1303</v>
      </c>
      <c r="D39" s="2465">
        <v>237</v>
      </c>
      <c r="E39" s="1822">
        <v>261603</v>
      </c>
      <c r="F39" s="1822">
        <v>10669</v>
      </c>
      <c r="G39" s="1822">
        <v>5074</v>
      </c>
      <c r="H39" s="2464">
        <f t="shared" si="1"/>
        <v>278886</v>
      </c>
      <c r="I39" s="458"/>
      <c r="J39" s="396"/>
    </row>
    <row r="40" spans="2:10">
      <c r="B40" s="2420" t="s">
        <v>110</v>
      </c>
      <c r="C40" s="1822">
        <v>6567</v>
      </c>
      <c r="D40" s="1822">
        <v>1597</v>
      </c>
      <c r="E40" s="1822">
        <v>203153</v>
      </c>
      <c r="F40" s="1822">
        <v>6322002</v>
      </c>
      <c r="G40" s="1822">
        <v>17957</v>
      </c>
      <c r="H40" s="2464">
        <f t="shared" si="1"/>
        <v>6551276</v>
      </c>
      <c r="I40" s="458"/>
      <c r="J40" s="396"/>
    </row>
    <row r="41" spans="2:10">
      <c r="B41" s="2420" t="s">
        <v>111</v>
      </c>
      <c r="C41" s="1822">
        <v>20312</v>
      </c>
      <c r="D41" s="1822">
        <v>3971</v>
      </c>
      <c r="E41" s="1822">
        <v>1422534</v>
      </c>
      <c r="F41" s="1822">
        <v>124173</v>
      </c>
      <c r="G41" s="1822">
        <v>30318</v>
      </c>
      <c r="H41" s="2464">
        <f t="shared" si="1"/>
        <v>1601308</v>
      </c>
      <c r="I41" s="458"/>
      <c r="J41" s="396"/>
    </row>
    <row r="42" spans="2:10">
      <c r="B42" s="2420" t="s">
        <v>112</v>
      </c>
      <c r="C42" s="1822">
        <v>88944</v>
      </c>
      <c r="D42" s="1822">
        <v>22480</v>
      </c>
      <c r="E42" s="1822">
        <v>4706170</v>
      </c>
      <c r="F42" s="1822">
        <v>156917</v>
      </c>
      <c r="G42" s="1822">
        <v>146116</v>
      </c>
      <c r="H42" s="2464">
        <f t="shared" si="1"/>
        <v>5120627</v>
      </c>
      <c r="I42" s="458"/>
      <c r="J42" s="396"/>
    </row>
    <row r="43" spans="2:10">
      <c r="B43" s="2420" t="s">
        <v>114</v>
      </c>
      <c r="C43" s="1822">
        <v>5347</v>
      </c>
      <c r="D43" s="2396"/>
      <c r="E43" s="1822">
        <v>576433</v>
      </c>
      <c r="F43" s="1822">
        <v>12365</v>
      </c>
      <c r="G43" s="1822">
        <v>163540</v>
      </c>
      <c r="H43" s="2464">
        <f t="shared" si="1"/>
        <v>757685</v>
      </c>
      <c r="I43" s="458"/>
      <c r="J43" s="396"/>
    </row>
    <row r="44" spans="2:10">
      <c r="B44" s="2420" t="s">
        <v>115</v>
      </c>
      <c r="C44" s="1824">
        <v>206348</v>
      </c>
      <c r="D44" s="1824">
        <v>157772</v>
      </c>
      <c r="E44" s="1822">
        <v>11236618</v>
      </c>
      <c r="F44" s="1824">
        <v>4699920</v>
      </c>
      <c r="G44" s="1824">
        <v>599933</v>
      </c>
      <c r="H44" s="2464">
        <f t="shared" si="1"/>
        <v>16900591</v>
      </c>
      <c r="I44" s="458"/>
      <c r="J44" s="396"/>
    </row>
    <row r="45" spans="2:10">
      <c r="B45" s="2466" t="s">
        <v>544</v>
      </c>
      <c r="C45" s="2402">
        <f>SUM(C31:C44)</f>
        <v>2144142</v>
      </c>
      <c r="D45" s="2402">
        <f>SUM(D31:D44)</f>
        <v>1135974</v>
      </c>
      <c r="E45" s="2402">
        <f>SUM(E31:E44)</f>
        <v>56001558</v>
      </c>
      <c r="F45" s="2402">
        <f>SUM(F31:F44)</f>
        <v>18077561</v>
      </c>
      <c r="G45" s="2402">
        <f>SUM(G31:G44)</f>
        <v>3312949</v>
      </c>
      <c r="H45" s="2464">
        <f>C45+D45+E45+F45+G45</f>
        <v>80672184</v>
      </c>
      <c r="I45" s="458"/>
      <c r="J45" s="396"/>
    </row>
    <row r="46" spans="2:10">
      <c r="B46" s="2436" t="s">
        <v>422</v>
      </c>
      <c r="C46" s="2401"/>
      <c r="D46" s="2401"/>
      <c r="E46" s="2401"/>
      <c r="F46" s="2401"/>
      <c r="G46" s="2401"/>
      <c r="H46" s="2464">
        <v>6314379</v>
      </c>
      <c r="I46" s="458"/>
      <c r="J46" s="396"/>
    </row>
    <row r="47" spans="2:10">
      <c r="B47" s="2466" t="s">
        <v>118</v>
      </c>
      <c r="C47" s="2402">
        <f>C45+C46</f>
        <v>2144142</v>
      </c>
      <c r="D47" s="2402">
        <f>D45+D46</f>
        <v>1135974</v>
      </c>
      <c r="E47" s="2402">
        <f>E45+E46</f>
        <v>56001558</v>
      </c>
      <c r="F47" s="2402">
        <f>F45+F46</f>
        <v>18077561</v>
      </c>
      <c r="G47" s="2402">
        <f>G45+G46</f>
        <v>3312949</v>
      </c>
      <c r="H47" s="2464">
        <f>SUM(H45:H46)</f>
        <v>86986563</v>
      </c>
      <c r="I47" s="458"/>
      <c r="J47" s="396"/>
    </row>
    <row r="48" spans="2:10">
      <c r="B48" s="218"/>
      <c r="C48" s="383"/>
      <c r="D48" s="383"/>
      <c r="E48" s="383"/>
      <c r="F48" s="383"/>
      <c r="G48" s="383"/>
      <c r="H48" s="419"/>
      <c r="I48" s="458"/>
    </row>
    <row r="49" spans="2:14">
      <c r="B49" s="218"/>
      <c r="C49" s="383"/>
      <c r="D49" s="383"/>
      <c r="E49" s="383"/>
      <c r="F49" s="383"/>
      <c r="G49" s="383"/>
      <c r="H49" s="305">
        <v>153</v>
      </c>
      <c r="I49" s="458"/>
    </row>
    <row r="50" spans="2:14">
      <c r="B50" s="492"/>
      <c r="C50" s="492"/>
      <c r="D50" s="492"/>
      <c r="E50" s="492"/>
      <c r="F50" s="492"/>
      <c r="G50" s="492"/>
      <c r="H50" s="492"/>
      <c r="I50" s="458"/>
    </row>
    <row r="51" spans="2:14">
      <c r="B51" s="3450" t="s">
        <v>546</v>
      </c>
      <c r="C51" s="3450"/>
      <c r="D51" s="3450"/>
      <c r="E51" s="3450"/>
      <c r="F51" s="3450"/>
      <c r="G51" s="458"/>
      <c r="H51" s="443"/>
      <c r="I51" s="443"/>
    </row>
    <row r="52" spans="2:14">
      <c r="H52" s="532"/>
    </row>
    <row r="53" spans="2:14">
      <c r="B53" s="3497" t="s">
        <v>84</v>
      </c>
      <c r="C53" s="3460" t="s">
        <v>520</v>
      </c>
      <c r="D53" s="3496" t="s">
        <v>521</v>
      </c>
      <c r="E53" s="3496" t="s">
        <v>522</v>
      </c>
      <c r="F53" s="3460" t="s">
        <v>439</v>
      </c>
      <c r="G53" s="3460" t="s">
        <v>440</v>
      </c>
      <c r="H53" s="3496" t="s">
        <v>543</v>
      </c>
      <c r="I53" s="443"/>
    </row>
    <row r="54" spans="2:14">
      <c r="B54" s="3497"/>
      <c r="C54" s="3460"/>
      <c r="D54" s="3496"/>
      <c r="E54" s="3496"/>
      <c r="F54" s="3460"/>
      <c r="G54" s="3460"/>
      <c r="H54" s="3496"/>
      <c r="I54" s="443"/>
    </row>
    <row r="55" spans="2:14" ht="14.45">
      <c r="B55" s="2420" t="s">
        <v>91</v>
      </c>
      <c r="C55" s="1822">
        <v>1213334</v>
      </c>
      <c r="D55" s="1822">
        <v>343296</v>
      </c>
      <c r="E55" s="1822">
        <v>9589136</v>
      </c>
      <c r="F55" s="1822">
        <v>2039835</v>
      </c>
      <c r="G55" s="1822">
        <v>658863</v>
      </c>
      <c r="H55" s="2467">
        <f>C55+D55+E55+F55+G55</f>
        <v>13844464</v>
      </c>
      <c r="I55" s="39"/>
      <c r="J55" s="419"/>
      <c r="K55" s="419"/>
      <c r="L55" s="419"/>
      <c r="M55" s="419"/>
      <c r="N55" s="419"/>
    </row>
    <row r="56" spans="2:14" ht="14.45">
      <c r="B56" s="2420" t="s">
        <v>94</v>
      </c>
      <c r="C56" s="1822">
        <v>10909</v>
      </c>
      <c r="D56" s="1822">
        <v>47429</v>
      </c>
      <c r="E56" s="1822">
        <v>967712</v>
      </c>
      <c r="F56" s="1822">
        <v>205767</v>
      </c>
      <c r="G56" s="1822">
        <v>113885</v>
      </c>
      <c r="H56" s="2467">
        <f>C56+D56+E56+F56+G56</f>
        <v>1345702</v>
      </c>
      <c r="I56" s="39"/>
      <c r="J56" s="419"/>
      <c r="K56" s="419"/>
      <c r="L56" s="419"/>
      <c r="M56" s="419"/>
      <c r="N56" s="419"/>
    </row>
    <row r="57" spans="2:14" ht="14.45">
      <c r="B57" s="2420" t="s">
        <v>97</v>
      </c>
      <c r="C57" s="1824">
        <v>271265</v>
      </c>
      <c r="D57" s="1822">
        <v>290843</v>
      </c>
      <c r="E57" s="1822">
        <v>9932079</v>
      </c>
      <c r="F57" s="1822">
        <v>1755289</v>
      </c>
      <c r="G57" s="1822">
        <v>1306018</v>
      </c>
      <c r="H57" s="2467">
        <f t="shared" ref="H57:H68" si="2">C57+D57+E57+F57+G57</f>
        <v>13555494</v>
      </c>
      <c r="I57" s="39"/>
      <c r="J57" s="419"/>
      <c r="K57" s="419"/>
      <c r="L57" s="419"/>
      <c r="M57" s="419"/>
      <c r="N57" s="419"/>
    </row>
    <row r="58" spans="2:14" ht="14.45">
      <c r="B58" s="2420" t="s">
        <v>128</v>
      </c>
      <c r="C58" s="1822">
        <v>237659</v>
      </c>
      <c r="D58" s="1822">
        <v>9999</v>
      </c>
      <c r="E58" s="1822">
        <v>3142063</v>
      </c>
      <c r="F58" s="1822">
        <v>527536</v>
      </c>
      <c r="G58" s="1822">
        <v>25386</v>
      </c>
      <c r="H58" s="2467">
        <f t="shared" si="2"/>
        <v>3942643</v>
      </c>
      <c r="I58" s="39"/>
      <c r="J58" s="419"/>
      <c r="K58" s="419"/>
      <c r="L58" s="419"/>
      <c r="M58" s="419"/>
      <c r="N58" s="419"/>
    </row>
    <row r="59" spans="2:14" ht="14.45">
      <c r="B59" s="2420" t="s">
        <v>101</v>
      </c>
      <c r="C59" s="1822">
        <v>20264</v>
      </c>
      <c r="D59" s="1822">
        <v>6014</v>
      </c>
      <c r="E59" s="1822">
        <v>3375370</v>
      </c>
      <c r="F59" s="1822">
        <v>75465</v>
      </c>
      <c r="G59" s="1822">
        <v>156665</v>
      </c>
      <c r="H59" s="2467">
        <f>C59+D59+E59+F59+G59</f>
        <v>3633778</v>
      </c>
      <c r="I59" s="39"/>
      <c r="J59" s="419"/>
      <c r="K59" s="419"/>
      <c r="L59" s="419"/>
      <c r="M59" s="419"/>
      <c r="N59" s="419"/>
    </row>
    <row r="60" spans="2:14" ht="14.45">
      <c r="B60" s="2420" t="s">
        <v>102</v>
      </c>
      <c r="C60" s="1822">
        <v>205799</v>
      </c>
      <c r="D60" s="1822">
        <v>125182</v>
      </c>
      <c r="E60" s="1822">
        <v>3757096</v>
      </c>
      <c r="F60" s="1822">
        <v>2027391</v>
      </c>
      <c r="G60" s="1822">
        <v>205575</v>
      </c>
      <c r="H60" s="2467">
        <f t="shared" si="2"/>
        <v>6321043</v>
      </c>
      <c r="I60" s="39"/>
      <c r="J60" s="419"/>
      <c r="K60" s="419"/>
      <c r="L60" s="419"/>
      <c r="M60" s="419"/>
      <c r="N60" s="419"/>
    </row>
    <row r="61" spans="2:14" ht="14.45">
      <c r="B61" s="2420" t="s">
        <v>104</v>
      </c>
      <c r="C61" s="1822">
        <v>16851</v>
      </c>
      <c r="D61" s="1822">
        <v>1955</v>
      </c>
      <c r="E61" s="1822">
        <v>3418772</v>
      </c>
      <c r="F61" s="1822">
        <v>322222</v>
      </c>
      <c r="G61" s="1822">
        <v>30856</v>
      </c>
      <c r="H61" s="2467">
        <f t="shared" si="2"/>
        <v>3790656</v>
      </c>
      <c r="I61" s="39"/>
      <c r="J61" s="419"/>
      <c r="K61" s="419"/>
      <c r="L61" s="419"/>
      <c r="M61" s="419"/>
      <c r="N61" s="419"/>
    </row>
    <row r="62" spans="2:14" ht="14.45">
      <c r="B62" s="2420" t="s">
        <v>108</v>
      </c>
      <c r="C62" s="1822">
        <v>68045</v>
      </c>
      <c r="D62" s="1822">
        <v>8224</v>
      </c>
      <c r="E62" s="1822">
        <v>4331573</v>
      </c>
      <c r="F62" s="2396"/>
      <c r="G62" s="1822">
        <v>39765</v>
      </c>
      <c r="H62" s="2467">
        <f t="shared" si="2"/>
        <v>4447607</v>
      </c>
      <c r="I62" s="39"/>
      <c r="J62" s="419"/>
      <c r="K62" s="419"/>
      <c r="L62" s="419"/>
      <c r="M62" s="419"/>
      <c r="N62" s="419"/>
    </row>
    <row r="63" spans="2:14" ht="14.45">
      <c r="B63" s="2420" t="s">
        <v>109</v>
      </c>
      <c r="C63" s="2465">
        <v>567</v>
      </c>
      <c r="D63" s="2465">
        <v>250</v>
      </c>
      <c r="E63" s="1822">
        <v>155996</v>
      </c>
      <c r="F63" s="1822">
        <v>8367</v>
      </c>
      <c r="G63" s="1822">
        <v>5174</v>
      </c>
      <c r="H63" s="2467">
        <f t="shared" si="2"/>
        <v>170354</v>
      </c>
      <c r="I63" s="39"/>
      <c r="J63" s="419"/>
      <c r="K63" s="419"/>
      <c r="L63" s="419"/>
      <c r="M63" s="419"/>
      <c r="N63" s="419"/>
    </row>
    <row r="64" spans="2:14" ht="14.45">
      <c r="B64" s="2420" t="s">
        <v>110</v>
      </c>
      <c r="C64" s="2465">
        <v>-166</v>
      </c>
      <c r="D64" s="1822">
        <v>18684</v>
      </c>
      <c r="E64" s="1822">
        <v>316625</v>
      </c>
      <c r="F64" s="1822">
        <v>5516870</v>
      </c>
      <c r="G64" s="1822">
        <v>547064</v>
      </c>
      <c r="H64" s="2467">
        <f t="shared" si="2"/>
        <v>6399077</v>
      </c>
      <c r="I64" s="39"/>
      <c r="J64" s="419"/>
      <c r="K64" s="419"/>
      <c r="L64" s="419"/>
      <c r="M64" s="419"/>
      <c r="N64" s="419"/>
    </row>
    <row r="65" spans="2:14" ht="14.45">
      <c r="B65" s="2420" t="s">
        <v>111</v>
      </c>
      <c r="C65" s="1822">
        <v>8639</v>
      </c>
      <c r="D65" s="1822">
        <v>4691</v>
      </c>
      <c r="E65" s="1822">
        <v>1217911</v>
      </c>
      <c r="F65" s="1822">
        <v>88822</v>
      </c>
      <c r="G65" s="1822">
        <v>35082</v>
      </c>
      <c r="H65" s="2467">
        <f t="shared" si="2"/>
        <v>1355145</v>
      </c>
      <c r="I65" s="39"/>
      <c r="J65" s="419"/>
      <c r="K65" s="419"/>
      <c r="L65" s="419"/>
      <c r="M65" s="419"/>
      <c r="N65" s="419"/>
    </row>
    <row r="66" spans="2:14" ht="14.45">
      <c r="B66" s="2420" t="s">
        <v>112</v>
      </c>
      <c r="C66" s="1822">
        <v>127399</v>
      </c>
      <c r="D66" s="1822">
        <v>8304</v>
      </c>
      <c r="E66" s="1822">
        <v>4902618</v>
      </c>
      <c r="F66" s="1822">
        <v>159001</v>
      </c>
      <c r="G66" s="1822">
        <v>106070</v>
      </c>
      <c r="H66" s="2467">
        <f t="shared" si="2"/>
        <v>5303392</v>
      </c>
      <c r="I66" s="39"/>
      <c r="J66" s="419"/>
      <c r="K66" s="419"/>
      <c r="L66" s="419"/>
      <c r="M66" s="419"/>
      <c r="N66" s="419"/>
    </row>
    <row r="67" spans="2:14" ht="14.45">
      <c r="B67" s="2420" t="s">
        <v>114</v>
      </c>
      <c r="C67" s="1822">
        <v>4071</v>
      </c>
      <c r="D67" s="2396"/>
      <c r="E67" s="1822">
        <v>799985</v>
      </c>
      <c r="F67" s="1822">
        <v>25769</v>
      </c>
      <c r="G67" s="1822">
        <v>28696</v>
      </c>
      <c r="H67" s="2467">
        <f t="shared" si="2"/>
        <v>858521</v>
      </c>
      <c r="I67" s="39"/>
      <c r="J67" s="419"/>
      <c r="K67" s="419"/>
      <c r="L67" s="419"/>
      <c r="M67" s="419"/>
      <c r="N67" s="419"/>
    </row>
    <row r="68" spans="2:14" ht="14.45">
      <c r="B68" s="2420" t="s">
        <v>115</v>
      </c>
      <c r="C68" s="1824">
        <v>136340</v>
      </c>
      <c r="D68" s="1824">
        <v>108390</v>
      </c>
      <c r="E68" s="1822">
        <v>12023179</v>
      </c>
      <c r="F68" s="1824">
        <v>2243232</v>
      </c>
      <c r="G68" s="1824">
        <v>850893</v>
      </c>
      <c r="H68" s="2467">
        <f t="shared" si="2"/>
        <v>15362034</v>
      </c>
      <c r="I68" s="39"/>
      <c r="J68" s="419"/>
      <c r="K68" s="419"/>
      <c r="L68" s="419"/>
      <c r="M68" s="419"/>
      <c r="N68" s="419"/>
    </row>
    <row r="69" spans="2:14" ht="14.45">
      <c r="B69" s="2432" t="s">
        <v>544</v>
      </c>
      <c r="C69" s="2400">
        <f>SUM(C55:C68)</f>
        <v>2320976</v>
      </c>
      <c r="D69" s="2400">
        <f>SUM(D55:D68)</f>
        <v>973261</v>
      </c>
      <c r="E69" s="2400">
        <f>SUM(E55:E68)</f>
        <v>57930115</v>
      </c>
      <c r="F69" s="2400">
        <f>SUM(F55:F68)</f>
        <v>14995566</v>
      </c>
      <c r="G69" s="2400">
        <f>SUM(G55:G68)</f>
        <v>4109992</v>
      </c>
      <c r="H69" s="2467">
        <f>C69+D69+E69+F69+G69</f>
        <v>80329910</v>
      </c>
      <c r="I69" s="39"/>
      <c r="J69" s="419"/>
      <c r="K69" s="419"/>
      <c r="L69" s="419"/>
      <c r="M69" s="419"/>
      <c r="N69" s="419"/>
    </row>
    <row r="70" spans="2:14" ht="14.45">
      <c r="B70" s="2436" t="s">
        <v>422</v>
      </c>
      <c r="C70" s="2401"/>
      <c r="D70" s="2401"/>
      <c r="E70" s="2401"/>
      <c r="F70" s="2401"/>
      <c r="G70" s="2401"/>
      <c r="H70" s="2467">
        <v>6159888</v>
      </c>
      <c r="I70" s="39"/>
      <c r="J70" s="419"/>
      <c r="K70" s="419"/>
      <c r="L70" s="419"/>
      <c r="M70" s="419"/>
      <c r="N70" s="419"/>
    </row>
    <row r="71" spans="2:14" ht="14.45">
      <c r="B71" s="2432" t="s">
        <v>118</v>
      </c>
      <c r="C71" s="2400">
        <f>C69+C70</f>
        <v>2320976</v>
      </c>
      <c r="D71" s="2400">
        <f>D69+D70</f>
        <v>973261</v>
      </c>
      <c r="E71" s="2400">
        <f>E69+E70</f>
        <v>57930115</v>
      </c>
      <c r="F71" s="2400">
        <f>F69+F70</f>
        <v>14995566</v>
      </c>
      <c r="G71" s="2400">
        <f>G69+G70</f>
        <v>4109992</v>
      </c>
      <c r="H71" s="2467">
        <f>SUM(H69:H70)</f>
        <v>86489798</v>
      </c>
      <c r="I71" s="39"/>
      <c r="J71" s="419"/>
      <c r="K71" s="419"/>
      <c r="L71" s="419"/>
      <c r="M71" s="419"/>
      <c r="N71" s="419"/>
    </row>
    <row r="72" spans="2:14">
      <c r="B72" s="218"/>
      <c r="C72" s="383"/>
      <c r="D72" s="383"/>
      <c r="E72" s="383"/>
      <c r="F72" s="383"/>
      <c r="G72" s="383"/>
      <c r="H72" s="419"/>
      <c r="I72" s="419"/>
      <c r="J72" s="419"/>
      <c r="K72" s="419"/>
      <c r="L72" s="419"/>
      <c r="M72" s="419"/>
      <c r="N72" s="419"/>
    </row>
    <row r="73" spans="2:14">
      <c r="B73" s="218"/>
      <c r="C73" s="383"/>
      <c r="D73" s="383"/>
      <c r="E73" s="383"/>
      <c r="F73" s="383"/>
      <c r="G73" s="383"/>
      <c r="H73" s="305">
        <v>154</v>
      </c>
      <c r="I73" s="419"/>
      <c r="J73" s="419"/>
      <c r="K73" s="419"/>
      <c r="L73" s="419"/>
      <c r="M73" s="419"/>
      <c r="N73" s="419"/>
    </row>
    <row r="74" spans="2:14">
      <c r="B74" s="218"/>
      <c r="C74" s="383"/>
      <c r="D74" s="383"/>
      <c r="E74" s="383"/>
      <c r="F74" s="383"/>
      <c r="G74" s="383"/>
      <c r="H74" s="419"/>
      <c r="I74" s="419"/>
      <c r="J74" s="419"/>
      <c r="K74" s="419"/>
      <c r="L74" s="419"/>
      <c r="M74" s="419"/>
      <c r="N74" s="419"/>
    </row>
    <row r="75" spans="2:14">
      <c r="B75" s="3450" t="s">
        <v>547</v>
      </c>
      <c r="C75" s="3450"/>
      <c r="D75" s="3450"/>
      <c r="E75" s="3450"/>
      <c r="F75" s="3450"/>
      <c r="G75" s="383"/>
      <c r="H75" s="419"/>
      <c r="I75" s="419"/>
      <c r="J75" s="419"/>
      <c r="K75" s="419"/>
      <c r="L75" s="419"/>
      <c r="M75" s="419"/>
      <c r="N75" s="419"/>
    </row>
    <row r="76" spans="2:14">
      <c r="B76" s="218"/>
      <c r="C76" s="383"/>
      <c r="D76" s="383"/>
      <c r="E76" s="383"/>
      <c r="F76" s="383"/>
      <c r="G76" s="383"/>
      <c r="H76" s="419"/>
      <c r="I76" s="419"/>
      <c r="J76" s="419"/>
      <c r="K76" s="419"/>
      <c r="L76" s="419"/>
      <c r="M76" s="419"/>
      <c r="N76" s="419"/>
    </row>
    <row r="77" spans="2:14">
      <c r="B77" s="3497" t="s">
        <v>84</v>
      </c>
      <c r="C77" s="3460" t="s">
        <v>520</v>
      </c>
      <c r="D77" s="3496" t="s">
        <v>521</v>
      </c>
      <c r="E77" s="3496" t="s">
        <v>522</v>
      </c>
      <c r="F77" s="3460" t="s">
        <v>439</v>
      </c>
      <c r="G77" s="3460" t="s">
        <v>440</v>
      </c>
      <c r="H77" s="3496" t="s">
        <v>543</v>
      </c>
      <c r="I77" s="419"/>
      <c r="J77" s="419"/>
      <c r="K77" s="419"/>
      <c r="L77" s="419"/>
      <c r="M77" s="419"/>
      <c r="N77" s="419"/>
    </row>
    <row r="78" spans="2:14">
      <c r="B78" s="3497"/>
      <c r="C78" s="3460"/>
      <c r="D78" s="3496"/>
      <c r="E78" s="3496"/>
      <c r="F78" s="3460"/>
      <c r="G78" s="3460"/>
      <c r="H78" s="3496"/>
      <c r="I78" s="419"/>
      <c r="J78" s="419"/>
      <c r="K78" s="419"/>
      <c r="L78" s="419"/>
      <c r="M78" s="419"/>
      <c r="N78" s="419"/>
    </row>
    <row r="79" spans="2:14">
      <c r="B79" s="2420" t="s">
        <v>91</v>
      </c>
      <c r="C79" s="1717">
        <v>894974.9160731216</v>
      </c>
      <c r="D79" s="1717">
        <v>401211.76545430167</v>
      </c>
      <c r="E79" s="1717">
        <v>10541708.81798918</v>
      </c>
      <c r="F79" s="1717">
        <v>4357960.2174828546</v>
      </c>
      <c r="G79" s="1717">
        <v>1118545.6680854259</v>
      </c>
      <c r="H79" s="2438">
        <f>C79+D79+E79+F79+G79</f>
        <v>17314401.385084882</v>
      </c>
      <c r="I79" s="419"/>
      <c r="J79" s="419"/>
      <c r="K79" s="419"/>
      <c r="L79" s="419"/>
      <c r="M79" s="419"/>
      <c r="N79" s="419"/>
    </row>
    <row r="80" spans="2:14" ht="14.45">
      <c r="B80" s="2420" t="s">
        <v>94</v>
      </c>
      <c r="C80" s="1717">
        <v>27803.217304773243</v>
      </c>
      <c r="D80" s="573">
        <v>58973.275111107228</v>
      </c>
      <c r="E80" s="1717">
        <v>1004165.9821220267</v>
      </c>
      <c r="F80" s="1717">
        <v>246529.69096277305</v>
      </c>
      <c r="G80" s="1717">
        <v>139583.66341600686</v>
      </c>
      <c r="H80" s="2438">
        <f>C80+D80+E80+F80+G80</f>
        <v>1477055.8289166871</v>
      </c>
      <c r="I80" s="419"/>
      <c r="J80" s="419"/>
      <c r="K80" s="419"/>
      <c r="L80" s="419"/>
      <c r="M80" s="419"/>
      <c r="N80" s="419"/>
    </row>
    <row r="81" spans="2:14">
      <c r="B81" s="2420" t="s">
        <v>97</v>
      </c>
      <c r="C81" s="1717">
        <v>434565</v>
      </c>
      <c r="D81" s="1717">
        <v>340993</v>
      </c>
      <c r="E81" s="1717">
        <v>10556560</v>
      </c>
      <c r="F81" s="1717">
        <v>1501695</v>
      </c>
      <c r="G81" s="1717">
        <v>1552602</v>
      </c>
      <c r="H81" s="2438">
        <f t="shared" ref="H81:H92" si="3">C81+D81+E81+F81+G81</f>
        <v>14386415</v>
      </c>
      <c r="I81" s="419"/>
      <c r="J81" s="419"/>
      <c r="K81" s="419"/>
      <c r="L81" s="419"/>
      <c r="M81" s="419"/>
      <c r="N81" s="419"/>
    </row>
    <row r="82" spans="2:14">
      <c r="B82" s="2420" t="s">
        <v>128</v>
      </c>
      <c r="C82" s="1717">
        <v>241550.24608000016</v>
      </c>
      <c r="D82" s="1717">
        <v>14053.87811</v>
      </c>
      <c r="E82" s="1717">
        <v>3294276.4619400003</v>
      </c>
      <c r="F82" s="1717">
        <v>230137.58854</v>
      </c>
      <c r="G82" s="1717">
        <v>64726.333090000015</v>
      </c>
      <c r="H82" s="2438">
        <f t="shared" si="3"/>
        <v>3844744.5077600004</v>
      </c>
      <c r="I82" s="419"/>
      <c r="J82" s="419"/>
      <c r="K82" s="419"/>
      <c r="L82" s="419"/>
      <c r="M82" s="419"/>
      <c r="N82" s="419"/>
    </row>
    <row r="83" spans="2:14">
      <c r="B83" s="2420" t="s">
        <v>101</v>
      </c>
      <c r="C83" s="1717">
        <v>31569.249939999994</v>
      </c>
      <c r="D83" s="1717">
        <v>3833.2167799999997</v>
      </c>
      <c r="E83" s="1717">
        <v>3135767.8994200001</v>
      </c>
      <c r="F83" s="1717">
        <v>41090.019999999997</v>
      </c>
      <c r="G83" s="1717">
        <v>214336.94696000003</v>
      </c>
      <c r="H83" s="2438">
        <f t="shared" si="3"/>
        <v>3426597.3330999999</v>
      </c>
      <c r="I83" s="419"/>
      <c r="J83" s="419"/>
      <c r="K83" s="419"/>
      <c r="L83" s="419"/>
      <c r="M83" s="419"/>
      <c r="N83" s="419"/>
    </row>
    <row r="84" spans="2:14">
      <c r="B84" s="2420" t="s">
        <v>102</v>
      </c>
      <c r="C84" s="1717">
        <v>181966.59357685703</v>
      </c>
      <c r="D84" s="1717">
        <v>174215.1304347906</v>
      </c>
      <c r="E84" s="1717">
        <v>3408457.8327883733</v>
      </c>
      <c r="F84" s="1717">
        <v>1593028.452678547</v>
      </c>
      <c r="G84" s="1717">
        <v>311672.01226143539</v>
      </c>
      <c r="H84" s="2438">
        <f t="shared" si="3"/>
        <v>5669340.0217400035</v>
      </c>
      <c r="I84" s="419"/>
      <c r="J84" s="419"/>
      <c r="K84" s="419"/>
      <c r="L84" s="419"/>
      <c r="M84" s="419"/>
      <c r="N84" s="419"/>
    </row>
    <row r="85" spans="2:14">
      <c r="B85" s="2420" t="s">
        <v>104</v>
      </c>
      <c r="C85" s="1717">
        <v>42273.392780000155</v>
      </c>
      <c r="D85" s="1717">
        <v>5516.2546399999937</v>
      </c>
      <c r="E85" s="1717">
        <v>3327240.9094599998</v>
      </c>
      <c r="F85" s="1717">
        <v>173551.00905999998</v>
      </c>
      <c r="G85" s="1717">
        <v>41981.384140000002</v>
      </c>
      <c r="H85" s="2438">
        <f t="shared" si="3"/>
        <v>3590562.9500800003</v>
      </c>
      <c r="I85" s="419"/>
      <c r="J85" s="419"/>
      <c r="K85" s="419"/>
      <c r="L85" s="419"/>
      <c r="M85" s="419"/>
      <c r="N85" s="419"/>
    </row>
    <row r="86" spans="2:14">
      <c r="B86" s="2420" t="s">
        <v>108</v>
      </c>
      <c r="C86" s="1717">
        <v>52535.660239999452</v>
      </c>
      <c r="D86" s="1717">
        <v>8980.1610900000032</v>
      </c>
      <c r="E86" s="1717">
        <v>3815929.5538300029</v>
      </c>
      <c r="F86" s="2396"/>
      <c r="G86" s="1717">
        <v>42830.355369999932</v>
      </c>
      <c r="H86" s="2438">
        <f t="shared" si="3"/>
        <v>3920275.7305300022</v>
      </c>
      <c r="I86" s="419"/>
      <c r="J86" s="419"/>
      <c r="K86" s="419"/>
      <c r="L86" s="419"/>
      <c r="M86" s="419"/>
      <c r="N86" s="419"/>
    </row>
    <row r="87" spans="2:14">
      <c r="B87" s="2420" t="s">
        <v>109</v>
      </c>
      <c r="C87" s="1717">
        <v>-115.47004909033706</v>
      </c>
      <c r="D87" s="1717">
        <v>-90.737328992500636</v>
      </c>
      <c r="E87" s="1717">
        <v>6285.7533963415462</v>
      </c>
      <c r="F87" s="1717">
        <v>-19.322949999999764</v>
      </c>
      <c r="G87" s="1717">
        <v>5400.1222300412455</v>
      </c>
      <c r="H87" s="2438">
        <f t="shared" si="3"/>
        <v>11460.345298299955</v>
      </c>
      <c r="I87" s="419"/>
      <c r="J87" s="419"/>
      <c r="K87" s="419"/>
      <c r="L87" s="419"/>
      <c r="M87" s="419"/>
      <c r="N87" s="419"/>
    </row>
    <row r="88" spans="2:14">
      <c r="B88" s="2420" t="s">
        <v>110</v>
      </c>
      <c r="C88" s="1717">
        <v>2554.4119700000001</v>
      </c>
      <c r="D88" s="1717">
        <v>27305.966969999998</v>
      </c>
      <c r="E88" s="1717">
        <v>383485.46004999999</v>
      </c>
      <c r="F88" s="1717">
        <v>4964265.9978</v>
      </c>
      <c r="G88" s="1717">
        <v>414777.32105000014</v>
      </c>
      <c r="H88" s="2438">
        <f t="shared" si="3"/>
        <v>5792389.1578400005</v>
      </c>
      <c r="I88" s="419"/>
      <c r="J88" s="419"/>
      <c r="K88" s="419"/>
      <c r="L88" s="419"/>
      <c r="M88" s="419"/>
      <c r="N88" s="419"/>
    </row>
    <row r="89" spans="2:14">
      <c r="B89" s="2420" t="s">
        <v>111</v>
      </c>
      <c r="C89" s="1717">
        <v>12102</v>
      </c>
      <c r="D89" s="1717">
        <v>6065</v>
      </c>
      <c r="E89" s="1717">
        <v>1207274</v>
      </c>
      <c r="F89" s="1717">
        <v>55079</v>
      </c>
      <c r="G89" s="1717">
        <v>73395</v>
      </c>
      <c r="H89" s="2438">
        <f t="shared" si="3"/>
        <v>1353915</v>
      </c>
      <c r="I89" s="419"/>
      <c r="J89" s="419"/>
      <c r="K89" s="419"/>
      <c r="L89" s="419"/>
      <c r="M89" s="419"/>
      <c r="N89" s="419"/>
    </row>
    <row r="90" spans="2:14" ht="14.45">
      <c r="B90" s="2420" t="s">
        <v>112</v>
      </c>
      <c r="C90" s="1717">
        <v>147441</v>
      </c>
      <c r="D90" s="1717">
        <v>2854</v>
      </c>
      <c r="E90" s="1717">
        <v>4813706</v>
      </c>
      <c r="F90" s="2468">
        <v>121540</v>
      </c>
      <c r="G90" s="1717">
        <v>176195</v>
      </c>
      <c r="H90" s="2438">
        <f t="shared" si="3"/>
        <v>5261736</v>
      </c>
      <c r="I90" s="419"/>
      <c r="J90" s="419"/>
      <c r="K90" s="419"/>
      <c r="L90" s="419"/>
      <c r="M90" s="419"/>
      <c r="N90" s="419"/>
    </row>
    <row r="91" spans="2:14">
      <c r="B91" s="2420" t="s">
        <v>114</v>
      </c>
      <c r="C91" s="1717">
        <v>5075.2763300000006</v>
      </c>
      <c r="D91" s="2396"/>
      <c r="E91" s="1717">
        <v>737459.70700000005</v>
      </c>
      <c r="F91" s="1717">
        <v>11626.258930000002</v>
      </c>
      <c r="G91" s="1717">
        <v>67261.440959999964</v>
      </c>
      <c r="H91" s="2438">
        <f t="shared" si="3"/>
        <v>821422.68322000001</v>
      </c>
      <c r="I91" s="419"/>
      <c r="J91" s="419"/>
      <c r="K91" s="419"/>
      <c r="L91" s="419"/>
      <c r="M91" s="419"/>
      <c r="N91" s="419"/>
    </row>
    <row r="92" spans="2:14">
      <c r="B92" s="2420" t="s">
        <v>115</v>
      </c>
      <c r="C92" s="1717">
        <v>109355</v>
      </c>
      <c r="D92" s="1717">
        <v>131378</v>
      </c>
      <c r="E92" s="1717">
        <v>12492162</v>
      </c>
      <c r="F92" s="1717">
        <v>1856565</v>
      </c>
      <c r="G92" s="1717">
        <v>719543</v>
      </c>
      <c r="H92" s="2438">
        <f t="shared" si="3"/>
        <v>15309003</v>
      </c>
      <c r="I92" s="419"/>
      <c r="J92" s="419"/>
      <c r="K92" s="419"/>
      <c r="L92" s="419"/>
      <c r="M92" s="419"/>
      <c r="N92" s="419"/>
    </row>
    <row r="93" spans="2:14">
      <c r="B93" s="2436" t="s">
        <v>544</v>
      </c>
      <c r="C93" s="2441">
        <f>SUM(C79:C92)</f>
        <v>2183650.4942456614</v>
      </c>
      <c r="D93" s="2441">
        <f>SUM(D79:D92)</f>
        <v>1175288.911261207</v>
      </c>
      <c r="E93" s="2441">
        <f>SUM(E79:E92)</f>
        <v>58724480.377995931</v>
      </c>
      <c r="F93" s="2441">
        <f>SUM(F79:F92)</f>
        <v>15153048.912504174</v>
      </c>
      <c r="G93" s="2441">
        <f>SUM(G79:G92)</f>
        <v>4942850.2475629095</v>
      </c>
      <c r="H93" s="2438">
        <f>C93+D93+E93+F93+G93</f>
        <v>82179318.943569899</v>
      </c>
      <c r="I93" s="419"/>
      <c r="J93" s="419"/>
      <c r="K93" s="419"/>
      <c r="L93" s="419"/>
      <c r="M93" s="419"/>
      <c r="N93" s="419"/>
    </row>
    <row r="94" spans="2:14">
      <c r="B94" s="2436" t="s">
        <v>422</v>
      </c>
      <c r="C94" s="2401"/>
      <c r="D94" s="2401"/>
      <c r="E94" s="2401"/>
      <c r="F94" s="2401"/>
      <c r="G94" s="2401"/>
      <c r="H94" s="2469">
        <v>5568739.3130600005</v>
      </c>
      <c r="I94" s="419"/>
      <c r="J94" s="419"/>
      <c r="K94" s="419"/>
      <c r="L94" s="419"/>
      <c r="M94" s="419"/>
      <c r="N94" s="419"/>
    </row>
    <row r="95" spans="2:14">
      <c r="B95" s="2436" t="s">
        <v>118</v>
      </c>
      <c r="C95" s="2441">
        <f>C93+C94</f>
        <v>2183650.4942456614</v>
      </c>
      <c r="D95" s="2441">
        <f>D93+D94</f>
        <v>1175288.911261207</v>
      </c>
      <c r="E95" s="2441">
        <f>E93+E94</f>
        <v>58724480.377995931</v>
      </c>
      <c r="F95" s="2441">
        <f>F93+F94</f>
        <v>15153048.912504174</v>
      </c>
      <c r="G95" s="2441">
        <f>G93+G94</f>
        <v>4942850.2475629095</v>
      </c>
      <c r="H95" s="2438">
        <f>SUM(H93:H94)</f>
        <v>87748058.256629899</v>
      </c>
      <c r="I95" s="419"/>
      <c r="J95" s="419"/>
      <c r="K95" s="419"/>
      <c r="L95" s="419"/>
      <c r="M95" s="419"/>
      <c r="N95" s="419"/>
    </row>
    <row r="96" spans="2:14">
      <c r="B96" s="218"/>
      <c r="C96" s="383"/>
      <c r="D96" s="383"/>
      <c r="E96" s="383"/>
      <c r="F96" s="383"/>
      <c r="G96" s="383"/>
      <c r="H96" s="419"/>
      <c r="I96" s="419"/>
      <c r="J96" s="419"/>
      <c r="K96" s="419"/>
      <c r="L96" s="419"/>
      <c r="M96" s="419"/>
      <c r="N96" s="419"/>
    </row>
    <row r="97" spans="2:14">
      <c r="B97" s="218"/>
      <c r="C97" s="383"/>
      <c r="D97" s="383"/>
      <c r="E97" s="383"/>
      <c r="F97" s="383"/>
      <c r="G97" s="383"/>
      <c r="H97" s="305">
        <v>155</v>
      </c>
      <c r="I97" s="419"/>
      <c r="J97" s="419"/>
      <c r="K97" s="419"/>
      <c r="L97" s="419"/>
      <c r="M97" s="419"/>
      <c r="N97" s="419"/>
    </row>
    <row r="98" spans="2:14">
      <c r="B98" s="218"/>
      <c r="C98" s="383"/>
      <c r="D98" s="383"/>
      <c r="E98" s="383"/>
      <c r="F98" s="383"/>
      <c r="G98" s="383"/>
      <c r="H98" s="419"/>
      <c r="I98" s="419"/>
      <c r="J98" s="419"/>
      <c r="K98" s="419"/>
      <c r="L98" s="419"/>
      <c r="M98" s="419"/>
      <c r="N98" s="419"/>
    </row>
    <row r="99" spans="2:14">
      <c r="B99" s="3450" t="s">
        <v>548</v>
      </c>
      <c r="C99" s="3450"/>
      <c r="D99" s="3450"/>
      <c r="E99" s="3450"/>
      <c r="F99" s="3450"/>
      <c r="G99" s="458"/>
      <c r="H99" s="443"/>
      <c r="I99" s="443"/>
    </row>
    <row r="100" spans="2:14">
      <c r="H100" s="532"/>
    </row>
    <row r="101" spans="2:14">
      <c r="B101" s="3497" t="s">
        <v>84</v>
      </c>
      <c r="C101" s="3460" t="s">
        <v>520</v>
      </c>
      <c r="D101" s="3496" t="s">
        <v>521</v>
      </c>
      <c r="E101" s="3496" t="s">
        <v>522</v>
      </c>
      <c r="F101" s="3460" t="s">
        <v>549</v>
      </c>
      <c r="G101" s="3460" t="s">
        <v>440</v>
      </c>
      <c r="H101" s="3496" t="s">
        <v>543</v>
      </c>
      <c r="I101" s="443"/>
    </row>
    <row r="102" spans="2:14">
      <c r="B102" s="3497"/>
      <c r="C102" s="3460"/>
      <c r="D102" s="3496"/>
      <c r="E102" s="3496"/>
      <c r="F102" s="3460"/>
      <c r="G102" s="3460"/>
      <c r="H102" s="3496"/>
      <c r="I102" s="443"/>
    </row>
    <row r="103" spans="2:14">
      <c r="B103" s="2420" t="s">
        <v>91</v>
      </c>
      <c r="C103" s="1717">
        <v>720425.48432546936</v>
      </c>
      <c r="D103" s="1717">
        <v>343877.67274962907</v>
      </c>
      <c r="E103" s="1717">
        <v>10525086.413244998</v>
      </c>
      <c r="F103" s="1717">
        <v>2699221.8746300004</v>
      </c>
      <c r="G103" s="1717">
        <v>1046981.7183239016</v>
      </c>
      <c r="H103" s="2438">
        <f>C103+D103+E103+F103+G103</f>
        <v>15335593.163273998</v>
      </c>
      <c r="I103" s="419"/>
      <c r="J103" s="419"/>
      <c r="K103" s="419"/>
      <c r="L103" s="419"/>
      <c r="M103" s="419"/>
      <c r="N103" s="419"/>
    </row>
    <row r="104" spans="2:14">
      <c r="B104" s="2420" t="s">
        <v>94</v>
      </c>
      <c r="C104" s="1717">
        <v>37881.324923352426</v>
      </c>
      <c r="D104" s="1717">
        <v>67191.699730864508</v>
      </c>
      <c r="E104" s="1717">
        <v>1017622.0665285193</v>
      </c>
      <c r="F104" s="1717">
        <v>286225.82643110864</v>
      </c>
      <c r="G104" s="1717">
        <v>132263.55221554881</v>
      </c>
      <c r="H104" s="2438">
        <f t="shared" ref="H104:H117" si="4">C104+D104+E104+F104+G104</f>
        <v>1541184.4698293936</v>
      </c>
      <c r="I104" s="419"/>
      <c r="J104" s="419"/>
      <c r="K104" s="419"/>
      <c r="L104" s="419"/>
      <c r="M104" s="419"/>
      <c r="N104" s="419"/>
    </row>
    <row r="105" spans="2:14">
      <c r="B105" s="2420" t="s">
        <v>97</v>
      </c>
      <c r="C105" s="1717">
        <v>490891</v>
      </c>
      <c r="D105" s="1717">
        <v>343760</v>
      </c>
      <c r="E105" s="1717">
        <v>10652712</v>
      </c>
      <c r="F105" s="1717">
        <v>1371229</v>
      </c>
      <c r="G105" s="1717">
        <v>1333946</v>
      </c>
      <c r="H105" s="2438">
        <f t="shared" si="4"/>
        <v>14192538</v>
      </c>
      <c r="I105" s="419"/>
      <c r="J105" s="419"/>
      <c r="K105" s="419"/>
      <c r="L105" s="419"/>
      <c r="M105" s="419"/>
      <c r="N105" s="419"/>
    </row>
    <row r="106" spans="2:14">
      <c r="B106" s="2420" t="s">
        <v>128</v>
      </c>
      <c r="C106" s="1717">
        <v>143350.17136999994</v>
      </c>
      <c r="D106" s="1717">
        <v>14927.693780000001</v>
      </c>
      <c r="E106" s="1717">
        <v>2955100.9698001002</v>
      </c>
      <c r="F106" s="1717">
        <v>66471.926409999985</v>
      </c>
      <c r="G106" s="1717">
        <v>66291.94968000002</v>
      </c>
      <c r="H106" s="2438">
        <f t="shared" si="4"/>
        <v>3246142.7110401001</v>
      </c>
      <c r="I106" s="419"/>
      <c r="J106" s="419"/>
      <c r="K106" s="419"/>
      <c r="L106" s="419"/>
      <c r="M106" s="419"/>
      <c r="N106" s="419"/>
    </row>
    <row r="107" spans="2:14">
      <c r="B107" s="2420" t="s">
        <v>101</v>
      </c>
      <c r="C107" s="1717">
        <v>17100.939999999999</v>
      </c>
      <c r="D107" s="1717">
        <v>1249.4299999999998</v>
      </c>
      <c r="E107" s="1717">
        <v>2671298.2500000009</v>
      </c>
      <c r="F107" s="1717">
        <v>25838</v>
      </c>
      <c r="G107" s="1717">
        <v>128953.24999999997</v>
      </c>
      <c r="H107" s="2438">
        <f t="shared" si="4"/>
        <v>2844439.870000001</v>
      </c>
      <c r="I107" s="419"/>
      <c r="J107" s="419"/>
      <c r="K107" s="419"/>
      <c r="L107" s="419"/>
      <c r="M107" s="419"/>
      <c r="N107" s="419"/>
    </row>
    <row r="108" spans="2:14">
      <c r="B108" s="2420" t="s">
        <v>102</v>
      </c>
      <c r="C108" s="1717">
        <v>107035.28360000048</v>
      </c>
      <c r="D108" s="1717">
        <v>160580.85265000007</v>
      </c>
      <c r="E108" s="1717">
        <v>4588146.2982818754</v>
      </c>
      <c r="F108" s="1717">
        <v>1559182.0774998444</v>
      </c>
      <c r="G108" s="1717">
        <v>542853.21830015851</v>
      </c>
      <c r="H108" s="2438">
        <f t="shared" si="4"/>
        <v>6957797.7303318782</v>
      </c>
      <c r="I108" s="419"/>
      <c r="J108" s="419"/>
      <c r="K108" s="419"/>
      <c r="L108" s="419"/>
      <c r="M108" s="419"/>
      <c r="N108" s="419"/>
    </row>
    <row r="109" spans="2:14">
      <c r="B109" s="2420" t="s">
        <v>104</v>
      </c>
      <c r="C109" s="1717">
        <v>46775.605029999926</v>
      </c>
      <c r="D109" s="1717">
        <v>8648.0098800000051</v>
      </c>
      <c r="E109" s="1717">
        <v>3000044.1597499987</v>
      </c>
      <c r="F109" s="1717">
        <v>187886.03063000002</v>
      </c>
      <c r="G109" s="1717">
        <v>36594.197749999963</v>
      </c>
      <c r="H109" s="2438">
        <f t="shared" si="4"/>
        <v>3279948.0030399985</v>
      </c>
      <c r="I109" s="419"/>
      <c r="J109" s="419"/>
      <c r="K109" s="419"/>
      <c r="L109" s="419"/>
      <c r="M109" s="419"/>
      <c r="N109" s="419"/>
    </row>
    <row r="110" spans="2:14">
      <c r="B110" s="2420" t="s">
        <v>108</v>
      </c>
      <c r="C110" s="1717">
        <v>44127.078324563008</v>
      </c>
      <c r="D110" s="1717">
        <v>8580.7720500000032</v>
      </c>
      <c r="E110" s="1717">
        <v>3377375.7634900003</v>
      </c>
      <c r="F110" s="2396"/>
      <c r="G110" s="1717">
        <v>39068.772009999993</v>
      </c>
      <c r="H110" s="2438">
        <f t="shared" si="4"/>
        <v>3469152.3858745634</v>
      </c>
      <c r="I110" s="419"/>
      <c r="J110" s="419"/>
      <c r="K110" s="419"/>
      <c r="L110" s="419"/>
      <c r="M110" s="419"/>
      <c r="N110" s="419"/>
    </row>
    <row r="111" spans="2:14">
      <c r="B111" s="2420" t="s">
        <v>109</v>
      </c>
      <c r="C111" s="1717">
        <v>-862.25289999999995</v>
      </c>
      <c r="D111" s="1717">
        <v>11.663510000000002</v>
      </c>
      <c r="E111" s="1717">
        <v>19072.187389999999</v>
      </c>
      <c r="F111" s="1733"/>
      <c r="G111" s="1717">
        <v>63.047530000000279</v>
      </c>
      <c r="H111" s="2438">
        <f t="shared" si="4"/>
        <v>18284.645529999998</v>
      </c>
      <c r="I111" s="419"/>
      <c r="J111" s="419"/>
      <c r="K111" s="419"/>
      <c r="L111" s="419"/>
      <c r="M111" s="419"/>
      <c r="N111" s="419"/>
    </row>
    <row r="112" spans="2:14">
      <c r="B112" s="2420" t="s">
        <v>110</v>
      </c>
      <c r="C112" s="1717">
        <v>11902.887939999999</v>
      </c>
      <c r="D112" s="1717">
        <v>3468.0092500000001</v>
      </c>
      <c r="E112" s="1717">
        <v>383319.38270000007</v>
      </c>
      <c r="F112" s="1717">
        <v>4069119.0414900002</v>
      </c>
      <c r="G112" s="1717">
        <v>-94717.407570000039</v>
      </c>
      <c r="H112" s="2438">
        <f t="shared" si="4"/>
        <v>4373091.9138100008</v>
      </c>
      <c r="I112" s="419"/>
      <c r="J112" s="419"/>
      <c r="K112" s="419"/>
      <c r="L112" s="419"/>
      <c r="M112" s="419"/>
      <c r="N112" s="419"/>
    </row>
    <row r="113" spans="2:14">
      <c r="B113" s="2420" t="s">
        <v>111</v>
      </c>
      <c r="C113" s="1717">
        <v>5651.0105429542382</v>
      </c>
      <c r="D113" s="1717">
        <v>7978.9872868186985</v>
      </c>
      <c r="E113" s="1717">
        <v>1067724.6994845858</v>
      </c>
      <c r="F113" s="1717">
        <v>39591.354590416682</v>
      </c>
      <c r="G113" s="1717">
        <v>66306.445450562926</v>
      </c>
      <c r="H113" s="2438">
        <f t="shared" si="4"/>
        <v>1187252.4973553384</v>
      </c>
      <c r="I113" s="419"/>
      <c r="J113" s="419"/>
      <c r="K113" s="419"/>
      <c r="L113" s="419"/>
      <c r="M113" s="419"/>
      <c r="N113" s="419"/>
    </row>
    <row r="114" spans="2:14">
      <c r="B114" s="2420" t="s">
        <v>112</v>
      </c>
      <c r="C114" s="1717">
        <v>153432.12047000011</v>
      </c>
      <c r="D114" s="1717">
        <v>2291.51476</v>
      </c>
      <c r="E114" s="1717">
        <v>4232049.3682547705</v>
      </c>
      <c r="F114" s="1717">
        <v>95856</v>
      </c>
      <c r="G114" s="1717">
        <v>225858.09059000004</v>
      </c>
      <c r="H114" s="2438">
        <f t="shared" si="4"/>
        <v>4709487.0940747708</v>
      </c>
      <c r="I114" s="419"/>
      <c r="J114" s="419"/>
      <c r="K114" s="419"/>
      <c r="L114" s="419"/>
      <c r="M114" s="419"/>
      <c r="N114" s="419"/>
    </row>
    <row r="115" spans="2:14">
      <c r="B115" s="2420" t="s">
        <v>135</v>
      </c>
      <c r="C115" s="1717">
        <v>7357.6931058333303</v>
      </c>
      <c r="D115" s="2396"/>
      <c r="E115" s="1717">
        <v>497362.09213208652</v>
      </c>
      <c r="F115" s="1717">
        <v>10879.942319999998</v>
      </c>
      <c r="G115" s="1717">
        <v>69268.237692080249</v>
      </c>
      <c r="H115" s="2438">
        <f t="shared" si="4"/>
        <v>584867.96525000001</v>
      </c>
      <c r="I115" s="419"/>
      <c r="J115" s="419"/>
      <c r="K115" s="419"/>
      <c r="L115" s="419"/>
      <c r="M115" s="419"/>
      <c r="N115" s="419"/>
    </row>
    <row r="116" spans="2:14">
      <c r="B116" s="2420" t="s">
        <v>115</v>
      </c>
      <c r="C116" s="1717">
        <v>172169.02591906127</v>
      </c>
      <c r="D116" s="1717">
        <v>141809.30819601277</v>
      </c>
      <c r="E116" s="1717">
        <v>11904435.11677387</v>
      </c>
      <c r="F116" s="1717">
        <v>1974632.7106704654</v>
      </c>
      <c r="G116" s="1717">
        <v>898301.63627295836</v>
      </c>
      <c r="H116" s="2438">
        <f t="shared" si="4"/>
        <v>15091347.797832366</v>
      </c>
      <c r="I116" s="419"/>
      <c r="J116" s="419"/>
      <c r="K116" s="419"/>
      <c r="L116" s="419"/>
      <c r="M116" s="419"/>
      <c r="N116" s="419"/>
    </row>
    <row r="117" spans="2:14">
      <c r="B117" s="2436" t="s">
        <v>544</v>
      </c>
      <c r="C117" s="2441">
        <f>SUM(C103:C116)</f>
        <v>1957237.3726512343</v>
      </c>
      <c r="D117" s="2441">
        <f>SUM(D103:D116)</f>
        <v>1104375.6138433251</v>
      </c>
      <c r="E117" s="2441">
        <f>SUM(E103:E116)</f>
        <v>56891348.767830804</v>
      </c>
      <c r="F117" s="2441">
        <f>SUM(F103:F116)</f>
        <v>12386133.784671836</v>
      </c>
      <c r="G117" s="2441">
        <f>SUM(G103:G116)</f>
        <v>4492032.7082452113</v>
      </c>
      <c r="H117" s="2438">
        <f t="shared" si="4"/>
        <v>76831128.247242421</v>
      </c>
      <c r="I117" s="419"/>
      <c r="J117" s="419"/>
      <c r="K117" s="419"/>
      <c r="L117" s="419"/>
      <c r="M117" s="419"/>
      <c r="N117" s="419"/>
    </row>
    <row r="118" spans="2:14">
      <c r="B118" s="2436" t="s">
        <v>422</v>
      </c>
      <c r="C118" s="2401"/>
      <c r="D118" s="2401"/>
      <c r="E118" s="2401"/>
      <c r="F118" s="2401"/>
      <c r="G118" s="2401"/>
      <c r="H118" s="2469">
        <v>4031846.35268</v>
      </c>
      <c r="I118" s="419"/>
      <c r="J118" s="419"/>
      <c r="K118" s="419"/>
      <c r="L118" s="419"/>
      <c r="M118" s="419"/>
      <c r="N118" s="419"/>
    </row>
    <row r="119" spans="2:14">
      <c r="B119" s="2436" t="s">
        <v>118</v>
      </c>
      <c r="C119" s="2441">
        <f t="shared" ref="C119:H119" si="5">C117+C118</f>
        <v>1957237.3726512343</v>
      </c>
      <c r="D119" s="2441">
        <f t="shared" si="5"/>
        <v>1104375.6138433251</v>
      </c>
      <c r="E119" s="2441">
        <f t="shared" si="5"/>
        <v>56891348.767830804</v>
      </c>
      <c r="F119" s="2441">
        <f t="shared" si="5"/>
        <v>12386133.784671836</v>
      </c>
      <c r="G119" s="2441">
        <f t="shared" si="5"/>
        <v>4492032.7082452113</v>
      </c>
      <c r="H119" s="2441">
        <f t="shared" si="5"/>
        <v>80862974.599922419</v>
      </c>
      <c r="I119" s="419"/>
      <c r="J119" s="419"/>
      <c r="K119" s="419"/>
      <c r="L119" s="419"/>
      <c r="M119" s="419"/>
      <c r="N119" s="419"/>
    </row>
    <row r="120" spans="2:14">
      <c r="B120" s="481"/>
      <c r="C120" s="383"/>
      <c r="D120" s="383"/>
      <c r="E120" s="383"/>
      <c r="F120" s="383"/>
      <c r="G120" s="383"/>
      <c r="H120" s="279"/>
      <c r="I120" s="419"/>
      <c r="J120" s="419"/>
      <c r="K120" s="419"/>
      <c r="L120" s="419"/>
      <c r="M120" s="419"/>
      <c r="N120" s="419"/>
    </row>
    <row r="121" spans="2:14">
      <c r="B121" s="218"/>
      <c r="C121" s="383"/>
      <c r="D121" s="383"/>
      <c r="E121" s="383"/>
      <c r="F121" s="383"/>
      <c r="G121" s="383"/>
      <c r="H121" s="264">
        <v>156</v>
      </c>
      <c r="I121" s="419"/>
      <c r="J121" s="419"/>
      <c r="K121" s="419"/>
      <c r="L121" s="419"/>
      <c r="M121" s="419"/>
      <c r="N121" s="419"/>
    </row>
    <row r="122" spans="2:14">
      <c r="B122" s="292"/>
      <c r="H122" s="292"/>
      <c r="I122" s="419"/>
      <c r="J122" s="419"/>
      <c r="K122" s="419"/>
      <c r="L122" s="419"/>
      <c r="M122" s="419"/>
      <c r="N122" s="419"/>
    </row>
    <row r="123" spans="2:14" ht="14.45">
      <c r="B123"/>
      <c r="C123"/>
      <c r="D123"/>
      <c r="E123"/>
      <c r="F123"/>
      <c r="G123"/>
      <c r="H123"/>
      <c r="I123"/>
      <c r="J123" s="419"/>
      <c r="K123" s="419"/>
      <c r="L123" s="419"/>
      <c r="M123" s="419"/>
      <c r="N123" s="419"/>
    </row>
    <row r="124" spans="2:14" ht="14.45">
      <c r="B124"/>
      <c r="C124"/>
      <c r="D124"/>
      <c r="E124"/>
      <c r="F124"/>
      <c r="G124"/>
      <c r="H124"/>
      <c r="I124"/>
      <c r="J124" s="419"/>
      <c r="K124" s="419"/>
      <c r="L124" s="419"/>
      <c r="M124" s="419"/>
      <c r="N124" s="419"/>
    </row>
    <row r="125" spans="2:14" ht="14.45">
      <c r="B125"/>
      <c r="C125"/>
      <c r="D125"/>
      <c r="E125"/>
      <c r="F125"/>
      <c r="G125"/>
      <c r="H125"/>
      <c r="I125"/>
      <c r="J125" s="419"/>
      <c r="K125" s="419"/>
      <c r="L125" s="419"/>
      <c r="M125" s="419"/>
      <c r="N125" s="419"/>
    </row>
    <row r="126" spans="2:14" ht="14.45">
      <c r="B126"/>
      <c r="C126"/>
      <c r="D126"/>
      <c r="E126"/>
      <c r="F126"/>
      <c r="G126"/>
      <c r="H126"/>
      <c r="I126"/>
      <c r="J126" s="419"/>
      <c r="K126" s="419"/>
      <c r="L126" s="419"/>
      <c r="M126" s="419"/>
      <c r="N126" s="419"/>
    </row>
    <row r="127" spans="2:14" ht="14.45">
      <c r="B127"/>
      <c r="C127"/>
      <c r="D127"/>
      <c r="E127"/>
      <c r="F127"/>
      <c r="G127"/>
      <c r="H127"/>
      <c r="I127"/>
      <c r="J127" s="419"/>
      <c r="K127" s="419"/>
      <c r="L127" s="419"/>
      <c r="M127" s="419"/>
      <c r="N127" s="419"/>
    </row>
    <row r="128" spans="2:14" ht="14.45">
      <c r="B128"/>
      <c r="C128"/>
      <c r="D128"/>
      <c r="E128"/>
      <c r="F128"/>
      <c r="G128"/>
      <c r="H128"/>
      <c r="I128"/>
      <c r="J128" s="419"/>
      <c r="K128" s="419"/>
      <c r="L128" s="419"/>
      <c r="M128" s="419"/>
      <c r="N128" s="419"/>
    </row>
    <row r="129" spans="2:14" ht="14.45">
      <c r="B129"/>
      <c r="C129"/>
      <c r="D129"/>
      <c r="E129"/>
      <c r="F129"/>
      <c r="G129"/>
      <c r="H129"/>
      <c r="I129"/>
      <c r="J129" s="419"/>
      <c r="K129" s="419"/>
      <c r="L129" s="419"/>
      <c r="M129" s="419"/>
      <c r="N129" s="419"/>
    </row>
    <row r="130" spans="2:14" ht="14.45">
      <c r="B130"/>
      <c r="C130"/>
      <c r="D130"/>
      <c r="E130"/>
      <c r="F130"/>
      <c r="G130"/>
      <c r="H130"/>
      <c r="I130"/>
      <c r="J130" s="419"/>
      <c r="K130" s="419"/>
      <c r="L130" s="419"/>
      <c r="M130" s="419"/>
      <c r="N130" s="419"/>
    </row>
    <row r="131" spans="2:14" ht="14.45">
      <c r="B131"/>
      <c r="C131"/>
      <c r="D131"/>
      <c r="E131"/>
      <c r="F131"/>
      <c r="G131"/>
      <c r="H131"/>
      <c r="I131"/>
      <c r="J131" s="419"/>
      <c r="K131" s="419"/>
      <c r="L131" s="419"/>
      <c r="M131" s="419"/>
      <c r="N131" s="419"/>
    </row>
    <row r="132" spans="2:14" ht="14.45">
      <c r="B132"/>
      <c r="C132"/>
      <c r="D132"/>
      <c r="E132"/>
      <c r="F132"/>
      <c r="G132"/>
      <c r="H132"/>
      <c r="I132"/>
      <c r="J132" s="419"/>
      <c r="K132" s="419"/>
      <c r="L132" s="419"/>
      <c r="M132" s="419"/>
      <c r="N132" s="419"/>
    </row>
    <row r="133" spans="2:14" ht="14.45">
      <c r="B133"/>
      <c r="C133"/>
      <c r="D133"/>
      <c r="E133"/>
      <c r="F133"/>
      <c r="G133"/>
      <c r="H133"/>
      <c r="I133"/>
      <c r="J133" s="419"/>
      <c r="K133" s="419"/>
      <c r="L133" s="419"/>
      <c r="M133" s="419"/>
      <c r="N133" s="419"/>
    </row>
    <row r="134" spans="2:14" ht="14.45">
      <c r="B134"/>
      <c r="C134"/>
      <c r="D134"/>
      <c r="E134"/>
      <c r="F134"/>
      <c r="G134"/>
      <c r="H134"/>
      <c r="I134"/>
      <c r="J134" s="419"/>
      <c r="K134" s="419"/>
      <c r="L134" s="419"/>
      <c r="M134" s="419"/>
      <c r="N134" s="419"/>
    </row>
    <row r="135" spans="2:14" ht="14.45">
      <c r="B135"/>
      <c r="C135"/>
      <c r="D135"/>
      <c r="E135"/>
      <c r="F135"/>
      <c r="G135"/>
      <c r="H135"/>
      <c r="I135"/>
      <c r="J135" s="419"/>
      <c r="K135" s="419"/>
      <c r="L135" s="419"/>
      <c r="M135" s="419"/>
      <c r="N135" s="419"/>
    </row>
    <row r="136" spans="2:14" ht="14.45">
      <c r="B136"/>
      <c r="C136"/>
      <c r="D136"/>
      <c r="E136"/>
      <c r="F136"/>
      <c r="G136"/>
      <c r="H136"/>
      <c r="I136"/>
      <c r="J136" s="419"/>
      <c r="K136" s="419"/>
      <c r="L136" s="419"/>
      <c r="M136" s="419"/>
      <c r="N136" s="419"/>
    </row>
    <row r="137" spans="2:14" ht="14.45">
      <c r="B137"/>
      <c r="C137"/>
      <c r="D137"/>
      <c r="E137"/>
      <c r="F137"/>
      <c r="G137"/>
      <c r="H137"/>
      <c r="I137"/>
      <c r="J137" s="419"/>
      <c r="K137" s="419"/>
      <c r="L137" s="419"/>
      <c r="M137" s="419"/>
      <c r="N137" s="419"/>
    </row>
    <row r="138" spans="2:14" ht="14.45">
      <c r="B138"/>
      <c r="C138"/>
      <c r="D138"/>
      <c r="E138"/>
      <c r="F138"/>
      <c r="G138"/>
      <c r="H138"/>
      <c r="I138"/>
      <c r="J138" s="419"/>
      <c r="K138" s="419"/>
      <c r="L138" s="419"/>
      <c r="M138" s="419"/>
      <c r="N138" s="419"/>
    </row>
    <row r="139" spans="2:14" ht="14.45">
      <c r="B139"/>
      <c r="C139"/>
      <c r="D139"/>
      <c r="E139"/>
      <c r="F139"/>
      <c r="G139"/>
      <c r="H139"/>
      <c r="I139"/>
      <c r="J139" s="419"/>
      <c r="K139" s="419"/>
      <c r="L139" s="419"/>
      <c r="M139" s="419"/>
      <c r="N139" s="419"/>
    </row>
    <row r="140" spans="2:14" ht="14.45">
      <c r="B140"/>
      <c r="C140"/>
      <c r="D140"/>
      <c r="E140"/>
      <c r="F140"/>
      <c r="G140"/>
      <c r="H140"/>
      <c r="I140"/>
      <c r="J140" s="419"/>
      <c r="K140" s="419"/>
      <c r="L140" s="419"/>
      <c r="M140" s="419"/>
      <c r="N140" s="419"/>
    </row>
    <row r="141" spans="2:14" ht="14.45">
      <c r="B141"/>
      <c r="C141"/>
      <c r="D141"/>
      <c r="E141"/>
      <c r="F141"/>
      <c r="G141"/>
      <c r="H141"/>
      <c r="I141"/>
      <c r="J141" s="419"/>
      <c r="K141" s="419"/>
      <c r="L141" s="419"/>
      <c r="M141" s="419"/>
      <c r="N141" s="419"/>
    </row>
    <row r="142" spans="2:14" ht="14.45">
      <c r="B142"/>
      <c r="C142"/>
      <c r="D142"/>
      <c r="E142"/>
      <c r="F142"/>
      <c r="G142"/>
      <c r="H142"/>
      <c r="I142"/>
      <c r="J142" s="419"/>
      <c r="K142" s="419"/>
      <c r="L142" s="419"/>
      <c r="M142" s="419"/>
      <c r="N142" s="419"/>
    </row>
    <row r="143" spans="2:14" ht="14.45">
      <c r="B143"/>
      <c r="C143"/>
      <c r="D143"/>
      <c r="E143"/>
      <c r="F143"/>
      <c r="G143"/>
      <c r="H143"/>
      <c r="I143"/>
      <c r="J143" s="419"/>
      <c r="K143" s="419"/>
      <c r="L143" s="419"/>
      <c r="M143" s="419"/>
      <c r="N143" s="419"/>
    </row>
    <row r="144" spans="2:14" ht="14.45">
      <c r="B144"/>
      <c r="C144"/>
      <c r="D144"/>
      <c r="E144"/>
      <c r="F144"/>
      <c r="G144"/>
      <c r="H144"/>
      <c r="I144"/>
      <c r="J144" s="419"/>
      <c r="K144" s="419"/>
      <c r="L144" s="419"/>
      <c r="M144" s="419"/>
      <c r="N144" s="419"/>
    </row>
    <row r="145" spans="2:14" ht="14.45">
      <c r="B145"/>
      <c r="C145"/>
      <c r="D145"/>
      <c r="E145"/>
      <c r="F145"/>
      <c r="G145"/>
      <c r="H145"/>
      <c r="I145"/>
      <c r="J145" s="419"/>
      <c r="K145" s="419"/>
      <c r="L145" s="419"/>
      <c r="M145" s="419"/>
      <c r="N145" s="419"/>
    </row>
    <row r="146" spans="2:14" ht="14.45">
      <c r="B146"/>
      <c r="C146"/>
      <c r="D146"/>
      <c r="E146"/>
      <c r="F146"/>
      <c r="G146"/>
      <c r="H146"/>
      <c r="I146"/>
      <c r="J146" s="419"/>
      <c r="K146" s="419"/>
      <c r="L146" s="419"/>
      <c r="M146" s="419"/>
      <c r="N146" s="419"/>
    </row>
    <row r="147" spans="2:14" ht="14.45">
      <c r="B147"/>
      <c r="C147"/>
      <c r="D147"/>
      <c r="E147"/>
      <c r="F147"/>
      <c r="G147"/>
      <c r="H147"/>
      <c r="I147"/>
      <c r="J147" s="419"/>
      <c r="K147" s="419"/>
      <c r="L147" s="419"/>
      <c r="M147" s="419"/>
      <c r="N147" s="419"/>
    </row>
    <row r="148" spans="2:14" s="39" customFormat="1" ht="14.45">
      <c r="B148"/>
      <c r="C148"/>
      <c r="D148"/>
      <c r="E148"/>
      <c r="F148"/>
      <c r="G148"/>
      <c r="H148"/>
      <c r="I148"/>
    </row>
    <row r="149" spans="2:14" s="39" customFormat="1" ht="14.45">
      <c r="B149"/>
      <c r="C149"/>
      <c r="D149"/>
      <c r="E149"/>
      <c r="F149"/>
      <c r="G149"/>
      <c r="H149"/>
      <c r="I149"/>
    </row>
    <row r="150" spans="2:14" s="39" customFormat="1" ht="14.45">
      <c r="B150" s="471"/>
      <c r="C150" s="292"/>
    </row>
    <row r="151" spans="2:14" s="39" customFormat="1" ht="14.45"/>
    <row r="152" spans="2:14" s="39" customFormat="1" ht="14.45"/>
    <row r="153" spans="2:14" s="39" customFormat="1" ht="14.45">
      <c r="B153" s="471"/>
    </row>
    <row r="154" spans="2:14" s="39" customFormat="1" ht="14.45">
      <c r="B154" s="471"/>
    </row>
    <row r="155" spans="2:14" s="39" customFormat="1" ht="14.45"/>
    <row r="156" spans="2:14" s="39" customFormat="1" ht="14.45"/>
    <row r="157" spans="2:14" s="39" customFormat="1" ht="14.45"/>
    <row r="158" spans="2:14" s="39" customFormat="1" ht="14.45"/>
    <row r="159" spans="2:14" s="39" customFormat="1" ht="14.45"/>
    <row r="160" spans="2:14" s="39" customFormat="1" ht="14.45"/>
    <row r="161" spans="2:10" s="39" customFormat="1" ht="14.45"/>
    <row r="162" spans="2:10" s="39" customFormat="1" ht="14.45"/>
    <row r="163" spans="2:10" s="39" customFormat="1" ht="14.45"/>
    <row r="164" spans="2:10" s="39" customFormat="1" ht="14.45"/>
    <row r="165" spans="2:10" s="39" customFormat="1" ht="14.45"/>
    <row r="166" spans="2:10" s="39" customFormat="1" ht="14.45"/>
    <row r="167" spans="2:10" s="39" customFormat="1" ht="14.45"/>
    <row r="168" spans="2:10" s="39" customFormat="1" ht="14.45"/>
    <row r="169" spans="2:10" s="39" customFormat="1" ht="14.45"/>
    <row r="170" spans="2:10" s="39" customFormat="1" ht="14.45"/>
    <row r="171" spans="2:10" s="39" customFormat="1" ht="14.45"/>
    <row r="172" spans="2:10">
      <c r="B172" s="218"/>
      <c r="C172" s="383"/>
      <c r="D172" s="383"/>
      <c r="E172" s="383"/>
      <c r="F172" s="383"/>
      <c r="G172" s="383"/>
      <c r="H172" s="279"/>
      <c r="I172" s="419"/>
    </row>
    <row r="173" spans="2:10">
      <c r="B173" s="218"/>
      <c r="C173" s="383"/>
      <c r="D173" s="383"/>
      <c r="E173" s="383"/>
      <c r="F173" s="383"/>
      <c r="G173" s="383"/>
      <c r="J173" s="574"/>
    </row>
  </sheetData>
  <mergeCells count="41">
    <mergeCell ref="H29:H30"/>
    <mergeCell ref="G77:G78"/>
    <mergeCell ref="H77:H78"/>
    <mergeCell ref="B75:F75"/>
    <mergeCell ref="B77:B78"/>
    <mergeCell ref="C77:C78"/>
    <mergeCell ref="D77:D78"/>
    <mergeCell ref="E77:E78"/>
    <mergeCell ref="F77:F78"/>
    <mergeCell ref="B2:H2"/>
    <mergeCell ref="B51:F51"/>
    <mergeCell ref="B53:B54"/>
    <mergeCell ref="C53:C54"/>
    <mergeCell ref="D53:D54"/>
    <mergeCell ref="E53:E54"/>
    <mergeCell ref="F53:F54"/>
    <mergeCell ref="G53:G54"/>
    <mergeCell ref="H53:H54"/>
    <mergeCell ref="B27:F27"/>
    <mergeCell ref="B29:B30"/>
    <mergeCell ref="C29:C30"/>
    <mergeCell ref="D29:D30"/>
    <mergeCell ref="E29:E30"/>
    <mergeCell ref="F29:F30"/>
    <mergeCell ref="G29:G30"/>
    <mergeCell ref="G101:G102"/>
    <mergeCell ref="H101:H102"/>
    <mergeCell ref="B99:F99"/>
    <mergeCell ref="B101:B102"/>
    <mergeCell ref="C101:C102"/>
    <mergeCell ref="D101:D102"/>
    <mergeCell ref="E101:E102"/>
    <mergeCell ref="F101:F102"/>
    <mergeCell ref="G6:G7"/>
    <mergeCell ref="H6:H7"/>
    <mergeCell ref="B4:F4"/>
    <mergeCell ref="B6:B7"/>
    <mergeCell ref="C6:C7"/>
    <mergeCell ref="D6:D7"/>
    <mergeCell ref="E6:E7"/>
    <mergeCell ref="F6:F7"/>
  </mergeCells>
  <pageMargins left="0.28999999999999998" right="0.22" top="0.28000000000000003" bottom="0.75" header="0.3" footer="0.3"/>
  <pageSetup paperSize="9" scale="79" orientation="landscape" r:id="rId1"/>
  <rowBreaks count="5" manualBreakCount="5">
    <brk id="49" max="7" man="1"/>
    <brk id="73" max="7" man="1"/>
    <brk id="97" max="7" man="1"/>
    <brk id="121" max="7" man="1"/>
    <brk id="146" max="16383"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FF6699"/>
    <pageSetUpPr autoPageBreaks="0"/>
  </sheetPr>
  <dimension ref="A1:U155"/>
  <sheetViews>
    <sheetView showGridLines="0" view="pageBreakPreview" zoomScaleNormal="90" zoomScaleSheetLayoutView="100" workbookViewId="0">
      <selection activeCell="F46" sqref="F46"/>
    </sheetView>
  </sheetViews>
  <sheetFormatPr defaultColWidth="9.140625" defaultRowHeight="13.15"/>
  <cols>
    <col min="1" max="1" width="4.7109375" style="292" customWidth="1"/>
    <col min="2" max="7" width="23.85546875" style="292" customWidth="1"/>
    <col min="8" max="8" width="23.85546875" style="52" customWidth="1"/>
    <col min="9" max="9" width="13.28515625" style="292" customWidth="1"/>
    <col min="10" max="11" width="13.28515625" style="292" bestFit="1" customWidth="1"/>
    <col min="12" max="12" width="14.28515625" style="292" customWidth="1"/>
    <col min="13" max="13" width="13.7109375" style="292" bestFit="1" customWidth="1"/>
    <col min="14" max="14" width="14.7109375" style="292" bestFit="1" customWidth="1"/>
    <col min="15" max="15" width="12.85546875" style="292" customWidth="1"/>
    <col min="16" max="16" width="13.140625" style="292" customWidth="1"/>
    <col min="17" max="17" width="12.140625" style="292" customWidth="1"/>
    <col min="18" max="18" width="11.28515625" style="292" customWidth="1"/>
    <col min="19" max="19" width="14.7109375" style="292" customWidth="1"/>
    <col min="20" max="20" width="16.42578125" style="292" customWidth="1"/>
    <col min="21" max="21" width="14.5703125" style="385" customWidth="1"/>
    <col min="22" max="16384" width="9.140625" style="292"/>
  </cols>
  <sheetData>
    <row r="1" spans="2:8">
      <c r="B1" s="3450" t="s">
        <v>550</v>
      </c>
      <c r="C1" s="3450"/>
      <c r="D1" s="3450"/>
      <c r="E1" s="3450"/>
      <c r="F1" s="3450"/>
      <c r="G1" s="3450"/>
      <c r="H1" s="3450"/>
    </row>
    <row r="2" spans="2:8" customFormat="1" ht="12.6" customHeight="1"/>
    <row r="3" spans="2:8" customFormat="1" ht="12.6" customHeight="1">
      <c r="B3" s="3450" t="s">
        <v>551</v>
      </c>
      <c r="C3" s="3450"/>
      <c r="D3" s="3450"/>
      <c r="E3" s="3450"/>
      <c r="F3" s="3450"/>
      <c r="G3" s="3450"/>
      <c r="H3" s="52"/>
    </row>
    <row r="4" spans="2:8" customFormat="1" ht="12.6" customHeight="1">
      <c r="B4" s="218"/>
      <c r="C4" s="292"/>
      <c r="D4" s="292"/>
      <c r="E4" s="292"/>
      <c r="F4" s="292"/>
      <c r="G4" s="3507" t="s">
        <v>238</v>
      </c>
      <c r="H4" s="3507"/>
    </row>
    <row r="5" spans="2:8" customFormat="1" ht="12.6" customHeight="1">
      <c r="B5" s="3504" t="s">
        <v>84</v>
      </c>
      <c r="C5" s="3506" t="s">
        <v>520</v>
      </c>
      <c r="D5" s="3498" t="s">
        <v>552</v>
      </c>
      <c r="E5" s="3498" t="s">
        <v>522</v>
      </c>
      <c r="F5" s="3501" t="s">
        <v>553</v>
      </c>
      <c r="G5" s="3501" t="s">
        <v>554</v>
      </c>
      <c r="H5" s="3498" t="s">
        <v>543</v>
      </c>
    </row>
    <row r="6" spans="2:8" customFormat="1" ht="12.6" customHeight="1">
      <c r="B6" s="3486"/>
      <c r="C6" s="3469"/>
      <c r="D6" s="3499"/>
      <c r="E6" s="3499"/>
      <c r="F6" s="3502"/>
      <c r="G6" s="3502"/>
      <c r="H6" s="3499"/>
    </row>
    <row r="7" spans="2:8" customFormat="1" ht="12.6" customHeight="1">
      <c r="B7" s="3505"/>
      <c r="C7" s="3459"/>
      <c r="D7" s="3500"/>
      <c r="E7" s="3500"/>
      <c r="F7" s="3503"/>
      <c r="G7" s="3503"/>
      <c r="H7" s="3500"/>
    </row>
    <row r="8" spans="2:8" customFormat="1" ht="12.6" customHeight="1">
      <c r="B8" s="2420" t="s">
        <v>91</v>
      </c>
      <c r="C8" s="1822">
        <v>953873.37091104756</v>
      </c>
      <c r="D8" s="1822">
        <v>20071.283394811035</v>
      </c>
      <c r="E8" s="1822">
        <v>5293952.4941707132</v>
      </c>
      <c r="F8" s="1822">
        <v>1811182.2348000002</v>
      </c>
      <c r="G8" s="1822">
        <v>248882.4075092391</v>
      </c>
      <c r="H8" s="2471">
        <f>C8+D8+E8+F8+G8</f>
        <v>8327961.7907858118</v>
      </c>
    </row>
    <row r="9" spans="2:8" customFormat="1" ht="12.6" customHeight="1">
      <c r="B9" s="2420" t="s">
        <v>94</v>
      </c>
      <c r="C9" s="1822">
        <v>11572.983266701798</v>
      </c>
      <c r="D9" s="1822">
        <v>2068.0784073289869</v>
      </c>
      <c r="E9" s="1822">
        <v>831873.33367324318</v>
      </c>
      <c r="F9" s="1822">
        <v>426221.47751084459</v>
      </c>
      <c r="G9" s="1822">
        <v>59047.314229155047</v>
      </c>
      <c r="H9" s="2471">
        <f>C9+D9+E9+F9+G9</f>
        <v>1330783.1870872735</v>
      </c>
    </row>
    <row r="10" spans="2:8" customFormat="1" ht="12.6" customHeight="1">
      <c r="B10" s="2420" t="s">
        <v>97</v>
      </c>
      <c r="C10" s="1822">
        <v>617940.08100000001</v>
      </c>
      <c r="D10" s="1822">
        <v>171966.18900000004</v>
      </c>
      <c r="E10" s="1822">
        <v>4613631.585</v>
      </c>
      <c r="F10" s="1822">
        <v>1825364.17</v>
      </c>
      <c r="G10" s="1822">
        <v>601380.96100000001</v>
      </c>
      <c r="H10" s="2471">
        <f t="shared" ref="H10:H21" si="0">C10+D10+E10+F10+G10</f>
        <v>7830282.9860000005</v>
      </c>
    </row>
    <row r="11" spans="2:8" customFormat="1" ht="12.6" customHeight="1">
      <c r="B11" s="2420" t="s">
        <v>128</v>
      </c>
      <c r="C11" s="1822">
        <v>24617</v>
      </c>
      <c r="D11" s="1822">
        <v>5385</v>
      </c>
      <c r="E11" s="1822">
        <v>1480741</v>
      </c>
      <c r="F11" s="1822">
        <v>1269598</v>
      </c>
      <c r="G11" s="1822">
        <v>15375</v>
      </c>
      <c r="H11" s="2471">
        <f t="shared" si="0"/>
        <v>2795716</v>
      </c>
    </row>
    <row r="12" spans="2:8" customFormat="1" ht="12.6" customHeight="1">
      <c r="B12" s="2420" t="s">
        <v>101</v>
      </c>
      <c r="C12" s="1822">
        <v>7236</v>
      </c>
      <c r="D12" s="1822">
        <v>2685</v>
      </c>
      <c r="E12" s="1822">
        <v>2310008</v>
      </c>
      <c r="F12" s="1822">
        <v>204544</v>
      </c>
      <c r="G12" s="1822">
        <v>74258</v>
      </c>
      <c r="H12" s="2471">
        <f t="shared" si="0"/>
        <v>2598731</v>
      </c>
    </row>
    <row r="13" spans="2:8" customFormat="1" ht="12.6" customHeight="1">
      <c r="B13" s="1747" t="s">
        <v>102</v>
      </c>
      <c r="C13" s="1822">
        <v>101887</v>
      </c>
      <c r="D13" s="1822">
        <v>65318</v>
      </c>
      <c r="E13" s="1822">
        <v>2908256</v>
      </c>
      <c r="F13" s="1822">
        <v>1957147</v>
      </c>
      <c r="G13" s="1822">
        <v>106293</v>
      </c>
      <c r="H13" s="2471">
        <f t="shared" si="0"/>
        <v>5138901</v>
      </c>
    </row>
    <row r="14" spans="2:8" customFormat="1" ht="12.6" customHeight="1">
      <c r="B14" s="2420" t="s">
        <v>104</v>
      </c>
      <c r="C14" s="1822">
        <v>45492</v>
      </c>
      <c r="D14" s="1822">
        <v>11397</v>
      </c>
      <c r="E14" s="1822">
        <v>2537772</v>
      </c>
      <c r="F14" s="1822">
        <v>816903</v>
      </c>
      <c r="G14" s="1822">
        <v>-1627</v>
      </c>
      <c r="H14" s="2471">
        <f t="shared" si="0"/>
        <v>3409937</v>
      </c>
    </row>
    <row r="15" spans="2:8" customFormat="1" ht="12.6" customHeight="1">
      <c r="B15" s="2420" t="s">
        <v>108</v>
      </c>
      <c r="C15" s="1822">
        <v>268517</v>
      </c>
      <c r="D15" s="1822">
        <v>11267</v>
      </c>
      <c r="E15" s="1822">
        <v>3335557</v>
      </c>
      <c r="F15" s="2472"/>
      <c r="G15" s="1822">
        <v>32532</v>
      </c>
      <c r="H15" s="2471">
        <f t="shared" si="0"/>
        <v>3647873</v>
      </c>
    </row>
    <row r="16" spans="2:8" customFormat="1" ht="12.6" customHeight="1">
      <c r="B16" s="2420" t="s">
        <v>109</v>
      </c>
      <c r="C16" s="1822">
        <v>2217</v>
      </c>
      <c r="D16" s="1822">
        <v>2912</v>
      </c>
      <c r="E16" s="1822">
        <v>236604</v>
      </c>
      <c r="F16" s="1822">
        <v>19230</v>
      </c>
      <c r="G16" s="1822">
        <v>40175</v>
      </c>
      <c r="H16" s="2471">
        <f t="shared" si="0"/>
        <v>301138</v>
      </c>
    </row>
    <row r="17" spans="2:10" customFormat="1" ht="12.6" customHeight="1">
      <c r="B17" s="2420" t="s">
        <v>111</v>
      </c>
      <c r="C17" s="1822">
        <v>12764.798623778304</v>
      </c>
      <c r="D17" s="1822">
        <v>4913.1068791064299</v>
      </c>
      <c r="E17" s="1822">
        <v>986005.95965327497</v>
      </c>
      <c r="F17" s="1822">
        <v>84066.280377879375</v>
      </c>
      <c r="G17" s="1822">
        <v>10269.685078392446</v>
      </c>
      <c r="H17" s="2471">
        <f t="shared" si="0"/>
        <v>1098019.8306124315</v>
      </c>
    </row>
    <row r="18" spans="2:10" customFormat="1" ht="12.6" customHeight="1">
      <c r="B18" s="2420" t="s">
        <v>112</v>
      </c>
      <c r="C18" s="1822">
        <v>17806.163</v>
      </c>
      <c r="D18" s="1822">
        <v>3880.7799999999984</v>
      </c>
      <c r="E18" s="1822">
        <v>3306409.8050000002</v>
      </c>
      <c r="F18" s="1822">
        <v>215615</v>
      </c>
      <c r="G18" s="1822">
        <v>80635.674999999988</v>
      </c>
      <c r="H18" s="2471">
        <f t="shared" si="0"/>
        <v>3624347.423</v>
      </c>
    </row>
    <row r="19" spans="2:10" customFormat="1" ht="12.6" customHeight="1">
      <c r="B19" s="2420" t="s">
        <v>114</v>
      </c>
      <c r="C19" s="1822">
        <v>3694</v>
      </c>
      <c r="D19" s="2396"/>
      <c r="E19" s="1822">
        <v>189054</v>
      </c>
      <c r="F19" s="1822">
        <v>10893</v>
      </c>
      <c r="G19" s="1822">
        <v>25200</v>
      </c>
      <c r="H19" s="2471">
        <f t="shared" si="0"/>
        <v>228841</v>
      </c>
    </row>
    <row r="20" spans="2:10" customFormat="1" ht="12.6" customHeight="1">
      <c r="B20" s="2420" t="s">
        <v>115</v>
      </c>
      <c r="C20" s="1822">
        <v>46641</v>
      </c>
      <c r="D20" s="1822">
        <v>108732</v>
      </c>
      <c r="E20" s="1822">
        <v>7241670</v>
      </c>
      <c r="F20" s="1822">
        <v>2779635</v>
      </c>
      <c r="G20" s="1822">
        <v>384660</v>
      </c>
      <c r="H20" s="2471">
        <f t="shared" si="0"/>
        <v>10561338</v>
      </c>
    </row>
    <row r="21" spans="2:10" customFormat="1" ht="12.6" customHeight="1">
      <c r="B21" s="2420" t="s">
        <v>110</v>
      </c>
      <c r="C21" s="1822">
        <v>1385</v>
      </c>
      <c r="D21" s="1824"/>
      <c r="E21" s="1822">
        <v>216791</v>
      </c>
      <c r="F21" s="1822">
        <v>8961816</v>
      </c>
      <c r="G21" s="1822">
        <v>98094</v>
      </c>
      <c r="H21" s="2471">
        <f t="shared" si="0"/>
        <v>9278086</v>
      </c>
    </row>
    <row r="22" spans="2:10" customFormat="1" ht="12.6" customHeight="1">
      <c r="B22" s="2466" t="s">
        <v>544</v>
      </c>
      <c r="C22" s="2402">
        <f>SUM(C8:C21)</f>
        <v>2115643.3968015276</v>
      </c>
      <c r="D22" s="2402">
        <f>SUM(D8:D21)</f>
        <v>410595.43768124643</v>
      </c>
      <c r="E22" s="2402">
        <f>SUM(E8:E21)</f>
        <v>35488326.17749723</v>
      </c>
      <c r="F22" s="2402">
        <f>SUM(F8:F21)</f>
        <v>20382215.162688725</v>
      </c>
      <c r="G22" s="2402">
        <f>SUM(G8:G21)</f>
        <v>1775176.0428167866</v>
      </c>
      <c r="H22" s="2471">
        <f>C22+D22+E22+F22+G22</f>
        <v>60171956.217485517</v>
      </c>
    </row>
    <row r="23" spans="2:10" customFormat="1" ht="12.6" customHeight="1">
      <c r="B23" s="2436" t="s">
        <v>422</v>
      </c>
      <c r="C23" s="2401"/>
      <c r="D23" s="2401"/>
      <c r="E23" s="2401"/>
      <c r="F23" s="2401"/>
      <c r="G23" s="2401"/>
      <c r="H23" s="2471">
        <v>1319977</v>
      </c>
    </row>
    <row r="24" spans="2:10">
      <c r="B24" s="2466" t="s">
        <v>118</v>
      </c>
      <c r="C24" s="2402">
        <f t="shared" ref="C24:H24" si="1">C22+C23</f>
        <v>2115643.3968015276</v>
      </c>
      <c r="D24" s="2402">
        <f t="shared" si="1"/>
        <v>410595.43768124643</v>
      </c>
      <c r="E24" s="2402">
        <f t="shared" si="1"/>
        <v>35488326.17749723</v>
      </c>
      <c r="F24" s="2402">
        <f t="shared" si="1"/>
        <v>20382215.162688725</v>
      </c>
      <c r="G24" s="2402">
        <f t="shared" si="1"/>
        <v>1775176.0428167866</v>
      </c>
      <c r="H24" s="2402">
        <f t="shared" si="1"/>
        <v>61491933.217485517</v>
      </c>
    </row>
    <row r="25" spans="2:10">
      <c r="B25" s="218"/>
      <c r="C25" s="218"/>
      <c r="D25" s="218"/>
      <c r="E25" s="218"/>
      <c r="F25" s="218"/>
      <c r="G25" s="218"/>
      <c r="H25" s="218"/>
    </row>
    <row r="26" spans="2:10">
      <c r="B26" s="3450" t="s">
        <v>555</v>
      </c>
      <c r="C26" s="3450"/>
      <c r="D26" s="3450"/>
      <c r="E26" s="3450"/>
      <c r="F26" s="3450"/>
      <c r="G26" s="3450"/>
    </row>
    <row r="27" spans="2:10">
      <c r="B27" s="218"/>
      <c r="G27" s="3507" t="s">
        <v>238</v>
      </c>
      <c r="H27" s="3507"/>
    </row>
    <row r="28" spans="2:10">
      <c r="B28" s="3504" t="s">
        <v>84</v>
      </c>
      <c r="C28" s="3506" t="s">
        <v>520</v>
      </c>
      <c r="D28" s="3498" t="s">
        <v>552</v>
      </c>
      <c r="E28" s="3498" t="s">
        <v>522</v>
      </c>
      <c r="F28" s="3501" t="s">
        <v>553</v>
      </c>
      <c r="G28" s="3501" t="s">
        <v>554</v>
      </c>
      <c r="H28" s="3498" t="s">
        <v>543</v>
      </c>
    </row>
    <row r="29" spans="2:10">
      <c r="B29" s="3486"/>
      <c r="C29" s="3469"/>
      <c r="D29" s="3499"/>
      <c r="E29" s="3499"/>
      <c r="F29" s="3502"/>
      <c r="G29" s="3502"/>
      <c r="H29" s="3499"/>
    </row>
    <row r="30" spans="2:10">
      <c r="B30" s="3505"/>
      <c r="C30" s="3459"/>
      <c r="D30" s="3500"/>
      <c r="E30" s="3500"/>
      <c r="F30" s="3503"/>
      <c r="G30" s="3503"/>
      <c r="H30" s="3500"/>
    </row>
    <row r="31" spans="2:10">
      <c r="B31" s="2420" t="s">
        <v>91</v>
      </c>
      <c r="C31" s="1822">
        <v>996836.47070513363</v>
      </c>
      <c r="D31" s="1822">
        <v>203626.16415743975</v>
      </c>
      <c r="E31" s="1822">
        <v>3467073.8783741472</v>
      </c>
      <c r="F31" s="1822">
        <v>850150</v>
      </c>
      <c r="G31" s="3089">
        <v>-5512.198740262399</v>
      </c>
      <c r="H31" s="2471">
        <f>C31+D31+E31+F31+G31</f>
        <v>5512174.3144964576</v>
      </c>
      <c r="J31" s="396"/>
    </row>
    <row r="32" spans="2:10">
      <c r="B32" s="2420" t="s">
        <v>94</v>
      </c>
      <c r="C32" s="1822">
        <v>32370</v>
      </c>
      <c r="D32" s="1822">
        <v>33456</v>
      </c>
      <c r="E32" s="1822">
        <v>493631</v>
      </c>
      <c r="F32" s="1822">
        <v>262409</v>
      </c>
      <c r="G32" s="3089">
        <v>50095</v>
      </c>
      <c r="H32" s="2471">
        <f>C32+D32+E32+F32+G32</f>
        <v>871961</v>
      </c>
      <c r="J32" s="396"/>
    </row>
    <row r="33" spans="2:10">
      <c r="B33" s="2420" t="s">
        <v>97</v>
      </c>
      <c r="C33" s="1824">
        <v>673930</v>
      </c>
      <c r="D33" s="1824">
        <v>125820</v>
      </c>
      <c r="E33" s="1822">
        <v>4121503</v>
      </c>
      <c r="F33" s="1824">
        <v>1590350</v>
      </c>
      <c r="G33" s="3089">
        <v>551938</v>
      </c>
      <c r="H33" s="2471">
        <f t="shared" ref="H33:H44" si="2">C33+D33+E33+F33+G33</f>
        <v>7063541</v>
      </c>
      <c r="J33" s="396"/>
    </row>
    <row r="34" spans="2:10">
      <c r="B34" s="2420" t="s">
        <v>128</v>
      </c>
      <c r="C34" s="1822">
        <v>18443</v>
      </c>
      <c r="D34" s="2465">
        <v>-15</v>
      </c>
      <c r="E34" s="1822">
        <v>1108236</v>
      </c>
      <c r="F34" s="1822">
        <v>714746</v>
      </c>
      <c r="G34" s="3089">
        <v>10497</v>
      </c>
      <c r="H34" s="2471">
        <f t="shared" si="2"/>
        <v>1851907</v>
      </c>
      <c r="J34" s="396"/>
    </row>
    <row r="35" spans="2:10">
      <c r="B35" s="2420" t="s">
        <v>101</v>
      </c>
      <c r="C35" s="1824">
        <v>27317</v>
      </c>
      <c r="D35" s="1824">
        <v>9054</v>
      </c>
      <c r="E35" s="1822">
        <v>1831679</v>
      </c>
      <c r="F35" s="1824">
        <v>153471</v>
      </c>
      <c r="G35" s="3089">
        <v>103694</v>
      </c>
      <c r="H35" s="2471">
        <f t="shared" si="2"/>
        <v>2125215</v>
      </c>
      <c r="J35" s="396"/>
    </row>
    <row r="36" spans="2:10">
      <c r="B36" s="1747" t="s">
        <v>102</v>
      </c>
      <c r="C36" s="1822">
        <v>79409</v>
      </c>
      <c r="D36" s="1822">
        <v>48826</v>
      </c>
      <c r="E36" s="1822">
        <v>2286394</v>
      </c>
      <c r="F36" s="1822">
        <v>1401810</v>
      </c>
      <c r="G36" s="3089">
        <v>66912</v>
      </c>
      <c r="H36" s="2471">
        <f t="shared" si="2"/>
        <v>3883351</v>
      </c>
      <c r="J36" s="396"/>
    </row>
    <row r="37" spans="2:10">
      <c r="B37" s="2420" t="s">
        <v>104</v>
      </c>
      <c r="C37" s="1824">
        <v>29124</v>
      </c>
      <c r="D37" s="1824">
        <v>3759</v>
      </c>
      <c r="E37" s="1822">
        <v>1928709</v>
      </c>
      <c r="F37" s="1824">
        <v>599085</v>
      </c>
      <c r="G37" s="3089">
        <v>18077</v>
      </c>
      <c r="H37" s="2471">
        <f t="shared" si="2"/>
        <v>2578754</v>
      </c>
      <c r="J37" s="396"/>
    </row>
    <row r="38" spans="2:10">
      <c r="B38" s="2420" t="s">
        <v>108</v>
      </c>
      <c r="C38" s="1824">
        <v>317121</v>
      </c>
      <c r="D38" s="1824">
        <v>4531</v>
      </c>
      <c r="E38" s="1822">
        <v>2308354</v>
      </c>
      <c r="F38" s="2472"/>
      <c r="G38" s="3089">
        <v>37812</v>
      </c>
      <c r="H38" s="2471">
        <f t="shared" si="2"/>
        <v>2667818</v>
      </c>
      <c r="J38" s="396"/>
    </row>
    <row r="39" spans="2:10">
      <c r="B39" s="2420" t="s">
        <v>109</v>
      </c>
      <c r="C39" s="2473">
        <v>-780</v>
      </c>
      <c r="D39" s="2473">
        <v>29</v>
      </c>
      <c r="E39" s="1822">
        <v>134151</v>
      </c>
      <c r="F39" s="1824">
        <v>15464</v>
      </c>
      <c r="G39" s="3089">
        <v>5503</v>
      </c>
      <c r="H39" s="2471">
        <f t="shared" si="2"/>
        <v>154367</v>
      </c>
      <c r="J39" s="396"/>
    </row>
    <row r="40" spans="2:10">
      <c r="B40" s="2420" t="s">
        <v>111</v>
      </c>
      <c r="C40" s="1824">
        <v>5883</v>
      </c>
      <c r="D40" s="1824">
        <v>2012</v>
      </c>
      <c r="E40" s="1822">
        <v>751597</v>
      </c>
      <c r="F40" s="1824">
        <v>103703</v>
      </c>
      <c r="G40" s="1824">
        <v>2700</v>
      </c>
      <c r="H40" s="2471">
        <f t="shared" si="2"/>
        <v>865895</v>
      </c>
      <c r="J40" s="396"/>
    </row>
    <row r="41" spans="2:10">
      <c r="B41" s="2420" t="s">
        <v>112</v>
      </c>
      <c r="C41" s="1824">
        <v>33945</v>
      </c>
      <c r="D41" s="1824">
        <v>20579</v>
      </c>
      <c r="E41" s="1822">
        <v>2635054</v>
      </c>
      <c r="F41" s="1824">
        <v>213438</v>
      </c>
      <c r="G41" s="3089">
        <v>91302</v>
      </c>
      <c r="H41" s="2471">
        <f t="shared" si="2"/>
        <v>2994318</v>
      </c>
      <c r="J41" s="396"/>
    </row>
    <row r="42" spans="2:10">
      <c r="B42" s="2420" t="s">
        <v>114</v>
      </c>
      <c r="C42" s="1824">
        <v>5430</v>
      </c>
      <c r="D42" s="2396"/>
      <c r="E42" s="1822">
        <v>229151</v>
      </c>
      <c r="F42" s="1824">
        <v>5034</v>
      </c>
      <c r="G42" s="1792">
        <v>30348</v>
      </c>
      <c r="H42" s="2471">
        <f t="shared" si="2"/>
        <v>269963</v>
      </c>
      <c r="J42" s="396"/>
    </row>
    <row r="43" spans="2:10">
      <c r="B43" s="2420" t="s">
        <v>115</v>
      </c>
      <c r="C43" s="1824">
        <v>209943</v>
      </c>
      <c r="D43" s="1824">
        <v>53723</v>
      </c>
      <c r="E43" s="1822">
        <v>5024047</v>
      </c>
      <c r="F43" s="1824">
        <v>4613612</v>
      </c>
      <c r="G43" s="3089">
        <v>305265</v>
      </c>
      <c r="H43" s="2471">
        <f t="shared" si="2"/>
        <v>10206590</v>
      </c>
      <c r="J43" s="396"/>
    </row>
    <row r="44" spans="2:10">
      <c r="B44" s="2420" t="s">
        <v>110</v>
      </c>
      <c r="C44" s="2473">
        <v>49</v>
      </c>
      <c r="D44" s="1824">
        <v>13787</v>
      </c>
      <c r="E44" s="1822">
        <v>202355</v>
      </c>
      <c r="F44" s="1824">
        <v>6759392</v>
      </c>
      <c r="G44" s="1824">
        <v>217236</v>
      </c>
      <c r="H44" s="2471">
        <f t="shared" si="2"/>
        <v>7192819</v>
      </c>
      <c r="J44" s="396"/>
    </row>
    <row r="45" spans="2:10">
      <c r="B45" s="2466" t="s">
        <v>544</v>
      </c>
      <c r="C45" s="2402">
        <f>SUM(C31:C44)</f>
        <v>2429020.4707051339</v>
      </c>
      <c r="D45" s="2402">
        <f>SUM(D31:D44)</f>
        <v>519187.16415743972</v>
      </c>
      <c r="E45" s="2402">
        <f>SUM(E31:E44)</f>
        <v>26521934.878374148</v>
      </c>
      <c r="F45" s="2402">
        <f>SUM(F31:F44)</f>
        <v>17282664</v>
      </c>
      <c r="G45" s="2402">
        <f>SUM(G31:G44)</f>
        <v>1485866.8012597375</v>
      </c>
      <c r="H45" s="2471">
        <f>C45+D45+E45+F45+G45</f>
        <v>48238673.314496458</v>
      </c>
      <c r="I45" s="396"/>
      <c r="J45" s="396"/>
    </row>
    <row r="46" spans="2:10">
      <c r="B46" s="2436" t="s">
        <v>422</v>
      </c>
      <c r="C46" s="2401"/>
      <c r="D46" s="2401"/>
      <c r="E46" s="2401"/>
      <c r="F46" s="2401"/>
      <c r="G46" s="2401"/>
      <c r="H46" s="2471">
        <v>36899</v>
      </c>
      <c r="J46" s="396"/>
    </row>
    <row r="47" spans="2:10">
      <c r="B47" s="2466" t="s">
        <v>118</v>
      </c>
      <c r="C47" s="2402">
        <f t="shared" ref="C47:H47" si="3">C45+C46</f>
        <v>2429020.4707051339</v>
      </c>
      <c r="D47" s="2402">
        <f t="shared" si="3"/>
        <v>519187.16415743972</v>
      </c>
      <c r="E47" s="2402">
        <f t="shared" si="3"/>
        <v>26521934.878374148</v>
      </c>
      <c r="F47" s="2402">
        <f t="shared" si="3"/>
        <v>17282664</v>
      </c>
      <c r="G47" s="2402">
        <f t="shared" si="3"/>
        <v>1485866.8012597375</v>
      </c>
      <c r="H47" s="2402">
        <f t="shared" si="3"/>
        <v>48275572.314496458</v>
      </c>
      <c r="J47" s="396"/>
    </row>
    <row r="48" spans="2:10">
      <c r="B48" s="218"/>
      <c r="C48" s="218"/>
      <c r="D48" s="218"/>
      <c r="E48" s="218"/>
      <c r="F48" s="218"/>
      <c r="G48" s="218"/>
      <c r="H48" s="218"/>
      <c r="J48" s="396"/>
    </row>
    <row r="49" spans="1:15">
      <c r="B49" s="218"/>
      <c r="C49" s="218"/>
      <c r="D49" s="218"/>
      <c r="E49" s="218"/>
      <c r="F49" s="218"/>
      <c r="G49" s="218"/>
      <c r="H49" s="293">
        <v>158</v>
      </c>
    </row>
    <row r="50" spans="1:15">
      <c r="B50" s="218"/>
      <c r="C50" s="218"/>
      <c r="D50" s="218"/>
      <c r="E50" s="218"/>
      <c r="F50" s="218"/>
      <c r="G50" s="218"/>
      <c r="H50" s="218"/>
    </row>
    <row r="51" spans="1:15">
      <c r="B51" s="3450" t="s">
        <v>556</v>
      </c>
      <c r="C51" s="3450"/>
      <c r="D51" s="3450"/>
      <c r="E51" s="3450"/>
      <c r="F51" s="3450"/>
      <c r="G51" s="3450"/>
    </row>
    <row r="52" spans="1:15">
      <c r="B52" s="218"/>
      <c r="G52" s="3507" t="s">
        <v>238</v>
      </c>
      <c r="H52" s="3507"/>
    </row>
    <row r="53" spans="1:15">
      <c r="B53" s="3504" t="s">
        <v>84</v>
      </c>
      <c r="C53" s="3506" t="s">
        <v>520</v>
      </c>
      <c r="D53" s="3498" t="s">
        <v>552</v>
      </c>
      <c r="E53" s="3498" t="s">
        <v>522</v>
      </c>
      <c r="F53" s="3501" t="s">
        <v>553</v>
      </c>
      <c r="G53" s="3501" t="s">
        <v>554</v>
      </c>
      <c r="H53" s="3498" t="s">
        <v>543</v>
      </c>
    </row>
    <row r="54" spans="1:15">
      <c r="B54" s="3486"/>
      <c r="C54" s="3469"/>
      <c r="D54" s="3499"/>
      <c r="E54" s="3499"/>
      <c r="F54" s="3502"/>
      <c r="G54" s="3502"/>
      <c r="H54" s="3499"/>
    </row>
    <row r="55" spans="1:15">
      <c r="B55" s="3505"/>
      <c r="C55" s="3459"/>
      <c r="D55" s="3500"/>
      <c r="E55" s="3500"/>
      <c r="F55" s="3503"/>
      <c r="G55" s="3503"/>
      <c r="H55" s="3500"/>
    </row>
    <row r="56" spans="1:15">
      <c r="A56" s="471"/>
      <c r="B56" s="2420" t="s">
        <v>91</v>
      </c>
      <c r="C56" s="1822">
        <v>1282938</v>
      </c>
      <c r="D56" s="1822">
        <v>66907</v>
      </c>
      <c r="E56" s="1822">
        <v>4238735</v>
      </c>
      <c r="F56" s="1822">
        <v>1511607</v>
      </c>
      <c r="G56" s="1822">
        <v>248836</v>
      </c>
      <c r="H56" s="2474">
        <f>C56+D56+E56+F56+G56</f>
        <v>7349023</v>
      </c>
      <c r="J56" s="396"/>
      <c r="K56" s="396"/>
      <c r="L56" s="396"/>
      <c r="M56" s="396"/>
      <c r="N56" s="396"/>
      <c r="O56" s="396"/>
    </row>
    <row r="57" spans="1:15">
      <c r="A57" s="471"/>
      <c r="B57" s="2420" t="s">
        <v>94</v>
      </c>
      <c r="C57" s="1822">
        <v>21897</v>
      </c>
      <c r="D57" s="1822">
        <v>17353</v>
      </c>
      <c r="E57" s="1822">
        <v>472014</v>
      </c>
      <c r="F57" s="1822">
        <v>180920</v>
      </c>
      <c r="G57" s="1822">
        <v>46691</v>
      </c>
      <c r="H57" s="2474">
        <f>C57+D57+E57+F57+G57</f>
        <v>738875</v>
      </c>
      <c r="J57" s="396"/>
      <c r="K57" s="396"/>
      <c r="L57" s="396"/>
      <c r="M57" s="396"/>
      <c r="N57" s="396"/>
      <c r="O57" s="396"/>
    </row>
    <row r="58" spans="1:15">
      <c r="A58" s="471"/>
      <c r="B58" s="2420" t="s">
        <v>97</v>
      </c>
      <c r="C58" s="1824">
        <v>334092</v>
      </c>
      <c r="D58" s="1824">
        <v>65837</v>
      </c>
      <c r="E58" s="1822">
        <v>4698355</v>
      </c>
      <c r="F58" s="1824">
        <v>1090576</v>
      </c>
      <c r="G58" s="1824">
        <v>446339</v>
      </c>
      <c r="H58" s="2474">
        <f t="shared" ref="H58:H69" si="4">C58+D58+E58+F58+G58</f>
        <v>6635199</v>
      </c>
      <c r="J58" s="396"/>
      <c r="K58" s="396"/>
      <c r="L58" s="396"/>
      <c r="M58" s="396"/>
      <c r="N58" s="396"/>
      <c r="O58" s="396"/>
    </row>
    <row r="59" spans="1:15">
      <c r="A59" s="471"/>
      <c r="B59" s="2420" t="s">
        <v>128</v>
      </c>
      <c r="C59" s="1822">
        <v>-2219</v>
      </c>
      <c r="D59" s="2465">
        <v>831</v>
      </c>
      <c r="E59" s="1822">
        <v>1343003</v>
      </c>
      <c r="F59" s="1822">
        <v>403849</v>
      </c>
      <c r="G59" s="1822">
        <v>23453</v>
      </c>
      <c r="H59" s="2474">
        <f t="shared" si="4"/>
        <v>1768917</v>
      </c>
      <c r="J59" s="396"/>
      <c r="K59" s="396"/>
      <c r="L59" s="396"/>
      <c r="M59" s="396"/>
      <c r="N59" s="396"/>
      <c r="O59" s="396"/>
    </row>
    <row r="60" spans="1:15">
      <c r="A60" s="471"/>
      <c r="B60" s="2420" t="s">
        <v>101</v>
      </c>
      <c r="C60" s="1824">
        <v>24019</v>
      </c>
      <c r="D60" s="1824">
        <v>1398</v>
      </c>
      <c r="E60" s="1822">
        <v>1847385</v>
      </c>
      <c r="F60" s="1824">
        <v>68792</v>
      </c>
      <c r="G60" s="1824">
        <v>41146</v>
      </c>
      <c r="H60" s="2474">
        <f t="shared" si="4"/>
        <v>1982740</v>
      </c>
      <c r="J60" s="396"/>
      <c r="K60" s="396"/>
      <c r="L60" s="396"/>
      <c r="M60" s="396"/>
      <c r="N60" s="396"/>
      <c r="O60" s="396"/>
    </row>
    <row r="61" spans="1:15">
      <c r="A61" s="471"/>
      <c r="B61" s="1747" t="s">
        <v>102</v>
      </c>
      <c r="C61" s="1822">
        <v>121093</v>
      </c>
      <c r="D61" s="1822">
        <v>54707</v>
      </c>
      <c r="E61" s="1822">
        <v>2175098</v>
      </c>
      <c r="F61" s="1822">
        <v>1421621</v>
      </c>
      <c r="G61" s="1822">
        <v>103187</v>
      </c>
      <c r="H61" s="2474">
        <f t="shared" si="4"/>
        <v>3875706</v>
      </c>
      <c r="J61" s="396"/>
      <c r="K61" s="396"/>
      <c r="L61" s="396"/>
      <c r="M61" s="396"/>
      <c r="N61" s="396"/>
      <c r="O61" s="396"/>
    </row>
    <row r="62" spans="1:15">
      <c r="A62" s="471"/>
      <c r="B62" s="2420" t="s">
        <v>104</v>
      </c>
      <c r="C62" s="1824">
        <v>26365</v>
      </c>
      <c r="D62" s="1824">
        <v>1942</v>
      </c>
      <c r="E62" s="1822">
        <v>1744471</v>
      </c>
      <c r="F62" s="1824">
        <v>267647</v>
      </c>
      <c r="G62" s="1824">
        <v>24077</v>
      </c>
      <c r="H62" s="2474">
        <f t="shared" si="4"/>
        <v>2064502</v>
      </c>
      <c r="J62" s="396"/>
      <c r="K62" s="396"/>
      <c r="L62" s="396"/>
      <c r="M62" s="396"/>
      <c r="N62" s="396"/>
      <c r="O62" s="396"/>
    </row>
    <row r="63" spans="1:15">
      <c r="A63" s="471"/>
      <c r="B63" s="2420" t="s">
        <v>108</v>
      </c>
      <c r="C63" s="1824">
        <v>67520</v>
      </c>
      <c r="D63" s="1824">
        <v>1622</v>
      </c>
      <c r="E63" s="1822">
        <v>1683838</v>
      </c>
      <c r="F63" s="2472"/>
      <c r="G63" s="1824">
        <v>15370</v>
      </c>
      <c r="H63" s="2474">
        <f t="shared" si="4"/>
        <v>1768350</v>
      </c>
      <c r="J63" s="396"/>
      <c r="K63" s="396"/>
      <c r="L63" s="396"/>
      <c r="M63" s="396"/>
      <c r="N63" s="396"/>
      <c r="O63" s="396"/>
    </row>
    <row r="64" spans="1:15">
      <c r="A64" s="471"/>
      <c r="B64" s="2420" t="s">
        <v>109</v>
      </c>
      <c r="C64" s="2473">
        <v>-67</v>
      </c>
      <c r="D64" s="2473">
        <v>-712</v>
      </c>
      <c r="E64" s="1822">
        <v>107809</v>
      </c>
      <c r="F64" s="1685"/>
      <c r="G64" s="1824">
        <v>12123</v>
      </c>
      <c r="H64" s="2474">
        <f t="shared" si="4"/>
        <v>119153</v>
      </c>
      <c r="J64" s="396"/>
      <c r="K64" s="396"/>
      <c r="L64" s="396"/>
      <c r="M64" s="396"/>
      <c r="N64" s="396"/>
      <c r="O64" s="396"/>
    </row>
    <row r="65" spans="1:15">
      <c r="A65" s="471"/>
      <c r="B65" s="2420" t="s">
        <v>111</v>
      </c>
      <c r="C65" s="1824">
        <v>2520</v>
      </c>
      <c r="D65" s="2473">
        <v>603</v>
      </c>
      <c r="E65" s="1822">
        <v>616487</v>
      </c>
      <c r="F65" s="1824">
        <v>74774</v>
      </c>
      <c r="G65" s="1824">
        <v>10025</v>
      </c>
      <c r="H65" s="2474">
        <f t="shared" si="4"/>
        <v>704409</v>
      </c>
      <c r="J65" s="396"/>
      <c r="K65" s="396"/>
      <c r="L65" s="396"/>
      <c r="M65" s="396"/>
      <c r="N65" s="396"/>
      <c r="O65" s="396"/>
    </row>
    <row r="66" spans="1:15">
      <c r="A66" s="471"/>
      <c r="B66" s="2420" t="s">
        <v>112</v>
      </c>
      <c r="C66" s="1824">
        <v>69463</v>
      </c>
      <c r="D66" s="1824">
        <v>1267</v>
      </c>
      <c r="E66" s="1822">
        <v>2349970</v>
      </c>
      <c r="F66" s="1824">
        <v>156118</v>
      </c>
      <c r="G66" s="1824">
        <v>122735</v>
      </c>
      <c r="H66" s="2474">
        <f t="shared" si="4"/>
        <v>2699553</v>
      </c>
      <c r="J66" s="396"/>
      <c r="K66" s="396"/>
      <c r="L66" s="396"/>
      <c r="M66" s="396"/>
      <c r="N66" s="396"/>
      <c r="O66" s="396"/>
    </row>
    <row r="67" spans="1:15">
      <c r="A67" s="471"/>
      <c r="B67" s="2420" t="s">
        <v>114</v>
      </c>
      <c r="C67" s="1824">
        <v>1697</v>
      </c>
      <c r="D67" s="2396"/>
      <c r="E67" s="1822">
        <v>245924</v>
      </c>
      <c r="F67" s="1824">
        <v>9497</v>
      </c>
      <c r="G67" s="1824">
        <v>55447</v>
      </c>
      <c r="H67" s="2474">
        <f t="shared" si="4"/>
        <v>312565</v>
      </c>
      <c r="J67" s="396"/>
      <c r="K67" s="396"/>
      <c r="L67" s="396"/>
      <c r="M67" s="396"/>
      <c r="N67" s="396"/>
      <c r="O67" s="396"/>
    </row>
    <row r="68" spans="1:15">
      <c r="A68" s="471"/>
      <c r="B68" s="2420" t="s">
        <v>115</v>
      </c>
      <c r="C68" s="1824">
        <v>90062</v>
      </c>
      <c r="D68" s="1824">
        <v>44845</v>
      </c>
      <c r="E68" s="1822">
        <v>5132663</v>
      </c>
      <c r="F68" s="1824">
        <v>1946352</v>
      </c>
      <c r="G68" s="1824">
        <v>572298</v>
      </c>
      <c r="H68" s="2474">
        <f t="shared" si="4"/>
        <v>7786220</v>
      </c>
      <c r="J68" s="396"/>
      <c r="K68" s="396"/>
      <c r="L68" s="396"/>
      <c r="M68" s="396"/>
      <c r="N68" s="396"/>
      <c r="O68" s="396"/>
    </row>
    <row r="69" spans="1:15">
      <c r="A69" s="471"/>
      <c r="B69" s="2420" t="s">
        <v>110</v>
      </c>
      <c r="C69" s="2473">
        <v>104</v>
      </c>
      <c r="D69" s="1824">
        <v>20772</v>
      </c>
      <c r="E69" s="1822">
        <v>235519</v>
      </c>
      <c r="F69" s="1824">
        <v>4968164</v>
      </c>
      <c r="G69" s="1824">
        <v>-495885</v>
      </c>
      <c r="H69" s="2474">
        <f t="shared" si="4"/>
        <v>4728674</v>
      </c>
      <c r="J69" s="396"/>
      <c r="K69" s="396"/>
      <c r="L69" s="396"/>
      <c r="M69" s="396"/>
      <c r="N69" s="396"/>
      <c r="O69" s="396"/>
    </row>
    <row r="70" spans="1:15">
      <c r="A70" s="471"/>
      <c r="B70" s="2432" t="s">
        <v>544</v>
      </c>
      <c r="C70" s="2400">
        <f>SUM(C56:C69)</f>
        <v>2039484</v>
      </c>
      <c r="D70" s="2400">
        <f>SUM(D56:D69)</f>
        <v>277372</v>
      </c>
      <c r="E70" s="2400">
        <f>SUM(E56:E69)</f>
        <v>26891271</v>
      </c>
      <c r="F70" s="2400">
        <f>SUM(F56:F69)</f>
        <v>12099917</v>
      </c>
      <c r="G70" s="2400">
        <f>SUM(G56:G69)</f>
        <v>1225842</v>
      </c>
      <c r="H70" s="2474">
        <f>C70+D70+E70+F70+G70</f>
        <v>42533886</v>
      </c>
      <c r="J70" s="396"/>
      <c r="K70" s="396"/>
      <c r="L70" s="396"/>
      <c r="M70" s="396"/>
      <c r="N70" s="396"/>
      <c r="O70" s="396"/>
    </row>
    <row r="71" spans="1:15">
      <c r="B71" s="2436" t="s">
        <v>422</v>
      </c>
      <c r="C71" s="2401"/>
      <c r="D71" s="2401"/>
      <c r="E71" s="2401"/>
      <c r="F71" s="2401"/>
      <c r="G71" s="2401"/>
      <c r="H71" s="2474">
        <v>-14382</v>
      </c>
      <c r="J71" s="396"/>
      <c r="K71" s="396"/>
      <c r="L71" s="396"/>
      <c r="M71" s="396"/>
      <c r="N71" s="396"/>
      <c r="O71" s="396"/>
    </row>
    <row r="72" spans="1:15">
      <c r="B72" s="2432" t="s">
        <v>118</v>
      </c>
      <c r="C72" s="2400">
        <f t="shared" ref="C72:H72" si="5">C70+C71</f>
        <v>2039484</v>
      </c>
      <c r="D72" s="2400">
        <f t="shared" si="5"/>
        <v>277372</v>
      </c>
      <c r="E72" s="2400">
        <f t="shared" si="5"/>
        <v>26891271</v>
      </c>
      <c r="F72" s="2400">
        <f t="shared" si="5"/>
        <v>12099917</v>
      </c>
      <c r="G72" s="2400">
        <f t="shared" si="5"/>
        <v>1225842</v>
      </c>
      <c r="H72" s="2400">
        <f t="shared" si="5"/>
        <v>42519504</v>
      </c>
      <c r="J72" s="396"/>
      <c r="K72" s="396"/>
      <c r="L72" s="396"/>
      <c r="M72" s="396"/>
      <c r="N72" s="396"/>
      <c r="O72" s="396"/>
    </row>
    <row r="73" spans="1:15">
      <c r="B73" s="218"/>
      <c r="C73" s="383"/>
      <c r="D73" s="383"/>
      <c r="E73" s="383"/>
      <c r="F73" s="383"/>
      <c r="G73" s="383"/>
      <c r="H73" s="383"/>
      <c r="I73" s="396"/>
      <c r="J73" s="396"/>
      <c r="K73" s="396"/>
      <c r="L73" s="396"/>
      <c r="M73" s="396"/>
      <c r="N73" s="396"/>
      <c r="O73" s="396"/>
    </row>
    <row r="74" spans="1:15">
      <c r="B74" s="218"/>
      <c r="C74" s="383"/>
      <c r="D74" s="383"/>
      <c r="E74" s="383"/>
      <c r="F74" s="383"/>
      <c r="G74" s="383"/>
      <c r="H74" s="293">
        <v>159</v>
      </c>
      <c r="I74" s="396"/>
      <c r="J74" s="396"/>
      <c r="K74" s="396"/>
      <c r="L74" s="396"/>
      <c r="M74" s="396"/>
      <c r="N74" s="396"/>
      <c r="O74" s="396"/>
    </row>
    <row r="75" spans="1:15">
      <c r="B75" s="218"/>
      <c r="C75" s="383"/>
      <c r="D75" s="383"/>
      <c r="E75" s="383"/>
      <c r="F75" s="383"/>
      <c r="G75" s="383"/>
      <c r="H75" s="293"/>
      <c r="I75" s="396"/>
      <c r="J75" s="396"/>
      <c r="K75" s="396"/>
      <c r="L75" s="396"/>
      <c r="M75" s="396"/>
      <c r="N75" s="396"/>
      <c r="O75" s="396"/>
    </row>
    <row r="76" spans="1:15">
      <c r="B76" s="3450" t="s">
        <v>557</v>
      </c>
      <c r="C76" s="3450"/>
      <c r="D76" s="3450"/>
      <c r="E76" s="3450"/>
      <c r="F76" s="3450"/>
      <c r="G76" s="3450"/>
      <c r="H76" s="293"/>
      <c r="I76" s="396"/>
      <c r="J76" s="396"/>
      <c r="K76" s="396"/>
      <c r="L76" s="396"/>
      <c r="M76" s="396"/>
      <c r="N76" s="396"/>
      <c r="O76" s="396"/>
    </row>
    <row r="77" spans="1:15">
      <c r="B77" s="218"/>
      <c r="C77" s="383"/>
      <c r="D77" s="383"/>
      <c r="E77" s="383"/>
      <c r="F77" s="383"/>
      <c r="G77" s="3507" t="s">
        <v>238</v>
      </c>
      <c r="H77" s="3507"/>
      <c r="I77" s="396"/>
      <c r="J77" s="396"/>
      <c r="K77" s="396"/>
      <c r="L77" s="396"/>
      <c r="M77" s="396"/>
      <c r="N77" s="396"/>
      <c r="O77" s="396"/>
    </row>
    <row r="78" spans="1:15">
      <c r="B78" s="3504" t="s">
        <v>84</v>
      </c>
      <c r="C78" s="3506" t="s">
        <v>520</v>
      </c>
      <c r="D78" s="3498" t="s">
        <v>552</v>
      </c>
      <c r="E78" s="3498" t="s">
        <v>522</v>
      </c>
      <c r="F78" s="3501" t="s">
        <v>553</v>
      </c>
      <c r="G78" s="3501" t="s">
        <v>554</v>
      </c>
      <c r="H78" s="3498" t="s">
        <v>543</v>
      </c>
      <c r="I78" s="396"/>
      <c r="J78" s="396"/>
      <c r="K78" s="396"/>
      <c r="L78" s="396"/>
      <c r="M78" s="396"/>
      <c r="N78" s="396"/>
      <c r="O78" s="396"/>
    </row>
    <row r="79" spans="1:15">
      <c r="B79" s="3486"/>
      <c r="C79" s="3469"/>
      <c r="D79" s="3499"/>
      <c r="E79" s="3499"/>
      <c r="F79" s="3502"/>
      <c r="G79" s="3502"/>
      <c r="H79" s="3499"/>
      <c r="I79" s="396"/>
      <c r="J79" s="396"/>
      <c r="K79" s="396"/>
      <c r="L79" s="396"/>
      <c r="M79" s="396"/>
      <c r="N79" s="396"/>
      <c r="O79" s="396"/>
    </row>
    <row r="80" spans="1:15">
      <c r="B80" s="3505"/>
      <c r="C80" s="3459"/>
      <c r="D80" s="3500"/>
      <c r="E80" s="3500"/>
      <c r="F80" s="3503"/>
      <c r="G80" s="3503"/>
      <c r="H80" s="3500"/>
      <c r="I80" s="396"/>
      <c r="J80" s="396"/>
      <c r="K80" s="396"/>
      <c r="L80" s="396"/>
      <c r="M80" s="396"/>
      <c r="N80" s="396"/>
      <c r="O80" s="396"/>
    </row>
    <row r="81" spans="2:15">
      <c r="B81" s="2420" t="s">
        <v>91</v>
      </c>
      <c r="C81" s="1717">
        <v>1506945.4387900003</v>
      </c>
      <c r="D81" s="1717">
        <v>131541.11340999999</v>
      </c>
      <c r="E81" s="1717">
        <v>6447983.511429999</v>
      </c>
      <c r="F81" s="1678">
        <v>6045525.4865199989</v>
      </c>
      <c r="G81" s="1678">
        <v>552697.13646000007</v>
      </c>
      <c r="H81" s="2475">
        <f>C81+D81+E81+F81+G81</f>
        <v>14684692.68661</v>
      </c>
      <c r="I81" s="396"/>
      <c r="J81" s="396"/>
      <c r="K81" s="396"/>
      <c r="L81" s="396"/>
      <c r="M81" s="396"/>
      <c r="N81" s="396"/>
      <c r="O81" s="396"/>
    </row>
    <row r="82" spans="2:15">
      <c r="B82" s="2420" t="s">
        <v>94</v>
      </c>
      <c r="C82" s="1717">
        <v>17191.735011173492</v>
      </c>
      <c r="D82" s="1717">
        <v>40048.991645230199</v>
      </c>
      <c r="E82" s="1717">
        <v>683133.54857575474</v>
      </c>
      <c r="F82" s="1678">
        <v>223256.84974293146</v>
      </c>
      <c r="G82" s="1678">
        <v>91475.848445405019</v>
      </c>
      <c r="H82" s="2475">
        <f>C82+D82+E82+F82+G82</f>
        <v>1055106.9734204949</v>
      </c>
      <c r="I82" s="396"/>
      <c r="J82" s="396"/>
      <c r="K82" s="396"/>
      <c r="L82" s="396"/>
      <c r="M82" s="396"/>
      <c r="N82" s="396"/>
      <c r="O82" s="396"/>
    </row>
    <row r="83" spans="2:15">
      <c r="B83" s="2420" t="s">
        <v>97</v>
      </c>
      <c r="C83" s="1717">
        <v>635621</v>
      </c>
      <c r="D83" s="1717">
        <v>114897</v>
      </c>
      <c r="E83" s="1717">
        <v>5736214</v>
      </c>
      <c r="F83" s="1678">
        <v>1242378</v>
      </c>
      <c r="G83" s="1678">
        <v>524484</v>
      </c>
      <c r="H83" s="2475">
        <f t="shared" ref="H83:H94" si="6">C83+D83+E83+F83+G83</f>
        <v>8253594</v>
      </c>
      <c r="I83" s="396"/>
      <c r="J83" s="396"/>
      <c r="K83" s="396"/>
      <c r="L83" s="396"/>
      <c r="M83" s="396"/>
      <c r="N83" s="396"/>
      <c r="O83" s="396"/>
    </row>
    <row r="84" spans="2:15">
      <c r="B84" s="2420" t="s">
        <v>128</v>
      </c>
      <c r="C84" s="1717">
        <v>53589.417340000015</v>
      </c>
      <c r="D84" s="1717">
        <v>3329.7578700000004</v>
      </c>
      <c r="E84" s="1717">
        <v>1955184.0469359315</v>
      </c>
      <c r="F84" s="1678">
        <v>210364.98875999995</v>
      </c>
      <c r="G84" s="1678">
        <v>14726.44599</v>
      </c>
      <c r="H84" s="2475">
        <f t="shared" si="6"/>
        <v>2237194.6568959313</v>
      </c>
      <c r="I84" s="396"/>
      <c r="J84" s="396"/>
      <c r="K84" s="396"/>
      <c r="L84" s="396"/>
      <c r="M84" s="396"/>
      <c r="N84" s="396"/>
      <c r="O84" s="396"/>
    </row>
    <row r="85" spans="2:15">
      <c r="B85" s="2420" t="s">
        <v>101</v>
      </c>
      <c r="C85" s="1717">
        <v>15758.089999999997</v>
      </c>
      <c r="D85" s="1717">
        <v>699.53451999999959</v>
      </c>
      <c r="E85" s="1717">
        <v>2130240.62</v>
      </c>
      <c r="F85" s="1685">
        <v>25248.616000000002</v>
      </c>
      <c r="G85" s="1678">
        <v>210046.20395</v>
      </c>
      <c r="H85" s="2475">
        <f t="shared" si="6"/>
        <v>2381993.0644700001</v>
      </c>
      <c r="I85" s="396"/>
      <c r="J85" s="396"/>
      <c r="K85" s="396"/>
      <c r="L85" s="396"/>
      <c r="M85" s="396"/>
      <c r="N85" s="396"/>
      <c r="O85" s="396"/>
    </row>
    <row r="86" spans="2:15">
      <c r="B86" s="1747" t="s">
        <v>102</v>
      </c>
      <c r="C86" s="1717">
        <v>83581.662734985934</v>
      </c>
      <c r="D86" s="1717">
        <v>107652.69991066102</v>
      </c>
      <c r="E86" s="1717">
        <v>2025454.3206583529</v>
      </c>
      <c r="F86" s="1678">
        <v>1165074.6867262844</v>
      </c>
      <c r="G86" s="1678">
        <v>114489.56224209425</v>
      </c>
      <c r="H86" s="2475">
        <f t="shared" si="6"/>
        <v>3496252.9322723784</v>
      </c>
      <c r="I86" s="396"/>
      <c r="J86" s="396"/>
      <c r="K86" s="396"/>
      <c r="L86" s="396"/>
      <c r="M86" s="396"/>
      <c r="N86" s="396"/>
      <c r="O86" s="396"/>
    </row>
    <row r="87" spans="2:15">
      <c r="B87" s="2420" t="s">
        <v>104</v>
      </c>
      <c r="C87" s="1717">
        <v>43743.268840000004</v>
      </c>
      <c r="D87" s="1717">
        <v>2220.8018700000102</v>
      </c>
      <c r="E87" s="1717">
        <v>2055359.9469299996</v>
      </c>
      <c r="F87" s="1678">
        <v>159422.52195999998</v>
      </c>
      <c r="G87" s="1678">
        <v>22213.625949999998</v>
      </c>
      <c r="H87" s="2475">
        <f t="shared" si="6"/>
        <v>2282960.1655499996</v>
      </c>
      <c r="I87" s="396"/>
      <c r="J87" s="396"/>
      <c r="K87" s="396"/>
      <c r="L87" s="396"/>
      <c r="M87" s="396"/>
      <c r="N87" s="396"/>
      <c r="O87" s="396"/>
    </row>
    <row r="88" spans="2:15">
      <c r="B88" s="2420" t="s">
        <v>108</v>
      </c>
      <c r="C88" s="1717">
        <v>49505.76276023619</v>
      </c>
      <c r="D88" s="1717">
        <v>-428.82917736072835</v>
      </c>
      <c r="E88" s="1717">
        <v>2045206.7405000003</v>
      </c>
      <c r="F88" s="2472"/>
      <c r="G88" s="1678">
        <v>41290.631700684542</v>
      </c>
      <c r="H88" s="2475">
        <f t="shared" si="6"/>
        <v>2135574.30578356</v>
      </c>
      <c r="I88" s="396"/>
      <c r="J88" s="396"/>
      <c r="K88" s="396"/>
      <c r="L88" s="396"/>
      <c r="M88" s="396"/>
      <c r="N88" s="396"/>
      <c r="O88" s="396"/>
    </row>
    <row r="89" spans="2:15">
      <c r="B89" s="2420" t="s">
        <v>109</v>
      </c>
      <c r="C89" s="1717">
        <v>1352.0075899999999</v>
      </c>
      <c r="D89" s="1717">
        <v>-6647.4912599999989</v>
      </c>
      <c r="E89" s="1717">
        <v>37276.276339999997</v>
      </c>
      <c r="F89" s="1685"/>
      <c r="G89" s="1678">
        <v>-541.54673999999977</v>
      </c>
      <c r="H89" s="2475">
        <f t="shared" si="6"/>
        <v>31439.245929999997</v>
      </c>
      <c r="I89" s="396"/>
      <c r="J89" s="396"/>
      <c r="K89" s="396"/>
      <c r="L89" s="396"/>
      <c r="M89" s="396"/>
      <c r="N89" s="396"/>
      <c r="O89" s="396"/>
    </row>
    <row r="90" spans="2:15">
      <c r="B90" s="2420" t="s">
        <v>111</v>
      </c>
      <c r="C90" s="1717">
        <v>1801</v>
      </c>
      <c r="D90" s="1717">
        <v>3146</v>
      </c>
      <c r="E90" s="1717">
        <v>725337</v>
      </c>
      <c r="F90" s="1678">
        <v>56572</v>
      </c>
      <c r="G90" s="1678">
        <v>20892</v>
      </c>
      <c r="H90" s="2475">
        <f t="shared" si="6"/>
        <v>807748</v>
      </c>
      <c r="I90" s="396"/>
      <c r="J90" s="396"/>
      <c r="K90" s="396"/>
      <c r="L90" s="396"/>
      <c r="M90" s="396"/>
      <c r="N90" s="396"/>
      <c r="O90" s="396"/>
    </row>
    <row r="91" spans="2:15">
      <c r="B91" s="2420" t="s">
        <v>112</v>
      </c>
      <c r="C91" s="1717">
        <v>66738</v>
      </c>
      <c r="D91" s="1717">
        <v>1677</v>
      </c>
      <c r="E91" s="1717">
        <v>3142530</v>
      </c>
      <c r="F91" s="1678">
        <v>57211</v>
      </c>
      <c r="G91" s="1717">
        <v>284419</v>
      </c>
      <c r="H91" s="2475">
        <f t="shared" si="6"/>
        <v>3552575</v>
      </c>
      <c r="I91" s="396"/>
      <c r="J91" s="396"/>
      <c r="K91" s="396"/>
      <c r="L91" s="396"/>
      <c r="M91" s="396"/>
      <c r="N91" s="396"/>
      <c r="O91" s="396"/>
    </row>
    <row r="92" spans="2:15">
      <c r="B92" s="2420" t="s">
        <v>114</v>
      </c>
      <c r="C92" s="1717">
        <v>275.26389560622692</v>
      </c>
      <c r="D92" s="2396"/>
      <c r="E92" s="1717">
        <v>343712.79775552487</v>
      </c>
      <c r="F92" s="1678">
        <v>0</v>
      </c>
      <c r="G92" s="1678">
        <v>57918.670000000035</v>
      </c>
      <c r="H92" s="2475">
        <f t="shared" si="6"/>
        <v>401906.73165113112</v>
      </c>
      <c r="I92" s="396"/>
      <c r="J92" s="396"/>
      <c r="K92" s="396"/>
      <c r="L92" s="396"/>
      <c r="M92" s="396"/>
      <c r="N92" s="396"/>
      <c r="O92" s="396"/>
    </row>
    <row r="93" spans="2:15">
      <c r="B93" s="2420" t="s">
        <v>115</v>
      </c>
      <c r="C93" s="1717">
        <v>65828</v>
      </c>
      <c r="D93" s="1717">
        <v>90403</v>
      </c>
      <c r="E93" s="1717">
        <v>6862997</v>
      </c>
      <c r="F93" s="1678">
        <v>1904534</v>
      </c>
      <c r="G93" s="1678">
        <v>366670</v>
      </c>
      <c r="H93" s="2475">
        <f t="shared" si="6"/>
        <v>9290432</v>
      </c>
      <c r="I93" s="396"/>
      <c r="J93" s="396"/>
      <c r="K93" s="396"/>
      <c r="L93" s="396"/>
      <c r="M93" s="396"/>
      <c r="N93" s="396"/>
      <c r="O93" s="396"/>
    </row>
    <row r="94" spans="2:15">
      <c r="B94" s="2420" t="s">
        <v>110</v>
      </c>
      <c r="C94" s="1786">
        <v>4370</v>
      </c>
      <c r="D94" s="1786">
        <v>12015</v>
      </c>
      <c r="E94" s="1717">
        <v>310679.24868000002</v>
      </c>
      <c r="F94" s="1678">
        <v>5670105.6114499997</v>
      </c>
      <c r="G94" s="1678">
        <v>847788.17449</v>
      </c>
      <c r="H94" s="2475">
        <f t="shared" si="6"/>
        <v>6844958.03462</v>
      </c>
      <c r="I94" s="396"/>
      <c r="J94" s="396"/>
      <c r="K94" s="396"/>
      <c r="L94" s="396"/>
      <c r="M94" s="396"/>
      <c r="N94" s="396"/>
      <c r="O94" s="396"/>
    </row>
    <row r="95" spans="2:15">
      <c r="B95" s="2436" t="s">
        <v>544</v>
      </c>
      <c r="C95" s="2441">
        <f>SUM(C81:C94)</f>
        <v>2546300.6469620019</v>
      </c>
      <c r="D95" s="2441">
        <f>SUM(D81:D94)</f>
        <v>500554.57878853049</v>
      </c>
      <c r="E95" s="2441">
        <f>SUM(E81:E94)</f>
        <v>34501309.057805561</v>
      </c>
      <c r="F95" s="2441">
        <f>SUM(F81:F94)</f>
        <v>16759693.761159215</v>
      </c>
      <c r="G95" s="2441">
        <f>SUM(G81:G94)</f>
        <v>3148569.7524881838</v>
      </c>
      <c r="H95" s="2475">
        <f>C95+D95+E95+F95+G95</f>
        <v>57456427.797203496</v>
      </c>
      <c r="I95" s="396"/>
      <c r="J95" s="396"/>
      <c r="K95" s="396"/>
      <c r="L95" s="396"/>
      <c r="M95" s="396"/>
      <c r="N95" s="396"/>
      <c r="O95" s="396"/>
    </row>
    <row r="96" spans="2:15">
      <c r="B96" s="2436" t="s">
        <v>422</v>
      </c>
      <c r="C96" s="2401"/>
      <c r="D96" s="2401"/>
      <c r="E96" s="2401"/>
      <c r="F96" s="2401"/>
      <c r="G96" s="2401"/>
      <c r="H96" s="2470">
        <v>692926.50245999999</v>
      </c>
      <c r="I96" s="396"/>
      <c r="J96" s="396"/>
      <c r="K96" s="396"/>
      <c r="L96" s="396"/>
      <c r="M96" s="396"/>
      <c r="N96" s="396"/>
      <c r="O96" s="396"/>
    </row>
    <row r="97" spans="1:15">
      <c r="B97" s="2436" t="s">
        <v>118</v>
      </c>
      <c r="C97" s="2441">
        <f t="shared" ref="C97:H97" si="7">C95+C96</f>
        <v>2546300.6469620019</v>
      </c>
      <c r="D97" s="2441">
        <f t="shared" si="7"/>
        <v>500554.57878853049</v>
      </c>
      <c r="E97" s="2441">
        <f t="shared" si="7"/>
        <v>34501309.057805561</v>
      </c>
      <c r="F97" s="2441">
        <f t="shared" si="7"/>
        <v>16759693.761159215</v>
      </c>
      <c r="G97" s="2441">
        <f t="shared" si="7"/>
        <v>3148569.7524881838</v>
      </c>
      <c r="H97" s="2441">
        <f t="shared" si="7"/>
        <v>58149354.299663499</v>
      </c>
      <c r="I97" s="396"/>
      <c r="J97" s="396"/>
      <c r="K97" s="396"/>
      <c r="L97" s="396"/>
      <c r="M97" s="396"/>
      <c r="N97" s="396"/>
      <c r="O97" s="396"/>
    </row>
    <row r="98" spans="1:15">
      <c r="B98" s="218"/>
      <c r="C98" s="383"/>
      <c r="D98" s="383"/>
      <c r="E98" s="383"/>
      <c r="F98" s="383"/>
      <c r="G98" s="383"/>
      <c r="H98" s="293"/>
      <c r="I98" s="396"/>
      <c r="J98" s="396"/>
      <c r="K98" s="396"/>
      <c r="L98" s="396"/>
      <c r="M98" s="396"/>
      <c r="N98" s="396"/>
      <c r="O98" s="396"/>
    </row>
    <row r="99" spans="1:15">
      <c r="B99" s="218"/>
      <c r="C99" s="383"/>
      <c r="D99" s="383"/>
      <c r="E99" s="383"/>
      <c r="F99" s="383"/>
      <c r="G99" s="383"/>
      <c r="H99" s="293">
        <v>160</v>
      </c>
      <c r="I99" s="396"/>
      <c r="J99" s="396"/>
      <c r="K99" s="396"/>
      <c r="L99" s="396"/>
      <c r="M99" s="396"/>
      <c r="N99" s="396"/>
      <c r="O99" s="396"/>
    </row>
    <row r="100" spans="1:15">
      <c r="B100" s="218"/>
      <c r="C100" s="383"/>
      <c r="D100" s="383"/>
      <c r="E100" s="383"/>
      <c r="F100" s="383"/>
      <c r="G100" s="383"/>
      <c r="H100" s="293"/>
      <c r="I100" s="396"/>
      <c r="J100" s="396"/>
      <c r="K100" s="396"/>
      <c r="L100" s="396"/>
      <c r="M100" s="396"/>
      <c r="N100" s="396"/>
      <c r="O100" s="396"/>
    </row>
    <row r="101" spans="1:15">
      <c r="B101" s="3450" t="s">
        <v>558</v>
      </c>
      <c r="C101" s="3450"/>
      <c r="D101" s="3450"/>
      <c r="E101" s="3450"/>
      <c r="F101" s="3450"/>
      <c r="G101" s="3450"/>
    </row>
    <row r="102" spans="1:15">
      <c r="B102" s="218"/>
      <c r="G102" s="3507" t="s">
        <v>238</v>
      </c>
      <c r="H102" s="3507"/>
    </row>
    <row r="103" spans="1:15">
      <c r="B103" s="3504" t="s">
        <v>84</v>
      </c>
      <c r="C103" s="3506" t="s">
        <v>520</v>
      </c>
      <c r="D103" s="3498" t="s">
        <v>552</v>
      </c>
      <c r="E103" s="3498" t="s">
        <v>522</v>
      </c>
      <c r="F103" s="3501" t="s">
        <v>553</v>
      </c>
      <c r="G103" s="3501" t="s">
        <v>554</v>
      </c>
      <c r="H103" s="3498" t="s">
        <v>543</v>
      </c>
    </row>
    <row r="104" spans="1:15">
      <c r="B104" s="3486"/>
      <c r="C104" s="3469"/>
      <c r="D104" s="3499"/>
      <c r="E104" s="3499"/>
      <c r="F104" s="3502"/>
      <c r="G104" s="3502"/>
      <c r="H104" s="3499"/>
    </row>
    <row r="105" spans="1:15">
      <c r="B105" s="3505"/>
      <c r="C105" s="3459"/>
      <c r="D105" s="3500"/>
      <c r="E105" s="3500"/>
      <c r="F105" s="3503"/>
      <c r="G105" s="3503"/>
      <c r="H105" s="3500"/>
    </row>
    <row r="106" spans="1:15">
      <c r="A106" s="471"/>
      <c r="B106" s="2420" t="s">
        <v>91</v>
      </c>
      <c r="C106" s="1717">
        <v>725041.13101433869</v>
      </c>
      <c r="D106" s="1717">
        <v>194123.14200903405</v>
      </c>
      <c r="E106" s="1717">
        <v>6290599.0873300005</v>
      </c>
      <c r="F106" s="1678">
        <v>2424872.60231</v>
      </c>
      <c r="G106" s="1678">
        <v>569524.228235299</v>
      </c>
      <c r="H106" s="2475">
        <f>C106+D106+E106+F106+G106</f>
        <v>10204160.190898672</v>
      </c>
      <c r="J106" s="396"/>
      <c r="K106" s="396"/>
      <c r="L106" s="396"/>
      <c r="M106" s="396"/>
      <c r="N106" s="396"/>
      <c r="O106" s="396"/>
    </row>
    <row r="107" spans="1:15">
      <c r="A107" s="471"/>
      <c r="B107" s="2420" t="s">
        <v>94</v>
      </c>
      <c r="C107" s="1717">
        <v>22292.156147942005</v>
      </c>
      <c r="D107" s="1717">
        <v>32611.999846360006</v>
      </c>
      <c r="E107" s="1717">
        <v>575342.36638094881</v>
      </c>
      <c r="F107" s="1678">
        <v>206665.99351333099</v>
      </c>
      <c r="G107" s="1678">
        <v>38964.284706459475</v>
      </c>
      <c r="H107" s="2475">
        <f t="shared" ref="H107:H119" si="8">C107+D107+E107+F107+G107</f>
        <v>875876.80059504125</v>
      </c>
      <c r="J107" s="396"/>
      <c r="K107" s="396"/>
      <c r="L107" s="396"/>
      <c r="M107" s="396"/>
      <c r="N107" s="396"/>
      <c r="O107" s="396"/>
    </row>
    <row r="108" spans="1:15">
      <c r="A108" s="471"/>
      <c r="B108" s="2420" t="s">
        <v>97</v>
      </c>
      <c r="C108" s="1717">
        <v>563632</v>
      </c>
      <c r="D108" s="1717">
        <v>96167</v>
      </c>
      <c r="E108" s="1717">
        <v>5530800</v>
      </c>
      <c r="F108" s="1678">
        <v>933039</v>
      </c>
      <c r="G108" s="1678">
        <v>399623</v>
      </c>
      <c r="H108" s="2475">
        <f>C108+D108+E108+F108+G108</f>
        <v>7523261</v>
      </c>
      <c r="J108" s="396"/>
      <c r="K108" s="396"/>
      <c r="L108" s="396"/>
      <c r="M108" s="396"/>
      <c r="N108" s="396"/>
      <c r="O108" s="396"/>
    </row>
    <row r="109" spans="1:15">
      <c r="A109" s="471"/>
      <c r="B109" s="2420" t="s">
        <v>128</v>
      </c>
      <c r="C109" s="1717">
        <v>7076.5615244451883</v>
      </c>
      <c r="D109" s="1717">
        <v>-3231.5679539851808</v>
      </c>
      <c r="E109" s="1717">
        <v>1903509.3799400001</v>
      </c>
      <c r="F109" s="1678">
        <v>59331.509835618446</v>
      </c>
      <c r="G109" s="1678">
        <v>25985.143043921551</v>
      </c>
      <c r="H109" s="2475">
        <f>C109+D109+E109+F109+G109</f>
        <v>1992671.0263900002</v>
      </c>
      <c r="J109" s="396"/>
      <c r="K109" s="396"/>
      <c r="L109" s="396"/>
      <c r="M109" s="396"/>
      <c r="N109" s="396"/>
      <c r="O109" s="396"/>
    </row>
    <row r="110" spans="1:15">
      <c r="A110" s="471"/>
      <c r="B110" s="2420" t="s">
        <v>101</v>
      </c>
      <c r="C110" s="1717">
        <v>6446.4000000000005</v>
      </c>
      <c r="D110" s="1717">
        <v>2997.8200000000006</v>
      </c>
      <c r="E110" s="1717">
        <v>1781213.4500000002</v>
      </c>
      <c r="F110" s="1685"/>
      <c r="G110" s="1678">
        <v>136209.60000000001</v>
      </c>
      <c r="H110" s="2475">
        <f t="shared" si="8"/>
        <v>1926867.2700000003</v>
      </c>
      <c r="J110" s="396"/>
      <c r="K110" s="396"/>
      <c r="L110" s="396"/>
      <c r="M110" s="396"/>
      <c r="N110" s="396"/>
      <c r="O110" s="396"/>
    </row>
    <row r="111" spans="1:15">
      <c r="A111" s="471"/>
      <c r="B111" s="1747" t="s">
        <v>102</v>
      </c>
      <c r="C111" s="1717">
        <v>41530.549064744962</v>
      </c>
      <c r="D111" s="1717">
        <v>88871.766836242721</v>
      </c>
      <c r="E111" s="1717">
        <v>3105466.3267099438</v>
      </c>
      <c r="F111" s="1678">
        <v>1479641.5300577062</v>
      </c>
      <c r="G111" s="1678">
        <v>85024.632517115446</v>
      </c>
      <c r="H111" s="2475">
        <f t="shared" si="8"/>
        <v>4800534.8051857529</v>
      </c>
      <c r="J111" s="396"/>
      <c r="K111" s="396"/>
      <c r="L111" s="396"/>
      <c r="M111" s="396"/>
      <c r="N111" s="396"/>
      <c r="O111" s="396"/>
    </row>
    <row r="112" spans="1:15">
      <c r="A112" s="471"/>
      <c r="B112" s="2420" t="s">
        <v>104</v>
      </c>
      <c r="C112" s="1717">
        <v>32431.985259999987</v>
      </c>
      <c r="D112" s="1717">
        <v>3355.6246099999998</v>
      </c>
      <c r="E112" s="1717">
        <v>1948880.4208299997</v>
      </c>
      <c r="F112" s="1678">
        <v>162144.43746000004</v>
      </c>
      <c r="G112" s="1678">
        <v>23979.530220000008</v>
      </c>
      <c r="H112" s="2475">
        <f t="shared" si="8"/>
        <v>2170791.9983799998</v>
      </c>
      <c r="J112" s="396"/>
      <c r="K112" s="396"/>
      <c r="L112" s="396"/>
      <c r="M112" s="396"/>
      <c r="N112" s="396"/>
      <c r="O112" s="396"/>
    </row>
    <row r="113" spans="1:15">
      <c r="A113" s="471"/>
      <c r="B113" s="2420" t="s">
        <v>108</v>
      </c>
      <c r="C113" s="1717">
        <v>60365.77320999997</v>
      </c>
      <c r="D113" s="1717">
        <v>9364.9217500000013</v>
      </c>
      <c r="E113" s="1717">
        <v>1988504.4451700002</v>
      </c>
      <c r="F113" s="2472"/>
      <c r="G113" s="1678">
        <v>22904.30773</v>
      </c>
      <c r="H113" s="2475">
        <f t="shared" si="8"/>
        <v>2081139.4478600002</v>
      </c>
      <c r="J113" s="396"/>
      <c r="K113" s="396"/>
      <c r="L113" s="396"/>
      <c r="M113" s="396"/>
      <c r="N113" s="396"/>
      <c r="O113" s="396"/>
    </row>
    <row r="114" spans="1:15">
      <c r="A114" s="471"/>
      <c r="B114" s="2420" t="s">
        <v>109</v>
      </c>
      <c r="C114" s="1717">
        <v>3948.3127899999981</v>
      </c>
      <c r="D114" s="1717">
        <v>-1441.4798500000002</v>
      </c>
      <c r="E114" s="1717">
        <v>20358.292359999989</v>
      </c>
      <c r="F114" s="1685"/>
      <c r="G114" s="1678">
        <v>5428.0435799999996</v>
      </c>
      <c r="H114" s="2475">
        <f t="shared" si="8"/>
        <v>28293.168879999983</v>
      </c>
      <c r="J114" s="396"/>
      <c r="K114" s="396"/>
      <c r="L114" s="396"/>
      <c r="M114" s="396"/>
      <c r="N114" s="396"/>
      <c r="O114" s="396"/>
    </row>
    <row r="115" spans="1:15">
      <c r="A115" s="471"/>
      <c r="B115" s="2420" t="s">
        <v>111</v>
      </c>
      <c r="C115" s="1717">
        <v>3614.1240964017907</v>
      </c>
      <c r="D115" s="1717">
        <v>1253.2905388096306</v>
      </c>
      <c r="E115" s="1717">
        <v>685385.33845781453</v>
      </c>
      <c r="F115" s="1678">
        <v>34568.953186179431</v>
      </c>
      <c r="G115" s="1678">
        <v>16897.966942623898</v>
      </c>
      <c r="H115" s="2475">
        <f t="shared" si="8"/>
        <v>741719.67322182935</v>
      </c>
      <c r="J115" s="396"/>
      <c r="K115" s="396"/>
      <c r="L115" s="396"/>
      <c r="M115" s="396"/>
      <c r="N115" s="396"/>
      <c r="O115" s="396"/>
    </row>
    <row r="116" spans="1:15">
      <c r="A116" s="471"/>
      <c r="B116" s="2420" t="s">
        <v>112</v>
      </c>
      <c r="C116" s="1717">
        <v>88534</v>
      </c>
      <c r="D116" s="1717">
        <v>557</v>
      </c>
      <c r="E116" s="1717">
        <v>2899186.3712120606</v>
      </c>
      <c r="F116" s="1678">
        <v>58388</v>
      </c>
      <c r="G116" s="1717">
        <v>190561</v>
      </c>
      <c r="H116" s="2475">
        <f t="shared" si="8"/>
        <v>3237226.3712120606</v>
      </c>
      <c r="J116" s="396"/>
      <c r="K116" s="396"/>
      <c r="L116" s="396"/>
      <c r="M116" s="396"/>
      <c r="N116" s="396"/>
      <c r="O116" s="396"/>
    </row>
    <row r="117" spans="1:15">
      <c r="A117" s="471"/>
      <c r="B117" s="2420" t="s">
        <v>135</v>
      </c>
      <c r="C117" s="1717">
        <v>838.51900000000012</v>
      </c>
      <c r="D117" s="2396"/>
      <c r="E117" s="1717">
        <v>255754.41309999995</v>
      </c>
      <c r="F117" s="1685">
        <v>6254.1943999999994</v>
      </c>
      <c r="G117" s="1678">
        <v>29093.579939999989</v>
      </c>
      <c r="H117" s="2475">
        <f t="shared" si="8"/>
        <v>291940.70643999992</v>
      </c>
      <c r="J117" s="396"/>
      <c r="K117" s="396"/>
      <c r="L117" s="396"/>
      <c r="M117" s="396"/>
      <c r="N117" s="396"/>
      <c r="O117" s="396"/>
    </row>
    <row r="118" spans="1:15">
      <c r="A118" s="471"/>
      <c r="B118" s="2420" t="s">
        <v>115</v>
      </c>
      <c r="C118" s="1717">
        <v>138250.86154582998</v>
      </c>
      <c r="D118" s="1717">
        <v>29287.846013023056</v>
      </c>
      <c r="E118" s="1717">
        <v>7383426.1620872105</v>
      </c>
      <c r="F118" s="1678">
        <v>2005180.5969141813</v>
      </c>
      <c r="G118" s="1678">
        <v>472240.77125691256</v>
      </c>
      <c r="H118" s="2475">
        <f t="shared" si="8"/>
        <v>10028386.237817157</v>
      </c>
      <c r="J118" s="396"/>
      <c r="K118" s="396"/>
      <c r="L118" s="396"/>
      <c r="M118" s="396"/>
      <c r="N118" s="396"/>
      <c r="O118" s="396"/>
    </row>
    <row r="119" spans="1:15">
      <c r="A119" s="471"/>
      <c r="B119" s="2420" t="s">
        <v>110</v>
      </c>
      <c r="C119" s="1786">
        <v>2695.5518299999999</v>
      </c>
      <c r="D119" s="2396"/>
      <c r="E119" s="1717">
        <v>313335.61853000004</v>
      </c>
      <c r="F119" s="1678">
        <v>4778137.1220100001</v>
      </c>
      <c r="G119" s="1678">
        <v>1441186.8755600001</v>
      </c>
      <c r="H119" s="2475">
        <f t="shared" si="8"/>
        <v>6535355.1679299995</v>
      </c>
      <c r="J119" s="396"/>
      <c r="K119" s="396"/>
      <c r="L119" s="396"/>
      <c r="M119" s="396"/>
      <c r="N119" s="396"/>
      <c r="O119" s="396"/>
    </row>
    <row r="120" spans="1:15">
      <c r="A120" s="471"/>
      <c r="B120" s="2436" t="s">
        <v>544</v>
      </c>
      <c r="C120" s="2441">
        <f>SUM(C106:C119)</f>
        <v>1696697.9254837027</v>
      </c>
      <c r="D120" s="2441">
        <f>SUM(D106:D119)</f>
        <v>453917.36379948427</v>
      </c>
      <c r="E120" s="2441">
        <f>SUM(E106:E119)</f>
        <v>34681761.67210798</v>
      </c>
      <c r="F120" s="2441">
        <f>SUM(F106:F119)</f>
        <v>12148223.939687017</v>
      </c>
      <c r="G120" s="2441">
        <f>SUM(G106:G119)</f>
        <v>3457622.963732332</v>
      </c>
      <c r="H120" s="2475">
        <f>C120+D120+E120+F120+G120</f>
        <v>52438223.864810511</v>
      </c>
      <c r="J120" s="396"/>
      <c r="K120" s="396"/>
      <c r="L120" s="396"/>
      <c r="M120" s="396"/>
      <c r="N120" s="396"/>
      <c r="O120" s="396"/>
    </row>
    <row r="121" spans="1:15">
      <c r="B121" s="2436" t="s">
        <v>422</v>
      </c>
      <c r="C121" s="2476"/>
      <c r="D121" s="2476"/>
      <c r="E121" s="2476"/>
      <c r="F121" s="2476"/>
      <c r="G121" s="2476"/>
      <c r="H121" s="2470">
        <v>76067.884519999992</v>
      </c>
      <c r="J121" s="396"/>
      <c r="K121" s="396"/>
      <c r="L121" s="396"/>
      <c r="M121" s="396"/>
      <c r="N121" s="396"/>
      <c r="O121" s="396"/>
    </row>
    <row r="122" spans="1:15">
      <c r="B122" s="2436" t="s">
        <v>118</v>
      </c>
      <c r="C122" s="2441">
        <f t="shared" ref="C122:H122" si="9">C120+C121</f>
        <v>1696697.9254837027</v>
      </c>
      <c r="D122" s="2441">
        <f t="shared" si="9"/>
        <v>453917.36379948427</v>
      </c>
      <c r="E122" s="2441">
        <f t="shared" si="9"/>
        <v>34681761.67210798</v>
      </c>
      <c r="F122" s="2441">
        <f t="shared" si="9"/>
        <v>12148223.939687017</v>
      </c>
      <c r="G122" s="2441">
        <f t="shared" si="9"/>
        <v>3457622.963732332</v>
      </c>
      <c r="H122" s="2441">
        <f t="shared" si="9"/>
        <v>52514291.749330513</v>
      </c>
      <c r="J122" s="396"/>
      <c r="K122" s="396"/>
      <c r="L122" s="396"/>
      <c r="M122" s="396"/>
      <c r="N122" s="396"/>
      <c r="O122" s="396"/>
    </row>
    <row r="123" spans="1:15">
      <c r="B123" s="218"/>
      <c r="C123" s="383"/>
      <c r="D123" s="383"/>
      <c r="E123" s="383"/>
      <c r="F123" s="383"/>
      <c r="G123" s="383"/>
      <c r="H123" s="264"/>
      <c r="I123" s="396"/>
      <c r="J123" s="396"/>
      <c r="K123" s="396"/>
      <c r="L123" s="396"/>
      <c r="M123" s="396"/>
      <c r="N123" s="396"/>
      <c r="O123" s="396"/>
    </row>
    <row r="124" spans="1:15">
      <c r="B124" s="295"/>
      <c r="H124" s="52">
        <v>161</v>
      </c>
      <c r="J124" s="396"/>
      <c r="K124" s="396"/>
      <c r="L124" s="396"/>
      <c r="M124" s="396"/>
      <c r="N124" s="396"/>
      <c r="O124" s="396"/>
    </row>
    <row r="125" spans="1:15">
      <c r="J125" s="396"/>
      <c r="K125" s="396"/>
      <c r="L125" s="396"/>
      <c r="M125" s="396"/>
      <c r="N125" s="396"/>
      <c r="O125" s="396"/>
    </row>
    <row r="126" spans="1:15" ht="14.45">
      <c r="A126"/>
      <c r="B126"/>
      <c r="C126"/>
      <c r="D126"/>
      <c r="E126"/>
      <c r="F126"/>
      <c r="G126"/>
      <c r="H126"/>
      <c r="I126"/>
      <c r="J126"/>
      <c r="K126" s="396"/>
      <c r="L126" s="396"/>
      <c r="M126" s="396"/>
      <c r="N126" s="396"/>
      <c r="O126" s="396"/>
    </row>
    <row r="127" spans="1:15" ht="14.45">
      <c r="A127"/>
      <c r="B127"/>
      <c r="C127"/>
      <c r="D127"/>
      <c r="E127"/>
      <c r="F127"/>
      <c r="G127"/>
      <c r="H127"/>
      <c r="I127"/>
      <c r="J127"/>
      <c r="K127" s="396"/>
      <c r="L127" s="396"/>
      <c r="M127" s="396"/>
      <c r="N127" s="396"/>
      <c r="O127" s="396"/>
    </row>
    <row r="128" spans="1:15" ht="14.45">
      <c r="A128"/>
      <c r="B128"/>
      <c r="C128"/>
      <c r="D128"/>
      <c r="E128"/>
      <c r="F128"/>
      <c r="G128"/>
      <c r="H128"/>
      <c r="I128"/>
      <c r="J128"/>
      <c r="K128" s="396"/>
      <c r="L128" s="396"/>
      <c r="M128" s="396"/>
      <c r="N128" s="396"/>
      <c r="O128" s="396"/>
    </row>
    <row r="129" spans="1:15" ht="14.45">
      <c r="A129"/>
      <c r="B129"/>
      <c r="C129"/>
      <c r="D129"/>
      <c r="E129"/>
      <c r="F129"/>
      <c r="G129"/>
      <c r="H129"/>
      <c r="I129"/>
      <c r="J129"/>
      <c r="K129" s="396"/>
      <c r="L129" s="396"/>
      <c r="M129" s="396"/>
      <c r="N129" s="396"/>
      <c r="O129" s="396"/>
    </row>
    <row r="130" spans="1:15" ht="14.45">
      <c r="A130"/>
      <c r="B130"/>
      <c r="C130"/>
      <c r="D130"/>
      <c r="E130"/>
      <c r="F130"/>
      <c r="G130"/>
      <c r="H130"/>
      <c r="I130"/>
      <c r="J130"/>
      <c r="K130" s="396"/>
      <c r="L130" s="396"/>
      <c r="M130" s="396"/>
      <c r="N130" s="396"/>
      <c r="O130" s="396"/>
    </row>
    <row r="131" spans="1:15" ht="14.45">
      <c r="A131"/>
      <c r="B131"/>
      <c r="C131"/>
      <c r="D131"/>
      <c r="E131"/>
      <c r="F131"/>
      <c r="G131"/>
      <c r="H131"/>
      <c r="I131"/>
      <c r="J131"/>
      <c r="K131" s="396"/>
      <c r="L131" s="396"/>
      <c r="M131" s="396"/>
      <c r="N131" s="396"/>
      <c r="O131" s="396"/>
    </row>
    <row r="132" spans="1:15" ht="14.45">
      <c r="A132"/>
      <c r="B132"/>
      <c r="C132"/>
      <c r="D132"/>
      <c r="E132"/>
      <c r="F132"/>
      <c r="G132"/>
      <c r="H132"/>
      <c r="I132"/>
      <c r="J132"/>
      <c r="K132" s="396"/>
      <c r="L132" s="396"/>
      <c r="M132" s="396"/>
      <c r="N132" s="396"/>
      <c r="O132" s="396"/>
    </row>
    <row r="133" spans="1:15" ht="14.45">
      <c r="A133"/>
      <c r="B133"/>
      <c r="C133"/>
      <c r="D133"/>
      <c r="E133"/>
      <c r="F133"/>
      <c r="G133"/>
      <c r="H133"/>
      <c r="I133"/>
      <c r="J133"/>
      <c r="K133" s="396"/>
      <c r="L133" s="396"/>
      <c r="M133" s="396"/>
      <c r="N133" s="396"/>
      <c r="O133" s="396"/>
    </row>
    <row r="134" spans="1:15" ht="14.45">
      <c r="A134"/>
      <c r="B134"/>
      <c r="C134"/>
      <c r="D134"/>
      <c r="E134"/>
      <c r="F134"/>
      <c r="G134"/>
      <c r="H134"/>
      <c r="I134"/>
      <c r="J134"/>
      <c r="K134" s="396"/>
      <c r="L134" s="396"/>
      <c r="M134" s="396"/>
      <c r="N134" s="396"/>
      <c r="O134" s="396"/>
    </row>
    <row r="135" spans="1:15" ht="14.45">
      <c r="A135"/>
      <c r="B135"/>
      <c r="C135"/>
      <c r="D135"/>
      <c r="E135"/>
      <c r="F135"/>
      <c r="G135"/>
      <c r="H135"/>
      <c r="I135"/>
      <c r="J135"/>
      <c r="K135" s="396"/>
      <c r="L135" s="396"/>
      <c r="M135" s="396"/>
      <c r="N135" s="396"/>
      <c r="O135" s="396"/>
    </row>
    <row r="136" spans="1:15" ht="14.45">
      <c r="A136"/>
      <c r="B136"/>
      <c r="C136"/>
      <c r="D136"/>
      <c r="E136"/>
      <c r="F136"/>
      <c r="G136"/>
      <c r="H136"/>
      <c r="I136"/>
      <c r="J136"/>
      <c r="K136" s="396"/>
      <c r="L136" s="396"/>
      <c r="M136" s="396"/>
      <c r="N136" s="396"/>
      <c r="O136" s="396"/>
    </row>
    <row r="137" spans="1:15" ht="14.45">
      <c r="A137"/>
      <c r="B137"/>
      <c r="C137"/>
      <c r="D137"/>
      <c r="E137"/>
      <c r="F137"/>
      <c r="G137"/>
      <c r="H137"/>
      <c r="I137"/>
      <c r="J137"/>
      <c r="K137" s="396"/>
      <c r="L137" s="396"/>
      <c r="M137" s="396"/>
      <c r="N137" s="396"/>
      <c r="O137" s="396"/>
    </row>
    <row r="138" spans="1:15" ht="14.45">
      <c r="A138"/>
      <c r="B138"/>
      <c r="C138"/>
      <c r="D138"/>
      <c r="E138"/>
      <c r="F138"/>
      <c r="G138"/>
      <c r="H138"/>
      <c r="I138"/>
      <c r="J138"/>
      <c r="K138" s="396"/>
      <c r="L138" s="396"/>
      <c r="M138" s="396"/>
      <c r="N138" s="396"/>
      <c r="O138" s="396"/>
    </row>
    <row r="139" spans="1:15" ht="14.45">
      <c r="A139"/>
      <c r="B139"/>
      <c r="C139"/>
      <c r="D139"/>
      <c r="E139"/>
      <c r="F139"/>
      <c r="G139"/>
      <c r="H139"/>
      <c r="I139"/>
      <c r="J139"/>
      <c r="K139" s="396"/>
      <c r="L139" s="396"/>
      <c r="M139" s="396"/>
      <c r="N139" s="396"/>
      <c r="O139" s="396"/>
    </row>
    <row r="140" spans="1:15" ht="14.45">
      <c r="A140"/>
      <c r="B140"/>
      <c r="C140"/>
      <c r="D140"/>
      <c r="E140"/>
      <c r="F140"/>
      <c r="G140"/>
      <c r="H140"/>
      <c r="I140"/>
      <c r="J140"/>
      <c r="K140" s="396"/>
      <c r="L140" s="396"/>
      <c r="M140" s="396"/>
      <c r="N140" s="396"/>
      <c r="O140" s="396"/>
    </row>
    <row r="141" spans="1:15" ht="14.45">
      <c r="A141"/>
      <c r="B141"/>
      <c r="C141"/>
      <c r="D141"/>
      <c r="E141"/>
      <c r="F141"/>
      <c r="G141"/>
      <c r="H141"/>
      <c r="I141"/>
      <c r="J141"/>
      <c r="K141" s="396"/>
      <c r="L141" s="396"/>
      <c r="M141" s="396"/>
      <c r="N141" s="396"/>
      <c r="O141" s="396"/>
    </row>
    <row r="142" spans="1:15" ht="14.45">
      <c r="A142"/>
      <c r="B142"/>
      <c r="C142"/>
      <c r="D142"/>
      <c r="E142"/>
      <c r="F142"/>
      <c r="G142"/>
      <c r="H142"/>
      <c r="I142"/>
      <c r="J142"/>
      <c r="K142" s="396"/>
      <c r="L142" s="396"/>
      <c r="M142" s="396"/>
      <c r="N142" s="396"/>
      <c r="O142" s="396"/>
    </row>
    <row r="143" spans="1:15" ht="14.45">
      <c r="A143"/>
      <c r="B143"/>
      <c r="C143"/>
      <c r="D143"/>
      <c r="E143"/>
      <c r="F143"/>
      <c r="G143"/>
      <c r="H143"/>
      <c r="I143"/>
      <c r="J143"/>
      <c r="K143" s="396"/>
      <c r="L143" s="396"/>
      <c r="M143" s="396"/>
      <c r="N143" s="396"/>
      <c r="O143" s="396"/>
    </row>
    <row r="144" spans="1:15" ht="14.45">
      <c r="A144"/>
      <c r="B144"/>
      <c r="C144"/>
      <c r="D144"/>
      <c r="E144"/>
      <c r="F144"/>
      <c r="G144"/>
      <c r="H144"/>
      <c r="I144"/>
      <c r="J144"/>
      <c r="K144" s="396"/>
      <c r="L144" s="396"/>
      <c r="M144" s="396"/>
      <c r="N144" s="396"/>
      <c r="O144" s="396"/>
    </row>
    <row r="145" spans="1:15" ht="14.45">
      <c r="A145"/>
      <c r="B145"/>
      <c r="C145"/>
      <c r="D145"/>
      <c r="E145"/>
      <c r="F145"/>
      <c r="G145"/>
      <c r="H145"/>
      <c r="I145"/>
      <c r="J145"/>
      <c r="K145" s="396"/>
      <c r="L145" s="396"/>
      <c r="M145" s="396"/>
      <c r="N145" s="396"/>
      <c r="O145" s="396"/>
    </row>
    <row r="146" spans="1:15" ht="14.45">
      <c r="A146"/>
      <c r="B146"/>
      <c r="C146"/>
      <c r="D146"/>
      <c r="E146"/>
      <c r="F146"/>
      <c r="G146"/>
      <c r="H146"/>
      <c r="I146"/>
      <c r="J146"/>
      <c r="K146" s="396"/>
      <c r="L146" s="396"/>
      <c r="M146" s="396"/>
      <c r="N146" s="396"/>
      <c r="O146" s="396"/>
    </row>
    <row r="147" spans="1:15" ht="14.45">
      <c r="A147"/>
      <c r="B147"/>
      <c r="C147"/>
      <c r="D147"/>
      <c r="E147"/>
      <c r="F147"/>
      <c r="G147"/>
      <c r="H147"/>
      <c r="I147"/>
      <c r="J147"/>
      <c r="K147" s="396"/>
      <c r="L147" s="396"/>
      <c r="M147" s="396"/>
      <c r="N147" s="396"/>
      <c r="O147" s="396"/>
    </row>
    <row r="148" spans="1:15" ht="14.45">
      <c r="A148"/>
      <c r="B148"/>
      <c r="C148"/>
      <c r="D148"/>
      <c r="E148"/>
      <c r="F148"/>
      <c r="G148"/>
      <c r="H148"/>
      <c r="I148"/>
      <c r="J148"/>
      <c r="K148" s="396"/>
      <c r="L148" s="396"/>
      <c r="M148" s="396"/>
      <c r="N148" s="396"/>
      <c r="O148" s="396"/>
    </row>
    <row r="149" spans="1:15" ht="14.45">
      <c r="A149"/>
      <c r="B149"/>
      <c r="C149"/>
      <c r="D149"/>
      <c r="E149"/>
      <c r="F149"/>
      <c r="G149"/>
      <c r="H149"/>
      <c r="I149"/>
      <c r="J149"/>
      <c r="K149" s="396"/>
      <c r="L149" s="396"/>
      <c r="M149" s="396"/>
      <c r="N149" s="396"/>
      <c r="O149" s="396"/>
    </row>
    <row r="150" spans="1:15" ht="14.45">
      <c r="A150"/>
      <c r="B150"/>
      <c r="C150"/>
      <c r="D150"/>
      <c r="E150"/>
      <c r="F150"/>
      <c r="G150"/>
      <c r="H150"/>
      <c r="I150"/>
      <c r="J150"/>
      <c r="K150" s="396"/>
      <c r="L150" s="396"/>
      <c r="M150" s="396"/>
      <c r="N150" s="396"/>
      <c r="O150" s="396"/>
    </row>
    <row r="151" spans="1:15" ht="14.45">
      <c r="A151"/>
      <c r="B151"/>
      <c r="C151"/>
      <c r="D151"/>
      <c r="E151"/>
      <c r="F151"/>
      <c r="G151"/>
      <c r="H151"/>
      <c r="I151"/>
      <c r="J151"/>
      <c r="K151" s="396"/>
      <c r="L151" s="396"/>
      <c r="M151" s="396"/>
      <c r="N151" s="396"/>
      <c r="O151" s="396"/>
    </row>
    <row r="152" spans="1:15" ht="14.45">
      <c r="A152"/>
      <c r="B152"/>
      <c r="C152"/>
      <c r="D152"/>
      <c r="E152"/>
      <c r="F152"/>
      <c r="G152"/>
      <c r="H152"/>
      <c r="I152"/>
      <c r="J152"/>
    </row>
    <row r="153" spans="1:15" ht="14.45">
      <c r="A153"/>
      <c r="B153"/>
      <c r="C153"/>
      <c r="D153"/>
      <c r="E153"/>
      <c r="F153"/>
      <c r="G153"/>
      <c r="H153"/>
      <c r="I153"/>
      <c r="J153"/>
    </row>
    <row r="154" spans="1:15" ht="14.45">
      <c r="A154"/>
      <c r="B154"/>
      <c r="C154"/>
      <c r="D154"/>
      <c r="E154"/>
      <c r="F154"/>
      <c r="G154"/>
      <c r="H154"/>
      <c r="I154"/>
      <c r="J154"/>
    </row>
    <row r="155" spans="1:15" ht="14.45">
      <c r="A155"/>
      <c r="B155"/>
      <c r="C155"/>
      <c r="D155"/>
      <c r="E155"/>
      <c r="F155"/>
      <c r="G155"/>
      <c r="H155"/>
      <c r="I155"/>
      <c r="J155"/>
    </row>
  </sheetData>
  <mergeCells count="46">
    <mergeCell ref="F28:F30"/>
    <mergeCell ref="G28:G30"/>
    <mergeCell ref="H28:H30"/>
    <mergeCell ref="B1:H1"/>
    <mergeCell ref="B51:G51"/>
    <mergeCell ref="B26:G26"/>
    <mergeCell ref="G27:H27"/>
    <mergeCell ref="B28:B30"/>
    <mergeCell ref="C28:C30"/>
    <mergeCell ref="D28:D30"/>
    <mergeCell ref="E28:E30"/>
    <mergeCell ref="B3:G3"/>
    <mergeCell ref="G4:H4"/>
    <mergeCell ref="B5:B7"/>
    <mergeCell ref="C5:C7"/>
    <mergeCell ref="D5:D7"/>
    <mergeCell ref="D53:D55"/>
    <mergeCell ref="E53:E55"/>
    <mergeCell ref="F53:F55"/>
    <mergeCell ref="G53:G55"/>
    <mergeCell ref="H53:H55"/>
    <mergeCell ref="B101:G101"/>
    <mergeCell ref="G102:H102"/>
    <mergeCell ref="B103:B105"/>
    <mergeCell ref="C103:C105"/>
    <mergeCell ref="D103:D105"/>
    <mergeCell ref="E103:E105"/>
    <mergeCell ref="F103:F105"/>
    <mergeCell ref="G103:G105"/>
    <mergeCell ref="H103:H105"/>
    <mergeCell ref="E5:E7"/>
    <mergeCell ref="F5:F7"/>
    <mergeCell ref="G5:G7"/>
    <mergeCell ref="H5:H7"/>
    <mergeCell ref="G78:G80"/>
    <mergeCell ref="H78:H80"/>
    <mergeCell ref="B76:G76"/>
    <mergeCell ref="B78:B80"/>
    <mergeCell ref="C78:C80"/>
    <mergeCell ref="D78:D80"/>
    <mergeCell ref="E78:E80"/>
    <mergeCell ref="F78:F80"/>
    <mergeCell ref="G77:H77"/>
    <mergeCell ref="G52:H52"/>
    <mergeCell ref="B53:B55"/>
    <mergeCell ref="C53:C55"/>
  </mergeCells>
  <pageMargins left="0.7" right="0.7" top="0.75" bottom="0.75" header="0.3" footer="0.3"/>
  <pageSetup paperSize="9" scale="75" orientation="landscape" r:id="rId1"/>
  <rowBreaks count="5" manualBreakCount="5">
    <brk id="49" max="7" man="1"/>
    <brk id="74" max="7" man="1"/>
    <brk id="99" max="7" man="1"/>
    <brk id="124" max="7" man="1"/>
    <brk id="150" max="7"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FF6699"/>
  </sheetPr>
  <dimension ref="B2:T74"/>
  <sheetViews>
    <sheetView showGridLines="0" view="pageBreakPreview" zoomScale="85" zoomScaleNormal="100" zoomScaleSheetLayoutView="85" workbookViewId="0">
      <selection activeCell="I24" sqref="I24"/>
    </sheetView>
  </sheetViews>
  <sheetFormatPr defaultColWidth="9.140625" defaultRowHeight="13.15"/>
  <cols>
    <col min="1" max="1" width="5.28515625" style="292" customWidth="1"/>
    <col min="2" max="2" width="16.7109375" style="292" customWidth="1"/>
    <col min="3" max="4" width="14.7109375" style="292" hidden="1" customWidth="1"/>
    <col min="5" max="5" width="13.140625" style="292" customWidth="1"/>
    <col min="6" max="6" width="16.28515625" style="292" customWidth="1"/>
    <col min="7" max="7" width="13.140625" style="292" customWidth="1"/>
    <col min="8" max="9" width="13.28515625" style="292" customWidth="1"/>
    <col min="10" max="10" width="13.28515625" style="292" bestFit="1" customWidth="1"/>
    <col min="11" max="11" width="15.140625" style="292" customWidth="1"/>
    <col min="12" max="12" width="13.7109375" style="292" bestFit="1" customWidth="1"/>
    <col min="13" max="13" width="14.7109375" style="292" bestFit="1" customWidth="1"/>
    <col min="14" max="14" width="12.85546875" style="292" customWidth="1"/>
    <col min="15" max="15" width="13.140625" style="292" customWidth="1"/>
    <col min="16" max="16" width="12.140625" style="292" customWidth="1"/>
    <col min="17" max="17" width="11.28515625" style="292" customWidth="1"/>
    <col min="18" max="18" width="14.7109375" style="292" customWidth="1"/>
    <col min="19" max="19" width="16.42578125" style="292" customWidth="1"/>
    <col min="20" max="20" width="14.5703125" style="385" customWidth="1"/>
    <col min="21" max="16384" width="9.140625" style="292"/>
  </cols>
  <sheetData>
    <row r="2" spans="2:20">
      <c r="B2" s="218" t="s">
        <v>559</v>
      </c>
      <c r="C2" s="218"/>
      <c r="D2" s="218"/>
      <c r="E2" s="218"/>
      <c r="F2" s="218"/>
      <c r="G2" s="218"/>
    </row>
    <row r="3" spans="2:20">
      <c r="B3" s="218"/>
      <c r="C3" s="218"/>
      <c r="D3" s="218"/>
      <c r="E3" s="218"/>
      <c r="F3" s="218"/>
      <c r="G3" s="218"/>
    </row>
    <row r="4" spans="2:20">
      <c r="B4" s="1546"/>
      <c r="D4" s="3069" t="s">
        <v>560</v>
      </c>
      <c r="E4" s="3509" t="s">
        <v>560</v>
      </c>
      <c r="F4" s="3510"/>
      <c r="G4" s="3510"/>
      <c r="H4" s="3510"/>
      <c r="I4" s="3510"/>
    </row>
    <row r="5" spans="2:20">
      <c r="B5" s="3490" t="s">
        <v>84</v>
      </c>
      <c r="C5" s="3516">
        <v>2016</v>
      </c>
      <c r="D5" s="3463">
        <v>2017</v>
      </c>
      <c r="E5" s="3514">
        <v>2018</v>
      </c>
      <c r="F5" s="3463">
        <v>2019</v>
      </c>
      <c r="G5" s="3464">
        <v>2020</v>
      </c>
      <c r="H5" s="3464" t="s">
        <v>561</v>
      </c>
      <c r="I5" s="3508" t="s">
        <v>562</v>
      </c>
      <c r="S5" s="385"/>
      <c r="T5" s="292"/>
    </row>
    <row r="6" spans="2:20" ht="14.45">
      <c r="B6" s="3513"/>
      <c r="C6" s="3451"/>
      <c r="D6" s="3464"/>
      <c r="E6" s="3514"/>
      <c r="F6" s="3464" t="s">
        <v>563</v>
      </c>
      <c r="G6" s="3464" t="s">
        <v>563</v>
      </c>
      <c r="H6" s="3464" t="s">
        <v>563</v>
      </c>
      <c r="I6" s="3508" t="s">
        <v>563</v>
      </c>
      <c r="L6"/>
      <c r="M6"/>
      <c r="N6"/>
      <c r="O6"/>
      <c r="P6"/>
      <c r="S6" s="385"/>
      <c r="T6" s="292"/>
    </row>
    <row r="7" spans="2:20">
      <c r="B7" s="3476"/>
      <c r="C7" s="3517"/>
      <c r="D7" s="3465"/>
      <c r="E7" s="3515"/>
      <c r="F7" s="3465"/>
      <c r="G7" s="3464"/>
      <c r="H7" s="3464"/>
      <c r="I7" s="3508"/>
      <c r="S7" s="385"/>
      <c r="T7" s="292"/>
    </row>
    <row r="8" spans="2:20">
      <c r="B8" s="1545" t="s">
        <v>91</v>
      </c>
      <c r="C8" s="1727">
        <v>109.31</v>
      </c>
      <c r="D8" s="1541">
        <v>104.80229985277963</v>
      </c>
      <c r="E8" s="1710">
        <v>109.26843802148414</v>
      </c>
      <c r="F8" s="1542">
        <v>125.95557575494961</v>
      </c>
      <c r="G8" s="1542">
        <v>100.12807285280201</v>
      </c>
      <c r="H8" s="1543">
        <f>100.536942636404</f>
        <v>100.53694263640401</v>
      </c>
      <c r="I8" s="1544">
        <v>119.644039094683</v>
      </c>
      <c r="J8" s="490"/>
      <c r="K8" s="490"/>
      <c r="L8" s="482"/>
      <c r="S8" s="385"/>
      <c r="T8" s="292"/>
    </row>
    <row r="9" spans="2:20">
      <c r="B9" s="2398" t="s">
        <v>94</v>
      </c>
      <c r="C9" s="1727">
        <v>121.75</v>
      </c>
      <c r="D9" s="1710">
        <v>104.90751715489131</v>
      </c>
      <c r="E9" s="1710">
        <v>111.2684037235901</v>
      </c>
      <c r="F9" s="1710">
        <v>129.59490165340691</v>
      </c>
      <c r="G9" s="1710">
        <v>104.96009143190055</v>
      </c>
      <c r="H9" s="2477">
        <f>107.778819073168</f>
        <v>107.77881907316799</v>
      </c>
      <c r="I9" s="2478">
        <v>113.776949522862</v>
      </c>
      <c r="J9" s="490"/>
      <c r="K9" s="490"/>
      <c r="L9" s="482"/>
      <c r="S9" s="385"/>
      <c r="T9" s="292"/>
    </row>
    <row r="10" spans="2:20">
      <c r="B10" s="2398" t="s">
        <v>97</v>
      </c>
      <c r="C10" s="1727">
        <v>97.61</v>
      </c>
      <c r="D10" s="1710">
        <v>98.541194450603768</v>
      </c>
      <c r="E10" s="1710">
        <v>100.22551287162311</v>
      </c>
      <c r="F10" s="1710">
        <v>104.15353651343995</v>
      </c>
      <c r="G10" s="1710">
        <v>101.08631968705825</v>
      </c>
      <c r="H10" s="2477">
        <v>105.941004060506</v>
      </c>
      <c r="I10" s="2478">
        <v>124.550062384138</v>
      </c>
      <c r="J10" s="490"/>
      <c r="K10" s="490"/>
      <c r="L10" s="482"/>
      <c r="S10" s="385"/>
      <c r="T10" s="292"/>
    </row>
    <row r="11" spans="2:20">
      <c r="B11" s="2398" t="s">
        <v>128</v>
      </c>
      <c r="C11" s="1727">
        <v>101.53</v>
      </c>
      <c r="D11" s="1710">
        <v>100.98836823004488</v>
      </c>
      <c r="E11" s="1710">
        <v>102.06258980457601</v>
      </c>
      <c r="F11" s="1694">
        <v>98.556215453353047</v>
      </c>
      <c r="G11" s="1694">
        <v>85.455264400048407</v>
      </c>
      <c r="H11" s="2477">
        <v>89.311463434636494</v>
      </c>
      <c r="I11" s="2478">
        <v>98.303905441517401</v>
      </c>
      <c r="J11" s="490"/>
      <c r="K11" s="490"/>
      <c r="L11" s="482"/>
      <c r="S11" s="385"/>
      <c r="T11" s="292"/>
    </row>
    <row r="12" spans="2:20">
      <c r="B12" s="2398" t="s">
        <v>101</v>
      </c>
      <c r="C12" s="1727">
        <v>100.95</v>
      </c>
      <c r="D12" s="1710">
        <v>100.32516274402916</v>
      </c>
      <c r="E12" s="1710">
        <v>104.41156381344069</v>
      </c>
      <c r="F12" s="1710">
        <v>107.56152871734108</v>
      </c>
      <c r="G12" s="1710">
        <v>96.109782881040587</v>
      </c>
      <c r="H12" s="2477">
        <v>100.36998681430001</v>
      </c>
      <c r="I12" s="2478">
        <v>110.92223035548599</v>
      </c>
      <c r="J12" s="490"/>
      <c r="K12" s="490"/>
      <c r="L12" s="482"/>
      <c r="S12" s="385"/>
      <c r="T12" s="292"/>
    </row>
    <row r="13" spans="2:20">
      <c r="B13" s="2398" t="s">
        <v>102</v>
      </c>
      <c r="C13" s="1727">
        <v>128.28</v>
      </c>
      <c r="D13" s="1710">
        <v>100.24614671590273</v>
      </c>
      <c r="E13" s="1710">
        <v>103.97289287358946</v>
      </c>
      <c r="F13" s="1710">
        <v>104.20911755360333</v>
      </c>
      <c r="G13" s="1710">
        <v>101.67492927986727</v>
      </c>
      <c r="H13" s="2477">
        <v>100.78721683170301</v>
      </c>
      <c r="I13" s="2478">
        <v>108.959240655831</v>
      </c>
      <c r="J13" s="490"/>
      <c r="K13" s="490"/>
      <c r="L13" s="482"/>
      <c r="S13" s="385"/>
      <c r="T13" s="292"/>
    </row>
    <row r="14" spans="2:20">
      <c r="B14" s="2398" t="s">
        <v>104</v>
      </c>
      <c r="C14" s="1727">
        <v>110.03</v>
      </c>
      <c r="D14" s="1710">
        <v>105.95652299111633</v>
      </c>
      <c r="E14" s="1710">
        <v>105.39624393971965</v>
      </c>
      <c r="F14" s="1710">
        <v>103.7869609128276</v>
      </c>
      <c r="G14" s="1710">
        <v>97.270551587904592</v>
      </c>
      <c r="H14" s="2477">
        <v>104.19000423778</v>
      </c>
      <c r="I14" s="2478">
        <v>115.035261043872</v>
      </c>
      <c r="J14" s="490"/>
      <c r="K14" s="490"/>
      <c r="L14" s="482"/>
      <c r="S14" s="385"/>
      <c r="T14" s="292"/>
    </row>
    <row r="15" spans="2:20">
      <c r="B15" s="2398" t="s">
        <v>564</v>
      </c>
      <c r="C15" s="1727">
        <v>103.25</v>
      </c>
      <c r="D15" s="1710">
        <v>105.94643458841166</v>
      </c>
      <c r="E15" s="2401"/>
      <c r="F15" s="2401"/>
      <c r="G15" s="2401"/>
      <c r="H15" s="2401">
        <v>0</v>
      </c>
      <c r="I15" s="2401">
        <v>0</v>
      </c>
      <c r="J15" s="490"/>
      <c r="K15" s="490"/>
      <c r="L15" s="482"/>
      <c r="S15" s="385"/>
      <c r="T15" s="292"/>
    </row>
    <row r="16" spans="2:20">
      <c r="B16" s="2398" t="s">
        <v>108</v>
      </c>
      <c r="C16" s="1727">
        <v>103.33</v>
      </c>
      <c r="D16" s="1710">
        <v>106.21859168331153</v>
      </c>
      <c r="E16" s="1710">
        <v>109.17444260567413</v>
      </c>
      <c r="F16" s="1710">
        <v>95.861622309803479</v>
      </c>
      <c r="G16" s="1710">
        <v>80.721408163985714</v>
      </c>
      <c r="H16" s="2477">
        <v>90.303608293351104</v>
      </c>
      <c r="I16" s="2478">
        <v>96.030937500283102</v>
      </c>
      <c r="J16" s="490"/>
      <c r="K16" s="490"/>
      <c r="L16" s="482"/>
      <c r="S16" s="385"/>
      <c r="T16" s="292"/>
    </row>
    <row r="17" spans="2:20">
      <c r="B17" s="2398" t="s">
        <v>109</v>
      </c>
      <c r="C17" s="1727">
        <v>143.47</v>
      </c>
      <c r="D17" s="1710">
        <v>131.88598757976507</v>
      </c>
      <c r="E17" s="1710">
        <v>1203.487807728915</v>
      </c>
      <c r="F17" s="1710">
        <v>1784.4702961117302</v>
      </c>
      <c r="G17" s="1710">
        <v>221.22932246968077</v>
      </c>
      <c r="H17" s="2477">
        <v>176.17575766268399</v>
      </c>
      <c r="I17" s="2478">
        <v>204.499754508124</v>
      </c>
      <c r="J17" s="490"/>
      <c r="K17" s="490"/>
      <c r="L17" s="482"/>
      <c r="S17" s="385"/>
      <c r="T17" s="292"/>
    </row>
    <row r="18" spans="2:20">
      <c r="B18" s="2398" t="s">
        <v>110</v>
      </c>
      <c r="C18" s="1710">
        <v>65.77</v>
      </c>
      <c r="D18" s="1710">
        <v>99.510012886137588</v>
      </c>
      <c r="E18" s="1710">
        <v>92.599195021750333</v>
      </c>
      <c r="F18" s="1710">
        <v>82.078924866326247</v>
      </c>
      <c r="G18" s="1710">
        <v>48.59670362963827</v>
      </c>
      <c r="H18" s="2477">
        <f>0.670866168171474*100</f>
        <v>67.086616817147402</v>
      </c>
      <c r="I18" s="2478">
        <f>0.839272857502227*100</f>
        <v>83.927285750222708</v>
      </c>
      <c r="J18" s="490"/>
      <c r="K18" s="490"/>
      <c r="L18" s="482"/>
      <c r="S18" s="385"/>
      <c r="T18" s="292"/>
    </row>
    <row r="19" spans="2:20">
      <c r="B19" s="2398" t="s">
        <v>111</v>
      </c>
      <c r="C19" s="1727">
        <v>111.13</v>
      </c>
      <c r="D19" s="1710">
        <v>110.71070713464648</v>
      </c>
      <c r="E19" s="1710">
        <v>105.73349368067935</v>
      </c>
      <c r="F19" s="1710">
        <v>101.25384533002442</v>
      </c>
      <c r="G19" s="1710">
        <v>99.37999254692302</v>
      </c>
      <c r="H19" s="2477">
        <v>99.225744326873794</v>
      </c>
      <c r="I19" s="2478">
        <v>111.62067109785799</v>
      </c>
      <c r="J19" s="490"/>
      <c r="K19" s="490"/>
      <c r="L19" s="482"/>
      <c r="S19" s="385"/>
      <c r="T19" s="292"/>
    </row>
    <row r="20" spans="2:20">
      <c r="B20" s="2398" t="s">
        <v>112</v>
      </c>
      <c r="C20" s="1727">
        <v>94.46</v>
      </c>
      <c r="D20" s="1710">
        <v>95.790766907592939</v>
      </c>
      <c r="E20" s="1710">
        <v>97.370526335691366</v>
      </c>
      <c r="F20" s="1710">
        <v>98.760086024840476</v>
      </c>
      <c r="G20" s="1710">
        <v>84.761149090996852</v>
      </c>
      <c r="H20" s="2477">
        <v>92.501053879996306</v>
      </c>
      <c r="I20" s="2478">
        <v>108.12177661112401</v>
      </c>
      <c r="J20" s="490"/>
      <c r="K20" s="490"/>
      <c r="L20" s="482"/>
      <c r="S20" s="385"/>
      <c r="T20" s="292"/>
    </row>
    <row r="21" spans="2:20">
      <c r="B21" s="2398" t="s">
        <v>114</v>
      </c>
      <c r="C21" s="1727">
        <v>124.54</v>
      </c>
      <c r="D21" s="1710">
        <v>115.04042262757694</v>
      </c>
      <c r="E21" s="1710">
        <v>116.65022856370229</v>
      </c>
      <c r="F21" s="1710">
        <v>114.6257081754203</v>
      </c>
      <c r="G21" s="1710">
        <v>106.75044640725153</v>
      </c>
      <c r="H21" s="2477">
        <v>118.69998746180801</v>
      </c>
      <c r="I21" s="2478">
        <v>132.26011430194899</v>
      </c>
      <c r="J21" s="490"/>
      <c r="K21" s="490"/>
      <c r="L21" s="482"/>
      <c r="S21" s="385"/>
      <c r="T21" s="292"/>
    </row>
    <row r="22" spans="2:20">
      <c r="B22" s="2398" t="s">
        <v>115</v>
      </c>
      <c r="C22" s="1727">
        <v>100.71</v>
      </c>
      <c r="D22" s="1710">
        <v>97.169788881483839</v>
      </c>
      <c r="E22" s="1710">
        <v>98.488172794736755</v>
      </c>
      <c r="F22" s="1710">
        <v>96.703384276559362</v>
      </c>
      <c r="G22" s="1710">
        <v>89.173933608010501</v>
      </c>
      <c r="H22" s="2477">
        <v>96.551203446080706</v>
      </c>
      <c r="I22" s="2478">
        <v>109.17044016756</v>
      </c>
      <c r="J22" s="490"/>
      <c r="K22" s="490"/>
      <c r="L22" s="482"/>
      <c r="S22" s="385"/>
      <c r="T22" s="292"/>
    </row>
    <row r="23" spans="2:20">
      <c r="B23" s="2390" t="s">
        <v>565</v>
      </c>
      <c r="C23" s="2479">
        <v>99.86</v>
      </c>
      <c r="D23" s="2479">
        <v>100.93648169747593</v>
      </c>
      <c r="E23" s="2479">
        <v>102.4539980061631</v>
      </c>
      <c r="F23" s="2479">
        <v>104.18116980368887</v>
      </c>
      <c r="G23" s="2479">
        <v>88.427499971614267</v>
      </c>
      <c r="H23" s="2479">
        <f>0.947435750520029*100</f>
        <v>94.74357505200291</v>
      </c>
      <c r="I23" s="2479">
        <f>1.08566553897981*100</f>
        <v>108.566553897981</v>
      </c>
      <c r="J23" s="490"/>
      <c r="K23" s="490"/>
      <c r="L23" s="484"/>
      <c r="S23" s="385"/>
      <c r="T23" s="292"/>
    </row>
    <row r="24" spans="2:20">
      <c r="B24" s="214"/>
      <c r="C24" s="383"/>
    </row>
    <row r="25" spans="2:20">
      <c r="H25" s="292">
        <v>163</v>
      </c>
    </row>
    <row r="28" spans="2:20">
      <c r="B28" s="3450"/>
      <c r="C28" s="3450"/>
      <c r="D28" s="3450"/>
      <c r="E28" s="3450"/>
      <c r="F28" s="3450"/>
      <c r="G28" s="218"/>
    </row>
    <row r="29" spans="2:20" ht="14.45">
      <c r="B29" s="295"/>
      <c r="F29" s="39"/>
      <c r="G29" s="579"/>
    </row>
    <row r="30" spans="2:20">
      <c r="B30" s="3240"/>
      <c r="C30" s="3240"/>
      <c r="D30" s="3240"/>
      <c r="E30" s="3240"/>
      <c r="F30" s="3240"/>
      <c r="G30" s="214"/>
    </row>
    <row r="31" spans="2:20">
      <c r="B31" s="3240"/>
      <c r="C31" s="214"/>
      <c r="D31" s="214"/>
      <c r="E31" s="214"/>
      <c r="F31" s="214"/>
      <c r="G31" s="214"/>
    </row>
    <row r="32" spans="2:20">
      <c r="C32" s="575"/>
      <c r="D32" s="575"/>
      <c r="E32" s="575"/>
      <c r="F32" s="575"/>
      <c r="G32" s="575"/>
    </row>
    <row r="33" spans="2:7">
      <c r="C33" s="575"/>
      <c r="D33" s="575"/>
      <c r="E33" s="575"/>
      <c r="F33" s="575"/>
      <c r="G33" s="575"/>
    </row>
    <row r="34" spans="2:7">
      <c r="C34" s="575"/>
      <c r="D34" s="575"/>
      <c r="E34" s="575"/>
      <c r="F34" s="575"/>
      <c r="G34" s="575"/>
    </row>
    <row r="35" spans="2:7">
      <c r="B35" s="467"/>
      <c r="C35" s="575"/>
      <c r="D35" s="575"/>
      <c r="E35" s="575"/>
      <c r="F35" s="575"/>
      <c r="G35" s="575"/>
    </row>
    <row r="36" spans="2:7">
      <c r="B36" s="467"/>
      <c r="C36" s="575"/>
      <c r="D36" s="575"/>
      <c r="E36" s="575"/>
      <c r="F36" s="575"/>
      <c r="G36" s="575"/>
    </row>
    <row r="37" spans="2:7">
      <c r="B37" s="295"/>
      <c r="C37" s="576"/>
      <c r="D37" s="576"/>
      <c r="E37" s="576"/>
      <c r="F37" s="576"/>
      <c r="G37" s="576"/>
    </row>
    <row r="38" spans="2:7">
      <c r="C38" s="575"/>
      <c r="D38" s="575"/>
      <c r="E38" s="575"/>
      <c r="F38" s="575"/>
      <c r="G38" s="575"/>
    </row>
    <row r="39" spans="2:7">
      <c r="B39" s="218"/>
      <c r="C39" s="576"/>
      <c r="D39" s="576"/>
      <c r="E39" s="576"/>
      <c r="F39" s="576"/>
      <c r="G39" s="576"/>
    </row>
    <row r="40" spans="2:7" ht="14.45">
      <c r="F40" s="39"/>
      <c r="G40" s="39"/>
    </row>
    <row r="41" spans="2:7">
      <c r="B41" s="3240"/>
      <c r="C41" s="3240"/>
      <c r="D41" s="3240"/>
      <c r="E41" s="3240"/>
      <c r="F41" s="3240"/>
      <c r="G41" s="214"/>
    </row>
    <row r="42" spans="2:7">
      <c r="B42" s="3240"/>
      <c r="C42" s="214"/>
      <c r="D42" s="214"/>
      <c r="E42" s="214"/>
      <c r="F42" s="214"/>
      <c r="G42" s="214"/>
    </row>
    <row r="43" spans="2:7" ht="14.45">
      <c r="C43" s="103"/>
      <c r="D43" s="103"/>
      <c r="E43" s="103"/>
      <c r="F43" s="197"/>
      <c r="G43" s="197"/>
    </row>
    <row r="44" spans="2:7" ht="14.45">
      <c r="C44" s="103"/>
      <c r="D44" s="103"/>
      <c r="E44" s="103"/>
      <c r="F44" s="197"/>
      <c r="G44" s="197"/>
    </row>
    <row r="45" spans="2:7" ht="14.45">
      <c r="C45" s="103"/>
      <c r="D45" s="103"/>
      <c r="E45" s="103"/>
      <c r="F45" s="197"/>
      <c r="G45" s="197"/>
    </row>
    <row r="46" spans="2:7" ht="14.45">
      <c r="B46" s="467"/>
      <c r="C46" s="3512"/>
      <c r="D46" s="3512"/>
      <c r="E46" s="293"/>
      <c r="F46" s="197"/>
      <c r="G46" s="197"/>
    </row>
    <row r="47" spans="2:7" ht="14.45">
      <c r="B47" s="467"/>
      <c r="C47" s="3512"/>
      <c r="D47" s="3512"/>
      <c r="E47" s="293"/>
      <c r="F47" s="197"/>
      <c r="G47" s="197"/>
    </row>
    <row r="48" spans="2:7">
      <c r="B48" s="295"/>
      <c r="C48" s="387"/>
      <c r="D48" s="387"/>
      <c r="E48" s="387"/>
      <c r="F48" s="387"/>
      <c r="G48" s="387"/>
    </row>
    <row r="49" spans="2:7">
      <c r="C49" s="387"/>
      <c r="D49" s="387"/>
      <c r="E49" s="387"/>
      <c r="F49" s="577"/>
      <c r="G49" s="577"/>
    </row>
    <row r="50" spans="2:7">
      <c r="B50" s="218"/>
      <c r="C50" s="387"/>
      <c r="D50" s="387"/>
      <c r="E50" s="387"/>
      <c r="F50" s="387"/>
      <c r="G50" s="387"/>
    </row>
    <row r="51" spans="2:7" ht="14.45">
      <c r="F51" s="39"/>
      <c r="G51" s="39"/>
    </row>
    <row r="52" spans="2:7">
      <c r="B52" s="3240"/>
      <c r="C52" s="3240"/>
      <c r="D52" s="3240"/>
      <c r="E52" s="3240"/>
      <c r="F52" s="3240"/>
      <c r="G52" s="214"/>
    </row>
    <row r="53" spans="2:7">
      <c r="B53" s="3240"/>
      <c r="C53" s="214"/>
      <c r="D53" s="214"/>
      <c r="E53" s="214"/>
      <c r="F53" s="214"/>
      <c r="G53" s="214"/>
    </row>
    <row r="54" spans="2:7" ht="14.45">
      <c r="C54" s="103"/>
      <c r="D54" s="103"/>
      <c r="E54" s="103"/>
      <c r="F54" s="197"/>
      <c r="G54" s="197"/>
    </row>
    <row r="55" spans="2:7" ht="14.45">
      <c r="C55" s="103"/>
      <c r="D55" s="103"/>
      <c r="E55" s="103"/>
      <c r="F55" s="197"/>
      <c r="G55" s="197"/>
    </row>
    <row r="56" spans="2:7" ht="14.45">
      <c r="C56" s="103"/>
      <c r="D56" s="103"/>
      <c r="E56" s="103"/>
      <c r="F56" s="197"/>
      <c r="G56" s="197"/>
    </row>
    <row r="57" spans="2:7" ht="14.45">
      <c r="B57" s="467"/>
      <c r="C57" s="3512"/>
      <c r="D57" s="3512"/>
      <c r="E57" s="293"/>
      <c r="F57" s="197"/>
      <c r="G57" s="197"/>
    </row>
    <row r="58" spans="2:7" ht="14.45">
      <c r="B58" s="467"/>
      <c r="C58" s="3512"/>
      <c r="D58" s="3512"/>
      <c r="E58" s="293"/>
      <c r="F58" s="197"/>
      <c r="G58" s="197"/>
    </row>
    <row r="59" spans="2:7">
      <c r="B59" s="295"/>
      <c r="C59" s="387"/>
      <c r="D59" s="387"/>
      <c r="E59" s="387"/>
      <c r="F59" s="387"/>
      <c r="G59" s="387"/>
    </row>
    <row r="60" spans="2:7">
      <c r="C60" s="103"/>
      <c r="D60" s="103"/>
      <c r="E60" s="103"/>
      <c r="F60" s="103"/>
      <c r="G60" s="103"/>
    </row>
    <row r="61" spans="2:7">
      <c r="B61" s="218"/>
      <c r="C61" s="387"/>
      <c r="D61" s="387"/>
      <c r="E61" s="387"/>
      <c r="F61" s="387"/>
      <c r="G61" s="387"/>
    </row>
    <row r="62" spans="2:7" ht="14.45">
      <c r="F62" s="39"/>
      <c r="G62" s="39"/>
    </row>
    <row r="63" spans="2:7">
      <c r="B63" s="3240"/>
      <c r="C63" s="3240"/>
      <c r="D63" s="3240"/>
      <c r="E63" s="3240"/>
      <c r="F63" s="3240"/>
      <c r="G63" s="214"/>
    </row>
    <row r="64" spans="2:7">
      <c r="B64" s="3240"/>
      <c r="C64" s="214"/>
      <c r="D64" s="214"/>
      <c r="E64" s="214"/>
      <c r="F64" s="214"/>
      <c r="G64" s="214"/>
    </row>
    <row r="65" spans="2:7" ht="14.45">
      <c r="C65" s="578"/>
      <c r="D65" s="578"/>
      <c r="E65" s="578"/>
      <c r="F65" s="579"/>
      <c r="G65" s="579"/>
    </row>
    <row r="66" spans="2:7" ht="14.45">
      <c r="C66" s="578"/>
      <c r="D66" s="578"/>
      <c r="E66" s="578"/>
      <c r="F66" s="579"/>
      <c r="G66" s="579"/>
    </row>
    <row r="67" spans="2:7" ht="14.45">
      <c r="C67" s="578"/>
      <c r="D67" s="578"/>
      <c r="E67" s="578"/>
      <c r="F67" s="579"/>
      <c r="G67" s="579"/>
    </row>
    <row r="68" spans="2:7">
      <c r="B68" s="467"/>
      <c r="C68" s="3511"/>
      <c r="D68" s="3511"/>
      <c r="E68" s="580"/>
      <c r="F68" s="580"/>
      <c r="G68" s="580"/>
    </row>
    <row r="69" spans="2:7">
      <c r="B69" s="467"/>
      <c r="C69" s="3511"/>
      <c r="D69" s="3511"/>
      <c r="E69" s="580"/>
      <c r="F69" s="580"/>
      <c r="G69" s="580"/>
    </row>
    <row r="70" spans="2:7" ht="14.45">
      <c r="B70" s="295"/>
      <c r="C70" s="581"/>
      <c r="D70" s="581"/>
      <c r="E70" s="581"/>
      <c r="F70" s="582"/>
      <c r="G70" s="582"/>
    </row>
    <row r="71" spans="2:7" ht="14.45">
      <c r="C71" s="527"/>
      <c r="D71" s="527"/>
      <c r="E71" s="527"/>
      <c r="F71" s="583"/>
      <c r="G71" s="583"/>
    </row>
    <row r="72" spans="2:7" ht="14.45">
      <c r="B72" s="218"/>
      <c r="C72" s="579"/>
      <c r="D72" s="579"/>
      <c r="E72" s="579"/>
      <c r="F72" s="579"/>
      <c r="G72" s="579"/>
    </row>
    <row r="73" spans="2:7" ht="14.45">
      <c r="B73" s="481"/>
      <c r="C73" s="272"/>
      <c r="D73" s="272"/>
      <c r="E73" s="272"/>
      <c r="F73" s="39"/>
      <c r="G73" s="39"/>
    </row>
    <row r="74" spans="2:7" ht="14.45">
      <c r="B74" s="39"/>
      <c r="C74" s="584"/>
      <c r="D74" s="584"/>
      <c r="E74" s="584"/>
      <c r="F74" s="39"/>
      <c r="G74" s="39"/>
    </row>
  </sheetData>
  <sortState xmlns:xlrd2="http://schemas.microsoft.com/office/spreadsheetml/2017/richdata2" ref="B9:I22">
    <sortCondition ref="B8"/>
  </sortState>
  <customSheetViews>
    <customSheetView guid="{2ACFE167-4169-43A6-9AB2-59D5A2DA2DB4}" showPageBreaks="1">
      <selection activeCell="H26" sqref="H26"/>
      <pageMargins left="0" right="0" top="0" bottom="0" header="0" footer="0"/>
      <pageSetup paperSize="9" scale="75" orientation="portrait" r:id="rId1"/>
    </customSheetView>
    <customSheetView guid="{967E0446-E234-427F-8E57-7FE287052E2E}" showPageBreaks="1" topLeftCell="A13">
      <selection activeCell="B24" sqref="B24"/>
      <pageMargins left="0" right="0" top="0" bottom="0" header="0" footer="0"/>
      <pageSetup paperSize="9" scale="75" orientation="portrait" r:id="rId2"/>
    </customSheetView>
    <customSheetView guid="{B2E1A0C6-5BA1-4CF1-B412-16D81FCDF11F}">
      <selection activeCell="H26" sqref="H26"/>
      <pageMargins left="0" right="0" top="0" bottom="0" header="0" footer="0"/>
      <pageSetup paperSize="9" scale="75" orientation="portrait" r:id="rId3"/>
    </customSheetView>
    <customSheetView guid="{46F31544-8E6F-41C5-8628-1D6EE074AF15}">
      <selection activeCell="J23" sqref="J23"/>
      <pageMargins left="0" right="0" top="0" bottom="0" header="0" footer="0"/>
      <pageSetup paperSize="9" scale="75" orientation="portrait" r:id="rId4"/>
    </customSheetView>
    <customSheetView guid="{E82B35BE-4719-4C53-A9EF-1CC6F153A6F3}" topLeftCell="A85">
      <selection activeCell="G10" sqref="G10"/>
      <rowBreaks count="1" manualBreakCount="1">
        <brk id="50" max="16383" man="1"/>
      </rowBreaks>
      <pageMargins left="0" right="0" top="0" bottom="0" header="0" footer="0"/>
      <pageSetup scale="72" orientation="portrait" r:id="rId5"/>
    </customSheetView>
    <customSheetView guid="{B1E1B596-A9A1-411D-A882-A48CB025B978}" topLeftCell="B1">
      <selection activeCell="E8" sqref="E8"/>
      <pageMargins left="0" right="0" top="0" bottom="0" header="0" footer="0"/>
      <pageSetup paperSize="9" scale="72" orientation="portrait" r:id="rId6"/>
    </customSheetView>
    <customSheetView guid="{5E394B0B-7867-4722-9497-A93AB2A9A773}" showPageBreaks="1" view="pageBreakPreview">
      <selection activeCell="D29" sqref="D29"/>
      <pageMargins left="0" right="0" top="0" bottom="0" header="0" footer="0"/>
      <pageSetup paperSize="9" scale="85" orientation="portrait" r:id="rId7"/>
    </customSheetView>
  </customSheetViews>
  <mergeCells count="24">
    <mergeCell ref="G5:G7"/>
    <mergeCell ref="H5:H7"/>
    <mergeCell ref="B63:B64"/>
    <mergeCell ref="C63:F63"/>
    <mergeCell ref="C46:C47"/>
    <mergeCell ref="D46:D47"/>
    <mergeCell ref="B52:B53"/>
    <mergeCell ref="C52:F52"/>
    <mergeCell ref="I5:I7"/>
    <mergeCell ref="E4:I4"/>
    <mergeCell ref="C68:C69"/>
    <mergeCell ref="D68:D69"/>
    <mergeCell ref="C57:C58"/>
    <mergeCell ref="D57:D58"/>
    <mergeCell ref="B28:F28"/>
    <mergeCell ref="B30:B31"/>
    <mergeCell ref="C30:F30"/>
    <mergeCell ref="B41:B42"/>
    <mergeCell ref="C41:F41"/>
    <mergeCell ref="B5:B7"/>
    <mergeCell ref="E5:E7"/>
    <mergeCell ref="D5:D7"/>
    <mergeCell ref="C5:C7"/>
    <mergeCell ref="F5:F7"/>
  </mergeCells>
  <pageMargins left="0.7" right="0.7" top="0.76" bottom="0.75" header="0.3" footer="0.3"/>
  <pageSetup paperSize="9" scale="92" orientation="portrait" r:id="rId8"/>
  <rowBreaks count="1" manualBreakCount="1">
    <brk id="26" min="1" max="7"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FF6699"/>
  </sheetPr>
  <dimension ref="B2:O61"/>
  <sheetViews>
    <sheetView showGridLines="0" view="pageBreakPreview" topLeftCell="A40" zoomScaleNormal="100" zoomScaleSheetLayoutView="100" workbookViewId="0">
      <selection activeCell="J25" sqref="J25"/>
    </sheetView>
  </sheetViews>
  <sheetFormatPr defaultColWidth="9.140625" defaultRowHeight="13.15"/>
  <cols>
    <col min="1" max="1" width="9.140625" style="292"/>
    <col min="2" max="2" width="30.85546875" style="292" customWidth="1"/>
    <col min="3" max="4" width="14.85546875" style="292" hidden="1" customWidth="1"/>
    <col min="5" max="6" width="14.85546875" style="292" customWidth="1"/>
    <col min="7" max="7" width="18.140625" style="292" customWidth="1"/>
    <col min="8" max="9" width="15.28515625" style="292" customWidth="1"/>
    <col min="10" max="10" width="14.5703125" style="292" customWidth="1"/>
    <col min="11" max="15" width="12" style="292" customWidth="1"/>
    <col min="16" max="16384" width="9.140625" style="292"/>
  </cols>
  <sheetData>
    <row r="2" spans="2:15">
      <c r="B2" s="295" t="s">
        <v>566</v>
      </c>
      <c r="C2" s="295"/>
      <c r="D2" s="295"/>
      <c r="E2" s="295"/>
      <c r="F2" s="295"/>
      <c r="G2" s="295"/>
      <c r="H2" s="218"/>
    </row>
    <row r="3" spans="2:15">
      <c r="B3" s="295"/>
    </row>
    <row r="4" spans="2:15">
      <c r="B4" s="3487" t="s">
        <v>526</v>
      </c>
      <c r="C4" s="3482" t="s">
        <v>567</v>
      </c>
      <c r="D4" s="3484"/>
      <c r="E4" s="3484"/>
      <c r="F4" s="3484"/>
      <c r="G4" s="3484"/>
      <c r="H4" s="3484"/>
      <c r="I4" s="3484"/>
    </row>
    <row r="5" spans="2:15">
      <c r="B5" s="3488"/>
      <c r="C5" s="1567">
        <v>2016</v>
      </c>
      <c r="D5" s="1551">
        <v>2017</v>
      </c>
      <c r="E5" s="1590">
        <v>2018</v>
      </c>
      <c r="F5" s="1551">
        <v>2019</v>
      </c>
      <c r="G5" s="1564">
        <v>2020</v>
      </c>
      <c r="H5" s="1551" t="s">
        <v>138</v>
      </c>
      <c r="I5" s="1551" t="s">
        <v>139</v>
      </c>
    </row>
    <row r="6" spans="2:15">
      <c r="B6" s="1597" t="s">
        <v>436</v>
      </c>
      <c r="C6" s="1717">
        <v>7479909.7406423176</v>
      </c>
      <c r="D6" s="1554">
        <v>8597489.2085514218</v>
      </c>
      <c r="E6" s="1554">
        <v>8821655.3978943285</v>
      </c>
      <c r="F6" s="1554">
        <v>8269991.1206638189</v>
      </c>
      <c r="G6" s="1554">
        <v>8888258</v>
      </c>
      <c r="H6" s="1537">
        <v>10373259.539592501</v>
      </c>
      <c r="I6" s="1577">
        <v>14628113.946118535</v>
      </c>
      <c r="J6" s="396"/>
      <c r="K6" s="396"/>
      <c r="L6" s="396"/>
      <c r="M6" s="396"/>
    </row>
    <row r="7" spans="2:15">
      <c r="B7" s="1747" t="s">
        <v>437</v>
      </c>
      <c r="C7" s="1717">
        <v>2086394.3325450725</v>
      </c>
      <c r="D7" s="1717">
        <v>2191654.2667042897</v>
      </c>
      <c r="E7" s="1717">
        <v>2403366.2699608421</v>
      </c>
      <c r="F7" s="1717">
        <v>2385566.1561371502</v>
      </c>
      <c r="G7" s="1717">
        <v>2276474</v>
      </c>
      <c r="H7" s="1537">
        <v>3077109.7286900003</v>
      </c>
      <c r="I7" s="1577">
        <v>3924812.8274850114</v>
      </c>
      <c r="J7" s="396"/>
      <c r="K7" s="396"/>
      <c r="L7" s="396"/>
      <c r="M7" s="396"/>
    </row>
    <row r="8" spans="2:15">
      <c r="B8" s="1747" t="s">
        <v>438</v>
      </c>
      <c r="C8" s="1717">
        <v>49333000.06178686</v>
      </c>
      <c r="D8" s="1717">
        <v>56047639.867470831</v>
      </c>
      <c r="E8" s="1717">
        <v>62363475.548629276</v>
      </c>
      <c r="F8" s="1717">
        <v>63685555.090495057</v>
      </c>
      <c r="G8" s="1717">
        <v>61276210</v>
      </c>
      <c r="H8" s="1537">
        <v>59814402.359051995</v>
      </c>
      <c r="I8" s="1577">
        <v>64097776.495736443</v>
      </c>
      <c r="J8" s="396"/>
      <c r="K8" s="396"/>
      <c r="L8" s="396"/>
      <c r="M8" s="396"/>
    </row>
    <row r="9" spans="2:15">
      <c r="B9" s="1747" t="s">
        <v>439</v>
      </c>
      <c r="C9" s="1717">
        <v>10036517.591002088</v>
      </c>
      <c r="D9" s="1717">
        <v>14649440.341688534</v>
      </c>
      <c r="E9" s="1717">
        <v>14161541.887519985</v>
      </c>
      <c r="F9" s="1717">
        <v>16593660.837659916</v>
      </c>
      <c r="G9" s="1717">
        <v>18877585</v>
      </c>
      <c r="H9" s="1537">
        <v>19960145.872189999</v>
      </c>
      <c r="I9" s="1577">
        <v>18407406.715600006</v>
      </c>
      <c r="J9" s="396"/>
      <c r="K9" s="396"/>
      <c r="L9" s="396"/>
      <c r="M9" s="396"/>
    </row>
    <row r="10" spans="2:15">
      <c r="B10" s="1747" t="s">
        <v>568</v>
      </c>
      <c r="C10" s="1717">
        <v>7120742.3725238405</v>
      </c>
      <c r="D10" s="1717">
        <v>7866259.8899797387</v>
      </c>
      <c r="E10" s="1717">
        <v>8254421.1407573605</v>
      </c>
      <c r="F10" s="1717">
        <v>10442623.51507557</v>
      </c>
      <c r="G10" s="1717">
        <v>7857768</v>
      </c>
      <c r="H10" s="1537">
        <v>8926104.2999450006</v>
      </c>
      <c r="I10" s="1577">
        <v>12708192.44381213</v>
      </c>
      <c r="J10" s="396"/>
      <c r="K10" s="396"/>
      <c r="L10" s="396"/>
      <c r="M10" s="396"/>
    </row>
    <row r="11" spans="2:15">
      <c r="B11" s="2447" t="s">
        <v>528</v>
      </c>
      <c r="C11" s="2480">
        <v>76056564.098500177</v>
      </c>
      <c r="D11" s="2481">
        <v>89352483.574394807</v>
      </c>
      <c r="E11" s="2481">
        <f>SUM(E6:E10)</f>
        <v>96004460.244761795</v>
      </c>
      <c r="F11" s="2481">
        <f>SUM(F6:F10)</f>
        <v>101377396.7200315</v>
      </c>
      <c r="G11" s="2481">
        <f>SUM(G6:G10)</f>
        <v>99176295</v>
      </c>
      <c r="H11" s="2482">
        <f>SUM(H6:H10)</f>
        <v>102151021.79946949</v>
      </c>
      <c r="I11" s="1578">
        <f>SUM(I6:I10)</f>
        <v>113766302.42875212</v>
      </c>
      <c r="J11" s="396"/>
      <c r="K11" s="396"/>
      <c r="L11" s="396"/>
      <c r="M11" s="396"/>
    </row>
    <row r="12" spans="2:15">
      <c r="B12" s="1747" t="s">
        <v>422</v>
      </c>
      <c r="C12" s="1717">
        <v>3533324.423</v>
      </c>
      <c r="D12" s="1717">
        <v>4036282.8479400002</v>
      </c>
      <c r="E12" s="1717">
        <v>4581640.5440699998</v>
      </c>
      <c r="F12" s="1717">
        <v>6307350.3645284008</v>
      </c>
      <c r="G12" s="1717">
        <v>6088496</v>
      </c>
      <c r="H12" s="2443">
        <v>6754134</v>
      </c>
      <c r="I12" s="2444">
        <v>8063134</v>
      </c>
      <c r="J12" s="396"/>
      <c r="K12" s="396"/>
      <c r="L12" s="396"/>
      <c r="M12" s="396"/>
    </row>
    <row r="13" spans="2:15">
      <c r="B13" s="2436" t="s">
        <v>569</v>
      </c>
      <c r="C13" s="1800">
        <v>79589888.52150017</v>
      </c>
      <c r="D13" s="2481">
        <v>93388766.422334805</v>
      </c>
      <c r="E13" s="2481">
        <f>SUM(E11:E12)</f>
        <v>100586100.7888318</v>
      </c>
      <c r="F13" s="2481">
        <f>SUM(F11:F12)</f>
        <v>107684747.0845599</v>
      </c>
      <c r="G13" s="2481">
        <f>SUM(G11:G12)</f>
        <v>105264791</v>
      </c>
      <c r="H13" s="2482">
        <f>SUM(H11:H12)</f>
        <v>108905155.79946949</v>
      </c>
      <c r="I13" s="1578">
        <f>SUM(I11:I12)</f>
        <v>121829436.42875212</v>
      </c>
      <c r="J13" s="396"/>
      <c r="K13" s="396"/>
      <c r="L13" s="396"/>
      <c r="M13" s="396"/>
    </row>
    <row r="14" spans="2:15">
      <c r="I14" s="396"/>
      <c r="J14" s="396"/>
      <c r="K14" s="396"/>
      <c r="L14" s="396"/>
      <c r="M14" s="396"/>
    </row>
    <row r="15" spans="2:15">
      <c r="B15" s="3487" t="s">
        <v>526</v>
      </c>
      <c r="C15" s="3482" t="s">
        <v>570</v>
      </c>
      <c r="D15" s="3484"/>
      <c r="E15" s="3484"/>
      <c r="F15" s="3484"/>
      <c r="G15" s="3484"/>
      <c r="H15" s="3484"/>
      <c r="I15" s="3484"/>
      <c r="J15" s="396"/>
      <c r="K15" s="396"/>
      <c r="L15" s="396"/>
      <c r="M15" s="396"/>
      <c r="N15" s="396"/>
      <c r="O15" s="396"/>
    </row>
    <row r="16" spans="2:15">
      <c r="B16" s="3488"/>
      <c r="C16" s="1567">
        <v>2016</v>
      </c>
      <c r="D16" s="1589">
        <v>2017</v>
      </c>
      <c r="E16" s="1551">
        <v>2018</v>
      </c>
      <c r="F16" s="1590">
        <v>2019</v>
      </c>
      <c r="G16" s="1551">
        <v>2020</v>
      </c>
      <c r="H16" s="1564" t="s">
        <v>138</v>
      </c>
      <c r="I16" s="1564" t="s">
        <v>139</v>
      </c>
      <c r="J16" s="396"/>
      <c r="K16" s="396"/>
      <c r="L16" s="396"/>
      <c r="M16" s="396"/>
      <c r="N16" s="396"/>
      <c r="O16" s="396"/>
    </row>
    <row r="17" spans="2:15">
      <c r="B17" s="1597" t="s">
        <v>436</v>
      </c>
      <c r="C17" s="2442">
        <v>5959242.2903877404</v>
      </c>
      <c r="D17" s="206">
        <v>6947675.2992708655</v>
      </c>
      <c r="E17" s="1609">
        <v>6103608.9207248548</v>
      </c>
      <c r="F17" s="1609">
        <v>6061855.283161086</v>
      </c>
      <c r="G17" s="1554">
        <v>6609886</v>
      </c>
      <c r="H17" s="1537">
        <v>8046398.493566568</v>
      </c>
      <c r="I17" s="1577">
        <v>10517639.237424092</v>
      </c>
      <c r="J17" s="396"/>
      <c r="K17" s="396"/>
      <c r="L17" s="396"/>
      <c r="M17" s="396"/>
      <c r="N17" s="396"/>
      <c r="O17" s="396"/>
    </row>
    <row r="18" spans="2:15">
      <c r="B18" s="1747" t="s">
        <v>437</v>
      </c>
      <c r="C18" s="2442">
        <v>1174265.6702842477</v>
      </c>
      <c r="D18" s="2442">
        <v>1177400.1053695045</v>
      </c>
      <c r="E18" s="2483">
        <v>1200069.3351586754</v>
      </c>
      <c r="F18" s="2483">
        <v>1224829.1014187348</v>
      </c>
      <c r="G18" s="1717">
        <v>1352679</v>
      </c>
      <c r="H18" s="1537">
        <v>1888795.9594045025</v>
      </c>
      <c r="I18" s="1577">
        <v>2651622.7502937298</v>
      </c>
      <c r="J18" s="396"/>
      <c r="K18" s="396"/>
      <c r="L18" s="396"/>
      <c r="M18" s="396"/>
      <c r="N18" s="396"/>
      <c r="O18" s="396"/>
    </row>
    <row r="19" spans="2:15">
      <c r="B19" s="1747" t="s">
        <v>438</v>
      </c>
      <c r="C19" s="2442">
        <v>1233466.16489688</v>
      </c>
      <c r="D19" s="2442">
        <v>2152507.9832829717</v>
      </c>
      <c r="E19" s="2483">
        <v>4296451.0762441121</v>
      </c>
      <c r="F19" s="2483">
        <v>4229914.5419472121</v>
      </c>
      <c r="G19" s="1717">
        <v>4356260</v>
      </c>
      <c r="H19" s="1537">
        <v>3706422.9639274287</v>
      </c>
      <c r="I19" s="1577">
        <v>1667725.6369725652</v>
      </c>
      <c r="J19" s="396"/>
      <c r="K19" s="396"/>
      <c r="L19" s="396"/>
      <c r="M19" s="396"/>
      <c r="N19" s="396"/>
      <c r="O19" s="396"/>
    </row>
    <row r="20" spans="2:15">
      <c r="B20" s="1747" t="s">
        <v>439</v>
      </c>
      <c r="C20" s="2442">
        <v>486984.25237600808</v>
      </c>
      <c r="D20" s="1717">
        <v>2682617.3305118405</v>
      </c>
      <c r="E20" s="2483">
        <v>1771090.6075475714</v>
      </c>
      <c r="F20" s="2483">
        <v>1480481.7222324733</v>
      </c>
      <c r="G20" s="1717">
        <v>1645816</v>
      </c>
      <c r="H20" s="1537">
        <v>1663956.7793000001</v>
      </c>
      <c r="I20" s="1577">
        <v>678224.12488999998</v>
      </c>
      <c r="J20" s="396"/>
      <c r="K20" s="396"/>
      <c r="L20" s="396"/>
      <c r="M20" s="396"/>
      <c r="N20" s="396"/>
      <c r="O20" s="396"/>
    </row>
    <row r="21" spans="2:15">
      <c r="B21" s="1747" t="s">
        <v>568</v>
      </c>
      <c r="C21" s="2442">
        <v>3213645.2578023593</v>
      </c>
      <c r="D21" s="1717">
        <v>3840459.4038162371</v>
      </c>
      <c r="E21" s="2483">
        <v>4462893.5534634925</v>
      </c>
      <c r="F21" s="2483">
        <v>4813309.8906417275</v>
      </c>
      <c r="G21" s="1717">
        <v>4546844</v>
      </c>
      <c r="H21" s="1537">
        <v>5317687.7191856774</v>
      </c>
      <c r="I21" s="1577">
        <v>8048975.5688235173</v>
      </c>
      <c r="J21" s="396"/>
      <c r="K21" s="396"/>
      <c r="L21" s="396"/>
      <c r="M21" s="396"/>
      <c r="N21" s="396"/>
      <c r="O21" s="396"/>
    </row>
    <row r="22" spans="2:15">
      <c r="B22" s="2447" t="s">
        <v>528</v>
      </c>
      <c r="C22" s="2480">
        <v>12067603.635747237</v>
      </c>
      <c r="D22" s="2481">
        <v>16800660.122251417</v>
      </c>
      <c r="E22" s="2481">
        <f>SUM(E17:E21)</f>
        <v>17834113.493138708</v>
      </c>
      <c r="F22" s="2481">
        <f>SUM(F17:F21)</f>
        <v>17810390.539401233</v>
      </c>
      <c r="G22" s="2481">
        <f>SUM(G17:G21)</f>
        <v>18511485</v>
      </c>
      <c r="H22" s="2482">
        <f>SUM(H17:H21)</f>
        <v>20623261.915384177</v>
      </c>
      <c r="I22" s="1578">
        <f>SUM(I17:I21)</f>
        <v>23564187.318403903</v>
      </c>
      <c r="J22" s="396"/>
      <c r="K22" s="396"/>
      <c r="L22" s="396"/>
      <c r="M22" s="396"/>
      <c r="N22" s="396"/>
      <c r="O22" s="396"/>
    </row>
    <row r="23" spans="2:15">
      <c r="B23" s="1747" t="s">
        <v>422</v>
      </c>
      <c r="C23" s="2484"/>
      <c r="D23" s="2485">
        <v>108750</v>
      </c>
      <c r="E23" s="2485">
        <v>81656.25</v>
      </c>
      <c r="F23" s="2485">
        <v>55563.767258399996</v>
      </c>
      <c r="G23" s="1717">
        <v>100121</v>
      </c>
      <c r="H23" s="2443">
        <v>362233</v>
      </c>
      <c r="I23" s="2444">
        <v>168491</v>
      </c>
      <c r="J23" s="396"/>
      <c r="K23" s="396"/>
      <c r="L23" s="396"/>
      <c r="M23" s="396"/>
      <c r="N23" s="514"/>
      <c r="O23" s="514"/>
    </row>
    <row r="24" spans="2:15">
      <c r="B24" s="2447" t="s">
        <v>571</v>
      </c>
      <c r="C24" s="1800">
        <v>12067603.635747237</v>
      </c>
      <c r="D24" s="2481">
        <v>16909410.122251417</v>
      </c>
      <c r="E24" s="2481">
        <f>SUM(E22:E23)</f>
        <v>17915769.743138708</v>
      </c>
      <c r="F24" s="2481">
        <f>SUM(F22:F23)</f>
        <v>17865954.306659631</v>
      </c>
      <c r="G24" s="2481">
        <f>SUM(G22:G23)</f>
        <v>18611606</v>
      </c>
      <c r="H24" s="2482">
        <f>SUM(H22:H23)</f>
        <v>20985494.915384177</v>
      </c>
      <c r="I24" s="1578">
        <f>SUM(I22:I23)</f>
        <v>23732678.318403903</v>
      </c>
      <c r="J24" s="396"/>
      <c r="K24" s="396"/>
      <c r="L24" s="396"/>
      <c r="M24" s="396"/>
    </row>
    <row r="25" spans="2:15">
      <c r="B25" s="295"/>
      <c r="I25" s="396"/>
      <c r="J25" s="396"/>
      <c r="K25" s="396"/>
      <c r="L25" s="396"/>
      <c r="M25" s="396"/>
    </row>
    <row r="26" spans="2:15">
      <c r="B26" s="3452" t="s">
        <v>526</v>
      </c>
      <c r="C26" s="3482" t="s">
        <v>572</v>
      </c>
      <c r="D26" s="3484"/>
      <c r="E26" s="3484"/>
      <c r="F26" s="3484"/>
      <c r="G26" s="3484"/>
      <c r="H26" s="3484"/>
      <c r="I26" s="3484"/>
      <c r="J26" s="396"/>
      <c r="K26" s="396"/>
      <c r="L26" s="396"/>
      <c r="M26" s="396"/>
      <c r="N26" s="396"/>
      <c r="O26" s="396"/>
    </row>
    <row r="27" spans="2:15">
      <c r="B27" s="3454"/>
      <c r="C27" s="1567">
        <v>2016</v>
      </c>
      <c r="D27" s="1589">
        <v>2017</v>
      </c>
      <c r="E27" s="1551">
        <v>2018</v>
      </c>
      <c r="F27" s="1590">
        <v>2019</v>
      </c>
      <c r="G27" s="1551">
        <v>2020</v>
      </c>
      <c r="H27" s="1564" t="s">
        <v>138</v>
      </c>
      <c r="I27" s="1564" t="s">
        <v>139</v>
      </c>
      <c r="J27" s="396"/>
      <c r="K27" s="396"/>
      <c r="L27" s="396"/>
      <c r="M27" s="396"/>
      <c r="N27" s="396"/>
      <c r="O27" s="396"/>
    </row>
    <row r="28" spans="2:15">
      <c r="B28" s="1597" t="s">
        <v>436</v>
      </c>
      <c r="C28" s="2442">
        <v>1520667.4502545772</v>
      </c>
      <c r="D28" s="206">
        <v>1649813.9092805563</v>
      </c>
      <c r="E28" s="1609">
        <v>2718046.4771694737</v>
      </c>
      <c r="F28" s="1609">
        <v>2208135.8375027329</v>
      </c>
      <c r="G28" s="1554">
        <v>2278372</v>
      </c>
      <c r="H28" s="1537">
        <v>2326861.0460259328</v>
      </c>
      <c r="I28" s="1577">
        <v>4110474.7086944431</v>
      </c>
      <c r="J28" s="396"/>
      <c r="K28" s="396"/>
      <c r="L28" s="396"/>
      <c r="M28" s="396"/>
      <c r="N28" s="396"/>
      <c r="O28" s="396"/>
    </row>
    <row r="29" spans="2:15">
      <c r="B29" s="1747" t="s">
        <v>437</v>
      </c>
      <c r="C29" s="2442">
        <v>912128.66226082481</v>
      </c>
      <c r="D29" s="2442">
        <v>1014254.1613347852</v>
      </c>
      <c r="E29" s="2483">
        <v>1203296.9348021667</v>
      </c>
      <c r="F29" s="2483">
        <v>1160737.0547184155</v>
      </c>
      <c r="G29" s="1717">
        <v>923795</v>
      </c>
      <c r="H29" s="1537">
        <v>1188313.7692854977</v>
      </c>
      <c r="I29" s="1577">
        <v>1273190.0771912816</v>
      </c>
      <c r="J29" s="396"/>
      <c r="K29" s="396"/>
      <c r="L29" s="396"/>
      <c r="M29" s="396"/>
      <c r="N29" s="396"/>
      <c r="O29" s="396"/>
    </row>
    <row r="30" spans="2:15">
      <c r="B30" s="1747" t="s">
        <v>438</v>
      </c>
      <c r="C30" s="2442">
        <v>48099533.896889977</v>
      </c>
      <c r="D30" s="2442">
        <v>53895131.884187862</v>
      </c>
      <c r="E30" s="2483">
        <v>58067024.472385168</v>
      </c>
      <c r="F30" s="2483">
        <v>59455640.548547849</v>
      </c>
      <c r="G30" s="1717">
        <v>56919950</v>
      </c>
      <c r="H30" s="1537">
        <v>56107979.39512457</v>
      </c>
      <c r="I30" s="1577">
        <v>62430050.858763874</v>
      </c>
      <c r="J30" s="396"/>
      <c r="K30" s="396"/>
      <c r="L30" s="396"/>
      <c r="M30" s="396"/>
      <c r="N30" s="396"/>
      <c r="O30" s="396"/>
    </row>
    <row r="31" spans="2:15">
      <c r="B31" s="1747" t="s">
        <v>439</v>
      </c>
      <c r="C31" s="2442">
        <v>9549533.3386260793</v>
      </c>
      <c r="D31" s="1717">
        <v>11966823.011176694</v>
      </c>
      <c r="E31" s="2483">
        <v>12390451.279972414</v>
      </c>
      <c r="F31" s="2483">
        <v>15113179.115427442</v>
      </c>
      <c r="G31" s="1717">
        <v>17231770</v>
      </c>
      <c r="H31" s="1537">
        <v>18296189.092889998</v>
      </c>
      <c r="I31" s="1577">
        <v>17729182.590710007</v>
      </c>
      <c r="J31" s="396"/>
      <c r="K31" s="396"/>
      <c r="L31" s="396"/>
      <c r="M31" s="396"/>
      <c r="N31" s="396"/>
      <c r="O31" s="396"/>
    </row>
    <row r="32" spans="2:15">
      <c r="B32" s="1747" t="s">
        <v>568</v>
      </c>
      <c r="C32" s="2442">
        <v>3907097.1147214812</v>
      </c>
      <c r="D32" s="1717">
        <v>4025800.4861635016</v>
      </c>
      <c r="E32" s="2483">
        <v>3791527.587293868</v>
      </c>
      <c r="F32" s="2483">
        <v>5629313.6244338425</v>
      </c>
      <c r="G32" s="1717">
        <v>3310924</v>
      </c>
      <c r="H32" s="1537">
        <v>3608416.5807593232</v>
      </c>
      <c r="I32" s="1577">
        <v>4659216.8749886127</v>
      </c>
      <c r="J32" s="396"/>
      <c r="K32" s="396"/>
      <c r="L32" s="396"/>
      <c r="M32" s="396"/>
      <c r="N32" s="396"/>
      <c r="O32" s="396"/>
    </row>
    <row r="33" spans="2:15">
      <c r="B33" s="2447" t="s">
        <v>528</v>
      </c>
      <c r="C33" s="2480">
        <v>63988960.462752946</v>
      </c>
      <c r="D33" s="2481">
        <v>72551823.452143401</v>
      </c>
      <c r="E33" s="2481">
        <f>SUM(E28:E32)</f>
        <v>78170346.751623094</v>
      </c>
      <c r="F33" s="2481">
        <f>SUM(F28:F32)</f>
        <v>83567006.180630282</v>
      </c>
      <c r="G33" s="2481">
        <f>SUM(G28:G32)</f>
        <v>80664811</v>
      </c>
      <c r="H33" s="2482">
        <f>SUM(H28:H32)</f>
        <v>81527759.884085312</v>
      </c>
      <c r="I33" s="1578">
        <f>SUM(I28:I32)</f>
        <v>90202115.110348225</v>
      </c>
      <c r="J33" s="396"/>
      <c r="K33" s="396"/>
      <c r="L33" s="396"/>
      <c r="M33" s="396"/>
      <c r="N33" s="396"/>
      <c r="O33" s="396"/>
    </row>
    <row r="34" spans="2:15">
      <c r="B34" s="1747" t="s">
        <v>422</v>
      </c>
      <c r="C34" s="2442">
        <v>3533324.423</v>
      </c>
      <c r="D34" s="2442">
        <v>3927532.8479400002</v>
      </c>
      <c r="E34" s="2442">
        <v>4499984.2940699998</v>
      </c>
      <c r="F34" s="2442">
        <v>6251786.5972700007</v>
      </c>
      <c r="G34" s="1717">
        <v>5988375</v>
      </c>
      <c r="H34" s="2443">
        <v>6391901</v>
      </c>
      <c r="I34" s="2444">
        <v>7894643</v>
      </c>
      <c r="J34" s="396"/>
      <c r="K34" s="396"/>
      <c r="L34" s="396"/>
      <c r="M34" s="396"/>
    </row>
    <row r="35" spans="2:15">
      <c r="B35" s="2447" t="s">
        <v>573</v>
      </c>
      <c r="C35" s="1800">
        <v>67522284.885752946</v>
      </c>
      <c r="D35" s="2481">
        <v>76479356.300083399</v>
      </c>
      <c r="E35" s="2481">
        <f>SUM(E33:E34)</f>
        <v>82670331.045693099</v>
      </c>
      <c r="F35" s="2481">
        <f>SUM(F33:F34)</f>
        <v>89818792.777900279</v>
      </c>
      <c r="G35" s="2481">
        <f>SUM(G33:G34)</f>
        <v>86653186</v>
      </c>
      <c r="H35" s="2482">
        <f>SUM(H33:H34)</f>
        <v>87919660.884085312</v>
      </c>
      <c r="I35" s="1578">
        <f>SUM(I33:I34)</f>
        <v>98096758.110348225</v>
      </c>
      <c r="J35" s="396"/>
      <c r="K35" s="396"/>
      <c r="L35" s="396"/>
      <c r="M35" s="396"/>
    </row>
    <row r="36" spans="2:15">
      <c r="I36" s="396"/>
      <c r="J36" s="396"/>
      <c r="K36" s="396"/>
      <c r="L36" s="396"/>
      <c r="M36" s="396"/>
      <c r="N36" s="396"/>
      <c r="O36" s="396"/>
    </row>
    <row r="37" spans="2:15">
      <c r="B37" s="3487" t="s">
        <v>526</v>
      </c>
      <c r="C37" s="3482" t="s">
        <v>574</v>
      </c>
      <c r="D37" s="3484"/>
      <c r="E37" s="3484"/>
      <c r="F37" s="3484"/>
      <c r="G37" s="3484"/>
      <c r="H37" s="3484"/>
      <c r="I37" s="3484"/>
      <c r="J37" s="396"/>
      <c r="K37" s="396"/>
      <c r="L37" s="396"/>
      <c r="M37" s="396"/>
      <c r="N37" s="396"/>
      <c r="O37" s="396"/>
    </row>
    <row r="38" spans="2:15">
      <c r="B38" s="3488"/>
      <c r="C38" s="1567">
        <v>2016</v>
      </c>
      <c r="D38" s="1589">
        <v>2017</v>
      </c>
      <c r="E38" s="1551">
        <v>2018</v>
      </c>
      <c r="F38" s="1590">
        <v>2019</v>
      </c>
      <c r="G38" s="1551">
        <v>2020</v>
      </c>
      <c r="H38" s="1564" t="s">
        <v>138</v>
      </c>
      <c r="I38" s="1564" t="s">
        <v>139</v>
      </c>
      <c r="J38" s="396"/>
      <c r="K38" s="396"/>
      <c r="L38" s="396"/>
      <c r="M38" s="396"/>
      <c r="N38" s="396"/>
      <c r="O38" s="396"/>
    </row>
    <row r="39" spans="2:15">
      <c r="B39" s="1597" t="s">
        <v>436</v>
      </c>
      <c r="C39" s="2486">
        <v>20.33002406422078</v>
      </c>
      <c r="D39" s="1610">
        <v>19.18948508408225</v>
      </c>
      <c r="E39" s="1610">
        <v>30.811070650280147</v>
      </c>
      <c r="F39" s="1542">
        <v>26.700582930317456</v>
      </c>
      <c r="G39" s="3049">
        <v>25.63</v>
      </c>
      <c r="H39" s="3043">
        <v>22.431339321500676</v>
      </c>
      <c r="I39" s="3048">
        <v>28.099826975883847</v>
      </c>
      <c r="J39" s="585"/>
      <c r="K39" s="564"/>
      <c r="L39" s="564"/>
      <c r="M39" s="564"/>
      <c r="N39" s="564"/>
      <c r="O39" s="564"/>
    </row>
    <row r="40" spans="2:15">
      <c r="B40" s="1747" t="s">
        <v>437</v>
      </c>
      <c r="C40" s="2486">
        <v>43.71794190737527</v>
      </c>
      <c r="D40" s="2486">
        <v>46.278018241443462</v>
      </c>
      <c r="E40" s="2486">
        <v>50.06714747734943</v>
      </c>
      <c r="F40" s="1710">
        <v>48.656670104590582</v>
      </c>
      <c r="G40" s="1727">
        <v>40.58</v>
      </c>
      <c r="H40" s="3043">
        <v>38.617854872253496</v>
      </c>
      <c r="I40" s="3048">
        <v>32.439510701638518</v>
      </c>
      <c r="J40" s="585"/>
      <c r="K40" s="564"/>
      <c r="L40" s="564"/>
      <c r="M40" s="564"/>
      <c r="N40" s="564"/>
      <c r="O40" s="564"/>
    </row>
    <row r="41" spans="2:15">
      <c r="B41" s="1747" t="s">
        <v>438</v>
      </c>
      <c r="C41" s="2486">
        <v>97.499713856136793</v>
      </c>
      <c r="D41" s="2486">
        <v>96.159502900795204</v>
      </c>
      <c r="E41" s="2486">
        <v>93.110629196902508</v>
      </c>
      <c r="F41" s="1710">
        <v>93.358125659835039</v>
      </c>
      <c r="G41" s="1727">
        <v>92.89</v>
      </c>
      <c r="H41" s="3043">
        <v>93.803460675442977</v>
      </c>
      <c r="I41" s="3048">
        <v>97.39815368309462</v>
      </c>
      <c r="J41" s="585"/>
      <c r="K41" s="564"/>
      <c r="L41" s="564"/>
      <c r="M41" s="564"/>
      <c r="N41" s="564"/>
      <c r="O41" s="564"/>
    </row>
    <row r="42" spans="2:15">
      <c r="B42" s="1747" t="s">
        <v>439</v>
      </c>
      <c r="C42" s="2487">
        <v>95.147876263250936</v>
      </c>
      <c r="D42" s="2486">
        <v>81.687919347486599</v>
      </c>
      <c r="E42" s="1712">
        <v>87.493659789204415</v>
      </c>
      <c r="F42" s="1712">
        <v>91.078028310229968</v>
      </c>
      <c r="G42" s="1727">
        <v>91.28</v>
      </c>
      <c r="H42" s="3043">
        <v>91.663604114144519</v>
      </c>
      <c r="I42" s="3048">
        <v>96.315482482846349</v>
      </c>
      <c r="J42" s="585"/>
      <c r="K42" s="564"/>
      <c r="L42" s="564"/>
      <c r="M42" s="564"/>
      <c r="N42" s="564"/>
      <c r="O42" s="564"/>
    </row>
    <row r="43" spans="2:15">
      <c r="B43" s="1747" t="s">
        <v>568</v>
      </c>
      <c r="C43" s="631">
        <v>54.869238491164076</v>
      </c>
      <c r="D43" s="2486">
        <v>51.178076270931228</v>
      </c>
      <c r="E43" s="1712">
        <v>45.933294687045581</v>
      </c>
      <c r="F43" s="1712">
        <v>53.9070820307468</v>
      </c>
      <c r="G43" s="1727">
        <v>42.14</v>
      </c>
      <c r="H43" s="3043">
        <v>40.425435996547307</v>
      </c>
      <c r="I43" s="3048">
        <v>36.663096625179591</v>
      </c>
      <c r="J43" s="585"/>
      <c r="K43" s="564"/>
      <c r="L43" s="564"/>
      <c r="M43" s="564"/>
      <c r="N43" s="564"/>
      <c r="O43" s="564"/>
    </row>
    <row r="44" spans="2:15">
      <c r="B44" s="2447" t="s">
        <v>528</v>
      </c>
      <c r="C44" s="2488">
        <v>84.133384228631797</v>
      </c>
      <c r="D44" s="2489">
        <v>81.19732160744789</v>
      </c>
      <c r="E44" s="2489">
        <v>81.423661517734786</v>
      </c>
      <c r="F44" s="2490">
        <v>82.431596079955355</v>
      </c>
      <c r="G44" s="3050">
        <f>(G33/G11)*100</f>
        <v>81.33476956363414</v>
      </c>
      <c r="H44" s="3051">
        <f>(H33/H11)*100</f>
        <v>79.811007709869742</v>
      </c>
      <c r="I44" s="3052">
        <f>(I33/I11)*100</f>
        <v>79.287199447163786</v>
      </c>
      <c r="J44" s="586"/>
      <c r="K44" s="564"/>
      <c r="L44" s="564"/>
      <c r="M44" s="564"/>
      <c r="N44" s="564"/>
      <c r="O44" s="564"/>
    </row>
    <row r="45" spans="2:15">
      <c r="B45" s="1747" t="s">
        <v>422</v>
      </c>
      <c r="C45" s="1717">
        <v>100</v>
      </c>
      <c r="D45" s="1717">
        <v>97.30568931621076</v>
      </c>
      <c r="E45" s="1727">
        <v>98.217750842420685</v>
      </c>
      <c r="F45" s="1727">
        <v>99.119063250855973</v>
      </c>
      <c r="G45" s="1727">
        <v>98.36</v>
      </c>
      <c r="H45" s="3053">
        <v>94.636869804478266</v>
      </c>
      <c r="I45" s="3054">
        <v>97.910353468018769</v>
      </c>
      <c r="J45" s="585"/>
      <c r="K45" s="564"/>
      <c r="L45" s="564"/>
      <c r="M45" s="564"/>
      <c r="N45" s="564"/>
      <c r="O45" s="564"/>
    </row>
    <row r="46" spans="2:15">
      <c r="B46" s="2447" t="s">
        <v>575</v>
      </c>
      <c r="C46" s="2479">
        <v>84.837768953389556</v>
      </c>
      <c r="D46" s="2490">
        <v>81.893528772206409</v>
      </c>
      <c r="E46" s="2490">
        <v>82.188622878671211</v>
      </c>
      <c r="F46" s="2490">
        <v>83.409020506283667</v>
      </c>
      <c r="G46" s="3050">
        <f>(G35/G13)*100</f>
        <v>82.319249558002724</v>
      </c>
      <c r="H46" s="3051">
        <f>(H35/H13)*100</f>
        <v>80.730485383056219</v>
      </c>
      <c r="I46" s="3052">
        <f>(I35/I13)*100</f>
        <v>80.519750387023109</v>
      </c>
      <c r="J46" s="586"/>
      <c r="K46" s="564"/>
      <c r="L46" s="564"/>
      <c r="M46" s="564"/>
      <c r="N46" s="564"/>
      <c r="O46" s="564"/>
    </row>
    <row r="47" spans="2:15">
      <c r="B47" s="481"/>
      <c r="C47" s="385"/>
      <c r="D47" s="385"/>
      <c r="E47" s="385"/>
      <c r="F47" s="385"/>
    </row>
    <row r="48" spans="2:15">
      <c r="C48" s="384"/>
      <c r="D48" s="384"/>
      <c r="E48" s="384"/>
      <c r="F48" s="384"/>
      <c r="I48" s="292">
        <v>164</v>
      </c>
    </row>
    <row r="49" spans="2:15">
      <c r="B49" s="471"/>
      <c r="C49" s="329"/>
      <c r="D49" s="329"/>
      <c r="E49" s="329"/>
      <c r="F49" s="329"/>
      <c r="K49" s="490"/>
      <c r="L49" s="490"/>
      <c r="M49" s="490"/>
      <c r="N49" s="490"/>
      <c r="O49" s="490"/>
    </row>
    <row r="50" spans="2:15">
      <c r="B50" s="413"/>
      <c r="C50" s="329"/>
      <c r="D50" s="329"/>
      <c r="E50" s="329"/>
      <c r="F50" s="329"/>
      <c r="K50" s="490"/>
      <c r="L50" s="490"/>
      <c r="M50" s="490"/>
      <c r="N50" s="490"/>
      <c r="O50" s="490"/>
    </row>
    <row r="51" spans="2:15">
      <c r="B51" s="330"/>
      <c r="C51" s="330"/>
      <c r="D51" s="330"/>
      <c r="E51" s="330"/>
      <c r="F51" s="330"/>
      <c r="K51" s="490"/>
      <c r="L51" s="490"/>
      <c r="M51" s="490"/>
      <c r="N51" s="490"/>
      <c r="O51" s="490"/>
    </row>
    <row r="52" spans="2:15">
      <c r="B52" s="329"/>
      <c r="C52" s="329"/>
      <c r="D52" s="329"/>
      <c r="E52" s="329"/>
      <c r="F52" s="329"/>
      <c r="K52" s="490"/>
      <c r="L52" s="490"/>
      <c r="M52" s="490"/>
      <c r="N52" s="490"/>
      <c r="O52" s="490"/>
    </row>
    <row r="53" spans="2:15">
      <c r="I53" s="3225"/>
      <c r="K53" s="490"/>
      <c r="L53" s="490"/>
      <c r="M53" s="490"/>
      <c r="N53" s="490"/>
      <c r="O53" s="490"/>
    </row>
    <row r="54" spans="2:15">
      <c r="I54" s="3225"/>
      <c r="K54" s="490"/>
      <c r="L54" s="490"/>
      <c r="M54" s="490"/>
      <c r="N54" s="490"/>
      <c r="O54" s="490"/>
    </row>
    <row r="55" spans="2:15">
      <c r="I55" s="330"/>
      <c r="K55" s="490"/>
      <c r="L55" s="490"/>
      <c r="M55" s="490"/>
      <c r="N55" s="490"/>
      <c r="O55" s="490"/>
    </row>
    <row r="56" spans="2:15">
      <c r="I56" s="329"/>
      <c r="K56" s="490"/>
      <c r="L56" s="490"/>
      <c r="M56" s="490"/>
      <c r="N56" s="490"/>
      <c r="O56" s="839"/>
    </row>
    <row r="57" spans="2:15">
      <c r="K57" s="490"/>
    </row>
    <row r="58" spans="2:15">
      <c r="B58" s="295"/>
      <c r="C58" s="295"/>
      <c r="D58" s="295"/>
      <c r="E58" s="295"/>
      <c r="F58" s="295"/>
      <c r="K58" s="490"/>
    </row>
    <row r="59" spans="2:15">
      <c r="B59" s="295"/>
      <c r="C59" s="214"/>
      <c r="D59" s="214"/>
      <c r="E59" s="214"/>
      <c r="F59" s="214"/>
      <c r="K59" s="490"/>
    </row>
    <row r="60" spans="2:15">
      <c r="B60" s="218"/>
      <c r="C60" s="387"/>
      <c r="D60" s="387"/>
      <c r="E60" s="387"/>
      <c r="F60" s="387"/>
    </row>
    <row r="61" spans="2:15">
      <c r="B61" s="218"/>
      <c r="C61" s="387"/>
      <c r="D61" s="387"/>
      <c r="E61" s="387"/>
      <c r="F61" s="387"/>
    </row>
  </sheetData>
  <mergeCells count="9">
    <mergeCell ref="B4:B5"/>
    <mergeCell ref="B15:B16"/>
    <mergeCell ref="C4:I4"/>
    <mergeCell ref="C15:I15"/>
    <mergeCell ref="I53:I54"/>
    <mergeCell ref="B26:B27"/>
    <mergeCell ref="B37:B38"/>
    <mergeCell ref="C26:I26"/>
    <mergeCell ref="C37:I37"/>
  </mergeCells>
  <pageMargins left="0.36" right="0.22" top="0.75" bottom="0.75" header="0.3" footer="0.3"/>
  <pageSetup scale="80"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FF6699"/>
  </sheetPr>
  <dimension ref="A2:X194"/>
  <sheetViews>
    <sheetView showGridLines="0" view="pageBreakPreview" topLeftCell="A127" zoomScaleNormal="100" zoomScaleSheetLayoutView="100" workbookViewId="0">
      <pane xSplit="2" topLeftCell="C1" activePane="topRight" state="frozen"/>
      <selection pane="topRight" activeCell="G3" sqref="G3"/>
    </sheetView>
  </sheetViews>
  <sheetFormatPr defaultColWidth="19.28515625" defaultRowHeight="13.15"/>
  <cols>
    <col min="1" max="1" width="5.7109375" style="292" customWidth="1"/>
    <col min="2" max="2" width="19.28515625" style="292"/>
    <col min="3" max="6" width="16.7109375" style="292" customWidth="1"/>
    <col min="7" max="7" width="15.5703125" style="292" customWidth="1"/>
    <col min="8" max="8" width="16.7109375" style="292" customWidth="1"/>
    <col min="9" max="9" width="19.28515625" style="396"/>
    <col min="10" max="23" width="19.28515625" style="292"/>
    <col min="24" max="24" width="19.28515625" style="385"/>
    <col min="25" max="16384" width="19.28515625" style="292"/>
  </cols>
  <sheetData>
    <row r="2" spans="2:8">
      <c r="B2" s="3450" t="s">
        <v>576</v>
      </c>
      <c r="C2" s="3450"/>
      <c r="D2" s="3450"/>
      <c r="E2" s="3450"/>
      <c r="F2" s="3450"/>
      <c r="G2" s="3450"/>
      <c r="H2" s="3450"/>
    </row>
    <row r="3" spans="2:8">
      <c r="B3" s="218"/>
      <c r="C3" s="218"/>
      <c r="D3" s="218"/>
      <c r="E3" s="218"/>
      <c r="F3" s="218"/>
      <c r="G3" s="218"/>
      <c r="H3" s="218"/>
    </row>
    <row r="4" spans="2:8">
      <c r="B4" s="3450" t="s">
        <v>577</v>
      </c>
      <c r="C4" s="3450"/>
      <c r="D4" s="3450"/>
      <c r="E4" s="3450"/>
      <c r="F4" s="3450"/>
      <c r="G4" s="3450"/>
    </row>
    <row r="5" spans="2:8">
      <c r="B5" s="218"/>
      <c r="H5" s="532" t="s">
        <v>578</v>
      </c>
    </row>
    <row r="6" spans="2:8">
      <c r="B6" s="3504" t="s">
        <v>84</v>
      </c>
      <c r="C6" s="3506" t="s">
        <v>520</v>
      </c>
      <c r="D6" s="3498" t="s">
        <v>521</v>
      </c>
      <c r="E6" s="3498" t="s">
        <v>522</v>
      </c>
      <c r="F6" s="3498" t="s">
        <v>439</v>
      </c>
      <c r="G6" s="3506" t="s">
        <v>579</v>
      </c>
      <c r="H6" s="3506" t="s">
        <v>543</v>
      </c>
    </row>
    <row r="7" spans="2:8">
      <c r="B7" s="3486"/>
      <c r="C7" s="3469"/>
      <c r="D7" s="3499"/>
      <c r="E7" s="3499"/>
      <c r="F7" s="3499"/>
      <c r="G7" s="3469"/>
      <c r="H7" s="3469"/>
    </row>
    <row r="8" spans="2:8">
      <c r="B8" s="3505"/>
      <c r="C8" s="3459"/>
      <c r="D8" s="3500"/>
      <c r="E8" s="3500"/>
      <c r="F8" s="3500"/>
      <c r="G8" s="3459"/>
      <c r="H8" s="3459"/>
    </row>
    <row r="9" spans="2:8">
      <c r="B9" s="1747" t="s">
        <v>91</v>
      </c>
      <c r="C9" s="1822">
        <v>1938631.4374599997</v>
      </c>
      <c r="D9" s="1822">
        <v>65608.96643</v>
      </c>
      <c r="E9" s="1822">
        <v>7765.6399700000002</v>
      </c>
      <c r="F9" s="1822">
        <v>105710.86513000001</v>
      </c>
      <c r="G9" s="1822">
        <v>250641.74617</v>
      </c>
      <c r="H9" s="2471">
        <f>C9+D9+E9+F9+G9</f>
        <v>2368358.6551599996</v>
      </c>
    </row>
    <row r="10" spans="2:8">
      <c r="B10" s="1747" t="s">
        <v>94</v>
      </c>
      <c r="C10" s="1822">
        <v>163310.08592361974</v>
      </c>
      <c r="D10" s="1822">
        <v>146225.58384810883</v>
      </c>
      <c r="E10" s="1822">
        <v>31107.15913</v>
      </c>
      <c r="F10" s="1822">
        <v>43.25976</v>
      </c>
      <c r="G10" s="1822">
        <v>126399.75680827221</v>
      </c>
      <c r="H10" s="2471">
        <f>C10+D10+E10+F10+G10</f>
        <v>467085.84547000076</v>
      </c>
    </row>
    <row r="11" spans="2:8">
      <c r="B11" s="1747" t="s">
        <v>97</v>
      </c>
      <c r="C11" s="1822">
        <v>2462513.7409507898</v>
      </c>
      <c r="D11" s="1822">
        <v>485900.83512110001</v>
      </c>
      <c r="E11" s="1822">
        <v>631121.01777999999</v>
      </c>
      <c r="F11" s="1822">
        <v>388610</v>
      </c>
      <c r="G11" s="1822">
        <v>3436604.2006858997</v>
      </c>
      <c r="H11" s="2471">
        <f>C11+D11+E11+F11+G11</f>
        <v>7404749.7945377892</v>
      </c>
    </row>
    <row r="12" spans="2:8">
      <c r="B12" s="1747" t="s">
        <v>128</v>
      </c>
      <c r="C12" s="1822">
        <v>1018952</v>
      </c>
      <c r="D12" s="1822">
        <v>98515</v>
      </c>
      <c r="E12" s="1822">
        <v>13463</v>
      </c>
      <c r="F12" s="1822">
        <v>5388</v>
      </c>
      <c r="G12" s="1822">
        <v>378033</v>
      </c>
      <c r="H12" s="2471">
        <f t="shared" ref="H12:H22" si="0">C12+D12+E12+F12+G12</f>
        <v>1514351</v>
      </c>
    </row>
    <row r="13" spans="2:8">
      <c r="B13" s="1747" t="s">
        <v>101</v>
      </c>
      <c r="C13" s="1822">
        <v>198991</v>
      </c>
      <c r="D13" s="1822">
        <v>38290</v>
      </c>
      <c r="E13" s="1822">
        <v>311549</v>
      </c>
      <c r="F13" s="1822">
        <v>21</v>
      </c>
      <c r="G13" s="1822">
        <v>156741</v>
      </c>
      <c r="H13" s="2471">
        <f t="shared" si="0"/>
        <v>705592</v>
      </c>
    </row>
    <row r="14" spans="2:8">
      <c r="B14" s="1747" t="s">
        <v>102</v>
      </c>
      <c r="C14" s="1822">
        <v>1391952</v>
      </c>
      <c r="D14" s="1822">
        <v>788195</v>
      </c>
      <c r="E14" s="1822">
        <v>251422</v>
      </c>
      <c r="F14" s="1822">
        <v>176659</v>
      </c>
      <c r="G14" s="1822">
        <v>982482</v>
      </c>
      <c r="H14" s="2471">
        <f t="shared" si="0"/>
        <v>3590710</v>
      </c>
    </row>
    <row r="15" spans="2:8">
      <c r="B15" s="1747" t="s">
        <v>104</v>
      </c>
      <c r="C15" s="1822">
        <v>492003</v>
      </c>
      <c r="D15" s="1822">
        <v>140558</v>
      </c>
      <c r="E15" s="1822">
        <v>57629</v>
      </c>
      <c r="F15" s="2396"/>
      <c r="G15" s="1822">
        <v>391656</v>
      </c>
      <c r="H15" s="2471">
        <f t="shared" si="0"/>
        <v>1081846</v>
      </c>
    </row>
    <row r="16" spans="2:8">
      <c r="B16" s="1747" t="s">
        <v>108</v>
      </c>
      <c r="C16" s="1822">
        <v>337296</v>
      </c>
      <c r="D16" s="1822">
        <v>46151</v>
      </c>
      <c r="E16" s="1822">
        <v>96540</v>
      </c>
      <c r="F16" s="2396"/>
      <c r="G16" s="1822">
        <v>48693</v>
      </c>
      <c r="H16" s="2471">
        <f t="shared" si="0"/>
        <v>528680</v>
      </c>
    </row>
    <row r="17" spans="2:8">
      <c r="B17" s="1747" t="s">
        <v>109</v>
      </c>
      <c r="C17" s="1822">
        <v>15743</v>
      </c>
      <c r="D17" s="1822">
        <v>14635</v>
      </c>
      <c r="E17" s="1822">
        <v>56090</v>
      </c>
      <c r="F17" s="1822">
        <v>-1</v>
      </c>
      <c r="G17" s="1822">
        <v>52515</v>
      </c>
      <c r="H17" s="2471">
        <f t="shared" si="0"/>
        <v>138982</v>
      </c>
    </row>
    <row r="18" spans="2:8">
      <c r="B18" s="1747" t="s">
        <v>110</v>
      </c>
      <c r="C18" s="2396"/>
      <c r="D18" s="2396"/>
      <c r="E18" s="2396"/>
      <c r="F18" s="2396"/>
      <c r="G18" s="1822"/>
      <c r="H18" s="2471">
        <f t="shared" si="0"/>
        <v>0</v>
      </c>
    </row>
    <row r="19" spans="2:8">
      <c r="B19" s="1747" t="s">
        <v>111</v>
      </c>
      <c r="C19" s="1822">
        <v>226590.977089683</v>
      </c>
      <c r="D19" s="1822">
        <v>13193.113894521446</v>
      </c>
      <c r="E19" s="1822">
        <v>48628.790092565003</v>
      </c>
      <c r="F19" s="2396"/>
      <c r="G19" s="1822">
        <v>160027.28815934557</v>
      </c>
      <c r="H19" s="2471">
        <f t="shared" si="0"/>
        <v>448440.16923611501</v>
      </c>
    </row>
    <row r="20" spans="2:8">
      <c r="B20" s="1747" t="s">
        <v>112</v>
      </c>
      <c r="C20" s="1822">
        <v>158657.99600000001</v>
      </c>
      <c r="D20" s="1822">
        <v>84141.251000000004</v>
      </c>
      <c r="E20" s="1822">
        <v>52812.03</v>
      </c>
      <c r="F20" s="2396"/>
      <c r="G20" s="1822">
        <v>794992.57700000005</v>
      </c>
      <c r="H20" s="2471">
        <f t="shared" si="0"/>
        <v>1090603.8540000001</v>
      </c>
    </row>
    <row r="21" spans="2:8">
      <c r="B21" s="1747" t="s">
        <v>114</v>
      </c>
      <c r="C21" s="1822">
        <v>8392</v>
      </c>
      <c r="D21" s="1822">
        <v>2358</v>
      </c>
      <c r="E21" s="1822">
        <v>20614</v>
      </c>
      <c r="F21" s="1822">
        <v>504</v>
      </c>
      <c r="G21" s="1822">
        <v>33708</v>
      </c>
      <c r="H21" s="2471">
        <f t="shared" si="0"/>
        <v>65576</v>
      </c>
    </row>
    <row r="22" spans="2:8">
      <c r="B22" s="1747" t="s">
        <v>115</v>
      </c>
      <c r="C22" s="1822">
        <v>2104606</v>
      </c>
      <c r="D22" s="1822">
        <v>727851</v>
      </c>
      <c r="E22" s="1822">
        <v>88984</v>
      </c>
      <c r="F22" s="1822">
        <v>1289</v>
      </c>
      <c r="G22" s="1822">
        <v>1236482</v>
      </c>
      <c r="H22" s="2471">
        <f t="shared" si="0"/>
        <v>4159212</v>
      </c>
    </row>
    <row r="23" spans="2:8">
      <c r="B23" s="2466" t="s">
        <v>544</v>
      </c>
      <c r="C23" s="2402">
        <f t="shared" ref="C23:H23" si="1">SUM(C9:C22)</f>
        <v>10517639.237424091</v>
      </c>
      <c r="D23" s="2402">
        <f t="shared" si="1"/>
        <v>2651622.7502937303</v>
      </c>
      <c r="E23" s="2402">
        <f t="shared" si="1"/>
        <v>1667725.636972565</v>
      </c>
      <c r="F23" s="2402">
        <f t="shared" si="1"/>
        <v>678224.12488999998</v>
      </c>
      <c r="G23" s="2402">
        <f t="shared" si="1"/>
        <v>8048975.5688235182</v>
      </c>
      <c r="H23" s="2402">
        <f t="shared" si="1"/>
        <v>23564187.318403903</v>
      </c>
    </row>
    <row r="24" spans="2:8">
      <c r="B24" s="2436" t="s">
        <v>422</v>
      </c>
      <c r="C24" s="2476"/>
      <c r="D24" s="2476"/>
      <c r="E24" s="2476"/>
      <c r="F24" s="2476"/>
      <c r="G24" s="2476"/>
      <c r="H24" s="2476"/>
    </row>
    <row r="25" spans="2:8">
      <c r="B25" s="2466" t="s">
        <v>118</v>
      </c>
      <c r="C25" s="2402">
        <f t="shared" ref="C25:H25" si="2">C23+C24</f>
        <v>10517639.237424091</v>
      </c>
      <c r="D25" s="2402">
        <f t="shared" si="2"/>
        <v>2651622.7502937303</v>
      </c>
      <c r="E25" s="2402">
        <f t="shared" si="2"/>
        <v>1667725.636972565</v>
      </c>
      <c r="F25" s="2402">
        <f t="shared" si="2"/>
        <v>678224.12488999998</v>
      </c>
      <c r="G25" s="2402">
        <f t="shared" si="2"/>
        <v>8048975.5688235182</v>
      </c>
      <c r="H25" s="2402">
        <f t="shared" si="2"/>
        <v>23564187.318403903</v>
      </c>
    </row>
    <row r="26" spans="2:8">
      <c r="B26" s="218"/>
      <c r="C26" s="218"/>
      <c r="D26" s="218"/>
      <c r="E26" s="218"/>
      <c r="F26" s="218"/>
      <c r="G26" s="218"/>
      <c r="H26" s="218"/>
    </row>
    <row r="27" spans="2:8">
      <c r="B27" s="218"/>
      <c r="C27" s="218"/>
      <c r="D27" s="218"/>
      <c r="E27" s="218"/>
      <c r="F27" s="218"/>
      <c r="G27" s="218"/>
      <c r="H27" s="218"/>
    </row>
    <row r="28" spans="2:8">
      <c r="B28" s="3450" t="s">
        <v>580</v>
      </c>
      <c r="C28" s="3450"/>
      <c r="D28" s="3450"/>
      <c r="E28" s="3450"/>
      <c r="F28" s="3450"/>
      <c r="G28" s="3450"/>
    </row>
    <row r="29" spans="2:8">
      <c r="B29" s="218"/>
      <c r="H29" s="532" t="s">
        <v>578</v>
      </c>
    </row>
    <row r="30" spans="2:8">
      <c r="B30" s="3504" t="s">
        <v>84</v>
      </c>
      <c r="C30" s="3506" t="s">
        <v>520</v>
      </c>
      <c r="D30" s="3498" t="s">
        <v>521</v>
      </c>
      <c r="E30" s="3498" t="s">
        <v>522</v>
      </c>
      <c r="F30" s="3498" t="s">
        <v>439</v>
      </c>
      <c r="G30" s="3506" t="s">
        <v>579</v>
      </c>
      <c r="H30" s="3506" t="s">
        <v>543</v>
      </c>
    </row>
    <row r="31" spans="2:8">
      <c r="B31" s="3486"/>
      <c r="C31" s="3469"/>
      <c r="D31" s="3499"/>
      <c r="E31" s="3499"/>
      <c r="F31" s="3499"/>
      <c r="G31" s="3469"/>
      <c r="H31" s="3469"/>
    </row>
    <row r="32" spans="2:8">
      <c r="B32" s="3505"/>
      <c r="C32" s="3459"/>
      <c r="D32" s="3500"/>
      <c r="E32" s="3500"/>
      <c r="F32" s="3500"/>
      <c r="G32" s="3459"/>
      <c r="H32" s="3459"/>
    </row>
    <row r="33" spans="2:8">
      <c r="B33" s="1747" t="s">
        <v>91</v>
      </c>
      <c r="C33" s="1822">
        <v>1206533</v>
      </c>
      <c r="D33" s="1822">
        <v>45558</v>
      </c>
      <c r="E33" s="1822">
        <v>13971</v>
      </c>
      <c r="F33" s="1822">
        <v>216995</v>
      </c>
      <c r="G33" s="1822">
        <v>239622</v>
      </c>
      <c r="H33" s="2474">
        <f>C33+D33+E33+F33+G33</f>
        <v>1722679</v>
      </c>
    </row>
    <row r="34" spans="2:8">
      <c r="B34" s="1747" t="s">
        <v>94</v>
      </c>
      <c r="C34" s="1822">
        <v>141511</v>
      </c>
      <c r="D34" s="1822">
        <v>159469</v>
      </c>
      <c r="E34" s="1822">
        <v>66397</v>
      </c>
      <c r="F34" s="1733"/>
      <c r="G34" s="1822">
        <v>101898</v>
      </c>
      <c r="H34" s="2474">
        <f>C34+D34+E34+F34+G34</f>
        <v>469275</v>
      </c>
    </row>
    <row r="35" spans="2:8">
      <c r="B35" s="1747" t="s">
        <v>97</v>
      </c>
      <c r="C35" s="1824">
        <v>1918932</v>
      </c>
      <c r="D35" s="1822">
        <v>384967</v>
      </c>
      <c r="E35" s="1822">
        <v>785447</v>
      </c>
      <c r="F35" s="1822">
        <v>238759</v>
      </c>
      <c r="G35" s="1822">
        <v>2092236</v>
      </c>
      <c r="H35" s="2474">
        <f>C35+D35+E35+F35+G35</f>
        <v>5420341</v>
      </c>
    </row>
    <row r="36" spans="2:8">
      <c r="B36" s="1747" t="s">
        <v>128</v>
      </c>
      <c r="C36" s="1822">
        <v>707064</v>
      </c>
      <c r="D36" s="1822">
        <v>95005</v>
      </c>
      <c r="E36" s="1822">
        <v>38314</v>
      </c>
      <c r="F36" s="1822">
        <v>11824</v>
      </c>
      <c r="G36" s="1822">
        <v>293217</v>
      </c>
      <c r="H36" s="2474">
        <f t="shared" ref="H36:H46" si="3">C36+D36+E36+F36+G36</f>
        <v>1145424</v>
      </c>
    </row>
    <row r="37" spans="2:8">
      <c r="B37" s="1747" t="s">
        <v>101</v>
      </c>
      <c r="C37" s="1822">
        <v>135027</v>
      </c>
      <c r="D37" s="1822">
        <v>35323</v>
      </c>
      <c r="E37" s="1822">
        <v>391239</v>
      </c>
      <c r="F37" s="1822">
        <v>1276</v>
      </c>
      <c r="G37" s="1822">
        <v>149656</v>
      </c>
      <c r="H37" s="2474">
        <f t="shared" si="3"/>
        <v>712521</v>
      </c>
    </row>
    <row r="38" spans="2:8">
      <c r="B38" s="1747" t="s">
        <v>102</v>
      </c>
      <c r="C38" s="1822">
        <v>1411130</v>
      </c>
      <c r="D38" s="1822">
        <v>527881</v>
      </c>
      <c r="E38" s="1822">
        <v>2044768</v>
      </c>
      <c r="F38" s="1822">
        <v>1191033</v>
      </c>
      <c r="G38" s="1822">
        <v>415214</v>
      </c>
      <c r="H38" s="2474">
        <f t="shared" si="3"/>
        <v>5590026</v>
      </c>
    </row>
    <row r="39" spans="2:8">
      <c r="B39" s="1747" t="s">
        <v>104</v>
      </c>
      <c r="C39" s="1822">
        <v>405688</v>
      </c>
      <c r="D39" s="1822">
        <v>75429</v>
      </c>
      <c r="E39" s="1822">
        <v>71773</v>
      </c>
      <c r="F39" s="2396"/>
      <c r="G39" s="1822">
        <v>258667</v>
      </c>
      <c r="H39" s="2474">
        <f t="shared" si="3"/>
        <v>811557</v>
      </c>
    </row>
    <row r="40" spans="2:8">
      <c r="B40" s="1747" t="s">
        <v>108</v>
      </c>
      <c r="C40" s="1822">
        <v>300813</v>
      </c>
      <c r="D40" s="1822">
        <v>27650</v>
      </c>
      <c r="E40" s="1822">
        <v>86705</v>
      </c>
      <c r="F40" s="2396"/>
      <c r="G40" s="1822">
        <v>23314</v>
      </c>
      <c r="H40" s="2474">
        <f t="shared" si="3"/>
        <v>438482</v>
      </c>
    </row>
    <row r="41" spans="2:8">
      <c r="B41" s="1747" t="s">
        <v>109</v>
      </c>
      <c r="C41" s="1822">
        <v>9362</v>
      </c>
      <c r="D41" s="2465">
        <v>767</v>
      </c>
      <c r="E41" s="1822">
        <v>37813</v>
      </c>
      <c r="F41" s="1733"/>
      <c r="G41" s="1822">
        <v>54515</v>
      </c>
      <c r="H41" s="2474">
        <f t="shared" si="3"/>
        <v>102457</v>
      </c>
    </row>
    <row r="42" spans="2:8">
      <c r="B42" s="1747" t="s">
        <v>110</v>
      </c>
      <c r="C42" s="2396"/>
      <c r="D42" s="2396"/>
      <c r="E42" s="2396"/>
      <c r="F42" s="2396"/>
      <c r="G42" s="1822">
        <v>123388</v>
      </c>
      <c r="H42" s="2474">
        <f t="shared" si="3"/>
        <v>123388</v>
      </c>
    </row>
    <row r="43" spans="2:8">
      <c r="B43" s="1747" t="s">
        <v>111</v>
      </c>
      <c r="C43" s="1822">
        <v>124632</v>
      </c>
      <c r="D43" s="1822">
        <v>12357</v>
      </c>
      <c r="E43" s="1822">
        <v>30925</v>
      </c>
      <c r="F43" s="2396"/>
      <c r="G43" s="1822">
        <v>69766</v>
      </c>
      <c r="H43" s="2474">
        <f t="shared" si="3"/>
        <v>237680</v>
      </c>
    </row>
    <row r="44" spans="2:8">
      <c r="B44" s="1747" t="s">
        <v>112</v>
      </c>
      <c r="C44" s="1822">
        <v>190829</v>
      </c>
      <c r="D44" s="1822">
        <v>88864</v>
      </c>
      <c r="E44" s="1822">
        <v>50422</v>
      </c>
      <c r="F44" s="2396"/>
      <c r="G44" s="1822">
        <v>260323</v>
      </c>
      <c r="H44" s="2474">
        <f t="shared" si="3"/>
        <v>590438</v>
      </c>
    </row>
    <row r="45" spans="2:8">
      <c r="B45" s="1747" t="s">
        <v>114</v>
      </c>
      <c r="C45" s="1822">
        <v>3758</v>
      </c>
      <c r="D45" s="2396"/>
      <c r="E45" s="1822">
        <v>15257</v>
      </c>
      <c r="F45" s="1822">
        <v>3060</v>
      </c>
      <c r="G45" s="1822">
        <v>80746</v>
      </c>
      <c r="H45" s="2474">
        <f t="shared" si="3"/>
        <v>102821</v>
      </c>
    </row>
    <row r="46" spans="2:8">
      <c r="B46" s="1747" t="s">
        <v>115</v>
      </c>
      <c r="C46" s="1824">
        <v>1491119</v>
      </c>
      <c r="D46" s="1824">
        <v>435526</v>
      </c>
      <c r="E46" s="1824">
        <v>73392</v>
      </c>
      <c r="F46" s="1822">
        <v>1010</v>
      </c>
      <c r="G46" s="1824">
        <v>1155126</v>
      </c>
      <c r="H46" s="2474">
        <f t="shared" si="3"/>
        <v>3156173</v>
      </c>
    </row>
    <row r="47" spans="2:8">
      <c r="B47" s="2432" t="s">
        <v>544</v>
      </c>
      <c r="C47" s="2400">
        <f t="shared" ref="C47:H47" si="4">SUM(C33:C46)</f>
        <v>8046398</v>
      </c>
      <c r="D47" s="2400">
        <f t="shared" si="4"/>
        <v>1888796</v>
      </c>
      <c r="E47" s="2400">
        <f t="shared" si="4"/>
        <v>3706423</v>
      </c>
      <c r="F47" s="2400">
        <f t="shared" si="4"/>
        <v>1663957</v>
      </c>
      <c r="G47" s="2400">
        <f t="shared" si="4"/>
        <v>5317688</v>
      </c>
      <c r="H47" s="2400">
        <f t="shared" si="4"/>
        <v>20623262</v>
      </c>
    </row>
    <row r="48" spans="2:8">
      <c r="B48" s="2436" t="s">
        <v>422</v>
      </c>
      <c r="C48" s="2401"/>
      <c r="D48" s="2401"/>
      <c r="E48" s="2401"/>
      <c r="F48" s="2401"/>
      <c r="G48" s="2401"/>
      <c r="H48" s="2474"/>
    </row>
    <row r="49" spans="2:14">
      <c r="B49" s="2466" t="s">
        <v>118</v>
      </c>
      <c r="C49" s="2402">
        <f t="shared" ref="C49:H49" si="5">C47+C48</f>
        <v>8046398</v>
      </c>
      <c r="D49" s="2402">
        <f t="shared" si="5"/>
        <v>1888796</v>
      </c>
      <c r="E49" s="2402">
        <f t="shared" si="5"/>
        <v>3706423</v>
      </c>
      <c r="F49" s="2402">
        <f t="shared" si="5"/>
        <v>1663957</v>
      </c>
      <c r="G49" s="2402">
        <f t="shared" si="5"/>
        <v>5317688</v>
      </c>
      <c r="H49" s="2400">
        <f t="shared" si="5"/>
        <v>20623262</v>
      </c>
    </row>
    <row r="50" spans="2:14">
      <c r="B50" s="218"/>
      <c r="C50" s="383"/>
      <c r="D50" s="383"/>
      <c r="E50" s="383"/>
      <c r="F50" s="383"/>
      <c r="G50" s="383"/>
      <c r="H50" s="383"/>
    </row>
    <row r="51" spans="2:14">
      <c r="B51" s="218"/>
      <c r="C51" s="383"/>
      <c r="D51" s="383"/>
      <c r="E51" s="383"/>
      <c r="F51" s="383"/>
      <c r="G51" s="383"/>
      <c r="H51" s="293">
        <v>165</v>
      </c>
    </row>
    <row r="52" spans="2:14">
      <c r="B52" s="218"/>
      <c r="C52" s="218"/>
      <c r="D52" s="218"/>
      <c r="E52" s="218"/>
      <c r="F52" s="218"/>
      <c r="G52" s="218"/>
      <c r="H52" s="218"/>
    </row>
    <row r="53" spans="2:14">
      <c r="B53" s="3450" t="s">
        <v>581</v>
      </c>
      <c r="C53" s="3450"/>
      <c r="D53" s="3450"/>
      <c r="E53" s="3450"/>
      <c r="F53" s="3450"/>
      <c r="G53" s="3450"/>
    </row>
    <row r="54" spans="2:14">
      <c r="B54" s="218"/>
      <c r="H54" s="532" t="s">
        <v>578</v>
      </c>
      <c r="I54" s="532"/>
    </row>
    <row r="55" spans="2:14">
      <c r="B55" s="3504" t="s">
        <v>84</v>
      </c>
      <c r="C55" s="3498" t="s">
        <v>520</v>
      </c>
      <c r="D55" s="3498" t="s">
        <v>521</v>
      </c>
      <c r="E55" s="3498" t="s">
        <v>522</v>
      </c>
      <c r="F55" s="3498" t="s">
        <v>439</v>
      </c>
      <c r="G55" s="3498" t="s">
        <v>579</v>
      </c>
      <c r="H55" s="3498" t="s">
        <v>543</v>
      </c>
    </row>
    <row r="56" spans="2:14">
      <c r="B56" s="3486"/>
      <c r="C56" s="3499"/>
      <c r="D56" s="3499"/>
      <c r="E56" s="3499"/>
      <c r="F56" s="3499"/>
      <c r="G56" s="3499"/>
      <c r="H56" s="3499"/>
    </row>
    <row r="57" spans="2:14">
      <c r="B57" s="3505"/>
      <c r="C57" s="3500"/>
      <c r="D57" s="3500"/>
      <c r="E57" s="3500"/>
      <c r="F57" s="3500"/>
      <c r="G57" s="3500"/>
      <c r="H57" s="3500"/>
    </row>
    <row r="58" spans="2:14">
      <c r="B58" s="1747" t="s">
        <v>91</v>
      </c>
      <c r="C58" s="1822">
        <v>1093785</v>
      </c>
      <c r="D58" s="1822">
        <v>73331</v>
      </c>
      <c r="E58" s="1822">
        <v>6781</v>
      </c>
      <c r="F58" s="1822">
        <v>150594</v>
      </c>
      <c r="G58" s="1822">
        <v>293240</v>
      </c>
      <c r="H58" s="2474">
        <f>C58+D58+E58+F58+G58</f>
        <v>1617731</v>
      </c>
      <c r="J58" s="396"/>
      <c r="K58" s="396"/>
      <c r="L58" s="396"/>
      <c r="M58" s="396"/>
      <c r="N58" s="396"/>
    </row>
    <row r="59" spans="2:14">
      <c r="B59" s="1747" t="s">
        <v>94</v>
      </c>
      <c r="C59" s="1822">
        <v>88029</v>
      </c>
      <c r="D59" s="1822">
        <v>79260</v>
      </c>
      <c r="E59" s="1822">
        <v>50240</v>
      </c>
      <c r="F59" s="1733"/>
      <c r="G59" s="1822">
        <v>57802</v>
      </c>
      <c r="H59" s="2474">
        <f t="shared" ref="H59:H71" si="6">C59+D59+E59+F59+G59</f>
        <v>275331</v>
      </c>
      <c r="J59" s="396"/>
      <c r="K59" s="396"/>
      <c r="L59" s="396"/>
      <c r="M59" s="396"/>
      <c r="N59" s="396"/>
    </row>
    <row r="60" spans="2:14">
      <c r="B60" s="1747" t="s">
        <v>97</v>
      </c>
      <c r="C60" s="1824">
        <v>1505020</v>
      </c>
      <c r="D60" s="1822">
        <v>284499</v>
      </c>
      <c r="E60" s="1822">
        <v>1095407</v>
      </c>
      <c r="F60" s="1822">
        <v>193430</v>
      </c>
      <c r="G60" s="1822">
        <v>2204294</v>
      </c>
      <c r="H60" s="2474">
        <f>C60+D60+E60+F60+G60</f>
        <v>5282650</v>
      </c>
      <c r="J60" s="396"/>
      <c r="K60" s="396"/>
      <c r="L60" s="396"/>
      <c r="M60" s="396"/>
      <c r="N60" s="396"/>
    </row>
    <row r="61" spans="2:14">
      <c r="B61" s="1747" t="s">
        <v>128</v>
      </c>
      <c r="C61" s="1822">
        <v>623905</v>
      </c>
      <c r="D61" s="1822">
        <v>80831</v>
      </c>
      <c r="E61" s="1822">
        <v>43112</v>
      </c>
      <c r="F61" s="1822">
        <v>7506</v>
      </c>
      <c r="G61" s="1822">
        <v>209011</v>
      </c>
      <c r="H61" s="2474">
        <f t="shared" si="6"/>
        <v>964365</v>
      </c>
      <c r="J61" s="396"/>
      <c r="K61" s="396"/>
      <c r="L61" s="396"/>
      <c r="M61" s="396"/>
      <c r="N61" s="396"/>
    </row>
    <row r="62" spans="2:14">
      <c r="B62" s="1747" t="s">
        <v>101</v>
      </c>
      <c r="C62" s="1822">
        <v>90203</v>
      </c>
      <c r="D62" s="1822">
        <v>16788</v>
      </c>
      <c r="E62" s="1822">
        <v>327440</v>
      </c>
      <c r="F62" s="1822">
        <v>1681</v>
      </c>
      <c r="G62" s="1822">
        <v>108621</v>
      </c>
      <c r="H62" s="2474">
        <f t="shared" si="6"/>
        <v>544733</v>
      </c>
      <c r="J62" s="396"/>
      <c r="K62" s="396"/>
      <c r="L62" s="396"/>
      <c r="M62" s="396"/>
      <c r="N62" s="396"/>
    </row>
    <row r="63" spans="2:14">
      <c r="B63" s="1747" t="s">
        <v>102</v>
      </c>
      <c r="C63" s="1822">
        <v>987460</v>
      </c>
      <c r="D63" s="1822">
        <v>401578</v>
      </c>
      <c r="E63" s="1822">
        <v>2137082</v>
      </c>
      <c r="F63" s="1822">
        <v>1292605</v>
      </c>
      <c r="G63" s="1822">
        <v>520425</v>
      </c>
      <c r="H63" s="2474">
        <f t="shared" si="6"/>
        <v>5339150</v>
      </c>
      <c r="J63" s="396"/>
      <c r="K63" s="396"/>
      <c r="L63" s="396"/>
      <c r="M63" s="396"/>
      <c r="N63" s="396"/>
    </row>
    <row r="64" spans="2:14">
      <c r="B64" s="1747" t="s">
        <v>104</v>
      </c>
      <c r="C64" s="1822">
        <v>354121</v>
      </c>
      <c r="D64" s="1822">
        <v>52838</v>
      </c>
      <c r="E64" s="1822">
        <v>60522</v>
      </c>
      <c r="F64" s="2396"/>
      <c r="G64" s="1822">
        <v>160841</v>
      </c>
      <c r="H64" s="2474">
        <f t="shared" si="6"/>
        <v>628322</v>
      </c>
      <c r="J64" s="396"/>
      <c r="K64" s="396"/>
      <c r="L64" s="396"/>
      <c r="M64" s="396"/>
      <c r="N64" s="396"/>
    </row>
    <row r="65" spans="2:14">
      <c r="B65" s="1747" t="s">
        <v>108</v>
      </c>
      <c r="C65" s="1822">
        <v>414640</v>
      </c>
      <c r="D65" s="1822">
        <v>10846</v>
      </c>
      <c r="E65" s="1822">
        <v>388046</v>
      </c>
      <c r="F65" s="2396"/>
      <c r="G65" s="1822">
        <v>62501</v>
      </c>
      <c r="H65" s="2474">
        <f t="shared" si="6"/>
        <v>876033</v>
      </c>
      <c r="J65" s="396"/>
      <c r="K65" s="396"/>
      <c r="L65" s="396"/>
      <c r="M65" s="396"/>
      <c r="N65" s="396"/>
    </row>
    <row r="66" spans="2:14">
      <c r="B66" s="1747" t="s">
        <v>109</v>
      </c>
      <c r="C66" s="1822">
        <v>3575</v>
      </c>
      <c r="D66" s="2465">
        <v>503</v>
      </c>
      <c r="E66" s="1822">
        <v>37680</v>
      </c>
      <c r="F66" s="1733"/>
      <c r="G66" s="1822">
        <v>18043</v>
      </c>
      <c r="H66" s="2474">
        <f t="shared" si="6"/>
        <v>59801</v>
      </c>
      <c r="J66" s="396"/>
      <c r="K66" s="396"/>
      <c r="L66" s="396"/>
      <c r="M66" s="396"/>
      <c r="N66" s="396"/>
    </row>
    <row r="67" spans="2:14">
      <c r="B67" s="1747" t="s">
        <v>110</v>
      </c>
      <c r="C67" s="1822">
        <v>9586</v>
      </c>
      <c r="D67" s="2396"/>
      <c r="E67" s="1822">
        <v>6683</v>
      </c>
      <c r="F67" s="2396"/>
      <c r="G67" s="2396"/>
      <c r="H67" s="2474">
        <f t="shared" si="6"/>
        <v>16269</v>
      </c>
      <c r="J67" s="396"/>
      <c r="K67" s="396"/>
      <c r="L67" s="396"/>
      <c r="M67" s="396"/>
      <c r="N67" s="396"/>
    </row>
    <row r="68" spans="2:14">
      <c r="B68" s="1747" t="s">
        <v>111</v>
      </c>
      <c r="C68" s="1822">
        <v>70578</v>
      </c>
      <c r="D68" s="1822">
        <v>10909</v>
      </c>
      <c r="E68" s="1822">
        <v>28655</v>
      </c>
      <c r="F68" s="2396"/>
      <c r="G68" s="1822">
        <v>49806</v>
      </c>
      <c r="H68" s="2474">
        <f t="shared" si="6"/>
        <v>159948</v>
      </c>
      <c r="J68" s="396"/>
      <c r="K68" s="396"/>
      <c r="L68" s="396"/>
      <c r="M68" s="396"/>
      <c r="N68" s="396"/>
    </row>
    <row r="69" spans="2:14">
      <c r="B69" s="1747" t="s">
        <v>112</v>
      </c>
      <c r="C69" s="1822">
        <v>167040</v>
      </c>
      <c r="D69" s="1822">
        <v>30456</v>
      </c>
      <c r="E69" s="1822">
        <v>44924</v>
      </c>
      <c r="F69" s="2396"/>
      <c r="G69" s="1822">
        <v>107687</v>
      </c>
      <c r="H69" s="2474">
        <f t="shared" si="6"/>
        <v>350107</v>
      </c>
      <c r="J69" s="396"/>
      <c r="K69" s="396"/>
      <c r="L69" s="396"/>
      <c r="M69" s="396"/>
      <c r="N69" s="396"/>
    </row>
    <row r="70" spans="2:14">
      <c r="B70" s="1747" t="s">
        <v>114</v>
      </c>
      <c r="C70" s="1822">
        <v>3214</v>
      </c>
      <c r="D70" s="2396"/>
      <c r="E70" s="1822">
        <v>17085</v>
      </c>
      <c r="F70" s="1733"/>
      <c r="G70" s="1822">
        <v>35418</v>
      </c>
      <c r="H70" s="2474">
        <f t="shared" si="6"/>
        <v>55717</v>
      </c>
      <c r="J70" s="396"/>
      <c r="K70" s="396"/>
      <c r="L70" s="396"/>
      <c r="M70" s="396"/>
      <c r="N70" s="396"/>
    </row>
    <row r="71" spans="2:14">
      <c r="B71" s="1747" t="s">
        <v>115</v>
      </c>
      <c r="C71" s="1824">
        <v>1198730</v>
      </c>
      <c r="D71" s="1824">
        <v>310840</v>
      </c>
      <c r="E71" s="1824">
        <v>112603</v>
      </c>
      <c r="F71" s="1733"/>
      <c r="G71" s="1824">
        <v>719155</v>
      </c>
      <c r="H71" s="2474">
        <f t="shared" si="6"/>
        <v>2341328</v>
      </c>
      <c r="J71" s="396"/>
      <c r="K71" s="396"/>
      <c r="L71" s="396"/>
      <c r="M71" s="396"/>
      <c r="N71" s="396"/>
    </row>
    <row r="72" spans="2:14">
      <c r="B72" s="2432" t="s">
        <v>544</v>
      </c>
      <c r="C72" s="2400">
        <f t="shared" ref="C72:H72" si="7">SUM(C58:C71)</f>
        <v>6609886</v>
      </c>
      <c r="D72" s="2400">
        <f t="shared" si="7"/>
        <v>1352679</v>
      </c>
      <c r="E72" s="2400">
        <f t="shared" si="7"/>
        <v>4356260</v>
      </c>
      <c r="F72" s="2400">
        <f t="shared" si="7"/>
        <v>1645816</v>
      </c>
      <c r="G72" s="2400">
        <f t="shared" si="7"/>
        <v>4546844</v>
      </c>
      <c r="H72" s="2400">
        <f t="shared" si="7"/>
        <v>18511485</v>
      </c>
      <c r="J72" s="396"/>
      <c r="K72" s="396"/>
      <c r="L72" s="396"/>
      <c r="M72" s="396"/>
      <c r="N72" s="396"/>
    </row>
    <row r="73" spans="2:14">
      <c r="B73" s="2436" t="s">
        <v>422</v>
      </c>
      <c r="C73" s="2401"/>
      <c r="D73" s="2401"/>
      <c r="E73" s="2401"/>
      <c r="F73" s="2401"/>
      <c r="G73" s="2401"/>
      <c r="H73" s="2474">
        <v>100121</v>
      </c>
      <c r="J73" s="396"/>
      <c r="K73" s="396"/>
      <c r="L73" s="396"/>
      <c r="M73" s="396"/>
      <c r="N73" s="396"/>
    </row>
    <row r="74" spans="2:14">
      <c r="B74" s="2432" t="s">
        <v>118</v>
      </c>
      <c r="C74" s="2400">
        <f t="shared" ref="C74:H74" si="8">C72+C73</f>
        <v>6609886</v>
      </c>
      <c r="D74" s="2400">
        <f t="shared" si="8"/>
        <v>1352679</v>
      </c>
      <c r="E74" s="2400">
        <f t="shared" si="8"/>
        <v>4356260</v>
      </c>
      <c r="F74" s="2400">
        <f t="shared" si="8"/>
        <v>1645816</v>
      </c>
      <c r="G74" s="2400">
        <f t="shared" si="8"/>
        <v>4546844</v>
      </c>
      <c r="H74" s="2400">
        <f t="shared" si="8"/>
        <v>18611606</v>
      </c>
      <c r="J74" s="396"/>
      <c r="K74" s="396"/>
      <c r="L74" s="396"/>
      <c r="M74" s="396"/>
      <c r="N74" s="396"/>
    </row>
    <row r="75" spans="2:14">
      <c r="B75" s="218"/>
      <c r="C75" s="383"/>
      <c r="D75" s="383"/>
      <c r="E75" s="383"/>
      <c r="F75" s="383"/>
      <c r="G75" s="383"/>
      <c r="H75" s="383"/>
      <c r="J75" s="396"/>
      <c r="K75" s="396"/>
      <c r="L75" s="396"/>
      <c r="M75" s="396"/>
      <c r="N75" s="396"/>
    </row>
    <row r="76" spans="2:14">
      <c r="B76" s="218"/>
      <c r="C76" s="383"/>
      <c r="D76" s="383"/>
      <c r="E76" s="383"/>
      <c r="F76" s="383"/>
      <c r="G76" s="383"/>
      <c r="H76" s="293">
        <v>166</v>
      </c>
      <c r="J76" s="396"/>
      <c r="K76" s="396"/>
      <c r="L76" s="396"/>
      <c r="M76" s="396"/>
      <c r="N76" s="396"/>
    </row>
    <row r="77" spans="2:14">
      <c r="B77" s="218" t="s">
        <v>582</v>
      </c>
      <c r="C77" s="383"/>
      <c r="D77" s="383"/>
      <c r="E77" s="383"/>
      <c r="F77" s="383"/>
      <c r="G77" s="383"/>
      <c r="H77" s="293"/>
      <c r="J77" s="396"/>
      <c r="K77" s="396"/>
      <c r="L77" s="396"/>
      <c r="M77" s="396"/>
      <c r="N77" s="396"/>
    </row>
    <row r="78" spans="2:14">
      <c r="B78" s="218"/>
      <c r="H78" s="532" t="s">
        <v>578</v>
      </c>
      <c r="J78" s="396"/>
      <c r="K78" s="396"/>
      <c r="L78" s="396"/>
      <c r="M78" s="396"/>
      <c r="N78" s="396"/>
    </row>
    <row r="79" spans="2:14">
      <c r="B79" s="3504" t="s">
        <v>84</v>
      </c>
      <c r="C79" s="3506" t="s">
        <v>520</v>
      </c>
      <c r="D79" s="3498" t="s">
        <v>521</v>
      </c>
      <c r="E79" s="3498" t="s">
        <v>522</v>
      </c>
      <c r="F79" s="3498" t="s">
        <v>439</v>
      </c>
      <c r="G79" s="3506" t="s">
        <v>579</v>
      </c>
      <c r="H79" s="3506" t="s">
        <v>543</v>
      </c>
      <c r="J79" s="396"/>
      <c r="K79" s="396"/>
      <c r="L79" s="396"/>
      <c r="M79" s="396"/>
      <c r="N79" s="396"/>
    </row>
    <row r="80" spans="2:14">
      <c r="B80" s="3486"/>
      <c r="C80" s="3469"/>
      <c r="D80" s="3499"/>
      <c r="E80" s="3499"/>
      <c r="F80" s="3499"/>
      <c r="G80" s="3469"/>
      <c r="H80" s="3469"/>
      <c r="J80" s="396"/>
      <c r="K80" s="396"/>
      <c r="L80" s="396"/>
      <c r="M80" s="396"/>
      <c r="N80" s="396"/>
    </row>
    <row r="81" spans="2:14">
      <c r="B81" s="3505"/>
      <c r="C81" s="3459"/>
      <c r="D81" s="3500"/>
      <c r="E81" s="3500"/>
      <c r="F81" s="3500"/>
      <c r="G81" s="3459"/>
      <c r="H81" s="3459"/>
      <c r="J81" s="396"/>
      <c r="K81" s="396"/>
      <c r="L81" s="396"/>
      <c r="M81" s="396"/>
      <c r="N81" s="396"/>
    </row>
    <row r="82" spans="2:14">
      <c r="B82" s="1747" t="s">
        <v>91</v>
      </c>
      <c r="C82" s="1717">
        <v>1430477.1320279145</v>
      </c>
      <c r="D82" s="1717">
        <v>57723.28371569833</v>
      </c>
      <c r="E82" s="1717">
        <v>14777.293755199988</v>
      </c>
      <c r="F82" s="1717">
        <v>157034.73396000001</v>
      </c>
      <c r="G82" s="1717">
        <v>282260.90132338717</v>
      </c>
      <c r="H82" s="2475">
        <f>C82+D82+E82+F82+G82</f>
        <v>1942273.3447822002</v>
      </c>
      <c r="J82" s="396"/>
      <c r="K82" s="396"/>
      <c r="L82" s="396"/>
      <c r="M82" s="396"/>
      <c r="N82" s="396"/>
    </row>
    <row r="83" spans="2:14">
      <c r="B83" s="1747" t="s">
        <v>94</v>
      </c>
      <c r="C83" s="1717">
        <v>106774.70387407392</v>
      </c>
      <c r="D83" s="1717">
        <v>71532.46600670449</v>
      </c>
      <c r="E83" s="1717">
        <v>30428.140169352992</v>
      </c>
      <c r="F83" s="1733"/>
      <c r="G83" s="1717">
        <v>63031.292129868896</v>
      </c>
      <c r="H83" s="2475">
        <f>C83+D83+E83+F83+G83</f>
        <v>271766.60218000028</v>
      </c>
      <c r="J83" s="396"/>
      <c r="K83" s="396"/>
      <c r="L83" s="396"/>
      <c r="M83" s="396"/>
      <c r="N83" s="396"/>
    </row>
    <row r="84" spans="2:14">
      <c r="B84" s="1747" t="s">
        <v>97</v>
      </c>
      <c r="C84" s="1717">
        <v>1197937</v>
      </c>
      <c r="D84" s="1717">
        <v>299851</v>
      </c>
      <c r="E84" s="1717">
        <v>592755</v>
      </c>
      <c r="F84" s="1717">
        <v>173713</v>
      </c>
      <c r="G84" s="1717">
        <v>1811173</v>
      </c>
      <c r="H84" s="2475">
        <f>C84+D84+E84+F84+G84</f>
        <v>4075429</v>
      </c>
      <c r="J84" s="396"/>
      <c r="K84" s="396"/>
      <c r="L84" s="396"/>
      <c r="M84" s="396"/>
      <c r="N84" s="396"/>
    </row>
    <row r="85" spans="2:14">
      <c r="B85" s="1747" t="s">
        <v>128</v>
      </c>
      <c r="C85" s="1717">
        <v>567647.34783999994</v>
      </c>
      <c r="D85" s="1717">
        <v>58623.25505</v>
      </c>
      <c r="E85" s="1717">
        <v>46780.721660000003</v>
      </c>
      <c r="F85" s="1717">
        <v>26680.24569</v>
      </c>
      <c r="G85" s="1717">
        <v>148178.85412</v>
      </c>
      <c r="H85" s="2475">
        <f t="shared" ref="H85:H95" si="9">C85+D85+E85+F85+G85</f>
        <v>847910.42436000006</v>
      </c>
      <c r="J85" s="396"/>
      <c r="K85" s="396"/>
      <c r="L85" s="396"/>
      <c r="M85" s="396"/>
      <c r="N85" s="396"/>
    </row>
    <row r="86" spans="2:14">
      <c r="B86" s="1747" t="s">
        <v>101</v>
      </c>
      <c r="C86" s="1717">
        <v>80029.918650000007</v>
      </c>
      <c r="D86" s="1717">
        <v>10643.31472</v>
      </c>
      <c r="E86" s="1717">
        <v>343139.82201000006</v>
      </c>
      <c r="F86" s="1786">
        <v>759.29</v>
      </c>
      <c r="G86" s="1717">
        <v>137219.11286999998</v>
      </c>
      <c r="H86" s="2475">
        <f t="shared" si="9"/>
        <v>571791.45825000003</v>
      </c>
      <c r="J86" s="396"/>
      <c r="K86" s="396"/>
      <c r="L86" s="396"/>
      <c r="M86" s="396"/>
      <c r="N86" s="396"/>
    </row>
    <row r="87" spans="2:14">
      <c r="B87" s="1747" t="s">
        <v>102</v>
      </c>
      <c r="C87" s="1717">
        <v>949397.1116731423</v>
      </c>
      <c r="D87" s="1717">
        <v>292906.79762520996</v>
      </c>
      <c r="E87" s="1717">
        <v>2546803.4667013278</v>
      </c>
      <c r="F87" s="1717">
        <v>1099764.9365624732</v>
      </c>
      <c r="G87" s="1717">
        <v>448824.99857784336</v>
      </c>
      <c r="H87" s="2475">
        <f t="shared" si="9"/>
        <v>5337697.3111399962</v>
      </c>
      <c r="J87" s="396"/>
      <c r="K87" s="396"/>
      <c r="L87" s="396"/>
      <c r="M87" s="396"/>
      <c r="N87" s="396"/>
    </row>
    <row r="88" spans="2:14">
      <c r="B88" s="1747" t="s">
        <v>104</v>
      </c>
      <c r="C88" s="1717">
        <v>338938.28133999987</v>
      </c>
      <c r="D88" s="1717">
        <v>51704.870670000004</v>
      </c>
      <c r="E88" s="1717">
        <v>71515.315647434938</v>
      </c>
      <c r="F88" s="2396"/>
      <c r="G88" s="1717">
        <v>185519.27585999999</v>
      </c>
      <c r="H88" s="2475">
        <f t="shared" si="9"/>
        <v>647677.74351743469</v>
      </c>
      <c r="J88" s="396"/>
      <c r="K88" s="396"/>
      <c r="L88" s="396"/>
      <c r="M88" s="396"/>
      <c r="N88" s="396"/>
    </row>
    <row r="89" spans="2:14">
      <c r="B89" s="1747" t="s">
        <v>108</v>
      </c>
      <c r="C89" s="1717">
        <v>261156.75784999994</v>
      </c>
      <c r="D89" s="1717">
        <v>5421.4735799999999</v>
      </c>
      <c r="E89" s="1717">
        <v>354406.45162000076</v>
      </c>
      <c r="F89" s="2396"/>
      <c r="G89" s="1717">
        <v>65318.433110000005</v>
      </c>
      <c r="H89" s="2475">
        <f t="shared" si="9"/>
        <v>686303.11616000067</v>
      </c>
      <c r="J89" s="396"/>
      <c r="K89" s="396"/>
      <c r="L89" s="396"/>
      <c r="M89" s="396"/>
      <c r="N89" s="396"/>
    </row>
    <row r="90" spans="2:14">
      <c r="B90" s="1747" t="s">
        <v>109</v>
      </c>
      <c r="C90" s="1717">
        <v>2869.7509059550794</v>
      </c>
      <c r="D90" s="1717">
        <v>430.64005112208798</v>
      </c>
      <c r="E90" s="1717">
        <v>8869.4784342952989</v>
      </c>
      <c r="F90" s="1717">
        <v>128.57294999999999</v>
      </c>
      <c r="G90" s="1717">
        <v>3183.74901862759</v>
      </c>
      <c r="H90" s="2475">
        <f t="shared" si="9"/>
        <v>15482.191360000057</v>
      </c>
      <c r="J90" s="396"/>
      <c r="K90" s="396"/>
      <c r="L90" s="396"/>
      <c r="M90" s="396"/>
      <c r="N90" s="396"/>
    </row>
    <row r="91" spans="2:14">
      <c r="B91" s="1747" t="s">
        <v>110</v>
      </c>
      <c r="C91" s="2396"/>
      <c r="D91" s="2396"/>
      <c r="E91" s="1786">
        <v>10328.9459496</v>
      </c>
      <c r="F91" s="2396"/>
      <c r="G91" s="1717">
        <v>418732.72758200002</v>
      </c>
      <c r="H91" s="2475">
        <f t="shared" si="9"/>
        <v>429061.67353160004</v>
      </c>
      <c r="J91" s="396"/>
      <c r="K91" s="396"/>
      <c r="L91" s="396"/>
      <c r="M91" s="396"/>
      <c r="N91" s="396"/>
    </row>
    <row r="92" spans="2:14">
      <c r="B92" s="1747" t="s">
        <v>111</v>
      </c>
      <c r="C92" s="1717">
        <v>59833.5290992597</v>
      </c>
      <c r="D92" s="1717">
        <v>12303.80449450483</v>
      </c>
      <c r="E92" s="1717">
        <v>30037.264308610629</v>
      </c>
      <c r="F92" s="2396"/>
      <c r="G92" s="1717">
        <v>24652.633449836681</v>
      </c>
      <c r="H92" s="2475">
        <f t="shared" si="9"/>
        <v>126827.23135221183</v>
      </c>
      <c r="J92" s="396"/>
      <c r="K92" s="396"/>
      <c r="L92" s="396"/>
      <c r="M92" s="396"/>
      <c r="N92" s="396"/>
    </row>
    <row r="93" spans="2:14">
      <c r="B93" s="1747" t="s">
        <v>112</v>
      </c>
      <c r="C93" s="1717">
        <v>117081.63500000001</v>
      </c>
      <c r="D93" s="1717">
        <v>15038.346</v>
      </c>
      <c r="E93" s="1717">
        <v>39011.002079999998</v>
      </c>
      <c r="F93" s="2396"/>
      <c r="G93" s="1717">
        <v>73824.388999999996</v>
      </c>
      <c r="H93" s="2475">
        <f t="shared" si="9"/>
        <v>244955.37208</v>
      </c>
      <c r="J93" s="396"/>
      <c r="K93" s="396"/>
      <c r="L93" s="396"/>
      <c r="M93" s="396"/>
      <c r="N93" s="396"/>
    </row>
    <row r="94" spans="2:14">
      <c r="B94" s="1747" t="s">
        <v>114</v>
      </c>
      <c r="C94" s="1717">
        <v>3865.2799999999997</v>
      </c>
      <c r="D94" s="2396"/>
      <c r="E94" s="1717">
        <v>20331.668000000001</v>
      </c>
      <c r="F94" s="1717">
        <v>15409.943069999999</v>
      </c>
      <c r="G94" s="1717">
        <v>26676.546049999997</v>
      </c>
      <c r="H94" s="2475">
        <f t="shared" si="9"/>
        <v>66283.437119999988</v>
      </c>
      <c r="J94" s="396"/>
      <c r="K94" s="396"/>
      <c r="L94" s="396"/>
      <c r="M94" s="396"/>
      <c r="N94" s="396"/>
    </row>
    <row r="95" spans="2:14">
      <c r="B95" s="1747" t="s">
        <v>115</v>
      </c>
      <c r="C95" s="1717">
        <v>945846</v>
      </c>
      <c r="D95" s="1717">
        <v>348650</v>
      </c>
      <c r="E95" s="1717">
        <v>120730</v>
      </c>
      <c r="F95" s="1717">
        <v>7031</v>
      </c>
      <c r="G95" s="1717">
        <v>1124714</v>
      </c>
      <c r="H95" s="2475">
        <f t="shared" si="9"/>
        <v>2546971</v>
      </c>
      <c r="J95" s="396"/>
      <c r="K95" s="396"/>
      <c r="L95" s="396"/>
      <c r="M95" s="396"/>
      <c r="N95" s="396"/>
    </row>
    <row r="96" spans="2:14">
      <c r="B96" s="2436" t="s">
        <v>544</v>
      </c>
      <c r="C96" s="2475">
        <f t="shared" ref="C96:H96" si="10">SUM(C82:C95)</f>
        <v>6061854.4482603455</v>
      </c>
      <c r="D96" s="2475">
        <f t="shared" si="10"/>
        <v>1224829.2519132397</v>
      </c>
      <c r="E96" s="2475">
        <f t="shared" si="10"/>
        <v>4229914.5703358222</v>
      </c>
      <c r="F96" s="2475">
        <f t="shared" si="10"/>
        <v>1480521.7222324731</v>
      </c>
      <c r="G96" s="2475">
        <f t="shared" si="10"/>
        <v>4813309.9130915636</v>
      </c>
      <c r="H96" s="2475">
        <f t="shared" si="10"/>
        <v>17810429.905833445</v>
      </c>
      <c r="J96" s="396"/>
      <c r="K96" s="396"/>
      <c r="L96" s="396"/>
      <c r="M96" s="396"/>
      <c r="N96" s="396"/>
    </row>
    <row r="97" spans="2:14">
      <c r="B97" s="2436" t="s">
        <v>422</v>
      </c>
      <c r="C97" s="2401"/>
      <c r="D97" s="2401"/>
      <c r="E97" s="2401"/>
      <c r="F97" s="2401"/>
      <c r="G97" s="2401"/>
      <c r="H97" s="2470">
        <v>55563.767258400003</v>
      </c>
      <c r="J97" s="396"/>
      <c r="K97" s="396"/>
      <c r="L97" s="396"/>
      <c r="M97" s="396"/>
      <c r="N97" s="396"/>
    </row>
    <row r="98" spans="2:14">
      <c r="B98" s="2436" t="s">
        <v>118</v>
      </c>
      <c r="C98" s="2475">
        <f t="shared" ref="C98:H98" si="11">C96+C97</f>
        <v>6061854.4482603455</v>
      </c>
      <c r="D98" s="2475">
        <f t="shared" si="11"/>
        <v>1224829.2519132397</v>
      </c>
      <c r="E98" s="2475">
        <f t="shared" si="11"/>
        <v>4229914.5703358222</v>
      </c>
      <c r="F98" s="2475">
        <f t="shared" si="11"/>
        <v>1480521.7222324731</v>
      </c>
      <c r="G98" s="2475">
        <f t="shared" si="11"/>
        <v>4813309.9130915636</v>
      </c>
      <c r="H98" s="2475">
        <f t="shared" si="11"/>
        <v>17865993.673091844</v>
      </c>
      <c r="J98" s="396"/>
      <c r="K98" s="396"/>
      <c r="L98" s="396"/>
      <c r="M98" s="396"/>
      <c r="N98" s="396"/>
    </row>
    <row r="99" spans="2:14">
      <c r="B99" s="218"/>
      <c r="C99" s="383"/>
      <c r="D99" s="383"/>
      <c r="E99" s="383"/>
      <c r="F99" s="383"/>
      <c r="G99" s="383"/>
      <c r="H99" s="383"/>
      <c r="J99" s="396"/>
      <c r="K99" s="396"/>
      <c r="L99" s="396"/>
      <c r="M99" s="396"/>
      <c r="N99" s="396"/>
    </row>
    <row r="100" spans="2:14">
      <c r="B100" s="218"/>
      <c r="C100" s="383"/>
      <c r="D100" s="383"/>
      <c r="E100" s="383"/>
      <c r="F100" s="383"/>
      <c r="G100" s="383"/>
      <c r="H100" s="293">
        <v>167</v>
      </c>
      <c r="J100" s="396"/>
      <c r="K100" s="396"/>
      <c r="L100" s="396"/>
      <c r="M100" s="396"/>
      <c r="N100" s="396"/>
    </row>
    <row r="101" spans="2:14">
      <c r="B101" s="214"/>
      <c r="C101" s="214"/>
      <c r="D101" s="214"/>
      <c r="E101" s="214"/>
      <c r="F101" s="214"/>
      <c r="G101" s="214"/>
      <c r="H101" s="483"/>
    </row>
    <row r="102" spans="2:14">
      <c r="B102" s="3450" t="s">
        <v>583</v>
      </c>
      <c r="C102" s="3450"/>
      <c r="D102" s="3450"/>
      <c r="E102" s="3450"/>
      <c r="F102" s="3450"/>
      <c r="G102" s="3450"/>
    </row>
    <row r="103" spans="2:14">
      <c r="B103" s="218"/>
      <c r="H103" s="532" t="s">
        <v>578</v>
      </c>
      <c r="I103" s="532"/>
    </row>
    <row r="104" spans="2:14">
      <c r="B104" s="3504" t="s">
        <v>84</v>
      </c>
      <c r="C104" s="3506" t="s">
        <v>520</v>
      </c>
      <c r="D104" s="3498" t="s">
        <v>521</v>
      </c>
      <c r="E104" s="3498" t="s">
        <v>522</v>
      </c>
      <c r="F104" s="3498" t="s">
        <v>439</v>
      </c>
      <c r="G104" s="3506" t="s">
        <v>579</v>
      </c>
      <c r="H104" s="3506" t="s">
        <v>543</v>
      </c>
    </row>
    <row r="105" spans="2:14">
      <c r="B105" s="3486"/>
      <c r="C105" s="3469"/>
      <c r="D105" s="3499"/>
      <c r="E105" s="3499"/>
      <c r="F105" s="3499"/>
      <c r="G105" s="3469"/>
      <c r="H105" s="3469"/>
    </row>
    <row r="106" spans="2:14">
      <c r="B106" s="3505"/>
      <c r="C106" s="3459"/>
      <c r="D106" s="3500"/>
      <c r="E106" s="3500"/>
      <c r="F106" s="3500"/>
      <c r="G106" s="3459"/>
      <c r="H106" s="3459"/>
    </row>
    <row r="107" spans="2:14">
      <c r="B107" s="1747" t="s">
        <v>91</v>
      </c>
      <c r="C107" s="1717">
        <v>1100340.1490045304</v>
      </c>
      <c r="D107" s="1717">
        <v>116341.83517037101</v>
      </c>
      <c r="E107" s="1717">
        <v>78474.038059600061</v>
      </c>
      <c r="F107" s="1717">
        <v>-5666.8175300000103</v>
      </c>
      <c r="G107" s="1717">
        <v>466005.05622609856</v>
      </c>
      <c r="H107" s="2475">
        <f>C107+D107+E107+F107+G107</f>
        <v>1755494.2609306001</v>
      </c>
      <c r="J107" s="396"/>
      <c r="K107" s="396"/>
      <c r="L107" s="396"/>
      <c r="M107" s="396"/>
      <c r="N107" s="396"/>
    </row>
    <row r="108" spans="2:14">
      <c r="B108" s="1747" t="s">
        <v>94</v>
      </c>
      <c r="C108" s="1717">
        <v>54257.182806179226</v>
      </c>
      <c r="D108" s="1717">
        <v>75879.930526373151</v>
      </c>
      <c r="E108" s="1717">
        <v>23506.305223905176</v>
      </c>
      <c r="F108" s="1717">
        <v>218.99222</v>
      </c>
      <c r="G108" s="1717">
        <v>72818.918655472429</v>
      </c>
      <c r="H108" s="2475">
        <f t="shared" ref="H108:H120" si="12">C108+D108+E108+F108+G108</f>
        <v>226681.32943192997</v>
      </c>
      <c r="J108" s="396"/>
      <c r="K108" s="396"/>
      <c r="L108" s="396"/>
      <c r="M108" s="396"/>
      <c r="N108" s="396"/>
    </row>
    <row r="109" spans="2:14">
      <c r="B109" s="1747" t="s">
        <v>97</v>
      </c>
      <c r="C109" s="1717">
        <v>1786559</v>
      </c>
      <c r="D109" s="1717">
        <v>284200</v>
      </c>
      <c r="E109" s="1717">
        <v>352704</v>
      </c>
      <c r="F109" s="1717">
        <v>138194</v>
      </c>
      <c r="G109" s="1717">
        <v>1106052</v>
      </c>
      <c r="H109" s="2475">
        <f t="shared" si="12"/>
        <v>3667709</v>
      </c>
      <c r="J109" s="396"/>
      <c r="K109" s="396"/>
      <c r="L109" s="396"/>
      <c r="M109" s="396"/>
      <c r="N109" s="396"/>
    </row>
    <row r="110" spans="2:14">
      <c r="B110" s="1747" t="s">
        <v>128</v>
      </c>
      <c r="C110" s="1717">
        <v>406222.50203000009</v>
      </c>
      <c r="D110" s="1717">
        <v>66197.458440000002</v>
      </c>
      <c r="E110" s="1717">
        <v>67279.574290000004</v>
      </c>
      <c r="F110" s="1717">
        <v>376214.25817000004</v>
      </c>
      <c r="G110" s="1717">
        <v>110008.01131999999</v>
      </c>
      <c r="H110" s="2475">
        <f t="shared" si="12"/>
        <v>1025921.80425</v>
      </c>
      <c r="J110" s="396"/>
      <c r="K110" s="396"/>
      <c r="L110" s="396"/>
      <c r="M110" s="396"/>
      <c r="N110" s="396"/>
    </row>
    <row r="111" spans="2:14">
      <c r="B111" s="1747" t="s">
        <v>101</v>
      </c>
      <c r="C111" s="1717">
        <v>75658.070000000007</v>
      </c>
      <c r="D111" s="1717">
        <v>2463.4</v>
      </c>
      <c r="E111" s="1717">
        <v>303234.53999999998</v>
      </c>
      <c r="F111" s="1786">
        <v>1383</v>
      </c>
      <c r="G111" s="1717">
        <v>117759.6</v>
      </c>
      <c r="H111" s="2475">
        <f t="shared" si="12"/>
        <v>500498.61</v>
      </c>
      <c r="J111" s="396"/>
      <c r="K111" s="396"/>
      <c r="L111" s="396"/>
      <c r="M111" s="396"/>
      <c r="N111" s="396"/>
    </row>
    <row r="112" spans="2:14">
      <c r="B112" s="1747" t="s">
        <v>102</v>
      </c>
      <c r="C112" s="1717">
        <v>807422.17568999995</v>
      </c>
      <c r="D112" s="1717">
        <v>202519.52444000001</v>
      </c>
      <c r="E112" s="1717">
        <v>2872700.4039599961</v>
      </c>
      <c r="F112" s="1717">
        <v>1250821.9014075715</v>
      </c>
      <c r="G112" s="1717">
        <v>79540.107582428449</v>
      </c>
      <c r="H112" s="2475">
        <f t="shared" si="12"/>
        <v>5213004.1130799958</v>
      </c>
      <c r="J112" s="396"/>
      <c r="K112" s="396"/>
      <c r="L112" s="396"/>
      <c r="M112" s="396"/>
      <c r="N112" s="396"/>
    </row>
    <row r="113" spans="2:14">
      <c r="B113" s="1747" t="s">
        <v>104</v>
      </c>
      <c r="C113" s="1717">
        <v>319601.06179000001</v>
      </c>
      <c r="D113" s="1717">
        <v>61817.614870000005</v>
      </c>
      <c r="E113" s="1717">
        <v>64596.428672698239</v>
      </c>
      <c r="F113" s="2396"/>
      <c r="G113" s="1717">
        <v>119220.19225000002</v>
      </c>
      <c r="H113" s="2475">
        <f t="shared" si="12"/>
        <v>565235.29758269829</v>
      </c>
      <c r="J113" s="396"/>
      <c r="K113" s="396"/>
      <c r="L113" s="396"/>
      <c r="M113" s="396"/>
      <c r="N113" s="396"/>
    </row>
    <row r="114" spans="2:14">
      <c r="B114" s="1747" t="s">
        <v>108</v>
      </c>
      <c r="C114" s="1717">
        <v>226076.634315437</v>
      </c>
      <c r="D114" s="1717">
        <v>5777.7636399999992</v>
      </c>
      <c r="E114" s="1717">
        <v>324652.72866000002</v>
      </c>
      <c r="F114" s="2396"/>
      <c r="G114" s="1717">
        <v>26303.266970000004</v>
      </c>
      <c r="H114" s="2475">
        <f t="shared" si="12"/>
        <v>582810.39358543698</v>
      </c>
      <c r="J114" s="396"/>
      <c r="K114" s="396"/>
      <c r="L114" s="396"/>
      <c r="M114" s="396"/>
      <c r="N114" s="396"/>
    </row>
    <row r="115" spans="2:14">
      <c r="B115" s="1747" t="s">
        <v>109</v>
      </c>
      <c r="C115" s="1717">
        <v>1025.1122700000001</v>
      </c>
      <c r="D115" s="1717">
        <v>82.231179999999995</v>
      </c>
      <c r="E115" s="1717">
        <v>8327.9713499999998</v>
      </c>
      <c r="F115" s="1733"/>
      <c r="G115" s="1717">
        <v>3414.8292499999998</v>
      </c>
      <c r="H115" s="2475">
        <f t="shared" si="12"/>
        <v>12850.144049999999</v>
      </c>
      <c r="J115" s="396"/>
      <c r="K115" s="396"/>
      <c r="L115" s="396"/>
      <c r="M115" s="396"/>
      <c r="N115" s="396"/>
    </row>
    <row r="116" spans="2:14">
      <c r="B116" s="1747" t="s">
        <v>110</v>
      </c>
      <c r="C116" s="2396"/>
      <c r="D116" s="2396"/>
      <c r="E116" s="1786">
        <v>8726.2292500000003</v>
      </c>
      <c r="F116" s="2396"/>
      <c r="G116" s="1717">
        <v>1461188.57914</v>
      </c>
      <c r="H116" s="2475">
        <f t="shared" si="12"/>
        <v>1469914.8083900001</v>
      </c>
      <c r="J116" s="396"/>
      <c r="K116" s="396"/>
      <c r="L116" s="396"/>
      <c r="M116" s="396"/>
      <c r="N116" s="396"/>
    </row>
    <row r="117" spans="2:14">
      <c r="B117" s="1747" t="s">
        <v>111</v>
      </c>
      <c r="C117" s="1717">
        <v>58867.822968708097</v>
      </c>
      <c r="D117" s="1717">
        <v>15723.7564419313</v>
      </c>
      <c r="E117" s="1717">
        <v>32956.013617913501</v>
      </c>
      <c r="F117" s="2396"/>
      <c r="G117" s="1717">
        <v>34536.434479492702</v>
      </c>
      <c r="H117" s="2475">
        <f t="shared" si="12"/>
        <v>142084.0275080456</v>
      </c>
      <c r="J117" s="396"/>
      <c r="K117" s="396"/>
      <c r="L117" s="396"/>
      <c r="M117" s="396"/>
      <c r="N117" s="396"/>
    </row>
    <row r="118" spans="2:14">
      <c r="B118" s="1747" t="s">
        <v>112</v>
      </c>
      <c r="C118" s="1717">
        <v>143634.87952999989</v>
      </c>
      <c r="D118" s="1717">
        <v>7214.48524</v>
      </c>
      <c r="E118" s="1717">
        <v>32786</v>
      </c>
      <c r="F118" s="2396"/>
      <c r="G118" s="1717">
        <v>61098.541729999997</v>
      </c>
      <c r="H118" s="2475">
        <f t="shared" si="12"/>
        <v>244733.9064999999</v>
      </c>
      <c r="J118" s="396"/>
      <c r="K118" s="396"/>
      <c r="L118" s="396"/>
      <c r="M118" s="396"/>
      <c r="N118" s="396"/>
    </row>
    <row r="119" spans="2:14">
      <c r="B119" s="1747" t="s">
        <v>135</v>
      </c>
      <c r="C119" s="1717">
        <v>3492.5820000000003</v>
      </c>
      <c r="D119" s="2396"/>
      <c r="E119" s="1717">
        <v>12827.668000000001</v>
      </c>
      <c r="F119" s="1717">
        <v>1786.31268</v>
      </c>
      <c r="G119" s="1717">
        <v>35096.764920000001</v>
      </c>
      <c r="H119" s="2475">
        <f t="shared" si="12"/>
        <v>53203.327600000004</v>
      </c>
      <c r="J119" s="396"/>
      <c r="K119" s="396"/>
      <c r="L119" s="396"/>
      <c r="M119" s="396"/>
      <c r="N119" s="396"/>
    </row>
    <row r="120" spans="2:14">
      <c r="B120" s="1747" t="s">
        <v>115</v>
      </c>
      <c r="C120" s="1717">
        <v>1120451.74832</v>
      </c>
      <c r="D120" s="1717">
        <v>361851.33521000005</v>
      </c>
      <c r="E120" s="1717">
        <v>113679.17516000001</v>
      </c>
      <c r="F120" s="1717">
        <v>8138.9606000000003</v>
      </c>
      <c r="G120" s="1717">
        <v>769851.25094000006</v>
      </c>
      <c r="H120" s="2475">
        <f t="shared" si="12"/>
        <v>2373972.4702300001</v>
      </c>
      <c r="J120" s="396"/>
      <c r="K120" s="396"/>
      <c r="L120" s="396"/>
      <c r="M120" s="396"/>
      <c r="N120" s="396"/>
    </row>
    <row r="121" spans="2:14">
      <c r="B121" s="2436" t="s">
        <v>544</v>
      </c>
      <c r="C121" s="2441">
        <f t="shared" ref="C121:H121" si="13">SUM(C107:C120)</f>
        <v>6103608.9207248548</v>
      </c>
      <c r="D121" s="2441">
        <f t="shared" si="13"/>
        <v>1200069.3351586754</v>
      </c>
      <c r="E121" s="2441">
        <f t="shared" si="13"/>
        <v>4296451.076244113</v>
      </c>
      <c r="F121" s="2441">
        <f t="shared" si="13"/>
        <v>1771090.6075475716</v>
      </c>
      <c r="G121" s="2441">
        <f t="shared" si="13"/>
        <v>4462893.5534634925</v>
      </c>
      <c r="H121" s="2441">
        <f t="shared" si="13"/>
        <v>17834113.493138712</v>
      </c>
      <c r="J121" s="396"/>
      <c r="K121" s="396"/>
      <c r="L121" s="396"/>
      <c r="M121" s="396"/>
      <c r="N121" s="396"/>
    </row>
    <row r="122" spans="2:14">
      <c r="B122" s="2436" t="s">
        <v>422</v>
      </c>
      <c r="C122" s="2401"/>
      <c r="D122" s="2401"/>
      <c r="E122" s="2401"/>
      <c r="F122" s="2401"/>
      <c r="G122" s="2401"/>
      <c r="H122" s="2470">
        <v>81656.25</v>
      </c>
      <c r="J122" s="396"/>
      <c r="K122" s="396"/>
      <c r="L122" s="396"/>
      <c r="M122" s="396"/>
      <c r="N122" s="396"/>
    </row>
    <row r="123" spans="2:14">
      <c r="B123" s="2436" t="s">
        <v>118</v>
      </c>
      <c r="C123" s="2441">
        <f t="shared" ref="C123:H123" si="14">C121+C122</f>
        <v>6103608.9207248548</v>
      </c>
      <c r="D123" s="2441">
        <f t="shared" si="14"/>
        <v>1200069.3351586754</v>
      </c>
      <c r="E123" s="2441">
        <f t="shared" si="14"/>
        <v>4296451.076244113</v>
      </c>
      <c r="F123" s="2441">
        <f t="shared" si="14"/>
        <v>1771090.6075475716</v>
      </c>
      <c r="G123" s="2441">
        <f t="shared" si="14"/>
        <v>4462893.5534634925</v>
      </c>
      <c r="H123" s="2441">
        <f t="shared" si="14"/>
        <v>17915769.743138712</v>
      </c>
      <c r="J123" s="396"/>
      <c r="K123" s="396"/>
      <c r="L123" s="396"/>
      <c r="M123" s="396"/>
      <c r="N123" s="396"/>
    </row>
    <row r="124" spans="2:14">
      <c r="B124" s="295"/>
      <c r="C124" s="295"/>
      <c r="D124" s="295"/>
      <c r="E124" s="295"/>
      <c r="F124" s="295"/>
      <c r="G124" s="295"/>
      <c r="H124" s="295"/>
      <c r="J124" s="396"/>
      <c r="K124" s="396"/>
      <c r="L124" s="396"/>
      <c r="M124" s="396"/>
      <c r="N124" s="396"/>
    </row>
    <row r="125" spans="2:14">
      <c r="B125" s="295"/>
      <c r="C125" s="295"/>
      <c r="D125" s="295"/>
      <c r="E125" s="295"/>
      <c r="F125" s="295"/>
      <c r="G125" s="295"/>
      <c r="H125" s="292">
        <v>168</v>
      </c>
      <c r="J125" s="396"/>
      <c r="K125" s="396"/>
      <c r="L125" s="396"/>
      <c r="M125" s="396"/>
      <c r="N125" s="396"/>
    </row>
    <row r="126" spans="2:14">
      <c r="J126" s="396"/>
      <c r="K126" s="396"/>
      <c r="L126" s="396"/>
      <c r="M126" s="396"/>
      <c r="N126" s="396"/>
    </row>
    <row r="127" spans="2:14" ht="14.45">
      <c r="B127"/>
      <c r="C127"/>
      <c r="D127"/>
      <c r="E127"/>
      <c r="F127"/>
      <c r="G127"/>
      <c r="H127"/>
      <c r="I127"/>
      <c r="J127" s="396"/>
      <c r="K127" s="396"/>
      <c r="L127" s="396"/>
      <c r="M127" s="396"/>
      <c r="N127" s="396"/>
    </row>
    <row r="128" spans="2:14" ht="14.45">
      <c r="B128"/>
      <c r="C128"/>
      <c r="D128"/>
      <c r="E128"/>
      <c r="F128"/>
      <c r="G128"/>
      <c r="H128"/>
      <c r="I128"/>
      <c r="J128" s="396"/>
      <c r="K128" s="396"/>
      <c r="L128" s="396"/>
      <c r="M128" s="396"/>
      <c r="N128" s="396"/>
    </row>
    <row r="129" spans="2:14" ht="14.45">
      <c r="B129"/>
      <c r="C129"/>
      <c r="D129"/>
      <c r="E129"/>
      <c r="F129"/>
      <c r="G129"/>
      <c r="H129"/>
      <c r="I129"/>
      <c r="J129" s="396"/>
      <c r="K129" s="396"/>
      <c r="L129" s="396"/>
      <c r="M129" s="396"/>
      <c r="N129" s="396"/>
    </row>
    <row r="130" spans="2:14" ht="14.45">
      <c r="B130"/>
      <c r="C130"/>
      <c r="D130"/>
      <c r="E130"/>
      <c r="F130"/>
      <c r="G130"/>
      <c r="H130"/>
      <c r="I130"/>
      <c r="J130" s="396"/>
      <c r="K130" s="396"/>
      <c r="L130" s="396"/>
      <c r="M130" s="396"/>
      <c r="N130" s="396"/>
    </row>
    <row r="131" spans="2:14" ht="14.45">
      <c r="B131"/>
      <c r="C131"/>
      <c r="D131"/>
      <c r="E131"/>
      <c r="F131"/>
      <c r="G131"/>
      <c r="H131"/>
      <c r="I131"/>
      <c r="J131" s="396"/>
      <c r="K131" s="396"/>
      <c r="L131" s="396"/>
      <c r="M131" s="396"/>
      <c r="N131" s="396"/>
    </row>
    <row r="132" spans="2:14" ht="14.45">
      <c r="B132"/>
      <c r="C132"/>
      <c r="D132"/>
      <c r="E132"/>
      <c r="F132"/>
      <c r="G132"/>
      <c r="H132"/>
      <c r="I132"/>
      <c r="J132" s="396"/>
      <c r="K132" s="396"/>
      <c r="L132" s="396"/>
      <c r="M132" s="396"/>
      <c r="N132" s="396"/>
    </row>
    <row r="133" spans="2:14" ht="14.45">
      <c r="B133"/>
      <c r="C133"/>
      <c r="D133"/>
      <c r="E133"/>
      <c r="F133"/>
      <c r="G133"/>
      <c r="H133"/>
      <c r="I133"/>
      <c r="J133" s="396"/>
      <c r="K133" s="396"/>
      <c r="L133" s="396"/>
      <c r="M133" s="396"/>
      <c r="N133" s="396"/>
    </row>
    <row r="134" spans="2:14" ht="14.45">
      <c r="B134"/>
      <c r="C134"/>
      <c r="D134"/>
      <c r="E134"/>
      <c r="F134"/>
      <c r="G134"/>
      <c r="H134"/>
      <c r="I134"/>
      <c r="J134" s="396"/>
      <c r="K134" s="396"/>
      <c r="L134" s="396"/>
      <c r="M134" s="396"/>
      <c r="N134" s="396"/>
    </row>
    <row r="135" spans="2:14" ht="14.45">
      <c r="B135"/>
      <c r="C135"/>
      <c r="D135"/>
      <c r="E135"/>
      <c r="F135"/>
      <c r="G135"/>
      <c r="H135"/>
      <c r="I135"/>
      <c r="J135" s="396"/>
      <c r="K135" s="396"/>
      <c r="L135" s="396"/>
      <c r="M135" s="396"/>
      <c r="N135" s="396"/>
    </row>
    <row r="136" spans="2:14" ht="14.45">
      <c r="B136"/>
      <c r="C136"/>
      <c r="D136"/>
      <c r="E136"/>
      <c r="F136"/>
      <c r="G136"/>
      <c r="H136"/>
      <c r="I136"/>
      <c r="J136" s="396"/>
      <c r="K136" s="396"/>
      <c r="L136" s="396"/>
      <c r="M136" s="396"/>
      <c r="N136" s="396"/>
    </row>
    <row r="137" spans="2:14" ht="14.45">
      <c r="B137"/>
      <c r="C137"/>
      <c r="D137"/>
      <c r="E137"/>
      <c r="F137"/>
      <c r="G137"/>
      <c r="H137"/>
      <c r="I137"/>
      <c r="J137" s="396"/>
      <c r="K137" s="396"/>
      <c r="L137" s="396"/>
      <c r="M137" s="396"/>
      <c r="N137" s="396"/>
    </row>
    <row r="138" spans="2:14" ht="14.45">
      <c r="B138"/>
      <c r="C138"/>
      <c r="D138"/>
      <c r="E138"/>
      <c r="F138"/>
      <c r="G138"/>
      <c r="H138"/>
      <c r="I138"/>
      <c r="J138" s="396"/>
      <c r="K138" s="396"/>
      <c r="L138" s="396"/>
      <c r="M138" s="396"/>
      <c r="N138" s="396"/>
    </row>
    <row r="139" spans="2:14" ht="14.45">
      <c r="B139"/>
      <c r="C139"/>
      <c r="D139"/>
      <c r="E139"/>
      <c r="F139"/>
      <c r="G139"/>
      <c r="H139"/>
      <c r="I139"/>
      <c r="J139" s="396"/>
      <c r="K139" s="396"/>
      <c r="L139" s="396"/>
      <c r="M139" s="396"/>
      <c r="N139" s="396"/>
    </row>
    <row r="140" spans="2:14" ht="14.45">
      <c r="B140"/>
      <c r="C140"/>
      <c r="D140"/>
      <c r="E140"/>
      <c r="F140"/>
      <c r="G140"/>
      <c r="H140"/>
      <c r="I140"/>
      <c r="J140" s="396"/>
      <c r="K140" s="396"/>
      <c r="L140" s="396"/>
      <c r="M140" s="396"/>
      <c r="N140" s="396"/>
    </row>
    <row r="141" spans="2:14" ht="14.45">
      <c r="B141"/>
      <c r="C141"/>
      <c r="D141"/>
      <c r="E141"/>
      <c r="F141"/>
      <c r="G141"/>
      <c r="H141"/>
      <c r="I141"/>
      <c r="J141" s="396"/>
      <c r="K141" s="396"/>
      <c r="L141" s="396"/>
      <c r="M141" s="396"/>
      <c r="N141" s="396"/>
    </row>
    <row r="142" spans="2:14" ht="14.45">
      <c r="B142"/>
      <c r="C142"/>
      <c r="D142"/>
      <c r="E142"/>
      <c r="F142"/>
      <c r="G142"/>
      <c r="H142"/>
      <c r="I142"/>
      <c r="J142" s="396"/>
      <c r="K142" s="396"/>
      <c r="L142" s="396"/>
      <c r="M142" s="396"/>
      <c r="N142" s="396"/>
    </row>
    <row r="143" spans="2:14" ht="14.45">
      <c r="B143"/>
      <c r="C143"/>
      <c r="D143"/>
      <c r="E143"/>
      <c r="F143"/>
      <c r="G143"/>
      <c r="H143"/>
      <c r="I143"/>
      <c r="J143" s="396"/>
      <c r="K143" s="396"/>
      <c r="L143" s="396"/>
      <c r="M143" s="396"/>
      <c r="N143" s="396"/>
    </row>
    <row r="144" spans="2:14" ht="14.45">
      <c r="B144"/>
      <c r="C144"/>
      <c r="D144"/>
      <c r="E144"/>
      <c r="F144"/>
      <c r="G144"/>
      <c r="H144"/>
      <c r="I144"/>
      <c r="J144" s="396"/>
      <c r="K144" s="396"/>
      <c r="L144" s="396"/>
      <c r="M144" s="396"/>
      <c r="N144" s="396"/>
    </row>
    <row r="145" spans="1:24" ht="14.45">
      <c r="B145"/>
      <c r="C145"/>
      <c r="D145"/>
      <c r="E145"/>
      <c r="F145"/>
      <c r="G145"/>
      <c r="H145"/>
      <c r="I145"/>
      <c r="J145" s="396"/>
      <c r="K145" s="396"/>
      <c r="L145" s="396"/>
      <c r="M145" s="396"/>
      <c r="N145" s="396"/>
    </row>
    <row r="146" spans="1:24" ht="14.45">
      <c r="B146"/>
      <c r="C146"/>
      <c r="D146"/>
      <c r="E146"/>
      <c r="F146"/>
      <c r="G146"/>
      <c r="H146"/>
      <c r="I146"/>
      <c r="J146" s="396"/>
      <c r="K146" s="396"/>
      <c r="L146" s="396"/>
      <c r="M146" s="396"/>
      <c r="N146" s="396"/>
    </row>
    <row r="147" spans="1:24" ht="14.45">
      <c r="B147"/>
      <c r="C147"/>
      <c r="D147"/>
      <c r="E147"/>
      <c r="F147"/>
      <c r="G147"/>
      <c r="H147"/>
      <c r="I147"/>
      <c r="J147" s="396"/>
      <c r="K147" s="396"/>
      <c r="L147" s="396"/>
      <c r="M147" s="396"/>
      <c r="N147" s="396"/>
    </row>
    <row r="148" spans="1:24" ht="14.45">
      <c r="B148"/>
      <c r="C148"/>
      <c r="D148"/>
      <c r="E148"/>
      <c r="F148"/>
      <c r="G148"/>
      <c r="H148"/>
      <c r="I148"/>
      <c r="J148" s="396"/>
      <c r="K148" s="396"/>
      <c r="L148" s="396"/>
      <c r="M148" s="396"/>
      <c r="N148" s="396"/>
    </row>
    <row r="149" spans="1:24" ht="14.45">
      <c r="B149"/>
      <c r="C149"/>
      <c r="D149"/>
      <c r="E149"/>
      <c r="F149"/>
      <c r="G149"/>
      <c r="H149"/>
      <c r="I149"/>
      <c r="J149" s="396"/>
      <c r="K149" s="396"/>
      <c r="L149" s="396"/>
      <c r="M149" s="396"/>
      <c r="N149" s="396"/>
    </row>
    <row r="150" spans="1:24" ht="14.45">
      <c r="B150"/>
      <c r="C150"/>
      <c r="D150"/>
      <c r="E150"/>
      <c r="F150"/>
      <c r="G150"/>
      <c r="H150"/>
      <c r="I150"/>
      <c r="J150" s="396"/>
      <c r="K150" s="396"/>
      <c r="L150" s="396"/>
      <c r="M150" s="396"/>
      <c r="N150" s="396"/>
    </row>
    <row r="151" spans="1:24" ht="14.45">
      <c r="B151"/>
      <c r="C151"/>
      <c r="D151"/>
      <c r="E151"/>
      <c r="F151"/>
      <c r="G151"/>
      <c r="H151"/>
      <c r="I151"/>
      <c r="J151" s="396"/>
      <c r="K151" s="396"/>
      <c r="L151" s="396"/>
      <c r="M151" s="396"/>
      <c r="N151" s="396"/>
    </row>
    <row r="152" spans="1:24" ht="14.45">
      <c r="B152"/>
      <c r="C152"/>
      <c r="D152"/>
      <c r="E152"/>
      <c r="F152"/>
      <c r="G152"/>
      <c r="H152"/>
      <c r="I152"/>
      <c r="J152" s="396"/>
      <c r="K152" s="396"/>
      <c r="L152" s="396"/>
      <c r="M152" s="396"/>
      <c r="N152" s="396"/>
    </row>
    <row r="153" spans="1:24" ht="14.45">
      <c r="A153" s="39"/>
      <c r="C153" s="39"/>
      <c r="D153" s="39"/>
      <c r="E153" s="39"/>
      <c r="F153" s="39"/>
      <c r="G153" s="39"/>
      <c r="H153" s="39"/>
      <c r="J153" s="396"/>
      <c r="K153" s="396"/>
      <c r="L153" s="396"/>
      <c r="M153" s="396"/>
      <c r="N153" s="396"/>
    </row>
    <row r="154" spans="1:24" ht="14.45">
      <c r="A154" s="39"/>
      <c r="B154" s="39"/>
      <c r="C154" s="39"/>
      <c r="D154" s="39"/>
      <c r="E154" s="39"/>
      <c r="F154" s="39"/>
      <c r="G154" s="39"/>
      <c r="H154" s="39"/>
      <c r="J154" s="396"/>
      <c r="K154" s="396"/>
      <c r="L154" s="396"/>
      <c r="M154" s="396"/>
      <c r="N154" s="396"/>
    </row>
    <row r="155" spans="1:24" ht="14.45">
      <c r="A155" s="39"/>
      <c r="B155" s="39"/>
      <c r="C155" s="39"/>
      <c r="D155" s="39"/>
      <c r="E155" s="39"/>
      <c r="F155" s="39"/>
      <c r="G155" s="39"/>
      <c r="H155" s="39"/>
      <c r="J155" s="396"/>
      <c r="K155" s="396"/>
      <c r="L155" s="396"/>
      <c r="M155" s="396"/>
      <c r="W155" s="385"/>
      <c r="X155" s="292"/>
    </row>
    <row r="156" spans="1:24" ht="14.45">
      <c r="A156" s="39"/>
      <c r="B156" s="39"/>
      <c r="C156" s="39"/>
      <c r="D156" s="39"/>
      <c r="E156" s="39"/>
      <c r="F156" s="39"/>
      <c r="G156" s="39"/>
      <c r="H156" s="39"/>
      <c r="J156" s="396"/>
      <c r="K156" s="396"/>
      <c r="L156" s="396"/>
      <c r="M156" s="396"/>
      <c r="W156" s="385"/>
      <c r="X156" s="292"/>
    </row>
    <row r="157" spans="1:24" ht="14.45">
      <c r="A157" s="39"/>
      <c r="B157" s="39"/>
      <c r="C157" s="39"/>
      <c r="D157" s="39"/>
      <c r="E157" s="39"/>
      <c r="F157" s="39"/>
      <c r="G157" s="39"/>
      <c r="H157" s="39"/>
      <c r="J157" s="396"/>
      <c r="K157" s="396"/>
      <c r="L157" s="396"/>
      <c r="M157" s="396"/>
      <c r="W157" s="385"/>
      <c r="X157" s="292"/>
    </row>
    <row r="158" spans="1:24" ht="14.45">
      <c r="A158" s="39"/>
      <c r="B158" s="39"/>
      <c r="C158" s="39"/>
      <c r="D158" s="39"/>
      <c r="E158" s="39"/>
      <c r="F158" s="39"/>
      <c r="G158" s="39"/>
      <c r="H158" s="39"/>
      <c r="J158" s="396"/>
      <c r="K158" s="396"/>
      <c r="L158" s="396"/>
      <c r="M158" s="396"/>
      <c r="W158" s="385"/>
      <c r="X158" s="292"/>
    </row>
    <row r="159" spans="1:24" ht="14.45">
      <c r="A159" s="39"/>
      <c r="B159" s="39"/>
      <c r="C159" s="39"/>
      <c r="D159" s="39"/>
      <c r="E159" s="39"/>
      <c r="F159" s="39"/>
      <c r="G159" s="39"/>
      <c r="H159" s="39"/>
      <c r="J159" s="396"/>
      <c r="K159" s="396"/>
      <c r="L159" s="396"/>
      <c r="M159" s="396"/>
      <c r="W159" s="385"/>
      <c r="X159" s="292"/>
    </row>
    <row r="160" spans="1:24" ht="14.45">
      <c r="A160" s="39"/>
      <c r="B160" s="39"/>
      <c r="C160" s="39"/>
      <c r="D160" s="39"/>
      <c r="E160" s="39"/>
      <c r="F160" s="39"/>
      <c r="G160" s="39"/>
      <c r="H160" s="39"/>
      <c r="J160" s="396"/>
      <c r="K160" s="396"/>
      <c r="L160" s="396"/>
      <c r="M160" s="396"/>
      <c r="W160" s="385"/>
      <c r="X160" s="292"/>
    </row>
    <row r="161" spans="1:24" ht="14.45">
      <c r="A161" s="39"/>
      <c r="B161" s="39"/>
      <c r="C161" s="39"/>
      <c r="D161" s="39"/>
      <c r="E161" s="39"/>
      <c r="F161" s="39"/>
      <c r="G161" s="39"/>
      <c r="H161" s="39"/>
      <c r="J161" s="396"/>
      <c r="K161" s="396"/>
      <c r="L161" s="396"/>
      <c r="M161" s="396"/>
      <c r="W161" s="385"/>
      <c r="X161" s="292"/>
    </row>
    <row r="162" spans="1:24" ht="14.45">
      <c r="A162" s="39"/>
      <c r="B162" s="39"/>
      <c r="C162" s="39"/>
      <c r="D162" s="39"/>
      <c r="E162" s="39"/>
      <c r="F162" s="39"/>
      <c r="G162" s="39"/>
      <c r="H162" s="39"/>
      <c r="J162" s="396"/>
      <c r="K162" s="396"/>
      <c r="L162" s="396"/>
      <c r="M162" s="396"/>
      <c r="W162" s="385"/>
      <c r="X162" s="292"/>
    </row>
    <row r="163" spans="1:24" ht="14.45">
      <c r="A163" s="39"/>
      <c r="B163" s="39"/>
      <c r="C163" s="39"/>
      <c r="D163" s="39"/>
      <c r="E163" s="39"/>
      <c r="F163" s="39"/>
      <c r="G163" s="39"/>
      <c r="H163" s="39"/>
      <c r="J163" s="396"/>
      <c r="K163" s="396"/>
      <c r="L163" s="396"/>
      <c r="M163" s="396"/>
      <c r="W163" s="385"/>
      <c r="X163" s="292"/>
    </row>
    <row r="164" spans="1:24" ht="14.45">
      <c r="A164" s="39"/>
      <c r="B164" s="39"/>
      <c r="C164" s="39"/>
      <c r="D164" s="39"/>
      <c r="E164" s="39"/>
      <c r="F164" s="39"/>
      <c r="G164" s="39"/>
      <c r="H164" s="39"/>
      <c r="J164" s="396"/>
      <c r="K164" s="396"/>
      <c r="L164" s="396"/>
      <c r="M164" s="396"/>
      <c r="W164" s="385"/>
      <c r="X164" s="292"/>
    </row>
    <row r="165" spans="1:24" ht="14.45">
      <c r="A165" s="39"/>
      <c r="B165" s="39"/>
      <c r="C165" s="39"/>
      <c r="D165" s="39"/>
      <c r="E165" s="39"/>
      <c r="F165" s="39"/>
      <c r="G165" s="39"/>
      <c r="H165" s="39"/>
      <c r="J165" s="396"/>
      <c r="K165" s="396"/>
      <c r="L165" s="396"/>
      <c r="M165" s="396"/>
      <c r="W165" s="385"/>
      <c r="X165" s="292"/>
    </row>
    <row r="166" spans="1:24" ht="14.45">
      <c r="A166" s="39"/>
      <c r="B166" s="39"/>
      <c r="C166" s="39"/>
      <c r="D166" s="39"/>
      <c r="E166" s="39"/>
      <c r="F166" s="39"/>
      <c r="G166" s="39"/>
      <c r="H166" s="39"/>
      <c r="J166" s="396"/>
      <c r="K166" s="396"/>
      <c r="L166" s="396"/>
      <c r="M166" s="396"/>
      <c r="W166" s="385"/>
      <c r="X166" s="292"/>
    </row>
    <row r="167" spans="1:24" ht="14.45">
      <c r="A167" s="39"/>
      <c r="B167" s="39"/>
      <c r="C167" s="39"/>
      <c r="D167" s="39"/>
      <c r="E167" s="39"/>
      <c r="F167" s="39"/>
      <c r="G167" s="39"/>
      <c r="H167" s="39"/>
      <c r="J167" s="396"/>
      <c r="K167" s="396"/>
      <c r="L167" s="396"/>
      <c r="M167" s="396"/>
      <c r="W167" s="385"/>
      <c r="X167" s="292"/>
    </row>
    <row r="168" spans="1:24" ht="14.45">
      <c r="A168" s="39"/>
      <c r="B168" s="39"/>
      <c r="C168" s="39"/>
      <c r="D168" s="39"/>
      <c r="E168" s="39"/>
      <c r="F168" s="39"/>
      <c r="G168" s="39"/>
      <c r="H168" s="39"/>
      <c r="J168" s="396"/>
      <c r="K168" s="396"/>
      <c r="L168" s="396"/>
      <c r="M168" s="396"/>
      <c r="W168" s="385"/>
      <c r="X168" s="292"/>
    </row>
    <row r="169" spans="1:24" ht="14.45">
      <c r="A169" s="39"/>
      <c r="B169" s="39"/>
      <c r="C169" s="39"/>
      <c r="D169" s="39"/>
      <c r="E169" s="39"/>
      <c r="F169" s="39"/>
      <c r="G169" s="39"/>
      <c r="H169" s="39"/>
      <c r="J169" s="396"/>
      <c r="K169" s="396"/>
      <c r="L169" s="396"/>
      <c r="M169" s="396"/>
      <c r="W169" s="385"/>
      <c r="X169" s="292"/>
    </row>
    <row r="170" spans="1:24" ht="14.45">
      <c r="A170" s="39"/>
      <c r="B170" s="39"/>
      <c r="C170" s="39"/>
      <c r="D170" s="39"/>
      <c r="E170" s="39"/>
      <c r="F170" s="39"/>
      <c r="G170" s="39"/>
      <c r="H170" s="39"/>
      <c r="J170" s="396"/>
      <c r="K170" s="396"/>
      <c r="L170" s="396"/>
      <c r="M170" s="396"/>
      <c r="W170" s="385"/>
      <c r="X170" s="292"/>
    </row>
    <row r="171" spans="1:24" ht="14.45">
      <c r="A171" s="39"/>
      <c r="B171" s="39"/>
      <c r="C171" s="39"/>
      <c r="D171" s="39"/>
      <c r="E171" s="39"/>
      <c r="F171" s="39"/>
      <c r="G171" s="39"/>
      <c r="H171" s="39"/>
      <c r="J171" s="396"/>
      <c r="K171" s="396"/>
      <c r="L171" s="396"/>
      <c r="M171" s="396"/>
      <c r="W171" s="385"/>
      <c r="X171" s="292"/>
    </row>
    <row r="172" spans="1:24" ht="14.45">
      <c r="A172" s="39"/>
      <c r="B172" s="39"/>
      <c r="C172" s="39"/>
      <c r="D172" s="39"/>
      <c r="E172" s="39"/>
      <c r="F172" s="39"/>
      <c r="G172" s="39"/>
      <c r="H172" s="39"/>
      <c r="J172" s="396"/>
      <c r="K172" s="396"/>
      <c r="L172" s="396"/>
      <c r="M172" s="396"/>
      <c r="W172" s="385"/>
      <c r="X172" s="292"/>
    </row>
    <row r="173" spans="1:24" ht="14.45">
      <c r="A173" s="39"/>
      <c r="B173" s="39"/>
      <c r="C173" s="39"/>
      <c r="D173" s="39"/>
      <c r="E173" s="39"/>
      <c r="F173" s="39"/>
      <c r="G173" s="39"/>
      <c r="H173" s="39"/>
      <c r="J173" s="396"/>
      <c r="K173" s="396"/>
      <c r="L173" s="396"/>
      <c r="M173" s="396"/>
      <c r="W173" s="385"/>
      <c r="X173" s="292"/>
    </row>
    <row r="174" spans="1:24" ht="14.45">
      <c r="A174" s="39"/>
      <c r="B174" s="39"/>
      <c r="C174" s="39"/>
      <c r="D174" s="39"/>
      <c r="E174" s="39"/>
      <c r="F174" s="39"/>
      <c r="G174" s="39"/>
      <c r="H174" s="39"/>
      <c r="J174" s="396"/>
      <c r="K174" s="396"/>
      <c r="L174" s="396"/>
      <c r="M174" s="396"/>
      <c r="W174" s="385"/>
      <c r="X174" s="292"/>
    </row>
    <row r="175" spans="1:24" ht="14.45">
      <c r="A175" s="39"/>
      <c r="B175" s="39"/>
      <c r="C175" s="39"/>
      <c r="D175" s="39"/>
      <c r="E175" s="39"/>
      <c r="F175" s="39"/>
      <c r="G175" s="39"/>
      <c r="H175" s="39"/>
      <c r="J175" s="396"/>
      <c r="K175" s="396"/>
      <c r="L175" s="396"/>
      <c r="M175" s="396"/>
      <c r="W175" s="385"/>
      <c r="X175" s="292"/>
    </row>
    <row r="176" spans="1:24">
      <c r="J176" s="396"/>
      <c r="K176" s="396"/>
      <c r="L176" s="396"/>
      <c r="M176" s="396"/>
      <c r="N176" s="396"/>
    </row>
    <row r="177" spans="2:14">
      <c r="J177" s="396"/>
      <c r="K177" s="396"/>
      <c r="L177" s="396"/>
      <c r="M177" s="396"/>
      <c r="N177" s="396"/>
    </row>
    <row r="178" spans="2:14">
      <c r="B178" s="218"/>
      <c r="C178" s="383"/>
      <c r="D178" s="383"/>
      <c r="E178" s="383"/>
      <c r="F178" s="383"/>
      <c r="G178" s="383"/>
      <c r="H178" s="383"/>
    </row>
    <row r="179" spans="2:14">
      <c r="B179" s="471"/>
      <c r="C179" s="383"/>
      <c r="D179" s="383"/>
      <c r="E179" s="383"/>
      <c r="F179" s="383"/>
      <c r="G179" s="383"/>
      <c r="H179" s="383"/>
    </row>
    <row r="180" spans="2:14">
      <c r="B180" s="218"/>
      <c r="C180" s="383"/>
      <c r="D180" s="383"/>
      <c r="E180" s="383"/>
      <c r="F180" s="383"/>
      <c r="G180" s="383"/>
      <c r="H180" s="383"/>
    </row>
    <row r="181" spans="2:14">
      <c r="B181" s="218"/>
      <c r="C181" s="383"/>
      <c r="D181" s="383"/>
      <c r="E181" s="383"/>
      <c r="F181" s="383"/>
      <c r="G181" s="383"/>
      <c r="H181" s="383"/>
    </row>
    <row r="182" spans="2:14">
      <c r="B182" s="218"/>
      <c r="C182" s="383"/>
      <c r="D182" s="383"/>
      <c r="E182" s="383"/>
      <c r="F182" s="383"/>
      <c r="G182" s="383"/>
      <c r="H182" s="383"/>
    </row>
    <row r="183" spans="2:14">
      <c r="B183" s="218"/>
      <c r="C183" s="383"/>
      <c r="D183" s="383"/>
      <c r="E183" s="383"/>
      <c r="F183" s="383"/>
      <c r="G183" s="383"/>
      <c r="H183" s="383"/>
    </row>
    <row r="184" spans="2:14">
      <c r="B184" s="218"/>
      <c r="C184" s="383"/>
      <c r="D184" s="383"/>
      <c r="E184" s="383"/>
      <c r="F184" s="383"/>
      <c r="G184" s="383"/>
      <c r="H184" s="383"/>
    </row>
    <row r="185" spans="2:14">
      <c r="B185" s="218"/>
      <c r="C185" s="383"/>
      <c r="D185" s="383"/>
      <c r="E185" s="383"/>
      <c r="F185" s="383"/>
      <c r="G185" s="383"/>
      <c r="H185" s="383"/>
    </row>
    <row r="186" spans="2:14">
      <c r="B186" s="218"/>
      <c r="C186" s="383"/>
      <c r="D186" s="383"/>
      <c r="E186" s="383"/>
      <c r="F186" s="383"/>
      <c r="G186" s="383"/>
      <c r="H186" s="383"/>
    </row>
    <row r="187" spans="2:14">
      <c r="B187" s="218"/>
      <c r="C187" s="383"/>
      <c r="D187" s="383"/>
      <c r="E187" s="383"/>
      <c r="F187" s="383"/>
      <c r="G187" s="383"/>
      <c r="H187" s="383"/>
    </row>
    <row r="188" spans="2:14">
      <c r="B188" s="218"/>
      <c r="C188" s="383"/>
      <c r="D188" s="383"/>
      <c r="E188" s="383"/>
      <c r="F188" s="383"/>
      <c r="G188" s="383"/>
      <c r="H188" s="383"/>
    </row>
    <row r="189" spans="2:14">
      <c r="B189" s="218"/>
      <c r="C189" s="383"/>
      <c r="D189" s="383"/>
      <c r="E189" s="383"/>
      <c r="F189" s="383"/>
      <c r="G189" s="383"/>
      <c r="H189" s="383"/>
    </row>
    <row r="190" spans="2:14">
      <c r="B190" s="218"/>
      <c r="C190" s="383"/>
      <c r="D190" s="383"/>
      <c r="E190" s="383"/>
      <c r="F190" s="383"/>
      <c r="G190" s="383"/>
      <c r="H190" s="383"/>
    </row>
    <row r="191" spans="2:14">
      <c r="B191" s="218"/>
      <c r="C191" s="383"/>
      <c r="D191" s="383"/>
      <c r="E191" s="383"/>
      <c r="F191" s="383"/>
      <c r="G191" s="383"/>
      <c r="H191" s="383"/>
    </row>
    <row r="192" spans="2:14">
      <c r="B192" s="218"/>
      <c r="C192" s="383"/>
      <c r="D192" s="383"/>
      <c r="E192" s="383"/>
      <c r="F192" s="383"/>
      <c r="G192" s="383"/>
      <c r="H192" s="383"/>
    </row>
    <row r="193" spans="2:8">
      <c r="B193" s="218"/>
      <c r="C193" s="383"/>
      <c r="D193" s="383"/>
      <c r="E193" s="383"/>
      <c r="F193" s="383"/>
      <c r="G193" s="383"/>
      <c r="H193" s="383"/>
    </row>
    <row r="194" spans="2:8">
      <c r="B194" s="218"/>
      <c r="C194" s="383"/>
      <c r="D194" s="383"/>
      <c r="E194" s="383"/>
      <c r="F194" s="383"/>
      <c r="G194" s="383"/>
      <c r="H194" s="383"/>
    </row>
  </sheetData>
  <mergeCells count="40">
    <mergeCell ref="H104:H106"/>
    <mergeCell ref="H79:H81"/>
    <mergeCell ref="B79:B81"/>
    <mergeCell ref="C79:C81"/>
    <mergeCell ref="D79:D81"/>
    <mergeCell ref="E79:E81"/>
    <mergeCell ref="F79:F81"/>
    <mergeCell ref="G30:G32"/>
    <mergeCell ref="B102:G102"/>
    <mergeCell ref="B104:B106"/>
    <mergeCell ref="C104:C106"/>
    <mergeCell ref="D104:D106"/>
    <mergeCell ref="E104:E106"/>
    <mergeCell ref="F104:F106"/>
    <mergeCell ref="G104:G106"/>
    <mergeCell ref="G79:G81"/>
    <mergeCell ref="H30:H32"/>
    <mergeCell ref="B2:H2"/>
    <mergeCell ref="B53:G53"/>
    <mergeCell ref="B55:B57"/>
    <mergeCell ref="C55:C57"/>
    <mergeCell ref="D55:D57"/>
    <mergeCell ref="E55:E57"/>
    <mergeCell ref="F55:F57"/>
    <mergeCell ref="G55:G57"/>
    <mergeCell ref="H55:H57"/>
    <mergeCell ref="B28:G28"/>
    <mergeCell ref="B30:B32"/>
    <mergeCell ref="C30:C32"/>
    <mergeCell ref="D30:D32"/>
    <mergeCell ref="E30:E32"/>
    <mergeCell ref="F30:F32"/>
    <mergeCell ref="H6:H8"/>
    <mergeCell ref="B4:G4"/>
    <mergeCell ref="B6:B8"/>
    <mergeCell ref="C6:C8"/>
    <mergeCell ref="D6:D8"/>
    <mergeCell ref="E6:E8"/>
    <mergeCell ref="F6:F8"/>
    <mergeCell ref="G6:G8"/>
  </mergeCells>
  <pageMargins left="0.7" right="0.7" top="0.75" bottom="0.75" header="0.3" footer="0.3"/>
  <pageSetup paperSize="9" scale="71" orientation="landscape" r:id="rId1"/>
  <rowBreaks count="5" manualBreakCount="5">
    <brk id="51" max="7" man="1"/>
    <brk id="76" max="7" man="1"/>
    <brk id="100" max="7" man="1"/>
    <brk id="125" max="16383" man="1"/>
    <brk id="151" max="9"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rgb="FF7030A0"/>
  </sheetPr>
  <dimension ref="A1:Z477"/>
  <sheetViews>
    <sheetView showGridLines="0" view="pageBreakPreview" zoomScale="85" zoomScaleNormal="100" zoomScaleSheetLayoutView="85" workbookViewId="0">
      <selection activeCell="L13" sqref="L13"/>
    </sheetView>
  </sheetViews>
  <sheetFormatPr defaultColWidth="9.140625" defaultRowHeight="13.5" customHeight="1"/>
  <cols>
    <col min="1" max="1" width="4" style="292" customWidth="1"/>
    <col min="2" max="2" width="30.140625" style="471" customWidth="1"/>
    <col min="3" max="14" width="11.7109375" style="292" customWidth="1"/>
    <col min="15" max="26" width="5.42578125" style="292" customWidth="1"/>
    <col min="27" max="16384" width="9.140625" style="292"/>
  </cols>
  <sheetData>
    <row r="1" spans="1:26" ht="13.5" customHeight="1">
      <c r="B1" s="292"/>
    </row>
    <row r="2" spans="1:26" ht="18" customHeight="1">
      <c r="A2" s="274"/>
      <c r="B2" s="1669" t="s">
        <v>584</v>
      </c>
      <c r="C2" s="236"/>
      <c r="D2" s="236"/>
      <c r="E2" s="236"/>
      <c r="F2" s="196"/>
      <c r="G2" s="196"/>
      <c r="H2" s="196"/>
      <c r="I2" s="196"/>
      <c r="J2" s="196"/>
      <c r="K2" s="196"/>
      <c r="L2" s="196"/>
      <c r="M2" s="196"/>
    </row>
    <row r="3" spans="1:26" ht="13.5" customHeight="1">
      <c r="A3" s="52"/>
      <c r="B3" s="51"/>
      <c r="C3" s="52"/>
      <c r="D3" s="52"/>
      <c r="E3" s="52"/>
      <c r="F3" s="52"/>
      <c r="G3" s="52"/>
      <c r="H3" s="52"/>
      <c r="I3" s="52"/>
      <c r="J3" s="52"/>
      <c r="K3" s="52"/>
      <c r="L3" s="52"/>
      <c r="M3" s="52"/>
    </row>
    <row r="4" spans="1:26" ht="13.5" customHeight="1">
      <c r="A4" s="52"/>
      <c r="B4" s="1611" t="s">
        <v>585</v>
      </c>
      <c r="C4" s="52"/>
      <c r="D4" s="52"/>
      <c r="E4" s="52"/>
      <c r="F4" s="52"/>
      <c r="G4" s="52"/>
      <c r="H4" s="52"/>
      <c r="I4" s="52"/>
      <c r="J4" s="52"/>
      <c r="K4" s="52"/>
      <c r="L4" s="52"/>
      <c r="M4" s="52"/>
    </row>
    <row r="5" spans="1:26" ht="28.5" customHeight="1">
      <c r="A5" s="52"/>
      <c r="B5" s="3518" t="s">
        <v>586</v>
      </c>
      <c r="C5" s="3534" t="s">
        <v>587</v>
      </c>
      <c r="D5" s="3534"/>
      <c r="E5" s="3534"/>
      <c r="F5" s="3535"/>
      <c r="G5" s="3536" t="s">
        <v>588</v>
      </c>
      <c r="H5" s="3534"/>
      <c r="I5" s="3534"/>
      <c r="J5" s="3535"/>
      <c r="K5" s="3536" t="s">
        <v>589</v>
      </c>
      <c r="L5" s="3534"/>
      <c r="M5" s="3534"/>
      <c r="N5" s="3535"/>
    </row>
    <row r="6" spans="1:26" ht="13.5" customHeight="1">
      <c r="A6" s="52"/>
      <c r="B6" s="3519"/>
      <c r="C6" s="2491" t="s">
        <v>590</v>
      </c>
      <c r="D6" s="2492" t="s">
        <v>591</v>
      </c>
      <c r="E6" s="2492" t="s">
        <v>592</v>
      </c>
      <c r="F6" s="2493" t="s">
        <v>118</v>
      </c>
      <c r="G6" s="2492" t="s">
        <v>590</v>
      </c>
      <c r="H6" s="2492" t="s">
        <v>591</v>
      </c>
      <c r="I6" s="2492" t="s">
        <v>592</v>
      </c>
      <c r="J6" s="2493" t="s">
        <v>118</v>
      </c>
      <c r="K6" s="2492" t="s">
        <v>590</v>
      </c>
      <c r="L6" s="2492" t="s">
        <v>591</v>
      </c>
      <c r="M6" s="2492" t="s">
        <v>592</v>
      </c>
      <c r="N6" s="2493" t="s">
        <v>118</v>
      </c>
    </row>
    <row r="7" spans="1:26" ht="13.5" customHeight="1">
      <c r="A7" s="52"/>
      <c r="B7" s="1618" t="s">
        <v>593</v>
      </c>
      <c r="C7" s="1678">
        <f>C22+C38+C53+C68+C84+C99+C114+C131+C147+C163+C180+C196+C212+C229+C245+C261+C279+C295+C312+C328+C344+C361+C377+C393+C410+C426+C442+C464</f>
        <v>87</v>
      </c>
      <c r="D7" s="1678">
        <f>D22+D38+D53+D68+D84+D99+D114+D131+D147+D163+D180+D196+D212+D229+D245+D261+D279+D295+D312+D328+D344+D361+D377+D393+D410+D426+D442+D464</f>
        <v>102</v>
      </c>
      <c r="E7" s="1678">
        <f>E22+E38+E53+E68+E84+E99+E114+E131+E147+E163+E180+E196+E212+E229+E245+E261+E279+E295+E312+E328+E344+E361+E377+E393+E410+E426+E442+E464</f>
        <v>17</v>
      </c>
      <c r="F7" s="2494">
        <f>SUM(C7:E7)</f>
        <v>206</v>
      </c>
      <c r="G7" s="1678">
        <f>G22+G38+G53+G68+G84+G99+G114+G131+G147+G163+G180+G196+G212+G229+G245+G261+G279+G295+G312+G328+G344+G361+G377+G393+G410+G426+G442+G464</f>
        <v>701</v>
      </c>
      <c r="H7" s="1678">
        <f>H22+H38+H53+H68+H84+H99+H114+H131+H147+H163+H180+H196+H212+H229+H245+H261+H279+H295+H312+H328+H344+H361+H377+H393+H410+H426+H442+H464</f>
        <v>444</v>
      </c>
      <c r="I7" s="1678">
        <f>I22+I38+I53+I68+I84+I99+I114+I131+I147+I163+I180+I196+I212+I229+I245+I261+I279+I295+I312+I328+I344+I361+I377+I393+I410+I426+I442+I464</f>
        <v>183</v>
      </c>
      <c r="J7" s="2494">
        <f>SUM(G7:I7)</f>
        <v>1328</v>
      </c>
      <c r="K7" s="1678">
        <f>K22+K38+K53+K68+K84+K99+K114+K131+K147+K163+K180+K196+K212+K229+K245+K261+K279+K295+K312+K328+K344+K361+K377+K393+K410+K426+K442+K464</f>
        <v>334</v>
      </c>
      <c r="L7" s="1678">
        <f>L22+L38+L53+L68+L84+L99+L114+L131+L147+L163+L180+L196+L212+L229+L245+L261+L279+L295+L312+L328+L344+L361+L377+L393+L410+L426+L442+L464</f>
        <v>2238</v>
      </c>
      <c r="M7" s="1678">
        <f>M22+M38+M53+M68+M84+M99+M114+M131+M147+M163+M180+M196+M212+M229+M245+M261+M279+M295+M312+M328+M344+M361+M377+M393+M410+M426+M442+M464</f>
        <v>1599</v>
      </c>
      <c r="N7" s="2494">
        <f>SUM(K7:M7)</f>
        <v>4171</v>
      </c>
      <c r="O7" s="396"/>
      <c r="P7" s="396"/>
      <c r="Q7" s="396"/>
      <c r="R7" s="396"/>
      <c r="S7" s="396"/>
      <c r="T7" s="396"/>
      <c r="U7" s="396"/>
      <c r="V7" s="396"/>
      <c r="W7" s="396"/>
      <c r="X7" s="396"/>
      <c r="Y7" s="396"/>
      <c r="Z7" s="396"/>
    </row>
    <row r="8" spans="1:26" ht="13.5" customHeight="1">
      <c r="A8" s="52"/>
      <c r="B8" s="2439" t="s">
        <v>594</v>
      </c>
      <c r="C8" s="1678">
        <f t="shared" ref="C8:E15" si="0">C23+C39+C54+C69+C85+C100+C115+C132+C148+C164+C181+C197+C213+C230+C246+C262+C280+C296+C313+C329+C345+C362+C378+C394+C411+C427+C443+C465</f>
        <v>52</v>
      </c>
      <c r="D8" s="1678">
        <f t="shared" si="0"/>
        <v>76</v>
      </c>
      <c r="E8" s="1678">
        <f t="shared" si="0"/>
        <v>11</v>
      </c>
      <c r="F8" s="2494">
        <f t="shared" ref="F8:F15" si="1">SUM(C8:E8)</f>
        <v>139</v>
      </c>
      <c r="G8" s="1678">
        <f t="shared" ref="G8:I15" si="2">G23+G39+G54+G69+G85+G100+G115+G132+G148+G164+G181+G197+G213+G230+G246+G262+G280+G296+G313+G329+G345+G362+G378+G394+G411+G427+G443+G465</f>
        <v>333</v>
      </c>
      <c r="H8" s="1678">
        <f t="shared" si="2"/>
        <v>295</v>
      </c>
      <c r="I8" s="1678">
        <f t="shared" si="2"/>
        <v>56</v>
      </c>
      <c r="J8" s="2494">
        <f t="shared" ref="J8:J15" si="3">SUM(G8:I8)</f>
        <v>684</v>
      </c>
      <c r="K8" s="1678">
        <f t="shared" ref="K8:M15" si="4">K23+K39+K54+K69+K85+K100+K115+K132+K148+K164+K181+K197+K213+K230+K246+K262+K280+K296+K313+K329+K345+K362+K378+K394+K411+K427+K443+K465</f>
        <v>101</v>
      </c>
      <c r="L8" s="1678">
        <f t="shared" si="4"/>
        <v>1930</v>
      </c>
      <c r="M8" s="1678">
        <f t="shared" si="4"/>
        <v>489</v>
      </c>
      <c r="N8" s="2494">
        <f t="shared" ref="N8:N15" si="5">SUM(K8:M8)</f>
        <v>2520</v>
      </c>
      <c r="O8" s="396"/>
      <c r="P8" s="396"/>
      <c r="Q8" s="396"/>
      <c r="R8" s="396"/>
      <c r="S8" s="396"/>
      <c r="T8" s="396"/>
      <c r="U8" s="396"/>
      <c r="V8" s="396"/>
      <c r="W8" s="396"/>
      <c r="X8" s="396"/>
      <c r="Y8" s="396"/>
      <c r="Z8" s="396"/>
    </row>
    <row r="9" spans="1:26" ht="13.5" customHeight="1">
      <c r="A9" s="52"/>
      <c r="B9" s="2439" t="s">
        <v>595</v>
      </c>
      <c r="C9" s="1678">
        <f t="shared" si="0"/>
        <v>59</v>
      </c>
      <c r="D9" s="1678">
        <f t="shared" si="0"/>
        <v>71</v>
      </c>
      <c r="E9" s="1678">
        <f t="shared" si="0"/>
        <v>13</v>
      </c>
      <c r="F9" s="2494">
        <f t="shared" si="1"/>
        <v>143</v>
      </c>
      <c r="G9" s="1678">
        <f t="shared" si="2"/>
        <v>387</v>
      </c>
      <c r="H9" s="1678">
        <f t="shared" si="2"/>
        <v>283</v>
      </c>
      <c r="I9" s="1678">
        <f t="shared" si="2"/>
        <v>76</v>
      </c>
      <c r="J9" s="2494">
        <f t="shared" si="3"/>
        <v>746</v>
      </c>
      <c r="K9" s="1678">
        <f t="shared" si="4"/>
        <v>234</v>
      </c>
      <c r="L9" s="1678">
        <f t="shared" si="4"/>
        <v>1459</v>
      </c>
      <c r="M9" s="1678">
        <f t="shared" si="4"/>
        <v>793</v>
      </c>
      <c r="N9" s="2494">
        <f t="shared" si="5"/>
        <v>2486</v>
      </c>
      <c r="O9" s="396"/>
      <c r="P9" s="396"/>
      <c r="Q9" s="396"/>
      <c r="R9" s="396"/>
      <c r="S9" s="396"/>
      <c r="T9" s="396"/>
      <c r="U9" s="396"/>
      <c r="V9" s="396"/>
      <c r="W9" s="396"/>
      <c r="X9" s="396"/>
      <c r="Y9" s="396"/>
      <c r="Z9" s="396"/>
    </row>
    <row r="10" spans="1:26" ht="13.5" customHeight="1">
      <c r="A10" s="52"/>
      <c r="B10" s="2439" t="s">
        <v>596</v>
      </c>
      <c r="C10" s="1678">
        <f t="shared" si="0"/>
        <v>89</v>
      </c>
      <c r="D10" s="1678">
        <f t="shared" si="0"/>
        <v>108</v>
      </c>
      <c r="E10" s="1678">
        <f t="shared" si="0"/>
        <v>23</v>
      </c>
      <c r="F10" s="2494">
        <f t="shared" si="1"/>
        <v>220</v>
      </c>
      <c r="G10" s="1678">
        <f t="shared" si="2"/>
        <v>648</v>
      </c>
      <c r="H10" s="1678">
        <f t="shared" si="2"/>
        <v>443</v>
      </c>
      <c r="I10" s="1678">
        <f t="shared" si="2"/>
        <v>217</v>
      </c>
      <c r="J10" s="2494">
        <f t="shared" si="3"/>
        <v>1308</v>
      </c>
      <c r="K10" s="1678">
        <f t="shared" si="4"/>
        <v>338</v>
      </c>
      <c r="L10" s="1678">
        <f t="shared" si="4"/>
        <v>2672</v>
      </c>
      <c r="M10" s="1678">
        <f t="shared" si="4"/>
        <v>1944</v>
      </c>
      <c r="N10" s="2494">
        <f t="shared" si="5"/>
        <v>4954</v>
      </c>
      <c r="O10" s="396"/>
      <c r="P10" s="396"/>
      <c r="Q10" s="396"/>
      <c r="R10" s="396"/>
      <c r="S10" s="396"/>
      <c r="T10" s="396"/>
      <c r="U10" s="396"/>
      <c r="V10" s="396"/>
      <c r="W10" s="396"/>
      <c r="X10" s="396"/>
      <c r="Y10" s="396"/>
      <c r="Z10" s="396"/>
    </row>
    <row r="11" spans="1:26" ht="13.5" customHeight="1">
      <c r="A11" s="52"/>
      <c r="B11" s="2439" t="s">
        <v>597</v>
      </c>
      <c r="C11" s="1678">
        <f t="shared" si="0"/>
        <v>48</v>
      </c>
      <c r="D11" s="1678">
        <f t="shared" si="0"/>
        <v>82</v>
      </c>
      <c r="E11" s="1678">
        <f t="shared" si="0"/>
        <v>10</v>
      </c>
      <c r="F11" s="2494">
        <f t="shared" si="1"/>
        <v>140</v>
      </c>
      <c r="G11" s="1678">
        <f t="shared" si="2"/>
        <v>309</v>
      </c>
      <c r="H11" s="1678">
        <f t="shared" si="2"/>
        <v>352</v>
      </c>
      <c r="I11" s="1678">
        <f t="shared" si="2"/>
        <v>56</v>
      </c>
      <c r="J11" s="2494">
        <f t="shared" si="3"/>
        <v>717</v>
      </c>
      <c r="K11" s="1678">
        <f t="shared" si="4"/>
        <v>83</v>
      </c>
      <c r="L11" s="1678">
        <f t="shared" si="4"/>
        <v>2523</v>
      </c>
      <c r="M11" s="1678">
        <f t="shared" si="4"/>
        <v>686</v>
      </c>
      <c r="N11" s="2494">
        <f t="shared" si="5"/>
        <v>3292</v>
      </c>
      <c r="O11" s="396"/>
      <c r="P11" s="396"/>
      <c r="Q11" s="396"/>
      <c r="R11" s="396"/>
      <c r="S11" s="396"/>
      <c r="T11" s="396"/>
      <c r="U11" s="396"/>
      <c r="V11" s="396"/>
      <c r="W11" s="396"/>
      <c r="X11" s="396"/>
      <c r="Y11" s="396"/>
      <c r="Z11" s="396"/>
    </row>
    <row r="12" spans="1:26" ht="13.5" customHeight="1">
      <c r="A12" s="52"/>
      <c r="B12" s="2439" t="s">
        <v>598</v>
      </c>
      <c r="C12" s="1678">
        <f t="shared" si="0"/>
        <v>70</v>
      </c>
      <c r="D12" s="1678">
        <f t="shared" si="0"/>
        <v>76</v>
      </c>
      <c r="E12" s="1678">
        <f t="shared" si="0"/>
        <v>15</v>
      </c>
      <c r="F12" s="2494">
        <f t="shared" si="1"/>
        <v>161</v>
      </c>
      <c r="G12" s="1678">
        <f t="shared" si="2"/>
        <v>509</v>
      </c>
      <c r="H12" s="1678">
        <f t="shared" si="2"/>
        <v>317</v>
      </c>
      <c r="I12" s="1678">
        <f t="shared" si="2"/>
        <v>90</v>
      </c>
      <c r="J12" s="2494">
        <f t="shared" si="3"/>
        <v>916</v>
      </c>
      <c r="K12" s="1678">
        <f t="shared" si="4"/>
        <v>311</v>
      </c>
      <c r="L12" s="1678">
        <f t="shared" si="4"/>
        <v>1989</v>
      </c>
      <c r="M12" s="1678">
        <f t="shared" si="4"/>
        <v>1694</v>
      </c>
      <c r="N12" s="2494">
        <f t="shared" si="5"/>
        <v>3994</v>
      </c>
      <c r="O12" s="396"/>
      <c r="P12" s="396"/>
      <c r="Q12" s="396"/>
      <c r="R12" s="396"/>
      <c r="S12" s="396"/>
      <c r="T12" s="396"/>
      <c r="U12" s="396"/>
      <c r="V12" s="396"/>
      <c r="W12" s="396"/>
      <c r="X12" s="396"/>
      <c r="Y12" s="396"/>
      <c r="Z12" s="396"/>
    </row>
    <row r="13" spans="1:26" ht="13.5" customHeight="1">
      <c r="A13" s="52"/>
      <c r="B13" s="2439" t="s">
        <v>599</v>
      </c>
      <c r="C13" s="1678">
        <f t="shared" si="0"/>
        <v>103</v>
      </c>
      <c r="D13" s="1678">
        <f t="shared" si="0"/>
        <v>130</v>
      </c>
      <c r="E13" s="1678">
        <f t="shared" si="0"/>
        <v>23</v>
      </c>
      <c r="F13" s="2494">
        <f t="shared" si="1"/>
        <v>256</v>
      </c>
      <c r="G13" s="1678">
        <f t="shared" si="2"/>
        <v>879</v>
      </c>
      <c r="H13" s="1678">
        <f t="shared" si="2"/>
        <v>515</v>
      </c>
      <c r="I13" s="1678">
        <f t="shared" si="2"/>
        <v>252</v>
      </c>
      <c r="J13" s="2494">
        <f t="shared" si="3"/>
        <v>1646</v>
      </c>
      <c r="K13" s="1678">
        <f t="shared" si="4"/>
        <v>467</v>
      </c>
      <c r="L13" s="1678">
        <f t="shared" si="4"/>
        <v>3351</v>
      </c>
      <c r="M13" s="1678">
        <f t="shared" si="4"/>
        <v>1980</v>
      </c>
      <c r="N13" s="2494">
        <f t="shared" si="5"/>
        <v>5798</v>
      </c>
      <c r="O13" s="396"/>
      <c r="P13" s="396"/>
      <c r="Q13" s="396"/>
      <c r="R13" s="396"/>
      <c r="S13" s="396"/>
      <c r="T13" s="396"/>
      <c r="U13" s="396"/>
      <c r="V13" s="396"/>
      <c r="W13" s="396"/>
      <c r="X13" s="396"/>
      <c r="Y13" s="396"/>
      <c r="Z13" s="396"/>
    </row>
    <row r="14" spans="1:26" ht="13.5" customHeight="1">
      <c r="A14" s="52"/>
      <c r="B14" s="2439" t="s">
        <v>600</v>
      </c>
      <c r="C14" s="1678">
        <f t="shared" si="0"/>
        <v>54</v>
      </c>
      <c r="D14" s="1678">
        <f t="shared" si="0"/>
        <v>69</v>
      </c>
      <c r="E14" s="1678">
        <f t="shared" si="0"/>
        <v>9</v>
      </c>
      <c r="F14" s="2494">
        <f t="shared" si="1"/>
        <v>132</v>
      </c>
      <c r="G14" s="1678">
        <f t="shared" si="2"/>
        <v>339</v>
      </c>
      <c r="H14" s="1678">
        <f t="shared" si="2"/>
        <v>239</v>
      </c>
      <c r="I14" s="1678">
        <f t="shared" si="2"/>
        <v>99</v>
      </c>
      <c r="J14" s="2494">
        <f t="shared" si="3"/>
        <v>677</v>
      </c>
      <c r="K14" s="1678">
        <f t="shared" si="4"/>
        <v>147</v>
      </c>
      <c r="L14" s="1678">
        <f t="shared" si="4"/>
        <v>1652</v>
      </c>
      <c r="M14" s="1678">
        <f t="shared" si="4"/>
        <v>767</v>
      </c>
      <c r="N14" s="2494">
        <f t="shared" si="5"/>
        <v>2566</v>
      </c>
      <c r="O14" s="396"/>
      <c r="P14" s="396"/>
      <c r="Q14" s="396"/>
      <c r="R14" s="396"/>
      <c r="S14" s="396"/>
      <c r="T14" s="396"/>
      <c r="U14" s="396"/>
      <c r="V14" s="396"/>
      <c r="W14" s="396"/>
      <c r="X14" s="396"/>
      <c r="Y14" s="396"/>
      <c r="Z14" s="396"/>
    </row>
    <row r="15" spans="1:26" ht="13.5" customHeight="1">
      <c r="A15" s="52"/>
      <c r="B15" s="2439" t="s">
        <v>601</v>
      </c>
      <c r="C15" s="1678">
        <f t="shared" si="0"/>
        <v>282</v>
      </c>
      <c r="D15" s="1678">
        <f t="shared" si="0"/>
        <v>300</v>
      </c>
      <c r="E15" s="1678">
        <f t="shared" si="0"/>
        <v>67</v>
      </c>
      <c r="F15" s="2494">
        <f t="shared" si="1"/>
        <v>649</v>
      </c>
      <c r="G15" s="1678">
        <f t="shared" si="2"/>
        <v>6922</v>
      </c>
      <c r="H15" s="1678">
        <f t="shared" si="2"/>
        <v>3387</v>
      </c>
      <c r="I15" s="1678">
        <f t="shared" si="2"/>
        <v>1726</v>
      </c>
      <c r="J15" s="2494">
        <f t="shared" si="3"/>
        <v>12035</v>
      </c>
      <c r="K15" s="1678">
        <f t="shared" si="4"/>
        <v>1649</v>
      </c>
      <c r="L15" s="1678">
        <f t="shared" si="4"/>
        <v>8557</v>
      </c>
      <c r="M15" s="1678">
        <f t="shared" si="4"/>
        <v>7115</v>
      </c>
      <c r="N15" s="2494">
        <f t="shared" si="5"/>
        <v>17321</v>
      </c>
      <c r="O15" s="396"/>
      <c r="P15" s="396"/>
      <c r="Q15" s="396"/>
      <c r="R15" s="396"/>
      <c r="S15" s="396"/>
      <c r="T15" s="396"/>
      <c r="U15" s="396"/>
      <c r="V15" s="396"/>
      <c r="W15" s="396"/>
      <c r="X15" s="396"/>
      <c r="Y15" s="396"/>
      <c r="Z15" s="396"/>
    </row>
    <row r="16" spans="1:26" s="295" customFormat="1" ht="13.5" customHeight="1">
      <c r="A16" s="236"/>
      <c r="B16" s="2495" t="s">
        <v>118</v>
      </c>
      <c r="C16" s="1691">
        <f t="shared" ref="C16:N16" si="6">SUM(C7:C15)</f>
        <v>844</v>
      </c>
      <c r="D16" s="1691">
        <f t="shared" si="6"/>
        <v>1014</v>
      </c>
      <c r="E16" s="1691">
        <f t="shared" si="6"/>
        <v>188</v>
      </c>
      <c r="F16" s="1691">
        <f t="shared" si="6"/>
        <v>2046</v>
      </c>
      <c r="G16" s="1691">
        <f t="shared" si="6"/>
        <v>11027</v>
      </c>
      <c r="H16" s="1691">
        <f t="shared" si="6"/>
        <v>6275</v>
      </c>
      <c r="I16" s="1691">
        <f t="shared" si="6"/>
        <v>2755</v>
      </c>
      <c r="J16" s="1691">
        <f t="shared" si="6"/>
        <v>20057</v>
      </c>
      <c r="K16" s="1691">
        <f t="shared" si="6"/>
        <v>3664</v>
      </c>
      <c r="L16" s="1691">
        <f t="shared" si="6"/>
        <v>26371</v>
      </c>
      <c r="M16" s="1691">
        <f t="shared" si="6"/>
        <v>17067</v>
      </c>
      <c r="N16" s="1691">
        <f t="shared" si="6"/>
        <v>47102</v>
      </c>
      <c r="O16" s="396"/>
      <c r="P16" s="396"/>
      <c r="Q16" s="396"/>
      <c r="R16" s="396"/>
      <c r="S16" s="396"/>
      <c r="T16" s="396"/>
      <c r="U16" s="396"/>
      <c r="V16" s="396"/>
      <c r="W16" s="396"/>
      <c r="X16" s="396"/>
      <c r="Y16" s="396"/>
      <c r="Z16" s="396"/>
    </row>
    <row r="17" spans="2:26" ht="13.5" customHeight="1">
      <c r="C17" s="396"/>
      <c r="D17" s="396"/>
      <c r="E17" s="396"/>
      <c r="F17" s="1065"/>
    </row>
    <row r="19" spans="2:26" ht="13.5" customHeight="1">
      <c r="B19" s="1611" t="s">
        <v>90</v>
      </c>
    </row>
    <row r="20" spans="2:26" ht="26.25" customHeight="1">
      <c r="B20" s="3537" t="s">
        <v>586</v>
      </c>
      <c r="C20" s="3539" t="s">
        <v>587</v>
      </c>
      <c r="D20" s="3539"/>
      <c r="E20" s="3539"/>
      <c r="F20" s="3540"/>
      <c r="G20" s="3541" t="s">
        <v>588</v>
      </c>
      <c r="H20" s="3542"/>
      <c r="I20" s="3542"/>
      <c r="J20" s="3543"/>
      <c r="K20" s="3541" t="s">
        <v>589</v>
      </c>
      <c r="L20" s="3542"/>
      <c r="M20" s="3542"/>
      <c r="N20" s="3543"/>
    </row>
    <row r="21" spans="2:26" ht="13.5" customHeight="1">
      <c r="B21" s="3538"/>
      <c r="C21" s="2496" t="s">
        <v>590</v>
      </c>
      <c r="D21" s="2497" t="s">
        <v>591</v>
      </c>
      <c r="E21" s="2497" t="s">
        <v>592</v>
      </c>
      <c r="F21" s="2498" t="s">
        <v>118</v>
      </c>
      <c r="G21" s="2497" t="s">
        <v>590</v>
      </c>
      <c r="H21" s="2497" t="s">
        <v>591</v>
      </c>
      <c r="I21" s="2497" t="s">
        <v>592</v>
      </c>
      <c r="J21" s="2498" t="s">
        <v>118</v>
      </c>
      <c r="K21" s="2497" t="s">
        <v>590</v>
      </c>
      <c r="L21" s="2497" t="s">
        <v>591</v>
      </c>
      <c r="M21" s="2497" t="s">
        <v>592</v>
      </c>
      <c r="N21" s="2498" t="s">
        <v>118</v>
      </c>
    </row>
    <row r="22" spans="2:26" ht="13.5" customHeight="1">
      <c r="B22" s="1617" t="s">
        <v>593</v>
      </c>
      <c r="C22" s="2499"/>
      <c r="D22" s="2500">
        <v>10</v>
      </c>
      <c r="E22" s="2501"/>
      <c r="F22" s="2502">
        <v>10</v>
      </c>
      <c r="G22" s="2503"/>
      <c r="H22" s="2504">
        <v>22</v>
      </c>
      <c r="I22" s="2503"/>
      <c r="J22" s="2502">
        <v>22</v>
      </c>
      <c r="K22" s="2503"/>
      <c r="L22" s="2504">
        <v>316</v>
      </c>
      <c r="M22" s="2503"/>
      <c r="N22" s="2502">
        <v>316</v>
      </c>
      <c r="O22" s="396"/>
      <c r="P22" s="396"/>
      <c r="Q22" s="396"/>
      <c r="R22" s="396"/>
      <c r="S22" s="396"/>
      <c r="T22" s="396"/>
      <c r="U22" s="396"/>
      <c r="V22" s="396"/>
      <c r="W22" s="396"/>
      <c r="X22" s="396"/>
      <c r="Y22" s="396"/>
      <c r="Z22" s="396"/>
    </row>
    <row r="23" spans="2:26" ht="13.5" customHeight="1">
      <c r="B23" s="2505" t="s">
        <v>594</v>
      </c>
      <c r="C23" s="2503"/>
      <c r="D23" s="2504">
        <v>8</v>
      </c>
      <c r="E23" s="2501"/>
      <c r="F23" s="2502">
        <v>8</v>
      </c>
      <c r="G23" s="2503"/>
      <c r="H23" s="2504">
        <v>14</v>
      </c>
      <c r="I23" s="2503"/>
      <c r="J23" s="2502">
        <v>14</v>
      </c>
      <c r="K23" s="2503"/>
      <c r="L23" s="2504">
        <v>241</v>
      </c>
      <c r="M23" s="2503"/>
      <c r="N23" s="2502">
        <v>241</v>
      </c>
      <c r="O23" s="396"/>
      <c r="P23" s="396"/>
      <c r="Q23" s="396"/>
      <c r="R23" s="396"/>
      <c r="S23" s="396"/>
      <c r="T23" s="396"/>
      <c r="U23" s="396"/>
      <c r="V23" s="396"/>
      <c r="W23" s="396"/>
      <c r="X23" s="396"/>
      <c r="Y23" s="396"/>
      <c r="Z23" s="396"/>
    </row>
    <row r="24" spans="2:26" ht="13.5" customHeight="1">
      <c r="B24" s="2505" t="s">
        <v>595</v>
      </c>
      <c r="C24" s="2503"/>
      <c r="D24" s="2504">
        <v>3</v>
      </c>
      <c r="E24" s="2501"/>
      <c r="F24" s="2502">
        <v>3</v>
      </c>
      <c r="G24" s="2503"/>
      <c r="H24" s="2504">
        <v>10</v>
      </c>
      <c r="I24" s="2503"/>
      <c r="J24" s="2502">
        <v>10</v>
      </c>
      <c r="K24" s="2503"/>
      <c r="L24" s="2504">
        <v>143</v>
      </c>
      <c r="M24" s="2503"/>
      <c r="N24" s="2502">
        <v>143</v>
      </c>
      <c r="O24" s="396"/>
      <c r="P24" s="396"/>
      <c r="Q24" s="396"/>
      <c r="R24" s="396"/>
      <c r="S24" s="396"/>
      <c r="T24" s="396"/>
      <c r="U24" s="396"/>
      <c r="V24" s="396"/>
      <c r="W24" s="396"/>
      <c r="X24" s="396"/>
      <c r="Y24" s="396"/>
      <c r="Z24" s="396"/>
    </row>
    <row r="25" spans="2:26" ht="13.5" customHeight="1">
      <c r="B25" s="2505" t="s">
        <v>596</v>
      </c>
      <c r="C25" s="2503"/>
      <c r="D25" s="2504">
        <v>9</v>
      </c>
      <c r="E25" s="2501"/>
      <c r="F25" s="2502">
        <v>9</v>
      </c>
      <c r="G25" s="2503"/>
      <c r="H25" s="2504">
        <v>20</v>
      </c>
      <c r="I25" s="2503"/>
      <c r="J25" s="2502">
        <v>20</v>
      </c>
      <c r="K25" s="2503"/>
      <c r="L25" s="2504">
        <v>416</v>
      </c>
      <c r="M25" s="2503"/>
      <c r="N25" s="2502">
        <v>416</v>
      </c>
      <c r="O25" s="396"/>
      <c r="P25" s="396"/>
      <c r="Q25" s="396"/>
      <c r="R25" s="396"/>
      <c r="S25" s="396"/>
      <c r="T25" s="396"/>
      <c r="U25" s="396"/>
      <c r="V25" s="396"/>
      <c r="W25" s="396"/>
      <c r="X25" s="396"/>
      <c r="Y25" s="396"/>
      <c r="Z25" s="396"/>
    </row>
    <row r="26" spans="2:26" ht="13.5" customHeight="1">
      <c r="B26" s="2505" t="s">
        <v>602</v>
      </c>
      <c r="C26" s="2503"/>
      <c r="D26" s="2504">
        <v>5</v>
      </c>
      <c r="E26" s="2501"/>
      <c r="F26" s="2502">
        <v>5</v>
      </c>
      <c r="G26" s="2503"/>
      <c r="H26" s="2504">
        <v>12</v>
      </c>
      <c r="I26" s="2503"/>
      <c r="J26" s="2502">
        <v>12</v>
      </c>
      <c r="K26" s="2503"/>
      <c r="L26" s="2504">
        <v>145</v>
      </c>
      <c r="M26" s="2503"/>
      <c r="N26" s="2502">
        <v>145</v>
      </c>
      <c r="O26" s="396"/>
      <c r="P26" s="396"/>
      <c r="Q26" s="396"/>
      <c r="R26" s="396"/>
      <c r="S26" s="396"/>
      <c r="T26" s="396"/>
      <c r="U26" s="396"/>
      <c r="V26" s="396"/>
      <c r="W26" s="396"/>
      <c r="X26" s="396"/>
      <c r="Y26" s="396"/>
      <c r="Z26" s="396"/>
    </row>
    <row r="27" spans="2:26" ht="13.5" customHeight="1">
      <c r="B27" s="2505" t="s">
        <v>598</v>
      </c>
      <c r="C27" s="2503"/>
      <c r="D27" s="2504">
        <v>7</v>
      </c>
      <c r="E27" s="2501"/>
      <c r="F27" s="2502">
        <v>7</v>
      </c>
      <c r="G27" s="2503"/>
      <c r="H27" s="2504">
        <v>16</v>
      </c>
      <c r="I27" s="2503"/>
      <c r="J27" s="2502">
        <v>16</v>
      </c>
      <c r="K27" s="2503"/>
      <c r="L27" s="2504">
        <v>301</v>
      </c>
      <c r="M27" s="2503"/>
      <c r="N27" s="2502">
        <v>301</v>
      </c>
      <c r="O27" s="396"/>
      <c r="P27" s="396"/>
      <c r="Q27" s="396"/>
      <c r="R27" s="396"/>
      <c r="S27" s="396"/>
      <c r="T27" s="396"/>
      <c r="U27" s="396"/>
      <c r="V27" s="396"/>
      <c r="W27" s="396"/>
      <c r="X27" s="396"/>
      <c r="Y27" s="396"/>
      <c r="Z27" s="396"/>
    </row>
    <row r="28" spans="2:26" ht="13.5" customHeight="1">
      <c r="B28" s="2505" t="s">
        <v>599</v>
      </c>
      <c r="C28" s="2503"/>
      <c r="D28" s="2504">
        <v>13</v>
      </c>
      <c r="E28" s="2501"/>
      <c r="F28" s="2502">
        <v>13</v>
      </c>
      <c r="G28" s="2503"/>
      <c r="H28" s="2504">
        <v>24</v>
      </c>
      <c r="I28" s="2503"/>
      <c r="J28" s="2502">
        <v>24</v>
      </c>
      <c r="K28" s="2503"/>
      <c r="L28" s="2504">
        <v>445</v>
      </c>
      <c r="M28" s="2503"/>
      <c r="N28" s="2502">
        <v>445</v>
      </c>
      <c r="O28" s="396"/>
      <c r="P28" s="396"/>
      <c r="Q28" s="396"/>
      <c r="R28" s="396"/>
      <c r="S28" s="396"/>
      <c r="T28" s="396"/>
      <c r="U28" s="396"/>
      <c r="V28" s="396"/>
      <c r="W28" s="396"/>
      <c r="X28" s="396"/>
      <c r="Y28" s="396"/>
      <c r="Z28" s="396"/>
    </row>
    <row r="29" spans="2:26" ht="13.5" customHeight="1">
      <c r="B29" s="2505" t="s">
        <v>600</v>
      </c>
      <c r="C29" s="2503"/>
      <c r="D29" s="2504">
        <v>6</v>
      </c>
      <c r="E29" s="2501"/>
      <c r="F29" s="2502">
        <v>6</v>
      </c>
      <c r="G29" s="2503"/>
      <c r="H29" s="2504">
        <v>18</v>
      </c>
      <c r="I29" s="2503"/>
      <c r="J29" s="2502">
        <v>18</v>
      </c>
      <c r="K29" s="2503"/>
      <c r="L29" s="2504">
        <v>214</v>
      </c>
      <c r="M29" s="2503"/>
      <c r="N29" s="2502">
        <v>214</v>
      </c>
      <c r="O29" s="396"/>
      <c r="P29" s="396"/>
      <c r="Q29" s="396"/>
      <c r="R29" s="396"/>
      <c r="S29" s="396"/>
      <c r="T29" s="396"/>
      <c r="U29" s="396"/>
      <c r="V29" s="396"/>
      <c r="W29" s="396"/>
      <c r="X29" s="396"/>
      <c r="Y29" s="396"/>
      <c r="Z29" s="396"/>
    </row>
    <row r="30" spans="2:26" ht="13.5" customHeight="1">
      <c r="B30" s="2505" t="s">
        <v>601</v>
      </c>
      <c r="C30" s="2503"/>
      <c r="D30" s="2504">
        <v>49</v>
      </c>
      <c r="E30" s="2501"/>
      <c r="F30" s="2502">
        <v>49</v>
      </c>
      <c r="G30" s="2503"/>
      <c r="H30" s="2504">
        <v>576</v>
      </c>
      <c r="I30" s="2503"/>
      <c r="J30" s="2502">
        <v>576</v>
      </c>
      <c r="K30" s="2503"/>
      <c r="L30" s="2506">
        <v>2241</v>
      </c>
      <c r="M30" s="2503"/>
      <c r="N30" s="2502">
        <v>2241</v>
      </c>
      <c r="O30" s="396"/>
      <c r="P30" s="396"/>
      <c r="Q30" s="396"/>
      <c r="R30" s="396"/>
      <c r="S30" s="396"/>
      <c r="T30" s="396"/>
      <c r="U30" s="396"/>
      <c r="V30" s="396"/>
      <c r="W30" s="396"/>
      <c r="X30" s="396"/>
      <c r="Y30" s="396"/>
      <c r="Z30" s="396"/>
    </row>
    <row r="31" spans="2:26" ht="13.5" customHeight="1">
      <c r="B31" s="2507" t="s">
        <v>118</v>
      </c>
      <c r="C31" s="2508">
        <f>SUM(C22:C30)</f>
        <v>0</v>
      </c>
      <c r="D31" s="2508">
        <f t="shared" ref="D31:N31" si="7">SUM(D22:D30)</f>
        <v>110</v>
      </c>
      <c r="E31" s="2508">
        <f t="shared" si="7"/>
        <v>0</v>
      </c>
      <c r="F31" s="2508">
        <f t="shared" si="7"/>
        <v>110</v>
      </c>
      <c r="G31" s="2508">
        <f t="shared" si="7"/>
        <v>0</v>
      </c>
      <c r="H31" s="2508">
        <f t="shared" si="7"/>
        <v>712</v>
      </c>
      <c r="I31" s="2508">
        <f t="shared" si="7"/>
        <v>0</v>
      </c>
      <c r="J31" s="2508">
        <f t="shared" si="7"/>
        <v>712</v>
      </c>
      <c r="K31" s="2508">
        <f t="shared" si="7"/>
        <v>0</v>
      </c>
      <c r="L31" s="2508">
        <f t="shared" si="7"/>
        <v>4462</v>
      </c>
      <c r="M31" s="2508">
        <f t="shared" si="7"/>
        <v>0</v>
      </c>
      <c r="N31" s="2508">
        <f t="shared" si="7"/>
        <v>4462</v>
      </c>
      <c r="O31" s="396"/>
      <c r="P31" s="396"/>
      <c r="Q31" s="396"/>
      <c r="R31" s="396"/>
      <c r="S31" s="396"/>
      <c r="T31" s="396"/>
      <c r="U31" s="396"/>
      <c r="V31" s="396"/>
      <c r="W31" s="396"/>
      <c r="X31" s="396"/>
      <c r="Y31" s="396"/>
      <c r="Z31" s="396"/>
    </row>
    <row r="33" spans="2:26" ht="13.5" customHeight="1">
      <c r="B33" s="51"/>
      <c r="C33" s="420"/>
      <c r="D33" s="420"/>
      <c r="E33" s="420"/>
      <c r="F33" s="420"/>
      <c r="G33" s="420"/>
      <c r="H33" s="420"/>
      <c r="I33" s="420"/>
      <c r="J33" s="420"/>
      <c r="K33" s="420"/>
      <c r="L33" s="420"/>
      <c r="M33" s="420"/>
      <c r="N33" s="460">
        <v>170</v>
      </c>
    </row>
    <row r="34" spans="2:26" ht="13.5" customHeight="1">
      <c r="B34" s="51"/>
      <c r="C34" s="420"/>
      <c r="D34" s="420"/>
      <c r="E34" s="420"/>
      <c r="F34" s="420"/>
      <c r="G34" s="420"/>
      <c r="H34" s="420"/>
      <c r="I34" s="420"/>
      <c r="J34" s="420"/>
      <c r="K34" s="420"/>
      <c r="L34" s="420"/>
      <c r="M34" s="420"/>
      <c r="N34" s="460"/>
    </row>
    <row r="35" spans="2:26" ht="13.5" customHeight="1">
      <c r="B35" s="1611" t="s">
        <v>91</v>
      </c>
    </row>
    <row r="36" spans="2:26" ht="25.5" customHeight="1">
      <c r="B36" s="3532" t="s">
        <v>586</v>
      </c>
      <c r="C36" s="3521" t="s">
        <v>587</v>
      </c>
      <c r="D36" s="3521"/>
      <c r="E36" s="3521"/>
      <c r="F36" s="3521"/>
      <c r="G36" s="3536" t="s">
        <v>588</v>
      </c>
      <c r="H36" s="3534"/>
      <c r="I36" s="3534"/>
      <c r="J36" s="3535"/>
      <c r="K36" s="3522" t="s">
        <v>589</v>
      </c>
      <c r="L36" s="3523"/>
      <c r="M36" s="3523"/>
      <c r="N36" s="3520"/>
    </row>
    <row r="37" spans="2:26" ht="13.5" customHeight="1">
      <c r="B37" s="3533"/>
      <c r="C37" s="2492" t="s">
        <v>590</v>
      </c>
      <c r="D37" s="2492" t="s">
        <v>591</v>
      </c>
      <c r="E37" s="2492" t="s">
        <v>592</v>
      </c>
      <c r="F37" s="2509" t="s">
        <v>118</v>
      </c>
      <c r="G37" s="2492" t="s">
        <v>590</v>
      </c>
      <c r="H37" s="2492" t="s">
        <v>591</v>
      </c>
      <c r="I37" s="2492" t="s">
        <v>592</v>
      </c>
      <c r="J37" s="2509" t="s">
        <v>118</v>
      </c>
      <c r="K37" s="2492" t="s">
        <v>590</v>
      </c>
      <c r="L37" s="2492" t="s">
        <v>591</v>
      </c>
      <c r="M37" s="2492" t="s">
        <v>592</v>
      </c>
      <c r="N37" s="2509" t="s">
        <v>118</v>
      </c>
    </row>
    <row r="38" spans="2:26" ht="13.5" customHeight="1">
      <c r="B38" s="2439" t="s">
        <v>593</v>
      </c>
      <c r="C38" s="2500">
        <v>11</v>
      </c>
      <c r="D38" s="2499"/>
      <c r="E38" s="2499"/>
      <c r="F38" s="2502">
        <v>11</v>
      </c>
      <c r="G38" s="2504">
        <v>117</v>
      </c>
      <c r="H38" s="2499"/>
      <c r="I38" s="2499"/>
      <c r="J38" s="2502">
        <v>117</v>
      </c>
      <c r="K38" s="2504">
        <v>61</v>
      </c>
      <c r="L38" s="2499"/>
      <c r="M38" s="2499"/>
      <c r="N38" s="2502">
        <v>61</v>
      </c>
      <c r="O38" s="396"/>
      <c r="P38" s="396"/>
      <c r="Q38" s="396"/>
      <c r="R38" s="396"/>
      <c r="S38" s="396"/>
      <c r="T38" s="396"/>
      <c r="U38" s="396"/>
      <c r="V38" s="396"/>
      <c r="W38" s="396"/>
      <c r="X38" s="396"/>
      <c r="Y38" s="396"/>
      <c r="Z38" s="396"/>
    </row>
    <row r="39" spans="2:26" ht="13.5" customHeight="1">
      <c r="B39" s="2439" t="s">
        <v>594</v>
      </c>
      <c r="C39" s="2500">
        <v>9</v>
      </c>
      <c r="D39" s="2499"/>
      <c r="E39" s="2499"/>
      <c r="F39" s="2502">
        <v>9</v>
      </c>
      <c r="G39" s="2504">
        <v>48</v>
      </c>
      <c r="H39" s="2499"/>
      <c r="I39" s="2499"/>
      <c r="J39" s="2502">
        <v>48</v>
      </c>
      <c r="K39" s="2504">
        <v>32</v>
      </c>
      <c r="L39" s="2499"/>
      <c r="M39" s="2499"/>
      <c r="N39" s="2502">
        <v>32</v>
      </c>
      <c r="O39" s="396"/>
      <c r="P39" s="396"/>
      <c r="Q39" s="396"/>
      <c r="R39" s="396"/>
      <c r="S39" s="396"/>
      <c r="T39" s="396"/>
      <c r="U39" s="396"/>
      <c r="V39" s="396"/>
      <c r="W39" s="396"/>
      <c r="X39" s="396"/>
      <c r="Y39" s="396"/>
      <c r="Z39" s="396"/>
    </row>
    <row r="40" spans="2:26" ht="13.5" customHeight="1">
      <c r="B40" s="2439" t="s">
        <v>595</v>
      </c>
      <c r="C40" s="2500">
        <v>6</v>
      </c>
      <c r="D40" s="2499"/>
      <c r="E40" s="2499"/>
      <c r="F40" s="2502">
        <v>6</v>
      </c>
      <c r="G40" s="2504">
        <v>46</v>
      </c>
      <c r="H40" s="2499"/>
      <c r="I40" s="2499"/>
      <c r="J40" s="2502">
        <v>46</v>
      </c>
      <c r="K40" s="2504">
        <v>13</v>
      </c>
      <c r="L40" s="2499"/>
      <c r="M40" s="2499"/>
      <c r="N40" s="2502">
        <v>13</v>
      </c>
      <c r="O40" s="396"/>
      <c r="P40" s="396"/>
      <c r="Q40" s="396"/>
      <c r="R40" s="396"/>
      <c r="S40" s="396"/>
      <c r="T40" s="396"/>
      <c r="U40" s="396"/>
      <c r="V40" s="396"/>
      <c r="W40" s="396"/>
      <c r="X40" s="396"/>
      <c r="Y40" s="396"/>
      <c r="Z40" s="396"/>
    </row>
    <row r="41" spans="2:26" ht="13.5" customHeight="1">
      <c r="B41" s="2439" t="s">
        <v>596</v>
      </c>
      <c r="C41" s="2500">
        <v>8</v>
      </c>
      <c r="D41" s="2499"/>
      <c r="E41" s="2499"/>
      <c r="F41" s="2502">
        <v>8</v>
      </c>
      <c r="G41" s="2504">
        <v>72</v>
      </c>
      <c r="H41" s="2499"/>
      <c r="I41" s="2499"/>
      <c r="J41" s="2502">
        <v>72</v>
      </c>
      <c r="K41" s="2504">
        <v>66</v>
      </c>
      <c r="L41" s="2499"/>
      <c r="M41" s="2499"/>
      <c r="N41" s="2502">
        <v>66</v>
      </c>
      <c r="O41" s="396"/>
      <c r="P41" s="396"/>
      <c r="Q41" s="396"/>
      <c r="R41" s="396"/>
      <c r="S41" s="396"/>
      <c r="T41" s="396"/>
      <c r="U41" s="396"/>
      <c r="V41" s="396"/>
      <c r="W41" s="396"/>
      <c r="X41" s="396"/>
      <c r="Y41" s="396"/>
      <c r="Z41" s="396"/>
    </row>
    <row r="42" spans="2:26" ht="13.5" customHeight="1">
      <c r="B42" s="2439" t="s">
        <v>602</v>
      </c>
      <c r="C42" s="2500">
        <v>7</v>
      </c>
      <c r="D42" s="2499"/>
      <c r="E42" s="2499"/>
      <c r="F42" s="2502">
        <v>7</v>
      </c>
      <c r="G42" s="2504">
        <v>57</v>
      </c>
      <c r="H42" s="2499"/>
      <c r="I42" s="2499"/>
      <c r="J42" s="2502">
        <v>57</v>
      </c>
      <c r="K42" s="2504">
        <v>19</v>
      </c>
      <c r="L42" s="2499"/>
      <c r="M42" s="2499"/>
      <c r="N42" s="2502">
        <v>19</v>
      </c>
      <c r="O42" s="396"/>
      <c r="P42" s="396"/>
      <c r="Q42" s="396"/>
      <c r="R42" s="396"/>
      <c r="S42" s="396"/>
      <c r="T42" s="396"/>
      <c r="U42" s="396"/>
      <c r="V42" s="396"/>
      <c r="W42" s="396"/>
      <c r="X42" s="396"/>
      <c r="Y42" s="396"/>
      <c r="Z42" s="396"/>
    </row>
    <row r="43" spans="2:26" ht="13.5" customHeight="1">
      <c r="B43" s="2439" t="s">
        <v>598</v>
      </c>
      <c r="C43" s="2500">
        <v>8</v>
      </c>
      <c r="D43" s="2499"/>
      <c r="E43" s="2499"/>
      <c r="F43" s="2502">
        <v>8</v>
      </c>
      <c r="G43" s="2504">
        <v>92</v>
      </c>
      <c r="H43" s="2499"/>
      <c r="I43" s="2499"/>
      <c r="J43" s="2502">
        <v>92</v>
      </c>
      <c r="K43" s="2504">
        <v>75</v>
      </c>
      <c r="L43" s="2499"/>
      <c r="M43" s="2499"/>
      <c r="N43" s="2502">
        <v>75</v>
      </c>
      <c r="O43" s="396"/>
      <c r="P43" s="396"/>
      <c r="Q43" s="396"/>
      <c r="R43" s="396"/>
      <c r="S43" s="396"/>
      <c r="T43" s="396"/>
      <c r="U43" s="396"/>
      <c r="V43" s="396"/>
      <c r="W43" s="396"/>
      <c r="X43" s="396"/>
      <c r="Y43" s="396"/>
      <c r="Z43" s="396"/>
    </row>
    <row r="44" spans="2:26" ht="13.5" customHeight="1">
      <c r="B44" s="2439" t="s">
        <v>599</v>
      </c>
      <c r="C44" s="2500">
        <v>8</v>
      </c>
      <c r="D44" s="2499"/>
      <c r="E44" s="2499"/>
      <c r="F44" s="2502">
        <v>8</v>
      </c>
      <c r="G44" s="2504">
        <v>102</v>
      </c>
      <c r="H44" s="2499"/>
      <c r="I44" s="2499"/>
      <c r="J44" s="2502">
        <v>102</v>
      </c>
      <c r="K44" s="2504">
        <v>55</v>
      </c>
      <c r="L44" s="2499"/>
      <c r="M44" s="2499"/>
      <c r="N44" s="2502">
        <v>55</v>
      </c>
      <c r="O44" s="396"/>
      <c r="P44" s="396"/>
      <c r="Q44" s="396"/>
      <c r="R44" s="396"/>
      <c r="S44" s="396"/>
      <c r="T44" s="396"/>
      <c r="U44" s="396"/>
      <c r="V44" s="396"/>
      <c r="W44" s="396"/>
      <c r="X44" s="396"/>
      <c r="Y44" s="396"/>
      <c r="Z44" s="396"/>
    </row>
    <row r="45" spans="2:26" ht="13.5" customHeight="1">
      <c r="B45" s="2510" t="s">
        <v>600</v>
      </c>
      <c r="C45" s="2500">
        <v>6</v>
      </c>
      <c r="D45" s="2499"/>
      <c r="E45" s="2499"/>
      <c r="F45" s="2502">
        <v>6</v>
      </c>
      <c r="G45" s="2504">
        <v>49</v>
      </c>
      <c r="H45" s="2499"/>
      <c r="I45" s="2499"/>
      <c r="J45" s="2502">
        <v>49</v>
      </c>
      <c r="K45" s="2504">
        <v>26</v>
      </c>
      <c r="L45" s="2499"/>
      <c r="M45" s="2499"/>
      <c r="N45" s="2502">
        <v>26</v>
      </c>
      <c r="O45" s="396"/>
      <c r="P45" s="396"/>
      <c r="Q45" s="396"/>
      <c r="R45" s="396"/>
      <c r="S45" s="396"/>
      <c r="T45" s="396"/>
      <c r="U45" s="396"/>
      <c r="V45" s="396"/>
      <c r="W45" s="396"/>
      <c r="X45" s="396"/>
      <c r="Y45" s="396"/>
      <c r="Z45" s="396"/>
    </row>
    <row r="46" spans="2:26" ht="13.5" customHeight="1">
      <c r="B46" s="2439" t="s">
        <v>601</v>
      </c>
      <c r="C46" s="2500">
        <v>49</v>
      </c>
      <c r="D46" s="2499"/>
      <c r="E46" s="2499"/>
      <c r="F46" s="2502">
        <v>49</v>
      </c>
      <c r="G46" s="2506">
        <v>1317</v>
      </c>
      <c r="H46" s="2499"/>
      <c r="I46" s="2499"/>
      <c r="J46" s="2502">
        <v>1317</v>
      </c>
      <c r="K46" s="2504">
        <v>487</v>
      </c>
      <c r="L46" s="2511"/>
      <c r="M46" s="2511"/>
      <c r="N46" s="2502">
        <v>487</v>
      </c>
      <c r="O46" s="396"/>
      <c r="P46" s="396"/>
      <c r="Q46" s="396"/>
      <c r="R46" s="396"/>
      <c r="S46" s="396"/>
      <c r="T46" s="396"/>
      <c r="U46" s="396"/>
      <c r="V46" s="396"/>
      <c r="W46" s="396"/>
      <c r="X46" s="396"/>
      <c r="Y46" s="396"/>
      <c r="Z46" s="396"/>
    </row>
    <row r="47" spans="2:26" ht="13.5" customHeight="1">
      <c r="B47" s="2512" t="s">
        <v>118</v>
      </c>
      <c r="C47" s="2508">
        <f t="shared" ref="C47:N47" si="8">SUM(C38:C46)</f>
        <v>112</v>
      </c>
      <c r="D47" s="2508">
        <f t="shared" si="8"/>
        <v>0</v>
      </c>
      <c r="E47" s="2508">
        <f t="shared" si="8"/>
        <v>0</v>
      </c>
      <c r="F47" s="2508">
        <f t="shared" si="8"/>
        <v>112</v>
      </c>
      <c r="G47" s="2508">
        <f t="shared" si="8"/>
        <v>1900</v>
      </c>
      <c r="H47" s="2508">
        <f t="shared" si="8"/>
        <v>0</v>
      </c>
      <c r="I47" s="2508">
        <f t="shared" si="8"/>
        <v>0</v>
      </c>
      <c r="J47" s="2508">
        <f t="shared" si="8"/>
        <v>1900</v>
      </c>
      <c r="K47" s="2508">
        <f t="shared" si="8"/>
        <v>834</v>
      </c>
      <c r="L47" s="2508">
        <f t="shared" si="8"/>
        <v>0</v>
      </c>
      <c r="M47" s="2508">
        <f t="shared" si="8"/>
        <v>0</v>
      </c>
      <c r="N47" s="2508">
        <f t="shared" si="8"/>
        <v>834</v>
      </c>
      <c r="O47" s="396"/>
      <c r="P47" s="396"/>
      <c r="Q47" s="396"/>
      <c r="R47" s="396"/>
      <c r="S47" s="396"/>
      <c r="T47" s="396"/>
      <c r="U47" s="396"/>
      <c r="V47" s="396"/>
      <c r="W47" s="396"/>
      <c r="X47" s="396"/>
      <c r="Y47" s="396"/>
      <c r="Z47" s="396"/>
    </row>
    <row r="48" spans="2:26" ht="13.5" customHeight="1">
      <c r="B48" s="51"/>
      <c r="C48" s="420"/>
      <c r="D48" s="420"/>
      <c r="E48" s="420"/>
      <c r="F48" s="420"/>
      <c r="G48" s="420"/>
      <c r="H48" s="420"/>
      <c r="I48" s="420"/>
      <c r="J48" s="460"/>
      <c r="K48" s="420"/>
      <c r="L48" s="420"/>
      <c r="M48" s="420"/>
      <c r="N48" s="460"/>
      <c r="O48" s="396"/>
    </row>
    <row r="49" spans="2:26" ht="13.5" customHeight="1">
      <c r="B49" s="51"/>
      <c r="C49" s="420"/>
      <c r="D49" s="420"/>
      <c r="E49" s="420"/>
      <c r="F49" s="420"/>
      <c r="G49" s="420"/>
      <c r="H49" s="236"/>
      <c r="I49" s="236"/>
      <c r="J49" s="236"/>
      <c r="K49" s="236"/>
      <c r="L49" s="236"/>
      <c r="M49" s="420"/>
      <c r="N49" s="460"/>
      <c r="O49" s="396"/>
    </row>
    <row r="50" spans="2:26" ht="13.5" customHeight="1">
      <c r="B50" s="1611" t="s">
        <v>92</v>
      </c>
      <c r="L50" s="396"/>
    </row>
    <row r="51" spans="2:26" ht="26.25" customHeight="1">
      <c r="B51" s="3518" t="s">
        <v>586</v>
      </c>
      <c r="C51" s="3520" t="s">
        <v>587</v>
      </c>
      <c r="D51" s="3521"/>
      <c r="E51" s="3521"/>
      <c r="F51" s="3521"/>
      <c r="G51" s="3460" t="s">
        <v>588</v>
      </c>
      <c r="H51" s="3460"/>
      <c r="I51" s="3460"/>
      <c r="J51" s="3460"/>
      <c r="K51" s="3522" t="s">
        <v>589</v>
      </c>
      <c r="L51" s="3523"/>
      <c r="M51" s="3523"/>
      <c r="N51" s="3520"/>
    </row>
    <row r="52" spans="2:26" ht="13.5" customHeight="1">
      <c r="B52" s="3519"/>
      <c r="C52" s="2491" t="s">
        <v>590</v>
      </c>
      <c r="D52" s="2492" t="s">
        <v>591</v>
      </c>
      <c r="E52" s="2492" t="s">
        <v>592</v>
      </c>
      <c r="F52" s="2509" t="s">
        <v>118</v>
      </c>
      <c r="G52" s="2492" t="s">
        <v>590</v>
      </c>
      <c r="H52" s="2492" t="s">
        <v>591</v>
      </c>
      <c r="I52" s="2492" t="s">
        <v>592</v>
      </c>
      <c r="J52" s="2509" t="s">
        <v>118</v>
      </c>
      <c r="K52" s="2492" t="s">
        <v>590</v>
      </c>
      <c r="L52" s="2492" t="s">
        <v>591</v>
      </c>
      <c r="M52" s="2492" t="s">
        <v>592</v>
      </c>
      <c r="N52" s="2509" t="s">
        <v>118</v>
      </c>
    </row>
    <row r="53" spans="2:26" ht="13.5" customHeight="1">
      <c r="B53" s="1613" t="s">
        <v>593</v>
      </c>
      <c r="C53" s="2499">
        <v>0</v>
      </c>
      <c r="D53" s="2500">
        <v>7</v>
      </c>
      <c r="E53" s="2501"/>
      <c r="F53" s="2502">
        <v>7</v>
      </c>
      <c r="G53" s="2503"/>
      <c r="H53" s="2504">
        <v>14</v>
      </c>
      <c r="I53" s="2503"/>
      <c r="J53" s="2502">
        <v>14</v>
      </c>
      <c r="K53" s="2503"/>
      <c r="L53" s="2504">
        <v>111</v>
      </c>
      <c r="M53" s="2503"/>
      <c r="N53" s="2502">
        <v>111</v>
      </c>
      <c r="O53" s="396"/>
      <c r="P53" s="396"/>
      <c r="Q53" s="396"/>
      <c r="R53" s="396"/>
      <c r="S53" s="396"/>
      <c r="T53" s="396"/>
      <c r="U53" s="396"/>
      <c r="V53" s="396"/>
      <c r="W53" s="396"/>
      <c r="X53" s="396"/>
      <c r="Y53" s="396"/>
      <c r="Z53" s="396"/>
    </row>
    <row r="54" spans="2:26" ht="13.5" customHeight="1">
      <c r="B54" s="2439" t="s">
        <v>594</v>
      </c>
      <c r="C54" s="2503">
        <v>0</v>
      </c>
      <c r="D54" s="2504">
        <v>9</v>
      </c>
      <c r="E54" s="2501"/>
      <c r="F54" s="2502">
        <v>9</v>
      </c>
      <c r="G54" s="2503"/>
      <c r="H54" s="2504">
        <v>9</v>
      </c>
      <c r="I54" s="2503"/>
      <c r="J54" s="2502">
        <v>9</v>
      </c>
      <c r="K54" s="2503"/>
      <c r="L54" s="2504">
        <v>67</v>
      </c>
      <c r="M54" s="2503"/>
      <c r="N54" s="2502">
        <v>67</v>
      </c>
      <c r="O54" s="396"/>
      <c r="P54" s="396"/>
      <c r="Q54" s="396"/>
      <c r="R54" s="396"/>
      <c r="S54" s="396"/>
      <c r="T54" s="396"/>
      <c r="U54" s="396"/>
      <c r="V54" s="396"/>
      <c r="W54" s="396"/>
      <c r="X54" s="396"/>
      <c r="Y54" s="396"/>
      <c r="Z54" s="396"/>
    </row>
    <row r="55" spans="2:26" ht="13.5" customHeight="1">
      <c r="B55" s="2439" t="s">
        <v>595</v>
      </c>
      <c r="C55" s="2503">
        <v>0</v>
      </c>
      <c r="D55" s="2504">
        <v>7</v>
      </c>
      <c r="E55" s="2501"/>
      <c r="F55" s="2502">
        <v>7</v>
      </c>
      <c r="G55" s="2503"/>
      <c r="H55" s="2504">
        <v>16</v>
      </c>
      <c r="I55" s="2503"/>
      <c r="J55" s="2502">
        <v>16</v>
      </c>
      <c r="K55" s="2503"/>
      <c r="L55" s="2504">
        <v>58</v>
      </c>
      <c r="M55" s="2503"/>
      <c r="N55" s="2502">
        <v>58</v>
      </c>
      <c r="O55" s="396"/>
      <c r="P55" s="396"/>
      <c r="Q55" s="396"/>
      <c r="R55" s="396"/>
      <c r="S55" s="396"/>
      <c r="T55" s="396"/>
      <c r="U55" s="396"/>
      <c r="V55" s="396"/>
      <c r="W55" s="396"/>
      <c r="X55" s="396"/>
      <c r="Y55" s="396"/>
      <c r="Z55" s="396"/>
    </row>
    <row r="56" spans="2:26" ht="13.5" customHeight="1">
      <c r="B56" s="2439" t="s">
        <v>596</v>
      </c>
      <c r="C56" s="2503">
        <v>0</v>
      </c>
      <c r="D56" s="2504">
        <v>7</v>
      </c>
      <c r="E56" s="2501"/>
      <c r="F56" s="2502">
        <v>7</v>
      </c>
      <c r="G56" s="2503"/>
      <c r="H56" s="2504"/>
      <c r="I56" s="2503"/>
      <c r="J56" s="2502">
        <v>0</v>
      </c>
      <c r="K56" s="2503"/>
      <c r="L56" s="2504">
        <v>76</v>
      </c>
      <c r="M56" s="2503"/>
      <c r="N56" s="2502">
        <v>76</v>
      </c>
      <c r="O56" s="396"/>
      <c r="P56" s="396"/>
      <c r="Q56" s="396"/>
      <c r="R56" s="396"/>
      <c r="S56" s="396"/>
      <c r="T56" s="396"/>
      <c r="U56" s="396"/>
      <c r="V56" s="396"/>
      <c r="W56" s="396"/>
      <c r="X56" s="396"/>
      <c r="Y56" s="396"/>
      <c r="Z56" s="396"/>
    </row>
    <row r="57" spans="2:26" ht="13.5" customHeight="1">
      <c r="B57" s="2439" t="s">
        <v>602</v>
      </c>
      <c r="C57" s="2503">
        <v>0</v>
      </c>
      <c r="D57" s="2504">
        <v>14</v>
      </c>
      <c r="E57" s="2501"/>
      <c r="F57" s="2502">
        <v>14</v>
      </c>
      <c r="G57" s="2503"/>
      <c r="H57" s="2504">
        <v>17</v>
      </c>
      <c r="I57" s="2503"/>
      <c r="J57" s="2502">
        <v>17</v>
      </c>
      <c r="K57" s="2503"/>
      <c r="L57" s="2504">
        <v>167</v>
      </c>
      <c r="M57" s="2503"/>
      <c r="N57" s="2502">
        <v>167</v>
      </c>
      <c r="O57" s="396"/>
      <c r="P57" s="396"/>
      <c r="Q57" s="396"/>
      <c r="R57" s="396"/>
      <c r="S57" s="396"/>
      <c r="T57" s="396"/>
      <c r="U57" s="396"/>
      <c r="V57" s="396"/>
      <c r="W57" s="396"/>
      <c r="X57" s="396"/>
      <c r="Y57" s="396"/>
      <c r="Z57" s="396"/>
    </row>
    <row r="58" spans="2:26" ht="13.5" customHeight="1">
      <c r="B58" s="2439" t="s">
        <v>598</v>
      </c>
      <c r="C58" s="2503">
        <v>0</v>
      </c>
      <c r="D58" s="2504">
        <v>8</v>
      </c>
      <c r="E58" s="2501"/>
      <c r="F58" s="2502">
        <v>8</v>
      </c>
      <c r="G58" s="2503"/>
      <c r="H58" s="2504">
        <v>11</v>
      </c>
      <c r="I58" s="2503"/>
      <c r="J58" s="2502">
        <v>11</v>
      </c>
      <c r="K58" s="2503"/>
      <c r="L58" s="2504">
        <v>69</v>
      </c>
      <c r="M58" s="2503"/>
      <c r="N58" s="2502">
        <v>69</v>
      </c>
      <c r="O58" s="396"/>
      <c r="P58" s="396"/>
      <c r="Q58" s="396"/>
      <c r="R58" s="396"/>
      <c r="S58" s="396"/>
      <c r="T58" s="396"/>
      <c r="U58" s="396"/>
      <c r="V58" s="396"/>
      <c r="W58" s="396"/>
      <c r="X58" s="396"/>
      <c r="Y58" s="396"/>
      <c r="Z58" s="396"/>
    </row>
    <row r="59" spans="2:26" ht="13.5" customHeight="1">
      <c r="B59" s="2439" t="s">
        <v>599</v>
      </c>
      <c r="C59" s="2503">
        <v>0</v>
      </c>
      <c r="D59" s="2504">
        <v>12</v>
      </c>
      <c r="E59" s="2501"/>
      <c r="F59" s="2502">
        <v>12</v>
      </c>
      <c r="G59" s="2503"/>
      <c r="H59" s="2504">
        <v>15</v>
      </c>
      <c r="I59" s="2503"/>
      <c r="J59" s="2502">
        <v>15</v>
      </c>
      <c r="K59" s="2503"/>
      <c r="L59" s="2504">
        <v>195</v>
      </c>
      <c r="M59" s="2503"/>
      <c r="N59" s="2502">
        <v>195</v>
      </c>
      <c r="O59" s="396"/>
      <c r="P59" s="396"/>
      <c r="Q59" s="396"/>
      <c r="R59" s="396"/>
      <c r="S59" s="396"/>
      <c r="T59" s="396"/>
      <c r="U59" s="396"/>
      <c r="V59" s="396"/>
      <c r="W59" s="396"/>
      <c r="X59" s="396"/>
      <c r="Y59" s="396"/>
      <c r="Z59" s="396"/>
    </row>
    <row r="60" spans="2:26" ht="13.5" customHeight="1">
      <c r="B60" s="2439" t="s">
        <v>600</v>
      </c>
      <c r="C60" s="2503">
        <v>0</v>
      </c>
      <c r="D60" s="2504">
        <v>10</v>
      </c>
      <c r="E60" s="2501"/>
      <c r="F60" s="2502">
        <v>10</v>
      </c>
      <c r="G60" s="2503"/>
      <c r="H60" s="2504">
        <v>13</v>
      </c>
      <c r="I60" s="2503"/>
      <c r="J60" s="2502">
        <v>13</v>
      </c>
      <c r="K60" s="2503"/>
      <c r="L60" s="2504">
        <v>70</v>
      </c>
      <c r="M60" s="2503"/>
      <c r="N60" s="2502">
        <v>70</v>
      </c>
      <c r="O60" s="396"/>
      <c r="P60" s="396"/>
      <c r="Q60" s="396"/>
      <c r="R60" s="396"/>
      <c r="S60" s="396"/>
      <c r="T60" s="396"/>
      <c r="U60" s="396"/>
      <c r="V60" s="396"/>
      <c r="W60" s="396"/>
      <c r="X60" s="396"/>
      <c r="Y60" s="396"/>
      <c r="Z60" s="396"/>
    </row>
    <row r="61" spans="2:26" ht="13.5" customHeight="1">
      <c r="B61" s="2439" t="s">
        <v>601</v>
      </c>
      <c r="C61" s="2503">
        <v>0</v>
      </c>
      <c r="D61" s="2504">
        <v>26</v>
      </c>
      <c r="E61" s="2501"/>
      <c r="F61" s="2502">
        <v>26</v>
      </c>
      <c r="G61" s="2503"/>
      <c r="H61" s="2504">
        <v>123</v>
      </c>
      <c r="I61" s="2513"/>
      <c r="J61" s="2502">
        <v>123</v>
      </c>
      <c r="K61" s="2503"/>
      <c r="L61" s="2504">
        <v>270</v>
      </c>
      <c r="M61" s="2503"/>
      <c r="N61" s="2502">
        <v>270</v>
      </c>
      <c r="O61" s="396"/>
      <c r="P61" s="396"/>
      <c r="Q61" s="396"/>
      <c r="R61" s="396"/>
      <c r="S61" s="396"/>
      <c r="T61" s="396"/>
      <c r="U61" s="396"/>
      <c r="V61" s="396"/>
      <c r="W61" s="396"/>
      <c r="X61" s="396"/>
      <c r="Y61" s="396"/>
      <c r="Z61" s="396"/>
    </row>
    <row r="62" spans="2:26" ht="13.5" customHeight="1">
      <c r="B62" s="2512" t="s">
        <v>118</v>
      </c>
      <c r="C62" s="2508"/>
      <c r="D62" s="2508">
        <f>SUM(D53:D61)</f>
        <v>100</v>
      </c>
      <c r="E62" s="2508"/>
      <c r="F62" s="2508">
        <f>SUM(F53:F61)</f>
        <v>100</v>
      </c>
      <c r="G62" s="2508"/>
      <c r="H62" s="2508">
        <f>SUM(H53:H61)</f>
        <v>218</v>
      </c>
      <c r="I62" s="2508"/>
      <c r="J62" s="2508">
        <f>SUM(J53:J61)</f>
        <v>218</v>
      </c>
      <c r="K62" s="2508"/>
      <c r="L62" s="2508">
        <f>SUM(L53:L61)</f>
        <v>1083</v>
      </c>
      <c r="M62" s="2508"/>
      <c r="N62" s="2508">
        <f>SUM(N53:N61)</f>
        <v>1083</v>
      </c>
      <c r="O62" s="396"/>
      <c r="P62" s="396"/>
      <c r="Q62" s="396"/>
      <c r="R62" s="396"/>
      <c r="S62" s="396"/>
      <c r="T62" s="396"/>
      <c r="U62" s="396"/>
      <c r="V62" s="396"/>
      <c r="W62" s="396"/>
      <c r="X62" s="396"/>
      <c r="Y62" s="396"/>
      <c r="Z62" s="396"/>
    </row>
    <row r="63" spans="2:26" ht="13.15">
      <c r="B63" s="51"/>
      <c r="C63" s="420"/>
      <c r="D63" s="420"/>
      <c r="E63" s="420"/>
      <c r="F63" s="420"/>
      <c r="G63" s="420"/>
      <c r="H63" s="236"/>
      <c r="I63" s="236"/>
      <c r="J63" s="236"/>
      <c r="K63" s="236"/>
      <c r="L63" s="236"/>
      <c r="M63" s="420"/>
      <c r="N63" s="420"/>
    </row>
    <row r="64" spans="2:26" ht="13.5" customHeight="1">
      <c r="B64" s="51"/>
      <c r="C64" s="420"/>
      <c r="D64" s="420"/>
      <c r="E64" s="420"/>
      <c r="F64" s="420"/>
      <c r="G64" s="420"/>
      <c r="H64" s="420"/>
      <c r="I64" s="420"/>
      <c r="J64" s="420"/>
      <c r="K64" s="420"/>
      <c r="L64" s="420"/>
      <c r="M64" s="420"/>
      <c r="N64" s="420"/>
    </row>
    <row r="65" spans="2:26" ht="13.5" customHeight="1">
      <c r="B65" s="1611" t="s">
        <v>94</v>
      </c>
      <c r="O65" s="396"/>
    </row>
    <row r="66" spans="2:26" ht="27" customHeight="1">
      <c r="B66" s="3518" t="s">
        <v>586</v>
      </c>
      <c r="C66" s="3520" t="s">
        <v>587</v>
      </c>
      <c r="D66" s="3521"/>
      <c r="E66" s="3521"/>
      <c r="F66" s="3521"/>
      <c r="G66" s="3460" t="s">
        <v>588</v>
      </c>
      <c r="H66" s="3460"/>
      <c r="I66" s="3460"/>
      <c r="J66" s="3460"/>
      <c r="K66" s="3522" t="s">
        <v>589</v>
      </c>
      <c r="L66" s="3523"/>
      <c r="M66" s="3523"/>
      <c r="N66" s="3520"/>
      <c r="O66" s="274"/>
    </row>
    <row r="67" spans="2:26" ht="13.5" customHeight="1">
      <c r="B67" s="3519"/>
      <c r="C67" s="2491" t="s">
        <v>590</v>
      </c>
      <c r="D67" s="2492" t="s">
        <v>591</v>
      </c>
      <c r="E67" s="2492" t="s">
        <v>592</v>
      </c>
      <c r="F67" s="2509" t="s">
        <v>118</v>
      </c>
      <c r="G67" s="2492" t="s">
        <v>590</v>
      </c>
      <c r="H67" s="2492" t="s">
        <v>591</v>
      </c>
      <c r="I67" s="2492" t="s">
        <v>592</v>
      </c>
      <c r="J67" s="2509" t="s">
        <v>118</v>
      </c>
      <c r="K67" s="2492" t="s">
        <v>590</v>
      </c>
      <c r="L67" s="2492" t="s">
        <v>591</v>
      </c>
      <c r="M67" s="2492" t="s">
        <v>592</v>
      </c>
      <c r="N67" s="2509" t="s">
        <v>118</v>
      </c>
      <c r="O67" s="274"/>
    </row>
    <row r="68" spans="2:26" ht="13.5" customHeight="1">
      <c r="B68" s="1613" t="s">
        <v>593</v>
      </c>
      <c r="C68" s="2514">
        <v>4</v>
      </c>
      <c r="D68" s="2515"/>
      <c r="E68" s="2515">
        <v>1</v>
      </c>
      <c r="F68" s="2502">
        <v>5</v>
      </c>
      <c r="G68" s="2516">
        <v>26</v>
      </c>
      <c r="H68" s="2515"/>
      <c r="I68" s="2516">
        <v>8</v>
      </c>
      <c r="J68" s="2502">
        <v>34</v>
      </c>
      <c r="K68" s="841"/>
      <c r="L68" s="2515"/>
      <c r="M68" s="2513"/>
      <c r="N68" s="2502"/>
      <c r="O68" s="461"/>
      <c r="P68" s="461"/>
      <c r="Q68" s="461"/>
      <c r="R68" s="461"/>
      <c r="S68" s="461"/>
      <c r="T68" s="461"/>
      <c r="U68" s="461"/>
      <c r="V68" s="461"/>
      <c r="W68" s="461"/>
      <c r="X68" s="461"/>
      <c r="Y68" s="461"/>
      <c r="Z68" s="461"/>
    </row>
    <row r="69" spans="2:26" ht="13.5" customHeight="1">
      <c r="B69" s="2439" t="s">
        <v>594</v>
      </c>
      <c r="C69" s="841">
        <v>1</v>
      </c>
      <c r="D69" s="2515"/>
      <c r="E69" s="2515">
        <v>4</v>
      </c>
      <c r="F69" s="2502">
        <v>5</v>
      </c>
      <c r="G69" s="841">
        <v>16</v>
      </c>
      <c r="H69" s="2515"/>
      <c r="I69" s="841">
        <v>8</v>
      </c>
      <c r="J69" s="2502">
        <v>24</v>
      </c>
      <c r="K69" s="841">
        <v>1</v>
      </c>
      <c r="L69" s="2515"/>
      <c r="M69" s="2513"/>
      <c r="N69" s="2502">
        <v>1</v>
      </c>
      <c r="O69" s="461"/>
      <c r="P69" s="461"/>
      <c r="Q69" s="461"/>
      <c r="R69" s="461"/>
      <c r="S69" s="461"/>
      <c r="T69" s="461"/>
      <c r="U69" s="461"/>
      <c r="V69" s="461"/>
      <c r="W69" s="461"/>
      <c r="X69" s="461"/>
      <c r="Y69" s="461"/>
      <c r="Z69" s="461"/>
    </row>
    <row r="70" spans="2:26" ht="13.5" customHeight="1">
      <c r="B70" s="2439" t="s">
        <v>595</v>
      </c>
      <c r="C70" s="841"/>
      <c r="D70" s="2515"/>
      <c r="E70" s="2515">
        <v>2</v>
      </c>
      <c r="F70" s="2502">
        <v>2</v>
      </c>
      <c r="G70" s="841"/>
      <c r="H70" s="2515"/>
      <c r="I70" s="841">
        <v>1</v>
      </c>
      <c r="J70" s="2502">
        <v>1</v>
      </c>
      <c r="K70" s="842"/>
      <c r="L70" s="2515"/>
      <c r="M70" s="2513"/>
      <c r="N70" s="2502"/>
      <c r="O70" s="461"/>
      <c r="P70" s="461"/>
      <c r="Q70" s="461"/>
      <c r="R70" s="461"/>
      <c r="S70" s="461"/>
      <c r="T70" s="461"/>
      <c r="U70" s="461"/>
      <c r="V70" s="461"/>
      <c r="W70" s="461"/>
      <c r="X70" s="461"/>
      <c r="Y70" s="461"/>
      <c r="Z70" s="461"/>
    </row>
    <row r="71" spans="2:26" ht="13.5" customHeight="1">
      <c r="B71" s="2439" t="s">
        <v>596</v>
      </c>
      <c r="C71" s="841"/>
      <c r="D71" s="2515"/>
      <c r="E71" s="2515">
        <v>2</v>
      </c>
      <c r="F71" s="2502">
        <v>2</v>
      </c>
      <c r="G71" s="841">
        <v>18</v>
      </c>
      <c r="H71" s="2515"/>
      <c r="I71" s="841">
        <v>5</v>
      </c>
      <c r="J71" s="2502">
        <v>23</v>
      </c>
      <c r="K71" s="841">
        <v>2</v>
      </c>
      <c r="L71" s="2515"/>
      <c r="M71" s="2513"/>
      <c r="N71" s="2502">
        <v>2</v>
      </c>
      <c r="O71" s="461"/>
      <c r="P71" s="461"/>
      <c r="Q71" s="461"/>
      <c r="R71" s="461"/>
      <c r="S71" s="461"/>
      <c r="T71" s="461"/>
      <c r="U71" s="461"/>
      <c r="V71" s="461"/>
      <c r="W71" s="461"/>
      <c r="X71" s="461"/>
      <c r="Y71" s="461"/>
      <c r="Z71" s="461"/>
    </row>
    <row r="72" spans="2:26" ht="13.5" customHeight="1">
      <c r="B72" s="2439" t="s">
        <v>602</v>
      </c>
      <c r="C72" s="841">
        <v>2</v>
      </c>
      <c r="D72" s="2515"/>
      <c r="E72" s="2515">
        <v>1</v>
      </c>
      <c r="F72" s="2502">
        <v>3</v>
      </c>
      <c r="G72" s="841">
        <v>8</v>
      </c>
      <c r="H72" s="2515"/>
      <c r="I72" s="841">
        <v>1</v>
      </c>
      <c r="J72" s="2502">
        <v>9</v>
      </c>
      <c r="K72" s="842"/>
      <c r="L72" s="2515"/>
      <c r="M72" s="2513"/>
      <c r="N72" s="2502"/>
      <c r="O72" s="461"/>
      <c r="P72" s="461"/>
      <c r="Q72" s="461"/>
      <c r="R72" s="461"/>
      <c r="S72" s="461"/>
      <c r="T72" s="461"/>
      <c r="U72" s="461"/>
      <c r="V72" s="461"/>
      <c r="W72" s="461"/>
      <c r="X72" s="461"/>
      <c r="Y72" s="461"/>
      <c r="Z72" s="461"/>
    </row>
    <row r="73" spans="2:26" ht="13.5" customHeight="1">
      <c r="B73" s="2439" t="s">
        <v>598</v>
      </c>
      <c r="C73" s="841"/>
      <c r="D73" s="2515"/>
      <c r="E73" s="2515">
        <v>2</v>
      </c>
      <c r="F73" s="2502">
        <v>2</v>
      </c>
      <c r="G73" s="841">
        <v>3</v>
      </c>
      <c r="H73" s="2515"/>
      <c r="I73" s="841">
        <v>1</v>
      </c>
      <c r="J73" s="2502">
        <v>4</v>
      </c>
      <c r="K73" s="842"/>
      <c r="L73" s="2515"/>
      <c r="M73" s="2513"/>
      <c r="N73" s="2502"/>
      <c r="O73" s="461"/>
      <c r="P73" s="461"/>
      <c r="Q73" s="461"/>
      <c r="R73" s="461"/>
      <c r="S73" s="461"/>
      <c r="T73" s="461"/>
      <c r="U73" s="461"/>
      <c r="V73" s="461"/>
      <c r="W73" s="461"/>
      <c r="X73" s="461"/>
      <c r="Y73" s="461"/>
      <c r="Z73" s="461"/>
    </row>
    <row r="74" spans="2:26" ht="13.5" customHeight="1">
      <c r="B74" s="2439" t="s">
        <v>599</v>
      </c>
      <c r="C74" s="841"/>
      <c r="D74" s="2515"/>
      <c r="E74" s="2515">
        <v>2</v>
      </c>
      <c r="F74" s="2502">
        <v>2</v>
      </c>
      <c r="G74" s="841">
        <v>13</v>
      </c>
      <c r="H74" s="2515"/>
      <c r="I74" s="841">
        <v>3</v>
      </c>
      <c r="J74" s="2502">
        <v>16</v>
      </c>
      <c r="K74" s="841">
        <v>1</v>
      </c>
      <c r="L74" s="2515"/>
      <c r="M74" s="2513"/>
      <c r="N74" s="2502">
        <v>1</v>
      </c>
      <c r="O74" s="461"/>
      <c r="P74" s="461"/>
      <c r="Q74" s="461"/>
      <c r="R74" s="461"/>
      <c r="S74" s="461"/>
      <c r="T74" s="461"/>
      <c r="U74" s="461"/>
      <c r="V74" s="461"/>
      <c r="W74" s="461"/>
      <c r="X74" s="461"/>
      <c r="Y74" s="461"/>
      <c r="Z74" s="461"/>
    </row>
    <row r="75" spans="2:26" ht="13.5" customHeight="1">
      <c r="B75" s="2439" t="s">
        <v>600</v>
      </c>
      <c r="C75" s="841">
        <v>2</v>
      </c>
      <c r="D75" s="2515"/>
      <c r="E75" s="2515"/>
      <c r="F75" s="2502">
        <v>2</v>
      </c>
      <c r="G75" s="841">
        <v>21</v>
      </c>
      <c r="H75" s="2515"/>
      <c r="I75" s="842"/>
      <c r="J75" s="2502">
        <v>21</v>
      </c>
      <c r="K75" s="842"/>
      <c r="L75" s="2515"/>
      <c r="M75" s="2513"/>
      <c r="N75" s="2502"/>
      <c r="O75" s="461"/>
      <c r="P75" s="461"/>
      <c r="Q75" s="461"/>
      <c r="R75" s="461"/>
      <c r="S75" s="461"/>
      <c r="T75" s="461"/>
      <c r="U75" s="461"/>
      <c r="V75" s="461"/>
      <c r="W75" s="461"/>
      <c r="X75" s="461"/>
      <c r="Y75" s="461"/>
      <c r="Z75" s="461"/>
    </row>
    <row r="76" spans="2:26" ht="13.5" customHeight="1">
      <c r="B76" s="2439" t="s">
        <v>601</v>
      </c>
      <c r="C76" s="841">
        <v>3</v>
      </c>
      <c r="D76" s="2515"/>
      <c r="E76" s="2515">
        <v>4</v>
      </c>
      <c r="F76" s="2502">
        <v>7</v>
      </c>
      <c r="G76" s="841">
        <v>228</v>
      </c>
      <c r="H76" s="2515"/>
      <c r="I76" s="841">
        <v>47</v>
      </c>
      <c r="J76" s="2502">
        <v>275</v>
      </c>
      <c r="K76" s="841">
        <v>6</v>
      </c>
      <c r="L76" s="2515"/>
      <c r="M76" s="2513"/>
      <c r="N76" s="2502">
        <v>6</v>
      </c>
      <c r="O76" s="461"/>
      <c r="P76" s="461"/>
      <c r="Q76" s="461"/>
      <c r="R76" s="461"/>
      <c r="S76" s="461"/>
      <c r="T76" s="461"/>
      <c r="U76" s="461"/>
      <c r="V76" s="461"/>
      <c r="W76" s="461"/>
      <c r="X76" s="461"/>
      <c r="Y76" s="461"/>
      <c r="Z76" s="461"/>
    </row>
    <row r="77" spans="2:26" ht="13.5" customHeight="1">
      <c r="B77" s="2512" t="s">
        <v>118</v>
      </c>
      <c r="C77" s="2508">
        <f>SUM(C68:C76)</f>
        <v>12</v>
      </c>
      <c r="D77" s="2508">
        <f t="shared" ref="D77:N77" si="9">SUM(D68:D76)</f>
        <v>0</v>
      </c>
      <c r="E77" s="2508">
        <f t="shared" si="9"/>
        <v>18</v>
      </c>
      <c r="F77" s="2508">
        <f t="shared" si="9"/>
        <v>30</v>
      </c>
      <c r="G77" s="2508">
        <f t="shared" si="9"/>
        <v>333</v>
      </c>
      <c r="H77" s="2508">
        <f t="shared" si="9"/>
        <v>0</v>
      </c>
      <c r="I77" s="2508">
        <f t="shared" si="9"/>
        <v>74</v>
      </c>
      <c r="J77" s="2508">
        <f t="shared" si="9"/>
        <v>407</v>
      </c>
      <c r="K77" s="2508">
        <f t="shared" si="9"/>
        <v>10</v>
      </c>
      <c r="L77" s="2508">
        <f t="shared" si="9"/>
        <v>0</v>
      </c>
      <c r="M77" s="2508">
        <f t="shared" si="9"/>
        <v>0</v>
      </c>
      <c r="N77" s="2508">
        <f t="shared" si="9"/>
        <v>10</v>
      </c>
      <c r="O77" s="461"/>
      <c r="P77" s="461"/>
      <c r="Q77" s="461"/>
      <c r="R77" s="461"/>
      <c r="S77" s="461"/>
      <c r="T77" s="461"/>
      <c r="U77" s="461"/>
      <c r="V77" s="461"/>
      <c r="W77" s="461"/>
      <c r="X77" s="461"/>
      <c r="Y77" s="461"/>
      <c r="Z77" s="461"/>
    </row>
    <row r="78" spans="2:26" ht="13.5" customHeight="1">
      <c r="B78" s="51"/>
      <c r="C78" s="420"/>
      <c r="D78" s="420"/>
      <c r="E78" s="420"/>
      <c r="F78" s="420"/>
      <c r="G78" s="420"/>
      <c r="H78" s="420"/>
      <c r="I78" s="420"/>
      <c r="J78" s="420"/>
      <c r="K78" s="420"/>
      <c r="L78" s="420"/>
      <c r="M78" s="420"/>
      <c r="N78" s="420"/>
    </row>
    <row r="79" spans="2:26" ht="13.5" customHeight="1">
      <c r="B79" s="51"/>
      <c r="C79" s="420"/>
      <c r="D79" s="420"/>
      <c r="E79" s="420"/>
      <c r="F79" s="420"/>
      <c r="G79" s="420"/>
      <c r="H79" s="420"/>
      <c r="I79" s="420"/>
      <c r="J79" s="420"/>
      <c r="K79" s="420"/>
      <c r="L79" s="420"/>
      <c r="M79" s="420"/>
      <c r="N79" s="460">
        <v>171</v>
      </c>
    </row>
    <row r="80" spans="2:26" ht="13.5" customHeight="1">
      <c r="B80" s="51"/>
      <c r="C80" s="420"/>
      <c r="D80" s="420"/>
      <c r="E80" s="420"/>
      <c r="F80" s="420"/>
      <c r="G80" s="420"/>
      <c r="H80" s="236"/>
      <c r="I80" s="236"/>
      <c r="J80" s="236"/>
      <c r="K80" s="236"/>
      <c r="L80" s="236"/>
      <c r="M80" s="420"/>
      <c r="N80" s="420"/>
    </row>
    <row r="81" spans="2:26" ht="13.5" customHeight="1">
      <c r="B81" s="1611" t="s">
        <v>93</v>
      </c>
    </row>
    <row r="82" spans="2:26" ht="26.25" customHeight="1">
      <c r="B82" s="3532" t="s">
        <v>586</v>
      </c>
      <c r="C82" s="3521" t="s">
        <v>587</v>
      </c>
      <c r="D82" s="3521"/>
      <c r="E82" s="3521"/>
      <c r="F82" s="3521"/>
      <c r="G82" s="3460" t="s">
        <v>588</v>
      </c>
      <c r="H82" s="3460"/>
      <c r="I82" s="3460"/>
      <c r="J82" s="3460"/>
      <c r="K82" s="3522" t="s">
        <v>589</v>
      </c>
      <c r="L82" s="3523"/>
      <c r="M82" s="3523"/>
      <c r="N82" s="3520"/>
    </row>
    <row r="83" spans="2:26" ht="13.5" customHeight="1">
      <c r="B83" s="3533"/>
      <c r="C83" s="2492" t="s">
        <v>590</v>
      </c>
      <c r="D83" s="2492" t="s">
        <v>591</v>
      </c>
      <c r="E83" s="2492" t="s">
        <v>592</v>
      </c>
      <c r="F83" s="2509" t="s">
        <v>118</v>
      </c>
      <c r="G83" s="2492" t="s">
        <v>590</v>
      </c>
      <c r="H83" s="2492" t="s">
        <v>591</v>
      </c>
      <c r="I83" s="2492" t="s">
        <v>592</v>
      </c>
      <c r="J83" s="2509" t="s">
        <v>118</v>
      </c>
      <c r="K83" s="2492" t="s">
        <v>590</v>
      </c>
      <c r="L83" s="2492" t="s">
        <v>591</v>
      </c>
      <c r="M83" s="2492" t="s">
        <v>592</v>
      </c>
      <c r="N83" s="2509" t="s">
        <v>118</v>
      </c>
    </row>
    <row r="84" spans="2:26" ht="13.5" customHeight="1">
      <c r="B84" s="2439" t="s">
        <v>593</v>
      </c>
      <c r="C84" s="2511"/>
      <c r="D84" s="2500">
        <v>6</v>
      </c>
      <c r="E84" s="2515"/>
      <c r="F84" s="2502">
        <v>6</v>
      </c>
      <c r="G84" s="2513"/>
      <c r="H84" s="2504">
        <v>16</v>
      </c>
      <c r="I84" s="2513"/>
      <c r="J84" s="2502">
        <v>16</v>
      </c>
      <c r="K84" s="2513"/>
      <c r="L84" s="2504">
        <v>66</v>
      </c>
      <c r="M84" s="2513"/>
      <c r="N84" s="2502">
        <v>66</v>
      </c>
      <c r="O84" s="396"/>
      <c r="P84" s="396"/>
      <c r="Q84" s="396"/>
      <c r="R84" s="396"/>
      <c r="S84" s="396"/>
      <c r="T84" s="396"/>
      <c r="U84" s="396"/>
      <c r="V84" s="396"/>
      <c r="W84" s="396"/>
      <c r="X84" s="396"/>
      <c r="Y84" s="396"/>
      <c r="Z84" s="396"/>
    </row>
    <row r="85" spans="2:26" ht="13.5" customHeight="1">
      <c r="B85" s="2439" t="s">
        <v>594</v>
      </c>
      <c r="C85" s="2513"/>
      <c r="D85" s="2500">
        <v>9</v>
      </c>
      <c r="E85" s="2515"/>
      <c r="F85" s="2502">
        <v>9</v>
      </c>
      <c r="G85" s="2513"/>
      <c r="H85" s="2504">
        <v>16</v>
      </c>
      <c r="I85" s="2513"/>
      <c r="J85" s="2502">
        <v>16</v>
      </c>
      <c r="K85" s="2513"/>
      <c r="L85" s="2504">
        <v>141</v>
      </c>
      <c r="M85" s="2513"/>
      <c r="N85" s="2502">
        <v>141</v>
      </c>
      <c r="O85" s="396"/>
      <c r="P85" s="396"/>
      <c r="Q85" s="396"/>
      <c r="R85" s="396"/>
      <c r="S85" s="396"/>
      <c r="T85" s="396"/>
      <c r="U85" s="396"/>
      <c r="V85" s="396"/>
      <c r="W85" s="396"/>
      <c r="X85" s="396"/>
      <c r="Y85" s="396"/>
      <c r="Z85" s="396"/>
    </row>
    <row r="86" spans="2:26" ht="13.5" customHeight="1">
      <c r="B86" s="2439" t="s">
        <v>595</v>
      </c>
      <c r="C86" s="2513"/>
      <c r="D86" s="2500">
        <v>2</v>
      </c>
      <c r="E86" s="2515"/>
      <c r="F86" s="2502">
        <v>2</v>
      </c>
      <c r="G86" s="2513"/>
      <c r="H86" s="2504">
        <v>2</v>
      </c>
      <c r="I86" s="2513"/>
      <c r="J86" s="2502">
        <v>2</v>
      </c>
      <c r="K86" s="2513"/>
      <c r="L86" s="2504">
        <v>24</v>
      </c>
      <c r="M86" s="2513"/>
      <c r="N86" s="2502">
        <v>24</v>
      </c>
      <c r="O86" s="396"/>
      <c r="P86" s="396"/>
      <c r="Q86" s="396"/>
      <c r="R86" s="396"/>
      <c r="S86" s="396"/>
      <c r="T86" s="396"/>
      <c r="U86" s="396"/>
      <c r="V86" s="396"/>
      <c r="W86" s="396"/>
      <c r="X86" s="396"/>
      <c r="Y86" s="396"/>
      <c r="Z86" s="396"/>
    </row>
    <row r="87" spans="2:26" ht="13.5" customHeight="1">
      <c r="B87" s="2439" t="s">
        <v>596</v>
      </c>
      <c r="C87" s="2513"/>
      <c r="D87" s="2500">
        <v>2</v>
      </c>
      <c r="E87" s="2515"/>
      <c r="F87" s="2502">
        <v>2</v>
      </c>
      <c r="G87" s="2513"/>
      <c r="H87" s="2504">
        <v>5</v>
      </c>
      <c r="I87" s="2513"/>
      <c r="J87" s="2502">
        <v>5</v>
      </c>
      <c r="K87" s="2513"/>
      <c r="L87" s="2504">
        <v>27</v>
      </c>
      <c r="M87" s="2513"/>
      <c r="N87" s="2502">
        <v>27</v>
      </c>
      <c r="O87" s="396"/>
      <c r="P87" s="396"/>
      <c r="Q87" s="396"/>
      <c r="R87" s="396"/>
      <c r="S87" s="396"/>
      <c r="T87" s="396"/>
      <c r="U87" s="396"/>
      <c r="V87" s="396"/>
      <c r="W87" s="396"/>
      <c r="X87" s="396"/>
      <c r="Y87" s="396"/>
      <c r="Z87" s="396"/>
    </row>
    <row r="88" spans="2:26" ht="13.5" customHeight="1">
      <c r="B88" s="2439" t="s">
        <v>602</v>
      </c>
      <c r="C88" s="2513"/>
      <c r="D88" s="2500">
        <v>1</v>
      </c>
      <c r="E88" s="2515"/>
      <c r="F88" s="2502">
        <v>1</v>
      </c>
      <c r="G88" s="2513"/>
      <c r="H88" s="2504">
        <v>3</v>
      </c>
      <c r="I88" s="2513"/>
      <c r="J88" s="2502">
        <v>3</v>
      </c>
      <c r="K88" s="2513"/>
      <c r="L88" s="2504">
        <v>16</v>
      </c>
      <c r="M88" s="2513"/>
      <c r="N88" s="2502">
        <v>16</v>
      </c>
      <c r="O88" s="396"/>
      <c r="P88" s="396"/>
      <c r="Q88" s="396"/>
      <c r="R88" s="396"/>
      <c r="S88" s="396"/>
      <c r="T88" s="396"/>
      <c r="U88" s="396"/>
      <c r="V88" s="396"/>
      <c r="W88" s="396"/>
      <c r="X88" s="396"/>
      <c r="Y88" s="396"/>
      <c r="Z88" s="396"/>
    </row>
    <row r="89" spans="2:26" ht="13.5" customHeight="1">
      <c r="B89" s="2439" t="s">
        <v>598</v>
      </c>
      <c r="C89" s="2513"/>
      <c r="D89" s="2500">
        <v>2</v>
      </c>
      <c r="E89" s="2515"/>
      <c r="F89" s="2502">
        <v>2</v>
      </c>
      <c r="G89" s="2513"/>
      <c r="H89" s="2504">
        <v>3</v>
      </c>
      <c r="I89" s="2513"/>
      <c r="J89" s="2502">
        <v>3</v>
      </c>
      <c r="K89" s="2513"/>
      <c r="L89" s="2504">
        <v>12</v>
      </c>
      <c r="M89" s="2513"/>
      <c r="N89" s="2502">
        <v>12</v>
      </c>
      <c r="O89" s="396"/>
      <c r="P89" s="396"/>
      <c r="Q89" s="396"/>
      <c r="R89" s="396"/>
      <c r="S89" s="396"/>
      <c r="T89" s="396"/>
      <c r="U89" s="396"/>
      <c r="V89" s="396"/>
      <c r="W89" s="396"/>
      <c r="X89" s="396"/>
      <c r="Y89" s="396"/>
      <c r="Z89" s="396"/>
    </row>
    <row r="90" spans="2:26" ht="13.5" customHeight="1">
      <c r="B90" s="2439" t="s">
        <v>599</v>
      </c>
      <c r="C90" s="2513"/>
      <c r="D90" s="2500">
        <v>2</v>
      </c>
      <c r="E90" s="2515"/>
      <c r="F90" s="2502">
        <v>2</v>
      </c>
      <c r="G90" s="2513"/>
      <c r="H90" s="2504">
        <v>1</v>
      </c>
      <c r="I90" s="2513"/>
      <c r="J90" s="2502">
        <v>1</v>
      </c>
      <c r="K90" s="2513"/>
      <c r="L90" s="2504">
        <v>7</v>
      </c>
      <c r="M90" s="2513"/>
      <c r="N90" s="2502">
        <v>7</v>
      </c>
      <c r="O90" s="396"/>
      <c r="P90" s="396"/>
      <c r="Q90" s="396"/>
      <c r="R90" s="396"/>
      <c r="S90" s="396"/>
      <c r="T90" s="396"/>
      <c r="U90" s="396"/>
      <c r="V90" s="396"/>
      <c r="W90" s="396"/>
      <c r="X90" s="396"/>
      <c r="Y90" s="396"/>
      <c r="Z90" s="396"/>
    </row>
    <row r="91" spans="2:26" ht="13.5" customHeight="1">
      <c r="B91" s="2439" t="s">
        <v>600</v>
      </c>
      <c r="C91" s="2513"/>
      <c r="D91" s="2500">
        <v>1</v>
      </c>
      <c r="E91" s="2515"/>
      <c r="F91" s="2502">
        <v>1</v>
      </c>
      <c r="G91" s="2513"/>
      <c r="H91" s="2504"/>
      <c r="I91" s="2513"/>
      <c r="J91" s="2502"/>
      <c r="K91" s="2513"/>
      <c r="L91" s="2504">
        <v>32</v>
      </c>
      <c r="M91" s="2513"/>
      <c r="N91" s="2502">
        <v>32</v>
      </c>
      <c r="O91" s="396"/>
      <c r="P91" s="396"/>
      <c r="Q91" s="396"/>
      <c r="R91" s="396"/>
      <c r="S91" s="396"/>
      <c r="T91" s="396"/>
      <c r="U91" s="396"/>
      <c r="V91" s="396"/>
      <c r="W91" s="396"/>
      <c r="X91" s="396"/>
      <c r="Y91" s="396"/>
      <c r="Z91" s="396"/>
    </row>
    <row r="92" spans="2:26" ht="13.5" customHeight="1">
      <c r="B92" s="2439" t="s">
        <v>601</v>
      </c>
      <c r="C92" s="2513"/>
      <c r="D92" s="2500">
        <v>7</v>
      </c>
      <c r="E92" s="2515"/>
      <c r="F92" s="2502">
        <v>7</v>
      </c>
      <c r="G92" s="2513"/>
      <c r="H92" s="2504">
        <v>50</v>
      </c>
      <c r="I92" s="2513"/>
      <c r="J92" s="2502">
        <v>50</v>
      </c>
      <c r="K92" s="2513"/>
      <c r="L92" s="2504">
        <v>139</v>
      </c>
      <c r="M92" s="2513"/>
      <c r="N92" s="2502">
        <v>139</v>
      </c>
      <c r="O92" s="396"/>
      <c r="P92" s="396"/>
      <c r="Q92" s="396"/>
      <c r="R92" s="396"/>
      <c r="S92" s="396"/>
      <c r="T92" s="396"/>
      <c r="U92" s="396"/>
      <c r="V92" s="396"/>
      <c r="W92" s="396"/>
      <c r="X92" s="396"/>
      <c r="Y92" s="396"/>
      <c r="Z92" s="396"/>
    </row>
    <row r="93" spans="2:26" ht="13.5" customHeight="1">
      <c r="B93" s="2512" t="s">
        <v>118</v>
      </c>
      <c r="C93" s="2508"/>
      <c r="D93" s="2508">
        <f>SUM(D84:D92)</f>
        <v>32</v>
      </c>
      <c r="E93" s="2508"/>
      <c r="F93" s="2508">
        <f>SUM(F84:F92)</f>
        <v>32</v>
      </c>
      <c r="G93" s="2508"/>
      <c r="H93" s="2508">
        <f>SUM(H84:H92)</f>
        <v>96</v>
      </c>
      <c r="I93" s="2508"/>
      <c r="J93" s="2508">
        <f>SUM(J84:J92)</f>
        <v>96</v>
      </c>
      <c r="K93" s="2508"/>
      <c r="L93" s="2508">
        <f>SUM(L84:L92)</f>
        <v>464</v>
      </c>
      <c r="M93" s="2508"/>
      <c r="N93" s="2508">
        <f>SUM(N84:N92)</f>
        <v>464</v>
      </c>
      <c r="O93" s="396"/>
      <c r="P93" s="396"/>
      <c r="Q93" s="396"/>
      <c r="R93" s="396"/>
      <c r="S93" s="396"/>
      <c r="T93" s="396"/>
      <c r="U93" s="396"/>
      <c r="V93" s="396"/>
      <c r="W93" s="396"/>
      <c r="X93" s="396"/>
      <c r="Y93" s="396"/>
      <c r="Z93" s="396"/>
    </row>
    <row r="94" spans="2:26" ht="13.5" customHeight="1">
      <c r="B94" s="51"/>
      <c r="C94" s="420"/>
      <c r="D94" s="420"/>
      <c r="E94" s="420"/>
      <c r="F94" s="420"/>
      <c r="G94" s="420"/>
      <c r="H94" s="236"/>
      <c r="I94" s="236"/>
      <c r="J94" s="236"/>
      <c r="K94" s="236"/>
      <c r="L94" s="236"/>
      <c r="M94" s="420"/>
      <c r="N94" s="420"/>
    </row>
    <row r="95" spans="2:26" ht="13.5" customHeight="1">
      <c r="B95" s="51"/>
      <c r="C95" s="420"/>
      <c r="D95" s="420"/>
      <c r="E95" s="420"/>
      <c r="F95" s="420"/>
      <c r="G95" s="420"/>
      <c r="H95" s="236"/>
      <c r="I95" s="236"/>
      <c r="J95" s="236"/>
      <c r="K95" s="236"/>
      <c r="L95" s="236"/>
      <c r="M95" s="420"/>
      <c r="N95" s="420"/>
    </row>
    <row r="96" spans="2:26" ht="13.5" customHeight="1">
      <c r="B96" s="1611" t="s">
        <v>95</v>
      </c>
    </row>
    <row r="97" spans="2:26" ht="28.5" customHeight="1">
      <c r="B97" s="3518" t="s">
        <v>586</v>
      </c>
      <c r="C97" s="3520" t="s">
        <v>587</v>
      </c>
      <c r="D97" s="3521"/>
      <c r="E97" s="3521"/>
      <c r="F97" s="3521"/>
      <c r="G97" s="3460" t="s">
        <v>588</v>
      </c>
      <c r="H97" s="3524"/>
      <c r="I97" s="3524"/>
      <c r="J97" s="3524"/>
      <c r="K97" s="3522" t="s">
        <v>589</v>
      </c>
      <c r="L97" s="3523"/>
      <c r="M97" s="3523"/>
      <c r="N97" s="3520"/>
    </row>
    <row r="98" spans="2:26" ht="13.5" customHeight="1">
      <c r="B98" s="3519"/>
      <c r="C98" s="2491" t="s">
        <v>590</v>
      </c>
      <c r="D98" s="2492" t="s">
        <v>591</v>
      </c>
      <c r="E98" s="2492" t="s">
        <v>592</v>
      </c>
      <c r="F98" s="2509" t="s">
        <v>118</v>
      </c>
      <c r="G98" s="2492" t="s">
        <v>590</v>
      </c>
      <c r="H98" s="2492" t="s">
        <v>591</v>
      </c>
      <c r="I98" s="2492" t="s">
        <v>592</v>
      </c>
      <c r="J98" s="2509" t="s">
        <v>118</v>
      </c>
      <c r="K98" s="2492" t="s">
        <v>590</v>
      </c>
      <c r="L98" s="2492" t="s">
        <v>591</v>
      </c>
      <c r="M98" s="2492" t="s">
        <v>592</v>
      </c>
      <c r="N98" s="2509" t="s">
        <v>118</v>
      </c>
    </row>
    <row r="99" spans="2:26" ht="13.5" customHeight="1">
      <c r="B99" s="1613" t="s">
        <v>593</v>
      </c>
      <c r="C99" s="2511"/>
      <c r="D99" s="2500">
        <v>9</v>
      </c>
      <c r="E99" s="2515"/>
      <c r="F99" s="2502">
        <v>9</v>
      </c>
      <c r="G99" s="2513"/>
      <c r="H99" s="2504">
        <v>47</v>
      </c>
      <c r="I99" s="2513"/>
      <c r="J99" s="2502">
        <v>47</v>
      </c>
      <c r="K99" s="2513"/>
      <c r="L99" s="2504">
        <v>119</v>
      </c>
      <c r="M99" s="2513"/>
      <c r="N99" s="2502">
        <v>119</v>
      </c>
      <c r="O99" s="396"/>
      <c r="P99" s="396"/>
      <c r="Q99" s="396"/>
      <c r="R99" s="396"/>
      <c r="S99" s="396"/>
      <c r="T99" s="396"/>
      <c r="U99" s="396"/>
      <c r="V99" s="396"/>
      <c r="W99" s="396"/>
      <c r="X99" s="396"/>
      <c r="Y99" s="396"/>
      <c r="Z99" s="396"/>
    </row>
    <row r="100" spans="2:26" ht="13.5" customHeight="1">
      <c r="B100" s="2439" t="s">
        <v>594</v>
      </c>
      <c r="C100" s="2513"/>
      <c r="D100" s="2504">
        <v>8</v>
      </c>
      <c r="E100" s="2515"/>
      <c r="F100" s="2502">
        <v>8</v>
      </c>
      <c r="G100" s="2513"/>
      <c r="H100" s="2504">
        <v>42</v>
      </c>
      <c r="I100" s="2513"/>
      <c r="J100" s="2502">
        <v>42</v>
      </c>
      <c r="K100" s="2513"/>
      <c r="L100" s="2504">
        <v>287</v>
      </c>
      <c r="M100" s="2513"/>
      <c r="N100" s="2502">
        <v>287</v>
      </c>
      <c r="O100" s="396"/>
      <c r="P100" s="396"/>
      <c r="Q100" s="396"/>
      <c r="R100" s="396"/>
      <c r="S100" s="396"/>
      <c r="T100" s="396"/>
      <c r="U100" s="396"/>
      <c r="V100" s="396"/>
      <c r="W100" s="396"/>
      <c r="X100" s="396"/>
      <c r="Y100" s="396"/>
      <c r="Z100" s="396"/>
    </row>
    <row r="101" spans="2:26" ht="13.5" customHeight="1">
      <c r="B101" s="2439" t="s">
        <v>595</v>
      </c>
      <c r="C101" s="2513"/>
      <c r="D101" s="2504">
        <v>5</v>
      </c>
      <c r="E101" s="2515"/>
      <c r="F101" s="2502">
        <v>5</v>
      </c>
      <c r="G101" s="2513"/>
      <c r="H101" s="2504">
        <v>38</v>
      </c>
      <c r="I101" s="2513"/>
      <c r="J101" s="2502">
        <v>38</v>
      </c>
      <c r="K101" s="2513"/>
      <c r="L101" s="2504">
        <v>141</v>
      </c>
      <c r="M101" s="2513"/>
      <c r="N101" s="2502">
        <v>141</v>
      </c>
      <c r="O101" s="396"/>
      <c r="P101" s="396"/>
      <c r="Q101" s="396"/>
      <c r="R101" s="396"/>
      <c r="S101" s="396"/>
      <c r="T101" s="396"/>
      <c r="U101" s="396"/>
      <c r="V101" s="396"/>
      <c r="W101" s="396"/>
      <c r="X101" s="396"/>
      <c r="Y101" s="396"/>
      <c r="Z101" s="396"/>
    </row>
    <row r="102" spans="2:26" ht="13.5" customHeight="1">
      <c r="B102" s="2439" t="s">
        <v>596</v>
      </c>
      <c r="C102" s="2513"/>
      <c r="D102" s="2504">
        <v>3</v>
      </c>
      <c r="E102" s="2515"/>
      <c r="F102" s="2502">
        <v>3</v>
      </c>
      <c r="G102" s="2513"/>
      <c r="H102" s="2504">
        <v>40</v>
      </c>
      <c r="I102" s="2513"/>
      <c r="J102" s="2502">
        <v>40</v>
      </c>
      <c r="K102" s="2513"/>
      <c r="L102" s="2504">
        <v>147</v>
      </c>
      <c r="M102" s="2513"/>
      <c r="N102" s="2502">
        <v>147</v>
      </c>
      <c r="O102" s="396"/>
      <c r="P102" s="396"/>
      <c r="Q102" s="396"/>
      <c r="R102" s="396"/>
      <c r="S102" s="396"/>
      <c r="T102" s="396"/>
      <c r="U102" s="396"/>
      <c r="V102" s="396"/>
      <c r="W102" s="396"/>
      <c r="X102" s="396"/>
      <c r="Y102" s="396"/>
      <c r="Z102" s="396"/>
    </row>
    <row r="103" spans="2:26" ht="13.5" customHeight="1">
      <c r="B103" s="2439" t="s">
        <v>602</v>
      </c>
      <c r="C103" s="2513"/>
      <c r="D103" s="2504">
        <v>6</v>
      </c>
      <c r="E103" s="2515"/>
      <c r="F103" s="2502">
        <v>6</v>
      </c>
      <c r="G103" s="2513"/>
      <c r="H103" s="2504">
        <v>46</v>
      </c>
      <c r="I103" s="2513"/>
      <c r="J103" s="2502">
        <v>46</v>
      </c>
      <c r="K103" s="2513"/>
      <c r="L103" s="2504">
        <v>202</v>
      </c>
      <c r="M103" s="2513"/>
      <c r="N103" s="2502">
        <v>202</v>
      </c>
      <c r="O103" s="396"/>
      <c r="P103" s="396"/>
      <c r="Q103" s="396"/>
      <c r="R103" s="396"/>
      <c r="S103" s="396"/>
      <c r="T103" s="396"/>
      <c r="U103" s="396"/>
      <c r="V103" s="396"/>
      <c r="W103" s="396"/>
      <c r="X103" s="396"/>
      <c r="Y103" s="396"/>
      <c r="Z103" s="396"/>
    </row>
    <row r="104" spans="2:26" ht="13.5" customHeight="1">
      <c r="B104" s="2439" t="s">
        <v>598</v>
      </c>
      <c r="C104" s="2513"/>
      <c r="D104" s="2504">
        <v>6</v>
      </c>
      <c r="E104" s="2515"/>
      <c r="F104" s="2502">
        <v>6</v>
      </c>
      <c r="G104" s="2513"/>
      <c r="H104" s="2504">
        <v>42</v>
      </c>
      <c r="I104" s="2513"/>
      <c r="J104" s="2502">
        <v>42</v>
      </c>
      <c r="K104" s="2513"/>
      <c r="L104" s="2504">
        <v>259</v>
      </c>
      <c r="M104" s="2513"/>
      <c r="N104" s="2502">
        <v>259</v>
      </c>
      <c r="O104" s="396"/>
      <c r="P104" s="396"/>
      <c r="Q104" s="396"/>
      <c r="R104" s="396"/>
      <c r="S104" s="396"/>
      <c r="T104" s="396"/>
      <c r="U104" s="396"/>
      <c r="V104" s="396"/>
      <c r="W104" s="396"/>
      <c r="X104" s="396"/>
      <c r="Y104" s="396"/>
      <c r="Z104" s="396"/>
    </row>
    <row r="105" spans="2:26" ht="13.5" customHeight="1">
      <c r="B105" s="2439" t="s">
        <v>599</v>
      </c>
      <c r="C105" s="2513"/>
      <c r="D105" s="2504">
        <v>9</v>
      </c>
      <c r="E105" s="2515"/>
      <c r="F105" s="2502">
        <v>9</v>
      </c>
      <c r="G105" s="2513"/>
      <c r="H105" s="2504">
        <v>54</v>
      </c>
      <c r="I105" s="2513"/>
      <c r="J105" s="2502">
        <v>54</v>
      </c>
      <c r="K105" s="2513"/>
      <c r="L105" s="2504">
        <v>215</v>
      </c>
      <c r="M105" s="2513"/>
      <c r="N105" s="2502">
        <v>215</v>
      </c>
      <c r="O105" s="396"/>
      <c r="P105" s="396"/>
      <c r="Q105" s="396"/>
      <c r="R105" s="396"/>
      <c r="S105" s="396"/>
      <c r="T105" s="396"/>
      <c r="U105" s="396"/>
      <c r="V105" s="396"/>
      <c r="W105" s="396"/>
      <c r="X105" s="396"/>
      <c r="Y105" s="396"/>
      <c r="Z105" s="396"/>
    </row>
    <row r="106" spans="2:26" ht="13.5" customHeight="1">
      <c r="B106" s="2439" t="s">
        <v>600</v>
      </c>
      <c r="C106" s="2513"/>
      <c r="D106" s="2504">
        <v>6</v>
      </c>
      <c r="E106" s="2515"/>
      <c r="F106" s="2502">
        <v>6</v>
      </c>
      <c r="G106" s="2513"/>
      <c r="H106" s="2504">
        <v>40</v>
      </c>
      <c r="I106" s="2513"/>
      <c r="J106" s="2502">
        <v>40</v>
      </c>
      <c r="K106" s="2513"/>
      <c r="L106" s="2504">
        <v>174</v>
      </c>
      <c r="M106" s="2513"/>
      <c r="N106" s="2502">
        <v>174</v>
      </c>
      <c r="O106" s="396"/>
      <c r="P106" s="396"/>
      <c r="Q106" s="396"/>
      <c r="R106" s="396"/>
      <c r="S106" s="396"/>
      <c r="T106" s="396"/>
      <c r="U106" s="396"/>
      <c r="V106" s="396"/>
      <c r="W106" s="396"/>
      <c r="X106" s="396"/>
      <c r="Y106" s="396"/>
      <c r="Z106" s="396"/>
    </row>
    <row r="107" spans="2:26" ht="13.5" customHeight="1">
      <c r="B107" s="2510" t="s">
        <v>601</v>
      </c>
      <c r="C107" s="2513"/>
      <c r="D107" s="2504">
        <v>18</v>
      </c>
      <c r="E107" s="2515"/>
      <c r="F107" s="2502">
        <v>18</v>
      </c>
      <c r="G107" s="2513"/>
      <c r="H107" s="2504">
        <v>160</v>
      </c>
      <c r="I107" s="2513"/>
      <c r="J107" s="2502">
        <v>160</v>
      </c>
      <c r="K107" s="2513"/>
      <c r="L107" s="2504">
        <v>652</v>
      </c>
      <c r="M107" s="2513"/>
      <c r="N107" s="2502">
        <v>652</v>
      </c>
      <c r="O107" s="396"/>
      <c r="P107" s="396"/>
      <c r="Q107" s="396"/>
      <c r="R107" s="396"/>
      <c r="S107" s="396"/>
      <c r="T107" s="396"/>
      <c r="U107" s="396"/>
      <c r="V107" s="396"/>
      <c r="W107" s="396"/>
      <c r="X107" s="396"/>
      <c r="Y107" s="396"/>
      <c r="Z107" s="396"/>
    </row>
    <row r="108" spans="2:26" ht="13.5" customHeight="1">
      <c r="B108" s="2512" t="s">
        <v>118</v>
      </c>
      <c r="C108" s="2508"/>
      <c r="D108" s="2508">
        <f>SUM(D99:D107)</f>
        <v>70</v>
      </c>
      <c r="E108" s="2508"/>
      <c r="F108" s="2508">
        <f>SUM(F99:F107)</f>
        <v>70</v>
      </c>
      <c r="G108" s="2508"/>
      <c r="H108" s="2508">
        <f>SUM(H99:H107)</f>
        <v>509</v>
      </c>
      <c r="I108" s="2508"/>
      <c r="J108" s="2508">
        <f>SUM(J99:J107)</f>
        <v>509</v>
      </c>
      <c r="K108" s="2508"/>
      <c r="L108" s="2508">
        <f>SUM(L99:L107)</f>
        <v>2196</v>
      </c>
      <c r="M108" s="2508"/>
      <c r="N108" s="2508">
        <f>SUM(N99:N107)</f>
        <v>2196</v>
      </c>
      <c r="O108" s="396"/>
      <c r="P108" s="396"/>
      <c r="Q108" s="396"/>
      <c r="R108" s="396"/>
      <c r="S108" s="396"/>
      <c r="T108" s="396"/>
      <c r="U108" s="396"/>
      <c r="V108" s="396"/>
      <c r="W108" s="396"/>
      <c r="X108" s="396"/>
      <c r="Y108" s="396"/>
      <c r="Z108" s="396"/>
    </row>
    <row r="109" spans="2:26" ht="13.5" customHeight="1">
      <c r="B109" s="51"/>
      <c r="C109" s="420"/>
      <c r="D109" s="420"/>
      <c r="E109" s="420"/>
      <c r="F109" s="264"/>
      <c r="G109" s="420"/>
      <c r="H109" s="420"/>
      <c r="I109" s="420"/>
      <c r="J109" s="264"/>
      <c r="K109" s="420"/>
      <c r="L109" s="420"/>
      <c r="M109" s="420"/>
      <c r="N109" s="264"/>
    </row>
    <row r="110" spans="2:26" ht="13.5" customHeight="1">
      <c r="B110" s="51"/>
      <c r="C110" s="420"/>
      <c r="D110" s="420"/>
      <c r="E110" s="420"/>
      <c r="F110" s="264"/>
      <c r="G110" s="420"/>
      <c r="H110" s="51"/>
      <c r="I110" s="51"/>
      <c r="J110" s="51"/>
      <c r="K110" s="51"/>
      <c r="L110" s="51"/>
      <c r="M110" s="420"/>
      <c r="N110" s="264"/>
    </row>
    <row r="111" spans="2:26" ht="13.5" customHeight="1">
      <c r="B111" s="1611" t="s">
        <v>116</v>
      </c>
    </row>
    <row r="112" spans="2:26" ht="28.5" customHeight="1">
      <c r="B112" s="3518" t="s">
        <v>586</v>
      </c>
      <c r="C112" s="3520" t="s">
        <v>587</v>
      </c>
      <c r="D112" s="3521"/>
      <c r="E112" s="3521"/>
      <c r="F112" s="3521"/>
      <c r="G112" s="3460" t="s">
        <v>588</v>
      </c>
      <c r="H112" s="3524"/>
      <c r="I112" s="3524"/>
      <c r="J112" s="3524"/>
      <c r="K112" s="3522" t="s">
        <v>589</v>
      </c>
      <c r="L112" s="3523"/>
      <c r="M112" s="3523"/>
      <c r="N112" s="3520"/>
    </row>
    <row r="113" spans="2:26" ht="13.5" customHeight="1">
      <c r="B113" s="3519"/>
      <c r="C113" s="2491" t="s">
        <v>590</v>
      </c>
      <c r="D113" s="2492" t="s">
        <v>591</v>
      </c>
      <c r="E113" s="2492" t="s">
        <v>592</v>
      </c>
      <c r="F113" s="2509" t="s">
        <v>118</v>
      </c>
      <c r="G113" s="2492" t="s">
        <v>590</v>
      </c>
      <c r="H113" s="2492" t="s">
        <v>591</v>
      </c>
      <c r="I113" s="2492" t="s">
        <v>592</v>
      </c>
      <c r="J113" s="2509" t="s">
        <v>118</v>
      </c>
      <c r="K113" s="2492" t="s">
        <v>590</v>
      </c>
      <c r="L113" s="2492" t="s">
        <v>591</v>
      </c>
      <c r="M113" s="2492" t="s">
        <v>592</v>
      </c>
      <c r="N113" s="2509" t="s">
        <v>118</v>
      </c>
    </row>
    <row r="114" spans="2:26" ht="13.5" customHeight="1">
      <c r="B114" s="1613" t="s">
        <v>593</v>
      </c>
      <c r="C114" s="2511"/>
      <c r="D114" s="2504">
        <v>10</v>
      </c>
      <c r="E114" s="2515"/>
      <c r="F114" s="2502">
        <v>10</v>
      </c>
      <c r="G114" s="2513"/>
      <c r="H114" s="2517">
        <v>60</v>
      </c>
      <c r="I114" s="2513"/>
      <c r="J114" s="2502">
        <v>60</v>
      </c>
      <c r="K114" s="2513"/>
      <c r="L114" s="2504">
        <v>297</v>
      </c>
      <c r="M114" s="2513"/>
      <c r="N114" s="2502">
        <v>297</v>
      </c>
      <c r="O114" s="396"/>
      <c r="P114" s="396"/>
      <c r="Q114" s="396"/>
      <c r="R114" s="396"/>
      <c r="S114" s="396"/>
      <c r="T114" s="396"/>
      <c r="U114" s="396"/>
      <c r="V114" s="396"/>
      <c r="W114" s="396"/>
      <c r="X114" s="396"/>
      <c r="Y114" s="396"/>
      <c r="Z114" s="396"/>
    </row>
    <row r="115" spans="2:26" ht="13.5" customHeight="1">
      <c r="B115" s="2439" t="s">
        <v>594</v>
      </c>
      <c r="C115" s="2513"/>
      <c r="D115" s="2504">
        <v>3</v>
      </c>
      <c r="E115" s="2515"/>
      <c r="F115" s="2502">
        <v>3</v>
      </c>
      <c r="G115" s="2513"/>
      <c r="H115" s="2517">
        <v>42</v>
      </c>
      <c r="I115" s="2513"/>
      <c r="J115" s="2502">
        <v>42</v>
      </c>
      <c r="K115" s="2513"/>
      <c r="L115" s="2504">
        <v>185</v>
      </c>
      <c r="M115" s="2513"/>
      <c r="N115" s="2502">
        <v>185</v>
      </c>
      <c r="O115" s="396"/>
      <c r="P115" s="396"/>
      <c r="Q115" s="396"/>
      <c r="R115" s="396"/>
      <c r="S115" s="396"/>
      <c r="T115" s="396"/>
      <c r="U115" s="396"/>
      <c r="V115" s="396"/>
      <c r="W115" s="396"/>
      <c r="X115" s="396"/>
      <c r="Y115" s="396"/>
      <c r="Z115" s="396"/>
    </row>
    <row r="116" spans="2:26" ht="13.5" customHeight="1">
      <c r="B116" s="2439" t="s">
        <v>595</v>
      </c>
      <c r="C116" s="2513"/>
      <c r="D116" s="2504">
        <v>4</v>
      </c>
      <c r="E116" s="2515"/>
      <c r="F116" s="2502">
        <v>4</v>
      </c>
      <c r="G116" s="2513"/>
      <c r="H116" s="2517">
        <v>24</v>
      </c>
      <c r="I116" s="2513"/>
      <c r="J116" s="2502">
        <v>24</v>
      </c>
      <c r="K116" s="2513"/>
      <c r="L116" s="2504">
        <v>122</v>
      </c>
      <c r="M116" s="2513"/>
      <c r="N116" s="2502">
        <v>122</v>
      </c>
      <c r="O116" s="396"/>
      <c r="P116" s="396"/>
      <c r="Q116" s="396"/>
      <c r="R116" s="396"/>
      <c r="S116" s="396"/>
      <c r="T116" s="396"/>
      <c r="U116" s="396"/>
      <c r="V116" s="396"/>
      <c r="W116" s="396"/>
      <c r="X116" s="396"/>
      <c r="Y116" s="396"/>
      <c r="Z116" s="396"/>
    </row>
    <row r="117" spans="2:26" ht="13.5" customHeight="1">
      <c r="B117" s="2439" t="s">
        <v>596</v>
      </c>
      <c r="C117" s="2513"/>
      <c r="D117" s="2504">
        <v>12</v>
      </c>
      <c r="E117" s="2515"/>
      <c r="F117" s="2502">
        <v>12</v>
      </c>
      <c r="G117" s="2513"/>
      <c r="H117" s="2517">
        <v>67</v>
      </c>
      <c r="I117" s="2513"/>
      <c r="J117" s="2502">
        <v>67</v>
      </c>
      <c r="K117" s="2513"/>
      <c r="L117" s="2504">
        <v>386</v>
      </c>
      <c r="M117" s="2513"/>
      <c r="N117" s="2502">
        <v>386</v>
      </c>
      <c r="O117" s="396"/>
      <c r="P117" s="396"/>
      <c r="Q117" s="396"/>
      <c r="R117" s="396"/>
      <c r="S117" s="396"/>
      <c r="T117" s="396"/>
      <c r="U117" s="396"/>
      <c r="V117" s="396"/>
      <c r="W117" s="396"/>
      <c r="X117" s="396"/>
      <c r="Y117" s="396"/>
      <c r="Z117" s="396"/>
    </row>
    <row r="118" spans="2:26" ht="13.5" customHeight="1">
      <c r="B118" s="2439" t="s">
        <v>602</v>
      </c>
      <c r="C118" s="2513"/>
      <c r="D118" s="2504">
        <v>5</v>
      </c>
      <c r="E118" s="2515"/>
      <c r="F118" s="2502">
        <v>5</v>
      </c>
      <c r="G118" s="2513"/>
      <c r="H118" s="2517">
        <v>41</v>
      </c>
      <c r="I118" s="2513"/>
      <c r="J118" s="2502">
        <v>41</v>
      </c>
      <c r="K118" s="2513"/>
      <c r="L118" s="2504">
        <v>173</v>
      </c>
      <c r="M118" s="2513"/>
      <c r="N118" s="2502">
        <v>173</v>
      </c>
      <c r="O118" s="396"/>
      <c r="P118" s="396"/>
      <c r="Q118" s="396"/>
      <c r="R118" s="396"/>
      <c r="S118" s="396"/>
      <c r="T118" s="396"/>
      <c r="U118" s="396"/>
      <c r="V118" s="396"/>
      <c r="W118" s="396"/>
      <c r="X118" s="396"/>
      <c r="Y118" s="396"/>
      <c r="Z118" s="396"/>
    </row>
    <row r="119" spans="2:26" ht="13.5" customHeight="1">
      <c r="B119" s="2439" t="s">
        <v>598</v>
      </c>
      <c r="C119" s="2513"/>
      <c r="D119" s="2504">
        <v>5</v>
      </c>
      <c r="E119" s="2515"/>
      <c r="F119" s="2502">
        <v>5</v>
      </c>
      <c r="G119" s="2513"/>
      <c r="H119" s="2517">
        <v>33</v>
      </c>
      <c r="I119" s="2513"/>
      <c r="J119" s="2502">
        <v>33</v>
      </c>
      <c r="K119" s="2513"/>
      <c r="L119" s="2504">
        <v>128</v>
      </c>
      <c r="M119" s="2513"/>
      <c r="N119" s="2502">
        <v>128</v>
      </c>
      <c r="O119" s="396"/>
      <c r="P119" s="396"/>
      <c r="Q119" s="396"/>
      <c r="R119" s="396"/>
      <c r="S119" s="396"/>
      <c r="T119" s="396"/>
      <c r="U119" s="396"/>
      <c r="V119" s="396"/>
      <c r="W119" s="396"/>
      <c r="X119" s="396"/>
      <c r="Y119" s="396"/>
      <c r="Z119" s="396"/>
    </row>
    <row r="120" spans="2:26" ht="13.5" customHeight="1">
      <c r="B120" s="2439" t="s">
        <v>599</v>
      </c>
      <c r="C120" s="2513"/>
      <c r="D120" s="2504">
        <v>13</v>
      </c>
      <c r="E120" s="2515"/>
      <c r="F120" s="2502">
        <v>13</v>
      </c>
      <c r="G120" s="2513"/>
      <c r="H120" s="2517">
        <v>82</v>
      </c>
      <c r="I120" s="2513"/>
      <c r="J120" s="2502">
        <v>82</v>
      </c>
      <c r="K120" s="2513"/>
      <c r="L120" s="2504">
        <v>340</v>
      </c>
      <c r="M120" s="2513"/>
      <c r="N120" s="2502">
        <v>340</v>
      </c>
      <c r="O120" s="396"/>
      <c r="P120" s="396"/>
      <c r="Q120" s="396"/>
      <c r="R120" s="396"/>
      <c r="S120" s="396"/>
      <c r="T120" s="396"/>
      <c r="U120" s="396"/>
      <c r="V120" s="396"/>
      <c r="W120" s="396"/>
      <c r="X120" s="396"/>
      <c r="Y120" s="396"/>
      <c r="Z120" s="396"/>
    </row>
    <row r="121" spans="2:26" ht="13.5" customHeight="1">
      <c r="B121" s="2439" t="s">
        <v>600</v>
      </c>
      <c r="C121" s="2513"/>
      <c r="D121" s="2504">
        <v>5</v>
      </c>
      <c r="E121" s="2515"/>
      <c r="F121" s="2502">
        <v>5</v>
      </c>
      <c r="G121" s="2513"/>
      <c r="H121" s="2517">
        <v>23</v>
      </c>
      <c r="I121" s="2513"/>
      <c r="J121" s="2502">
        <v>23</v>
      </c>
      <c r="K121" s="2513"/>
      <c r="L121" s="2504">
        <v>56</v>
      </c>
      <c r="M121" s="2513"/>
      <c r="N121" s="2502">
        <v>56</v>
      </c>
      <c r="O121" s="396"/>
      <c r="P121" s="396"/>
      <c r="Q121" s="396"/>
      <c r="R121" s="396"/>
      <c r="S121" s="396"/>
      <c r="T121" s="396"/>
      <c r="U121" s="396"/>
      <c r="V121" s="396"/>
      <c r="W121" s="396"/>
      <c r="X121" s="396"/>
      <c r="Y121" s="396"/>
      <c r="Z121" s="396"/>
    </row>
    <row r="122" spans="2:26" ht="13.5" customHeight="1">
      <c r="B122" s="2439" t="s">
        <v>601</v>
      </c>
      <c r="C122" s="2513"/>
      <c r="D122" s="2504">
        <v>45</v>
      </c>
      <c r="E122" s="2515"/>
      <c r="F122" s="2502">
        <v>45</v>
      </c>
      <c r="G122" s="2513"/>
      <c r="H122" s="2517">
        <v>627</v>
      </c>
      <c r="I122" s="2513"/>
      <c r="J122" s="2502">
        <v>627</v>
      </c>
      <c r="K122" s="2513"/>
      <c r="L122" s="2506">
        <v>1203</v>
      </c>
      <c r="M122" s="2513"/>
      <c r="N122" s="2502">
        <v>1203</v>
      </c>
      <c r="O122" s="396"/>
      <c r="P122" s="396"/>
      <c r="Q122" s="396"/>
      <c r="R122" s="396"/>
      <c r="S122" s="396"/>
      <c r="T122" s="396"/>
      <c r="U122" s="396"/>
      <c r="V122" s="396"/>
      <c r="W122" s="396"/>
      <c r="X122" s="396"/>
      <c r="Y122" s="396"/>
      <c r="Z122" s="396"/>
    </row>
    <row r="123" spans="2:26" ht="13.5" customHeight="1">
      <c r="B123" s="2512" t="s">
        <v>118</v>
      </c>
      <c r="C123" s="2508"/>
      <c r="D123" s="2508">
        <f>SUM(D114:D122)</f>
        <v>102</v>
      </c>
      <c r="E123" s="2508">
        <v>0</v>
      </c>
      <c r="F123" s="2508">
        <f>SUM(F114:F122)</f>
        <v>102</v>
      </c>
      <c r="G123" s="2508">
        <v>0</v>
      </c>
      <c r="H123" s="2508">
        <f>SUM(H114:H122)</f>
        <v>999</v>
      </c>
      <c r="I123" s="2508">
        <v>0</v>
      </c>
      <c r="J123" s="2508">
        <f>SUM(J114:J122)</f>
        <v>999</v>
      </c>
      <c r="K123" s="2508">
        <v>0</v>
      </c>
      <c r="L123" s="2508">
        <f>SUM(L114:L122)</f>
        <v>2890</v>
      </c>
      <c r="M123" s="2508">
        <v>0</v>
      </c>
      <c r="N123" s="2508">
        <f>SUM(N114:N122)</f>
        <v>2890</v>
      </c>
      <c r="O123" s="396"/>
      <c r="P123" s="396"/>
      <c r="Q123" s="396"/>
      <c r="R123" s="396"/>
      <c r="S123" s="396"/>
      <c r="T123" s="396"/>
      <c r="U123" s="396"/>
      <c r="V123" s="396"/>
      <c r="W123" s="396"/>
      <c r="X123" s="396"/>
      <c r="Y123" s="396"/>
      <c r="Z123" s="396"/>
    </row>
    <row r="124" spans="2:26" ht="13.5" customHeight="1">
      <c r="B124" s="51"/>
      <c r="C124" s="420"/>
      <c r="D124" s="420"/>
      <c r="E124" s="420"/>
      <c r="F124" s="420"/>
      <c r="G124" s="420"/>
      <c r="H124" s="420"/>
      <c r="I124" s="420"/>
      <c r="J124" s="420"/>
      <c r="K124" s="420"/>
      <c r="L124" s="420"/>
      <c r="M124" s="420"/>
      <c r="N124" s="420"/>
    </row>
    <row r="125" spans="2:26" ht="13.5" customHeight="1">
      <c r="B125" s="51"/>
      <c r="C125" s="420"/>
      <c r="D125" s="420"/>
      <c r="E125" s="420"/>
      <c r="F125" s="420"/>
      <c r="G125" s="420"/>
      <c r="H125" s="420"/>
      <c r="I125" s="420"/>
      <c r="J125" s="420"/>
      <c r="K125" s="420"/>
      <c r="L125" s="420"/>
      <c r="M125" s="420"/>
      <c r="N125" s="460">
        <v>172</v>
      </c>
    </row>
    <row r="126" spans="2:26" ht="13.5" customHeight="1">
      <c r="B126" s="51"/>
      <c r="C126" s="420"/>
      <c r="D126" s="420"/>
      <c r="E126" s="420"/>
      <c r="F126" s="420"/>
      <c r="G126" s="236"/>
      <c r="H126" s="236"/>
      <c r="I126" s="236"/>
      <c r="J126" s="236"/>
      <c r="K126" s="236"/>
      <c r="L126" s="236"/>
      <c r="M126" s="420"/>
      <c r="N126" s="460"/>
    </row>
    <row r="127" spans="2:26" ht="13.5" customHeight="1">
      <c r="B127" s="1611" t="s">
        <v>102</v>
      </c>
      <c r="H127" s="274"/>
      <c r="I127" s="274"/>
      <c r="J127" s="274"/>
      <c r="K127" s="274"/>
      <c r="L127" s="274"/>
      <c r="M127" s="274"/>
    </row>
    <row r="128" spans="2:26" ht="13.5" customHeight="1">
      <c r="B128" s="3532" t="s">
        <v>586</v>
      </c>
      <c r="C128" s="3521" t="s">
        <v>587</v>
      </c>
      <c r="D128" s="3521"/>
      <c r="E128" s="3521"/>
      <c r="F128" s="3521"/>
      <c r="G128" s="3460" t="s">
        <v>588</v>
      </c>
      <c r="H128" s="3460"/>
      <c r="I128" s="3460"/>
      <c r="J128" s="3460"/>
      <c r="K128" s="3521" t="s">
        <v>589</v>
      </c>
      <c r="L128" s="3521"/>
      <c r="M128" s="3521"/>
      <c r="N128" s="3521"/>
    </row>
    <row r="129" spans="2:26" ht="13.5" customHeight="1">
      <c r="B129" s="3532"/>
      <c r="C129" s="3521"/>
      <c r="D129" s="3521"/>
      <c r="E129" s="3521"/>
      <c r="F129" s="3521"/>
      <c r="G129" s="3460"/>
      <c r="H129" s="3460"/>
      <c r="I129" s="3460"/>
      <c r="J129" s="3460"/>
      <c r="K129" s="3521"/>
      <c r="L129" s="3521"/>
      <c r="M129" s="3521"/>
      <c r="N129" s="3521"/>
    </row>
    <row r="130" spans="2:26" ht="13.5" customHeight="1">
      <c r="B130" s="3533"/>
      <c r="C130" s="2492" t="s">
        <v>590</v>
      </c>
      <c r="D130" s="2492" t="s">
        <v>591</v>
      </c>
      <c r="E130" s="2492" t="s">
        <v>592</v>
      </c>
      <c r="F130" s="2509" t="s">
        <v>118</v>
      </c>
      <c r="G130" s="2492" t="s">
        <v>590</v>
      </c>
      <c r="H130" s="2492" t="s">
        <v>591</v>
      </c>
      <c r="I130" s="2492" t="s">
        <v>592</v>
      </c>
      <c r="J130" s="2509" t="s">
        <v>118</v>
      </c>
      <c r="K130" s="2492" t="s">
        <v>590</v>
      </c>
      <c r="L130" s="2492" t="s">
        <v>591</v>
      </c>
      <c r="M130" s="2492" t="s">
        <v>592</v>
      </c>
      <c r="N130" s="2509" t="s">
        <v>118</v>
      </c>
    </row>
    <row r="131" spans="2:26" ht="13.5" customHeight="1">
      <c r="B131" s="2439" t="s">
        <v>593</v>
      </c>
      <c r="C131" s="2500">
        <v>6</v>
      </c>
      <c r="D131" s="2515"/>
      <c r="E131" s="2515"/>
      <c r="F131" s="2502">
        <v>6</v>
      </c>
      <c r="G131" s="2504">
        <v>36</v>
      </c>
      <c r="H131" s="2515"/>
      <c r="I131" s="2513">
        <v>0</v>
      </c>
      <c r="J131" s="2502">
        <v>36</v>
      </c>
      <c r="K131" s="2504">
        <v>40</v>
      </c>
      <c r="L131" s="2515"/>
      <c r="M131" s="2513">
        <v>0</v>
      </c>
      <c r="N131" s="2502">
        <v>40</v>
      </c>
      <c r="O131" s="396"/>
      <c r="P131" s="396"/>
      <c r="Q131" s="396"/>
      <c r="R131" s="396"/>
      <c r="S131" s="396"/>
      <c r="T131" s="396"/>
      <c r="U131" s="396"/>
      <c r="V131" s="396"/>
      <c r="W131" s="396"/>
      <c r="X131" s="396"/>
      <c r="Y131" s="396"/>
      <c r="Z131" s="396"/>
    </row>
    <row r="132" spans="2:26" ht="13.5" customHeight="1">
      <c r="B132" s="2439" t="s">
        <v>594</v>
      </c>
      <c r="C132" s="2504">
        <v>4</v>
      </c>
      <c r="D132" s="2515"/>
      <c r="E132" s="2515"/>
      <c r="F132" s="2502">
        <v>4</v>
      </c>
      <c r="G132" s="2504">
        <v>10</v>
      </c>
      <c r="H132" s="2515"/>
      <c r="I132" s="2513">
        <v>0</v>
      </c>
      <c r="J132" s="2502">
        <v>10</v>
      </c>
      <c r="K132" s="2504">
        <v>12</v>
      </c>
      <c r="L132" s="2515"/>
      <c r="M132" s="2513">
        <v>0</v>
      </c>
      <c r="N132" s="2502">
        <v>12</v>
      </c>
      <c r="O132" s="396"/>
      <c r="P132" s="396"/>
      <c r="Q132" s="396"/>
      <c r="R132" s="396"/>
      <c r="S132" s="396"/>
      <c r="T132" s="396"/>
      <c r="U132" s="396"/>
      <c r="V132" s="396"/>
      <c r="W132" s="396"/>
      <c r="X132" s="396"/>
      <c r="Y132" s="396"/>
      <c r="Z132" s="396"/>
    </row>
    <row r="133" spans="2:26" ht="13.5" customHeight="1">
      <c r="B133" s="2439" t="s">
        <v>595</v>
      </c>
      <c r="C133" s="2504">
        <v>4</v>
      </c>
      <c r="D133" s="2515"/>
      <c r="E133" s="2515"/>
      <c r="F133" s="2502">
        <v>4</v>
      </c>
      <c r="G133" s="2504">
        <v>30</v>
      </c>
      <c r="H133" s="2515"/>
      <c r="I133" s="2513">
        <v>0</v>
      </c>
      <c r="J133" s="2502">
        <v>30</v>
      </c>
      <c r="K133" s="2504">
        <v>46</v>
      </c>
      <c r="L133" s="2515"/>
      <c r="M133" s="2513">
        <v>0</v>
      </c>
      <c r="N133" s="2502">
        <v>46</v>
      </c>
      <c r="O133" s="396"/>
      <c r="P133" s="396"/>
      <c r="Q133" s="396"/>
      <c r="R133" s="396"/>
      <c r="S133" s="396"/>
      <c r="T133" s="396"/>
      <c r="U133" s="396"/>
      <c r="V133" s="396"/>
      <c r="W133" s="396"/>
      <c r="X133" s="396"/>
      <c r="Y133" s="396"/>
      <c r="Z133" s="396"/>
    </row>
    <row r="134" spans="2:26" ht="13.5" customHeight="1">
      <c r="B134" s="2439" t="s">
        <v>596</v>
      </c>
      <c r="C134" s="2504">
        <v>5</v>
      </c>
      <c r="D134" s="2515"/>
      <c r="E134" s="2515"/>
      <c r="F134" s="2502">
        <v>5</v>
      </c>
      <c r="G134" s="2504">
        <v>36</v>
      </c>
      <c r="H134" s="2515"/>
      <c r="I134" s="2513">
        <v>0</v>
      </c>
      <c r="J134" s="2502">
        <v>36</v>
      </c>
      <c r="K134" s="2504">
        <v>39</v>
      </c>
      <c r="L134" s="2515"/>
      <c r="M134" s="2513">
        <v>0</v>
      </c>
      <c r="N134" s="2502">
        <v>39</v>
      </c>
      <c r="O134" s="396"/>
      <c r="P134" s="396"/>
      <c r="Q134" s="396"/>
      <c r="R134" s="396"/>
      <c r="S134" s="396"/>
      <c r="T134" s="396"/>
      <c r="U134" s="396"/>
      <c r="V134" s="396"/>
      <c r="W134" s="396"/>
      <c r="X134" s="396"/>
      <c r="Y134" s="396"/>
      <c r="Z134" s="396"/>
    </row>
    <row r="135" spans="2:26" ht="13.5" customHeight="1">
      <c r="B135" s="2439" t="s">
        <v>602</v>
      </c>
      <c r="C135" s="2504">
        <v>2</v>
      </c>
      <c r="D135" s="2515"/>
      <c r="E135" s="2515"/>
      <c r="F135" s="2502">
        <v>2</v>
      </c>
      <c r="G135" s="2504">
        <v>11</v>
      </c>
      <c r="H135" s="2515"/>
      <c r="I135" s="2513">
        <v>0</v>
      </c>
      <c r="J135" s="2502">
        <v>11</v>
      </c>
      <c r="K135" s="2504">
        <v>4</v>
      </c>
      <c r="L135" s="2515"/>
      <c r="M135" s="2513">
        <v>0</v>
      </c>
      <c r="N135" s="2502">
        <v>4</v>
      </c>
      <c r="O135" s="396"/>
      <c r="P135" s="396"/>
      <c r="Q135" s="396"/>
      <c r="R135" s="396"/>
      <c r="S135" s="396"/>
      <c r="T135" s="396"/>
      <c r="U135" s="396"/>
      <c r="V135" s="396"/>
      <c r="W135" s="396"/>
      <c r="X135" s="396"/>
      <c r="Y135" s="396"/>
      <c r="Z135" s="396"/>
    </row>
    <row r="136" spans="2:26" ht="13.5" customHeight="1">
      <c r="B136" s="2439" t="s">
        <v>598</v>
      </c>
      <c r="C136" s="2504">
        <v>4</v>
      </c>
      <c r="D136" s="2515"/>
      <c r="E136" s="2515"/>
      <c r="F136" s="2502">
        <v>4</v>
      </c>
      <c r="G136" s="2504">
        <v>32</v>
      </c>
      <c r="H136" s="2515"/>
      <c r="I136" s="2513">
        <v>0</v>
      </c>
      <c r="J136" s="2502">
        <v>32</v>
      </c>
      <c r="K136" s="2504">
        <v>33</v>
      </c>
      <c r="L136" s="2515"/>
      <c r="M136" s="2513">
        <v>0</v>
      </c>
      <c r="N136" s="2502">
        <v>33</v>
      </c>
      <c r="O136" s="396"/>
      <c r="P136" s="396"/>
      <c r="Q136" s="396"/>
      <c r="R136" s="396"/>
      <c r="S136" s="396"/>
      <c r="T136" s="396"/>
      <c r="U136" s="396"/>
      <c r="V136" s="396"/>
      <c r="W136" s="396"/>
      <c r="X136" s="396"/>
      <c r="Y136" s="396"/>
      <c r="Z136" s="396"/>
    </row>
    <row r="137" spans="2:26" ht="13.5" customHeight="1">
      <c r="B137" s="2439" t="s">
        <v>599</v>
      </c>
      <c r="C137" s="2504">
        <v>6</v>
      </c>
      <c r="D137" s="2515"/>
      <c r="E137" s="2515"/>
      <c r="F137" s="2502">
        <v>6</v>
      </c>
      <c r="G137" s="2504">
        <v>53</v>
      </c>
      <c r="H137" s="2515"/>
      <c r="I137" s="2513">
        <v>0</v>
      </c>
      <c r="J137" s="2502">
        <v>53</v>
      </c>
      <c r="K137" s="2504">
        <v>51</v>
      </c>
      <c r="L137" s="2515"/>
      <c r="M137" s="2513">
        <v>0</v>
      </c>
      <c r="N137" s="2502">
        <v>51</v>
      </c>
      <c r="O137" s="396"/>
      <c r="P137" s="396"/>
      <c r="Q137" s="396"/>
      <c r="R137" s="396"/>
      <c r="S137" s="396"/>
      <c r="T137" s="396"/>
      <c r="U137" s="396"/>
      <c r="V137" s="396"/>
      <c r="W137" s="396"/>
      <c r="X137" s="396"/>
      <c r="Y137" s="396"/>
      <c r="Z137" s="396"/>
    </row>
    <row r="138" spans="2:26" ht="13.5" customHeight="1">
      <c r="B138" s="2439" t="s">
        <v>600</v>
      </c>
      <c r="C138" s="2504">
        <v>4</v>
      </c>
      <c r="D138" s="2515"/>
      <c r="E138" s="2515"/>
      <c r="F138" s="2502">
        <v>4</v>
      </c>
      <c r="G138" s="2504">
        <v>19</v>
      </c>
      <c r="H138" s="2515"/>
      <c r="I138" s="2513">
        <v>0</v>
      </c>
      <c r="J138" s="2502">
        <v>19</v>
      </c>
      <c r="K138" s="2504">
        <v>20</v>
      </c>
      <c r="L138" s="2515"/>
      <c r="M138" s="2513">
        <v>0</v>
      </c>
      <c r="N138" s="2502">
        <v>20</v>
      </c>
      <c r="O138" s="396"/>
      <c r="P138" s="396"/>
      <c r="Q138" s="396"/>
      <c r="R138" s="396"/>
      <c r="S138" s="396"/>
      <c r="T138" s="396"/>
      <c r="U138" s="396"/>
      <c r="V138" s="396"/>
      <c r="W138" s="396"/>
      <c r="X138" s="396"/>
      <c r="Y138" s="396"/>
      <c r="Z138" s="396"/>
    </row>
    <row r="139" spans="2:26" ht="13.5" customHeight="1">
      <c r="B139" s="2439" t="s">
        <v>601</v>
      </c>
      <c r="C139" s="2504">
        <v>31</v>
      </c>
      <c r="D139" s="2515"/>
      <c r="E139" s="2515"/>
      <c r="F139" s="2502">
        <v>31</v>
      </c>
      <c r="G139" s="2504">
        <v>736</v>
      </c>
      <c r="H139" s="2515"/>
      <c r="I139" s="2513"/>
      <c r="J139" s="2502">
        <v>736</v>
      </c>
      <c r="K139" s="2504">
        <v>199</v>
      </c>
      <c r="L139" s="2515"/>
      <c r="M139" s="2513">
        <v>0</v>
      </c>
      <c r="N139" s="2502">
        <v>199</v>
      </c>
      <c r="O139" s="396"/>
      <c r="P139" s="396"/>
      <c r="Q139" s="396"/>
      <c r="R139" s="396"/>
      <c r="S139" s="396"/>
      <c r="T139" s="396"/>
      <c r="U139" s="396"/>
      <c r="V139" s="396"/>
      <c r="W139" s="396"/>
      <c r="X139" s="396"/>
      <c r="Y139" s="396"/>
      <c r="Z139" s="396"/>
    </row>
    <row r="140" spans="2:26" ht="13.5" customHeight="1">
      <c r="B140" s="2512" t="s">
        <v>118</v>
      </c>
      <c r="C140" s="2508">
        <f t="shared" ref="C140:N140" si="10">SUM(C131:C139)</f>
        <v>66</v>
      </c>
      <c r="D140" s="2508">
        <f t="shared" si="10"/>
        <v>0</v>
      </c>
      <c r="E140" s="2508">
        <f t="shared" si="10"/>
        <v>0</v>
      </c>
      <c r="F140" s="2508">
        <f t="shared" si="10"/>
        <v>66</v>
      </c>
      <c r="G140" s="2508">
        <f t="shared" si="10"/>
        <v>963</v>
      </c>
      <c r="H140" s="2508">
        <f t="shared" si="10"/>
        <v>0</v>
      </c>
      <c r="I140" s="2508">
        <f t="shared" si="10"/>
        <v>0</v>
      </c>
      <c r="J140" s="2508">
        <f t="shared" si="10"/>
        <v>963</v>
      </c>
      <c r="K140" s="2508">
        <f t="shared" si="10"/>
        <v>444</v>
      </c>
      <c r="L140" s="2508">
        <f t="shared" si="10"/>
        <v>0</v>
      </c>
      <c r="M140" s="2508">
        <f t="shared" si="10"/>
        <v>0</v>
      </c>
      <c r="N140" s="2508">
        <f t="shared" si="10"/>
        <v>444</v>
      </c>
      <c r="O140" s="396"/>
      <c r="P140" s="396"/>
      <c r="Q140" s="396"/>
      <c r="R140" s="396"/>
      <c r="S140" s="396"/>
      <c r="T140" s="396"/>
      <c r="U140" s="396"/>
      <c r="V140" s="396"/>
      <c r="W140" s="396"/>
      <c r="X140" s="396"/>
      <c r="Y140" s="396"/>
      <c r="Z140" s="396"/>
    </row>
    <row r="141" spans="2:26" ht="13.5" customHeight="1">
      <c r="B141" s="51"/>
      <c r="C141" s="420"/>
      <c r="D141" s="420"/>
      <c r="E141" s="420"/>
      <c r="F141" s="420"/>
      <c r="G141" s="420"/>
      <c r="H141" s="420"/>
      <c r="I141" s="420"/>
      <c r="J141" s="420"/>
      <c r="K141" s="420"/>
      <c r="L141" s="420"/>
      <c r="M141" s="420"/>
      <c r="N141" s="420"/>
    </row>
    <row r="142" spans="2:26" ht="13.5" customHeight="1">
      <c r="B142" s="51"/>
      <c r="C142" s="420"/>
      <c r="D142" s="420"/>
      <c r="E142" s="420"/>
      <c r="F142" s="420"/>
      <c r="G142" s="420"/>
      <c r="H142" s="420"/>
      <c r="I142" s="420"/>
      <c r="J142" s="420"/>
      <c r="K142" s="420"/>
      <c r="L142" s="420"/>
      <c r="M142" s="420"/>
      <c r="N142" s="420"/>
    </row>
    <row r="143" spans="2:26" ht="13.5" customHeight="1">
      <c r="B143" s="1612" t="s">
        <v>97</v>
      </c>
    </row>
    <row r="144" spans="2:26" ht="13.5" customHeight="1">
      <c r="B144" s="3518" t="s">
        <v>586</v>
      </c>
      <c r="C144" s="3520" t="s">
        <v>587</v>
      </c>
      <c r="D144" s="3521"/>
      <c r="E144" s="3521"/>
      <c r="F144" s="3521"/>
      <c r="G144" s="3460" t="s">
        <v>588</v>
      </c>
      <c r="H144" s="3524"/>
      <c r="I144" s="3524"/>
      <c r="J144" s="3524"/>
      <c r="K144" s="3526" t="s">
        <v>589</v>
      </c>
      <c r="L144" s="3527"/>
      <c r="M144" s="3527"/>
      <c r="N144" s="3528"/>
    </row>
    <row r="145" spans="2:26" ht="13.5" customHeight="1">
      <c r="B145" s="3525"/>
      <c r="C145" s="3520"/>
      <c r="D145" s="3521"/>
      <c r="E145" s="3521"/>
      <c r="F145" s="3521"/>
      <c r="G145" s="3524"/>
      <c r="H145" s="3524"/>
      <c r="I145" s="3524"/>
      <c r="J145" s="3524"/>
      <c r="K145" s="3529"/>
      <c r="L145" s="3530"/>
      <c r="M145" s="3530"/>
      <c r="N145" s="3531"/>
    </row>
    <row r="146" spans="2:26" ht="13.5" customHeight="1">
      <c r="B146" s="3519"/>
      <c r="C146" s="2491" t="s">
        <v>590</v>
      </c>
      <c r="D146" s="2492" t="s">
        <v>591</v>
      </c>
      <c r="E146" s="2492" t="s">
        <v>592</v>
      </c>
      <c r="F146" s="2509" t="s">
        <v>118</v>
      </c>
      <c r="G146" s="2492" t="s">
        <v>590</v>
      </c>
      <c r="H146" s="2492" t="s">
        <v>591</v>
      </c>
      <c r="I146" s="2492" t="s">
        <v>592</v>
      </c>
      <c r="J146" s="2509" t="s">
        <v>118</v>
      </c>
      <c r="K146" s="2492" t="s">
        <v>590</v>
      </c>
      <c r="L146" s="2492" t="s">
        <v>591</v>
      </c>
      <c r="M146" s="2492" t="s">
        <v>592</v>
      </c>
      <c r="N146" s="2509" t="s">
        <v>118</v>
      </c>
    </row>
    <row r="147" spans="2:26" ht="13.5" customHeight="1">
      <c r="B147" s="1613" t="s">
        <v>593</v>
      </c>
      <c r="C147" s="2500">
        <v>16</v>
      </c>
      <c r="D147" s="2515"/>
      <c r="E147" s="2515"/>
      <c r="F147" s="2502">
        <v>16</v>
      </c>
      <c r="G147" s="2504">
        <v>177</v>
      </c>
      <c r="H147" s="2515"/>
      <c r="I147" s="2513"/>
      <c r="J147" s="2502">
        <v>177</v>
      </c>
      <c r="K147" s="2504">
        <v>113</v>
      </c>
      <c r="L147" s="2515"/>
      <c r="M147" s="2513"/>
      <c r="N147" s="2502">
        <v>113</v>
      </c>
      <c r="O147" s="396"/>
      <c r="P147" s="396"/>
      <c r="Q147" s="396"/>
      <c r="R147" s="396"/>
      <c r="S147" s="396"/>
      <c r="T147" s="396"/>
      <c r="U147" s="396"/>
      <c r="V147" s="396"/>
      <c r="W147" s="396"/>
      <c r="X147" s="396"/>
      <c r="Y147" s="396"/>
      <c r="Z147" s="396"/>
    </row>
    <row r="148" spans="2:26" ht="13.5" customHeight="1">
      <c r="B148" s="2439" t="s">
        <v>594</v>
      </c>
      <c r="C148" s="2504">
        <v>8</v>
      </c>
      <c r="D148" s="2515"/>
      <c r="E148" s="2515"/>
      <c r="F148" s="2502">
        <v>8</v>
      </c>
      <c r="G148" s="2504">
        <v>86</v>
      </c>
      <c r="H148" s="2515"/>
      <c r="I148" s="2513"/>
      <c r="J148" s="2502">
        <v>86</v>
      </c>
      <c r="K148" s="2504">
        <v>16</v>
      </c>
      <c r="L148" s="2515"/>
      <c r="M148" s="2513"/>
      <c r="N148" s="2502">
        <v>16</v>
      </c>
      <c r="O148" s="396"/>
      <c r="P148" s="396"/>
      <c r="Q148" s="396"/>
      <c r="R148" s="396"/>
      <c r="S148" s="396"/>
      <c r="T148" s="396"/>
      <c r="U148" s="396"/>
      <c r="V148" s="396"/>
      <c r="W148" s="396"/>
      <c r="X148" s="396"/>
      <c r="Y148" s="396"/>
      <c r="Z148" s="396"/>
    </row>
    <row r="149" spans="2:26" ht="13.5" customHeight="1">
      <c r="B149" s="2439" t="s">
        <v>595</v>
      </c>
      <c r="C149" s="2504">
        <v>13</v>
      </c>
      <c r="D149" s="2515"/>
      <c r="E149" s="2515"/>
      <c r="F149" s="2502">
        <v>13</v>
      </c>
      <c r="G149" s="2504">
        <v>113</v>
      </c>
      <c r="H149" s="2515"/>
      <c r="I149" s="2513"/>
      <c r="J149" s="2502">
        <v>113</v>
      </c>
      <c r="K149" s="2504">
        <v>87</v>
      </c>
      <c r="L149" s="2515"/>
      <c r="M149" s="2513"/>
      <c r="N149" s="2502">
        <v>87</v>
      </c>
      <c r="O149" s="396"/>
      <c r="P149" s="396"/>
      <c r="Q149" s="396"/>
      <c r="R149" s="396"/>
      <c r="S149" s="396"/>
      <c r="T149" s="396"/>
      <c r="U149" s="396"/>
      <c r="V149" s="396"/>
      <c r="W149" s="396"/>
      <c r="X149" s="396"/>
      <c r="Y149" s="396"/>
      <c r="Z149" s="396"/>
    </row>
    <row r="150" spans="2:26" ht="13.5" customHeight="1">
      <c r="B150" s="2439" t="s">
        <v>596</v>
      </c>
      <c r="C150" s="2504">
        <v>23</v>
      </c>
      <c r="D150" s="2515"/>
      <c r="E150" s="2515"/>
      <c r="F150" s="2502">
        <v>23</v>
      </c>
      <c r="G150" s="2504">
        <v>182</v>
      </c>
      <c r="H150" s="2515"/>
      <c r="I150" s="2513"/>
      <c r="J150" s="2502">
        <v>182</v>
      </c>
      <c r="K150" s="2504">
        <v>58</v>
      </c>
      <c r="L150" s="2515"/>
      <c r="M150" s="2513"/>
      <c r="N150" s="2502">
        <v>58</v>
      </c>
      <c r="O150" s="396"/>
      <c r="P150" s="396"/>
      <c r="Q150" s="396"/>
      <c r="R150" s="396"/>
      <c r="S150" s="396"/>
      <c r="T150" s="396"/>
      <c r="U150" s="396"/>
      <c r="V150" s="396"/>
      <c r="W150" s="396"/>
      <c r="X150" s="396"/>
      <c r="Y150" s="396"/>
      <c r="Z150" s="396"/>
    </row>
    <row r="151" spans="2:26" ht="13.5" customHeight="1">
      <c r="B151" s="2439" t="s">
        <v>602</v>
      </c>
      <c r="C151" s="2504">
        <v>7</v>
      </c>
      <c r="D151" s="2515"/>
      <c r="E151" s="2515"/>
      <c r="F151" s="2502">
        <v>7</v>
      </c>
      <c r="G151" s="2504">
        <v>59</v>
      </c>
      <c r="H151" s="2515"/>
      <c r="I151" s="2513"/>
      <c r="J151" s="2502">
        <v>59</v>
      </c>
      <c r="K151" s="2504">
        <v>23</v>
      </c>
      <c r="L151" s="2515"/>
      <c r="M151" s="2513"/>
      <c r="N151" s="2502">
        <v>23</v>
      </c>
      <c r="O151" s="396"/>
      <c r="P151" s="396"/>
      <c r="Q151" s="396"/>
      <c r="R151" s="396"/>
      <c r="S151" s="396"/>
      <c r="T151" s="396"/>
      <c r="U151" s="396"/>
      <c r="V151" s="396"/>
      <c r="W151" s="396"/>
      <c r="X151" s="396"/>
      <c r="Y151" s="396"/>
      <c r="Z151" s="396"/>
    </row>
    <row r="152" spans="2:26" ht="13.5" customHeight="1">
      <c r="B152" s="2439" t="s">
        <v>598</v>
      </c>
      <c r="C152" s="2504">
        <v>17</v>
      </c>
      <c r="D152" s="2515"/>
      <c r="E152" s="2515"/>
      <c r="F152" s="2502">
        <v>17</v>
      </c>
      <c r="G152" s="2504">
        <v>160</v>
      </c>
      <c r="H152" s="2515"/>
      <c r="I152" s="2513"/>
      <c r="J152" s="2502">
        <v>160</v>
      </c>
      <c r="K152" s="2504">
        <v>89</v>
      </c>
      <c r="L152" s="2515"/>
      <c r="M152" s="2513"/>
      <c r="N152" s="2502">
        <v>89</v>
      </c>
      <c r="O152" s="396"/>
      <c r="P152" s="396"/>
      <c r="Q152" s="396"/>
      <c r="R152" s="396"/>
      <c r="S152" s="396"/>
      <c r="T152" s="396"/>
      <c r="U152" s="396"/>
      <c r="V152" s="396"/>
      <c r="W152" s="396"/>
      <c r="X152" s="396"/>
      <c r="Y152" s="396"/>
      <c r="Z152" s="396"/>
    </row>
    <row r="153" spans="2:26" ht="13.5" customHeight="1">
      <c r="B153" s="2439" t="s">
        <v>599</v>
      </c>
      <c r="C153" s="2504">
        <v>23</v>
      </c>
      <c r="D153" s="2515"/>
      <c r="E153" s="2515"/>
      <c r="F153" s="2502">
        <v>23</v>
      </c>
      <c r="G153" s="2504">
        <v>202</v>
      </c>
      <c r="H153" s="2515"/>
      <c r="I153" s="2513"/>
      <c r="J153" s="2502">
        <v>202</v>
      </c>
      <c r="K153" s="2504">
        <v>94</v>
      </c>
      <c r="L153" s="2515"/>
      <c r="M153" s="2513"/>
      <c r="N153" s="2502">
        <v>94</v>
      </c>
      <c r="O153" s="396"/>
      <c r="P153" s="396"/>
      <c r="Q153" s="396"/>
      <c r="R153" s="396"/>
      <c r="S153" s="396"/>
      <c r="T153" s="396"/>
      <c r="U153" s="396"/>
      <c r="V153" s="396"/>
      <c r="W153" s="396"/>
      <c r="X153" s="396"/>
      <c r="Y153" s="396"/>
      <c r="Z153" s="396"/>
    </row>
    <row r="154" spans="2:26" ht="13.5" customHeight="1">
      <c r="B154" s="2439" t="s">
        <v>600</v>
      </c>
      <c r="C154" s="2504">
        <v>9</v>
      </c>
      <c r="D154" s="2515"/>
      <c r="E154" s="2515"/>
      <c r="F154" s="2502">
        <v>9</v>
      </c>
      <c r="G154" s="2504">
        <v>89</v>
      </c>
      <c r="H154" s="2515"/>
      <c r="I154" s="2513"/>
      <c r="J154" s="2502">
        <v>89</v>
      </c>
      <c r="K154" s="2504">
        <v>53</v>
      </c>
      <c r="L154" s="2515"/>
      <c r="M154" s="2513"/>
      <c r="N154" s="2502">
        <v>53</v>
      </c>
      <c r="O154" s="396"/>
      <c r="P154" s="396"/>
      <c r="Q154" s="396"/>
      <c r="R154" s="396"/>
      <c r="S154" s="396"/>
      <c r="T154" s="396"/>
      <c r="U154" s="396"/>
      <c r="V154" s="396"/>
      <c r="W154" s="396"/>
      <c r="X154" s="396"/>
      <c r="Y154" s="396"/>
      <c r="Z154" s="396"/>
    </row>
    <row r="155" spans="2:26" ht="13.5" customHeight="1">
      <c r="B155" s="2439" t="s">
        <v>601</v>
      </c>
      <c r="C155" s="2504">
        <v>74</v>
      </c>
      <c r="D155" s="2515"/>
      <c r="E155" s="2515"/>
      <c r="F155" s="2502">
        <v>74</v>
      </c>
      <c r="G155" s="2506">
        <v>1771</v>
      </c>
      <c r="H155" s="2515"/>
      <c r="I155" s="2513"/>
      <c r="J155" s="2502">
        <v>1771</v>
      </c>
      <c r="K155" s="2504">
        <v>457</v>
      </c>
      <c r="L155" s="2515"/>
      <c r="M155" s="2513"/>
      <c r="N155" s="2502">
        <v>457</v>
      </c>
      <c r="O155" s="396"/>
      <c r="P155" s="396"/>
      <c r="Q155" s="396"/>
      <c r="R155" s="396"/>
      <c r="S155" s="396"/>
      <c r="T155" s="396"/>
      <c r="U155" s="396"/>
      <c r="V155" s="396"/>
      <c r="W155" s="396"/>
      <c r="X155" s="396"/>
      <c r="Y155" s="396"/>
      <c r="Z155" s="396"/>
    </row>
    <row r="156" spans="2:26" ht="13.5" customHeight="1">
      <c r="B156" s="2512" t="s">
        <v>118</v>
      </c>
      <c r="C156" s="2508">
        <f>SUM(C147:C155)</f>
        <v>190</v>
      </c>
      <c r="D156" s="2508">
        <f>SUM(D147:D155)</f>
        <v>0</v>
      </c>
      <c r="E156" s="2508">
        <f>SUM(E147:E155)</f>
        <v>0</v>
      </c>
      <c r="F156" s="2508">
        <f>SUM(F147:F155)</f>
        <v>190</v>
      </c>
      <c r="G156" s="2508">
        <f>SUM(G147:G155)</f>
        <v>2839</v>
      </c>
      <c r="H156" s="2508">
        <f t="shared" ref="H156:N156" si="11">SUM(H147:H155)</f>
        <v>0</v>
      </c>
      <c r="I156" s="2508">
        <f t="shared" si="11"/>
        <v>0</v>
      </c>
      <c r="J156" s="2508">
        <f t="shared" si="11"/>
        <v>2839</v>
      </c>
      <c r="K156" s="2508">
        <f>SUM(K147:K155)</f>
        <v>990</v>
      </c>
      <c r="L156" s="2508">
        <f t="shared" si="11"/>
        <v>0</v>
      </c>
      <c r="M156" s="2508">
        <f t="shared" si="11"/>
        <v>0</v>
      </c>
      <c r="N156" s="2508">
        <f t="shared" si="11"/>
        <v>990</v>
      </c>
      <c r="O156" s="396"/>
      <c r="P156" s="396"/>
      <c r="Q156" s="396"/>
      <c r="R156" s="396"/>
      <c r="S156" s="396"/>
      <c r="T156" s="396"/>
      <c r="U156" s="396"/>
      <c r="V156" s="396"/>
      <c r="W156" s="396"/>
      <c r="X156" s="396"/>
      <c r="Y156" s="396"/>
      <c r="Z156" s="396"/>
    </row>
    <row r="157" spans="2:26" ht="13.5" customHeight="1">
      <c r="B157" s="51"/>
      <c r="C157" s="462"/>
      <c r="D157" s="462"/>
      <c r="E157" s="462"/>
      <c r="F157" s="462"/>
      <c r="G157" s="462"/>
      <c r="H157" s="462"/>
      <c r="I157" s="462"/>
      <c r="J157" s="462"/>
      <c r="K157" s="462"/>
      <c r="L157" s="462"/>
      <c r="M157" s="462"/>
      <c r="N157" s="462"/>
    </row>
    <row r="158" spans="2:26" ht="13.5" customHeight="1">
      <c r="B158" s="51"/>
      <c r="C158" s="420"/>
      <c r="D158" s="420"/>
      <c r="E158" s="420"/>
      <c r="F158" s="420"/>
      <c r="G158" s="236"/>
      <c r="H158" s="236"/>
      <c r="I158" s="236"/>
      <c r="J158" s="236"/>
      <c r="K158" s="236"/>
      <c r="L158" s="236"/>
      <c r="M158" s="420"/>
      <c r="N158" s="420"/>
    </row>
    <row r="159" spans="2:26" ht="13.5" customHeight="1">
      <c r="B159" s="1611" t="s">
        <v>96</v>
      </c>
    </row>
    <row r="160" spans="2:26" ht="13.5" customHeight="1">
      <c r="B160" s="3518" t="s">
        <v>586</v>
      </c>
      <c r="C160" s="3520" t="s">
        <v>587</v>
      </c>
      <c r="D160" s="3521"/>
      <c r="E160" s="3521"/>
      <c r="F160" s="3521"/>
      <c r="G160" s="3460" t="s">
        <v>588</v>
      </c>
      <c r="H160" s="3524"/>
      <c r="I160" s="3524"/>
      <c r="J160" s="3524"/>
      <c r="K160" s="3526" t="s">
        <v>589</v>
      </c>
      <c r="L160" s="3527"/>
      <c r="M160" s="3527"/>
      <c r="N160" s="3528"/>
    </row>
    <row r="161" spans="2:26" ht="13.5" customHeight="1">
      <c r="B161" s="3525"/>
      <c r="C161" s="3520"/>
      <c r="D161" s="3521"/>
      <c r="E161" s="3521"/>
      <c r="F161" s="3521"/>
      <c r="G161" s="3524"/>
      <c r="H161" s="3524"/>
      <c r="I161" s="3524"/>
      <c r="J161" s="3524"/>
      <c r="K161" s="3529"/>
      <c r="L161" s="3530"/>
      <c r="M161" s="3530"/>
      <c r="N161" s="3531"/>
    </row>
    <row r="162" spans="2:26" ht="13.5" customHeight="1">
      <c r="B162" s="3519"/>
      <c r="C162" s="2491" t="s">
        <v>590</v>
      </c>
      <c r="D162" s="2492" t="s">
        <v>591</v>
      </c>
      <c r="E162" s="2492" t="s">
        <v>592</v>
      </c>
      <c r="F162" s="2509" t="s">
        <v>118</v>
      </c>
      <c r="G162" s="2492" t="s">
        <v>590</v>
      </c>
      <c r="H162" s="2492" t="s">
        <v>591</v>
      </c>
      <c r="I162" s="2492" t="s">
        <v>592</v>
      </c>
      <c r="J162" s="2509" t="s">
        <v>118</v>
      </c>
      <c r="K162" s="2492" t="s">
        <v>590</v>
      </c>
      <c r="L162" s="2492" t="s">
        <v>591</v>
      </c>
      <c r="M162" s="2492" t="s">
        <v>592</v>
      </c>
      <c r="N162" s="2509" t="s">
        <v>118</v>
      </c>
    </row>
    <row r="163" spans="2:26" ht="13.5" customHeight="1">
      <c r="B163" s="1613" t="s">
        <v>593</v>
      </c>
      <c r="C163" s="2511"/>
      <c r="D163" s="2500">
        <v>11</v>
      </c>
      <c r="E163" s="2515"/>
      <c r="F163" s="2502">
        <v>11</v>
      </c>
      <c r="G163" s="2513"/>
      <c r="H163" s="2504">
        <v>58</v>
      </c>
      <c r="I163" s="2513"/>
      <c r="J163" s="2502">
        <v>58</v>
      </c>
      <c r="K163" s="2513"/>
      <c r="L163" s="2518">
        <v>183</v>
      </c>
      <c r="M163" s="2513"/>
      <c r="N163" s="2502">
        <v>183</v>
      </c>
      <c r="O163" s="396"/>
      <c r="P163" s="396"/>
      <c r="Q163" s="396"/>
      <c r="R163" s="396"/>
      <c r="S163" s="396"/>
      <c r="T163" s="396"/>
      <c r="U163" s="396"/>
      <c r="V163" s="396"/>
      <c r="W163" s="396"/>
      <c r="X163" s="396"/>
      <c r="Y163" s="396"/>
      <c r="Z163" s="396"/>
    </row>
    <row r="164" spans="2:26" ht="13.5" customHeight="1">
      <c r="B164" s="2439" t="s">
        <v>594</v>
      </c>
      <c r="C164" s="2513"/>
      <c r="D164" s="2504">
        <v>10</v>
      </c>
      <c r="E164" s="2515"/>
      <c r="F164" s="2502">
        <v>10</v>
      </c>
      <c r="G164" s="2513"/>
      <c r="H164" s="2504">
        <v>32</v>
      </c>
      <c r="I164" s="2513"/>
      <c r="J164" s="2502">
        <v>32</v>
      </c>
      <c r="K164" s="2513"/>
      <c r="L164" s="2518">
        <v>201</v>
      </c>
      <c r="M164" s="2513"/>
      <c r="N164" s="2502">
        <v>201</v>
      </c>
      <c r="O164" s="396"/>
      <c r="P164" s="396"/>
      <c r="Q164" s="396"/>
      <c r="R164" s="396"/>
      <c r="S164" s="396"/>
      <c r="T164" s="396"/>
      <c r="U164" s="396"/>
      <c r="V164" s="396"/>
      <c r="W164" s="396"/>
      <c r="X164" s="396"/>
      <c r="Y164" s="396"/>
      <c r="Z164" s="396"/>
    </row>
    <row r="165" spans="2:26" ht="13.5" customHeight="1">
      <c r="B165" s="2439" t="s">
        <v>595</v>
      </c>
      <c r="C165" s="2513"/>
      <c r="D165" s="2504">
        <v>11</v>
      </c>
      <c r="E165" s="2515"/>
      <c r="F165" s="2502">
        <v>11</v>
      </c>
      <c r="G165" s="2513"/>
      <c r="H165" s="2504">
        <v>38</v>
      </c>
      <c r="I165" s="2513"/>
      <c r="J165" s="2502">
        <v>38</v>
      </c>
      <c r="K165" s="2513"/>
      <c r="L165" s="2518">
        <v>213</v>
      </c>
      <c r="M165" s="2513"/>
      <c r="N165" s="2502">
        <v>213</v>
      </c>
      <c r="O165" s="396"/>
      <c r="P165" s="396"/>
      <c r="Q165" s="396"/>
      <c r="R165" s="396"/>
      <c r="S165" s="396"/>
      <c r="T165" s="396"/>
      <c r="U165" s="396"/>
      <c r="V165" s="396"/>
      <c r="W165" s="396"/>
      <c r="X165" s="396"/>
      <c r="Y165" s="396"/>
      <c r="Z165" s="396"/>
    </row>
    <row r="166" spans="2:26" ht="13.5" customHeight="1">
      <c r="B166" s="2439" t="s">
        <v>596</v>
      </c>
      <c r="C166" s="2513"/>
      <c r="D166" s="2504">
        <v>19</v>
      </c>
      <c r="E166" s="2515"/>
      <c r="F166" s="2502">
        <v>19</v>
      </c>
      <c r="G166" s="2513"/>
      <c r="H166" s="2504">
        <v>62</v>
      </c>
      <c r="I166" s="2513"/>
      <c r="J166" s="2502">
        <v>62</v>
      </c>
      <c r="K166" s="2513"/>
      <c r="L166" s="2518">
        <v>349</v>
      </c>
      <c r="M166" s="2513"/>
      <c r="N166" s="2502">
        <v>349</v>
      </c>
      <c r="O166" s="396"/>
      <c r="P166" s="396"/>
      <c r="Q166" s="396"/>
      <c r="R166" s="396"/>
      <c r="S166" s="396"/>
      <c r="T166" s="396"/>
      <c r="U166" s="396"/>
      <c r="V166" s="396"/>
      <c r="W166" s="396"/>
      <c r="X166" s="396"/>
      <c r="Y166" s="396"/>
      <c r="Z166" s="396"/>
    </row>
    <row r="167" spans="2:26" ht="13.5" customHeight="1">
      <c r="B167" s="2439" t="s">
        <v>602</v>
      </c>
      <c r="C167" s="2513"/>
      <c r="D167" s="2504">
        <v>9</v>
      </c>
      <c r="E167" s="2515"/>
      <c r="F167" s="2502">
        <v>9</v>
      </c>
      <c r="G167" s="2513"/>
      <c r="H167" s="2504">
        <v>41</v>
      </c>
      <c r="I167" s="2513"/>
      <c r="J167" s="2502">
        <v>41</v>
      </c>
      <c r="K167" s="2513"/>
      <c r="L167" s="2518">
        <v>293</v>
      </c>
      <c r="M167" s="2513"/>
      <c r="N167" s="2502">
        <v>293</v>
      </c>
      <c r="O167" s="396"/>
      <c r="P167" s="396"/>
      <c r="Q167" s="396"/>
      <c r="R167" s="396"/>
      <c r="S167" s="396"/>
      <c r="T167" s="396"/>
      <c r="U167" s="396"/>
      <c r="V167" s="396"/>
      <c r="W167" s="396"/>
      <c r="X167" s="396"/>
      <c r="Y167" s="396"/>
      <c r="Z167" s="396"/>
    </row>
    <row r="168" spans="2:26" ht="13.5" customHeight="1">
      <c r="B168" s="2439" t="s">
        <v>598</v>
      </c>
      <c r="C168" s="2513"/>
      <c r="D168" s="2504">
        <v>12</v>
      </c>
      <c r="E168" s="2515"/>
      <c r="F168" s="2502">
        <v>12</v>
      </c>
      <c r="G168" s="2513"/>
      <c r="H168" s="2504">
        <v>54</v>
      </c>
      <c r="I168" s="2513"/>
      <c r="J168" s="2502">
        <v>54</v>
      </c>
      <c r="K168" s="2513"/>
      <c r="L168" s="2518">
        <v>192</v>
      </c>
      <c r="M168" s="2513"/>
      <c r="N168" s="2502">
        <v>192</v>
      </c>
      <c r="O168" s="396"/>
      <c r="P168" s="396"/>
      <c r="Q168" s="396"/>
      <c r="R168" s="396"/>
      <c r="S168" s="396"/>
      <c r="T168" s="396"/>
      <c r="U168" s="396"/>
      <c r="V168" s="396"/>
      <c r="W168" s="396"/>
      <c r="X168" s="396"/>
      <c r="Y168" s="396"/>
      <c r="Z168" s="396"/>
    </row>
    <row r="169" spans="2:26" ht="13.5" customHeight="1">
      <c r="B169" s="2439" t="s">
        <v>599</v>
      </c>
      <c r="C169" s="2513"/>
      <c r="D169" s="2504">
        <v>15</v>
      </c>
      <c r="E169" s="2515"/>
      <c r="F169" s="2502">
        <v>15</v>
      </c>
      <c r="G169" s="2513"/>
      <c r="H169" s="2504">
        <v>61</v>
      </c>
      <c r="I169" s="2513"/>
      <c r="J169" s="2502">
        <v>61</v>
      </c>
      <c r="K169" s="2513"/>
      <c r="L169" s="2518">
        <v>296</v>
      </c>
      <c r="M169" s="2513"/>
      <c r="N169" s="2502">
        <v>296</v>
      </c>
      <c r="O169" s="396"/>
      <c r="P169" s="396"/>
      <c r="Q169" s="396"/>
      <c r="R169" s="396"/>
      <c r="S169" s="396"/>
      <c r="T169" s="396"/>
      <c r="U169" s="396"/>
      <c r="V169" s="396"/>
      <c r="W169" s="396"/>
      <c r="X169" s="396"/>
      <c r="Y169" s="396"/>
      <c r="Z169" s="396"/>
    </row>
    <row r="170" spans="2:26" ht="13.5" customHeight="1">
      <c r="B170" s="2439" t="s">
        <v>600</v>
      </c>
      <c r="C170" s="2513"/>
      <c r="D170" s="2504">
        <v>7</v>
      </c>
      <c r="E170" s="2515"/>
      <c r="F170" s="2502">
        <v>7</v>
      </c>
      <c r="G170" s="2513"/>
      <c r="H170" s="2504">
        <v>21</v>
      </c>
      <c r="I170" s="2513"/>
      <c r="J170" s="2502">
        <v>21</v>
      </c>
      <c r="K170" s="2513"/>
      <c r="L170" s="2518">
        <v>164</v>
      </c>
      <c r="M170" s="2513"/>
      <c r="N170" s="2502">
        <v>164</v>
      </c>
      <c r="O170" s="396"/>
      <c r="P170" s="396"/>
      <c r="Q170" s="396"/>
      <c r="R170" s="396"/>
      <c r="S170" s="396"/>
      <c r="T170" s="396"/>
      <c r="U170" s="396"/>
      <c r="V170" s="396"/>
      <c r="W170" s="396"/>
      <c r="X170" s="396"/>
      <c r="Y170" s="396"/>
      <c r="Z170" s="396"/>
    </row>
    <row r="171" spans="2:26" ht="13.5" customHeight="1">
      <c r="B171" s="2439" t="s">
        <v>601</v>
      </c>
      <c r="C171" s="2513"/>
      <c r="D171" s="2504">
        <v>38</v>
      </c>
      <c r="E171" s="2515"/>
      <c r="F171" s="2502">
        <v>38</v>
      </c>
      <c r="G171" s="2513"/>
      <c r="H171" s="2504">
        <v>385</v>
      </c>
      <c r="I171" s="2513"/>
      <c r="J171" s="2502">
        <v>385</v>
      </c>
      <c r="K171" s="2513"/>
      <c r="L171" s="2519">
        <v>977</v>
      </c>
      <c r="M171" s="2513"/>
      <c r="N171" s="2502">
        <v>977</v>
      </c>
      <c r="O171" s="396"/>
      <c r="P171" s="396"/>
      <c r="Q171" s="396"/>
      <c r="R171" s="396"/>
      <c r="S171" s="396"/>
      <c r="T171" s="396"/>
      <c r="U171" s="396"/>
      <c r="V171" s="396"/>
      <c r="W171" s="396"/>
      <c r="X171" s="396"/>
      <c r="Y171" s="396"/>
      <c r="Z171" s="396"/>
    </row>
    <row r="172" spans="2:26" ht="13.5" customHeight="1">
      <c r="B172" s="2512" t="s">
        <v>118</v>
      </c>
      <c r="C172" s="2508"/>
      <c r="D172" s="2508">
        <f>SUM(D163:D171)</f>
        <v>132</v>
      </c>
      <c r="E172" s="2508">
        <v>0</v>
      </c>
      <c r="F172" s="2508">
        <f>SUM(F163:F171)</f>
        <v>132</v>
      </c>
      <c r="G172" s="2508">
        <v>0</v>
      </c>
      <c r="H172" s="2508">
        <f>SUM(H163:H171)</f>
        <v>752</v>
      </c>
      <c r="I172" s="2508">
        <v>0</v>
      </c>
      <c r="J172" s="2508">
        <f>SUM(J163:J171)</f>
        <v>752</v>
      </c>
      <c r="K172" s="2508">
        <v>0</v>
      </c>
      <c r="L172" s="2508">
        <f>SUM(L163:L171)</f>
        <v>2868</v>
      </c>
      <c r="M172" s="2508">
        <v>0</v>
      </c>
      <c r="N172" s="2508">
        <f>SUM(N163:N171)</f>
        <v>2868</v>
      </c>
      <c r="O172" s="396"/>
      <c r="P172" s="396"/>
      <c r="Q172" s="396"/>
      <c r="R172" s="396"/>
      <c r="S172" s="396"/>
      <c r="T172" s="396"/>
      <c r="U172" s="396"/>
      <c r="V172" s="396"/>
      <c r="W172" s="396"/>
      <c r="X172" s="396"/>
      <c r="Y172" s="396"/>
      <c r="Z172" s="396"/>
    </row>
    <row r="173" spans="2:26" ht="13.5" customHeight="1">
      <c r="B173" s="51"/>
      <c r="C173" s="462"/>
      <c r="D173" s="462"/>
      <c r="E173" s="462"/>
      <c r="F173" s="526"/>
      <c r="G173" s="462"/>
      <c r="H173" s="462"/>
      <c r="I173" s="462"/>
      <c r="J173" s="526"/>
      <c r="K173" s="462"/>
      <c r="L173" s="462"/>
      <c r="M173" s="462"/>
      <c r="N173" s="526"/>
    </row>
    <row r="174" spans="2:26" ht="13.5" customHeight="1">
      <c r="B174" s="51"/>
      <c r="C174" s="420"/>
      <c r="D174" s="420"/>
      <c r="E174" s="420"/>
      <c r="F174" s="236"/>
      <c r="G174" s="236"/>
      <c r="H174" s="236"/>
      <c r="I174" s="236"/>
      <c r="J174" s="236"/>
      <c r="K174" s="236"/>
      <c r="L174" s="420"/>
      <c r="M174" s="420"/>
      <c r="N174" s="460">
        <v>173</v>
      </c>
    </row>
    <row r="175" spans="2:26" ht="13.5" customHeight="1">
      <c r="B175" s="51"/>
      <c r="C175" s="420"/>
      <c r="D175" s="420"/>
      <c r="E175" s="420"/>
      <c r="F175" s="236"/>
      <c r="G175" s="236"/>
      <c r="H175" s="236"/>
      <c r="I175" s="236"/>
      <c r="J175" s="236"/>
      <c r="K175" s="236"/>
      <c r="L175" s="420"/>
      <c r="M175" s="420"/>
      <c r="N175" s="460"/>
    </row>
    <row r="176" spans="2:26" ht="13.5" customHeight="1">
      <c r="B176" s="1611" t="s">
        <v>128</v>
      </c>
      <c r="E176" s="460"/>
      <c r="F176" s="587"/>
      <c r="G176" s="587"/>
      <c r="H176" s="587"/>
      <c r="K176" s="587"/>
      <c r="L176" s="587"/>
    </row>
    <row r="177" spans="2:26" ht="13.5" customHeight="1">
      <c r="B177" s="3532" t="s">
        <v>586</v>
      </c>
      <c r="C177" s="3521" t="s">
        <v>587</v>
      </c>
      <c r="D177" s="3521"/>
      <c r="E177" s="3521"/>
      <c r="F177" s="3521"/>
      <c r="G177" s="3460" t="s">
        <v>588</v>
      </c>
      <c r="H177" s="3524"/>
      <c r="I177" s="3524"/>
      <c r="J177" s="3524"/>
      <c r="K177" s="3526" t="s">
        <v>589</v>
      </c>
      <c r="L177" s="3527"/>
      <c r="M177" s="3527"/>
      <c r="N177" s="3528"/>
    </row>
    <row r="178" spans="2:26" ht="13.5" customHeight="1">
      <c r="B178" s="3532"/>
      <c r="C178" s="3521"/>
      <c r="D178" s="3521"/>
      <c r="E178" s="3521"/>
      <c r="F178" s="3521"/>
      <c r="G178" s="3524"/>
      <c r="H178" s="3524"/>
      <c r="I178" s="3524"/>
      <c r="J178" s="3524"/>
      <c r="K178" s="3529"/>
      <c r="L178" s="3530"/>
      <c r="M178" s="3530"/>
      <c r="N178" s="3531"/>
    </row>
    <row r="179" spans="2:26" ht="13.5" customHeight="1">
      <c r="B179" s="3533"/>
      <c r="C179" s="2492" t="s">
        <v>590</v>
      </c>
      <c r="D179" s="2492" t="s">
        <v>591</v>
      </c>
      <c r="E179" s="2492" t="s">
        <v>592</v>
      </c>
      <c r="F179" s="2509" t="s">
        <v>118</v>
      </c>
      <c r="G179" s="2492" t="s">
        <v>590</v>
      </c>
      <c r="H179" s="2492" t="s">
        <v>591</v>
      </c>
      <c r="I179" s="2492" t="s">
        <v>592</v>
      </c>
      <c r="J179" s="2509" t="s">
        <v>118</v>
      </c>
      <c r="K179" s="2492" t="s">
        <v>590</v>
      </c>
      <c r="L179" s="2492" t="s">
        <v>591</v>
      </c>
      <c r="M179" s="2492" t="s">
        <v>592</v>
      </c>
      <c r="N179" s="2509" t="s">
        <v>118</v>
      </c>
    </row>
    <row r="180" spans="2:26" ht="13.5" customHeight="1">
      <c r="B180" s="2439" t="s">
        <v>593</v>
      </c>
      <c r="C180" s="2500">
        <v>7</v>
      </c>
      <c r="D180" s="2515">
        <v>0</v>
      </c>
      <c r="E180" s="2515">
        <v>0</v>
      </c>
      <c r="F180" s="2502">
        <v>7</v>
      </c>
      <c r="G180" s="2504">
        <v>34</v>
      </c>
      <c r="H180" s="2515">
        <v>0</v>
      </c>
      <c r="I180" s="2513">
        <v>0</v>
      </c>
      <c r="J180" s="2502">
        <v>34</v>
      </c>
      <c r="K180" s="2504">
        <v>5</v>
      </c>
      <c r="L180" s="2515">
        <v>0</v>
      </c>
      <c r="M180" s="2513">
        <v>0</v>
      </c>
      <c r="N180" s="2502">
        <v>5</v>
      </c>
      <c r="O180" s="396"/>
      <c r="P180" s="396"/>
      <c r="Q180" s="396"/>
      <c r="R180" s="396"/>
      <c r="S180" s="396"/>
      <c r="T180" s="396"/>
      <c r="U180" s="396"/>
      <c r="V180" s="396"/>
      <c r="W180" s="396"/>
      <c r="X180" s="396"/>
      <c r="Y180" s="396"/>
      <c r="Z180" s="396"/>
    </row>
    <row r="181" spans="2:26" ht="13.5" customHeight="1">
      <c r="B181" s="2439" t="s">
        <v>594</v>
      </c>
      <c r="C181" s="2504">
        <v>4</v>
      </c>
      <c r="D181" s="2515">
        <v>0</v>
      </c>
      <c r="E181" s="2515">
        <v>0</v>
      </c>
      <c r="F181" s="2502">
        <v>4</v>
      </c>
      <c r="G181" s="2504">
        <v>19</v>
      </c>
      <c r="H181" s="2515">
        <v>0</v>
      </c>
      <c r="I181" s="2513">
        <v>0</v>
      </c>
      <c r="J181" s="2502">
        <v>19</v>
      </c>
      <c r="K181" s="2504">
        <v>2</v>
      </c>
      <c r="L181" s="2515">
        <v>0</v>
      </c>
      <c r="M181" s="2513">
        <v>0</v>
      </c>
      <c r="N181" s="2502">
        <v>2</v>
      </c>
      <c r="O181" s="396"/>
      <c r="P181" s="396"/>
      <c r="Q181" s="396"/>
      <c r="R181" s="396"/>
      <c r="S181" s="396"/>
      <c r="T181" s="396"/>
      <c r="U181" s="396"/>
      <c r="V181" s="396"/>
      <c r="W181" s="396"/>
      <c r="X181" s="396"/>
      <c r="Y181" s="396"/>
      <c r="Z181" s="396"/>
    </row>
    <row r="182" spans="2:26" ht="13.5" customHeight="1">
      <c r="B182" s="2439" t="s">
        <v>595</v>
      </c>
      <c r="C182" s="2504">
        <v>6</v>
      </c>
      <c r="D182" s="2515">
        <v>0</v>
      </c>
      <c r="E182" s="2515">
        <v>0</v>
      </c>
      <c r="F182" s="2502">
        <v>6</v>
      </c>
      <c r="G182" s="2504">
        <v>17</v>
      </c>
      <c r="H182" s="2515">
        <v>0</v>
      </c>
      <c r="I182" s="2513">
        <v>0</v>
      </c>
      <c r="J182" s="2502">
        <v>17</v>
      </c>
      <c r="K182" s="2504">
        <v>12</v>
      </c>
      <c r="L182" s="2515">
        <v>0</v>
      </c>
      <c r="M182" s="2513">
        <v>0</v>
      </c>
      <c r="N182" s="2502">
        <v>12</v>
      </c>
      <c r="O182" s="396"/>
      <c r="P182" s="396"/>
      <c r="Q182" s="396"/>
      <c r="R182" s="396"/>
      <c r="S182" s="396"/>
      <c r="T182" s="396"/>
      <c r="U182" s="396"/>
      <c r="V182" s="396"/>
      <c r="W182" s="396"/>
      <c r="X182" s="396"/>
      <c r="Y182" s="396"/>
      <c r="Z182" s="396"/>
    </row>
    <row r="183" spans="2:26" ht="13.5" customHeight="1">
      <c r="B183" s="2439" t="s">
        <v>596</v>
      </c>
      <c r="C183" s="2504">
        <v>7</v>
      </c>
      <c r="D183" s="2515">
        <v>0</v>
      </c>
      <c r="E183" s="2515">
        <v>0</v>
      </c>
      <c r="F183" s="2502">
        <v>7</v>
      </c>
      <c r="G183" s="2504">
        <v>23</v>
      </c>
      <c r="H183" s="2515">
        <v>0</v>
      </c>
      <c r="I183" s="2513">
        <v>0</v>
      </c>
      <c r="J183" s="2502">
        <v>23</v>
      </c>
      <c r="K183" s="2504">
        <v>9</v>
      </c>
      <c r="L183" s="2515">
        <v>0</v>
      </c>
      <c r="M183" s="2513">
        <v>0</v>
      </c>
      <c r="N183" s="2502">
        <v>9</v>
      </c>
      <c r="O183" s="396"/>
      <c r="P183" s="396"/>
      <c r="Q183" s="396"/>
      <c r="R183" s="396"/>
      <c r="S183" s="396"/>
      <c r="T183" s="396"/>
      <c r="U183" s="396"/>
      <c r="V183" s="396"/>
      <c r="W183" s="396"/>
      <c r="X183" s="396"/>
      <c r="Y183" s="396"/>
      <c r="Z183" s="396"/>
    </row>
    <row r="184" spans="2:26" ht="13.5" customHeight="1">
      <c r="B184" s="2439" t="s">
        <v>602</v>
      </c>
      <c r="C184" s="2504">
        <v>2</v>
      </c>
      <c r="D184" s="2515">
        <v>0</v>
      </c>
      <c r="E184" s="2515">
        <v>0</v>
      </c>
      <c r="F184" s="2502">
        <v>2</v>
      </c>
      <c r="G184" s="2504">
        <v>6</v>
      </c>
      <c r="H184" s="2515">
        <v>0</v>
      </c>
      <c r="I184" s="2513">
        <v>0</v>
      </c>
      <c r="J184" s="2502">
        <v>6</v>
      </c>
      <c r="K184" s="2504"/>
      <c r="L184" s="2515">
        <v>0</v>
      </c>
      <c r="M184" s="2513">
        <v>0</v>
      </c>
      <c r="N184" s="2502">
        <v>0</v>
      </c>
      <c r="O184" s="396"/>
      <c r="P184" s="396"/>
      <c r="Q184" s="396"/>
      <c r="R184" s="396"/>
      <c r="S184" s="396"/>
      <c r="T184" s="396"/>
      <c r="U184" s="396"/>
      <c r="V184" s="396"/>
      <c r="W184" s="396"/>
      <c r="X184" s="396"/>
      <c r="Y184" s="396"/>
      <c r="Z184" s="396"/>
    </row>
    <row r="185" spans="2:26" ht="13.5" customHeight="1">
      <c r="B185" s="2439" t="s">
        <v>598</v>
      </c>
      <c r="C185" s="2504">
        <v>6</v>
      </c>
      <c r="D185" s="2515">
        <v>0</v>
      </c>
      <c r="E185" s="2515">
        <v>0</v>
      </c>
      <c r="F185" s="2502">
        <v>6</v>
      </c>
      <c r="G185" s="2504">
        <v>22</v>
      </c>
      <c r="H185" s="2515">
        <v>0</v>
      </c>
      <c r="I185" s="2513">
        <v>0</v>
      </c>
      <c r="J185" s="2502">
        <v>22</v>
      </c>
      <c r="K185" s="2504">
        <v>18</v>
      </c>
      <c r="L185" s="2515">
        <v>0</v>
      </c>
      <c r="M185" s="2513">
        <v>0</v>
      </c>
      <c r="N185" s="2502">
        <v>18</v>
      </c>
      <c r="O185" s="396"/>
      <c r="P185" s="396"/>
      <c r="Q185" s="396"/>
      <c r="R185" s="396"/>
      <c r="S185" s="396"/>
      <c r="T185" s="396"/>
      <c r="U185" s="396"/>
      <c r="V185" s="396"/>
      <c r="W185" s="396"/>
      <c r="X185" s="396"/>
      <c r="Y185" s="396"/>
      <c r="Z185" s="396"/>
    </row>
    <row r="186" spans="2:26" ht="13.5" customHeight="1">
      <c r="B186" s="2439" t="s">
        <v>599</v>
      </c>
      <c r="C186" s="2504">
        <v>8</v>
      </c>
      <c r="D186" s="2515">
        <v>0</v>
      </c>
      <c r="E186" s="2515">
        <v>0</v>
      </c>
      <c r="F186" s="2502">
        <v>8</v>
      </c>
      <c r="G186" s="2504">
        <v>31</v>
      </c>
      <c r="H186" s="2515">
        <v>0</v>
      </c>
      <c r="I186" s="2513">
        <v>0</v>
      </c>
      <c r="J186" s="2502">
        <v>31</v>
      </c>
      <c r="K186" s="2504">
        <v>8</v>
      </c>
      <c r="L186" s="2515">
        <v>0</v>
      </c>
      <c r="M186" s="2513">
        <v>0</v>
      </c>
      <c r="N186" s="2502">
        <v>8</v>
      </c>
      <c r="O186" s="396"/>
      <c r="P186" s="396"/>
      <c r="Q186" s="396"/>
      <c r="R186" s="396"/>
      <c r="S186" s="396"/>
      <c r="T186" s="396"/>
      <c r="U186" s="396"/>
      <c r="V186" s="396"/>
      <c r="W186" s="396"/>
      <c r="X186" s="396"/>
      <c r="Y186" s="396"/>
      <c r="Z186" s="396"/>
    </row>
    <row r="187" spans="2:26" ht="13.5" customHeight="1">
      <c r="B187" s="2439" t="s">
        <v>600</v>
      </c>
      <c r="C187" s="2504">
        <v>4</v>
      </c>
      <c r="D187" s="2515">
        <v>0</v>
      </c>
      <c r="E187" s="2515">
        <v>0</v>
      </c>
      <c r="F187" s="2502">
        <v>4</v>
      </c>
      <c r="G187" s="2504">
        <v>23</v>
      </c>
      <c r="H187" s="2515">
        <v>0</v>
      </c>
      <c r="I187" s="2513">
        <v>0</v>
      </c>
      <c r="J187" s="2502">
        <v>23</v>
      </c>
      <c r="K187" s="2504">
        <v>3</v>
      </c>
      <c r="L187" s="2515">
        <v>0</v>
      </c>
      <c r="M187" s="2513">
        <v>0</v>
      </c>
      <c r="N187" s="2502">
        <v>3</v>
      </c>
      <c r="O187" s="396"/>
      <c r="P187" s="396"/>
      <c r="Q187" s="396"/>
      <c r="R187" s="396"/>
      <c r="S187" s="396"/>
      <c r="T187" s="396"/>
      <c r="U187" s="396"/>
      <c r="V187" s="396"/>
      <c r="W187" s="396"/>
      <c r="X187" s="396"/>
      <c r="Y187" s="396"/>
      <c r="Z187" s="396"/>
    </row>
    <row r="188" spans="2:26" ht="13.5" customHeight="1">
      <c r="B188" s="2439" t="s">
        <v>601</v>
      </c>
      <c r="C188" s="2504">
        <v>16</v>
      </c>
      <c r="D188" s="2515">
        <v>0</v>
      </c>
      <c r="E188" s="2515">
        <v>0</v>
      </c>
      <c r="F188" s="2502">
        <v>16</v>
      </c>
      <c r="G188" s="2504">
        <v>436</v>
      </c>
      <c r="H188" s="2515">
        <v>0</v>
      </c>
      <c r="I188" s="2513">
        <v>0</v>
      </c>
      <c r="J188" s="2502">
        <v>436</v>
      </c>
      <c r="K188" s="2504">
        <v>12</v>
      </c>
      <c r="L188" s="2515">
        <v>0</v>
      </c>
      <c r="M188" s="2513">
        <v>0</v>
      </c>
      <c r="N188" s="2502">
        <v>12</v>
      </c>
      <c r="O188" s="396"/>
      <c r="P188" s="396"/>
      <c r="Q188" s="396"/>
      <c r="R188" s="396"/>
      <c r="S188" s="396"/>
      <c r="T188" s="396"/>
      <c r="U188" s="396"/>
      <c r="V188" s="396"/>
      <c r="W188" s="396"/>
      <c r="X188" s="396"/>
      <c r="Y188" s="396"/>
      <c r="Z188" s="396"/>
    </row>
    <row r="189" spans="2:26" ht="13.5" customHeight="1">
      <c r="B189" s="2512" t="s">
        <v>118</v>
      </c>
      <c r="C189" s="2508">
        <f>SUM(C180:C188)</f>
        <v>60</v>
      </c>
      <c r="D189" s="2508">
        <v>0</v>
      </c>
      <c r="E189" s="2508">
        <v>0</v>
      </c>
      <c r="F189" s="2508">
        <f>SUM(F180:F188)</f>
        <v>60</v>
      </c>
      <c r="G189" s="2508">
        <f>SUM(G180:G188)</f>
        <v>611</v>
      </c>
      <c r="H189" s="2508">
        <v>0</v>
      </c>
      <c r="I189" s="2508">
        <v>0</v>
      </c>
      <c r="J189" s="2508">
        <f>SUM(J180:J188)</f>
        <v>611</v>
      </c>
      <c r="K189" s="2508">
        <f>SUM(K180:K188)</f>
        <v>69</v>
      </c>
      <c r="L189" s="2508">
        <v>0</v>
      </c>
      <c r="M189" s="2508">
        <v>0</v>
      </c>
      <c r="N189" s="2508">
        <f>SUM(N180:N188)</f>
        <v>69</v>
      </c>
      <c r="O189" s="396"/>
      <c r="P189" s="396"/>
      <c r="Q189" s="396"/>
      <c r="R189" s="396"/>
      <c r="S189" s="396"/>
      <c r="T189" s="396"/>
      <c r="U189" s="396"/>
      <c r="V189" s="396"/>
      <c r="W189" s="396"/>
      <c r="X189" s="396"/>
      <c r="Y189" s="396"/>
      <c r="Z189" s="396"/>
    </row>
    <row r="190" spans="2:26" ht="13.5" customHeight="1">
      <c r="B190" s="51"/>
      <c r="C190" s="462"/>
      <c r="D190" s="462"/>
      <c r="E190" s="462"/>
      <c r="F190" s="462"/>
      <c r="G190" s="462"/>
      <c r="H190" s="462"/>
      <c r="I190" s="462"/>
      <c r="J190" s="462"/>
      <c r="K190" s="462"/>
      <c r="L190" s="462"/>
      <c r="M190" s="462"/>
      <c r="N190" s="462"/>
    </row>
    <row r="191" spans="2:26" ht="13.5" customHeight="1">
      <c r="B191" s="51"/>
      <c r="C191" s="420"/>
      <c r="D191" s="420"/>
      <c r="E191" s="420"/>
      <c r="F191" s="420"/>
      <c r="G191" s="420"/>
      <c r="H191" s="420"/>
      <c r="I191" s="420"/>
      <c r="J191" s="420"/>
      <c r="K191" s="420"/>
      <c r="L191" s="420"/>
      <c r="M191" s="420"/>
    </row>
    <row r="192" spans="2:26" ht="13.5" customHeight="1">
      <c r="B192" s="1611" t="s">
        <v>101</v>
      </c>
    </row>
    <row r="193" spans="2:26" ht="13.5" customHeight="1">
      <c r="B193" s="3532" t="s">
        <v>586</v>
      </c>
      <c r="C193" s="3521" t="s">
        <v>587</v>
      </c>
      <c r="D193" s="3521"/>
      <c r="E193" s="3521"/>
      <c r="F193" s="3521"/>
      <c r="G193" s="3496" t="s">
        <v>603</v>
      </c>
      <c r="H193" s="3496"/>
      <c r="I193" s="3496"/>
      <c r="J193" s="3496"/>
      <c r="K193" s="3526" t="s">
        <v>589</v>
      </c>
      <c r="L193" s="3527"/>
      <c r="M193" s="3527"/>
      <c r="N193" s="3528"/>
    </row>
    <row r="194" spans="2:26" ht="13.5" customHeight="1">
      <c r="B194" s="3532"/>
      <c r="C194" s="3521"/>
      <c r="D194" s="3521"/>
      <c r="E194" s="3521"/>
      <c r="F194" s="3521"/>
      <c r="G194" s="3496"/>
      <c r="H194" s="3496"/>
      <c r="I194" s="3496"/>
      <c r="J194" s="3496"/>
      <c r="K194" s="3529"/>
      <c r="L194" s="3530"/>
      <c r="M194" s="3530"/>
      <c r="N194" s="3531"/>
    </row>
    <row r="195" spans="2:26" ht="13.5" customHeight="1">
      <c r="B195" s="3533"/>
      <c r="C195" s="2492" t="s">
        <v>590</v>
      </c>
      <c r="D195" s="2492" t="s">
        <v>591</v>
      </c>
      <c r="E195" s="2492" t="s">
        <v>592</v>
      </c>
      <c r="F195" s="2509" t="s">
        <v>118</v>
      </c>
      <c r="G195" s="1615" t="s">
        <v>590</v>
      </c>
      <c r="H195" s="1615" t="s">
        <v>591</v>
      </c>
      <c r="I195" s="1615" t="s">
        <v>592</v>
      </c>
      <c r="J195" s="2509" t="s">
        <v>118</v>
      </c>
      <c r="K195" s="2492" t="s">
        <v>590</v>
      </c>
      <c r="L195" s="2492" t="s">
        <v>591</v>
      </c>
      <c r="M195" s="2492" t="s">
        <v>592</v>
      </c>
      <c r="N195" s="2509" t="s">
        <v>118</v>
      </c>
    </row>
    <row r="196" spans="2:26" ht="13.5" customHeight="1">
      <c r="B196" s="2439" t="s">
        <v>593</v>
      </c>
      <c r="C196" s="2500">
        <v>11</v>
      </c>
      <c r="D196" s="2515"/>
      <c r="E196" s="2515"/>
      <c r="F196" s="2502">
        <v>11</v>
      </c>
      <c r="G196" s="2504">
        <v>93</v>
      </c>
      <c r="H196" s="2515"/>
      <c r="I196" s="2513"/>
      <c r="J196" s="2502">
        <v>93</v>
      </c>
      <c r="K196" s="2504">
        <v>5</v>
      </c>
      <c r="L196" s="2515"/>
      <c r="M196" s="2513"/>
      <c r="N196" s="2502">
        <v>5</v>
      </c>
      <c r="O196" s="396"/>
      <c r="P196" s="396"/>
      <c r="Q196" s="396"/>
      <c r="R196" s="396"/>
      <c r="S196" s="396"/>
      <c r="T196" s="396"/>
      <c r="U196" s="396"/>
      <c r="V196" s="396"/>
      <c r="W196" s="396"/>
      <c r="X196" s="396"/>
      <c r="Y196" s="396"/>
      <c r="Z196" s="396"/>
    </row>
    <row r="197" spans="2:26" ht="13.5" customHeight="1">
      <c r="B197" s="2439" t="s">
        <v>594</v>
      </c>
      <c r="C197" s="2504">
        <v>9</v>
      </c>
      <c r="D197" s="2515"/>
      <c r="E197" s="2515"/>
      <c r="F197" s="2502">
        <v>9</v>
      </c>
      <c r="G197" s="2504">
        <v>52</v>
      </c>
      <c r="H197" s="2515"/>
      <c r="I197" s="2513"/>
      <c r="J197" s="2502">
        <v>52</v>
      </c>
      <c r="K197" s="2504">
        <v>10</v>
      </c>
      <c r="L197" s="2515"/>
      <c r="M197" s="2513"/>
      <c r="N197" s="2502">
        <v>10</v>
      </c>
      <c r="O197" s="396"/>
      <c r="P197" s="396"/>
      <c r="Q197" s="396"/>
      <c r="R197" s="396"/>
      <c r="S197" s="396"/>
      <c r="T197" s="396"/>
      <c r="U197" s="396"/>
      <c r="V197" s="396"/>
      <c r="W197" s="396"/>
      <c r="X197" s="396"/>
      <c r="Y197" s="396"/>
      <c r="Z197" s="396"/>
    </row>
    <row r="198" spans="2:26" ht="13.5" customHeight="1">
      <c r="B198" s="2439" t="s">
        <v>595</v>
      </c>
      <c r="C198" s="2504">
        <v>7</v>
      </c>
      <c r="D198" s="2515"/>
      <c r="E198" s="2515"/>
      <c r="F198" s="2502">
        <v>7</v>
      </c>
      <c r="G198" s="2504">
        <v>55</v>
      </c>
      <c r="H198" s="2515"/>
      <c r="I198" s="2513"/>
      <c r="J198" s="2502">
        <v>55</v>
      </c>
      <c r="K198" s="2504">
        <v>11</v>
      </c>
      <c r="L198" s="2515"/>
      <c r="M198" s="2513"/>
      <c r="N198" s="2502">
        <v>11</v>
      </c>
      <c r="O198" s="396"/>
      <c r="P198" s="396"/>
      <c r="Q198" s="396"/>
      <c r="R198" s="396"/>
      <c r="S198" s="396"/>
      <c r="T198" s="396"/>
      <c r="U198" s="396"/>
      <c r="V198" s="396"/>
      <c r="W198" s="396"/>
      <c r="X198" s="396"/>
      <c r="Y198" s="396"/>
      <c r="Z198" s="396"/>
    </row>
    <row r="199" spans="2:26" ht="13.5" customHeight="1">
      <c r="B199" s="2439" t="s">
        <v>596</v>
      </c>
      <c r="C199" s="2504">
        <v>13</v>
      </c>
      <c r="D199" s="2515"/>
      <c r="E199" s="2515"/>
      <c r="F199" s="2502">
        <v>13</v>
      </c>
      <c r="G199" s="2504">
        <v>118</v>
      </c>
      <c r="H199" s="2515"/>
      <c r="I199" s="2513"/>
      <c r="J199" s="2502">
        <v>118</v>
      </c>
      <c r="K199" s="2504">
        <v>16</v>
      </c>
      <c r="L199" s="2515"/>
      <c r="M199" s="2513"/>
      <c r="N199" s="2502">
        <v>16</v>
      </c>
      <c r="O199" s="396"/>
      <c r="P199" s="396"/>
      <c r="Q199" s="396"/>
      <c r="R199" s="396"/>
      <c r="S199" s="396"/>
      <c r="T199" s="396"/>
      <c r="U199" s="396"/>
      <c r="V199" s="396"/>
      <c r="W199" s="396"/>
      <c r="X199" s="396"/>
      <c r="Y199" s="396"/>
      <c r="Z199" s="396"/>
    </row>
    <row r="200" spans="2:26" ht="13.5" customHeight="1">
      <c r="B200" s="2439" t="s">
        <v>602</v>
      </c>
      <c r="C200" s="2504">
        <v>7</v>
      </c>
      <c r="D200" s="2515"/>
      <c r="E200" s="2515"/>
      <c r="F200" s="2502">
        <v>7</v>
      </c>
      <c r="G200" s="2504">
        <v>31</v>
      </c>
      <c r="H200" s="2515"/>
      <c r="I200" s="2513"/>
      <c r="J200" s="2502">
        <v>31</v>
      </c>
      <c r="K200" s="2504">
        <v>0</v>
      </c>
      <c r="L200" s="2515"/>
      <c r="M200" s="2513"/>
      <c r="N200" s="2502">
        <v>0</v>
      </c>
      <c r="O200" s="396"/>
      <c r="P200" s="396"/>
      <c r="Q200" s="396"/>
      <c r="R200" s="396"/>
      <c r="S200" s="396"/>
      <c r="T200" s="396"/>
      <c r="U200" s="396"/>
      <c r="V200" s="396"/>
      <c r="W200" s="396"/>
      <c r="X200" s="396"/>
      <c r="Y200" s="396"/>
      <c r="Z200" s="396"/>
    </row>
    <row r="201" spans="2:26" ht="13.5" customHeight="1">
      <c r="B201" s="2439" t="s">
        <v>598</v>
      </c>
      <c r="C201" s="2504">
        <v>8</v>
      </c>
      <c r="D201" s="2515"/>
      <c r="E201" s="2515"/>
      <c r="F201" s="2502">
        <v>8</v>
      </c>
      <c r="G201" s="2504">
        <v>72</v>
      </c>
      <c r="H201" s="2515"/>
      <c r="I201" s="2513"/>
      <c r="J201" s="2502">
        <v>72</v>
      </c>
      <c r="K201" s="2504">
        <v>13</v>
      </c>
      <c r="L201" s="2515"/>
      <c r="M201" s="2513"/>
      <c r="N201" s="2502">
        <v>13</v>
      </c>
      <c r="O201" s="396"/>
      <c r="P201" s="396"/>
      <c r="Q201" s="396"/>
      <c r="R201" s="396"/>
      <c r="S201" s="396"/>
      <c r="T201" s="396"/>
      <c r="U201" s="396"/>
      <c r="V201" s="396"/>
      <c r="W201" s="396"/>
      <c r="X201" s="396"/>
      <c r="Y201" s="396"/>
      <c r="Z201" s="396"/>
    </row>
    <row r="202" spans="2:26" ht="13.5" customHeight="1">
      <c r="B202" s="2439" t="s">
        <v>599</v>
      </c>
      <c r="C202" s="2504">
        <v>16</v>
      </c>
      <c r="D202" s="2515"/>
      <c r="E202" s="2515"/>
      <c r="F202" s="2502">
        <v>16</v>
      </c>
      <c r="G202" s="2504">
        <v>160</v>
      </c>
      <c r="H202" s="2515"/>
      <c r="I202" s="2513"/>
      <c r="J202" s="2502">
        <v>160</v>
      </c>
      <c r="K202" s="2504">
        <v>25</v>
      </c>
      <c r="L202" s="2515"/>
      <c r="M202" s="2513"/>
      <c r="N202" s="2502">
        <v>25</v>
      </c>
      <c r="O202" s="396"/>
      <c r="P202" s="396"/>
      <c r="Q202" s="396"/>
      <c r="R202" s="396"/>
      <c r="S202" s="396"/>
      <c r="T202" s="396"/>
      <c r="U202" s="396"/>
      <c r="V202" s="396"/>
      <c r="W202" s="396"/>
      <c r="X202" s="396"/>
      <c r="Y202" s="396"/>
      <c r="Z202" s="396"/>
    </row>
    <row r="203" spans="2:26" ht="13.5" customHeight="1">
      <c r="B203" s="2439" t="s">
        <v>600</v>
      </c>
      <c r="C203" s="2504">
        <v>8</v>
      </c>
      <c r="D203" s="2515"/>
      <c r="E203" s="2515"/>
      <c r="F203" s="2502">
        <v>8</v>
      </c>
      <c r="G203" s="2504">
        <v>53</v>
      </c>
      <c r="H203" s="2515"/>
      <c r="I203" s="2513"/>
      <c r="J203" s="2502">
        <v>53</v>
      </c>
      <c r="K203" s="2504">
        <v>2</v>
      </c>
      <c r="L203" s="2515"/>
      <c r="M203" s="2513"/>
      <c r="N203" s="2502">
        <v>2</v>
      </c>
      <c r="O203" s="396"/>
      <c r="P203" s="396"/>
      <c r="Q203" s="396"/>
      <c r="R203" s="396"/>
      <c r="S203" s="396"/>
      <c r="T203" s="396"/>
      <c r="U203" s="396"/>
      <c r="V203" s="396"/>
      <c r="W203" s="396"/>
      <c r="X203" s="396"/>
      <c r="Y203" s="396"/>
      <c r="Z203" s="396"/>
    </row>
    <row r="204" spans="2:26" ht="13.5" customHeight="1">
      <c r="B204" s="2439" t="s">
        <v>601</v>
      </c>
      <c r="C204" s="2504">
        <v>40</v>
      </c>
      <c r="D204" s="2515"/>
      <c r="E204" s="2515"/>
      <c r="F204" s="2502">
        <v>40</v>
      </c>
      <c r="G204" s="2504">
        <v>654</v>
      </c>
      <c r="H204" s="2515"/>
      <c r="I204" s="2513"/>
      <c r="J204" s="2502">
        <v>654</v>
      </c>
      <c r="K204" s="2504">
        <v>112</v>
      </c>
      <c r="L204" s="2515"/>
      <c r="M204" s="2513"/>
      <c r="N204" s="2502">
        <v>112</v>
      </c>
      <c r="O204" s="396"/>
      <c r="P204" s="396"/>
      <c r="Q204" s="396"/>
      <c r="R204" s="396"/>
      <c r="S204" s="396"/>
      <c r="T204" s="396"/>
      <c r="U204" s="396"/>
      <c r="V204" s="396"/>
      <c r="W204" s="396"/>
      <c r="X204" s="396"/>
      <c r="Y204" s="396"/>
      <c r="Z204" s="396"/>
    </row>
    <row r="205" spans="2:26" ht="13.5" customHeight="1">
      <c r="B205" s="2512" t="s">
        <v>118</v>
      </c>
      <c r="C205" s="2508">
        <f>SUM(C196:C204)</f>
        <v>119</v>
      </c>
      <c r="D205" s="2508">
        <v>0</v>
      </c>
      <c r="E205" s="2508">
        <v>0</v>
      </c>
      <c r="F205" s="2508">
        <f>SUM(F196:F204)</f>
        <v>119</v>
      </c>
      <c r="G205" s="2508">
        <f>SUM(G196:G204)</f>
        <v>1288</v>
      </c>
      <c r="H205" s="2508">
        <v>0</v>
      </c>
      <c r="I205" s="2508">
        <v>0</v>
      </c>
      <c r="J205" s="2508">
        <f>SUM(J196:J204)</f>
        <v>1288</v>
      </c>
      <c r="K205" s="2508">
        <f>SUM(K196:K204)</f>
        <v>194</v>
      </c>
      <c r="L205" s="2508">
        <v>0</v>
      </c>
      <c r="M205" s="2508">
        <v>0</v>
      </c>
      <c r="N205" s="2508">
        <f>SUM(N196:N204)</f>
        <v>194</v>
      </c>
      <c r="O205" s="396"/>
      <c r="P205" s="396"/>
      <c r="Q205" s="396"/>
      <c r="R205" s="396"/>
      <c r="S205" s="396"/>
      <c r="T205" s="396"/>
      <c r="U205" s="396"/>
      <c r="V205" s="396"/>
      <c r="W205" s="396"/>
      <c r="X205" s="396"/>
      <c r="Y205" s="396"/>
      <c r="Z205" s="396"/>
    </row>
    <row r="206" spans="2:26" ht="13.5" customHeight="1">
      <c r="B206" s="51"/>
      <c r="C206" s="420"/>
      <c r="D206" s="420"/>
      <c r="E206" s="420"/>
      <c r="F206" s="420"/>
      <c r="G206" s="420"/>
      <c r="H206" s="420"/>
      <c r="I206" s="420"/>
      <c r="J206" s="420"/>
      <c r="K206" s="420"/>
      <c r="L206" s="420"/>
      <c r="M206" s="420"/>
      <c r="N206" s="460"/>
    </row>
    <row r="207" spans="2:26" ht="13.5" customHeight="1">
      <c r="B207" s="292"/>
    </row>
    <row r="208" spans="2:26" ht="13.5" customHeight="1">
      <c r="B208" s="1611" t="s">
        <v>239</v>
      </c>
    </row>
    <row r="209" spans="2:26" ht="13.5" customHeight="1">
      <c r="B209" s="3532" t="s">
        <v>586</v>
      </c>
      <c r="C209" s="3521" t="s">
        <v>587</v>
      </c>
      <c r="D209" s="3521"/>
      <c r="E209" s="3521"/>
      <c r="F209" s="3521"/>
      <c r="G209" s="3496" t="s">
        <v>588</v>
      </c>
      <c r="H209" s="3496"/>
      <c r="I209" s="3496"/>
      <c r="J209" s="3496"/>
      <c r="K209" s="3526" t="s">
        <v>589</v>
      </c>
      <c r="L209" s="3527"/>
      <c r="M209" s="3527"/>
      <c r="N209" s="3528"/>
    </row>
    <row r="210" spans="2:26" ht="13.5" customHeight="1">
      <c r="B210" s="3532"/>
      <c r="C210" s="3521"/>
      <c r="D210" s="3521"/>
      <c r="E210" s="3521"/>
      <c r="F210" s="3521"/>
      <c r="G210" s="3496"/>
      <c r="H210" s="3496"/>
      <c r="I210" s="3496"/>
      <c r="J210" s="3496"/>
      <c r="K210" s="3529"/>
      <c r="L210" s="3530"/>
      <c r="M210" s="3530"/>
      <c r="N210" s="3531"/>
    </row>
    <row r="211" spans="2:26" ht="13.5" customHeight="1">
      <c r="B211" s="3533"/>
      <c r="C211" s="2492" t="s">
        <v>590</v>
      </c>
      <c r="D211" s="2492" t="s">
        <v>591</v>
      </c>
      <c r="E211" s="2492" t="s">
        <v>592</v>
      </c>
      <c r="F211" s="2509" t="s">
        <v>118</v>
      </c>
      <c r="G211" s="2492" t="s">
        <v>590</v>
      </c>
      <c r="H211" s="2492" t="s">
        <v>591</v>
      </c>
      <c r="I211" s="2492" t="s">
        <v>592</v>
      </c>
      <c r="J211" s="2509" t="s">
        <v>118</v>
      </c>
      <c r="K211" s="2492" t="s">
        <v>590</v>
      </c>
      <c r="L211" s="2492" t="s">
        <v>591</v>
      </c>
      <c r="M211" s="2492" t="s">
        <v>592</v>
      </c>
      <c r="N211" s="2509" t="s">
        <v>118</v>
      </c>
    </row>
    <row r="212" spans="2:26" ht="13.5" customHeight="1">
      <c r="B212" s="2439" t="s">
        <v>593</v>
      </c>
      <c r="C212" s="2511"/>
      <c r="D212" s="1789">
        <v>4</v>
      </c>
      <c r="E212" s="2515"/>
      <c r="F212" s="2502">
        <v>4</v>
      </c>
      <c r="G212" s="2513"/>
      <c r="H212" s="2504">
        <v>14</v>
      </c>
      <c r="I212" s="2513"/>
      <c r="J212" s="2502">
        <v>14</v>
      </c>
      <c r="K212" s="2513"/>
      <c r="L212" s="2504">
        <v>32</v>
      </c>
      <c r="M212" s="2513"/>
      <c r="N212" s="2502">
        <v>32</v>
      </c>
      <c r="O212" s="396"/>
      <c r="P212" s="396"/>
      <c r="Q212" s="396"/>
      <c r="R212" s="396"/>
      <c r="S212" s="396"/>
      <c r="T212" s="396"/>
      <c r="U212" s="396"/>
      <c r="V212" s="396"/>
      <c r="W212" s="396"/>
      <c r="X212" s="396"/>
      <c r="Y212" s="396"/>
      <c r="Z212" s="396"/>
    </row>
    <row r="213" spans="2:26" ht="13.5" customHeight="1">
      <c r="B213" s="2439" t="s">
        <v>594</v>
      </c>
      <c r="C213" s="2513"/>
      <c r="D213" s="1789">
        <v>4</v>
      </c>
      <c r="E213" s="2515"/>
      <c r="F213" s="2502">
        <v>4</v>
      </c>
      <c r="G213" s="2513"/>
      <c r="H213" s="2504">
        <v>4</v>
      </c>
      <c r="I213" s="2513"/>
      <c r="J213" s="2502">
        <v>4</v>
      </c>
      <c r="K213" s="2513"/>
      <c r="L213" s="2504">
        <v>10</v>
      </c>
      <c r="M213" s="2513"/>
      <c r="N213" s="2502">
        <v>10</v>
      </c>
      <c r="O213" s="396"/>
      <c r="P213" s="396"/>
      <c r="Q213" s="396"/>
      <c r="R213" s="396"/>
      <c r="S213" s="396"/>
      <c r="T213" s="396"/>
      <c r="U213" s="396"/>
      <c r="V213" s="396"/>
      <c r="W213" s="396"/>
      <c r="X213" s="396"/>
      <c r="Y213" s="396"/>
      <c r="Z213" s="396"/>
    </row>
    <row r="214" spans="2:26" ht="13.5" customHeight="1">
      <c r="B214" s="2439" t="s">
        <v>595</v>
      </c>
      <c r="C214" s="2513"/>
      <c r="D214" s="1789">
        <v>4</v>
      </c>
      <c r="E214" s="2515"/>
      <c r="F214" s="2502">
        <v>4</v>
      </c>
      <c r="G214" s="2513"/>
      <c r="H214" s="2504">
        <v>7</v>
      </c>
      <c r="I214" s="2513"/>
      <c r="J214" s="2502">
        <v>7</v>
      </c>
      <c r="K214" s="2513"/>
      <c r="L214" s="2504">
        <v>41</v>
      </c>
      <c r="M214" s="2513"/>
      <c r="N214" s="2502">
        <v>41</v>
      </c>
      <c r="O214" s="396"/>
      <c r="P214" s="396"/>
      <c r="Q214" s="396"/>
      <c r="R214" s="396"/>
      <c r="S214" s="396"/>
      <c r="T214" s="396"/>
      <c r="U214" s="396"/>
      <c r="V214" s="396"/>
      <c r="W214" s="396"/>
      <c r="X214" s="396"/>
      <c r="Y214" s="396"/>
      <c r="Z214" s="396"/>
    </row>
    <row r="215" spans="2:26" ht="13.5" customHeight="1">
      <c r="B215" s="2439" t="s">
        <v>596</v>
      </c>
      <c r="C215" s="2513"/>
      <c r="D215" s="1789">
        <v>9</v>
      </c>
      <c r="E215" s="2515"/>
      <c r="F215" s="2502">
        <v>9</v>
      </c>
      <c r="G215" s="2513"/>
      <c r="H215" s="2504">
        <v>26</v>
      </c>
      <c r="I215" s="2513"/>
      <c r="J215" s="2502">
        <v>26</v>
      </c>
      <c r="K215" s="2513"/>
      <c r="L215" s="2504">
        <v>107</v>
      </c>
      <c r="M215" s="2513"/>
      <c r="N215" s="2502">
        <v>107</v>
      </c>
      <c r="O215" s="396"/>
      <c r="P215" s="396"/>
      <c r="Q215" s="396"/>
      <c r="R215" s="396"/>
      <c r="S215" s="396"/>
      <c r="T215" s="396"/>
      <c r="U215" s="396"/>
      <c r="V215" s="396"/>
      <c r="W215" s="396"/>
      <c r="X215" s="396"/>
      <c r="Y215" s="396"/>
      <c r="Z215" s="396"/>
    </row>
    <row r="216" spans="2:26" ht="13.5" customHeight="1">
      <c r="B216" s="2439" t="s">
        <v>602</v>
      </c>
      <c r="C216" s="2513"/>
      <c r="D216" s="1789">
        <v>8</v>
      </c>
      <c r="E216" s="2515"/>
      <c r="F216" s="2502">
        <v>8</v>
      </c>
      <c r="G216" s="2513"/>
      <c r="H216" s="2504">
        <v>18</v>
      </c>
      <c r="I216" s="2513"/>
      <c r="J216" s="2502">
        <v>18</v>
      </c>
      <c r="K216" s="2513"/>
      <c r="L216" s="2504">
        <v>70</v>
      </c>
      <c r="M216" s="2513"/>
      <c r="N216" s="2502">
        <v>70</v>
      </c>
      <c r="O216" s="396"/>
      <c r="P216" s="396"/>
      <c r="Q216" s="396"/>
      <c r="R216" s="396"/>
      <c r="S216" s="396"/>
      <c r="T216" s="396"/>
      <c r="U216" s="396"/>
      <c r="V216" s="396"/>
      <c r="W216" s="396"/>
      <c r="X216" s="396"/>
      <c r="Y216" s="396"/>
      <c r="Z216" s="396"/>
    </row>
    <row r="217" spans="2:26" ht="13.5" customHeight="1">
      <c r="B217" s="2439" t="s">
        <v>598</v>
      </c>
      <c r="C217" s="2513"/>
      <c r="D217" s="1789">
        <v>4</v>
      </c>
      <c r="E217" s="2515"/>
      <c r="F217" s="2502">
        <v>4</v>
      </c>
      <c r="G217" s="2513"/>
      <c r="H217" s="2504">
        <v>14</v>
      </c>
      <c r="I217" s="2513"/>
      <c r="J217" s="2502">
        <v>14</v>
      </c>
      <c r="K217" s="2513"/>
      <c r="L217" s="2504">
        <v>30</v>
      </c>
      <c r="M217" s="2513"/>
      <c r="N217" s="2502">
        <v>30</v>
      </c>
      <c r="O217" s="396"/>
      <c r="P217" s="396"/>
      <c r="Q217" s="396"/>
      <c r="R217" s="396"/>
      <c r="S217" s="396"/>
      <c r="T217" s="396"/>
      <c r="U217" s="396"/>
      <c r="V217" s="396"/>
      <c r="W217" s="396"/>
      <c r="X217" s="396"/>
      <c r="Y217" s="396"/>
      <c r="Z217" s="396"/>
    </row>
    <row r="218" spans="2:26" ht="13.5" customHeight="1">
      <c r="B218" s="2439" t="s">
        <v>599</v>
      </c>
      <c r="C218" s="2513"/>
      <c r="D218" s="1789">
        <v>7</v>
      </c>
      <c r="E218" s="2515"/>
      <c r="F218" s="2502">
        <v>7</v>
      </c>
      <c r="G218" s="2513"/>
      <c r="H218" s="2504">
        <v>14</v>
      </c>
      <c r="I218" s="2513"/>
      <c r="J218" s="2502">
        <v>14</v>
      </c>
      <c r="K218" s="2513"/>
      <c r="L218" s="2504">
        <v>32</v>
      </c>
      <c r="M218" s="2513"/>
      <c r="N218" s="2502">
        <v>32</v>
      </c>
      <c r="O218" s="396"/>
      <c r="P218" s="396"/>
      <c r="Q218" s="396"/>
      <c r="R218" s="396"/>
      <c r="S218" s="396"/>
      <c r="T218" s="396"/>
      <c r="U218" s="396"/>
      <c r="V218" s="396"/>
      <c r="W218" s="396"/>
      <c r="X218" s="396"/>
      <c r="Y218" s="396"/>
      <c r="Z218" s="396"/>
    </row>
    <row r="219" spans="2:26" ht="13.5" customHeight="1">
      <c r="B219" s="2439" t="s">
        <v>600</v>
      </c>
      <c r="C219" s="2513"/>
      <c r="D219" s="1789">
        <v>5</v>
      </c>
      <c r="E219" s="2515"/>
      <c r="F219" s="2502">
        <v>5</v>
      </c>
      <c r="G219" s="2513"/>
      <c r="H219" s="2504">
        <v>8</v>
      </c>
      <c r="I219" s="2513"/>
      <c r="J219" s="2502">
        <v>8</v>
      </c>
      <c r="K219" s="2513"/>
      <c r="L219" s="2504">
        <v>12</v>
      </c>
      <c r="M219" s="2513"/>
      <c r="N219" s="2502">
        <v>12</v>
      </c>
      <c r="O219" s="396"/>
      <c r="P219" s="396"/>
      <c r="Q219" s="396"/>
      <c r="R219" s="396"/>
      <c r="S219" s="396"/>
      <c r="T219" s="396"/>
      <c r="U219" s="396"/>
      <c r="V219" s="396"/>
      <c r="W219" s="396"/>
      <c r="X219" s="396"/>
      <c r="Y219" s="396"/>
      <c r="Z219" s="396"/>
    </row>
    <row r="220" spans="2:26" ht="13.5" customHeight="1">
      <c r="B220" s="2439" t="s">
        <v>601</v>
      </c>
      <c r="C220" s="2513"/>
      <c r="D220" s="1789">
        <v>12</v>
      </c>
      <c r="E220" s="2515"/>
      <c r="F220" s="2502">
        <v>12</v>
      </c>
      <c r="G220" s="2513"/>
      <c r="H220" s="2504">
        <v>77</v>
      </c>
      <c r="I220" s="2513"/>
      <c r="J220" s="2502">
        <v>77</v>
      </c>
      <c r="K220" s="2513"/>
      <c r="L220" s="2504">
        <v>52</v>
      </c>
      <c r="M220" s="2513"/>
      <c r="N220" s="2502">
        <v>52</v>
      </c>
      <c r="O220" s="396"/>
      <c r="P220" s="396"/>
      <c r="Q220" s="396"/>
      <c r="R220" s="396"/>
      <c r="S220" s="396"/>
      <c r="T220" s="396"/>
      <c r="U220" s="396"/>
      <c r="V220" s="396"/>
      <c r="W220" s="396"/>
      <c r="X220" s="396"/>
      <c r="Y220" s="396"/>
      <c r="Z220" s="396"/>
    </row>
    <row r="221" spans="2:26" ht="13.5" customHeight="1">
      <c r="B221" s="2512" t="s">
        <v>118</v>
      </c>
      <c r="C221" s="2508"/>
      <c r="D221" s="2508">
        <f>SUM(D212:D220)</f>
        <v>57</v>
      </c>
      <c r="E221" s="2508">
        <v>0</v>
      </c>
      <c r="F221" s="2508">
        <f>SUM(F212:F220)</f>
        <v>57</v>
      </c>
      <c r="G221" s="2508">
        <v>0</v>
      </c>
      <c r="H221" s="2508">
        <f>SUM(H212:H220)</f>
        <v>182</v>
      </c>
      <c r="I221" s="2508">
        <v>0</v>
      </c>
      <c r="J221" s="2508">
        <f>SUM(J212:J220)</f>
        <v>182</v>
      </c>
      <c r="K221" s="2508">
        <v>0</v>
      </c>
      <c r="L221" s="2508">
        <f>SUM(L212:L220)</f>
        <v>386</v>
      </c>
      <c r="M221" s="2508">
        <v>0</v>
      </c>
      <c r="N221" s="2508">
        <f>SUM(N212:N220)</f>
        <v>386</v>
      </c>
      <c r="O221" s="396"/>
      <c r="P221" s="396"/>
      <c r="Q221" s="396"/>
      <c r="R221" s="396"/>
      <c r="S221" s="396"/>
      <c r="T221" s="396"/>
      <c r="U221" s="396"/>
      <c r="V221" s="396"/>
      <c r="W221" s="396"/>
      <c r="X221" s="396"/>
      <c r="Y221" s="396"/>
      <c r="Z221" s="396"/>
    </row>
    <row r="222" spans="2:26" ht="13.5" customHeight="1">
      <c r="B222" s="51"/>
      <c r="C222" s="420"/>
      <c r="D222" s="420"/>
      <c r="E222" s="420"/>
      <c r="F222" s="264"/>
      <c r="G222" s="420"/>
      <c r="H222" s="420"/>
      <c r="I222" s="420"/>
      <c r="J222" s="264"/>
      <c r="K222" s="420"/>
      <c r="L222" s="420"/>
      <c r="M222" s="420"/>
      <c r="N222" s="264"/>
    </row>
    <row r="223" spans="2:26" ht="13.5" customHeight="1">
      <c r="B223" s="292"/>
      <c r="N223" s="292">
        <v>174</v>
      </c>
    </row>
    <row r="224" spans="2:26" ht="13.5" customHeight="1">
      <c r="B224" s="292"/>
    </row>
    <row r="225" spans="2:26" ht="13.5" customHeight="1">
      <c r="B225" s="1611" t="s">
        <v>103</v>
      </c>
    </row>
    <row r="226" spans="2:26" ht="13.5" customHeight="1">
      <c r="B226" s="3532" t="s">
        <v>586</v>
      </c>
      <c r="C226" s="3521" t="s">
        <v>587</v>
      </c>
      <c r="D226" s="3521"/>
      <c r="E226" s="3521"/>
      <c r="F226" s="3521"/>
      <c r="G226" s="3496" t="s">
        <v>588</v>
      </c>
      <c r="H226" s="3496"/>
      <c r="I226" s="3496"/>
      <c r="J226" s="3496"/>
      <c r="K226" s="3526" t="s">
        <v>589</v>
      </c>
      <c r="L226" s="3527"/>
      <c r="M226" s="3527"/>
      <c r="N226" s="3528"/>
    </row>
    <row r="227" spans="2:26" ht="13.5" customHeight="1">
      <c r="B227" s="3532"/>
      <c r="C227" s="3521"/>
      <c r="D227" s="3521"/>
      <c r="E227" s="3521"/>
      <c r="F227" s="3521"/>
      <c r="G227" s="3496"/>
      <c r="H227" s="3496"/>
      <c r="I227" s="3496"/>
      <c r="J227" s="3496"/>
      <c r="K227" s="3529"/>
      <c r="L227" s="3530"/>
      <c r="M227" s="3530"/>
      <c r="N227" s="3531"/>
    </row>
    <row r="228" spans="2:26" ht="13.5" customHeight="1">
      <c r="B228" s="3533"/>
      <c r="C228" s="2492" t="s">
        <v>590</v>
      </c>
      <c r="D228" s="2492" t="s">
        <v>591</v>
      </c>
      <c r="E228" s="2492" t="s">
        <v>592</v>
      </c>
      <c r="F228" s="2509" t="s">
        <v>118</v>
      </c>
      <c r="G228" s="2492" t="s">
        <v>590</v>
      </c>
      <c r="H228" s="2492" t="s">
        <v>591</v>
      </c>
      <c r="I228" s="2492" t="s">
        <v>592</v>
      </c>
      <c r="J228" s="2509" t="s">
        <v>118</v>
      </c>
      <c r="K228" s="2492" t="s">
        <v>590</v>
      </c>
      <c r="L228" s="2492" t="s">
        <v>591</v>
      </c>
      <c r="M228" s="2492" t="s">
        <v>592</v>
      </c>
      <c r="N228" s="2509" t="s">
        <v>118</v>
      </c>
    </row>
    <row r="229" spans="2:26" ht="13.5" customHeight="1">
      <c r="B229" s="2439" t="s">
        <v>593</v>
      </c>
      <c r="C229" s="2511"/>
      <c r="D229" s="2500">
        <v>6</v>
      </c>
      <c r="E229" s="2515"/>
      <c r="F229" s="2502">
        <v>6</v>
      </c>
      <c r="G229" s="2513"/>
      <c r="H229" s="2504">
        <v>53</v>
      </c>
      <c r="I229" s="2513"/>
      <c r="J229" s="2502">
        <v>53</v>
      </c>
      <c r="K229" s="2513"/>
      <c r="L229" s="2504">
        <v>385</v>
      </c>
      <c r="M229" s="2513"/>
      <c r="N229" s="2502">
        <v>385</v>
      </c>
      <c r="O229" s="396"/>
      <c r="P229" s="396"/>
      <c r="Q229" s="396"/>
      <c r="R229" s="396"/>
      <c r="S229" s="396"/>
      <c r="T229" s="396"/>
      <c r="U229" s="396"/>
      <c r="V229" s="396"/>
      <c r="W229" s="396"/>
      <c r="X229" s="396"/>
      <c r="Y229" s="396"/>
      <c r="Z229" s="396"/>
    </row>
    <row r="230" spans="2:26" ht="13.5" customHeight="1">
      <c r="B230" s="2439" t="s">
        <v>594</v>
      </c>
      <c r="C230" s="2513"/>
      <c r="D230" s="2504">
        <v>5</v>
      </c>
      <c r="E230" s="2515"/>
      <c r="F230" s="2502">
        <v>5</v>
      </c>
      <c r="G230" s="2513"/>
      <c r="H230" s="2504">
        <v>44</v>
      </c>
      <c r="I230" s="2513"/>
      <c r="J230" s="2502">
        <v>44</v>
      </c>
      <c r="K230" s="2513"/>
      <c r="L230" s="2504">
        <v>286</v>
      </c>
      <c r="M230" s="2513"/>
      <c r="N230" s="2502">
        <v>286</v>
      </c>
      <c r="O230" s="396"/>
      <c r="P230" s="396"/>
      <c r="Q230" s="396"/>
      <c r="R230" s="396"/>
      <c r="S230" s="396"/>
      <c r="T230" s="396"/>
      <c r="U230" s="396"/>
      <c r="V230" s="396"/>
      <c r="W230" s="396"/>
      <c r="X230" s="396"/>
      <c r="Y230" s="396"/>
      <c r="Z230" s="396"/>
    </row>
    <row r="231" spans="2:26" ht="13.5" customHeight="1">
      <c r="B231" s="2439" t="s">
        <v>595</v>
      </c>
      <c r="C231" s="2513"/>
      <c r="D231" s="2504">
        <v>4</v>
      </c>
      <c r="E231" s="2515"/>
      <c r="F231" s="2502">
        <v>4</v>
      </c>
      <c r="G231" s="2513"/>
      <c r="H231" s="2504">
        <v>29</v>
      </c>
      <c r="I231" s="2513"/>
      <c r="J231" s="2502">
        <v>29</v>
      </c>
      <c r="K231" s="2513"/>
      <c r="L231" s="2504">
        <v>126</v>
      </c>
      <c r="M231" s="2513"/>
      <c r="N231" s="2502">
        <v>126</v>
      </c>
      <c r="O231" s="396"/>
      <c r="P231" s="396"/>
      <c r="Q231" s="396"/>
      <c r="R231" s="396"/>
      <c r="S231" s="396"/>
      <c r="T231" s="396"/>
      <c r="U231" s="396"/>
      <c r="V231" s="396"/>
      <c r="W231" s="396"/>
      <c r="X231" s="396"/>
      <c r="Y231" s="396"/>
      <c r="Z231" s="396"/>
    </row>
    <row r="232" spans="2:26" ht="13.5" customHeight="1">
      <c r="B232" s="2439" t="s">
        <v>596</v>
      </c>
      <c r="C232" s="2513"/>
      <c r="D232" s="2504">
        <v>4</v>
      </c>
      <c r="E232" s="2515"/>
      <c r="F232" s="2502">
        <v>4</v>
      </c>
      <c r="G232" s="2513"/>
      <c r="H232" s="2504">
        <v>53</v>
      </c>
      <c r="I232" s="2513"/>
      <c r="J232" s="2502">
        <v>53</v>
      </c>
      <c r="K232" s="2513"/>
      <c r="L232" s="2504">
        <v>306</v>
      </c>
      <c r="M232" s="2513"/>
      <c r="N232" s="2502">
        <v>306</v>
      </c>
      <c r="O232" s="396"/>
      <c r="P232" s="396"/>
      <c r="Q232" s="396"/>
      <c r="R232" s="396"/>
      <c r="S232" s="396"/>
      <c r="T232" s="396"/>
      <c r="U232" s="396"/>
      <c r="V232" s="396"/>
      <c r="W232" s="396"/>
      <c r="X232" s="396"/>
      <c r="Y232" s="396"/>
      <c r="Z232" s="396"/>
    </row>
    <row r="233" spans="2:26" ht="13.5" customHeight="1">
      <c r="B233" s="2439" t="s">
        <v>602</v>
      </c>
      <c r="C233" s="2513"/>
      <c r="D233" s="2504">
        <v>9</v>
      </c>
      <c r="E233" s="2515"/>
      <c r="F233" s="2502">
        <v>9</v>
      </c>
      <c r="G233" s="2513"/>
      <c r="H233" s="2504">
        <v>58</v>
      </c>
      <c r="I233" s="2513"/>
      <c r="J233" s="2502">
        <v>58</v>
      </c>
      <c r="K233" s="2513"/>
      <c r="L233" s="2504">
        <v>431</v>
      </c>
      <c r="M233" s="2513"/>
      <c r="N233" s="2502">
        <v>431</v>
      </c>
      <c r="O233" s="396"/>
      <c r="P233" s="396"/>
      <c r="Q233" s="396"/>
      <c r="R233" s="396"/>
      <c r="S233" s="396"/>
      <c r="T233" s="396"/>
      <c r="U233" s="396"/>
      <c r="V233" s="396"/>
      <c r="W233" s="396"/>
      <c r="X233" s="396"/>
      <c r="Y233" s="396"/>
      <c r="Z233" s="396"/>
    </row>
    <row r="234" spans="2:26" ht="13.5" customHeight="1">
      <c r="B234" s="2439" t="s">
        <v>598</v>
      </c>
      <c r="C234" s="2513"/>
      <c r="D234" s="2504">
        <v>4</v>
      </c>
      <c r="E234" s="2515"/>
      <c r="F234" s="2502">
        <v>4</v>
      </c>
      <c r="G234" s="2513"/>
      <c r="H234" s="2504">
        <v>39</v>
      </c>
      <c r="I234" s="2513"/>
      <c r="J234" s="2502">
        <v>39</v>
      </c>
      <c r="K234" s="2513"/>
      <c r="L234" s="2504">
        <v>337</v>
      </c>
      <c r="M234" s="2513"/>
      <c r="N234" s="2502">
        <v>337</v>
      </c>
      <c r="O234" s="396"/>
      <c r="P234" s="396"/>
      <c r="Q234" s="396"/>
      <c r="R234" s="396"/>
      <c r="S234" s="396"/>
      <c r="T234" s="396"/>
      <c r="U234" s="396"/>
      <c r="V234" s="396"/>
      <c r="W234" s="396"/>
      <c r="X234" s="396"/>
      <c r="Y234" s="396"/>
      <c r="Z234" s="396"/>
    </row>
    <row r="235" spans="2:26" ht="13.5" customHeight="1">
      <c r="B235" s="2439" t="s">
        <v>599</v>
      </c>
      <c r="C235" s="2513"/>
      <c r="D235" s="2504">
        <v>8</v>
      </c>
      <c r="E235" s="2515"/>
      <c r="F235" s="2502">
        <v>8</v>
      </c>
      <c r="G235" s="2513"/>
      <c r="H235" s="2504">
        <v>61</v>
      </c>
      <c r="I235" s="2513"/>
      <c r="J235" s="2502">
        <v>61</v>
      </c>
      <c r="K235" s="2513"/>
      <c r="L235" s="2504">
        <v>460</v>
      </c>
      <c r="M235" s="2513"/>
      <c r="N235" s="2502">
        <v>460</v>
      </c>
      <c r="O235" s="396"/>
      <c r="P235" s="396"/>
      <c r="Q235" s="396"/>
      <c r="R235" s="396"/>
      <c r="S235" s="396"/>
      <c r="T235" s="396"/>
      <c r="U235" s="396"/>
      <c r="V235" s="396"/>
      <c r="W235" s="396"/>
      <c r="X235" s="396"/>
      <c r="Y235" s="396"/>
      <c r="Z235" s="396"/>
    </row>
    <row r="236" spans="2:26" ht="13.5" customHeight="1">
      <c r="B236" s="2439" t="s">
        <v>600</v>
      </c>
      <c r="C236" s="2513"/>
      <c r="D236" s="2504">
        <v>4</v>
      </c>
      <c r="E236" s="2515"/>
      <c r="F236" s="2502">
        <v>4</v>
      </c>
      <c r="G236" s="2513"/>
      <c r="H236" s="2504">
        <v>29</v>
      </c>
      <c r="I236" s="2513"/>
      <c r="J236" s="2502">
        <v>29</v>
      </c>
      <c r="K236" s="2513"/>
      <c r="L236" s="2504">
        <v>182</v>
      </c>
      <c r="M236" s="2513"/>
      <c r="N236" s="2502">
        <v>182</v>
      </c>
      <c r="O236" s="396"/>
      <c r="P236" s="396"/>
      <c r="Q236" s="396"/>
      <c r="R236" s="396"/>
      <c r="S236" s="396"/>
      <c r="T236" s="396"/>
      <c r="U236" s="396"/>
      <c r="V236" s="396"/>
      <c r="W236" s="396"/>
      <c r="X236" s="396"/>
      <c r="Y236" s="396"/>
      <c r="Z236" s="396"/>
    </row>
    <row r="237" spans="2:26" ht="13.5" customHeight="1">
      <c r="B237" s="2439" t="s">
        <v>601</v>
      </c>
      <c r="C237" s="2513"/>
      <c r="D237" s="2504">
        <v>20</v>
      </c>
      <c r="E237" s="2515"/>
      <c r="F237" s="2502">
        <v>20</v>
      </c>
      <c r="G237" s="2513"/>
      <c r="H237" s="2504">
        <v>352</v>
      </c>
      <c r="I237" s="2513"/>
      <c r="J237" s="2502">
        <v>352</v>
      </c>
      <c r="K237" s="2513"/>
      <c r="L237" s="2504">
        <v>1135</v>
      </c>
      <c r="M237" s="2513"/>
      <c r="N237" s="2502">
        <v>1135</v>
      </c>
      <c r="O237" s="396"/>
      <c r="P237" s="396"/>
      <c r="Q237" s="396"/>
      <c r="R237" s="396"/>
      <c r="S237" s="396"/>
      <c r="T237" s="396"/>
      <c r="U237" s="396"/>
      <c r="V237" s="396"/>
      <c r="W237" s="396"/>
      <c r="X237" s="396"/>
      <c r="Y237" s="396"/>
      <c r="Z237" s="396"/>
    </row>
    <row r="238" spans="2:26" ht="13.5" customHeight="1">
      <c r="B238" s="2512" t="s">
        <v>118</v>
      </c>
      <c r="C238" s="2508">
        <f>SUM(C229:C237)</f>
        <v>0</v>
      </c>
      <c r="D238" s="2508">
        <f t="shared" ref="D238:N238" si="12">SUM(D229:D237)</f>
        <v>64</v>
      </c>
      <c r="E238" s="2508">
        <f t="shared" si="12"/>
        <v>0</v>
      </c>
      <c r="F238" s="2508">
        <f t="shared" si="12"/>
        <v>64</v>
      </c>
      <c r="G238" s="2508">
        <f t="shared" si="12"/>
        <v>0</v>
      </c>
      <c r="H238" s="2508">
        <f t="shared" si="12"/>
        <v>718</v>
      </c>
      <c r="I238" s="2508">
        <f t="shared" si="12"/>
        <v>0</v>
      </c>
      <c r="J238" s="2508">
        <f t="shared" si="12"/>
        <v>718</v>
      </c>
      <c r="K238" s="2508">
        <f t="shared" si="12"/>
        <v>0</v>
      </c>
      <c r="L238" s="2508">
        <f t="shared" si="12"/>
        <v>3648</v>
      </c>
      <c r="M238" s="2508">
        <f t="shared" si="12"/>
        <v>0</v>
      </c>
      <c r="N238" s="2508">
        <f t="shared" si="12"/>
        <v>3648</v>
      </c>
      <c r="O238" s="396"/>
      <c r="P238" s="396"/>
      <c r="Q238" s="396"/>
      <c r="R238" s="396"/>
      <c r="S238" s="396"/>
      <c r="T238" s="396"/>
      <c r="U238" s="396"/>
      <c r="V238" s="396"/>
      <c r="W238" s="396"/>
      <c r="X238" s="396"/>
      <c r="Y238" s="396"/>
      <c r="Z238" s="396"/>
    </row>
    <row r="239" spans="2:26" ht="13.5" customHeight="1">
      <c r="B239" s="292"/>
    </row>
    <row r="240" spans="2:26" ht="13.5" customHeight="1">
      <c r="B240" s="292"/>
    </row>
    <row r="241" spans="2:26" ht="13.5" customHeight="1">
      <c r="B241" s="1611" t="s">
        <v>104</v>
      </c>
    </row>
    <row r="242" spans="2:26" ht="13.5" customHeight="1">
      <c r="B242" s="3518" t="s">
        <v>586</v>
      </c>
      <c r="C242" s="3520" t="s">
        <v>587</v>
      </c>
      <c r="D242" s="3521"/>
      <c r="E242" s="3521"/>
      <c r="F242" s="3521"/>
      <c r="G242" s="3496" t="s">
        <v>588</v>
      </c>
      <c r="H242" s="3496"/>
      <c r="I242" s="3496"/>
      <c r="J242" s="3496"/>
      <c r="K242" s="3526" t="s">
        <v>589</v>
      </c>
      <c r="L242" s="3527"/>
      <c r="M242" s="3527"/>
      <c r="N242" s="3528"/>
    </row>
    <row r="243" spans="2:26" ht="13.5" customHeight="1">
      <c r="B243" s="3525"/>
      <c r="C243" s="3520"/>
      <c r="D243" s="3521"/>
      <c r="E243" s="3521"/>
      <c r="F243" s="3521"/>
      <c r="G243" s="3496"/>
      <c r="H243" s="3496"/>
      <c r="I243" s="3496"/>
      <c r="J243" s="3496"/>
      <c r="K243" s="3529"/>
      <c r="L243" s="3530"/>
      <c r="M243" s="3530"/>
      <c r="N243" s="3531"/>
    </row>
    <row r="244" spans="2:26" ht="13.5" customHeight="1">
      <c r="B244" s="3519"/>
      <c r="C244" s="2491" t="s">
        <v>590</v>
      </c>
      <c r="D244" s="2492" t="s">
        <v>591</v>
      </c>
      <c r="E244" s="2492" t="s">
        <v>592</v>
      </c>
      <c r="F244" s="2509" t="s">
        <v>118</v>
      </c>
      <c r="G244" s="2492" t="s">
        <v>590</v>
      </c>
      <c r="H244" s="2492" t="s">
        <v>591</v>
      </c>
      <c r="I244" s="2492" t="s">
        <v>592</v>
      </c>
      <c r="J244" s="2509" t="s">
        <v>118</v>
      </c>
      <c r="K244" s="2492" t="s">
        <v>590</v>
      </c>
      <c r="L244" s="2492" t="s">
        <v>591</v>
      </c>
      <c r="M244" s="2492" t="s">
        <v>592</v>
      </c>
      <c r="N244" s="2509" t="s">
        <v>118</v>
      </c>
    </row>
    <row r="245" spans="2:26" ht="13.5" customHeight="1">
      <c r="B245" s="1613" t="s">
        <v>593</v>
      </c>
      <c r="C245" s="3055">
        <v>6</v>
      </c>
      <c r="D245" s="3056"/>
      <c r="E245" s="3056"/>
      <c r="F245" s="3057">
        <v>6</v>
      </c>
      <c r="G245" s="3058">
        <v>55</v>
      </c>
      <c r="H245" s="3056"/>
      <c r="I245" s="3059"/>
      <c r="J245" s="3057">
        <v>55</v>
      </c>
      <c r="K245" s="3058">
        <v>36</v>
      </c>
      <c r="L245" s="3056"/>
      <c r="M245" s="3059"/>
      <c r="N245" s="3057">
        <v>36</v>
      </c>
      <c r="O245" s="396"/>
      <c r="P245" s="396"/>
      <c r="Q245" s="396"/>
      <c r="R245" s="396"/>
      <c r="S245" s="396"/>
      <c r="T245" s="396"/>
      <c r="U245" s="396"/>
      <c r="V245" s="396"/>
      <c r="W245" s="396"/>
      <c r="X245" s="396"/>
      <c r="Y245" s="396"/>
      <c r="Z245" s="396"/>
    </row>
    <row r="246" spans="2:26" ht="13.5" customHeight="1">
      <c r="B246" s="2439" t="s">
        <v>594</v>
      </c>
      <c r="C246" s="3060">
        <v>4</v>
      </c>
      <c r="D246" s="3056"/>
      <c r="E246" s="3056"/>
      <c r="F246" s="3057">
        <v>4</v>
      </c>
      <c r="G246" s="3060">
        <v>35</v>
      </c>
      <c r="H246" s="3056"/>
      <c r="I246" s="3059"/>
      <c r="J246" s="3057">
        <v>35</v>
      </c>
      <c r="K246" s="3060">
        <v>21</v>
      </c>
      <c r="L246" s="3056"/>
      <c r="M246" s="3059"/>
      <c r="N246" s="3057">
        <v>21</v>
      </c>
      <c r="O246" s="396"/>
      <c r="P246" s="396"/>
      <c r="Q246" s="396"/>
      <c r="R246" s="396"/>
      <c r="S246" s="396"/>
      <c r="T246" s="396"/>
      <c r="U246" s="396"/>
      <c r="V246" s="396"/>
      <c r="W246" s="396"/>
      <c r="X246" s="396"/>
      <c r="Y246" s="396"/>
      <c r="Z246" s="396"/>
    </row>
    <row r="247" spans="2:26" ht="13.5" customHeight="1">
      <c r="B247" s="2439" t="s">
        <v>595</v>
      </c>
      <c r="C247" s="3060">
        <v>3</v>
      </c>
      <c r="D247" s="3056"/>
      <c r="E247" s="3056"/>
      <c r="F247" s="3057">
        <v>3</v>
      </c>
      <c r="G247" s="3060">
        <v>23</v>
      </c>
      <c r="H247" s="3056"/>
      <c r="I247" s="3059"/>
      <c r="J247" s="3057">
        <v>23</v>
      </c>
      <c r="K247" s="3060">
        <v>27</v>
      </c>
      <c r="L247" s="3056"/>
      <c r="M247" s="3059"/>
      <c r="N247" s="3057">
        <v>27</v>
      </c>
      <c r="O247" s="396"/>
      <c r="P247" s="396"/>
      <c r="Q247" s="396"/>
      <c r="R247" s="396"/>
      <c r="S247" s="396"/>
      <c r="T247" s="396"/>
      <c r="U247" s="396"/>
      <c r="V247" s="396"/>
      <c r="W247" s="396"/>
      <c r="X247" s="396"/>
      <c r="Y247" s="396"/>
      <c r="Z247" s="396"/>
    </row>
    <row r="248" spans="2:26" ht="13.5" customHeight="1">
      <c r="B248" s="2439" t="s">
        <v>596</v>
      </c>
      <c r="C248" s="3060">
        <v>4</v>
      </c>
      <c r="D248" s="3056"/>
      <c r="E248" s="3056"/>
      <c r="F248" s="3057">
        <v>4</v>
      </c>
      <c r="G248" s="3060">
        <v>30</v>
      </c>
      <c r="H248" s="3056"/>
      <c r="I248" s="3059"/>
      <c r="J248" s="3057">
        <v>30</v>
      </c>
      <c r="K248" s="3060">
        <v>17</v>
      </c>
      <c r="L248" s="3056"/>
      <c r="M248" s="3059"/>
      <c r="N248" s="3057">
        <v>17</v>
      </c>
      <c r="O248" s="396"/>
      <c r="P248" s="396"/>
      <c r="Q248" s="396"/>
      <c r="R248" s="396"/>
      <c r="S248" s="396"/>
      <c r="T248" s="396"/>
      <c r="U248" s="396"/>
      <c r="V248" s="396"/>
      <c r="W248" s="396"/>
      <c r="X248" s="396"/>
      <c r="Y248" s="396"/>
      <c r="Z248" s="396"/>
    </row>
    <row r="249" spans="2:26" ht="13.5" customHeight="1">
      <c r="B249" s="2439" t="s">
        <v>602</v>
      </c>
      <c r="C249" s="3060">
        <v>6</v>
      </c>
      <c r="D249" s="3056"/>
      <c r="E249" s="3056"/>
      <c r="F249" s="3057">
        <v>6</v>
      </c>
      <c r="G249" s="3060">
        <v>25</v>
      </c>
      <c r="H249" s="3056"/>
      <c r="I249" s="3059"/>
      <c r="J249" s="3057">
        <v>25</v>
      </c>
      <c r="K249" s="3060">
        <v>25</v>
      </c>
      <c r="L249" s="3056"/>
      <c r="M249" s="3059"/>
      <c r="N249" s="3057">
        <v>25</v>
      </c>
      <c r="O249" s="396"/>
      <c r="P249" s="396"/>
      <c r="Q249" s="396"/>
      <c r="R249" s="396"/>
      <c r="S249" s="396"/>
      <c r="T249" s="396"/>
      <c r="U249" s="396"/>
      <c r="V249" s="396"/>
      <c r="W249" s="396"/>
      <c r="X249" s="396"/>
      <c r="Y249" s="396"/>
      <c r="Z249" s="396"/>
    </row>
    <row r="250" spans="2:26" ht="13.5" customHeight="1">
      <c r="B250" s="2439" t="s">
        <v>598</v>
      </c>
      <c r="C250" s="3060">
        <v>4</v>
      </c>
      <c r="D250" s="3056"/>
      <c r="E250" s="3056"/>
      <c r="F250" s="3057">
        <v>4</v>
      </c>
      <c r="G250" s="3060">
        <v>37</v>
      </c>
      <c r="H250" s="3056"/>
      <c r="I250" s="3059"/>
      <c r="J250" s="3057">
        <v>37</v>
      </c>
      <c r="K250" s="3060">
        <v>18</v>
      </c>
      <c r="L250" s="3056"/>
      <c r="M250" s="3059"/>
      <c r="N250" s="3057">
        <v>18</v>
      </c>
      <c r="O250" s="396"/>
      <c r="P250" s="396"/>
      <c r="Q250" s="396"/>
      <c r="R250" s="396"/>
      <c r="S250" s="396"/>
      <c r="T250" s="396"/>
      <c r="U250" s="396"/>
      <c r="V250" s="396"/>
      <c r="W250" s="396"/>
      <c r="X250" s="396"/>
      <c r="Y250" s="396"/>
      <c r="Z250" s="396"/>
    </row>
    <row r="251" spans="2:26" ht="13.5" customHeight="1">
      <c r="B251" s="2439" t="s">
        <v>599</v>
      </c>
      <c r="C251" s="3060">
        <v>7</v>
      </c>
      <c r="D251" s="3056"/>
      <c r="E251" s="3056"/>
      <c r="F251" s="3057">
        <v>7</v>
      </c>
      <c r="G251" s="3060">
        <v>58</v>
      </c>
      <c r="H251" s="3056"/>
      <c r="I251" s="3059"/>
      <c r="J251" s="3057">
        <v>58</v>
      </c>
      <c r="K251" s="3060">
        <v>67</v>
      </c>
      <c r="L251" s="3056"/>
      <c r="M251" s="3059"/>
      <c r="N251" s="3057">
        <v>67</v>
      </c>
      <c r="O251" s="396"/>
      <c r="P251" s="396"/>
      <c r="Q251" s="396"/>
      <c r="R251" s="396"/>
      <c r="S251" s="396"/>
      <c r="T251" s="396"/>
      <c r="U251" s="396"/>
      <c r="V251" s="396"/>
      <c r="W251" s="396"/>
      <c r="X251" s="396"/>
      <c r="Y251" s="396"/>
      <c r="Z251" s="396"/>
    </row>
    <row r="252" spans="2:26" ht="13.5" customHeight="1">
      <c r="B252" s="2439" t="s">
        <v>600</v>
      </c>
      <c r="C252" s="3060">
        <v>4</v>
      </c>
      <c r="D252" s="3056"/>
      <c r="E252" s="3056"/>
      <c r="F252" s="3057">
        <v>4</v>
      </c>
      <c r="G252" s="3060">
        <v>16</v>
      </c>
      <c r="H252" s="3056"/>
      <c r="I252" s="3059"/>
      <c r="J252" s="3057">
        <v>16</v>
      </c>
      <c r="K252" s="3060">
        <v>19</v>
      </c>
      <c r="L252" s="3056"/>
      <c r="M252" s="3059"/>
      <c r="N252" s="3057">
        <v>19</v>
      </c>
      <c r="O252" s="396"/>
      <c r="P252" s="396"/>
      <c r="Q252" s="396"/>
      <c r="R252" s="396"/>
      <c r="S252" s="396"/>
      <c r="T252" s="396"/>
      <c r="U252" s="396"/>
      <c r="V252" s="396"/>
      <c r="W252" s="396"/>
      <c r="X252" s="396"/>
      <c r="Y252" s="396"/>
      <c r="Z252" s="396"/>
    </row>
    <row r="253" spans="2:26" ht="13.5" customHeight="1">
      <c r="B253" s="2439" t="s">
        <v>601</v>
      </c>
      <c r="C253" s="3060">
        <v>19</v>
      </c>
      <c r="D253" s="3056"/>
      <c r="E253" s="3056"/>
      <c r="F253" s="3057">
        <v>19</v>
      </c>
      <c r="G253" s="3060">
        <v>331</v>
      </c>
      <c r="H253" s="3056"/>
      <c r="I253" s="3059"/>
      <c r="J253" s="3057">
        <v>331</v>
      </c>
      <c r="K253" s="3060">
        <v>105</v>
      </c>
      <c r="L253" s="3056"/>
      <c r="M253" s="3059"/>
      <c r="N253" s="3057">
        <v>105</v>
      </c>
      <c r="O253" s="396"/>
      <c r="P253" s="396"/>
      <c r="Q253" s="396"/>
      <c r="R253" s="396"/>
      <c r="S253" s="396"/>
      <c r="T253" s="396"/>
      <c r="U253" s="396"/>
      <c r="V253" s="396"/>
      <c r="W253" s="396"/>
      <c r="X253" s="396"/>
      <c r="Y253" s="396"/>
      <c r="Z253" s="396"/>
    </row>
    <row r="254" spans="2:26" ht="13.5" customHeight="1">
      <c r="B254" s="2512" t="s">
        <v>118</v>
      </c>
      <c r="C254" s="2508">
        <f t="shared" ref="C254:N254" si="13">SUM(C245:C253)</f>
        <v>57</v>
      </c>
      <c r="D254" s="2508">
        <f t="shared" si="13"/>
        <v>0</v>
      </c>
      <c r="E254" s="2508">
        <f t="shared" si="13"/>
        <v>0</v>
      </c>
      <c r="F254" s="2508">
        <f t="shared" si="13"/>
        <v>57</v>
      </c>
      <c r="G254" s="2508">
        <f t="shared" si="13"/>
        <v>610</v>
      </c>
      <c r="H254" s="2508">
        <f t="shared" si="13"/>
        <v>0</v>
      </c>
      <c r="I254" s="2508">
        <f t="shared" si="13"/>
        <v>0</v>
      </c>
      <c r="J254" s="2508">
        <f t="shared" si="13"/>
        <v>610</v>
      </c>
      <c r="K254" s="2508">
        <f t="shared" si="13"/>
        <v>335</v>
      </c>
      <c r="L254" s="2508">
        <f t="shared" si="13"/>
        <v>0</v>
      </c>
      <c r="M254" s="2508">
        <f t="shared" si="13"/>
        <v>0</v>
      </c>
      <c r="N254" s="2508">
        <f t="shared" si="13"/>
        <v>335</v>
      </c>
      <c r="O254" s="396"/>
      <c r="P254" s="396"/>
      <c r="Q254" s="396"/>
      <c r="R254" s="396"/>
      <c r="S254" s="396"/>
      <c r="T254" s="396"/>
      <c r="U254" s="396"/>
      <c r="V254" s="396"/>
      <c r="W254" s="396"/>
      <c r="X254" s="396"/>
      <c r="Y254" s="396"/>
      <c r="Z254" s="396"/>
    </row>
    <row r="255" spans="2:26" ht="13.5" customHeight="1">
      <c r="B255" s="51"/>
      <c r="C255" s="420"/>
      <c r="D255" s="420"/>
      <c r="E255" s="420"/>
      <c r="F255" s="420"/>
      <c r="G255" s="420"/>
      <c r="H255" s="420"/>
      <c r="I255" s="420"/>
      <c r="J255" s="420"/>
      <c r="K255" s="420"/>
      <c r="L255" s="420"/>
      <c r="M255" s="420"/>
      <c r="N255" s="460"/>
      <c r="O255" s="553"/>
    </row>
    <row r="256" spans="2:26" ht="13.5" customHeight="1">
      <c r="B256" s="292"/>
    </row>
    <row r="257" spans="2:26" ht="13.5" customHeight="1">
      <c r="B257" s="1611" t="s">
        <v>105</v>
      </c>
    </row>
    <row r="258" spans="2:26" ht="13.5" customHeight="1">
      <c r="B258" s="3518" t="s">
        <v>586</v>
      </c>
      <c r="C258" s="3520" t="s">
        <v>587</v>
      </c>
      <c r="D258" s="3521"/>
      <c r="E258" s="3521"/>
      <c r="F258" s="3521"/>
      <c r="G258" s="3496" t="s">
        <v>588</v>
      </c>
      <c r="H258" s="3496"/>
      <c r="I258" s="3496"/>
      <c r="J258" s="3496"/>
      <c r="K258" s="3526" t="s">
        <v>589</v>
      </c>
      <c r="L258" s="3527"/>
      <c r="M258" s="3527"/>
      <c r="N258" s="3528"/>
    </row>
    <row r="259" spans="2:26" ht="13.5" customHeight="1">
      <c r="B259" s="3525"/>
      <c r="C259" s="3520"/>
      <c r="D259" s="3521"/>
      <c r="E259" s="3521"/>
      <c r="F259" s="3521"/>
      <c r="G259" s="3496"/>
      <c r="H259" s="3496"/>
      <c r="I259" s="3496"/>
      <c r="J259" s="3496"/>
      <c r="K259" s="3529"/>
      <c r="L259" s="3530"/>
      <c r="M259" s="3530"/>
      <c r="N259" s="3531"/>
      <c r="O259" s="396"/>
    </row>
    <row r="260" spans="2:26" ht="13.5" customHeight="1">
      <c r="B260" s="3519"/>
      <c r="C260" s="2491" t="s">
        <v>590</v>
      </c>
      <c r="D260" s="2492" t="s">
        <v>591</v>
      </c>
      <c r="E260" s="2492" t="s">
        <v>592</v>
      </c>
      <c r="F260" s="2509" t="s">
        <v>118</v>
      </c>
      <c r="G260" s="2492" t="s">
        <v>590</v>
      </c>
      <c r="H260" s="2492" t="s">
        <v>591</v>
      </c>
      <c r="I260" s="2492" t="s">
        <v>592</v>
      </c>
      <c r="J260" s="2509" t="s">
        <v>118</v>
      </c>
      <c r="K260" s="2492" t="s">
        <v>590</v>
      </c>
      <c r="L260" s="2492" t="s">
        <v>591</v>
      </c>
      <c r="M260" s="2492" t="s">
        <v>592</v>
      </c>
      <c r="N260" s="2509" t="s">
        <v>118</v>
      </c>
      <c r="O260" s="396"/>
    </row>
    <row r="261" spans="2:26" ht="13.5" customHeight="1">
      <c r="B261" s="1613" t="s">
        <v>593</v>
      </c>
      <c r="C261" s="2511"/>
      <c r="D261" s="2500">
        <v>9</v>
      </c>
      <c r="E261" s="2515"/>
      <c r="F261" s="2502">
        <v>9</v>
      </c>
      <c r="G261" s="2513"/>
      <c r="H261" s="2504">
        <v>24</v>
      </c>
      <c r="I261" s="2513"/>
      <c r="J261" s="2502">
        <v>24</v>
      </c>
      <c r="K261" s="2513"/>
      <c r="L261" s="2504">
        <v>143</v>
      </c>
      <c r="M261" s="2513"/>
      <c r="N261" s="2502">
        <v>143</v>
      </c>
      <c r="O261" s="396"/>
      <c r="P261" s="396"/>
      <c r="Q261" s="396"/>
      <c r="R261" s="396"/>
      <c r="S261" s="396"/>
      <c r="T261" s="396"/>
      <c r="U261" s="396"/>
      <c r="V261" s="396"/>
      <c r="W261" s="396"/>
      <c r="X261" s="396"/>
      <c r="Y261" s="396"/>
      <c r="Z261" s="396"/>
    </row>
    <row r="262" spans="2:26" ht="13.5" customHeight="1">
      <c r="B262" s="2439" t="s">
        <v>594</v>
      </c>
      <c r="C262" s="2513"/>
      <c r="D262" s="2500">
        <v>5</v>
      </c>
      <c r="E262" s="2515"/>
      <c r="F262" s="2502">
        <v>5</v>
      </c>
      <c r="G262" s="2513"/>
      <c r="H262" s="2504">
        <v>29</v>
      </c>
      <c r="I262" s="2513"/>
      <c r="J262" s="2502">
        <v>29</v>
      </c>
      <c r="K262" s="2513"/>
      <c r="L262" s="2504">
        <v>257</v>
      </c>
      <c r="M262" s="2513"/>
      <c r="N262" s="2502">
        <v>257</v>
      </c>
      <c r="O262" s="396"/>
      <c r="P262" s="396"/>
      <c r="Q262" s="396"/>
      <c r="R262" s="396"/>
      <c r="S262" s="396"/>
      <c r="T262" s="396"/>
      <c r="U262" s="396"/>
      <c r="V262" s="396"/>
      <c r="W262" s="396"/>
      <c r="X262" s="396"/>
      <c r="Y262" s="396"/>
      <c r="Z262" s="396"/>
    </row>
    <row r="263" spans="2:26" ht="13.5" customHeight="1">
      <c r="B263" s="2439" t="s">
        <v>595</v>
      </c>
      <c r="C263" s="2513"/>
      <c r="D263" s="2500">
        <v>6</v>
      </c>
      <c r="E263" s="2515"/>
      <c r="F263" s="2502">
        <v>6</v>
      </c>
      <c r="G263" s="2513"/>
      <c r="H263" s="2504">
        <v>14</v>
      </c>
      <c r="I263" s="2513"/>
      <c r="J263" s="2502">
        <v>14</v>
      </c>
      <c r="K263" s="2513"/>
      <c r="L263" s="2504">
        <v>79</v>
      </c>
      <c r="M263" s="2513"/>
      <c r="N263" s="2502">
        <v>79</v>
      </c>
      <c r="O263" s="396"/>
      <c r="P263" s="396"/>
      <c r="Q263" s="396"/>
      <c r="R263" s="396"/>
      <c r="S263" s="396"/>
      <c r="T263" s="396"/>
      <c r="U263" s="396"/>
      <c r="V263" s="396"/>
      <c r="W263" s="396"/>
      <c r="X263" s="396"/>
      <c r="Y263" s="396"/>
      <c r="Z263" s="396"/>
    </row>
    <row r="264" spans="2:26" ht="13.5" customHeight="1">
      <c r="B264" s="2439" t="s">
        <v>596</v>
      </c>
      <c r="C264" s="2513"/>
      <c r="D264" s="2500">
        <v>10</v>
      </c>
      <c r="E264" s="2515"/>
      <c r="F264" s="2502">
        <v>10</v>
      </c>
      <c r="G264" s="2513"/>
      <c r="H264" s="2504">
        <v>20</v>
      </c>
      <c r="I264" s="2513"/>
      <c r="J264" s="2502">
        <v>20</v>
      </c>
      <c r="K264" s="2513"/>
      <c r="L264" s="2504">
        <v>78</v>
      </c>
      <c r="M264" s="2513"/>
      <c r="N264" s="2502">
        <v>78</v>
      </c>
      <c r="O264" s="396"/>
      <c r="P264" s="396"/>
      <c r="Q264" s="396"/>
      <c r="R264" s="396"/>
      <c r="S264" s="396"/>
      <c r="T264" s="396"/>
      <c r="U264" s="396"/>
      <c r="V264" s="396"/>
      <c r="W264" s="396"/>
      <c r="X264" s="396"/>
      <c r="Y264" s="396"/>
      <c r="Z264" s="396"/>
    </row>
    <row r="265" spans="2:26" ht="13.5" customHeight="1">
      <c r="B265" s="2439" t="s">
        <v>602</v>
      </c>
      <c r="C265" s="2513"/>
      <c r="D265" s="2500">
        <v>4</v>
      </c>
      <c r="E265" s="2515"/>
      <c r="F265" s="2502">
        <v>4</v>
      </c>
      <c r="G265" s="2513"/>
      <c r="H265" s="2504">
        <v>29</v>
      </c>
      <c r="I265" s="2513"/>
      <c r="J265" s="2502">
        <v>29</v>
      </c>
      <c r="K265" s="2513"/>
      <c r="L265" s="2504">
        <v>237</v>
      </c>
      <c r="M265" s="2513"/>
      <c r="N265" s="2502">
        <v>237</v>
      </c>
      <c r="O265" s="396"/>
      <c r="P265" s="396"/>
      <c r="Q265" s="396"/>
      <c r="R265" s="396"/>
      <c r="S265" s="396"/>
      <c r="T265" s="396"/>
      <c r="U265" s="396"/>
      <c r="V265" s="396"/>
      <c r="W265" s="396"/>
      <c r="X265" s="396"/>
      <c r="Y265" s="396"/>
      <c r="Z265" s="396"/>
    </row>
    <row r="266" spans="2:26" ht="13.5" customHeight="1">
      <c r="B266" s="2439" t="s">
        <v>598</v>
      </c>
      <c r="C266" s="2513"/>
      <c r="D266" s="2500">
        <v>4</v>
      </c>
      <c r="E266" s="2515"/>
      <c r="F266" s="2502">
        <v>4</v>
      </c>
      <c r="G266" s="2513"/>
      <c r="H266" s="2504">
        <v>13</v>
      </c>
      <c r="I266" s="2513"/>
      <c r="J266" s="2502">
        <v>13</v>
      </c>
      <c r="K266" s="2513"/>
      <c r="L266" s="2504">
        <v>115</v>
      </c>
      <c r="M266" s="2513"/>
      <c r="N266" s="2502">
        <v>115</v>
      </c>
      <c r="O266" s="396"/>
      <c r="P266" s="396"/>
      <c r="Q266" s="396"/>
      <c r="R266" s="396"/>
      <c r="S266" s="396"/>
      <c r="T266" s="396"/>
      <c r="U266" s="396"/>
      <c r="V266" s="396"/>
      <c r="W266" s="396"/>
      <c r="X266" s="396"/>
      <c r="Y266" s="396"/>
      <c r="Z266" s="396"/>
    </row>
    <row r="267" spans="2:26" ht="13.5" customHeight="1">
      <c r="B267" s="2439" t="s">
        <v>599</v>
      </c>
      <c r="C267" s="2513"/>
      <c r="D267" s="2500">
        <v>11</v>
      </c>
      <c r="E267" s="2515"/>
      <c r="F267" s="2502">
        <v>11</v>
      </c>
      <c r="G267" s="2513"/>
      <c r="H267" s="2504">
        <v>30</v>
      </c>
      <c r="I267" s="2513"/>
      <c r="J267" s="2502">
        <v>30</v>
      </c>
      <c r="K267" s="2513"/>
      <c r="L267" s="2504">
        <v>253</v>
      </c>
      <c r="M267" s="2513"/>
      <c r="N267" s="2502">
        <v>253</v>
      </c>
      <c r="O267" s="396"/>
      <c r="P267" s="396"/>
      <c r="Q267" s="396"/>
      <c r="R267" s="396"/>
      <c r="S267" s="396"/>
      <c r="T267" s="396"/>
      <c r="U267" s="396"/>
      <c r="V267" s="396"/>
      <c r="W267" s="396"/>
      <c r="X267" s="396"/>
      <c r="Y267" s="396"/>
      <c r="Z267" s="396"/>
    </row>
    <row r="268" spans="2:26" ht="13.5" customHeight="1">
      <c r="B268" s="2439" t="s">
        <v>600</v>
      </c>
      <c r="C268" s="2513"/>
      <c r="D268" s="2500">
        <v>6</v>
      </c>
      <c r="E268" s="2515"/>
      <c r="F268" s="2502">
        <v>6</v>
      </c>
      <c r="G268" s="2513"/>
      <c r="H268" s="2504">
        <v>29</v>
      </c>
      <c r="I268" s="2513"/>
      <c r="J268" s="2502">
        <v>29</v>
      </c>
      <c r="K268" s="2513"/>
      <c r="L268" s="2504">
        <v>285</v>
      </c>
      <c r="M268" s="2513"/>
      <c r="N268" s="2502">
        <v>285</v>
      </c>
      <c r="O268" s="396"/>
      <c r="P268" s="396"/>
      <c r="Q268" s="396"/>
      <c r="R268" s="396"/>
      <c r="S268" s="396"/>
      <c r="T268" s="396"/>
      <c r="U268" s="396"/>
      <c r="V268" s="396"/>
      <c r="W268" s="396"/>
      <c r="X268" s="396"/>
      <c r="Y268" s="396"/>
      <c r="Z268" s="396"/>
    </row>
    <row r="269" spans="2:26" ht="13.5" customHeight="1">
      <c r="B269" s="2439" t="s">
        <v>601</v>
      </c>
      <c r="C269" s="2513"/>
      <c r="D269" s="2500">
        <v>20</v>
      </c>
      <c r="E269" s="2515"/>
      <c r="F269" s="2502">
        <v>20</v>
      </c>
      <c r="G269" s="2513"/>
      <c r="H269" s="2504">
        <v>179</v>
      </c>
      <c r="I269" s="2513"/>
      <c r="J269" s="2502">
        <v>179</v>
      </c>
      <c r="K269" s="2513"/>
      <c r="L269" s="2504">
        <v>299</v>
      </c>
      <c r="M269" s="2513"/>
      <c r="N269" s="2502">
        <v>299</v>
      </c>
      <c r="O269" s="396"/>
      <c r="P269" s="396"/>
      <c r="Q269" s="396"/>
      <c r="R269" s="396"/>
      <c r="S269" s="396"/>
      <c r="T269" s="396"/>
      <c r="U269" s="396"/>
      <c r="V269" s="396"/>
      <c r="W269" s="396"/>
      <c r="X269" s="396"/>
      <c r="Y269" s="396"/>
      <c r="Z269" s="396"/>
    </row>
    <row r="270" spans="2:26" ht="13.5" customHeight="1">
      <c r="B270" s="2512" t="s">
        <v>118</v>
      </c>
      <c r="C270" s="2508"/>
      <c r="D270" s="2508">
        <f>SUM(D261:D269)</f>
        <v>75</v>
      </c>
      <c r="E270" s="2508">
        <f t="shared" ref="E270:N270" si="14">SUM(E261:E269)</f>
        <v>0</v>
      </c>
      <c r="F270" s="2508">
        <f t="shared" si="14"/>
        <v>75</v>
      </c>
      <c r="G270" s="2508">
        <f t="shared" si="14"/>
        <v>0</v>
      </c>
      <c r="H270" s="2508">
        <f t="shared" si="14"/>
        <v>367</v>
      </c>
      <c r="I270" s="2508">
        <f t="shared" si="14"/>
        <v>0</v>
      </c>
      <c r="J270" s="2508">
        <f t="shared" si="14"/>
        <v>367</v>
      </c>
      <c r="K270" s="2508">
        <f t="shared" si="14"/>
        <v>0</v>
      </c>
      <c r="L270" s="2508">
        <f t="shared" si="14"/>
        <v>1746</v>
      </c>
      <c r="M270" s="2508">
        <f t="shared" si="14"/>
        <v>0</v>
      </c>
      <c r="N270" s="2508">
        <f t="shared" si="14"/>
        <v>1746</v>
      </c>
      <c r="O270" s="396"/>
      <c r="P270" s="396"/>
      <c r="Q270" s="396"/>
      <c r="R270" s="396"/>
      <c r="S270" s="396"/>
      <c r="T270" s="396"/>
      <c r="U270" s="396"/>
      <c r="V270" s="396"/>
      <c r="W270" s="396"/>
      <c r="X270" s="396"/>
      <c r="Y270" s="396"/>
      <c r="Z270" s="396"/>
    </row>
    <row r="271" spans="2:26" ht="13.5" customHeight="1">
      <c r="B271" s="51"/>
      <c r="C271" s="420"/>
      <c r="D271" s="420"/>
      <c r="E271" s="420"/>
      <c r="F271" s="420"/>
      <c r="G271" s="420"/>
      <c r="H271" s="420"/>
      <c r="I271" s="420"/>
      <c r="J271" s="420"/>
      <c r="K271" s="420"/>
      <c r="L271" s="420"/>
      <c r="M271" s="420"/>
      <c r="N271" s="420"/>
    </row>
    <row r="272" spans="2:26" ht="13.5" customHeight="1">
      <c r="B272" s="292"/>
      <c r="N272" s="292">
        <v>175</v>
      </c>
    </row>
    <row r="273" spans="2:26" ht="13.5" customHeight="1">
      <c r="B273" s="292"/>
    </row>
    <row r="274" spans="2:26" ht="13.15">
      <c r="B274" s="51"/>
      <c r="C274" s="462"/>
      <c r="D274" s="462"/>
      <c r="E274" s="462"/>
      <c r="F274" s="462"/>
      <c r="G274" s="462"/>
      <c r="H274" s="462"/>
      <c r="I274" s="462"/>
      <c r="J274" s="462"/>
      <c r="K274" s="462"/>
      <c r="L274" s="462"/>
      <c r="M274" s="462"/>
      <c r="N274" s="462"/>
    </row>
    <row r="275" spans="2:26" ht="13.15">
      <c r="B275" s="1611" t="s">
        <v>106</v>
      </c>
    </row>
    <row r="276" spans="2:26" ht="13.5" customHeight="1">
      <c r="B276" s="3518" t="s">
        <v>586</v>
      </c>
      <c r="C276" s="3520" t="s">
        <v>587</v>
      </c>
      <c r="D276" s="3521"/>
      <c r="E276" s="3521"/>
      <c r="F276" s="3521"/>
      <c r="G276" s="3496" t="s">
        <v>588</v>
      </c>
      <c r="H276" s="3496"/>
      <c r="I276" s="3496"/>
      <c r="J276" s="3496"/>
      <c r="K276" s="3526" t="s">
        <v>589</v>
      </c>
      <c r="L276" s="3527"/>
      <c r="M276" s="3527"/>
      <c r="N276" s="3528"/>
    </row>
    <row r="277" spans="2:26" ht="13.5" customHeight="1">
      <c r="B277" s="3525"/>
      <c r="C277" s="3520"/>
      <c r="D277" s="3521"/>
      <c r="E277" s="3521"/>
      <c r="F277" s="3521"/>
      <c r="G277" s="3496"/>
      <c r="H277" s="3496"/>
      <c r="I277" s="3496"/>
      <c r="J277" s="3496"/>
      <c r="K277" s="3529"/>
      <c r="L277" s="3530"/>
      <c r="M277" s="3530"/>
      <c r="N277" s="3531"/>
    </row>
    <row r="278" spans="2:26" ht="13.5" customHeight="1">
      <c r="B278" s="3519"/>
      <c r="C278" s="2491" t="s">
        <v>590</v>
      </c>
      <c r="D278" s="2492" t="s">
        <v>591</v>
      </c>
      <c r="E278" s="2492" t="s">
        <v>592</v>
      </c>
      <c r="F278" s="2509" t="s">
        <v>118</v>
      </c>
      <c r="G278" s="2492" t="s">
        <v>590</v>
      </c>
      <c r="H278" s="2492" t="s">
        <v>591</v>
      </c>
      <c r="I278" s="2492" t="s">
        <v>592</v>
      </c>
      <c r="J278" s="2509" t="s">
        <v>118</v>
      </c>
      <c r="K278" s="2492" t="s">
        <v>590</v>
      </c>
      <c r="L278" s="2492" t="s">
        <v>591</v>
      </c>
      <c r="M278" s="2492" t="s">
        <v>592</v>
      </c>
      <c r="N278" s="2509" t="s">
        <v>118</v>
      </c>
    </row>
    <row r="279" spans="2:26" ht="13.5" customHeight="1">
      <c r="B279" s="1613" t="s">
        <v>593</v>
      </c>
      <c r="C279" s="3061">
        <v>0</v>
      </c>
      <c r="D279" s="3062">
        <v>3</v>
      </c>
      <c r="E279" s="3056"/>
      <c r="F279" s="3057">
        <v>3</v>
      </c>
      <c r="G279" s="3059"/>
      <c r="H279" s="3062">
        <v>9</v>
      </c>
      <c r="I279" s="3059"/>
      <c r="J279" s="3057">
        <v>9</v>
      </c>
      <c r="K279" s="3059"/>
      <c r="L279" s="3062">
        <v>62</v>
      </c>
      <c r="M279" s="3059"/>
      <c r="N279" s="3057">
        <v>62</v>
      </c>
      <c r="O279" s="396"/>
      <c r="P279" s="396"/>
      <c r="Q279" s="396"/>
      <c r="R279" s="396"/>
      <c r="S279" s="396"/>
      <c r="T279" s="396"/>
      <c r="U279" s="396"/>
      <c r="V279" s="396"/>
      <c r="W279" s="396"/>
      <c r="X279" s="396"/>
      <c r="Y279" s="396"/>
      <c r="Z279" s="396"/>
    </row>
    <row r="280" spans="2:26" ht="13.5" customHeight="1">
      <c r="B280" s="2439" t="s">
        <v>594</v>
      </c>
      <c r="C280" s="3059">
        <v>0</v>
      </c>
      <c r="D280" s="3062">
        <v>3</v>
      </c>
      <c r="E280" s="3056"/>
      <c r="F280" s="3057">
        <v>3</v>
      </c>
      <c r="G280" s="3059"/>
      <c r="H280" s="3062">
        <v>10</v>
      </c>
      <c r="I280" s="3059"/>
      <c r="J280" s="3057">
        <v>10</v>
      </c>
      <c r="K280" s="3059"/>
      <c r="L280" s="3062">
        <v>46</v>
      </c>
      <c r="M280" s="3059"/>
      <c r="N280" s="3057">
        <v>46</v>
      </c>
      <c r="O280" s="396"/>
      <c r="P280" s="396"/>
      <c r="Q280" s="396"/>
      <c r="R280" s="396"/>
      <c r="S280" s="396"/>
      <c r="T280" s="396"/>
      <c r="U280" s="396"/>
      <c r="V280" s="396"/>
      <c r="W280" s="396"/>
      <c r="X280" s="396"/>
      <c r="Y280" s="396"/>
      <c r="Z280" s="396"/>
    </row>
    <row r="281" spans="2:26" ht="13.5" customHeight="1">
      <c r="B281" s="2439" t="s">
        <v>595</v>
      </c>
      <c r="C281" s="3059">
        <v>0</v>
      </c>
      <c r="D281" s="3062">
        <v>2</v>
      </c>
      <c r="E281" s="3056"/>
      <c r="F281" s="3057">
        <v>2</v>
      </c>
      <c r="G281" s="3059"/>
      <c r="H281" s="3062">
        <v>5</v>
      </c>
      <c r="I281" s="3059"/>
      <c r="J281" s="3057">
        <v>5</v>
      </c>
      <c r="K281" s="3059"/>
      <c r="L281" s="3062">
        <v>55</v>
      </c>
      <c r="M281" s="3059"/>
      <c r="N281" s="3057">
        <v>55</v>
      </c>
      <c r="O281" s="396"/>
      <c r="P281" s="396"/>
      <c r="Q281" s="396"/>
      <c r="R281" s="396"/>
      <c r="S281" s="396"/>
      <c r="T281" s="396"/>
      <c r="U281" s="396"/>
      <c r="V281" s="396"/>
      <c r="W281" s="396"/>
      <c r="X281" s="396"/>
      <c r="Y281" s="396"/>
      <c r="Z281" s="396"/>
    </row>
    <row r="282" spans="2:26" ht="13.5" customHeight="1">
      <c r="B282" s="2439" t="s">
        <v>596</v>
      </c>
      <c r="C282" s="3059">
        <v>0</v>
      </c>
      <c r="D282" s="3062">
        <v>3</v>
      </c>
      <c r="E282" s="3056"/>
      <c r="F282" s="3057">
        <v>3</v>
      </c>
      <c r="G282" s="3059"/>
      <c r="H282" s="3062">
        <v>9</v>
      </c>
      <c r="I282" s="3059"/>
      <c r="J282" s="3057">
        <v>9</v>
      </c>
      <c r="K282" s="3059"/>
      <c r="L282" s="3062">
        <v>77</v>
      </c>
      <c r="M282" s="3059"/>
      <c r="N282" s="3057">
        <v>77</v>
      </c>
      <c r="O282" s="396"/>
      <c r="P282" s="396"/>
      <c r="Q282" s="396"/>
      <c r="R282" s="396"/>
      <c r="S282" s="396"/>
      <c r="T282" s="396"/>
      <c r="U282" s="396"/>
      <c r="V282" s="396"/>
      <c r="W282" s="396"/>
      <c r="X282" s="396"/>
      <c r="Y282" s="396"/>
      <c r="Z282" s="396"/>
    </row>
    <row r="283" spans="2:26" ht="13.5" customHeight="1">
      <c r="B283" s="2439" t="s">
        <v>602</v>
      </c>
      <c r="C283" s="3059">
        <v>0</v>
      </c>
      <c r="D283" s="3062">
        <v>9</v>
      </c>
      <c r="E283" s="3056"/>
      <c r="F283" s="3057">
        <v>9</v>
      </c>
      <c r="G283" s="3059"/>
      <c r="H283" s="3062">
        <v>30</v>
      </c>
      <c r="I283" s="3059"/>
      <c r="J283" s="3057">
        <v>30</v>
      </c>
      <c r="K283" s="3059"/>
      <c r="L283" s="3062">
        <v>213</v>
      </c>
      <c r="M283" s="3059"/>
      <c r="N283" s="3057">
        <v>213</v>
      </c>
      <c r="O283" s="396"/>
      <c r="P283" s="396"/>
      <c r="Q283" s="396"/>
      <c r="R283" s="396"/>
      <c r="S283" s="396"/>
      <c r="T283" s="396"/>
      <c r="U283" s="396"/>
      <c r="V283" s="396"/>
      <c r="W283" s="396"/>
      <c r="X283" s="396"/>
      <c r="Y283" s="396"/>
      <c r="Z283" s="396"/>
    </row>
    <row r="284" spans="2:26" ht="13.5" customHeight="1">
      <c r="B284" s="2439" t="s">
        <v>598</v>
      </c>
      <c r="C284" s="3059">
        <v>0</v>
      </c>
      <c r="D284" s="3062">
        <v>2</v>
      </c>
      <c r="E284" s="3056"/>
      <c r="F284" s="3057">
        <v>2</v>
      </c>
      <c r="G284" s="3059"/>
      <c r="H284" s="3062">
        <v>5</v>
      </c>
      <c r="I284" s="3059"/>
      <c r="J284" s="3057">
        <v>5</v>
      </c>
      <c r="K284" s="3059"/>
      <c r="L284" s="3062">
        <v>173</v>
      </c>
      <c r="M284" s="3059"/>
      <c r="N284" s="3057">
        <v>173</v>
      </c>
      <c r="O284" s="396"/>
      <c r="P284" s="396"/>
      <c r="Q284" s="396"/>
      <c r="R284" s="396"/>
      <c r="S284" s="396"/>
      <c r="T284" s="396"/>
      <c r="U284" s="396"/>
      <c r="V284" s="396"/>
      <c r="W284" s="396"/>
      <c r="X284" s="396"/>
      <c r="Y284" s="396"/>
      <c r="Z284" s="396"/>
    </row>
    <row r="285" spans="2:26" ht="13.5" customHeight="1">
      <c r="B285" s="2439" t="s">
        <v>599</v>
      </c>
      <c r="C285" s="3059">
        <v>0</v>
      </c>
      <c r="D285" s="3062">
        <v>1</v>
      </c>
      <c r="E285" s="3056"/>
      <c r="F285" s="3057">
        <v>1</v>
      </c>
      <c r="G285" s="3059"/>
      <c r="H285" s="3062">
        <v>2</v>
      </c>
      <c r="I285" s="3059"/>
      <c r="J285" s="3057">
        <v>2</v>
      </c>
      <c r="K285" s="3059"/>
      <c r="L285" s="3062">
        <v>56</v>
      </c>
      <c r="M285" s="3059"/>
      <c r="N285" s="3057">
        <v>56</v>
      </c>
      <c r="O285" s="396"/>
      <c r="P285" s="396"/>
      <c r="Q285" s="396"/>
      <c r="R285" s="396"/>
      <c r="S285" s="396"/>
      <c r="T285" s="396"/>
      <c r="U285" s="396"/>
      <c r="V285" s="396"/>
      <c r="W285" s="396"/>
      <c r="X285" s="396"/>
      <c r="Y285" s="396"/>
      <c r="Z285" s="396"/>
    </row>
    <row r="286" spans="2:26" ht="13.5" customHeight="1">
      <c r="B286" s="2439" t="s">
        <v>600</v>
      </c>
      <c r="C286" s="3059">
        <v>0</v>
      </c>
      <c r="D286" s="3062">
        <v>1</v>
      </c>
      <c r="E286" s="3056"/>
      <c r="F286" s="3057">
        <v>1</v>
      </c>
      <c r="G286" s="3059"/>
      <c r="H286" s="3062">
        <v>2</v>
      </c>
      <c r="I286" s="3059"/>
      <c r="J286" s="3057">
        <v>2</v>
      </c>
      <c r="K286" s="3059"/>
      <c r="L286" s="3062">
        <v>71</v>
      </c>
      <c r="M286" s="3059"/>
      <c r="N286" s="3057">
        <v>71</v>
      </c>
      <c r="O286" s="396"/>
      <c r="P286" s="396"/>
      <c r="Q286" s="396"/>
      <c r="R286" s="396"/>
      <c r="S286" s="396"/>
      <c r="T286" s="396"/>
      <c r="U286" s="396"/>
      <c r="V286" s="396"/>
      <c r="W286" s="396"/>
      <c r="X286" s="396"/>
      <c r="Y286" s="396"/>
      <c r="Z286" s="396"/>
    </row>
    <row r="287" spans="2:26" ht="13.5" customHeight="1">
      <c r="B287" s="2439" t="s">
        <v>601</v>
      </c>
      <c r="C287" s="3059">
        <v>0</v>
      </c>
      <c r="D287" s="3062">
        <v>4</v>
      </c>
      <c r="E287" s="3056"/>
      <c r="F287" s="3057">
        <v>4</v>
      </c>
      <c r="G287" s="3059"/>
      <c r="H287" s="3062">
        <v>29</v>
      </c>
      <c r="I287" s="3059"/>
      <c r="J287" s="3057">
        <v>29</v>
      </c>
      <c r="K287" s="3059"/>
      <c r="L287" s="3062">
        <v>198</v>
      </c>
      <c r="M287" s="3059"/>
      <c r="N287" s="3057">
        <v>198</v>
      </c>
      <c r="O287" s="396"/>
      <c r="P287" s="396"/>
      <c r="Q287" s="396"/>
      <c r="R287" s="396"/>
      <c r="S287" s="396"/>
      <c r="T287" s="396"/>
      <c r="U287" s="396"/>
      <c r="V287" s="396"/>
      <c r="W287" s="396"/>
      <c r="X287" s="396"/>
      <c r="Y287" s="396"/>
      <c r="Z287" s="396"/>
    </row>
    <row r="288" spans="2:26" ht="13.5" customHeight="1">
      <c r="B288" s="2512" t="s">
        <v>118</v>
      </c>
      <c r="C288" s="2508"/>
      <c r="D288" s="2508">
        <f>SUM(D279:D287)</f>
        <v>28</v>
      </c>
      <c r="E288" s="2508">
        <f t="shared" ref="E288:N288" si="15">SUM(E279:E287)</f>
        <v>0</v>
      </c>
      <c r="F288" s="2508">
        <f t="shared" si="15"/>
        <v>28</v>
      </c>
      <c r="G288" s="2508">
        <f t="shared" si="15"/>
        <v>0</v>
      </c>
      <c r="H288" s="2508">
        <f t="shared" si="15"/>
        <v>101</v>
      </c>
      <c r="I288" s="2508">
        <f t="shared" si="15"/>
        <v>0</v>
      </c>
      <c r="J288" s="2508">
        <f t="shared" si="15"/>
        <v>101</v>
      </c>
      <c r="K288" s="2508">
        <f t="shared" si="15"/>
        <v>0</v>
      </c>
      <c r="L288" s="2508">
        <f t="shared" si="15"/>
        <v>951</v>
      </c>
      <c r="M288" s="2508">
        <f t="shared" si="15"/>
        <v>0</v>
      </c>
      <c r="N288" s="2508">
        <f t="shared" si="15"/>
        <v>951</v>
      </c>
      <c r="O288" s="396"/>
      <c r="P288" s="396"/>
      <c r="Q288" s="396"/>
      <c r="R288" s="396"/>
      <c r="S288" s="396"/>
      <c r="T288" s="396"/>
      <c r="U288" s="396"/>
      <c r="V288" s="396"/>
      <c r="W288" s="396"/>
      <c r="X288" s="396"/>
      <c r="Y288" s="396"/>
      <c r="Z288" s="396"/>
    </row>
    <row r="289" spans="2:26" ht="13.5" customHeight="1">
      <c r="B289" s="51"/>
      <c r="C289" s="420"/>
      <c r="D289" s="420"/>
      <c r="E289" s="420"/>
      <c r="F289" s="420"/>
      <c r="G289" s="420"/>
      <c r="H289" s="420"/>
      <c r="I289" s="420"/>
      <c r="J289" s="420"/>
      <c r="K289" s="420"/>
      <c r="L289" s="420"/>
      <c r="M289" s="420"/>
      <c r="N289" s="420"/>
    </row>
    <row r="290" spans="2:26" ht="13.5" customHeight="1">
      <c r="B290" s="51"/>
      <c r="C290" s="420"/>
      <c r="D290" s="420"/>
      <c r="E290" s="420"/>
      <c r="F290" s="420"/>
      <c r="G290" s="420"/>
      <c r="H290" s="420"/>
      <c r="I290" s="420"/>
      <c r="J290" s="420"/>
      <c r="K290" s="420"/>
      <c r="L290" s="420"/>
      <c r="M290" s="420"/>
      <c r="N290" s="460"/>
    </row>
    <row r="291" spans="2:26" ht="13.5" customHeight="1">
      <c r="B291" s="1611" t="s">
        <v>108</v>
      </c>
    </row>
    <row r="292" spans="2:26" ht="13.5" customHeight="1">
      <c r="B292" s="3518" t="s">
        <v>586</v>
      </c>
      <c r="C292" s="3520" t="s">
        <v>587</v>
      </c>
      <c r="D292" s="3521"/>
      <c r="E292" s="3521"/>
      <c r="F292" s="3521"/>
      <c r="G292" s="3496" t="s">
        <v>588</v>
      </c>
      <c r="H292" s="3496"/>
      <c r="I292" s="3496"/>
      <c r="J292" s="3496"/>
      <c r="K292" s="3526" t="s">
        <v>589</v>
      </c>
      <c r="L292" s="3527"/>
      <c r="M292" s="3527"/>
      <c r="N292" s="3528"/>
    </row>
    <row r="293" spans="2:26" ht="13.5" customHeight="1">
      <c r="B293" s="3525"/>
      <c r="C293" s="3520"/>
      <c r="D293" s="3521"/>
      <c r="E293" s="3521"/>
      <c r="F293" s="3521"/>
      <c r="G293" s="3496"/>
      <c r="H293" s="3496"/>
      <c r="I293" s="3496"/>
      <c r="J293" s="3496"/>
      <c r="K293" s="3529"/>
      <c r="L293" s="3530"/>
      <c r="M293" s="3530"/>
      <c r="N293" s="3531"/>
    </row>
    <row r="294" spans="2:26" ht="13.5" customHeight="1">
      <c r="B294" s="3519"/>
      <c r="C294" s="2491" t="s">
        <v>590</v>
      </c>
      <c r="D294" s="2492" t="s">
        <v>591</v>
      </c>
      <c r="E294" s="2492" t="s">
        <v>592</v>
      </c>
      <c r="F294" s="2509" t="s">
        <v>118</v>
      </c>
      <c r="G294" s="2492" t="s">
        <v>590</v>
      </c>
      <c r="H294" s="2492" t="s">
        <v>591</v>
      </c>
      <c r="I294" s="2492" t="s">
        <v>592</v>
      </c>
      <c r="J294" s="2509" t="s">
        <v>118</v>
      </c>
      <c r="K294" s="2492" t="s">
        <v>590</v>
      </c>
      <c r="L294" s="2492" t="s">
        <v>591</v>
      </c>
      <c r="M294" s="2492" t="s">
        <v>592</v>
      </c>
      <c r="N294" s="2509" t="s">
        <v>118</v>
      </c>
    </row>
    <row r="295" spans="2:26" ht="13.5" customHeight="1">
      <c r="B295" s="1613" t="s">
        <v>593</v>
      </c>
      <c r="C295" s="2500">
        <v>9</v>
      </c>
      <c r="D295" s="2515"/>
      <c r="E295" s="2515"/>
      <c r="F295" s="2502">
        <v>9</v>
      </c>
      <c r="G295" s="2504">
        <v>23</v>
      </c>
      <c r="H295" s="2515"/>
      <c r="I295" s="2513"/>
      <c r="J295" s="2502">
        <v>23</v>
      </c>
      <c r="K295" s="2504">
        <v>34</v>
      </c>
      <c r="L295" s="2515"/>
      <c r="M295" s="2513"/>
      <c r="N295" s="2502">
        <v>34</v>
      </c>
      <c r="O295" s="396"/>
      <c r="P295" s="396"/>
      <c r="Q295" s="396"/>
      <c r="R295" s="396"/>
      <c r="S295" s="396"/>
      <c r="T295" s="396"/>
      <c r="U295" s="396"/>
      <c r="V295" s="396"/>
      <c r="W295" s="396"/>
      <c r="X295" s="396"/>
      <c r="Y295" s="396"/>
      <c r="Z295" s="396"/>
    </row>
    <row r="296" spans="2:26" ht="13.5" customHeight="1">
      <c r="B296" s="2439" t="s">
        <v>594</v>
      </c>
      <c r="C296" s="2504">
        <v>4</v>
      </c>
      <c r="D296" s="2515"/>
      <c r="E296" s="2515"/>
      <c r="F296" s="2502">
        <v>4</v>
      </c>
      <c r="G296" s="2504">
        <v>13</v>
      </c>
      <c r="H296" s="2515"/>
      <c r="I296" s="2513"/>
      <c r="J296" s="2502">
        <v>13</v>
      </c>
      <c r="K296" s="2504">
        <v>3</v>
      </c>
      <c r="L296" s="2515"/>
      <c r="M296" s="2513"/>
      <c r="N296" s="2502">
        <v>3</v>
      </c>
      <c r="O296" s="396"/>
      <c r="P296" s="396"/>
      <c r="Q296" s="396"/>
      <c r="R296" s="396"/>
      <c r="S296" s="396"/>
      <c r="T296" s="396"/>
      <c r="U296" s="396"/>
      <c r="V296" s="396"/>
      <c r="W296" s="396"/>
      <c r="X296" s="396"/>
      <c r="Y296" s="396"/>
      <c r="Z296" s="396"/>
    </row>
    <row r="297" spans="2:26" ht="13.5" customHeight="1">
      <c r="B297" s="2439" t="s">
        <v>595</v>
      </c>
      <c r="C297" s="2504">
        <v>5</v>
      </c>
      <c r="D297" s="2515"/>
      <c r="E297" s="2515"/>
      <c r="F297" s="2502">
        <v>5</v>
      </c>
      <c r="G297" s="2504">
        <v>33</v>
      </c>
      <c r="H297" s="2515"/>
      <c r="I297" s="2513"/>
      <c r="J297" s="2502">
        <v>33</v>
      </c>
      <c r="K297" s="2504">
        <v>25</v>
      </c>
      <c r="L297" s="2515"/>
      <c r="M297" s="2513"/>
      <c r="N297" s="2502">
        <v>25</v>
      </c>
      <c r="O297" s="396"/>
      <c r="P297" s="396"/>
      <c r="Q297" s="396"/>
      <c r="R297" s="396"/>
      <c r="S297" s="396"/>
      <c r="T297" s="396"/>
      <c r="U297" s="396"/>
      <c r="V297" s="396"/>
      <c r="W297" s="396"/>
      <c r="X297" s="396"/>
      <c r="Y297" s="396"/>
      <c r="Z297" s="396"/>
    </row>
    <row r="298" spans="2:26" ht="13.5" customHeight="1">
      <c r="B298" s="2439" t="s">
        <v>596</v>
      </c>
      <c r="C298" s="2504">
        <v>8</v>
      </c>
      <c r="D298" s="2515"/>
      <c r="E298" s="2515"/>
      <c r="F298" s="2502">
        <v>8</v>
      </c>
      <c r="G298" s="2504">
        <v>28</v>
      </c>
      <c r="H298" s="2515"/>
      <c r="I298" s="2513"/>
      <c r="J298" s="2502">
        <v>28</v>
      </c>
      <c r="K298" s="2504">
        <v>21</v>
      </c>
      <c r="L298" s="2515"/>
      <c r="M298" s="2513"/>
      <c r="N298" s="2502">
        <v>21</v>
      </c>
      <c r="O298" s="396"/>
      <c r="P298" s="396"/>
      <c r="Q298" s="396"/>
      <c r="R298" s="396"/>
      <c r="S298" s="396"/>
      <c r="T298" s="396"/>
      <c r="U298" s="396"/>
      <c r="V298" s="396"/>
      <c r="W298" s="396"/>
      <c r="X298" s="396"/>
      <c r="Y298" s="396"/>
      <c r="Z298" s="396"/>
    </row>
    <row r="299" spans="2:26" ht="13.5" customHeight="1">
      <c r="B299" s="2439" t="s">
        <v>602</v>
      </c>
      <c r="C299" s="2504">
        <v>5</v>
      </c>
      <c r="D299" s="2515"/>
      <c r="E299" s="2515"/>
      <c r="F299" s="2502">
        <v>5</v>
      </c>
      <c r="G299" s="2504">
        <v>16</v>
      </c>
      <c r="H299" s="2515"/>
      <c r="I299" s="2513"/>
      <c r="J299" s="2502">
        <v>16</v>
      </c>
      <c r="K299" s="2504"/>
      <c r="L299" s="2515"/>
      <c r="M299" s="2513"/>
      <c r="N299" s="2502"/>
      <c r="O299" s="396"/>
      <c r="P299" s="396"/>
      <c r="Q299" s="396"/>
      <c r="R299" s="396"/>
      <c r="S299" s="396"/>
      <c r="T299" s="396"/>
      <c r="U299" s="396"/>
      <c r="V299" s="396"/>
      <c r="W299" s="396"/>
      <c r="X299" s="396"/>
      <c r="Y299" s="396"/>
      <c r="Z299" s="396"/>
    </row>
    <row r="300" spans="2:26" ht="13.5" customHeight="1">
      <c r="B300" s="2439" t="s">
        <v>598</v>
      </c>
      <c r="C300" s="2504">
        <v>7</v>
      </c>
      <c r="D300" s="2515"/>
      <c r="E300" s="2515"/>
      <c r="F300" s="2502">
        <v>7</v>
      </c>
      <c r="G300" s="2504">
        <v>17</v>
      </c>
      <c r="H300" s="2515"/>
      <c r="I300" s="2513"/>
      <c r="J300" s="2502">
        <v>17</v>
      </c>
      <c r="K300" s="2504">
        <v>11</v>
      </c>
      <c r="L300" s="2515"/>
      <c r="M300" s="2513"/>
      <c r="N300" s="2502">
        <v>11</v>
      </c>
      <c r="O300" s="396"/>
      <c r="P300" s="396"/>
      <c r="Q300" s="396"/>
      <c r="R300" s="396"/>
      <c r="S300" s="396"/>
      <c r="T300" s="396"/>
      <c r="U300" s="396"/>
      <c r="V300" s="396"/>
      <c r="W300" s="396"/>
      <c r="X300" s="396"/>
      <c r="Y300" s="396"/>
      <c r="Z300" s="396"/>
    </row>
    <row r="301" spans="2:26" ht="13.5" customHeight="1">
      <c r="B301" s="2439" t="s">
        <v>599</v>
      </c>
      <c r="C301" s="2504">
        <v>13</v>
      </c>
      <c r="D301" s="2515"/>
      <c r="E301" s="2515"/>
      <c r="F301" s="2502">
        <v>13</v>
      </c>
      <c r="G301" s="2504">
        <v>67</v>
      </c>
      <c r="H301" s="2515"/>
      <c r="I301" s="2513"/>
      <c r="J301" s="2502">
        <v>67</v>
      </c>
      <c r="K301" s="2504">
        <v>41</v>
      </c>
      <c r="L301" s="2515"/>
      <c r="M301" s="2513"/>
      <c r="N301" s="2502">
        <v>41</v>
      </c>
      <c r="O301" s="396"/>
      <c r="P301" s="396"/>
      <c r="Q301" s="396"/>
      <c r="R301" s="396"/>
      <c r="S301" s="396"/>
      <c r="T301" s="396"/>
      <c r="U301" s="396"/>
      <c r="V301" s="396"/>
      <c r="W301" s="396"/>
      <c r="X301" s="396"/>
      <c r="Y301" s="396"/>
      <c r="Z301" s="396"/>
    </row>
    <row r="302" spans="2:26" ht="13.5" customHeight="1">
      <c r="B302" s="2439" t="s">
        <v>600</v>
      </c>
      <c r="C302" s="2504">
        <v>9</v>
      </c>
      <c r="D302" s="2515"/>
      <c r="E302" s="2515"/>
      <c r="F302" s="2502">
        <v>9</v>
      </c>
      <c r="G302" s="2504">
        <v>15</v>
      </c>
      <c r="H302" s="2515"/>
      <c r="I302" s="2513"/>
      <c r="J302" s="2502">
        <v>15</v>
      </c>
      <c r="K302" s="2504">
        <v>14</v>
      </c>
      <c r="L302" s="2515"/>
      <c r="M302" s="2513"/>
      <c r="N302" s="2502">
        <v>14</v>
      </c>
      <c r="O302" s="396"/>
      <c r="P302" s="396"/>
      <c r="Q302" s="396"/>
      <c r="R302" s="396"/>
      <c r="S302" s="396"/>
      <c r="T302" s="396"/>
      <c r="U302" s="396"/>
      <c r="V302" s="396"/>
      <c r="W302" s="396"/>
      <c r="X302" s="396"/>
      <c r="Y302" s="396"/>
      <c r="Z302" s="396"/>
    </row>
    <row r="303" spans="2:26" ht="13.5" customHeight="1">
      <c r="B303" s="2439" t="s">
        <v>601</v>
      </c>
      <c r="C303" s="2504">
        <v>20</v>
      </c>
      <c r="D303" s="2515"/>
      <c r="E303" s="2515"/>
      <c r="F303" s="2502">
        <v>20</v>
      </c>
      <c r="G303" s="2504">
        <v>393</v>
      </c>
      <c r="H303" s="2515"/>
      <c r="I303" s="2513"/>
      <c r="J303" s="2502">
        <v>393</v>
      </c>
      <c r="K303" s="2504">
        <v>155</v>
      </c>
      <c r="L303" s="2515"/>
      <c r="M303" s="2513"/>
      <c r="N303" s="2502">
        <v>155</v>
      </c>
      <c r="O303" s="396"/>
      <c r="P303" s="396"/>
      <c r="Q303" s="396"/>
      <c r="R303" s="396"/>
      <c r="S303" s="396"/>
      <c r="T303" s="396"/>
      <c r="U303" s="396"/>
      <c r="V303" s="396"/>
      <c r="W303" s="396"/>
      <c r="X303" s="396"/>
      <c r="Y303" s="396"/>
      <c r="Z303" s="396"/>
    </row>
    <row r="304" spans="2:26" ht="13.5" customHeight="1">
      <c r="B304" s="2512" t="s">
        <v>118</v>
      </c>
      <c r="C304" s="2508">
        <f>SUM(C295:C303)</f>
        <v>80</v>
      </c>
      <c r="D304" s="2508">
        <f t="shared" ref="D304:N304" si="16">SUM(D295:D303)</f>
        <v>0</v>
      </c>
      <c r="E304" s="2508">
        <f t="shared" si="16"/>
        <v>0</v>
      </c>
      <c r="F304" s="2508">
        <f t="shared" si="16"/>
        <v>80</v>
      </c>
      <c r="G304" s="2508">
        <f t="shared" si="16"/>
        <v>605</v>
      </c>
      <c r="H304" s="2508">
        <f t="shared" si="16"/>
        <v>0</v>
      </c>
      <c r="I304" s="2508">
        <f t="shared" si="16"/>
        <v>0</v>
      </c>
      <c r="J304" s="2508">
        <f t="shared" si="16"/>
        <v>605</v>
      </c>
      <c r="K304" s="2508">
        <f t="shared" si="16"/>
        <v>304</v>
      </c>
      <c r="L304" s="2508">
        <f t="shared" si="16"/>
        <v>0</v>
      </c>
      <c r="M304" s="2508">
        <f t="shared" si="16"/>
        <v>0</v>
      </c>
      <c r="N304" s="2508">
        <f t="shared" si="16"/>
        <v>304</v>
      </c>
      <c r="O304" s="396"/>
      <c r="P304" s="396"/>
      <c r="Q304" s="396"/>
      <c r="R304" s="396"/>
      <c r="S304" s="396"/>
      <c r="T304" s="396"/>
      <c r="U304" s="396"/>
      <c r="V304" s="396"/>
      <c r="W304" s="396"/>
      <c r="X304" s="396"/>
      <c r="Y304" s="396"/>
      <c r="Z304" s="396"/>
    </row>
    <row r="305" spans="2:26" ht="13.5" customHeight="1">
      <c r="B305" s="51"/>
      <c r="C305" s="420"/>
      <c r="D305" s="420"/>
      <c r="E305" s="420"/>
      <c r="F305" s="420"/>
      <c r="G305" s="420"/>
      <c r="H305" s="420"/>
      <c r="I305" s="420"/>
      <c r="J305" s="420"/>
      <c r="K305" s="420"/>
      <c r="L305" s="420"/>
      <c r="M305" s="420"/>
      <c r="N305" s="420"/>
    </row>
    <row r="306" spans="2:26" ht="13.5" customHeight="1">
      <c r="B306" s="51"/>
      <c r="C306" s="420"/>
      <c r="D306" s="420"/>
      <c r="E306" s="420"/>
      <c r="F306" s="420"/>
      <c r="G306" s="420"/>
      <c r="H306" s="420"/>
      <c r="I306" s="420"/>
      <c r="J306" s="420"/>
      <c r="K306" s="420"/>
      <c r="L306" s="420"/>
      <c r="M306" s="420"/>
      <c r="N306" s="460">
        <v>176</v>
      </c>
    </row>
    <row r="307" spans="2:26" ht="13.5" customHeight="1">
      <c r="B307" s="51"/>
      <c r="C307" s="420"/>
      <c r="D307" s="420"/>
      <c r="E307" s="420"/>
      <c r="F307" s="420"/>
      <c r="G307" s="420"/>
      <c r="H307" s="420"/>
      <c r="I307" s="420"/>
      <c r="J307" s="420"/>
      <c r="K307" s="420"/>
      <c r="L307" s="420"/>
      <c r="M307" s="420"/>
      <c r="N307" s="460"/>
    </row>
    <row r="308" spans="2:26" ht="13.5" customHeight="1">
      <c r="B308" s="1611" t="s">
        <v>107</v>
      </c>
    </row>
    <row r="309" spans="2:26" ht="13.5" customHeight="1">
      <c r="B309" s="3518" t="s">
        <v>586</v>
      </c>
      <c r="C309" s="3520" t="s">
        <v>587</v>
      </c>
      <c r="D309" s="3521"/>
      <c r="E309" s="3521"/>
      <c r="F309" s="3521"/>
      <c r="G309" s="3496" t="s">
        <v>588</v>
      </c>
      <c r="H309" s="3496"/>
      <c r="I309" s="3496"/>
      <c r="J309" s="3496"/>
      <c r="K309" s="3526" t="s">
        <v>589</v>
      </c>
      <c r="L309" s="3527"/>
      <c r="M309" s="3527"/>
      <c r="N309" s="3528"/>
    </row>
    <row r="310" spans="2:26" ht="13.5" customHeight="1">
      <c r="B310" s="3525"/>
      <c r="C310" s="3520"/>
      <c r="D310" s="3521"/>
      <c r="E310" s="3521"/>
      <c r="F310" s="3521"/>
      <c r="G310" s="3496"/>
      <c r="H310" s="3496"/>
      <c r="I310" s="3496"/>
      <c r="J310" s="3496"/>
      <c r="K310" s="3529"/>
      <c r="L310" s="3530"/>
      <c r="M310" s="3530"/>
      <c r="N310" s="3531"/>
    </row>
    <row r="311" spans="2:26" ht="13.5" customHeight="1">
      <c r="B311" s="3519"/>
      <c r="C311" s="2491" t="s">
        <v>590</v>
      </c>
      <c r="D311" s="2492" t="s">
        <v>591</v>
      </c>
      <c r="E311" s="2492" t="s">
        <v>592</v>
      </c>
      <c r="F311" s="2509" t="s">
        <v>118</v>
      </c>
      <c r="G311" s="2492" t="s">
        <v>590</v>
      </c>
      <c r="H311" s="2492" t="s">
        <v>591</v>
      </c>
      <c r="I311" s="2492" t="s">
        <v>592</v>
      </c>
      <c r="J311" s="2509" t="s">
        <v>118</v>
      </c>
      <c r="K311" s="2492" t="s">
        <v>590</v>
      </c>
      <c r="L311" s="2492" t="s">
        <v>591</v>
      </c>
      <c r="M311" s="2492" t="s">
        <v>592</v>
      </c>
      <c r="N311" s="2509" t="s">
        <v>118</v>
      </c>
    </row>
    <row r="312" spans="2:26" ht="13.5" customHeight="1">
      <c r="B312" s="1613" t="s">
        <v>593</v>
      </c>
      <c r="C312" s="2511"/>
      <c r="D312" s="2500">
        <v>9</v>
      </c>
      <c r="E312" s="2515"/>
      <c r="F312" s="2502">
        <v>9</v>
      </c>
      <c r="G312" s="2513"/>
      <c r="H312" s="2504">
        <v>7</v>
      </c>
      <c r="I312" s="2513"/>
      <c r="J312" s="2502">
        <v>7</v>
      </c>
      <c r="K312" s="2513"/>
      <c r="L312" s="2504">
        <v>253</v>
      </c>
      <c r="M312" s="2513"/>
      <c r="N312" s="2502">
        <v>253</v>
      </c>
      <c r="O312" s="396"/>
      <c r="P312" s="396"/>
      <c r="Q312" s="396"/>
      <c r="R312" s="396"/>
      <c r="S312" s="396"/>
      <c r="T312" s="396"/>
      <c r="U312" s="396"/>
      <c r="V312" s="396"/>
      <c r="W312" s="396"/>
      <c r="X312" s="396"/>
      <c r="Y312" s="396"/>
      <c r="Z312" s="396"/>
    </row>
    <row r="313" spans="2:26" ht="13.5" customHeight="1">
      <c r="B313" s="2439" t="s">
        <v>594</v>
      </c>
      <c r="C313" s="2513"/>
      <c r="D313" s="2504">
        <v>4</v>
      </c>
      <c r="E313" s="2515"/>
      <c r="F313" s="2502">
        <v>4</v>
      </c>
      <c r="G313" s="2513"/>
      <c r="H313" s="2504">
        <v>9</v>
      </c>
      <c r="I313" s="2513"/>
      <c r="J313" s="2502">
        <v>9</v>
      </c>
      <c r="K313" s="2513"/>
      <c r="L313" s="2504">
        <v>99</v>
      </c>
      <c r="M313" s="2513"/>
      <c r="N313" s="2502">
        <v>99</v>
      </c>
      <c r="O313" s="396"/>
      <c r="P313" s="396"/>
      <c r="Q313" s="396"/>
      <c r="R313" s="396"/>
      <c r="S313" s="396"/>
      <c r="T313" s="396"/>
      <c r="U313" s="396"/>
      <c r="V313" s="396"/>
      <c r="W313" s="396"/>
      <c r="X313" s="396"/>
      <c r="Y313" s="396"/>
      <c r="Z313" s="396"/>
    </row>
    <row r="314" spans="2:26" ht="13.5" customHeight="1">
      <c r="B314" s="2439" t="s">
        <v>595</v>
      </c>
      <c r="C314" s="2513"/>
      <c r="D314" s="2504">
        <v>5</v>
      </c>
      <c r="E314" s="2515"/>
      <c r="F314" s="2502">
        <v>5</v>
      </c>
      <c r="G314" s="2513"/>
      <c r="H314" s="2504">
        <v>12</v>
      </c>
      <c r="I314" s="2513"/>
      <c r="J314" s="2502">
        <v>12</v>
      </c>
      <c r="K314" s="2513"/>
      <c r="L314" s="2504">
        <v>131</v>
      </c>
      <c r="M314" s="2513"/>
      <c r="N314" s="2502">
        <v>131</v>
      </c>
      <c r="O314" s="396"/>
      <c r="P314" s="396"/>
      <c r="Q314" s="396"/>
      <c r="R314" s="396"/>
      <c r="S314" s="396"/>
      <c r="T314" s="396"/>
      <c r="U314" s="396"/>
      <c r="V314" s="396"/>
      <c r="W314" s="396"/>
      <c r="X314" s="396"/>
      <c r="Y314" s="396"/>
      <c r="Z314" s="396"/>
    </row>
    <row r="315" spans="2:26" ht="13.5" customHeight="1">
      <c r="B315" s="2439" t="s">
        <v>596</v>
      </c>
      <c r="C315" s="2513"/>
      <c r="D315" s="2504">
        <v>8</v>
      </c>
      <c r="E315" s="2515"/>
      <c r="F315" s="2502">
        <v>8</v>
      </c>
      <c r="G315" s="2513"/>
      <c r="H315" s="2504">
        <v>14</v>
      </c>
      <c r="I315" s="2513"/>
      <c r="J315" s="2502">
        <v>14</v>
      </c>
      <c r="K315" s="2513"/>
      <c r="L315" s="2504">
        <v>125</v>
      </c>
      <c r="M315" s="2513"/>
      <c r="N315" s="2502">
        <v>125</v>
      </c>
      <c r="O315" s="396"/>
      <c r="P315" s="396"/>
      <c r="Q315" s="396"/>
      <c r="R315" s="396"/>
      <c r="S315" s="396"/>
      <c r="T315" s="396"/>
      <c r="U315" s="396"/>
      <c r="V315" s="396"/>
      <c r="W315" s="396"/>
      <c r="X315" s="396"/>
      <c r="Y315" s="396"/>
      <c r="Z315" s="396"/>
    </row>
    <row r="316" spans="2:26" ht="13.5" customHeight="1">
      <c r="B316" s="2439" t="s">
        <v>602</v>
      </c>
      <c r="C316" s="2513"/>
      <c r="D316" s="2504">
        <v>5</v>
      </c>
      <c r="E316" s="2515"/>
      <c r="F316" s="2502">
        <v>5</v>
      </c>
      <c r="G316" s="2513"/>
      <c r="H316" s="2504">
        <v>21</v>
      </c>
      <c r="I316" s="2513"/>
      <c r="J316" s="2502">
        <v>21</v>
      </c>
      <c r="K316" s="2513"/>
      <c r="L316" s="2504">
        <v>302</v>
      </c>
      <c r="M316" s="2513"/>
      <c r="N316" s="2502">
        <v>302</v>
      </c>
      <c r="O316" s="396"/>
      <c r="P316" s="396"/>
      <c r="Q316" s="396"/>
      <c r="R316" s="396"/>
      <c r="S316" s="396"/>
      <c r="T316" s="396"/>
      <c r="U316" s="396"/>
      <c r="V316" s="396"/>
      <c r="W316" s="396"/>
      <c r="X316" s="396"/>
      <c r="Y316" s="396"/>
      <c r="Z316" s="396"/>
    </row>
    <row r="317" spans="2:26" ht="13.5" customHeight="1">
      <c r="B317" s="2439" t="s">
        <v>598</v>
      </c>
      <c r="C317" s="2513"/>
      <c r="D317" s="2504">
        <v>7</v>
      </c>
      <c r="E317" s="2515"/>
      <c r="F317" s="2502">
        <v>7</v>
      </c>
      <c r="G317" s="2513"/>
      <c r="H317" s="2504">
        <v>9</v>
      </c>
      <c r="I317" s="2513"/>
      <c r="J317" s="2502">
        <v>9</v>
      </c>
      <c r="K317" s="2513"/>
      <c r="L317" s="2504">
        <v>177</v>
      </c>
      <c r="M317" s="2513"/>
      <c r="N317" s="2502">
        <v>177</v>
      </c>
      <c r="O317" s="396"/>
      <c r="P317" s="396"/>
      <c r="Q317" s="396"/>
      <c r="R317" s="396"/>
      <c r="S317" s="396"/>
      <c r="T317" s="396"/>
      <c r="U317" s="396"/>
      <c r="V317" s="396"/>
      <c r="W317" s="396"/>
      <c r="X317" s="396"/>
      <c r="Y317" s="396"/>
      <c r="Z317" s="396"/>
    </row>
    <row r="318" spans="2:26" ht="13.5" customHeight="1">
      <c r="B318" s="2439" t="s">
        <v>599</v>
      </c>
      <c r="C318" s="2513"/>
      <c r="D318" s="2504">
        <v>13</v>
      </c>
      <c r="E318" s="2515"/>
      <c r="F318" s="2502">
        <v>13</v>
      </c>
      <c r="G318" s="2513"/>
      <c r="H318" s="2504">
        <v>24</v>
      </c>
      <c r="I318" s="2513"/>
      <c r="J318" s="2502">
        <v>24</v>
      </c>
      <c r="K318" s="2513"/>
      <c r="L318" s="2504">
        <v>330</v>
      </c>
      <c r="M318" s="2513"/>
      <c r="N318" s="2502">
        <v>330</v>
      </c>
      <c r="O318" s="396"/>
      <c r="P318" s="396"/>
      <c r="Q318" s="396"/>
      <c r="R318" s="396"/>
      <c r="S318" s="396"/>
      <c r="T318" s="396"/>
      <c r="U318" s="396"/>
      <c r="V318" s="396"/>
      <c r="W318" s="396"/>
      <c r="X318" s="396"/>
      <c r="Y318" s="396"/>
      <c r="Z318" s="396"/>
    </row>
    <row r="319" spans="2:26" ht="13.5" customHeight="1">
      <c r="B319" s="2439" t="s">
        <v>600</v>
      </c>
      <c r="C319" s="2513"/>
      <c r="D319" s="2504">
        <v>9</v>
      </c>
      <c r="E319" s="2515"/>
      <c r="F319" s="2502">
        <v>9</v>
      </c>
      <c r="G319" s="2513"/>
      <c r="H319" s="2504">
        <v>9</v>
      </c>
      <c r="I319" s="2513"/>
      <c r="J319" s="2502">
        <v>9</v>
      </c>
      <c r="K319" s="2513"/>
      <c r="L319" s="2504">
        <v>116</v>
      </c>
      <c r="M319" s="2513"/>
      <c r="N319" s="2502">
        <v>116</v>
      </c>
      <c r="O319" s="396"/>
      <c r="P319" s="396"/>
      <c r="Q319" s="396"/>
      <c r="R319" s="396"/>
      <c r="S319" s="396"/>
      <c r="T319" s="396"/>
      <c r="U319" s="396"/>
      <c r="V319" s="396"/>
      <c r="W319" s="396"/>
      <c r="X319" s="396"/>
      <c r="Y319" s="396"/>
      <c r="Z319" s="396"/>
    </row>
    <row r="320" spans="2:26" ht="13.5" customHeight="1">
      <c r="B320" s="2439" t="s">
        <v>601</v>
      </c>
      <c r="C320" s="2513"/>
      <c r="D320" s="2504">
        <v>20</v>
      </c>
      <c r="E320" s="2515"/>
      <c r="F320" s="2502">
        <v>20</v>
      </c>
      <c r="G320" s="2513"/>
      <c r="H320" s="2504">
        <v>194</v>
      </c>
      <c r="I320" s="2513"/>
      <c r="J320" s="2502">
        <v>194</v>
      </c>
      <c r="K320" s="2513"/>
      <c r="L320" s="2504">
        <v>307</v>
      </c>
      <c r="M320" s="2513"/>
      <c r="N320" s="2502">
        <v>307</v>
      </c>
      <c r="O320" s="396"/>
      <c r="P320" s="396"/>
      <c r="Q320" s="396"/>
      <c r="R320" s="396"/>
      <c r="S320" s="396"/>
      <c r="T320" s="396"/>
      <c r="U320" s="396"/>
      <c r="V320" s="396"/>
      <c r="W320" s="396"/>
      <c r="X320" s="396"/>
      <c r="Y320" s="396"/>
      <c r="Z320" s="396"/>
    </row>
    <row r="321" spans="2:26" ht="13.5" customHeight="1">
      <c r="B321" s="2512" t="s">
        <v>118</v>
      </c>
      <c r="C321" s="2508"/>
      <c r="D321" s="2508">
        <f>SUM(D312:D320)</f>
        <v>80</v>
      </c>
      <c r="E321" s="2508">
        <f t="shared" ref="E321:N321" si="17">SUM(E312:E320)</f>
        <v>0</v>
      </c>
      <c r="F321" s="2508">
        <f t="shared" si="17"/>
        <v>80</v>
      </c>
      <c r="G321" s="2508">
        <f t="shared" si="17"/>
        <v>0</v>
      </c>
      <c r="H321" s="2508">
        <f t="shared" si="17"/>
        <v>299</v>
      </c>
      <c r="I321" s="2508">
        <f t="shared" si="17"/>
        <v>0</v>
      </c>
      <c r="J321" s="2508">
        <f t="shared" si="17"/>
        <v>299</v>
      </c>
      <c r="K321" s="2508">
        <f t="shared" si="17"/>
        <v>0</v>
      </c>
      <c r="L321" s="2508">
        <f t="shared" si="17"/>
        <v>1840</v>
      </c>
      <c r="M321" s="2508">
        <f t="shared" si="17"/>
        <v>0</v>
      </c>
      <c r="N321" s="2508">
        <f t="shared" si="17"/>
        <v>1840</v>
      </c>
      <c r="O321" s="396"/>
      <c r="P321" s="396"/>
      <c r="Q321" s="396"/>
      <c r="R321" s="396"/>
      <c r="S321" s="396"/>
      <c r="T321" s="396"/>
      <c r="U321" s="396"/>
      <c r="V321" s="396"/>
      <c r="W321" s="396"/>
      <c r="X321" s="396"/>
      <c r="Y321" s="396"/>
      <c r="Z321" s="396"/>
    </row>
    <row r="324" spans="2:26" ht="13.5" customHeight="1">
      <c r="B324" s="2522" t="s">
        <v>109</v>
      </c>
    </row>
    <row r="325" spans="2:26" ht="13.5" customHeight="1">
      <c r="B325" s="3544" t="s">
        <v>586</v>
      </c>
      <c r="C325" s="3521" t="s">
        <v>587</v>
      </c>
      <c r="D325" s="3521"/>
      <c r="E325" s="3521"/>
      <c r="F325" s="3521"/>
      <c r="G325" s="3496" t="s">
        <v>588</v>
      </c>
      <c r="H325" s="3496"/>
      <c r="I325" s="3496"/>
      <c r="J325" s="3496"/>
      <c r="K325" s="3526" t="s">
        <v>589</v>
      </c>
      <c r="L325" s="3527"/>
      <c r="M325" s="3527"/>
      <c r="N325" s="3528"/>
    </row>
    <row r="326" spans="2:26" ht="13.5" customHeight="1">
      <c r="B326" s="3532"/>
      <c r="C326" s="3521"/>
      <c r="D326" s="3521"/>
      <c r="E326" s="3521"/>
      <c r="F326" s="3521"/>
      <c r="G326" s="3496"/>
      <c r="H326" s="3496"/>
      <c r="I326" s="3496"/>
      <c r="J326" s="3496"/>
      <c r="K326" s="3529"/>
      <c r="L326" s="3530"/>
      <c r="M326" s="3530"/>
      <c r="N326" s="3531"/>
    </row>
    <row r="327" spans="2:26" ht="13.5" customHeight="1">
      <c r="B327" s="3533"/>
      <c r="C327" s="2492" t="s">
        <v>590</v>
      </c>
      <c r="D327" s="2492" t="s">
        <v>591</v>
      </c>
      <c r="E327" s="2492" t="s">
        <v>592</v>
      </c>
      <c r="F327" s="2509" t="s">
        <v>118</v>
      </c>
      <c r="G327" s="2492" t="s">
        <v>590</v>
      </c>
      <c r="H327" s="2492" t="s">
        <v>591</v>
      </c>
      <c r="I327" s="2492" t="s">
        <v>592</v>
      </c>
      <c r="J327" s="2509" t="s">
        <v>118</v>
      </c>
      <c r="K327" s="2492" t="s">
        <v>590</v>
      </c>
      <c r="L327" s="2492" t="s">
        <v>591</v>
      </c>
      <c r="M327" s="2492" t="s">
        <v>592</v>
      </c>
      <c r="N327" s="2509" t="s">
        <v>118</v>
      </c>
    </row>
    <row r="328" spans="2:26" ht="13.5" customHeight="1">
      <c r="B328" s="2439" t="s">
        <v>593</v>
      </c>
      <c r="C328" s="2511"/>
      <c r="D328" s="2511"/>
      <c r="E328" s="2523">
        <v>1</v>
      </c>
      <c r="F328" s="2502">
        <v>1</v>
      </c>
      <c r="G328" s="2523">
        <v>22</v>
      </c>
      <c r="H328" s="2523"/>
      <c r="I328" s="2513"/>
      <c r="J328" s="2502">
        <v>22</v>
      </c>
      <c r="K328" s="2524">
        <v>2</v>
      </c>
      <c r="L328" s="2524">
        <v>3</v>
      </c>
      <c r="M328" s="2513"/>
      <c r="N328" s="2502">
        <v>5</v>
      </c>
      <c r="O328" s="396"/>
      <c r="P328" s="396"/>
      <c r="Q328" s="396"/>
      <c r="R328" s="396"/>
      <c r="S328" s="396"/>
      <c r="T328" s="396"/>
      <c r="U328" s="396"/>
      <c r="V328" s="396"/>
      <c r="W328" s="396"/>
      <c r="X328" s="396"/>
      <c r="Y328" s="396"/>
      <c r="Z328" s="396"/>
    </row>
    <row r="329" spans="2:26" ht="13.5" customHeight="1">
      <c r="B329" s="2439" t="s">
        <v>594</v>
      </c>
      <c r="C329" s="2513"/>
      <c r="D329" s="2513"/>
      <c r="E329" s="2523"/>
      <c r="F329" s="2502">
        <v>0</v>
      </c>
      <c r="G329" s="2523">
        <v>2</v>
      </c>
      <c r="H329" s="2523"/>
      <c r="I329" s="2513"/>
      <c r="J329" s="2502">
        <v>2</v>
      </c>
      <c r="K329" s="2524">
        <v>1</v>
      </c>
      <c r="L329" s="2524">
        <v>6</v>
      </c>
      <c r="M329" s="2513"/>
      <c r="N329" s="2502">
        <v>7</v>
      </c>
      <c r="O329" s="396"/>
      <c r="P329" s="396"/>
      <c r="Q329" s="396"/>
      <c r="R329" s="396"/>
      <c r="S329" s="396"/>
      <c r="T329" s="396"/>
      <c r="U329" s="396"/>
      <c r="V329" s="396"/>
      <c r="W329" s="396"/>
      <c r="X329" s="396"/>
      <c r="Y329" s="396"/>
      <c r="Z329" s="396"/>
    </row>
    <row r="330" spans="2:26" ht="13.5" customHeight="1">
      <c r="B330" s="2439" t="s">
        <v>595</v>
      </c>
      <c r="C330" s="2513"/>
      <c r="D330" s="2513"/>
      <c r="E330" s="2523">
        <v>1</v>
      </c>
      <c r="F330" s="2502">
        <v>1</v>
      </c>
      <c r="G330" s="2523">
        <v>8</v>
      </c>
      <c r="H330" s="2523">
        <v>1</v>
      </c>
      <c r="I330" s="2513"/>
      <c r="J330" s="2502">
        <v>9</v>
      </c>
      <c r="K330" s="2524">
        <v>1</v>
      </c>
      <c r="L330" s="2524">
        <v>8</v>
      </c>
      <c r="M330" s="2513"/>
      <c r="N330" s="2502">
        <v>9</v>
      </c>
      <c r="O330" s="396"/>
      <c r="P330" s="396"/>
      <c r="Q330" s="396"/>
      <c r="R330" s="396"/>
      <c r="S330" s="396"/>
      <c r="T330" s="396"/>
      <c r="U330" s="396"/>
      <c r="V330" s="396"/>
      <c r="W330" s="396"/>
      <c r="X330" s="396"/>
      <c r="Y330" s="396"/>
      <c r="Z330" s="396"/>
    </row>
    <row r="331" spans="2:26" ht="13.5" customHeight="1">
      <c r="B331" s="2439" t="s">
        <v>596</v>
      </c>
      <c r="C331" s="2513"/>
      <c r="D331" s="2513"/>
      <c r="E331" s="2523">
        <v>1</v>
      </c>
      <c r="F331" s="2502">
        <v>1</v>
      </c>
      <c r="G331" s="2523">
        <v>15</v>
      </c>
      <c r="H331" s="2523"/>
      <c r="I331" s="2513"/>
      <c r="J331" s="2502">
        <v>15</v>
      </c>
      <c r="K331" s="2524">
        <v>1</v>
      </c>
      <c r="L331" s="2524">
        <v>2</v>
      </c>
      <c r="M331" s="2513"/>
      <c r="N331" s="2502">
        <v>3</v>
      </c>
      <c r="O331" s="396"/>
      <c r="P331" s="396"/>
      <c r="Q331" s="396"/>
      <c r="R331" s="396"/>
      <c r="S331" s="396"/>
      <c r="T331" s="396"/>
      <c r="U331" s="396"/>
      <c r="V331" s="396"/>
      <c r="W331" s="396"/>
      <c r="X331" s="396"/>
      <c r="Y331" s="396"/>
      <c r="Z331" s="396"/>
    </row>
    <row r="332" spans="2:26" ht="13.5" customHeight="1">
      <c r="B332" s="2439" t="s">
        <v>602</v>
      </c>
      <c r="C332" s="2513"/>
      <c r="D332" s="2513"/>
      <c r="E332" s="2523"/>
      <c r="F332" s="2502">
        <v>0</v>
      </c>
      <c r="G332" s="2523">
        <v>2</v>
      </c>
      <c r="H332" s="2523"/>
      <c r="I332" s="2513"/>
      <c r="J332" s="2502">
        <v>2</v>
      </c>
      <c r="K332" s="2524"/>
      <c r="L332" s="2524"/>
      <c r="M332" s="2513"/>
      <c r="N332" s="2502"/>
      <c r="O332" s="396"/>
      <c r="P332" s="396"/>
      <c r="Q332" s="396"/>
      <c r="R332" s="396"/>
      <c r="S332" s="396"/>
      <c r="T332" s="396"/>
      <c r="U332" s="396"/>
      <c r="V332" s="396"/>
      <c r="W332" s="396"/>
      <c r="X332" s="396"/>
      <c r="Y332" s="396"/>
      <c r="Z332" s="396"/>
    </row>
    <row r="333" spans="2:26" ht="13.5" customHeight="1">
      <c r="B333" s="2439" t="s">
        <v>598</v>
      </c>
      <c r="C333" s="2513"/>
      <c r="D333" s="2513"/>
      <c r="E333" s="2523">
        <v>1</v>
      </c>
      <c r="F333" s="2502">
        <v>1</v>
      </c>
      <c r="G333" s="2523">
        <v>9</v>
      </c>
      <c r="H333" s="2523"/>
      <c r="I333" s="2513"/>
      <c r="J333" s="2502">
        <v>9</v>
      </c>
      <c r="K333" s="2524">
        <v>5</v>
      </c>
      <c r="L333" s="2524">
        <v>7</v>
      </c>
      <c r="M333" s="2513"/>
      <c r="N333" s="2502">
        <v>12</v>
      </c>
      <c r="O333" s="396"/>
      <c r="P333" s="396"/>
      <c r="Q333" s="396"/>
      <c r="R333" s="396"/>
      <c r="S333" s="396"/>
      <c r="T333" s="396"/>
      <c r="U333" s="396"/>
      <c r="V333" s="396"/>
      <c r="W333" s="396"/>
      <c r="X333" s="396"/>
      <c r="Y333" s="396"/>
      <c r="Z333" s="396"/>
    </row>
    <row r="334" spans="2:26" ht="13.5" customHeight="1">
      <c r="B334" s="2439" t="s">
        <v>599</v>
      </c>
      <c r="C334" s="2513"/>
      <c r="D334" s="2513"/>
      <c r="E334" s="2523">
        <v>3</v>
      </c>
      <c r="F334" s="2502">
        <v>3</v>
      </c>
      <c r="G334" s="2523">
        <v>27</v>
      </c>
      <c r="H334" s="2523"/>
      <c r="I334" s="2513"/>
      <c r="J334" s="2502">
        <v>27</v>
      </c>
      <c r="K334" s="2524">
        <v>18</v>
      </c>
      <c r="L334" s="2524">
        <v>8</v>
      </c>
      <c r="M334" s="2513"/>
      <c r="N334" s="2502">
        <v>26</v>
      </c>
      <c r="O334" s="396"/>
      <c r="P334" s="396"/>
      <c r="Q334" s="396"/>
      <c r="R334" s="396"/>
      <c r="S334" s="396"/>
      <c r="T334" s="396"/>
      <c r="U334" s="396"/>
      <c r="V334" s="396"/>
      <c r="W334" s="396"/>
      <c r="X334" s="396"/>
      <c r="Y334" s="396"/>
      <c r="Z334" s="396"/>
    </row>
    <row r="335" spans="2:26" ht="13.5" customHeight="1">
      <c r="B335" s="2439" t="s">
        <v>600</v>
      </c>
      <c r="C335" s="2513"/>
      <c r="D335" s="2513"/>
      <c r="E335" s="2523">
        <v>2</v>
      </c>
      <c r="F335" s="2502">
        <v>2</v>
      </c>
      <c r="G335" s="2523">
        <v>12</v>
      </c>
      <c r="H335" s="2523">
        <v>1</v>
      </c>
      <c r="I335" s="2513"/>
      <c r="J335" s="2502">
        <v>13</v>
      </c>
      <c r="K335" s="2524">
        <v>2</v>
      </c>
      <c r="L335" s="2524">
        <v>10</v>
      </c>
      <c r="M335" s="2513"/>
      <c r="N335" s="2502">
        <v>12</v>
      </c>
      <c r="O335" s="396"/>
      <c r="P335" s="396"/>
      <c r="Q335" s="396"/>
      <c r="R335" s="396"/>
      <c r="S335" s="396"/>
      <c r="T335" s="396"/>
      <c r="U335" s="396"/>
      <c r="V335" s="396"/>
      <c r="W335" s="396"/>
      <c r="X335" s="396"/>
      <c r="Y335" s="396"/>
      <c r="Z335" s="396"/>
    </row>
    <row r="336" spans="2:26" ht="13.5" customHeight="1">
      <c r="B336" s="2439" t="s">
        <v>601</v>
      </c>
      <c r="C336" s="2513"/>
      <c r="D336" s="2513"/>
      <c r="E336" s="2523">
        <v>9</v>
      </c>
      <c r="F336" s="2502">
        <v>9</v>
      </c>
      <c r="G336" s="2523">
        <v>143</v>
      </c>
      <c r="H336" s="2523">
        <v>6</v>
      </c>
      <c r="I336" s="2513"/>
      <c r="J336" s="2502">
        <v>149</v>
      </c>
      <c r="K336" s="2524">
        <v>26</v>
      </c>
      <c r="L336" s="2524">
        <v>23</v>
      </c>
      <c r="M336" s="2513"/>
      <c r="N336" s="2502">
        <v>49</v>
      </c>
      <c r="O336" s="396"/>
      <c r="P336" s="396"/>
      <c r="Q336" s="396"/>
      <c r="R336" s="396"/>
      <c r="S336" s="396"/>
      <c r="T336" s="396"/>
      <c r="U336" s="396"/>
      <c r="V336" s="396"/>
      <c r="W336" s="396"/>
      <c r="X336" s="396"/>
      <c r="Y336" s="396"/>
      <c r="Z336" s="396"/>
    </row>
    <row r="337" spans="2:26" ht="13.5" customHeight="1">
      <c r="B337" s="2512" t="s">
        <v>118</v>
      </c>
      <c r="C337" s="2508"/>
      <c r="D337" s="2508"/>
      <c r="E337" s="2508">
        <f>SUM(E328:E336)</f>
        <v>18</v>
      </c>
      <c r="F337" s="2508">
        <f t="shared" ref="F337:N337" si="18">SUM(F328:F336)</f>
        <v>18</v>
      </c>
      <c r="G337" s="2508">
        <f t="shared" si="18"/>
        <v>240</v>
      </c>
      <c r="H337" s="2508">
        <f t="shared" si="18"/>
        <v>8</v>
      </c>
      <c r="I337" s="2508">
        <f t="shared" si="18"/>
        <v>0</v>
      </c>
      <c r="J337" s="2508">
        <f t="shared" si="18"/>
        <v>248</v>
      </c>
      <c r="K337" s="2508">
        <f t="shared" si="18"/>
        <v>56</v>
      </c>
      <c r="L337" s="2508">
        <f t="shared" si="18"/>
        <v>67</v>
      </c>
      <c r="M337" s="2508">
        <f t="shared" si="18"/>
        <v>0</v>
      </c>
      <c r="N337" s="2508">
        <f t="shared" si="18"/>
        <v>123</v>
      </c>
      <c r="O337" s="396"/>
      <c r="P337" s="396"/>
      <c r="Q337" s="396"/>
      <c r="R337" s="396"/>
      <c r="S337" s="396"/>
      <c r="T337" s="396"/>
      <c r="U337" s="396"/>
      <c r="V337" s="396"/>
      <c r="W337" s="396"/>
      <c r="X337" s="396"/>
      <c r="Y337" s="396"/>
      <c r="Z337" s="396"/>
    </row>
    <row r="340" spans="2:26" ht="13.5" customHeight="1">
      <c r="B340" s="2522" t="s">
        <v>110</v>
      </c>
    </row>
    <row r="341" spans="2:26" ht="13.5" customHeight="1">
      <c r="B341" s="3544" t="s">
        <v>586</v>
      </c>
      <c r="C341" s="3521" t="s">
        <v>587</v>
      </c>
      <c r="D341" s="3521"/>
      <c r="E341" s="3521"/>
      <c r="F341" s="3521"/>
      <c r="G341" s="3496" t="s">
        <v>588</v>
      </c>
      <c r="H341" s="3496"/>
      <c r="I341" s="3496"/>
      <c r="J341" s="3496"/>
      <c r="K341" s="3526" t="s">
        <v>589</v>
      </c>
      <c r="L341" s="3527"/>
      <c r="M341" s="3527"/>
      <c r="N341" s="3528"/>
    </row>
    <row r="342" spans="2:26" ht="13.5" customHeight="1">
      <c r="B342" s="3532"/>
      <c r="C342" s="3521"/>
      <c r="D342" s="3521"/>
      <c r="E342" s="3521"/>
      <c r="F342" s="3521"/>
      <c r="G342" s="3496"/>
      <c r="H342" s="3496"/>
      <c r="I342" s="3496"/>
      <c r="J342" s="3496"/>
      <c r="K342" s="3529"/>
      <c r="L342" s="3530"/>
      <c r="M342" s="3530"/>
      <c r="N342" s="3531"/>
    </row>
    <row r="343" spans="2:26" ht="13.5" customHeight="1">
      <c r="B343" s="3533"/>
      <c r="C343" s="2492" t="s">
        <v>590</v>
      </c>
      <c r="D343" s="2492" t="s">
        <v>591</v>
      </c>
      <c r="E343" s="2492" t="s">
        <v>592</v>
      </c>
      <c r="F343" s="2509" t="s">
        <v>118</v>
      </c>
      <c r="G343" s="2492" t="s">
        <v>590</v>
      </c>
      <c r="H343" s="2492" t="s">
        <v>591</v>
      </c>
      <c r="I343" s="2492" t="s">
        <v>592</v>
      </c>
      <c r="J343" s="2509" t="s">
        <v>118</v>
      </c>
      <c r="K343" s="2492" t="s">
        <v>590</v>
      </c>
      <c r="L343" s="2492" t="s">
        <v>591</v>
      </c>
      <c r="M343" s="2492" t="s">
        <v>592</v>
      </c>
      <c r="N343" s="2509" t="s">
        <v>118</v>
      </c>
    </row>
    <row r="344" spans="2:26" ht="13.5" customHeight="1">
      <c r="B344" s="2439" t="s">
        <v>593</v>
      </c>
      <c r="C344" s="2525">
        <v>4</v>
      </c>
      <c r="D344" s="2515"/>
      <c r="E344" s="2515"/>
      <c r="F344" s="2502">
        <v>4</v>
      </c>
      <c r="G344" s="2526">
        <v>7</v>
      </c>
      <c r="H344" s="2515"/>
      <c r="I344" s="2513"/>
      <c r="J344" s="2502">
        <v>7</v>
      </c>
      <c r="K344" s="2513"/>
      <c r="L344" s="2515"/>
      <c r="M344" s="2513"/>
      <c r="N344" s="2502">
        <v>0</v>
      </c>
      <c r="O344" s="396"/>
      <c r="P344" s="396"/>
      <c r="Q344" s="396"/>
      <c r="R344" s="396"/>
      <c r="S344" s="396"/>
      <c r="T344" s="396"/>
      <c r="U344" s="396"/>
      <c r="V344" s="396"/>
      <c r="W344" s="396"/>
      <c r="X344" s="396"/>
      <c r="Y344" s="396"/>
      <c r="Z344" s="396"/>
    </row>
    <row r="345" spans="2:26" ht="13.5" customHeight="1">
      <c r="B345" s="2439" t="s">
        <v>594</v>
      </c>
      <c r="C345" s="2526">
        <v>2</v>
      </c>
      <c r="D345" s="2515"/>
      <c r="E345" s="2515"/>
      <c r="F345" s="2502">
        <v>2</v>
      </c>
      <c r="G345" s="2526">
        <v>2</v>
      </c>
      <c r="H345" s="2515"/>
      <c r="I345" s="2513"/>
      <c r="J345" s="2502">
        <v>2</v>
      </c>
      <c r="K345" s="2513"/>
      <c r="L345" s="2515"/>
      <c r="M345" s="2513"/>
      <c r="N345" s="2502">
        <v>0</v>
      </c>
      <c r="O345" s="396"/>
      <c r="P345" s="396"/>
      <c r="Q345" s="396"/>
      <c r="R345" s="396"/>
      <c r="S345" s="396"/>
      <c r="T345" s="396"/>
      <c r="U345" s="396"/>
      <c r="V345" s="396"/>
      <c r="W345" s="396"/>
      <c r="X345" s="396"/>
      <c r="Y345" s="396"/>
      <c r="Z345" s="396"/>
    </row>
    <row r="346" spans="2:26" ht="13.5" customHeight="1">
      <c r="B346" s="2439" t="s">
        <v>595</v>
      </c>
      <c r="C346" s="2526">
        <v>3</v>
      </c>
      <c r="D346" s="2515"/>
      <c r="E346" s="2515"/>
      <c r="F346" s="2502">
        <v>3</v>
      </c>
      <c r="G346" s="2526">
        <v>12</v>
      </c>
      <c r="H346" s="2515"/>
      <c r="I346" s="2513"/>
      <c r="J346" s="2502">
        <v>12</v>
      </c>
      <c r="K346" s="2513"/>
      <c r="L346" s="2515"/>
      <c r="M346" s="2513"/>
      <c r="N346" s="2502">
        <v>0</v>
      </c>
      <c r="O346" s="396"/>
      <c r="P346" s="396"/>
      <c r="Q346" s="396"/>
      <c r="R346" s="396"/>
      <c r="S346" s="396"/>
      <c r="T346" s="396"/>
      <c r="U346" s="396"/>
      <c r="V346" s="396"/>
      <c r="W346" s="396"/>
      <c r="X346" s="396"/>
      <c r="Y346" s="396"/>
      <c r="Z346" s="396"/>
    </row>
    <row r="347" spans="2:26" ht="13.5" customHeight="1">
      <c r="B347" s="2439" t="s">
        <v>596</v>
      </c>
      <c r="C347" s="2526">
        <v>3</v>
      </c>
      <c r="D347" s="2515"/>
      <c r="E347" s="2515"/>
      <c r="F347" s="2502">
        <v>3</v>
      </c>
      <c r="G347" s="2526">
        <v>5</v>
      </c>
      <c r="H347" s="2515"/>
      <c r="I347" s="2513"/>
      <c r="J347" s="2502">
        <v>5</v>
      </c>
      <c r="K347" s="2513"/>
      <c r="L347" s="2515"/>
      <c r="M347" s="2513"/>
      <c r="N347" s="2502">
        <v>0</v>
      </c>
      <c r="O347" s="396"/>
      <c r="P347" s="396"/>
      <c r="Q347" s="396"/>
      <c r="R347" s="396"/>
      <c r="S347" s="396"/>
      <c r="T347" s="396"/>
      <c r="U347" s="396"/>
      <c r="V347" s="396"/>
      <c r="W347" s="396"/>
      <c r="X347" s="396"/>
      <c r="Y347" s="396"/>
      <c r="Z347" s="396"/>
    </row>
    <row r="348" spans="2:26" ht="13.5" customHeight="1">
      <c r="B348" s="2439" t="s">
        <v>602</v>
      </c>
      <c r="C348" s="2526">
        <v>4</v>
      </c>
      <c r="D348" s="2515"/>
      <c r="E348" s="2515"/>
      <c r="F348" s="2502">
        <v>4</v>
      </c>
      <c r="G348" s="2526">
        <v>2</v>
      </c>
      <c r="H348" s="2515"/>
      <c r="I348" s="2513"/>
      <c r="J348" s="2502">
        <v>2</v>
      </c>
      <c r="K348" s="2513"/>
      <c r="L348" s="2515"/>
      <c r="M348" s="2513"/>
      <c r="N348" s="2502">
        <v>0</v>
      </c>
      <c r="O348" s="396"/>
      <c r="P348" s="396"/>
      <c r="Q348" s="396"/>
      <c r="R348" s="396"/>
      <c r="S348" s="396"/>
      <c r="T348" s="396"/>
      <c r="U348" s="396"/>
      <c r="V348" s="396"/>
      <c r="W348" s="396"/>
      <c r="X348" s="396"/>
      <c r="Y348" s="396"/>
      <c r="Z348" s="396"/>
    </row>
    <row r="349" spans="2:26" ht="13.5" customHeight="1">
      <c r="B349" s="2439" t="s">
        <v>598</v>
      </c>
      <c r="C349" s="2526">
        <v>3</v>
      </c>
      <c r="D349" s="2515"/>
      <c r="E349" s="2515"/>
      <c r="F349" s="2502">
        <v>3</v>
      </c>
      <c r="G349" s="2526">
        <v>4</v>
      </c>
      <c r="H349" s="2515"/>
      <c r="I349" s="2513"/>
      <c r="J349" s="2502">
        <v>4</v>
      </c>
      <c r="K349" s="2513"/>
      <c r="L349" s="2515"/>
      <c r="M349" s="2513"/>
      <c r="N349" s="2502">
        <v>0</v>
      </c>
      <c r="O349" s="396"/>
      <c r="P349" s="396"/>
      <c r="Q349" s="396"/>
      <c r="R349" s="396"/>
      <c r="S349" s="396"/>
      <c r="T349" s="396"/>
      <c r="U349" s="396"/>
      <c r="V349" s="396"/>
      <c r="W349" s="396"/>
      <c r="X349" s="396"/>
      <c r="Y349" s="396"/>
      <c r="Z349" s="396"/>
    </row>
    <row r="350" spans="2:26" ht="13.5" customHeight="1">
      <c r="B350" s="2439" t="s">
        <v>599</v>
      </c>
      <c r="C350" s="2526">
        <v>5</v>
      </c>
      <c r="D350" s="2515"/>
      <c r="E350" s="2515"/>
      <c r="F350" s="2502">
        <v>5</v>
      </c>
      <c r="G350" s="2526">
        <v>19</v>
      </c>
      <c r="H350" s="2515"/>
      <c r="I350" s="2513"/>
      <c r="J350" s="2502">
        <v>19</v>
      </c>
      <c r="K350" s="2513"/>
      <c r="L350" s="2515"/>
      <c r="M350" s="2513"/>
      <c r="N350" s="2502">
        <v>0</v>
      </c>
      <c r="O350" s="396"/>
      <c r="P350" s="396"/>
      <c r="Q350" s="396"/>
      <c r="R350" s="396"/>
      <c r="S350" s="396"/>
      <c r="T350" s="396"/>
      <c r="U350" s="396"/>
      <c r="V350" s="396"/>
      <c r="W350" s="396"/>
      <c r="X350" s="396"/>
      <c r="Y350" s="396"/>
      <c r="Z350" s="396"/>
    </row>
    <row r="351" spans="2:26" ht="13.5" customHeight="1">
      <c r="B351" s="2439" t="s">
        <v>600</v>
      </c>
      <c r="C351" s="2526">
        <v>3</v>
      </c>
      <c r="D351" s="2515"/>
      <c r="E351" s="2515"/>
      <c r="F351" s="2502">
        <v>3</v>
      </c>
      <c r="G351" s="2526">
        <v>3</v>
      </c>
      <c r="H351" s="2515"/>
      <c r="I351" s="2513"/>
      <c r="J351" s="2502">
        <v>3</v>
      </c>
      <c r="K351" s="2513"/>
      <c r="L351" s="2515"/>
      <c r="M351" s="2513"/>
      <c r="N351" s="2502">
        <v>0</v>
      </c>
      <c r="O351" s="396"/>
      <c r="P351" s="396"/>
      <c r="Q351" s="396"/>
      <c r="R351" s="396"/>
      <c r="S351" s="396"/>
      <c r="T351" s="396"/>
      <c r="U351" s="396"/>
      <c r="V351" s="396"/>
      <c r="W351" s="396"/>
      <c r="X351" s="396"/>
      <c r="Y351" s="396"/>
      <c r="Z351" s="396"/>
    </row>
    <row r="352" spans="2:26" ht="13.5" customHeight="1">
      <c r="B352" s="2439" t="s">
        <v>601</v>
      </c>
      <c r="C352" s="2526">
        <v>3</v>
      </c>
      <c r="D352" s="2515"/>
      <c r="E352" s="2515"/>
      <c r="F352" s="2502">
        <v>3</v>
      </c>
      <c r="G352" s="2526">
        <v>196</v>
      </c>
      <c r="H352" s="2515"/>
      <c r="I352" s="2513"/>
      <c r="J352" s="2502">
        <v>196</v>
      </c>
      <c r="K352" s="2513"/>
      <c r="L352" s="2515"/>
      <c r="M352" s="2513"/>
      <c r="N352" s="2502">
        <v>0</v>
      </c>
      <c r="O352" s="396"/>
      <c r="P352" s="396"/>
      <c r="Q352" s="396"/>
      <c r="R352" s="396"/>
      <c r="S352" s="396"/>
      <c r="T352" s="396"/>
      <c r="U352" s="396"/>
      <c r="V352" s="396"/>
      <c r="W352" s="396"/>
      <c r="X352" s="396"/>
      <c r="Y352" s="396"/>
      <c r="Z352" s="396"/>
    </row>
    <row r="353" spans="2:26" ht="13.5" customHeight="1">
      <c r="B353" s="2512" t="s">
        <v>118</v>
      </c>
      <c r="C353" s="2508">
        <v>30</v>
      </c>
      <c r="D353" s="2508">
        <v>0</v>
      </c>
      <c r="E353" s="2508">
        <v>0</v>
      </c>
      <c r="F353" s="2508">
        <v>30</v>
      </c>
      <c r="G353" s="2508">
        <v>250</v>
      </c>
      <c r="H353" s="2508">
        <v>0</v>
      </c>
      <c r="I353" s="2508">
        <v>0</v>
      </c>
      <c r="J353" s="2508">
        <v>250</v>
      </c>
      <c r="K353" s="2508">
        <v>0</v>
      </c>
      <c r="L353" s="2508">
        <v>0</v>
      </c>
      <c r="M353" s="2508">
        <v>0</v>
      </c>
      <c r="N353" s="2508">
        <v>0</v>
      </c>
      <c r="O353" s="396"/>
      <c r="P353" s="396"/>
      <c r="Q353" s="396"/>
      <c r="R353" s="396"/>
      <c r="S353" s="396"/>
      <c r="T353" s="396"/>
      <c r="U353" s="396"/>
      <c r="V353" s="396"/>
      <c r="W353" s="396"/>
      <c r="X353" s="396"/>
      <c r="Y353" s="396"/>
      <c r="Z353" s="396"/>
    </row>
    <row r="355" spans="2:26" ht="13.5" customHeight="1">
      <c r="N355" s="292">
        <v>177</v>
      </c>
    </row>
    <row r="357" spans="2:26" ht="13.5" customHeight="1">
      <c r="B357" s="1611" t="s">
        <v>111</v>
      </c>
    </row>
    <row r="358" spans="2:26" ht="13.5" customHeight="1">
      <c r="B358" s="3518" t="s">
        <v>586</v>
      </c>
      <c r="C358" s="3520" t="s">
        <v>587</v>
      </c>
      <c r="D358" s="3521"/>
      <c r="E358" s="3521"/>
      <c r="F358" s="3521"/>
      <c r="G358" s="3496" t="s">
        <v>588</v>
      </c>
      <c r="H358" s="3496"/>
      <c r="I358" s="3496"/>
      <c r="J358" s="3496"/>
      <c r="K358" s="3526" t="s">
        <v>589</v>
      </c>
      <c r="L358" s="3527"/>
      <c r="M358" s="3527"/>
      <c r="N358" s="3528"/>
    </row>
    <row r="359" spans="2:26" ht="13.5" customHeight="1">
      <c r="B359" s="3525"/>
      <c r="C359" s="3520"/>
      <c r="D359" s="3521"/>
      <c r="E359" s="3521"/>
      <c r="F359" s="3521"/>
      <c r="G359" s="3496"/>
      <c r="H359" s="3496"/>
      <c r="I359" s="3496"/>
      <c r="J359" s="3496"/>
      <c r="K359" s="3529"/>
      <c r="L359" s="3530"/>
      <c r="M359" s="3530"/>
      <c r="N359" s="3531"/>
    </row>
    <row r="360" spans="2:26" ht="13.5" customHeight="1">
      <c r="B360" s="3519"/>
      <c r="C360" s="2491" t="s">
        <v>590</v>
      </c>
      <c r="D360" s="2492" t="s">
        <v>591</v>
      </c>
      <c r="E360" s="2492" t="s">
        <v>592</v>
      </c>
      <c r="F360" s="2509" t="s">
        <v>118</v>
      </c>
      <c r="G360" s="2492" t="s">
        <v>590</v>
      </c>
      <c r="H360" s="2492" t="s">
        <v>591</v>
      </c>
      <c r="I360" s="2492" t="s">
        <v>592</v>
      </c>
      <c r="J360" s="2509" t="s">
        <v>118</v>
      </c>
      <c r="K360" s="2492" t="s">
        <v>590</v>
      </c>
      <c r="L360" s="2492" t="s">
        <v>591</v>
      </c>
      <c r="M360" s="2492" t="s">
        <v>592</v>
      </c>
      <c r="N360" s="2509" t="s">
        <v>118</v>
      </c>
    </row>
    <row r="361" spans="2:26" ht="13.5" customHeight="1">
      <c r="B361" s="1613" t="s">
        <v>593</v>
      </c>
      <c r="C361" s="2527">
        <v>3</v>
      </c>
      <c r="D361" s="2515"/>
      <c r="E361" s="2515"/>
      <c r="F361" s="2502">
        <v>3</v>
      </c>
      <c r="G361" s="2526">
        <v>24</v>
      </c>
      <c r="H361" s="2515"/>
      <c r="I361" s="2513"/>
      <c r="J361" s="2502">
        <v>24</v>
      </c>
      <c r="K361" s="2526"/>
      <c r="L361" s="2515"/>
      <c r="M361" s="2513"/>
      <c r="N361" s="2502"/>
      <c r="O361" s="396"/>
      <c r="P361" s="396"/>
      <c r="Q361" s="396"/>
      <c r="R361" s="396"/>
      <c r="S361" s="396"/>
      <c r="T361" s="396"/>
      <c r="U361" s="396"/>
      <c r="V361" s="396"/>
      <c r="W361" s="396"/>
      <c r="X361" s="396"/>
      <c r="Y361" s="396"/>
      <c r="Z361" s="396"/>
    </row>
    <row r="362" spans="2:26" ht="13.5" customHeight="1">
      <c r="B362" s="2439" t="s">
        <v>594</v>
      </c>
      <c r="C362" s="2528">
        <v>1</v>
      </c>
      <c r="D362" s="2515"/>
      <c r="E362" s="2515"/>
      <c r="F362" s="2502">
        <v>1</v>
      </c>
      <c r="G362" s="2526">
        <v>2</v>
      </c>
      <c r="H362" s="2515"/>
      <c r="I362" s="2513"/>
      <c r="J362" s="2502">
        <v>2</v>
      </c>
      <c r="K362" s="2526"/>
      <c r="L362" s="2515"/>
      <c r="M362" s="2513"/>
      <c r="N362" s="2502"/>
      <c r="O362" s="396"/>
      <c r="P362" s="396"/>
      <c r="Q362" s="396"/>
      <c r="R362" s="396"/>
      <c r="S362" s="396"/>
      <c r="T362" s="396"/>
      <c r="U362" s="396"/>
      <c r="V362" s="396"/>
      <c r="W362" s="396"/>
      <c r="X362" s="396"/>
      <c r="Y362" s="396"/>
      <c r="Z362" s="396"/>
    </row>
    <row r="363" spans="2:26" ht="13.5" customHeight="1">
      <c r="B363" s="2439" t="s">
        <v>595</v>
      </c>
      <c r="C363" s="2528">
        <v>2</v>
      </c>
      <c r="D363" s="2515"/>
      <c r="E363" s="2515"/>
      <c r="F363" s="2502">
        <v>2</v>
      </c>
      <c r="G363" s="2526"/>
      <c r="H363" s="2515"/>
      <c r="I363" s="2513"/>
      <c r="J363" s="2502">
        <v>0</v>
      </c>
      <c r="K363" s="2526"/>
      <c r="L363" s="2515"/>
      <c r="M363" s="2513"/>
      <c r="N363" s="2502"/>
      <c r="O363" s="396"/>
      <c r="P363" s="396"/>
      <c r="Q363" s="396"/>
      <c r="R363" s="396"/>
      <c r="S363" s="396"/>
      <c r="T363" s="396"/>
      <c r="U363" s="396"/>
      <c r="V363" s="396"/>
      <c r="W363" s="396"/>
      <c r="X363" s="396"/>
      <c r="Y363" s="396"/>
      <c r="Z363" s="396"/>
    </row>
    <row r="364" spans="2:26" ht="13.5" customHeight="1">
      <c r="B364" s="2439" t="s">
        <v>596</v>
      </c>
      <c r="C364" s="2528">
        <v>6</v>
      </c>
      <c r="D364" s="2515"/>
      <c r="E364" s="2515"/>
      <c r="F364" s="2502">
        <v>6</v>
      </c>
      <c r="G364" s="2526">
        <v>7</v>
      </c>
      <c r="H364" s="2515"/>
      <c r="I364" s="2513"/>
      <c r="J364" s="2502">
        <v>7</v>
      </c>
      <c r="K364" s="2526">
        <v>3</v>
      </c>
      <c r="L364" s="2515"/>
      <c r="M364" s="2513"/>
      <c r="N364" s="2502">
        <v>3</v>
      </c>
      <c r="O364" s="396"/>
      <c r="P364" s="396"/>
      <c r="Q364" s="396"/>
      <c r="R364" s="396"/>
      <c r="S364" s="396"/>
      <c r="T364" s="396"/>
      <c r="U364" s="396"/>
      <c r="V364" s="396"/>
      <c r="W364" s="396"/>
      <c r="X364" s="396"/>
      <c r="Y364" s="396"/>
      <c r="Z364" s="396"/>
    </row>
    <row r="365" spans="2:26" ht="13.5" customHeight="1">
      <c r="B365" s="2439" t="s">
        <v>602</v>
      </c>
      <c r="C365" s="2528">
        <v>0</v>
      </c>
      <c r="D365" s="2515"/>
      <c r="E365" s="2515"/>
      <c r="F365" s="2502">
        <v>0</v>
      </c>
      <c r="G365" s="2526">
        <v>41</v>
      </c>
      <c r="H365" s="2515"/>
      <c r="I365" s="2513"/>
      <c r="J365" s="2502">
        <v>41</v>
      </c>
      <c r="K365" s="2526"/>
      <c r="L365" s="2515"/>
      <c r="M365" s="2513"/>
      <c r="N365" s="2502"/>
      <c r="O365" s="396"/>
      <c r="P365" s="396"/>
      <c r="Q365" s="396"/>
      <c r="R365" s="396"/>
      <c r="S365" s="396"/>
      <c r="T365" s="396"/>
      <c r="U365" s="396"/>
      <c r="V365" s="396"/>
      <c r="W365" s="396"/>
      <c r="X365" s="396"/>
      <c r="Y365" s="396"/>
      <c r="Z365" s="396"/>
    </row>
    <row r="366" spans="2:26" ht="13.5" customHeight="1">
      <c r="B366" s="2439" t="s">
        <v>598</v>
      </c>
      <c r="C366" s="2528">
        <v>3</v>
      </c>
      <c r="D366" s="2515"/>
      <c r="E366" s="2515"/>
      <c r="F366" s="2502">
        <v>3</v>
      </c>
      <c r="G366" s="2526"/>
      <c r="H366" s="2515"/>
      <c r="I366" s="2513"/>
      <c r="J366" s="2502">
        <v>0</v>
      </c>
      <c r="K366" s="2526">
        <v>10</v>
      </c>
      <c r="L366" s="2515"/>
      <c r="M366" s="2513"/>
      <c r="N366" s="2502">
        <v>10</v>
      </c>
      <c r="O366" s="396"/>
      <c r="P366" s="396"/>
      <c r="Q366" s="396"/>
      <c r="R366" s="396"/>
      <c r="S366" s="396"/>
      <c r="T366" s="396"/>
      <c r="U366" s="396"/>
      <c r="V366" s="396"/>
      <c r="W366" s="396"/>
      <c r="X366" s="396"/>
      <c r="Y366" s="396"/>
      <c r="Z366" s="396"/>
    </row>
    <row r="367" spans="2:26" ht="13.5" customHeight="1">
      <c r="B367" s="2439" t="s">
        <v>599</v>
      </c>
      <c r="C367" s="2528">
        <v>2</v>
      </c>
      <c r="D367" s="2515"/>
      <c r="E367" s="2515"/>
      <c r="F367" s="2502">
        <v>2</v>
      </c>
      <c r="G367" s="2526">
        <v>32</v>
      </c>
      <c r="H367" s="2515"/>
      <c r="I367" s="2513"/>
      <c r="J367" s="2502">
        <v>32</v>
      </c>
      <c r="K367" s="2526">
        <v>4</v>
      </c>
      <c r="L367" s="2515"/>
      <c r="M367" s="2513"/>
      <c r="N367" s="2502">
        <v>4</v>
      </c>
      <c r="O367" s="396"/>
      <c r="P367" s="396"/>
      <c r="Q367" s="396"/>
      <c r="R367" s="396"/>
      <c r="S367" s="396"/>
      <c r="T367" s="396"/>
      <c r="U367" s="396"/>
      <c r="V367" s="396"/>
      <c r="W367" s="396"/>
      <c r="X367" s="396"/>
      <c r="Y367" s="396"/>
      <c r="Z367" s="396"/>
    </row>
    <row r="368" spans="2:26" ht="13.5" customHeight="1">
      <c r="B368" s="2439" t="s">
        <v>600</v>
      </c>
      <c r="C368" s="2528">
        <v>1</v>
      </c>
      <c r="D368" s="2515"/>
      <c r="E368" s="2515"/>
      <c r="F368" s="2502">
        <v>1</v>
      </c>
      <c r="G368" s="2526"/>
      <c r="H368" s="2515"/>
      <c r="I368" s="2513"/>
      <c r="J368" s="2502">
        <v>0</v>
      </c>
      <c r="K368" s="2526"/>
      <c r="L368" s="2515"/>
      <c r="M368" s="2513"/>
      <c r="N368" s="2502"/>
      <c r="O368" s="396"/>
      <c r="P368" s="396"/>
      <c r="Q368" s="396"/>
      <c r="R368" s="396"/>
      <c r="S368" s="396"/>
      <c r="T368" s="396"/>
      <c r="U368" s="396"/>
      <c r="V368" s="396"/>
      <c r="W368" s="396"/>
      <c r="X368" s="396"/>
      <c r="Y368" s="396"/>
      <c r="Z368" s="396"/>
    </row>
    <row r="369" spans="1:26" ht="13.5" customHeight="1">
      <c r="B369" s="2439" t="s">
        <v>601</v>
      </c>
      <c r="C369" s="2528">
        <v>9</v>
      </c>
      <c r="D369" s="2515"/>
      <c r="E369" s="2515"/>
      <c r="F369" s="2502">
        <v>9</v>
      </c>
      <c r="G369" s="2526">
        <v>176</v>
      </c>
      <c r="H369" s="2515"/>
      <c r="I369" s="2513"/>
      <c r="J369" s="2502">
        <v>176</v>
      </c>
      <c r="K369" s="2526">
        <v>12</v>
      </c>
      <c r="L369" s="2515"/>
      <c r="M369" s="2513"/>
      <c r="N369" s="2502">
        <v>12</v>
      </c>
      <c r="O369" s="396"/>
      <c r="P369" s="396"/>
      <c r="Q369" s="396"/>
      <c r="R369" s="396"/>
      <c r="S369" s="396"/>
      <c r="T369" s="396"/>
      <c r="U369" s="396"/>
      <c r="V369" s="396"/>
      <c r="W369" s="396"/>
      <c r="X369" s="396"/>
      <c r="Y369" s="396"/>
      <c r="Z369" s="396"/>
    </row>
    <row r="370" spans="1:26" ht="13.15">
      <c r="B370" s="2529" t="s">
        <v>118</v>
      </c>
      <c r="C370" s="2508">
        <f>SUM(C361:C369)</f>
        <v>27</v>
      </c>
      <c r="D370" s="2508"/>
      <c r="E370" s="2508"/>
      <c r="F370" s="2508">
        <f t="shared" ref="F370:N370" si="19">SUM(F361:F369)</f>
        <v>27</v>
      </c>
      <c r="G370" s="2508">
        <f t="shared" si="19"/>
        <v>282</v>
      </c>
      <c r="H370" s="2508"/>
      <c r="I370" s="2508"/>
      <c r="J370" s="2508">
        <f t="shared" si="19"/>
        <v>282</v>
      </c>
      <c r="K370" s="2508">
        <f t="shared" si="19"/>
        <v>29</v>
      </c>
      <c r="L370" s="2508"/>
      <c r="M370" s="2508"/>
      <c r="N370" s="2508">
        <f t="shared" si="19"/>
        <v>29</v>
      </c>
      <c r="O370" s="396"/>
      <c r="P370" s="396"/>
      <c r="Q370" s="396"/>
      <c r="R370" s="396"/>
      <c r="S370" s="396"/>
      <c r="T370" s="396"/>
      <c r="U370" s="396"/>
      <c r="V370" s="396"/>
      <c r="W370" s="396"/>
      <c r="X370" s="396"/>
      <c r="Y370" s="396"/>
      <c r="Z370" s="396"/>
    </row>
    <row r="371" spans="1:26" s="295" customFormat="1" ht="13.5" customHeight="1">
      <c r="A371" s="292"/>
      <c r="B371" s="471"/>
      <c r="C371" s="292"/>
      <c r="D371" s="292"/>
      <c r="E371" s="292"/>
      <c r="F371" s="292"/>
      <c r="G371" s="292"/>
      <c r="H371" s="292"/>
      <c r="I371" s="292"/>
      <c r="J371" s="292"/>
      <c r="K371" s="292"/>
      <c r="L371" s="292"/>
      <c r="M371" s="292"/>
      <c r="N371" s="292"/>
    </row>
    <row r="373" spans="1:26" ht="13.5" customHeight="1">
      <c r="B373" s="1611" t="s">
        <v>112</v>
      </c>
    </row>
    <row r="374" spans="1:26" ht="13.5" customHeight="1">
      <c r="B374" s="3518" t="s">
        <v>586</v>
      </c>
      <c r="C374" s="3520" t="s">
        <v>587</v>
      </c>
      <c r="D374" s="3521"/>
      <c r="E374" s="3521"/>
      <c r="F374" s="3521"/>
      <c r="G374" s="3496" t="s">
        <v>588</v>
      </c>
      <c r="H374" s="3496"/>
      <c r="I374" s="3496"/>
      <c r="J374" s="3496"/>
      <c r="K374" s="3526" t="s">
        <v>589</v>
      </c>
      <c r="L374" s="3527"/>
      <c r="M374" s="3527"/>
      <c r="N374" s="3528"/>
    </row>
    <row r="375" spans="1:26" ht="13.5" customHeight="1">
      <c r="B375" s="3525"/>
      <c r="C375" s="3520"/>
      <c r="D375" s="3521"/>
      <c r="E375" s="3521"/>
      <c r="F375" s="3521"/>
      <c r="G375" s="3496"/>
      <c r="H375" s="3496"/>
      <c r="I375" s="3496"/>
      <c r="J375" s="3496"/>
      <c r="K375" s="3529"/>
      <c r="L375" s="3530"/>
      <c r="M375" s="3530"/>
      <c r="N375" s="3531"/>
    </row>
    <row r="376" spans="1:26" ht="13.5" customHeight="1">
      <c r="B376" s="3519"/>
      <c r="C376" s="2491" t="s">
        <v>590</v>
      </c>
      <c r="D376" s="2492" t="s">
        <v>591</v>
      </c>
      <c r="E376" s="2492" t="s">
        <v>592</v>
      </c>
      <c r="F376" s="2509" t="s">
        <v>118</v>
      </c>
      <c r="G376" s="2492" t="s">
        <v>590</v>
      </c>
      <c r="H376" s="2492" t="s">
        <v>591</v>
      </c>
      <c r="I376" s="2492" t="s">
        <v>592</v>
      </c>
      <c r="J376" s="2509" t="s">
        <v>118</v>
      </c>
      <c r="K376" s="2492" t="s">
        <v>590</v>
      </c>
      <c r="L376" s="2492" t="s">
        <v>591</v>
      </c>
      <c r="M376" s="2492" t="s">
        <v>592</v>
      </c>
      <c r="N376" s="2509" t="s">
        <v>118</v>
      </c>
    </row>
    <row r="377" spans="1:26" ht="13.5" customHeight="1">
      <c r="B377" s="1613" t="s">
        <v>593</v>
      </c>
      <c r="C377" s="2530">
        <v>1</v>
      </c>
      <c r="D377" s="2515">
        <v>0</v>
      </c>
      <c r="E377" s="2515">
        <v>0</v>
      </c>
      <c r="F377" s="2502">
        <v>1</v>
      </c>
      <c r="G377" s="2526">
        <v>44</v>
      </c>
      <c r="H377" s="2515">
        <v>0</v>
      </c>
      <c r="I377" s="2513">
        <v>0</v>
      </c>
      <c r="J377" s="2502">
        <v>44</v>
      </c>
      <c r="K377" s="2526">
        <v>21</v>
      </c>
      <c r="L377" s="2515"/>
      <c r="M377" s="2513"/>
      <c r="N377" s="2502">
        <v>21</v>
      </c>
      <c r="O377" s="396"/>
      <c r="P377" s="396"/>
      <c r="Q377" s="396"/>
      <c r="R377" s="396"/>
      <c r="S377" s="396"/>
      <c r="T377" s="396"/>
      <c r="U377" s="396"/>
      <c r="V377" s="396"/>
      <c r="W377" s="396"/>
      <c r="X377" s="396"/>
      <c r="Y377" s="396"/>
      <c r="Z377" s="396"/>
    </row>
    <row r="378" spans="1:26" ht="13.5" customHeight="1">
      <c r="B378" s="2439" t="s">
        <v>594</v>
      </c>
      <c r="C378" s="2526">
        <v>1</v>
      </c>
      <c r="D378" s="2515">
        <v>0</v>
      </c>
      <c r="E378" s="2515">
        <v>0</v>
      </c>
      <c r="F378" s="2502">
        <v>1</v>
      </c>
      <c r="G378" s="2526">
        <v>21</v>
      </c>
      <c r="H378" s="2515">
        <v>0</v>
      </c>
      <c r="I378" s="2513">
        <v>0</v>
      </c>
      <c r="J378" s="2502">
        <v>21</v>
      </c>
      <c r="K378" s="2526">
        <v>0</v>
      </c>
      <c r="L378" s="2515"/>
      <c r="M378" s="2513"/>
      <c r="N378" s="2502"/>
      <c r="O378" s="396"/>
      <c r="P378" s="396"/>
      <c r="Q378" s="396"/>
      <c r="R378" s="396"/>
      <c r="S378" s="396"/>
      <c r="T378" s="396"/>
      <c r="U378" s="396"/>
      <c r="V378" s="396"/>
      <c r="W378" s="396"/>
      <c r="X378" s="396"/>
      <c r="Y378" s="396"/>
      <c r="Z378" s="396"/>
    </row>
    <row r="379" spans="1:26" ht="13.5" customHeight="1">
      <c r="B379" s="2439" t="s">
        <v>595</v>
      </c>
      <c r="C379" s="2526">
        <v>2</v>
      </c>
      <c r="D379" s="2515">
        <v>0</v>
      </c>
      <c r="E379" s="2515">
        <v>0</v>
      </c>
      <c r="F379" s="2502">
        <v>2</v>
      </c>
      <c r="G379" s="2526">
        <v>29</v>
      </c>
      <c r="H379" s="2515">
        <v>0</v>
      </c>
      <c r="I379" s="2513">
        <v>0</v>
      </c>
      <c r="J379" s="2502">
        <v>29</v>
      </c>
      <c r="K379" s="2526">
        <v>12</v>
      </c>
      <c r="L379" s="2515"/>
      <c r="M379" s="2513"/>
      <c r="N379" s="2502">
        <v>12</v>
      </c>
      <c r="O379" s="396"/>
      <c r="P379" s="396"/>
      <c r="Q379" s="396"/>
      <c r="R379" s="396"/>
      <c r="S379" s="396"/>
      <c r="T379" s="396"/>
      <c r="U379" s="396"/>
      <c r="V379" s="396"/>
      <c r="W379" s="396"/>
      <c r="X379" s="396"/>
      <c r="Y379" s="396"/>
      <c r="Z379" s="396"/>
    </row>
    <row r="380" spans="1:26" ht="13.5" customHeight="1">
      <c r="B380" s="2439" t="s">
        <v>596</v>
      </c>
      <c r="C380" s="2526">
        <v>2</v>
      </c>
      <c r="D380" s="2515">
        <v>0</v>
      </c>
      <c r="E380" s="2515">
        <v>0</v>
      </c>
      <c r="F380" s="2502">
        <v>2</v>
      </c>
      <c r="G380" s="2526">
        <v>33</v>
      </c>
      <c r="H380" s="2515">
        <v>0</v>
      </c>
      <c r="I380" s="2513">
        <v>0</v>
      </c>
      <c r="J380" s="2502">
        <v>33</v>
      </c>
      <c r="K380" s="2526">
        <v>23</v>
      </c>
      <c r="L380" s="2515"/>
      <c r="M380" s="2513"/>
      <c r="N380" s="2502">
        <v>23</v>
      </c>
      <c r="O380" s="396"/>
      <c r="P380" s="396"/>
      <c r="Q380" s="396"/>
      <c r="R380" s="396"/>
      <c r="S380" s="396"/>
      <c r="T380" s="396"/>
      <c r="U380" s="396"/>
      <c r="V380" s="396"/>
      <c r="W380" s="396"/>
      <c r="X380" s="396"/>
      <c r="Y380" s="396"/>
      <c r="Z380" s="396"/>
    </row>
    <row r="381" spans="1:26" ht="13.5" customHeight="1">
      <c r="B381" s="2439" t="s">
        <v>602</v>
      </c>
      <c r="C381" s="2526">
        <v>2</v>
      </c>
      <c r="D381" s="2515">
        <v>0</v>
      </c>
      <c r="E381" s="2515">
        <v>0</v>
      </c>
      <c r="F381" s="2502">
        <v>2</v>
      </c>
      <c r="G381" s="2526">
        <v>25</v>
      </c>
      <c r="H381" s="2515">
        <v>0</v>
      </c>
      <c r="I381" s="2513">
        <v>0</v>
      </c>
      <c r="J381" s="2502">
        <v>25</v>
      </c>
      <c r="K381" s="2526">
        <v>3</v>
      </c>
      <c r="L381" s="2515"/>
      <c r="M381" s="2513"/>
      <c r="N381" s="2502">
        <v>3</v>
      </c>
      <c r="O381" s="396"/>
      <c r="P381" s="396"/>
      <c r="Q381" s="396"/>
      <c r="R381" s="396"/>
      <c r="S381" s="396"/>
      <c r="T381" s="396"/>
      <c r="U381" s="396"/>
      <c r="V381" s="396"/>
      <c r="W381" s="396"/>
      <c r="X381" s="396"/>
      <c r="Y381" s="396"/>
      <c r="Z381" s="396"/>
    </row>
    <row r="382" spans="1:26" ht="13.5" customHeight="1">
      <c r="B382" s="2439" t="s">
        <v>598</v>
      </c>
      <c r="C382" s="2526">
        <v>1</v>
      </c>
      <c r="D382" s="2515">
        <v>0</v>
      </c>
      <c r="E382" s="2515">
        <v>0</v>
      </c>
      <c r="F382" s="2502">
        <v>1</v>
      </c>
      <c r="G382" s="2526">
        <v>27</v>
      </c>
      <c r="H382" s="2515">
        <v>0</v>
      </c>
      <c r="I382" s="2513">
        <v>0</v>
      </c>
      <c r="J382" s="2502">
        <v>27</v>
      </c>
      <c r="K382" s="2526">
        <v>0</v>
      </c>
      <c r="L382" s="2515"/>
      <c r="M382" s="2513"/>
      <c r="N382" s="2502"/>
      <c r="O382" s="396"/>
      <c r="P382" s="396"/>
      <c r="Q382" s="396"/>
      <c r="R382" s="396"/>
      <c r="S382" s="396"/>
      <c r="T382" s="396"/>
      <c r="U382" s="396"/>
      <c r="V382" s="396"/>
      <c r="W382" s="396"/>
      <c r="X382" s="396"/>
      <c r="Y382" s="396"/>
      <c r="Z382" s="396"/>
    </row>
    <row r="383" spans="1:26" ht="13.5" customHeight="1">
      <c r="B383" s="2439" t="s">
        <v>599</v>
      </c>
      <c r="C383" s="2526">
        <v>2</v>
      </c>
      <c r="D383" s="2515">
        <v>0</v>
      </c>
      <c r="E383" s="2515">
        <v>0</v>
      </c>
      <c r="F383" s="2502">
        <v>2</v>
      </c>
      <c r="G383" s="2526">
        <v>55</v>
      </c>
      <c r="H383" s="2515">
        <v>0</v>
      </c>
      <c r="I383" s="2513">
        <v>0</v>
      </c>
      <c r="J383" s="2502">
        <v>55</v>
      </c>
      <c r="K383" s="2526">
        <v>40</v>
      </c>
      <c r="L383" s="2515"/>
      <c r="M383" s="2513"/>
      <c r="N383" s="2502">
        <v>40</v>
      </c>
      <c r="O383" s="396"/>
      <c r="P383" s="396"/>
      <c r="Q383" s="396"/>
      <c r="R383" s="396"/>
      <c r="S383" s="396"/>
      <c r="T383" s="396"/>
      <c r="U383" s="396"/>
      <c r="V383" s="396"/>
      <c r="W383" s="396"/>
      <c r="X383" s="396"/>
      <c r="Y383" s="396"/>
      <c r="Z383" s="396"/>
    </row>
    <row r="384" spans="1:26" ht="13.5" customHeight="1">
      <c r="B384" s="2439" t="s">
        <v>600</v>
      </c>
      <c r="C384" s="2526">
        <v>0</v>
      </c>
      <c r="D384" s="2515">
        <v>0</v>
      </c>
      <c r="E384" s="2515">
        <v>0</v>
      </c>
      <c r="F384" s="2502">
        <v>0</v>
      </c>
      <c r="G384" s="2526">
        <v>23</v>
      </c>
      <c r="H384" s="2515">
        <v>0</v>
      </c>
      <c r="I384" s="2513">
        <v>0</v>
      </c>
      <c r="J384" s="2502">
        <v>23</v>
      </c>
      <c r="K384" s="2526">
        <v>0</v>
      </c>
      <c r="L384" s="2515"/>
      <c r="M384" s="2513"/>
      <c r="N384" s="2502"/>
      <c r="O384" s="396"/>
      <c r="P384" s="396"/>
      <c r="Q384" s="396"/>
      <c r="R384" s="396"/>
      <c r="S384" s="396"/>
      <c r="T384" s="396"/>
      <c r="U384" s="396"/>
      <c r="V384" s="396"/>
      <c r="W384" s="396"/>
      <c r="X384" s="396"/>
      <c r="Y384" s="396"/>
      <c r="Z384" s="396"/>
    </row>
    <row r="385" spans="2:26" ht="13.5" customHeight="1">
      <c r="B385" s="2439" t="s">
        <v>601</v>
      </c>
      <c r="C385" s="2526">
        <v>4</v>
      </c>
      <c r="D385" s="2515">
        <v>0</v>
      </c>
      <c r="E385" s="2515">
        <v>0</v>
      </c>
      <c r="F385" s="2502">
        <v>4</v>
      </c>
      <c r="G385" s="2526">
        <v>345</v>
      </c>
      <c r="H385" s="2515">
        <v>0</v>
      </c>
      <c r="I385" s="2513">
        <v>0</v>
      </c>
      <c r="J385" s="2502">
        <v>345</v>
      </c>
      <c r="K385" s="2526">
        <v>21</v>
      </c>
      <c r="L385" s="2515"/>
      <c r="M385" s="2513"/>
      <c r="N385" s="2502">
        <v>21</v>
      </c>
      <c r="O385" s="396"/>
      <c r="P385" s="396"/>
      <c r="Q385" s="396"/>
      <c r="R385" s="396"/>
      <c r="S385" s="396"/>
      <c r="T385" s="396"/>
      <c r="U385" s="396"/>
      <c r="V385" s="396"/>
      <c r="W385" s="396"/>
      <c r="X385" s="396"/>
      <c r="Y385" s="396"/>
      <c r="Z385" s="396"/>
    </row>
    <row r="386" spans="2:26" ht="13.5" customHeight="1">
      <c r="B386" s="2512" t="s">
        <v>118</v>
      </c>
      <c r="C386" s="2508">
        <f>SUM(C377:C385)</f>
        <v>15</v>
      </c>
      <c r="D386" s="2508"/>
      <c r="E386" s="2508"/>
      <c r="F386" s="2508">
        <f t="shared" ref="F386:N386" si="20">SUM(F377:F385)</f>
        <v>15</v>
      </c>
      <c r="G386" s="2508">
        <f t="shared" si="20"/>
        <v>602</v>
      </c>
      <c r="H386" s="2508"/>
      <c r="I386" s="2508"/>
      <c r="J386" s="2508">
        <f t="shared" si="20"/>
        <v>602</v>
      </c>
      <c r="K386" s="2508">
        <f t="shared" si="20"/>
        <v>120</v>
      </c>
      <c r="L386" s="2508"/>
      <c r="M386" s="2508"/>
      <c r="N386" s="2508">
        <f t="shared" si="20"/>
        <v>120</v>
      </c>
      <c r="O386" s="396"/>
      <c r="P386" s="396"/>
      <c r="Q386" s="396"/>
      <c r="R386" s="396"/>
      <c r="S386" s="396"/>
      <c r="T386" s="396"/>
      <c r="U386" s="396"/>
      <c r="V386" s="396"/>
      <c r="W386" s="396"/>
      <c r="X386" s="396"/>
      <c r="Y386" s="396"/>
      <c r="Z386" s="396"/>
    </row>
    <row r="389" spans="2:26" ht="13.5" customHeight="1">
      <c r="B389" s="1611" t="s">
        <v>113</v>
      </c>
    </row>
    <row r="390" spans="2:26" ht="13.5" customHeight="1">
      <c r="B390" s="3518" t="s">
        <v>586</v>
      </c>
      <c r="C390" s="3520" t="s">
        <v>587</v>
      </c>
      <c r="D390" s="3521"/>
      <c r="E390" s="3521"/>
      <c r="F390" s="3521"/>
      <c r="G390" s="3496" t="s">
        <v>604</v>
      </c>
      <c r="H390" s="3496"/>
      <c r="I390" s="3496"/>
      <c r="J390" s="3496"/>
      <c r="K390" s="3526" t="s">
        <v>589</v>
      </c>
      <c r="L390" s="3527"/>
      <c r="M390" s="3527"/>
      <c r="N390" s="3528"/>
    </row>
    <row r="391" spans="2:26" ht="13.5" customHeight="1">
      <c r="B391" s="3525"/>
      <c r="C391" s="3520"/>
      <c r="D391" s="3521"/>
      <c r="E391" s="3521"/>
      <c r="F391" s="3521"/>
      <c r="G391" s="3496"/>
      <c r="H391" s="3496"/>
      <c r="I391" s="3496"/>
      <c r="J391" s="3496"/>
      <c r="K391" s="3529"/>
      <c r="L391" s="3530"/>
      <c r="M391" s="3530"/>
      <c r="N391" s="3531"/>
    </row>
    <row r="392" spans="2:26" ht="13.5" customHeight="1">
      <c r="B392" s="3519"/>
      <c r="C392" s="2491" t="s">
        <v>590</v>
      </c>
      <c r="D392" s="2492" t="s">
        <v>591</v>
      </c>
      <c r="E392" s="2492" t="s">
        <v>592</v>
      </c>
      <c r="F392" s="2509" t="s">
        <v>118</v>
      </c>
      <c r="G392" s="2492" t="s">
        <v>590</v>
      </c>
      <c r="H392" s="2492" t="s">
        <v>591</v>
      </c>
      <c r="I392" s="2492" t="s">
        <v>592</v>
      </c>
      <c r="J392" s="2509" t="s">
        <v>118</v>
      </c>
      <c r="K392" s="2492" t="s">
        <v>590</v>
      </c>
      <c r="L392" s="2492" t="s">
        <v>591</v>
      </c>
      <c r="M392" s="2492" t="s">
        <v>592</v>
      </c>
      <c r="N392" s="2509" t="s">
        <v>118</v>
      </c>
    </row>
    <row r="393" spans="2:26" ht="13.5" customHeight="1">
      <c r="B393" s="1613" t="s">
        <v>593</v>
      </c>
      <c r="C393" s="2511"/>
      <c r="D393" s="2530">
        <v>11</v>
      </c>
      <c r="E393" s="2515">
        <v>2</v>
      </c>
      <c r="F393" s="2502">
        <v>13</v>
      </c>
      <c r="G393" s="2513"/>
      <c r="H393" s="2526">
        <v>53</v>
      </c>
      <c r="I393" s="2513">
        <v>6</v>
      </c>
      <c r="J393" s="2502">
        <v>59</v>
      </c>
      <c r="K393" s="2513"/>
      <c r="L393" s="2526">
        <v>33</v>
      </c>
      <c r="M393" s="2513"/>
      <c r="N393" s="2502">
        <v>33</v>
      </c>
      <c r="O393" s="396"/>
      <c r="P393" s="396"/>
      <c r="Q393" s="396"/>
      <c r="R393" s="396"/>
      <c r="S393" s="396"/>
      <c r="T393" s="396"/>
      <c r="U393" s="396"/>
      <c r="V393" s="396"/>
      <c r="W393" s="396"/>
      <c r="X393" s="396"/>
      <c r="Y393" s="396"/>
      <c r="Z393" s="396"/>
    </row>
    <row r="394" spans="2:26" ht="13.5" customHeight="1">
      <c r="B394" s="2439" t="s">
        <v>594</v>
      </c>
      <c r="C394" s="2513"/>
      <c r="D394" s="2526">
        <v>3</v>
      </c>
      <c r="E394" s="2515"/>
      <c r="F394" s="2502">
        <v>3</v>
      </c>
      <c r="G394" s="2513"/>
      <c r="H394" s="2526">
        <v>14</v>
      </c>
      <c r="I394" s="2513"/>
      <c r="J394" s="2502">
        <v>14</v>
      </c>
      <c r="K394" s="2513"/>
      <c r="L394" s="2526"/>
      <c r="M394" s="2513"/>
      <c r="N394" s="2502"/>
      <c r="O394" s="396"/>
      <c r="P394" s="396"/>
      <c r="Q394" s="396"/>
      <c r="R394" s="396"/>
      <c r="S394" s="396"/>
      <c r="T394" s="396"/>
      <c r="U394" s="396"/>
      <c r="V394" s="396"/>
      <c r="W394" s="396"/>
      <c r="X394" s="396"/>
      <c r="Y394" s="396"/>
      <c r="Z394" s="396"/>
    </row>
    <row r="395" spans="2:26" ht="13.5" customHeight="1">
      <c r="B395" s="2439" t="s">
        <v>595</v>
      </c>
      <c r="C395" s="2513"/>
      <c r="D395" s="2526">
        <v>11</v>
      </c>
      <c r="E395" s="2515"/>
      <c r="F395" s="2502">
        <v>11</v>
      </c>
      <c r="G395" s="2513"/>
      <c r="H395" s="2526">
        <v>54</v>
      </c>
      <c r="I395" s="2513"/>
      <c r="J395" s="2502">
        <v>54</v>
      </c>
      <c r="K395" s="2513"/>
      <c r="L395" s="2526">
        <v>69</v>
      </c>
      <c r="M395" s="2513"/>
      <c r="N395" s="2502">
        <v>69</v>
      </c>
      <c r="O395" s="396"/>
      <c r="P395" s="396"/>
      <c r="Q395" s="396"/>
      <c r="R395" s="396"/>
      <c r="S395" s="396"/>
      <c r="T395" s="396"/>
      <c r="U395" s="396"/>
      <c r="V395" s="396"/>
      <c r="W395" s="396"/>
      <c r="X395" s="396"/>
      <c r="Y395" s="396"/>
      <c r="Z395" s="396"/>
    </row>
    <row r="396" spans="2:26" ht="13.5" customHeight="1">
      <c r="B396" s="2439" t="s">
        <v>596</v>
      </c>
      <c r="C396" s="2513"/>
      <c r="D396" s="2526">
        <v>13</v>
      </c>
      <c r="E396" s="2515">
        <v>3</v>
      </c>
      <c r="F396" s="2502">
        <v>16</v>
      </c>
      <c r="G396" s="2513"/>
      <c r="H396" s="2526">
        <v>63</v>
      </c>
      <c r="I396" s="2513">
        <v>13</v>
      </c>
      <c r="J396" s="2502">
        <v>76</v>
      </c>
      <c r="K396" s="2513"/>
      <c r="L396" s="2526">
        <v>148</v>
      </c>
      <c r="M396" s="2513"/>
      <c r="N396" s="2502">
        <v>148</v>
      </c>
      <c r="O396" s="396"/>
      <c r="P396" s="396"/>
      <c r="Q396" s="396"/>
      <c r="R396" s="396"/>
      <c r="S396" s="396"/>
      <c r="T396" s="396"/>
      <c r="U396" s="396"/>
      <c r="V396" s="396"/>
      <c r="W396" s="396"/>
      <c r="X396" s="396"/>
      <c r="Y396" s="396"/>
      <c r="Z396" s="396"/>
    </row>
    <row r="397" spans="2:26" ht="13.5" customHeight="1">
      <c r="B397" s="2439" t="s">
        <v>602</v>
      </c>
      <c r="C397" s="2513"/>
      <c r="D397" s="2526">
        <v>1</v>
      </c>
      <c r="E397" s="2515">
        <v>1</v>
      </c>
      <c r="F397" s="2502">
        <v>2</v>
      </c>
      <c r="G397" s="2513"/>
      <c r="H397" s="2526">
        <v>0</v>
      </c>
      <c r="I397" s="2513">
        <v>2</v>
      </c>
      <c r="J397" s="2502">
        <v>2</v>
      </c>
      <c r="K397" s="2513"/>
      <c r="L397" s="2526"/>
      <c r="M397" s="2513"/>
      <c r="N397" s="2502"/>
      <c r="O397" s="396"/>
      <c r="P397" s="396"/>
      <c r="Q397" s="396"/>
      <c r="R397" s="396"/>
      <c r="S397" s="396"/>
      <c r="T397" s="396"/>
      <c r="U397" s="396"/>
      <c r="V397" s="396"/>
      <c r="W397" s="396"/>
      <c r="X397" s="396"/>
      <c r="Y397" s="396"/>
      <c r="Z397" s="396"/>
    </row>
    <row r="398" spans="2:26" ht="13.5" customHeight="1">
      <c r="B398" s="2439" t="s">
        <v>598</v>
      </c>
      <c r="C398" s="2513"/>
      <c r="D398" s="2526">
        <v>9</v>
      </c>
      <c r="E398" s="2515"/>
      <c r="F398" s="2502">
        <v>9</v>
      </c>
      <c r="G398" s="2513"/>
      <c r="H398" s="2526">
        <v>41</v>
      </c>
      <c r="I398" s="2513"/>
      <c r="J398" s="2502">
        <v>41</v>
      </c>
      <c r="K398" s="2513"/>
      <c r="L398" s="2526">
        <v>101</v>
      </c>
      <c r="M398" s="2513"/>
      <c r="N398" s="2502">
        <v>101</v>
      </c>
      <c r="O398" s="396"/>
      <c r="P398" s="396"/>
      <c r="Q398" s="396"/>
      <c r="R398" s="396"/>
      <c r="S398" s="396"/>
      <c r="T398" s="396"/>
      <c r="U398" s="396"/>
      <c r="V398" s="396"/>
      <c r="W398" s="396"/>
      <c r="X398" s="396"/>
      <c r="Y398" s="396"/>
      <c r="Z398" s="396"/>
    </row>
    <row r="399" spans="2:26" ht="13.5" customHeight="1">
      <c r="B399" s="2439" t="s">
        <v>599</v>
      </c>
      <c r="C399" s="2513"/>
      <c r="D399" s="2526">
        <v>16</v>
      </c>
      <c r="E399" s="2515"/>
      <c r="F399" s="2502">
        <v>16</v>
      </c>
      <c r="G399" s="2513"/>
      <c r="H399" s="2526">
        <v>79</v>
      </c>
      <c r="I399" s="2513"/>
      <c r="J399" s="2502">
        <v>79</v>
      </c>
      <c r="K399" s="2513"/>
      <c r="L399" s="2526">
        <v>134</v>
      </c>
      <c r="M399" s="2513"/>
      <c r="N399" s="2502">
        <v>134</v>
      </c>
      <c r="O399" s="396"/>
      <c r="P399" s="396"/>
      <c r="Q399" s="396"/>
      <c r="R399" s="396"/>
      <c r="S399" s="396"/>
      <c r="T399" s="396"/>
      <c r="U399" s="396"/>
      <c r="V399" s="396"/>
      <c r="W399" s="396"/>
      <c r="X399" s="396"/>
      <c r="Y399" s="396"/>
      <c r="Z399" s="396"/>
    </row>
    <row r="400" spans="2:26" ht="13.5" customHeight="1">
      <c r="B400" s="2439" t="s">
        <v>600</v>
      </c>
      <c r="C400" s="2513"/>
      <c r="D400" s="2526">
        <v>4</v>
      </c>
      <c r="E400" s="2515"/>
      <c r="F400" s="2502">
        <v>4</v>
      </c>
      <c r="G400" s="2513"/>
      <c r="H400" s="2526">
        <v>19</v>
      </c>
      <c r="I400" s="2513"/>
      <c r="J400" s="2502">
        <v>19</v>
      </c>
      <c r="K400" s="2513"/>
      <c r="L400" s="2526">
        <v>4</v>
      </c>
      <c r="M400" s="2513"/>
      <c r="N400" s="2502">
        <v>4</v>
      </c>
      <c r="O400" s="396"/>
      <c r="P400" s="396"/>
      <c r="Q400" s="396"/>
      <c r="R400" s="396"/>
      <c r="S400" s="396"/>
      <c r="T400" s="396"/>
      <c r="U400" s="396"/>
      <c r="V400" s="396"/>
      <c r="W400" s="396"/>
      <c r="X400" s="396"/>
      <c r="Y400" s="396"/>
      <c r="Z400" s="396"/>
    </row>
    <row r="401" spans="1:26" ht="13.5" customHeight="1">
      <c r="B401" s="2439" t="s">
        <v>601</v>
      </c>
      <c r="C401" s="2513"/>
      <c r="D401" s="2526">
        <v>17</v>
      </c>
      <c r="E401" s="2515">
        <v>4</v>
      </c>
      <c r="F401" s="2502">
        <v>21</v>
      </c>
      <c r="G401" s="2513"/>
      <c r="H401" s="2526">
        <v>185</v>
      </c>
      <c r="I401" s="2513">
        <v>17</v>
      </c>
      <c r="J401" s="2502">
        <v>202</v>
      </c>
      <c r="K401" s="2513"/>
      <c r="L401" s="2526">
        <v>104</v>
      </c>
      <c r="M401" s="2513"/>
      <c r="N401" s="2502">
        <v>104</v>
      </c>
      <c r="O401" s="396"/>
      <c r="P401" s="396"/>
      <c r="Q401" s="396"/>
      <c r="R401" s="396"/>
      <c r="S401" s="396"/>
      <c r="T401" s="396"/>
      <c r="U401" s="396"/>
      <c r="V401" s="396"/>
      <c r="W401" s="396"/>
      <c r="X401" s="396"/>
      <c r="Y401" s="396"/>
      <c r="Z401" s="396"/>
    </row>
    <row r="402" spans="1:26" ht="13.5" customHeight="1">
      <c r="A402" s="295"/>
      <c r="B402" s="2512" t="s">
        <v>118</v>
      </c>
      <c r="C402" s="2508">
        <v>0</v>
      </c>
      <c r="D402" s="2508">
        <f>SUM(D393:D401)</f>
        <v>85</v>
      </c>
      <c r="E402" s="2508">
        <f t="shared" ref="E402:N402" si="21">SUM(E393:E401)</f>
        <v>10</v>
      </c>
      <c r="F402" s="2508">
        <f t="shared" si="21"/>
        <v>95</v>
      </c>
      <c r="G402" s="2508">
        <f t="shared" si="21"/>
        <v>0</v>
      </c>
      <c r="H402" s="2508">
        <f t="shared" si="21"/>
        <v>508</v>
      </c>
      <c r="I402" s="2508">
        <f t="shared" si="21"/>
        <v>38</v>
      </c>
      <c r="J402" s="2508">
        <f t="shared" si="21"/>
        <v>546</v>
      </c>
      <c r="K402" s="2508">
        <f t="shared" si="21"/>
        <v>0</v>
      </c>
      <c r="L402" s="2508">
        <f t="shared" si="21"/>
        <v>593</v>
      </c>
      <c r="M402" s="2508">
        <f t="shared" si="21"/>
        <v>0</v>
      </c>
      <c r="N402" s="2508">
        <f t="shared" si="21"/>
        <v>593</v>
      </c>
      <c r="O402" s="396"/>
      <c r="P402" s="396"/>
      <c r="Q402" s="396"/>
      <c r="R402" s="396"/>
      <c r="S402" s="396"/>
      <c r="T402" s="396"/>
      <c r="U402" s="396"/>
      <c r="V402" s="396"/>
      <c r="W402" s="396"/>
      <c r="X402" s="396"/>
      <c r="Y402" s="396"/>
      <c r="Z402" s="396"/>
    </row>
    <row r="403" spans="1:26" ht="13.5" customHeight="1">
      <c r="A403" s="295"/>
      <c r="B403" s="51"/>
      <c r="C403" s="550"/>
      <c r="D403" s="550"/>
      <c r="E403" s="550"/>
      <c r="F403" s="550"/>
      <c r="G403" s="550"/>
      <c r="H403" s="550"/>
      <c r="I403" s="550"/>
      <c r="J403" s="550"/>
      <c r="K403" s="550"/>
      <c r="L403" s="550"/>
      <c r="M403" s="550"/>
      <c r="N403" s="550"/>
    </row>
    <row r="404" spans="1:26" ht="13.5" customHeight="1">
      <c r="N404" s="292">
        <v>178</v>
      </c>
    </row>
    <row r="406" spans="1:26" ht="13.5" customHeight="1">
      <c r="B406" s="1611" t="s">
        <v>114</v>
      </c>
    </row>
    <row r="407" spans="1:26" ht="13.5" customHeight="1">
      <c r="B407" s="3518" t="s">
        <v>586</v>
      </c>
      <c r="C407" s="3520" t="s">
        <v>587</v>
      </c>
      <c r="D407" s="3521"/>
      <c r="E407" s="3521"/>
      <c r="F407" s="3521"/>
      <c r="G407" s="3496" t="s">
        <v>604</v>
      </c>
      <c r="H407" s="3496"/>
      <c r="I407" s="3496"/>
      <c r="J407" s="3496"/>
      <c r="K407" s="3526" t="s">
        <v>589</v>
      </c>
      <c r="L407" s="3527"/>
      <c r="M407" s="3527"/>
      <c r="N407" s="3528"/>
    </row>
    <row r="408" spans="1:26" ht="13.5" customHeight="1">
      <c r="B408" s="3525"/>
      <c r="C408" s="3520"/>
      <c r="D408" s="3521"/>
      <c r="E408" s="3521"/>
      <c r="F408" s="3521"/>
      <c r="G408" s="3496"/>
      <c r="H408" s="3496"/>
      <c r="I408" s="3496"/>
      <c r="J408" s="3496"/>
      <c r="K408" s="3529"/>
      <c r="L408" s="3530"/>
      <c r="M408" s="3530"/>
      <c r="N408" s="3531"/>
    </row>
    <row r="409" spans="1:26" ht="13.5" customHeight="1">
      <c r="B409" s="3519"/>
      <c r="C409" s="2531" t="s">
        <v>590</v>
      </c>
      <c r="D409" s="2532" t="s">
        <v>591</v>
      </c>
      <c r="E409" s="2532" t="s">
        <v>592</v>
      </c>
      <c r="F409" s="2509" t="s">
        <v>118</v>
      </c>
      <c r="G409" s="2532" t="s">
        <v>590</v>
      </c>
      <c r="H409" s="2532" t="s">
        <v>591</v>
      </c>
      <c r="I409" s="2532" t="s">
        <v>592</v>
      </c>
      <c r="J409" s="2509" t="s">
        <v>118</v>
      </c>
      <c r="K409" s="2532" t="s">
        <v>590</v>
      </c>
      <c r="L409" s="2532" t="s">
        <v>591</v>
      </c>
      <c r="M409" s="2532" t="s">
        <v>592</v>
      </c>
      <c r="N409" s="2509" t="s">
        <v>118</v>
      </c>
    </row>
    <row r="410" spans="1:26" ht="13.5" customHeight="1">
      <c r="B410" s="1613" t="s">
        <v>593</v>
      </c>
      <c r="C410" s="2530">
        <v>9</v>
      </c>
      <c r="D410" s="2515"/>
      <c r="E410" s="2515"/>
      <c r="F410" s="2502">
        <v>9</v>
      </c>
      <c r="G410" s="2533">
        <v>43</v>
      </c>
      <c r="H410" s="2515"/>
      <c r="I410" s="2513"/>
      <c r="J410" s="2502">
        <v>43</v>
      </c>
      <c r="K410" s="2533">
        <v>17</v>
      </c>
      <c r="L410" s="2515"/>
      <c r="M410" s="2513"/>
      <c r="N410" s="2502">
        <v>17</v>
      </c>
      <c r="O410" s="396"/>
      <c r="P410" s="396"/>
      <c r="Q410" s="396"/>
      <c r="R410" s="396"/>
      <c r="S410" s="396"/>
      <c r="T410" s="396"/>
      <c r="U410" s="396"/>
      <c r="V410" s="396"/>
      <c r="W410" s="396"/>
      <c r="X410" s="396"/>
      <c r="Y410" s="396"/>
      <c r="Z410" s="396"/>
    </row>
    <row r="411" spans="1:26" ht="13.5" customHeight="1">
      <c r="B411" s="2439" t="s">
        <v>594</v>
      </c>
      <c r="C411" s="2526">
        <v>5</v>
      </c>
      <c r="D411" s="2515"/>
      <c r="E411" s="2515"/>
      <c r="F411" s="2502">
        <v>5</v>
      </c>
      <c r="G411" s="2533">
        <v>27</v>
      </c>
      <c r="H411" s="2515"/>
      <c r="I411" s="2513"/>
      <c r="J411" s="2502">
        <v>27</v>
      </c>
      <c r="K411" s="2533">
        <v>3</v>
      </c>
      <c r="L411" s="2515"/>
      <c r="M411" s="2513"/>
      <c r="N411" s="2502">
        <v>3</v>
      </c>
      <c r="O411" s="396"/>
      <c r="P411" s="396"/>
      <c r="Q411" s="396"/>
      <c r="R411" s="396"/>
      <c r="S411" s="396"/>
      <c r="T411" s="396"/>
      <c r="U411" s="396"/>
      <c r="V411" s="396"/>
      <c r="W411" s="396"/>
      <c r="X411" s="396"/>
      <c r="Y411" s="396"/>
      <c r="Z411" s="396"/>
    </row>
    <row r="412" spans="1:26" ht="13.5" customHeight="1">
      <c r="B412" s="2439" t="s">
        <v>595</v>
      </c>
      <c r="C412" s="2526">
        <v>8</v>
      </c>
      <c r="D412" s="2515"/>
      <c r="E412" s="2515"/>
      <c r="F412" s="2502">
        <v>8</v>
      </c>
      <c r="G412" s="2533">
        <v>21</v>
      </c>
      <c r="H412" s="2515"/>
      <c r="I412" s="2513"/>
      <c r="J412" s="2502">
        <v>21</v>
      </c>
      <c r="K412" s="2533"/>
      <c r="L412" s="2515"/>
      <c r="M412" s="2513"/>
      <c r="N412" s="2502"/>
      <c r="O412" s="396"/>
      <c r="P412" s="396"/>
      <c r="Q412" s="396"/>
      <c r="R412" s="396"/>
      <c r="S412" s="396"/>
      <c r="T412" s="396"/>
      <c r="U412" s="396"/>
      <c r="V412" s="396"/>
      <c r="W412" s="396"/>
      <c r="X412" s="396"/>
      <c r="Y412" s="396"/>
      <c r="Z412" s="396"/>
    </row>
    <row r="413" spans="1:26" ht="13.5" customHeight="1">
      <c r="B413" s="2439" t="s">
        <v>596</v>
      </c>
      <c r="C413" s="2526">
        <v>10</v>
      </c>
      <c r="D413" s="2515"/>
      <c r="E413" s="2515"/>
      <c r="F413" s="2502">
        <v>10</v>
      </c>
      <c r="G413" s="2533">
        <v>81</v>
      </c>
      <c r="H413" s="2515"/>
      <c r="I413" s="2513"/>
      <c r="J413" s="2502">
        <v>81</v>
      </c>
      <c r="K413" s="2533">
        <v>83</v>
      </c>
      <c r="L413" s="2515"/>
      <c r="M413" s="2513"/>
      <c r="N413" s="2502">
        <v>83</v>
      </c>
      <c r="O413" s="396"/>
      <c r="P413" s="396"/>
      <c r="Q413" s="396"/>
      <c r="R413" s="396"/>
      <c r="S413" s="396"/>
      <c r="T413" s="396"/>
      <c r="U413" s="396"/>
      <c r="V413" s="396"/>
      <c r="W413" s="396"/>
      <c r="X413" s="396"/>
      <c r="Y413" s="396"/>
      <c r="Z413" s="396"/>
    </row>
    <row r="414" spans="1:26" ht="13.5" customHeight="1">
      <c r="B414" s="2439" t="s">
        <v>602</v>
      </c>
      <c r="C414" s="2526">
        <v>4</v>
      </c>
      <c r="D414" s="2515"/>
      <c r="E414" s="2515"/>
      <c r="F414" s="2502">
        <v>4</v>
      </c>
      <c r="G414" s="2533">
        <v>26</v>
      </c>
      <c r="H414" s="2515"/>
      <c r="I414" s="2513"/>
      <c r="J414" s="2502">
        <v>26</v>
      </c>
      <c r="K414" s="2533">
        <v>9</v>
      </c>
      <c r="L414" s="2515"/>
      <c r="M414" s="2513"/>
      <c r="N414" s="2502">
        <v>9</v>
      </c>
      <c r="O414" s="396"/>
      <c r="P414" s="396"/>
      <c r="Q414" s="396"/>
      <c r="R414" s="396"/>
      <c r="S414" s="396"/>
      <c r="T414" s="396"/>
      <c r="U414" s="396"/>
      <c r="V414" s="396"/>
      <c r="W414" s="396"/>
      <c r="X414" s="396"/>
      <c r="Y414" s="396"/>
      <c r="Z414" s="396"/>
    </row>
    <row r="415" spans="1:26" ht="13.5" customHeight="1">
      <c r="B415" s="2439" t="s">
        <v>598</v>
      </c>
      <c r="C415" s="2526">
        <v>9</v>
      </c>
      <c r="D415" s="2515"/>
      <c r="E415" s="2515"/>
      <c r="F415" s="2502">
        <v>9</v>
      </c>
      <c r="G415" s="2533">
        <v>34</v>
      </c>
      <c r="H415" s="2515"/>
      <c r="I415" s="2513"/>
      <c r="J415" s="2502">
        <v>34</v>
      </c>
      <c r="K415" s="2533">
        <v>39</v>
      </c>
      <c r="L415" s="2515"/>
      <c r="M415" s="2513"/>
      <c r="N415" s="2502">
        <v>39</v>
      </c>
      <c r="O415" s="396"/>
      <c r="P415" s="396"/>
      <c r="Q415" s="396"/>
      <c r="R415" s="396"/>
      <c r="S415" s="396"/>
      <c r="T415" s="396"/>
      <c r="U415" s="396"/>
      <c r="V415" s="396"/>
      <c r="W415" s="396"/>
      <c r="X415" s="396"/>
      <c r="Y415" s="396"/>
      <c r="Z415" s="396"/>
    </row>
    <row r="416" spans="1:26" ht="13.5" customHeight="1">
      <c r="B416" s="2439" t="s">
        <v>599</v>
      </c>
      <c r="C416" s="2526">
        <v>13</v>
      </c>
      <c r="D416" s="2515"/>
      <c r="E416" s="2515"/>
      <c r="F416" s="2502">
        <v>13</v>
      </c>
      <c r="G416" s="2533">
        <v>60</v>
      </c>
      <c r="H416" s="2515"/>
      <c r="I416" s="2513"/>
      <c r="J416" s="2502">
        <v>60</v>
      </c>
      <c r="K416" s="2533">
        <v>63</v>
      </c>
      <c r="L416" s="2515"/>
      <c r="M416" s="2513"/>
      <c r="N416" s="2502">
        <v>63</v>
      </c>
      <c r="O416" s="396"/>
      <c r="P416" s="396"/>
      <c r="Q416" s="396"/>
      <c r="R416" s="396"/>
      <c r="S416" s="396"/>
      <c r="T416" s="396"/>
      <c r="U416" s="396"/>
      <c r="V416" s="396"/>
      <c r="W416" s="396"/>
      <c r="X416" s="396"/>
      <c r="Y416" s="396"/>
      <c r="Z416" s="396"/>
    </row>
    <row r="417" spans="2:26" ht="13.5" customHeight="1">
      <c r="B417" s="2439" t="s">
        <v>600</v>
      </c>
      <c r="C417" s="2526">
        <v>4</v>
      </c>
      <c r="D417" s="2515"/>
      <c r="E417" s="2515"/>
      <c r="F417" s="2502">
        <v>4</v>
      </c>
      <c r="G417" s="2533">
        <v>16</v>
      </c>
      <c r="H417" s="2515"/>
      <c r="I417" s="2513"/>
      <c r="J417" s="2502">
        <v>16</v>
      </c>
      <c r="K417" s="2533">
        <v>8</v>
      </c>
      <c r="L417" s="2515"/>
      <c r="M417" s="2513"/>
      <c r="N417" s="2502">
        <v>8</v>
      </c>
      <c r="O417" s="396"/>
      <c r="P417" s="396"/>
      <c r="Q417" s="396"/>
      <c r="R417" s="396"/>
      <c r="S417" s="396"/>
      <c r="T417" s="396"/>
      <c r="U417" s="396"/>
      <c r="V417" s="396"/>
      <c r="W417" s="396"/>
      <c r="X417" s="396"/>
      <c r="Y417" s="396"/>
      <c r="Z417" s="396"/>
    </row>
    <row r="418" spans="2:26" ht="13.5" customHeight="1">
      <c r="B418" s="2439" t="s">
        <v>601</v>
      </c>
      <c r="C418" s="2526">
        <v>14</v>
      </c>
      <c r="D418" s="2515"/>
      <c r="E418" s="2515"/>
      <c r="F418" s="2502">
        <v>14</v>
      </c>
      <c r="G418" s="2533">
        <v>196</v>
      </c>
      <c r="H418" s="2515"/>
      <c r="I418" s="2513"/>
      <c r="J418" s="2502">
        <v>196</v>
      </c>
      <c r="K418" s="2533">
        <v>57</v>
      </c>
      <c r="L418" s="2515"/>
      <c r="M418" s="2513"/>
      <c r="N418" s="2502">
        <v>57</v>
      </c>
      <c r="O418" s="396"/>
      <c r="P418" s="396"/>
      <c r="Q418" s="396"/>
      <c r="R418" s="396"/>
      <c r="S418" s="396"/>
      <c r="T418" s="396"/>
      <c r="U418" s="396"/>
      <c r="V418" s="396"/>
      <c r="W418" s="396"/>
      <c r="X418" s="396"/>
      <c r="Y418" s="396"/>
      <c r="Z418" s="396"/>
    </row>
    <row r="419" spans="2:26" ht="13.5" customHeight="1">
      <c r="B419" s="2512" t="s">
        <v>118</v>
      </c>
      <c r="C419" s="2508">
        <f>SUM(C410:C418)</f>
        <v>76</v>
      </c>
      <c r="D419" s="2508"/>
      <c r="E419" s="2508">
        <f t="shared" ref="E419:N419" si="22">SUM(E410:E418)</f>
        <v>0</v>
      </c>
      <c r="F419" s="2508">
        <f t="shared" si="22"/>
        <v>76</v>
      </c>
      <c r="G419" s="2508">
        <f t="shared" si="22"/>
        <v>504</v>
      </c>
      <c r="H419" s="2508">
        <f t="shared" si="22"/>
        <v>0</v>
      </c>
      <c r="I419" s="2508">
        <f t="shared" si="22"/>
        <v>0</v>
      </c>
      <c r="J419" s="2508">
        <f t="shared" si="22"/>
        <v>504</v>
      </c>
      <c r="K419" s="2508">
        <f t="shared" si="22"/>
        <v>279</v>
      </c>
      <c r="L419" s="2508">
        <f t="shared" si="22"/>
        <v>0</v>
      </c>
      <c r="M419" s="2508">
        <f t="shared" si="22"/>
        <v>0</v>
      </c>
      <c r="N419" s="2508">
        <f t="shared" si="22"/>
        <v>279</v>
      </c>
      <c r="O419" s="396"/>
      <c r="P419" s="396"/>
      <c r="Q419" s="396"/>
      <c r="R419" s="396"/>
      <c r="S419" s="396"/>
      <c r="T419" s="396"/>
      <c r="U419" s="396"/>
      <c r="V419" s="396"/>
      <c r="W419" s="396"/>
      <c r="X419" s="396"/>
      <c r="Y419" s="396"/>
      <c r="Z419" s="396"/>
    </row>
    <row r="422" spans="2:26" ht="13.5" customHeight="1">
      <c r="B422" s="1611" t="s">
        <v>115</v>
      </c>
    </row>
    <row r="423" spans="2:26" ht="13.5" customHeight="1">
      <c r="B423" s="3518" t="s">
        <v>586</v>
      </c>
      <c r="C423" s="3520" t="s">
        <v>587</v>
      </c>
      <c r="D423" s="3521"/>
      <c r="E423" s="3521"/>
      <c r="F423" s="3521"/>
      <c r="G423" s="3496" t="s">
        <v>588</v>
      </c>
      <c r="H423" s="3496"/>
      <c r="I423" s="3496"/>
      <c r="J423" s="3496"/>
      <c r="K423" s="3526" t="s">
        <v>589</v>
      </c>
      <c r="L423" s="3527"/>
      <c r="M423" s="3527"/>
      <c r="N423" s="3528"/>
    </row>
    <row r="424" spans="2:26" ht="13.5" customHeight="1">
      <c r="B424" s="3525"/>
      <c r="C424" s="3520"/>
      <c r="D424" s="3521"/>
      <c r="E424" s="3521"/>
      <c r="F424" s="3521"/>
      <c r="G424" s="3496"/>
      <c r="H424" s="3496"/>
      <c r="I424" s="3496"/>
      <c r="J424" s="3496"/>
      <c r="K424" s="3529"/>
      <c r="L424" s="3530"/>
      <c r="M424" s="3530"/>
      <c r="N424" s="3531"/>
    </row>
    <row r="425" spans="2:26" ht="13.5" customHeight="1">
      <c r="B425" s="3519"/>
      <c r="C425" s="2491" t="s">
        <v>590</v>
      </c>
      <c r="D425" s="2492" t="s">
        <v>591</v>
      </c>
      <c r="E425" s="2492" t="s">
        <v>592</v>
      </c>
      <c r="F425" s="2509" t="s">
        <v>118</v>
      </c>
      <c r="G425" s="2492" t="s">
        <v>590</v>
      </c>
      <c r="H425" s="2492" t="s">
        <v>591</v>
      </c>
      <c r="I425" s="2492" t="s">
        <v>592</v>
      </c>
      <c r="J425" s="2509" t="s">
        <v>118</v>
      </c>
      <c r="K425" s="2492" t="s">
        <v>590</v>
      </c>
      <c r="L425" s="2492" t="s">
        <v>591</v>
      </c>
      <c r="M425" s="2492" t="s">
        <v>592</v>
      </c>
      <c r="N425" s="2509" t="s">
        <v>118</v>
      </c>
    </row>
    <row r="426" spans="2:26" ht="13.5" customHeight="1">
      <c r="B426" s="1613" t="s">
        <v>593</v>
      </c>
      <c r="C426" s="2511">
        <v>0</v>
      </c>
      <c r="D426" s="2511">
        <v>0</v>
      </c>
      <c r="E426" s="2534">
        <v>13</v>
      </c>
      <c r="F426" s="2502">
        <v>13</v>
      </c>
      <c r="G426" s="2513"/>
      <c r="H426" s="2511"/>
      <c r="I426" s="2526">
        <v>169</v>
      </c>
      <c r="J426" s="2502">
        <v>169</v>
      </c>
      <c r="K426" s="2513"/>
      <c r="L426" s="2511"/>
      <c r="M426" s="2526">
        <v>1599</v>
      </c>
      <c r="N426" s="2502">
        <v>1599</v>
      </c>
      <c r="O426" s="396"/>
      <c r="P426" s="396"/>
      <c r="Q426" s="396"/>
      <c r="R426" s="396"/>
      <c r="S426" s="396"/>
      <c r="T426" s="396"/>
      <c r="U426" s="396"/>
      <c r="V426" s="396"/>
      <c r="W426" s="396"/>
      <c r="X426" s="396"/>
      <c r="Y426" s="396"/>
      <c r="Z426" s="396"/>
    </row>
    <row r="427" spans="2:26" ht="13.5" customHeight="1">
      <c r="B427" s="2439" t="s">
        <v>594</v>
      </c>
      <c r="C427" s="2513">
        <v>0</v>
      </c>
      <c r="D427" s="2513">
        <v>0</v>
      </c>
      <c r="E427" s="2534">
        <v>7</v>
      </c>
      <c r="F427" s="2502">
        <v>7</v>
      </c>
      <c r="G427" s="2513"/>
      <c r="H427" s="2513"/>
      <c r="I427" s="2526">
        <v>48</v>
      </c>
      <c r="J427" s="2502">
        <v>48</v>
      </c>
      <c r="K427" s="2513"/>
      <c r="L427" s="2513"/>
      <c r="M427" s="2526">
        <v>489</v>
      </c>
      <c r="N427" s="2502">
        <v>489</v>
      </c>
      <c r="O427" s="396"/>
      <c r="P427" s="396"/>
      <c r="Q427" s="396"/>
      <c r="R427" s="396"/>
      <c r="S427" s="396"/>
      <c r="T427" s="396"/>
      <c r="U427" s="396"/>
      <c r="V427" s="396"/>
      <c r="W427" s="396"/>
      <c r="X427" s="396"/>
      <c r="Y427" s="396"/>
      <c r="Z427" s="396"/>
    </row>
    <row r="428" spans="2:26" ht="13.5" customHeight="1">
      <c r="B428" s="2439" t="s">
        <v>595</v>
      </c>
      <c r="C428" s="2513">
        <v>0</v>
      </c>
      <c r="D428" s="2513">
        <v>0</v>
      </c>
      <c r="E428" s="2534">
        <v>10</v>
      </c>
      <c r="F428" s="2502">
        <v>10</v>
      </c>
      <c r="G428" s="2513"/>
      <c r="H428" s="2513"/>
      <c r="I428" s="2526">
        <v>75</v>
      </c>
      <c r="J428" s="2502">
        <v>75</v>
      </c>
      <c r="K428" s="2513"/>
      <c r="L428" s="2513"/>
      <c r="M428" s="2526">
        <v>793</v>
      </c>
      <c r="N428" s="2502">
        <v>793</v>
      </c>
      <c r="O428" s="396"/>
      <c r="P428" s="396"/>
      <c r="Q428" s="396"/>
      <c r="R428" s="396"/>
      <c r="S428" s="396"/>
      <c r="T428" s="396"/>
      <c r="U428" s="396"/>
      <c r="V428" s="396"/>
      <c r="W428" s="396"/>
      <c r="X428" s="396"/>
      <c r="Y428" s="396"/>
      <c r="Z428" s="396"/>
    </row>
    <row r="429" spans="2:26" ht="13.5" customHeight="1">
      <c r="B429" s="2439" t="s">
        <v>596</v>
      </c>
      <c r="C429" s="2513">
        <v>0</v>
      </c>
      <c r="D429" s="2513">
        <v>0</v>
      </c>
      <c r="E429" s="2534">
        <v>17</v>
      </c>
      <c r="F429" s="2502">
        <v>17</v>
      </c>
      <c r="G429" s="2513"/>
      <c r="H429" s="2513"/>
      <c r="I429" s="2526">
        <v>199</v>
      </c>
      <c r="J429" s="2502">
        <v>199</v>
      </c>
      <c r="K429" s="2513"/>
      <c r="L429" s="2513"/>
      <c r="M429" s="2526">
        <v>1944</v>
      </c>
      <c r="N429" s="2502">
        <v>1944</v>
      </c>
      <c r="O429" s="396"/>
      <c r="P429" s="396"/>
      <c r="Q429" s="396"/>
      <c r="R429" s="396"/>
      <c r="S429" s="396"/>
      <c r="T429" s="396"/>
      <c r="U429" s="396"/>
      <c r="V429" s="396"/>
      <c r="W429" s="396"/>
      <c r="X429" s="396"/>
      <c r="Y429" s="396"/>
      <c r="Z429" s="396"/>
    </row>
    <row r="430" spans="2:26" ht="13.5" customHeight="1">
      <c r="B430" s="2439" t="s">
        <v>602</v>
      </c>
      <c r="C430" s="2513">
        <v>0</v>
      </c>
      <c r="D430" s="2513">
        <v>0</v>
      </c>
      <c r="E430" s="2534">
        <v>8</v>
      </c>
      <c r="F430" s="2502">
        <v>8</v>
      </c>
      <c r="G430" s="2513"/>
      <c r="H430" s="2513"/>
      <c r="I430" s="2526">
        <v>53</v>
      </c>
      <c r="J430" s="2502">
        <v>53</v>
      </c>
      <c r="K430" s="2513"/>
      <c r="L430" s="2513"/>
      <c r="M430" s="2526">
        <v>686</v>
      </c>
      <c r="N430" s="2502">
        <v>686</v>
      </c>
      <c r="O430" s="396"/>
      <c r="P430" s="396"/>
      <c r="Q430" s="396"/>
      <c r="R430" s="396"/>
      <c r="S430" s="396"/>
      <c r="T430" s="396"/>
      <c r="U430" s="396"/>
      <c r="V430" s="396"/>
      <c r="W430" s="396"/>
      <c r="X430" s="396"/>
      <c r="Y430" s="396"/>
      <c r="Z430" s="396"/>
    </row>
    <row r="431" spans="2:26" ht="13.5" customHeight="1">
      <c r="B431" s="2439" t="s">
        <v>598</v>
      </c>
      <c r="C431" s="2513">
        <v>0</v>
      </c>
      <c r="D431" s="2513">
        <v>0</v>
      </c>
      <c r="E431" s="2534">
        <v>12</v>
      </c>
      <c r="F431" s="2502">
        <v>12</v>
      </c>
      <c r="G431" s="2513"/>
      <c r="H431" s="2513"/>
      <c r="I431" s="2526">
        <v>89</v>
      </c>
      <c r="J431" s="2502">
        <v>89</v>
      </c>
      <c r="K431" s="2513"/>
      <c r="L431" s="2513"/>
      <c r="M431" s="2526">
        <v>1694</v>
      </c>
      <c r="N431" s="2502">
        <v>1694</v>
      </c>
      <c r="O431" s="396"/>
      <c r="P431" s="396"/>
      <c r="Q431" s="396"/>
      <c r="R431" s="396"/>
      <c r="S431" s="396"/>
      <c r="T431" s="396"/>
      <c r="U431" s="396"/>
      <c r="V431" s="396"/>
      <c r="W431" s="396"/>
      <c r="X431" s="396"/>
      <c r="Y431" s="396"/>
      <c r="Z431" s="396"/>
    </row>
    <row r="432" spans="2:26" ht="13.5" customHeight="1">
      <c r="B432" s="2439" t="s">
        <v>599</v>
      </c>
      <c r="C432" s="2513">
        <v>0</v>
      </c>
      <c r="D432" s="2513">
        <v>0</v>
      </c>
      <c r="E432" s="2534">
        <v>18</v>
      </c>
      <c r="F432" s="2502">
        <v>18</v>
      </c>
      <c r="G432" s="2513"/>
      <c r="H432" s="2513"/>
      <c r="I432" s="2526">
        <v>249</v>
      </c>
      <c r="J432" s="2502">
        <v>249</v>
      </c>
      <c r="K432" s="2513"/>
      <c r="L432" s="2513"/>
      <c r="M432" s="2526">
        <v>1980</v>
      </c>
      <c r="N432" s="2502">
        <v>1980</v>
      </c>
      <c r="O432" s="396"/>
      <c r="P432" s="396"/>
      <c r="Q432" s="396"/>
      <c r="R432" s="396"/>
      <c r="S432" s="396"/>
      <c r="T432" s="396"/>
      <c r="U432" s="396"/>
      <c r="V432" s="396"/>
      <c r="W432" s="396"/>
      <c r="X432" s="396"/>
      <c r="Y432" s="396"/>
      <c r="Z432" s="396"/>
    </row>
    <row r="433" spans="2:26" ht="13.5" customHeight="1">
      <c r="B433" s="2439" t="s">
        <v>600</v>
      </c>
      <c r="C433" s="2513">
        <v>0</v>
      </c>
      <c r="D433" s="2513">
        <v>0</v>
      </c>
      <c r="E433" s="2534">
        <v>7</v>
      </c>
      <c r="F433" s="2502">
        <v>7</v>
      </c>
      <c r="G433" s="2513"/>
      <c r="H433" s="2513"/>
      <c r="I433" s="2526">
        <v>99</v>
      </c>
      <c r="J433" s="2502">
        <v>99</v>
      </c>
      <c r="K433" s="2513"/>
      <c r="L433" s="2513"/>
      <c r="M433" s="2526">
        <v>767</v>
      </c>
      <c r="N433" s="2502">
        <v>767</v>
      </c>
      <c r="O433" s="396"/>
      <c r="P433" s="396"/>
      <c r="Q433" s="396"/>
      <c r="R433" s="396"/>
      <c r="S433" s="396"/>
      <c r="T433" s="396"/>
      <c r="U433" s="396"/>
      <c r="V433" s="396"/>
      <c r="W433" s="396"/>
      <c r="X433" s="396"/>
      <c r="Y433" s="396"/>
      <c r="Z433" s="396"/>
    </row>
    <row r="434" spans="2:26" ht="13.5" customHeight="1">
      <c r="B434" s="2535" t="s">
        <v>601</v>
      </c>
      <c r="C434" s="2513">
        <v>0</v>
      </c>
      <c r="D434" s="2513">
        <v>0</v>
      </c>
      <c r="E434" s="2534">
        <v>50</v>
      </c>
      <c r="F434" s="2502">
        <v>50</v>
      </c>
      <c r="G434" s="2513"/>
      <c r="H434" s="2513"/>
      <c r="I434" s="2526">
        <v>1662</v>
      </c>
      <c r="J434" s="2502">
        <v>1662</v>
      </c>
      <c r="K434" s="2513"/>
      <c r="L434" s="2513"/>
      <c r="M434" s="2526">
        <v>7115</v>
      </c>
      <c r="N434" s="2502">
        <v>7115</v>
      </c>
      <c r="O434" s="396"/>
      <c r="P434" s="396"/>
      <c r="Q434" s="396"/>
      <c r="R434" s="396"/>
      <c r="S434" s="396"/>
      <c r="T434" s="396"/>
      <c r="U434" s="396"/>
      <c r="V434" s="396"/>
      <c r="W434" s="396"/>
      <c r="X434" s="396"/>
      <c r="Y434" s="396"/>
      <c r="Z434" s="396"/>
    </row>
    <row r="435" spans="2:26" ht="13.5" customHeight="1">
      <c r="B435" s="2536" t="s">
        <v>118</v>
      </c>
      <c r="C435" s="2508">
        <v>0</v>
      </c>
      <c r="D435" s="2508">
        <v>0</v>
      </c>
      <c r="E435" s="2508">
        <f>SUM(E426:E434)</f>
        <v>142</v>
      </c>
      <c r="F435" s="2508">
        <f t="shared" ref="F435:N435" si="23">SUM(F426:F434)</f>
        <v>142</v>
      </c>
      <c r="G435" s="2508">
        <f t="shared" si="23"/>
        <v>0</v>
      </c>
      <c r="H435" s="2508">
        <f t="shared" si="23"/>
        <v>0</v>
      </c>
      <c r="I435" s="2508">
        <f t="shared" si="23"/>
        <v>2643</v>
      </c>
      <c r="J435" s="2508">
        <f t="shared" si="23"/>
        <v>2643</v>
      </c>
      <c r="K435" s="2508">
        <f t="shared" si="23"/>
        <v>0</v>
      </c>
      <c r="L435" s="2508">
        <f t="shared" si="23"/>
        <v>0</v>
      </c>
      <c r="M435" s="2508">
        <f t="shared" si="23"/>
        <v>17067</v>
      </c>
      <c r="N435" s="2508">
        <f t="shared" si="23"/>
        <v>17067</v>
      </c>
      <c r="O435" s="396"/>
      <c r="P435" s="396"/>
      <c r="Q435" s="396"/>
      <c r="R435" s="396"/>
      <c r="S435" s="396"/>
      <c r="T435" s="396"/>
      <c r="U435" s="396"/>
      <c r="V435" s="396"/>
      <c r="W435" s="396"/>
      <c r="X435" s="396"/>
      <c r="Y435" s="396"/>
      <c r="Z435" s="396"/>
    </row>
    <row r="438" spans="2:26" ht="13.5" customHeight="1">
      <c r="B438" s="1611" t="s">
        <v>117</v>
      </c>
    </row>
    <row r="439" spans="2:26" ht="13.5" customHeight="1">
      <c r="B439" s="3518" t="s">
        <v>586</v>
      </c>
      <c r="C439" s="3520" t="s">
        <v>587</v>
      </c>
      <c r="D439" s="3521"/>
      <c r="E439" s="3521"/>
      <c r="F439" s="3521"/>
      <c r="G439" s="3496" t="s">
        <v>588</v>
      </c>
      <c r="H439" s="3496"/>
      <c r="I439" s="3496"/>
      <c r="J439" s="3496"/>
      <c r="K439" s="3526" t="s">
        <v>589</v>
      </c>
      <c r="L439" s="3527"/>
      <c r="M439" s="3527"/>
      <c r="N439" s="3528"/>
    </row>
    <row r="440" spans="2:26" ht="13.5" customHeight="1">
      <c r="B440" s="3525"/>
      <c r="C440" s="3520"/>
      <c r="D440" s="3521"/>
      <c r="E440" s="3521"/>
      <c r="F440" s="3521"/>
      <c r="G440" s="3496"/>
      <c r="H440" s="3496"/>
      <c r="I440" s="3496"/>
      <c r="J440" s="3496"/>
      <c r="K440" s="3529"/>
      <c r="L440" s="3530"/>
      <c r="M440" s="3530"/>
      <c r="N440" s="3531"/>
    </row>
    <row r="441" spans="2:26" ht="13.5" customHeight="1">
      <c r="B441" s="3519"/>
      <c r="C441" s="2491" t="s">
        <v>590</v>
      </c>
      <c r="D441" s="2492" t="s">
        <v>591</v>
      </c>
      <c r="E441" s="2492" t="s">
        <v>592</v>
      </c>
      <c r="F441" s="2509" t="s">
        <v>118</v>
      </c>
      <c r="G441" s="2492" t="s">
        <v>590</v>
      </c>
      <c r="H441" s="2492" t="s">
        <v>591</v>
      </c>
      <c r="I441" s="2492" t="s">
        <v>592</v>
      </c>
      <c r="J441" s="2509" t="s">
        <v>118</v>
      </c>
      <c r="K441" s="2492" t="s">
        <v>590</v>
      </c>
      <c r="L441" s="2492" t="s">
        <v>591</v>
      </c>
      <c r="M441" s="2492" t="s">
        <v>592</v>
      </c>
      <c r="N441" s="2509" t="s">
        <v>118</v>
      </c>
    </row>
    <row r="442" spans="2:26" ht="13.5" customHeight="1">
      <c r="B442" s="1613" t="s">
        <v>593</v>
      </c>
      <c r="C442" s="2511"/>
      <c r="D442" s="2530">
        <v>7</v>
      </c>
      <c r="E442" s="2515"/>
      <c r="F442" s="2502">
        <v>7</v>
      </c>
      <c r="G442" s="2513"/>
      <c r="H442" s="2526">
        <v>67</v>
      </c>
      <c r="I442" s="2513"/>
      <c r="J442" s="2502">
        <v>67</v>
      </c>
      <c r="K442" s="2513"/>
      <c r="L442" s="2526">
        <v>235</v>
      </c>
      <c r="M442" s="2513"/>
      <c r="N442" s="2502">
        <v>235</v>
      </c>
      <c r="O442" s="396"/>
      <c r="P442" s="396"/>
      <c r="Q442" s="396"/>
      <c r="R442" s="396"/>
      <c r="S442" s="396"/>
      <c r="T442" s="396"/>
      <c r="U442" s="396"/>
      <c r="V442" s="396"/>
      <c r="W442" s="396"/>
      <c r="X442" s="396"/>
      <c r="Y442" s="396"/>
      <c r="Z442" s="396"/>
    </row>
    <row r="443" spans="2:26" ht="13.5" customHeight="1">
      <c r="B443" s="2439" t="s">
        <v>594</v>
      </c>
      <c r="C443" s="2513"/>
      <c r="D443" s="2526">
        <v>5</v>
      </c>
      <c r="E443" s="2515"/>
      <c r="F443" s="2502">
        <v>5</v>
      </c>
      <c r="G443" s="2513"/>
      <c r="H443" s="2526">
        <v>30</v>
      </c>
      <c r="I443" s="2513"/>
      <c r="J443" s="2502">
        <v>30</v>
      </c>
      <c r="K443" s="2513"/>
      <c r="L443" s="2526">
        <v>104</v>
      </c>
      <c r="M443" s="2513"/>
      <c r="N443" s="2502">
        <v>104</v>
      </c>
      <c r="O443" s="396"/>
      <c r="P443" s="396"/>
      <c r="Q443" s="396"/>
      <c r="R443" s="396"/>
      <c r="S443" s="396"/>
      <c r="T443" s="396"/>
      <c r="U443" s="396"/>
      <c r="V443" s="396"/>
      <c r="W443" s="396"/>
      <c r="X443" s="396"/>
      <c r="Y443" s="396"/>
      <c r="Z443" s="396"/>
    </row>
    <row r="444" spans="2:26" ht="13.5" customHeight="1">
      <c r="B444" s="2439" t="s">
        <v>595</v>
      </c>
      <c r="C444" s="2513"/>
      <c r="D444" s="2526">
        <v>7</v>
      </c>
      <c r="E444" s="2515"/>
      <c r="F444" s="2502">
        <v>7</v>
      </c>
      <c r="G444" s="2513"/>
      <c r="H444" s="2526">
        <v>33</v>
      </c>
      <c r="I444" s="2513"/>
      <c r="J444" s="2502">
        <v>33</v>
      </c>
      <c r="K444" s="2513"/>
      <c r="L444" s="2526">
        <v>249</v>
      </c>
      <c r="M444" s="2513"/>
      <c r="N444" s="2502">
        <v>249</v>
      </c>
      <c r="O444" s="396"/>
      <c r="P444" s="396"/>
      <c r="Q444" s="396"/>
      <c r="R444" s="396"/>
      <c r="S444" s="396"/>
      <c r="T444" s="396"/>
      <c r="U444" s="396"/>
      <c r="V444" s="396"/>
      <c r="W444" s="396"/>
      <c r="X444" s="396"/>
      <c r="Y444" s="396"/>
      <c r="Z444" s="396"/>
    </row>
    <row r="445" spans="2:26" ht="13.5" customHeight="1">
      <c r="B445" s="2439" t="s">
        <v>596</v>
      </c>
      <c r="C445" s="2513"/>
      <c r="D445" s="2526">
        <v>9</v>
      </c>
      <c r="E445" s="2515"/>
      <c r="F445" s="2502">
        <v>9</v>
      </c>
      <c r="G445" s="2513"/>
      <c r="H445" s="2526">
        <v>64</v>
      </c>
      <c r="I445" s="2513"/>
      <c r="J445" s="2502">
        <v>64</v>
      </c>
      <c r="K445" s="2513"/>
      <c r="L445" s="2526">
        <v>428</v>
      </c>
      <c r="M445" s="2513"/>
      <c r="N445" s="2502">
        <v>428</v>
      </c>
      <c r="O445" s="396"/>
      <c r="P445" s="396"/>
      <c r="Q445" s="396"/>
      <c r="R445" s="396"/>
      <c r="S445" s="396"/>
      <c r="T445" s="396"/>
      <c r="U445" s="396"/>
      <c r="V445" s="396"/>
      <c r="W445" s="396"/>
      <c r="X445" s="396"/>
      <c r="Y445" s="396"/>
      <c r="Z445" s="396"/>
    </row>
    <row r="446" spans="2:26" ht="13.5" customHeight="1">
      <c r="B446" s="2439" t="s">
        <v>602</v>
      </c>
      <c r="C446" s="2513"/>
      <c r="D446" s="2526">
        <v>6</v>
      </c>
      <c r="E446" s="2515"/>
      <c r="F446" s="2502">
        <v>6</v>
      </c>
      <c r="G446" s="2513"/>
      <c r="H446" s="2526">
        <v>36</v>
      </c>
      <c r="I446" s="2513"/>
      <c r="J446" s="2502">
        <v>36</v>
      </c>
      <c r="K446" s="2513"/>
      <c r="L446" s="2526">
        <v>274</v>
      </c>
      <c r="M446" s="2513"/>
      <c r="N446" s="2502">
        <v>274</v>
      </c>
      <c r="O446" s="396"/>
      <c r="P446" s="396"/>
      <c r="Q446" s="396"/>
      <c r="R446" s="396"/>
      <c r="S446" s="396"/>
      <c r="T446" s="396"/>
      <c r="U446" s="396"/>
      <c r="V446" s="396"/>
      <c r="W446" s="396"/>
      <c r="X446" s="396"/>
      <c r="Y446" s="396"/>
      <c r="Z446" s="396"/>
    </row>
    <row r="447" spans="2:26" ht="13.5" customHeight="1">
      <c r="B447" s="2439" t="s">
        <v>598</v>
      </c>
      <c r="C447" s="2513"/>
      <c r="D447" s="2526">
        <v>6</v>
      </c>
      <c r="E447" s="2515"/>
      <c r="F447" s="2502">
        <v>6</v>
      </c>
      <c r="G447" s="2513"/>
      <c r="H447" s="2526">
        <v>37</v>
      </c>
      <c r="I447" s="2513"/>
      <c r="J447" s="2502">
        <v>37</v>
      </c>
      <c r="K447" s="2513"/>
      <c r="L447" s="2526">
        <v>88</v>
      </c>
      <c r="M447" s="2513"/>
      <c r="N447" s="2502">
        <v>88</v>
      </c>
      <c r="O447" s="396"/>
      <c r="P447" s="396"/>
      <c r="Q447" s="396"/>
      <c r="R447" s="396"/>
      <c r="S447" s="396"/>
      <c r="T447" s="396"/>
      <c r="U447" s="396"/>
      <c r="V447" s="396"/>
      <c r="W447" s="396"/>
      <c r="X447" s="396"/>
      <c r="Y447" s="396"/>
      <c r="Z447" s="396"/>
    </row>
    <row r="448" spans="2:26" ht="13.5" customHeight="1">
      <c r="B448" s="2439" t="s">
        <v>599</v>
      </c>
      <c r="C448" s="2513"/>
      <c r="D448" s="2526">
        <v>10</v>
      </c>
      <c r="E448" s="2515"/>
      <c r="F448" s="2502">
        <v>10</v>
      </c>
      <c r="G448" s="2513"/>
      <c r="H448" s="2526">
        <v>68</v>
      </c>
      <c r="I448" s="2513"/>
      <c r="J448" s="2502">
        <v>68</v>
      </c>
      <c r="K448" s="2513"/>
      <c r="L448" s="2526">
        <v>580</v>
      </c>
      <c r="M448" s="2513"/>
      <c r="N448" s="2502">
        <v>580</v>
      </c>
      <c r="O448" s="396"/>
      <c r="P448" s="396"/>
      <c r="Q448" s="396"/>
      <c r="R448" s="396"/>
      <c r="S448" s="396"/>
      <c r="T448" s="396"/>
      <c r="U448" s="396"/>
      <c r="V448" s="396"/>
      <c r="W448" s="396"/>
      <c r="X448" s="396"/>
      <c r="Y448" s="396"/>
      <c r="Z448" s="396"/>
    </row>
    <row r="449" spans="2:26" ht="13.5" customHeight="1">
      <c r="B449" s="2439" t="s">
        <v>600</v>
      </c>
      <c r="C449" s="2513"/>
      <c r="D449" s="2526">
        <v>5</v>
      </c>
      <c r="E449" s="2515"/>
      <c r="F449" s="2502">
        <v>5</v>
      </c>
      <c r="G449" s="2513"/>
      <c r="H449" s="2526">
        <v>27</v>
      </c>
      <c r="I449" s="2513"/>
      <c r="J449" s="2502">
        <v>27</v>
      </c>
      <c r="K449" s="2513"/>
      <c r="L449" s="2526">
        <v>262</v>
      </c>
      <c r="M449" s="2513"/>
      <c r="N449" s="2502">
        <v>262</v>
      </c>
      <c r="O449" s="396"/>
      <c r="P449" s="396"/>
      <c r="Q449" s="396"/>
      <c r="R449" s="396"/>
      <c r="S449" s="396"/>
      <c r="T449" s="396"/>
      <c r="U449" s="396"/>
      <c r="V449" s="396"/>
      <c r="W449" s="396"/>
      <c r="X449" s="396"/>
      <c r="Y449" s="396"/>
      <c r="Z449" s="396"/>
    </row>
    <row r="450" spans="2:26" ht="13.5" customHeight="1">
      <c r="B450" s="2439" t="s">
        <v>601</v>
      </c>
      <c r="C450" s="2513"/>
      <c r="D450" s="2526">
        <v>24</v>
      </c>
      <c r="E450" s="2515"/>
      <c r="F450" s="2502">
        <v>24</v>
      </c>
      <c r="G450" s="2513"/>
      <c r="H450" s="2526">
        <v>436</v>
      </c>
      <c r="I450" s="2513"/>
      <c r="J450" s="2502">
        <v>436</v>
      </c>
      <c r="K450" s="2513"/>
      <c r="L450" s="2526">
        <v>957</v>
      </c>
      <c r="M450" s="2513"/>
      <c r="N450" s="2502">
        <v>957</v>
      </c>
      <c r="O450" s="396"/>
      <c r="P450" s="396"/>
      <c r="Q450" s="396"/>
      <c r="R450" s="396"/>
      <c r="S450" s="396"/>
      <c r="T450" s="396"/>
      <c r="U450" s="396"/>
      <c r="V450" s="396"/>
      <c r="W450" s="396"/>
      <c r="X450" s="396"/>
      <c r="Y450" s="396"/>
      <c r="Z450" s="396"/>
    </row>
    <row r="451" spans="2:26" ht="13.5" customHeight="1">
      <c r="B451" s="2512" t="s">
        <v>118</v>
      </c>
      <c r="C451" s="2508"/>
      <c r="D451" s="2508">
        <f>SUM(D442:D450)</f>
        <v>79</v>
      </c>
      <c r="E451" s="2508">
        <f t="shared" ref="E451:N451" si="24">SUM(E442:E450)</f>
        <v>0</v>
      </c>
      <c r="F451" s="2508">
        <f t="shared" si="24"/>
        <v>79</v>
      </c>
      <c r="G451" s="2508">
        <f t="shared" si="24"/>
        <v>0</v>
      </c>
      <c r="H451" s="2508">
        <f t="shared" si="24"/>
        <v>798</v>
      </c>
      <c r="I451" s="2508">
        <f t="shared" si="24"/>
        <v>0</v>
      </c>
      <c r="J451" s="2508">
        <f t="shared" si="24"/>
        <v>798</v>
      </c>
      <c r="K451" s="2508">
        <f t="shared" si="24"/>
        <v>0</v>
      </c>
      <c r="L451" s="2508">
        <f t="shared" si="24"/>
        <v>3177</v>
      </c>
      <c r="M451" s="2508">
        <f t="shared" si="24"/>
        <v>0</v>
      </c>
      <c r="N451" s="2508">
        <f t="shared" si="24"/>
        <v>3177</v>
      </c>
      <c r="O451" s="396"/>
      <c r="P451" s="396"/>
      <c r="Q451" s="396"/>
      <c r="R451" s="396"/>
      <c r="S451" s="396"/>
      <c r="T451" s="396"/>
      <c r="U451" s="396"/>
      <c r="V451" s="396"/>
      <c r="W451" s="396"/>
      <c r="X451" s="396"/>
      <c r="Y451" s="396"/>
      <c r="Z451" s="396"/>
    </row>
    <row r="452" spans="2:26" ht="13.5" customHeight="1">
      <c r="B452" s="51"/>
      <c r="C452" s="840"/>
      <c r="D452" s="840"/>
      <c r="E452" s="840"/>
      <c r="F452" s="840"/>
      <c r="G452" s="840"/>
      <c r="H452" s="840"/>
      <c r="I452" s="840"/>
      <c r="J452" s="840"/>
      <c r="K452" s="840"/>
      <c r="L452" s="840"/>
      <c r="M452" s="840"/>
      <c r="N452" s="840"/>
      <c r="O452" s="396"/>
      <c r="P452" s="396"/>
      <c r="Q452" s="396"/>
      <c r="R452" s="396"/>
      <c r="S452" s="396"/>
      <c r="T452" s="396"/>
      <c r="U452" s="396"/>
      <c r="V452" s="396"/>
      <c r="W452" s="396"/>
      <c r="X452" s="396"/>
      <c r="Y452" s="396"/>
      <c r="Z452" s="396"/>
    </row>
    <row r="453" spans="2:26" ht="13.5" customHeight="1">
      <c r="O453" s="396"/>
      <c r="P453" s="396"/>
      <c r="Q453" s="396"/>
      <c r="R453" s="396"/>
      <c r="S453" s="396"/>
      <c r="T453" s="396"/>
      <c r="U453" s="396"/>
      <c r="V453" s="396"/>
      <c r="W453" s="396"/>
      <c r="X453" s="396"/>
      <c r="Y453" s="396"/>
      <c r="Z453" s="396"/>
    </row>
    <row r="455" spans="2:26" ht="13.5" customHeight="1">
      <c r="B455" s="370"/>
      <c r="C455" s="370"/>
      <c r="N455" s="292">
        <v>179</v>
      </c>
    </row>
    <row r="456" spans="2:26" ht="13.5" customHeight="1">
      <c r="B456" s="370"/>
      <c r="C456" s="370"/>
    </row>
    <row r="457" spans="2:26" ht="13.5" customHeight="1">
      <c r="B457" s="370"/>
      <c r="C457" s="370"/>
    </row>
    <row r="458" spans="2:26" ht="13.5" customHeight="1">
      <c r="B458" s="370"/>
      <c r="C458" s="370"/>
    </row>
    <row r="459" spans="2:26" ht="13.5" customHeight="1">
      <c r="B459" s="292"/>
      <c r="C459" s="370"/>
    </row>
    <row r="460" spans="2:26" ht="13.5" customHeight="1">
      <c r="B460" s="1611" t="s">
        <v>605</v>
      </c>
    </row>
    <row r="461" spans="2:26" ht="13.5" customHeight="1">
      <c r="B461" s="3518" t="s">
        <v>586</v>
      </c>
      <c r="C461" s="3520" t="s">
        <v>587</v>
      </c>
      <c r="D461" s="3521"/>
      <c r="E461" s="3521"/>
      <c r="F461" s="3521"/>
      <c r="G461" s="3496" t="s">
        <v>588</v>
      </c>
      <c r="H461" s="3496"/>
      <c r="I461" s="3496"/>
      <c r="J461" s="3496"/>
      <c r="K461" s="3526" t="s">
        <v>589</v>
      </c>
      <c r="L461" s="3527"/>
      <c r="M461" s="3527"/>
      <c r="N461" s="3528"/>
    </row>
    <row r="462" spans="2:26" ht="13.5" customHeight="1">
      <c r="B462" s="3525"/>
      <c r="C462" s="3520"/>
      <c r="D462" s="3521"/>
      <c r="E462" s="3521"/>
      <c r="F462" s="3521"/>
      <c r="G462" s="3496"/>
      <c r="H462" s="3496"/>
      <c r="I462" s="3496"/>
      <c r="J462" s="3496"/>
      <c r="K462" s="3529"/>
      <c r="L462" s="3530"/>
      <c r="M462" s="3530"/>
      <c r="N462" s="3531"/>
    </row>
    <row r="463" spans="2:26" ht="13.5" customHeight="1">
      <c r="B463" s="3519"/>
      <c r="C463" s="2491" t="s">
        <v>590</v>
      </c>
      <c r="D463" s="2492" t="s">
        <v>591</v>
      </c>
      <c r="E463" s="2492" t="s">
        <v>592</v>
      </c>
      <c r="F463" s="2509" t="s">
        <v>118</v>
      </c>
      <c r="G463" s="2492" t="s">
        <v>590</v>
      </c>
      <c r="H463" s="2492" t="s">
        <v>591</v>
      </c>
      <c r="I463" s="2492" t="s">
        <v>592</v>
      </c>
      <c r="J463" s="2509" t="s">
        <v>118</v>
      </c>
      <c r="K463" s="2492" t="s">
        <v>590</v>
      </c>
      <c r="L463" s="2492" t="s">
        <v>591</v>
      </c>
      <c r="M463" s="2492" t="s">
        <v>592</v>
      </c>
      <c r="N463" s="2509" t="s">
        <v>118</v>
      </c>
    </row>
    <row r="464" spans="2:26" ht="13.5" customHeight="1">
      <c r="B464" s="1613" t="s">
        <v>593</v>
      </c>
      <c r="C464" s="2511"/>
      <c r="D464" s="2530"/>
      <c r="E464" s="2515"/>
      <c r="F464" s="2502">
        <v>0</v>
      </c>
      <c r="G464" s="2513"/>
      <c r="H464" s="2526"/>
      <c r="I464" s="2513"/>
      <c r="J464" s="2502">
        <v>0</v>
      </c>
      <c r="K464" s="2513"/>
      <c r="L464" s="2526"/>
      <c r="M464" s="2513"/>
      <c r="N464" s="2502"/>
    </row>
    <row r="465" spans="2:14" ht="13.5" customHeight="1">
      <c r="B465" s="2439" t="s">
        <v>594</v>
      </c>
      <c r="C465" s="2513"/>
      <c r="D465" s="2526"/>
      <c r="E465" s="2515"/>
      <c r="F465" s="2502">
        <v>0</v>
      </c>
      <c r="G465" s="2513"/>
      <c r="H465" s="2526"/>
      <c r="I465" s="2513"/>
      <c r="J465" s="2502">
        <v>0</v>
      </c>
      <c r="K465" s="2513"/>
      <c r="L465" s="2526"/>
      <c r="M465" s="2513"/>
      <c r="N465" s="2502"/>
    </row>
    <row r="466" spans="2:14" ht="13.5" customHeight="1">
      <c r="B466" s="2439" t="s">
        <v>595</v>
      </c>
      <c r="C466" s="2513"/>
      <c r="D466" s="2526"/>
      <c r="E466" s="2515"/>
      <c r="F466" s="2502">
        <v>0</v>
      </c>
      <c r="G466" s="2513"/>
      <c r="H466" s="2526"/>
      <c r="I466" s="2513"/>
      <c r="J466" s="2502">
        <v>0</v>
      </c>
      <c r="K466" s="2513"/>
      <c r="L466" s="2526"/>
      <c r="M466" s="2513"/>
      <c r="N466" s="2502"/>
    </row>
    <row r="467" spans="2:14" ht="13.5" customHeight="1">
      <c r="B467" s="2439" t="s">
        <v>596</v>
      </c>
      <c r="C467" s="2513"/>
      <c r="D467" s="2526"/>
      <c r="E467" s="2515"/>
      <c r="F467" s="2502">
        <v>0</v>
      </c>
      <c r="G467" s="2513"/>
      <c r="H467" s="2526"/>
      <c r="I467" s="2513"/>
      <c r="J467" s="2502">
        <v>0</v>
      </c>
      <c r="K467" s="2513"/>
      <c r="L467" s="2526"/>
      <c r="M467" s="2513"/>
      <c r="N467" s="2502"/>
    </row>
    <row r="468" spans="2:14" ht="13.5" customHeight="1">
      <c r="B468" s="2439" t="s">
        <v>602</v>
      </c>
      <c r="C468" s="2513"/>
      <c r="D468" s="2526"/>
      <c r="E468" s="2515"/>
      <c r="F468" s="2502">
        <v>0</v>
      </c>
      <c r="G468" s="2513"/>
      <c r="H468" s="2526"/>
      <c r="I468" s="2513"/>
      <c r="J468" s="2502">
        <v>0</v>
      </c>
      <c r="K468" s="2513"/>
      <c r="L468" s="2526"/>
      <c r="M468" s="2513"/>
      <c r="N468" s="2502"/>
    </row>
    <row r="469" spans="2:14" ht="13.5" customHeight="1">
      <c r="B469" s="2439" t="s">
        <v>598</v>
      </c>
      <c r="C469" s="2513"/>
      <c r="D469" s="2526"/>
      <c r="E469" s="2515"/>
      <c r="F469" s="2502">
        <v>0</v>
      </c>
      <c r="G469" s="2513"/>
      <c r="H469" s="2526"/>
      <c r="I469" s="2513"/>
      <c r="J469" s="2502">
        <v>0</v>
      </c>
      <c r="K469" s="2513"/>
      <c r="L469" s="2526"/>
      <c r="M469" s="2513"/>
      <c r="N469" s="2502"/>
    </row>
    <row r="470" spans="2:14" ht="13.5" customHeight="1">
      <c r="B470" s="2439" t="s">
        <v>599</v>
      </c>
      <c r="C470" s="2513"/>
      <c r="D470" s="2526"/>
      <c r="E470" s="2515"/>
      <c r="F470" s="2502">
        <v>0</v>
      </c>
      <c r="G470" s="2513"/>
      <c r="H470" s="2526"/>
      <c r="I470" s="2513"/>
      <c r="J470" s="2502">
        <v>0</v>
      </c>
      <c r="K470" s="2513"/>
      <c r="L470" s="2526"/>
      <c r="M470" s="2513"/>
      <c r="N470" s="2502"/>
    </row>
    <row r="471" spans="2:14" ht="13.5" customHeight="1">
      <c r="B471" s="2439" t="s">
        <v>600</v>
      </c>
      <c r="C471" s="2513"/>
      <c r="D471" s="2526"/>
      <c r="E471" s="2515"/>
      <c r="F471" s="2502">
        <v>0</v>
      </c>
      <c r="G471" s="2513"/>
      <c r="H471" s="2526"/>
      <c r="I471" s="2513"/>
      <c r="J471" s="2502">
        <v>0</v>
      </c>
      <c r="K471" s="2513"/>
      <c r="L471" s="2526"/>
      <c r="M471" s="2513"/>
      <c r="N471" s="2502"/>
    </row>
    <row r="472" spans="2:14" ht="13.5" customHeight="1">
      <c r="B472" s="2439" t="s">
        <v>601</v>
      </c>
      <c r="C472" s="2513"/>
      <c r="D472" s="2526"/>
      <c r="E472" s="2515"/>
      <c r="F472" s="2502">
        <v>0</v>
      </c>
      <c r="G472" s="2513">
        <v>0</v>
      </c>
      <c r="H472" s="2526">
        <v>8</v>
      </c>
      <c r="I472" s="2513">
        <v>0</v>
      </c>
      <c r="J472" s="2502">
        <v>8</v>
      </c>
      <c r="K472" s="2513"/>
      <c r="L472" s="2526"/>
      <c r="M472" s="2513"/>
      <c r="N472" s="2502"/>
    </row>
    <row r="473" spans="2:14" ht="13.5" customHeight="1">
      <c r="B473" s="2512" t="s">
        <v>118</v>
      </c>
      <c r="C473" s="2508"/>
      <c r="D473" s="2508">
        <f>SUM(D464:D472)</f>
        <v>0</v>
      </c>
      <c r="E473" s="2508">
        <f t="shared" ref="E473:N473" si="25">SUM(E464:E472)</f>
        <v>0</v>
      </c>
      <c r="F473" s="2508">
        <f t="shared" si="25"/>
        <v>0</v>
      </c>
      <c r="G473" s="2508">
        <f t="shared" si="25"/>
        <v>0</v>
      </c>
      <c r="H473" s="2508">
        <f t="shared" si="25"/>
        <v>8</v>
      </c>
      <c r="I473" s="2508">
        <f t="shared" si="25"/>
        <v>0</v>
      </c>
      <c r="J473" s="2508">
        <f t="shared" si="25"/>
        <v>8</v>
      </c>
      <c r="K473" s="2508">
        <f t="shared" si="25"/>
        <v>0</v>
      </c>
      <c r="L473" s="2508">
        <f t="shared" si="25"/>
        <v>0</v>
      </c>
      <c r="M473" s="2508">
        <f t="shared" si="25"/>
        <v>0</v>
      </c>
      <c r="N473" s="2508">
        <f t="shared" si="25"/>
        <v>0</v>
      </c>
    </row>
    <row r="476" spans="2:14" ht="13.5" customHeight="1">
      <c r="B476" s="3545" t="s">
        <v>606</v>
      </c>
      <c r="C476" s="3545"/>
      <c r="D476" s="3545"/>
      <c r="E476" s="3545"/>
      <c r="F476" s="3545"/>
      <c r="G476" s="3545"/>
      <c r="H476" s="3545"/>
      <c r="I476" s="3545"/>
      <c r="J476" s="3545"/>
      <c r="K476" s="3545"/>
      <c r="L476" s="3545"/>
      <c r="M476" s="3545"/>
      <c r="N476" s="3545"/>
    </row>
    <row r="477" spans="2:14" ht="13.5" customHeight="1">
      <c r="B477" s="3545"/>
      <c r="C477" s="3545"/>
      <c r="D477" s="3545"/>
      <c r="E477" s="3545"/>
      <c r="F477" s="3545"/>
      <c r="G477" s="3545"/>
      <c r="H477" s="3545"/>
      <c r="I477" s="3545"/>
      <c r="J477" s="3545"/>
      <c r="K477" s="3545"/>
      <c r="L477" s="3545"/>
      <c r="M477" s="3545"/>
      <c r="N477" s="3545"/>
    </row>
  </sheetData>
  <mergeCells count="117">
    <mergeCell ref="B476:N477"/>
    <mergeCell ref="B439:B441"/>
    <mergeCell ref="C439:F440"/>
    <mergeCell ref="G439:J440"/>
    <mergeCell ref="K439:N440"/>
    <mergeCell ref="B390:B392"/>
    <mergeCell ref="C390:F391"/>
    <mergeCell ref="G390:J391"/>
    <mergeCell ref="K390:N391"/>
    <mergeCell ref="B423:B425"/>
    <mergeCell ref="C423:F424"/>
    <mergeCell ref="G423:J424"/>
    <mergeCell ref="K423:N424"/>
    <mergeCell ref="B407:B409"/>
    <mergeCell ref="C407:F408"/>
    <mergeCell ref="G407:J408"/>
    <mergeCell ref="K407:N408"/>
    <mergeCell ref="B461:B463"/>
    <mergeCell ref="C461:F462"/>
    <mergeCell ref="G461:J462"/>
    <mergeCell ref="K461:N462"/>
    <mergeCell ref="B358:B360"/>
    <mergeCell ref="C358:F359"/>
    <mergeCell ref="G358:J359"/>
    <mergeCell ref="K358:N359"/>
    <mergeCell ref="B374:B376"/>
    <mergeCell ref="C374:F375"/>
    <mergeCell ref="G374:J375"/>
    <mergeCell ref="K374:N375"/>
    <mergeCell ref="B325:B327"/>
    <mergeCell ref="C325:F326"/>
    <mergeCell ref="G325:J326"/>
    <mergeCell ref="K325:N326"/>
    <mergeCell ref="B341:B343"/>
    <mergeCell ref="C341:F342"/>
    <mergeCell ref="G341:J342"/>
    <mergeCell ref="K341:N342"/>
    <mergeCell ref="B292:B294"/>
    <mergeCell ref="C292:F293"/>
    <mergeCell ref="G292:J293"/>
    <mergeCell ref="K292:N293"/>
    <mergeCell ref="B309:B311"/>
    <mergeCell ref="C309:F310"/>
    <mergeCell ref="G309:J310"/>
    <mergeCell ref="K309:N310"/>
    <mergeCell ref="B258:B260"/>
    <mergeCell ref="C258:F259"/>
    <mergeCell ref="G258:J259"/>
    <mergeCell ref="K258:N259"/>
    <mergeCell ref="B276:B278"/>
    <mergeCell ref="C276:F277"/>
    <mergeCell ref="G276:J277"/>
    <mergeCell ref="K276:N277"/>
    <mergeCell ref="B226:B228"/>
    <mergeCell ref="C226:F227"/>
    <mergeCell ref="G226:J227"/>
    <mergeCell ref="K226:N227"/>
    <mergeCell ref="B177:B179"/>
    <mergeCell ref="C177:F178"/>
    <mergeCell ref="G177:J178"/>
    <mergeCell ref="K177:N178"/>
    <mergeCell ref="B242:B244"/>
    <mergeCell ref="C242:F243"/>
    <mergeCell ref="G242:J243"/>
    <mergeCell ref="K242:N243"/>
    <mergeCell ref="B193:B195"/>
    <mergeCell ref="C193:F194"/>
    <mergeCell ref="G193:J194"/>
    <mergeCell ref="K193:N194"/>
    <mergeCell ref="B209:B211"/>
    <mergeCell ref="C209:F210"/>
    <mergeCell ref="G209:J210"/>
    <mergeCell ref="K209:N210"/>
    <mergeCell ref="B5:B6"/>
    <mergeCell ref="C5:F5"/>
    <mergeCell ref="G5:J5"/>
    <mergeCell ref="K5:N5"/>
    <mergeCell ref="B20:B21"/>
    <mergeCell ref="C20:F20"/>
    <mergeCell ref="G20:J20"/>
    <mergeCell ref="K20:N20"/>
    <mergeCell ref="B97:B98"/>
    <mergeCell ref="C97:F97"/>
    <mergeCell ref="G97:J97"/>
    <mergeCell ref="K97:N97"/>
    <mergeCell ref="B66:B67"/>
    <mergeCell ref="C66:F66"/>
    <mergeCell ref="G66:J66"/>
    <mergeCell ref="K66:N66"/>
    <mergeCell ref="B82:B83"/>
    <mergeCell ref="C82:F82"/>
    <mergeCell ref="G82:J82"/>
    <mergeCell ref="K82:N82"/>
    <mergeCell ref="B36:B37"/>
    <mergeCell ref="C36:F36"/>
    <mergeCell ref="G36:J36"/>
    <mergeCell ref="K36:N36"/>
    <mergeCell ref="B51:B52"/>
    <mergeCell ref="C51:F51"/>
    <mergeCell ref="G51:J51"/>
    <mergeCell ref="K51:N51"/>
    <mergeCell ref="B112:B113"/>
    <mergeCell ref="C112:F112"/>
    <mergeCell ref="G112:J112"/>
    <mergeCell ref="K112:N112"/>
    <mergeCell ref="B160:B162"/>
    <mergeCell ref="C160:F161"/>
    <mergeCell ref="G160:J161"/>
    <mergeCell ref="K160:N161"/>
    <mergeCell ref="B128:B130"/>
    <mergeCell ref="C128:F129"/>
    <mergeCell ref="G128:J129"/>
    <mergeCell ref="K128:N129"/>
    <mergeCell ref="B144:B146"/>
    <mergeCell ref="C144:F145"/>
    <mergeCell ref="G144:J145"/>
    <mergeCell ref="K144:N145"/>
  </mergeCells>
  <pageMargins left="0.7" right="0.7" top="0.75" bottom="0.75" header="0.3" footer="0.3"/>
  <pageSetup scale="66" orientation="landscape" r:id="rId1"/>
  <rowBreaks count="10" manualBreakCount="10">
    <brk id="33" max="13" man="1"/>
    <brk id="79" max="13" man="1"/>
    <brk id="125" max="13" man="1"/>
    <brk id="174" max="13" man="1"/>
    <brk id="223" max="13" man="1"/>
    <brk id="272" max="13" man="1"/>
    <brk id="306" max="13" man="1"/>
    <brk id="355" max="13" man="1"/>
    <brk id="404" max="13" man="1"/>
    <brk id="455" max="13" man="1"/>
  </rowBreaks>
  <ignoredErrors>
    <ignoredError sqref="F7:F15 J7:J15" formula="1"/>
  </ignoredErrors>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29">
    <tabColor rgb="FF00B050"/>
  </sheetPr>
  <dimension ref="A1:T328"/>
  <sheetViews>
    <sheetView workbookViewId="0">
      <pane xSplit="2" ySplit="7" topLeftCell="F44" activePane="bottomRight" state="frozen"/>
      <selection pane="bottomRight" activeCell="A13" sqref="A13"/>
      <selection pane="bottomLeft" activeCell="A8" sqref="A8"/>
      <selection pane="topRight" activeCell="C1" sqref="C1"/>
    </sheetView>
  </sheetViews>
  <sheetFormatPr defaultColWidth="9.140625" defaultRowHeight="14.45"/>
  <cols>
    <col min="1" max="1" width="4.42578125" style="193" customWidth="1"/>
    <col min="2" max="16384" width="9.140625" style="193"/>
  </cols>
  <sheetData>
    <row r="1" spans="1:20">
      <c r="B1"/>
      <c r="C1" s="150"/>
      <c r="D1"/>
      <c r="E1"/>
      <c r="F1"/>
      <c r="G1"/>
      <c r="H1"/>
      <c r="I1"/>
      <c r="J1"/>
      <c r="K1"/>
      <c r="L1"/>
      <c r="M1"/>
      <c r="N1"/>
      <c r="O1"/>
      <c r="P1"/>
      <c r="Q1"/>
      <c r="R1"/>
      <c r="S1"/>
      <c r="T1"/>
    </row>
    <row r="2" spans="1:20">
      <c r="A2" s="252"/>
      <c r="B2" s="76"/>
      <c r="C2" s="192" t="s">
        <v>607</v>
      </c>
      <c r="D2" s="69"/>
      <c r="E2" s="69"/>
      <c r="F2" s="69"/>
      <c r="G2" s="69"/>
      <c r="H2" s="69"/>
      <c r="I2" s="69"/>
      <c r="J2" s="69"/>
      <c r="K2" s="69"/>
      <c r="L2" s="69"/>
      <c r="M2" s="69"/>
      <c r="N2" s="69"/>
      <c r="O2" s="69"/>
      <c r="P2"/>
      <c r="Q2"/>
      <c r="R2"/>
      <c r="S2"/>
      <c r="T2"/>
    </row>
    <row r="3" spans="1:20">
      <c r="A3" s="252"/>
      <c r="B3" s="398"/>
      <c r="C3" s="83"/>
      <c r="D3" s="398"/>
      <c r="E3" s="398"/>
      <c r="F3" s="398"/>
      <c r="G3" s="398"/>
      <c r="H3" s="398"/>
      <c r="I3" s="398"/>
      <c r="J3" s="398"/>
      <c r="K3" s="398"/>
      <c r="L3" s="398"/>
      <c r="M3" s="398"/>
      <c r="N3" s="398"/>
      <c r="O3" s="398"/>
      <c r="P3"/>
      <c r="Q3"/>
      <c r="R3"/>
      <c r="S3"/>
      <c r="T3"/>
    </row>
    <row r="4" spans="1:20" ht="79.900000000000006">
      <c r="A4" s="252"/>
      <c r="B4" s="398"/>
      <c r="C4" s="2537" t="s">
        <v>586</v>
      </c>
      <c r="D4" s="2538" t="s">
        <v>587</v>
      </c>
      <c r="E4" s="2539"/>
      <c r="F4" s="2539"/>
      <c r="G4" s="2540"/>
      <c r="H4" s="3149" t="s">
        <v>588</v>
      </c>
      <c r="I4" s="1114"/>
      <c r="J4" s="1114"/>
      <c r="K4" s="1114"/>
      <c r="L4" s="3150"/>
      <c r="M4" s="3149" t="s">
        <v>589</v>
      </c>
      <c r="N4" s="1114"/>
      <c r="O4" s="1114"/>
      <c r="P4" s="3150"/>
      <c r="Q4"/>
      <c r="R4" s="2541" t="s">
        <v>608</v>
      </c>
      <c r="S4" s="2541" t="s">
        <v>609</v>
      </c>
      <c r="T4" s="2542" t="s">
        <v>159</v>
      </c>
    </row>
    <row r="5" spans="1:20">
      <c r="A5" s="253"/>
      <c r="B5" s="398"/>
      <c r="C5" s="2537"/>
      <c r="D5" s="2537" t="s">
        <v>590</v>
      </c>
      <c r="E5" s="2537" t="s">
        <v>591</v>
      </c>
      <c r="F5" s="2537" t="s">
        <v>592</v>
      </c>
      <c r="G5" s="2537" t="s">
        <v>118</v>
      </c>
      <c r="H5" s="2537" t="s">
        <v>590</v>
      </c>
      <c r="I5" s="2537" t="s">
        <v>591</v>
      </c>
      <c r="J5" s="2537" t="s">
        <v>592</v>
      </c>
      <c r="K5" s="2537"/>
      <c r="L5" s="2537" t="s">
        <v>118</v>
      </c>
      <c r="M5" s="2537" t="s">
        <v>590</v>
      </c>
      <c r="N5" s="2537" t="s">
        <v>591</v>
      </c>
      <c r="O5" s="2537" t="s">
        <v>592</v>
      </c>
      <c r="P5" s="2537" t="s">
        <v>118</v>
      </c>
      <c r="Q5"/>
      <c r="R5" s="2543" t="s">
        <v>115</v>
      </c>
      <c r="S5" s="2544">
        <f>+P247</f>
        <v>13051</v>
      </c>
      <c r="T5" s="2545" t="e">
        <f t="shared" ref="T5:T10" si="0">(S5/$R$11)*100</f>
        <v>#VALUE!</v>
      </c>
    </row>
    <row r="6" spans="1:20" ht="34.5" customHeight="1">
      <c r="A6" s="253"/>
      <c r="B6" s="399"/>
      <c r="C6" s="2546" t="s">
        <v>593</v>
      </c>
      <c r="D6" s="2547">
        <f>+D29+D43+D56+D69+D82+D95+D108+D121+D134+D147+D160+D173+D186+D199+D212+D225+D238+D251+D264+D277+D290+D303</f>
        <v>40</v>
      </c>
      <c r="E6" s="2547">
        <f>+E29+E43+E56+E69+E82+E95+E108+E121+E134+E147+E160+E173+E186+E199+E212+E225+E238+E251+E264+E277+E290+E303</f>
        <v>58</v>
      </c>
      <c r="F6" s="2547">
        <f>+F29+F43+F56+F69+F82+F95+F108+F121+F134+F147+F160+F173+F186+F199+F212+F225+F238+F251+F264+F277+F290+F303</f>
        <v>61</v>
      </c>
      <c r="G6" s="2547">
        <f>+D6+E6+F6</f>
        <v>159</v>
      </c>
      <c r="H6" s="2547">
        <f>+H29+H43+H56+H69+H82+H95+H108+H121+H134+H147+H160+H173+H186+H199+H212+H225+H238+H251+H264+H277+H290+H303</f>
        <v>302</v>
      </c>
      <c r="I6" s="2547">
        <f>+I29+I43+I56+I69+I82+I95+I108+I121+I134+I147+I160+I173+I186+I199+I212+I225+I238+I251+I264+I277+I290+I303</f>
        <v>206</v>
      </c>
      <c r="J6" s="2547">
        <f>+J29+J43+J56+J69+J82+J95+J108+J121+J134+J147+J160+J173+J186+J199+J212+J225+J238+J251+J264+J277+J290+J303+K199</f>
        <v>433</v>
      </c>
      <c r="K6" s="2547"/>
      <c r="L6" s="2547">
        <f t="shared" ref="L6:L15" si="1">+H6+I6+J6</f>
        <v>941</v>
      </c>
      <c r="M6" s="2547">
        <f t="shared" ref="M6:O14" si="2">+M29+M43+M56+M69+M82+M95+M108+M121+M134+M147+M160+M173+M186+M199+M212+M225+M238+M251+M264+M277+M290+M303</f>
        <v>448</v>
      </c>
      <c r="N6" s="2547">
        <f t="shared" si="2"/>
        <v>2760</v>
      </c>
      <c r="O6" s="2547">
        <f t="shared" si="2"/>
        <v>1162</v>
      </c>
      <c r="P6" s="2547">
        <f>+M6+N6+O6</f>
        <v>4370</v>
      </c>
      <c r="Q6"/>
      <c r="R6" s="2543" t="s">
        <v>125</v>
      </c>
      <c r="S6" s="2544">
        <f>+P78</f>
        <v>5814</v>
      </c>
      <c r="T6" s="2545" t="e">
        <f t="shared" si="0"/>
        <v>#VALUE!</v>
      </c>
    </row>
    <row r="7" spans="1:20">
      <c r="A7" s="253"/>
      <c r="B7" s="399"/>
      <c r="C7" s="2504" t="s">
        <v>594</v>
      </c>
      <c r="D7" s="2547">
        <f t="shared" ref="D7:F14" si="3">+D30+D44+D57+D70+D83+D96+D109+D122+D135+D148+D161+D174+D187+D200+D213+D226+D239+D252+D265+D278+D291+D304</f>
        <v>24</v>
      </c>
      <c r="E7" s="2547">
        <f t="shared" si="3"/>
        <v>33</v>
      </c>
      <c r="F7" s="2547">
        <f t="shared" si="3"/>
        <v>47</v>
      </c>
      <c r="G7" s="2547">
        <f t="shared" ref="G7:G14" si="4">+D7+E7+F7</f>
        <v>104</v>
      </c>
      <c r="H7" s="2547">
        <f t="shared" ref="H7:I14" si="5">+H30+H44+H57+H70+H83+H96+H109+H122+H135+H148+H161+H174+H187+H200+H213+H226+H239+H252+H265+H278+H291+H304</f>
        <v>142</v>
      </c>
      <c r="I7" s="2547">
        <f t="shared" si="5"/>
        <v>148</v>
      </c>
      <c r="J7" s="2547">
        <f t="shared" ref="J7:J14" si="6">+J30+J44+J57+J70+J83+J96+J109+J122+J135+J148+J161+J174+J187+J200+J213+J226+J239+J252+J265+J278+J291+J304+K200</f>
        <v>216</v>
      </c>
      <c r="K7" s="2547"/>
      <c r="L7" s="2547">
        <f t="shared" si="1"/>
        <v>506</v>
      </c>
      <c r="M7" s="2547">
        <f t="shared" si="2"/>
        <v>209</v>
      </c>
      <c r="N7" s="2547">
        <f t="shared" si="2"/>
        <v>1694</v>
      </c>
      <c r="O7" s="2547">
        <f t="shared" si="2"/>
        <v>407</v>
      </c>
      <c r="P7" s="2547">
        <f t="shared" ref="P7:P14" si="7">+M7+N7+O7</f>
        <v>2310</v>
      </c>
      <c r="Q7"/>
      <c r="R7" s="2543" t="s">
        <v>136</v>
      </c>
      <c r="S7" s="2544">
        <f>+P273</f>
        <v>5503</v>
      </c>
      <c r="T7" s="2545" t="e">
        <f t="shared" si="0"/>
        <v>#VALUE!</v>
      </c>
    </row>
    <row r="8" spans="1:20" ht="20.100000000000001" customHeight="1">
      <c r="A8" s="254"/>
      <c r="B8" s="399"/>
      <c r="C8" s="2504" t="s">
        <v>595</v>
      </c>
      <c r="D8" s="2547">
        <f t="shared" si="3"/>
        <v>24</v>
      </c>
      <c r="E8" s="2547">
        <f t="shared" si="3"/>
        <v>33</v>
      </c>
      <c r="F8" s="2547">
        <f t="shared" si="3"/>
        <v>52</v>
      </c>
      <c r="G8" s="2547">
        <f t="shared" si="4"/>
        <v>109</v>
      </c>
      <c r="H8" s="2547">
        <f t="shared" si="5"/>
        <v>239</v>
      </c>
      <c r="I8" s="2547">
        <f t="shared" si="5"/>
        <v>121</v>
      </c>
      <c r="J8" s="2547">
        <f t="shared" si="6"/>
        <v>319</v>
      </c>
      <c r="K8" s="2547"/>
      <c r="L8" s="2547">
        <f t="shared" si="1"/>
        <v>679</v>
      </c>
      <c r="M8" s="2547">
        <f t="shared" si="2"/>
        <v>359</v>
      </c>
      <c r="N8" s="2547">
        <f t="shared" si="2"/>
        <v>1818</v>
      </c>
      <c r="O8" s="2547">
        <f t="shared" si="2"/>
        <v>575</v>
      </c>
      <c r="P8" s="2547">
        <f t="shared" si="7"/>
        <v>2752</v>
      </c>
      <c r="Q8"/>
      <c r="R8" s="2543" t="s">
        <v>129</v>
      </c>
      <c r="S8" s="2544">
        <f>+P130</f>
        <v>4612</v>
      </c>
      <c r="T8" s="2545" t="e">
        <f t="shared" si="0"/>
        <v>#VALUE!</v>
      </c>
    </row>
    <row r="9" spans="1:20" ht="20.100000000000001" customHeight="1">
      <c r="A9" s="254"/>
      <c r="B9" s="399"/>
      <c r="C9" s="2504" t="s">
        <v>596</v>
      </c>
      <c r="D9" s="2547">
        <f t="shared" si="3"/>
        <v>32</v>
      </c>
      <c r="E9" s="2547">
        <f t="shared" si="3"/>
        <v>49</v>
      </c>
      <c r="F9" s="2547">
        <f t="shared" si="3"/>
        <v>52</v>
      </c>
      <c r="G9" s="2547">
        <f t="shared" si="4"/>
        <v>133</v>
      </c>
      <c r="H9" s="2547">
        <f t="shared" si="5"/>
        <v>264</v>
      </c>
      <c r="I9" s="2547">
        <f t="shared" si="5"/>
        <v>175</v>
      </c>
      <c r="J9" s="2547">
        <f t="shared" si="6"/>
        <v>286</v>
      </c>
      <c r="K9" s="2547"/>
      <c r="L9" s="2547">
        <f t="shared" si="1"/>
        <v>725</v>
      </c>
      <c r="M9" s="2547">
        <f t="shared" si="2"/>
        <v>347</v>
      </c>
      <c r="N9" s="2547">
        <f t="shared" si="2"/>
        <v>1992</v>
      </c>
      <c r="O9" s="2547">
        <f t="shared" si="2"/>
        <v>1559</v>
      </c>
      <c r="P9" s="2547">
        <f t="shared" si="7"/>
        <v>3898</v>
      </c>
      <c r="Q9"/>
      <c r="R9" s="2543" t="s">
        <v>189</v>
      </c>
      <c r="S9" s="2544">
        <f>+P182</f>
        <v>2809</v>
      </c>
      <c r="T9" s="2545" t="e">
        <f t="shared" si="0"/>
        <v>#VALUE!</v>
      </c>
    </row>
    <row r="10" spans="1:20" ht="20.100000000000001" customHeight="1">
      <c r="A10" s="254"/>
      <c r="B10" s="399"/>
      <c r="C10" s="2504" t="s">
        <v>597</v>
      </c>
      <c r="D10" s="2547">
        <f t="shared" si="3"/>
        <v>28</v>
      </c>
      <c r="E10" s="2547">
        <f t="shared" si="3"/>
        <v>51</v>
      </c>
      <c r="F10" s="2547">
        <f t="shared" si="3"/>
        <v>32</v>
      </c>
      <c r="G10" s="2547">
        <f t="shared" si="4"/>
        <v>111</v>
      </c>
      <c r="H10" s="2547">
        <f t="shared" si="5"/>
        <v>107</v>
      </c>
      <c r="I10" s="2547">
        <f t="shared" si="5"/>
        <v>181</v>
      </c>
      <c r="J10" s="2547">
        <f t="shared" si="6"/>
        <v>112</v>
      </c>
      <c r="K10" s="2547"/>
      <c r="L10" s="2547">
        <f t="shared" si="1"/>
        <v>400</v>
      </c>
      <c r="M10" s="2547">
        <f t="shared" si="2"/>
        <v>118</v>
      </c>
      <c r="N10" s="2547">
        <f t="shared" si="2"/>
        <v>2582</v>
      </c>
      <c r="O10" s="2547">
        <f t="shared" si="2"/>
        <v>669</v>
      </c>
      <c r="P10" s="2547">
        <f t="shared" si="7"/>
        <v>3369</v>
      </c>
      <c r="Q10"/>
      <c r="R10" s="2543" t="s">
        <v>610</v>
      </c>
      <c r="S10" s="2544">
        <f>+P38+P52+P65+P91+P104+P117+P143+P156+P169+P195+P208+P221+P234+P260+P286+P299+P312</f>
        <v>11169</v>
      </c>
      <c r="T10" s="2545" t="e">
        <f t="shared" si="0"/>
        <v>#VALUE!</v>
      </c>
    </row>
    <row r="11" spans="1:20" ht="20.100000000000001" customHeight="1">
      <c r="A11" s="254"/>
      <c r="B11" s="399"/>
      <c r="C11" s="2504" t="s">
        <v>598</v>
      </c>
      <c r="D11" s="2547">
        <f t="shared" si="3"/>
        <v>31</v>
      </c>
      <c r="E11" s="2547">
        <f t="shared" si="3"/>
        <v>31</v>
      </c>
      <c r="F11" s="2547">
        <f t="shared" si="3"/>
        <v>30</v>
      </c>
      <c r="G11" s="2547">
        <f t="shared" si="4"/>
        <v>92</v>
      </c>
      <c r="H11" s="2547">
        <f t="shared" si="5"/>
        <v>273</v>
      </c>
      <c r="I11" s="2547">
        <f t="shared" si="5"/>
        <v>117</v>
      </c>
      <c r="J11" s="2547">
        <f t="shared" si="6"/>
        <v>171</v>
      </c>
      <c r="K11" s="2547"/>
      <c r="L11" s="2547">
        <f t="shared" si="1"/>
        <v>561</v>
      </c>
      <c r="M11" s="2547">
        <f t="shared" si="2"/>
        <v>162</v>
      </c>
      <c r="N11" s="2547">
        <f t="shared" si="2"/>
        <v>1143</v>
      </c>
      <c r="O11" s="2547">
        <f t="shared" si="2"/>
        <v>904</v>
      </c>
      <c r="P11" s="2547">
        <f t="shared" si="7"/>
        <v>2209</v>
      </c>
      <c r="Q11"/>
      <c r="R11" s="2543" t="s">
        <v>118</v>
      </c>
      <c r="S11" s="2544">
        <f>SUM(S5:S10)</f>
        <v>42958</v>
      </c>
      <c r="T11" s="2545" t="e">
        <f>SUM(T5:T10)</f>
        <v>#VALUE!</v>
      </c>
    </row>
    <row r="12" spans="1:20" ht="20.100000000000001" customHeight="1">
      <c r="A12" s="254"/>
      <c r="B12" s="399"/>
      <c r="C12" s="2504" t="s">
        <v>599</v>
      </c>
      <c r="D12" s="2547">
        <f t="shared" si="3"/>
        <v>47</v>
      </c>
      <c r="E12" s="2547">
        <f t="shared" si="3"/>
        <v>63</v>
      </c>
      <c r="F12" s="2547">
        <f t="shared" si="3"/>
        <v>81</v>
      </c>
      <c r="G12" s="2547">
        <f t="shared" si="4"/>
        <v>191</v>
      </c>
      <c r="H12" s="2547">
        <f t="shared" si="5"/>
        <v>349</v>
      </c>
      <c r="I12" s="2547">
        <f t="shared" si="5"/>
        <v>234</v>
      </c>
      <c r="J12" s="2547">
        <f t="shared" si="6"/>
        <v>554</v>
      </c>
      <c r="K12" s="2547"/>
      <c r="L12" s="2547">
        <f t="shared" si="1"/>
        <v>1137</v>
      </c>
      <c r="M12" s="2547">
        <f t="shared" si="2"/>
        <v>672</v>
      </c>
      <c r="N12" s="2547">
        <f t="shared" si="2"/>
        <v>2996</v>
      </c>
      <c r="O12" s="2547">
        <f t="shared" si="2"/>
        <v>1607</v>
      </c>
      <c r="P12" s="2547">
        <f t="shared" si="7"/>
        <v>5275</v>
      </c>
      <c r="Q12"/>
      <c r="R12" s="14"/>
      <c r="S12" s="9"/>
      <c r="T12"/>
    </row>
    <row r="13" spans="1:20" ht="20.100000000000001" customHeight="1">
      <c r="A13" s="254"/>
      <c r="B13" s="399"/>
      <c r="C13" s="2504" t="s">
        <v>600</v>
      </c>
      <c r="D13" s="2547">
        <f t="shared" si="3"/>
        <v>22</v>
      </c>
      <c r="E13" s="2547">
        <f t="shared" si="3"/>
        <v>26</v>
      </c>
      <c r="F13" s="2547">
        <f t="shared" si="3"/>
        <v>28</v>
      </c>
      <c r="G13" s="2547">
        <f t="shared" si="4"/>
        <v>76</v>
      </c>
      <c r="H13" s="2547">
        <f t="shared" si="5"/>
        <v>188</v>
      </c>
      <c r="I13" s="2547">
        <f t="shared" si="5"/>
        <v>121</v>
      </c>
      <c r="J13" s="2547">
        <f t="shared" si="6"/>
        <v>96</v>
      </c>
      <c r="K13" s="2547"/>
      <c r="L13" s="2547">
        <f t="shared" si="1"/>
        <v>405</v>
      </c>
      <c r="M13" s="2547">
        <f t="shared" si="2"/>
        <v>131</v>
      </c>
      <c r="N13" s="2547">
        <f t="shared" si="2"/>
        <v>1364</v>
      </c>
      <c r="O13" s="2547">
        <f t="shared" si="2"/>
        <v>702</v>
      </c>
      <c r="P13" s="2547">
        <f t="shared" si="7"/>
        <v>2197</v>
      </c>
      <c r="Q13"/>
      <c r="R13" s="14"/>
      <c r="S13" s="9">
        <f>+S11-P15</f>
        <v>0</v>
      </c>
      <c r="T13"/>
    </row>
    <row r="14" spans="1:20" ht="20.100000000000001" customHeight="1">
      <c r="A14" s="254"/>
      <c r="B14" s="399"/>
      <c r="C14" s="2504" t="s">
        <v>601</v>
      </c>
      <c r="D14" s="2547">
        <f t="shared" si="3"/>
        <v>159</v>
      </c>
      <c r="E14" s="2547">
        <f t="shared" si="3"/>
        <v>172</v>
      </c>
      <c r="F14" s="2547">
        <f t="shared" si="3"/>
        <v>156</v>
      </c>
      <c r="G14" s="2547">
        <f t="shared" si="4"/>
        <v>487</v>
      </c>
      <c r="H14" s="2547">
        <f t="shared" si="5"/>
        <v>3932</v>
      </c>
      <c r="I14" s="2547">
        <f t="shared" si="5"/>
        <v>1978</v>
      </c>
      <c r="J14" s="2547">
        <f t="shared" si="6"/>
        <v>4870</v>
      </c>
      <c r="K14" s="2547"/>
      <c r="L14" s="2547">
        <f t="shared" si="1"/>
        <v>10780</v>
      </c>
      <c r="M14" s="2547">
        <f t="shared" si="2"/>
        <v>1784</v>
      </c>
      <c r="N14" s="2547">
        <f t="shared" si="2"/>
        <v>7938</v>
      </c>
      <c r="O14" s="2547">
        <f t="shared" si="2"/>
        <v>6856</v>
      </c>
      <c r="P14" s="2547">
        <f t="shared" si="7"/>
        <v>16578</v>
      </c>
      <c r="Q14"/>
      <c r="R14" s="14"/>
      <c r="S14" s="9"/>
      <c r="T14"/>
    </row>
    <row r="15" spans="1:20" ht="20.100000000000001" customHeight="1">
      <c r="A15" s="254"/>
      <c r="B15" s="400"/>
      <c r="C15" s="2537" t="s">
        <v>118</v>
      </c>
      <c r="D15" s="2548">
        <f>SUM(D6:D14)</f>
        <v>407</v>
      </c>
      <c r="E15" s="2548">
        <f>SUM(E6:E14)</f>
        <v>516</v>
      </c>
      <c r="F15" s="2548">
        <f>SUM(F6:F14)</f>
        <v>539</v>
      </c>
      <c r="G15" s="2548">
        <f>+D15+E15+F15</f>
        <v>1462</v>
      </c>
      <c r="H15" s="2548">
        <f>SUM(H6:H14)</f>
        <v>5796</v>
      </c>
      <c r="I15" s="2548">
        <f>SUM(I6:I14)</f>
        <v>3281</v>
      </c>
      <c r="J15" s="2548">
        <f>SUM(J6:J14)</f>
        <v>7057</v>
      </c>
      <c r="K15" s="2548"/>
      <c r="L15" s="2548">
        <f t="shared" si="1"/>
        <v>16134</v>
      </c>
      <c r="M15" s="2548">
        <f>SUM(M6:M14)</f>
        <v>4230</v>
      </c>
      <c r="N15" s="2548">
        <f>SUM(N6:N14)</f>
        <v>24287</v>
      </c>
      <c r="O15" s="2548">
        <f>SUM(O6:O14)</f>
        <v>14441</v>
      </c>
      <c r="P15" s="2548">
        <f>+M15+N15+O15</f>
        <v>42958</v>
      </c>
      <c r="Q15" s="393"/>
      <c r="R15" s="15"/>
      <c r="S15" s="15"/>
      <c r="T15" s="15"/>
    </row>
    <row r="16" spans="1:20" ht="25.5" customHeight="1">
      <c r="A16" s="254"/>
      <c r="B16"/>
      <c r="C16"/>
      <c r="D16" s="14"/>
      <c r="E16" s="14"/>
      <c r="F16" s="14"/>
      <c r="G16" s="1115"/>
      <c r="H16"/>
      <c r="I16"/>
      <c r="J16"/>
      <c r="K16"/>
      <c r="L16"/>
      <c r="M16"/>
      <c r="N16"/>
      <c r="O16"/>
      <c r="P16"/>
      <c r="Q16"/>
      <c r="R16"/>
      <c r="S16"/>
      <c r="T16"/>
    </row>
    <row r="17" spans="1:20" s="256" customFormat="1">
      <c r="A17" s="255"/>
      <c r="B17"/>
      <c r="C17"/>
      <c r="D17"/>
      <c r="E17"/>
      <c r="F17"/>
      <c r="G17"/>
      <c r="H17"/>
      <c r="I17"/>
      <c r="J17"/>
      <c r="K17"/>
      <c r="L17"/>
      <c r="M17"/>
      <c r="N17"/>
      <c r="O17"/>
      <c r="P17"/>
      <c r="Q17"/>
      <c r="R17"/>
      <c r="S17"/>
      <c r="T17"/>
    </row>
    <row r="18" spans="1:20">
      <c r="B18"/>
      <c r="C18"/>
      <c r="D18"/>
      <c r="E18"/>
      <c r="F18"/>
      <c r="G18"/>
      <c r="H18"/>
      <c r="I18"/>
      <c r="J18"/>
      <c r="K18"/>
      <c r="L18" s="14"/>
      <c r="M18"/>
      <c r="N18"/>
      <c r="O18"/>
      <c r="P18" s="14"/>
      <c r="Q18"/>
      <c r="R18"/>
      <c r="S18"/>
      <c r="T18"/>
    </row>
    <row r="19" spans="1:20">
      <c r="B19"/>
      <c r="C19"/>
      <c r="D19"/>
      <c r="E19"/>
      <c r="F19"/>
      <c r="G19"/>
      <c r="H19"/>
      <c r="I19"/>
      <c r="J19"/>
      <c r="K19"/>
      <c r="L19"/>
      <c r="M19"/>
      <c r="N19"/>
      <c r="O19"/>
      <c r="P19"/>
      <c r="Q19"/>
      <c r="R19"/>
      <c r="S19"/>
      <c r="T19"/>
    </row>
    <row r="20" spans="1:20">
      <c r="A20" s="193">
        <v>1</v>
      </c>
      <c r="B20"/>
      <c r="C20"/>
      <c r="D20"/>
      <c r="E20"/>
      <c r="F20"/>
      <c r="G20"/>
      <c r="H20"/>
      <c r="I20"/>
      <c r="J20"/>
      <c r="K20"/>
      <c r="L20"/>
      <c r="M20"/>
      <c r="N20"/>
      <c r="O20"/>
      <c r="P20"/>
      <c r="Q20"/>
      <c r="R20"/>
      <c r="S20"/>
      <c r="T20"/>
    </row>
    <row r="21" spans="1:20">
      <c r="B21"/>
      <c r="C21"/>
      <c r="D21"/>
      <c r="E21"/>
      <c r="F21"/>
      <c r="G21"/>
      <c r="H21"/>
      <c r="I21"/>
      <c r="J21"/>
      <c r="K21"/>
      <c r="L21"/>
      <c r="M21"/>
      <c r="N21"/>
      <c r="O21"/>
      <c r="P21" s="14"/>
      <c r="Q21"/>
      <c r="R21"/>
      <c r="S21"/>
      <c r="T21"/>
    </row>
    <row r="22" spans="1:20">
      <c r="B22"/>
      <c r="C22"/>
      <c r="D22"/>
      <c r="E22"/>
      <c r="F22"/>
      <c r="G22"/>
      <c r="H22"/>
      <c r="I22"/>
      <c r="J22"/>
      <c r="K22"/>
      <c r="L22"/>
      <c r="M22"/>
      <c r="N22"/>
      <c r="O22"/>
      <c r="P22"/>
      <c r="Q22"/>
      <c r="R22"/>
      <c r="S22"/>
      <c r="T22"/>
    </row>
    <row r="23" spans="1:20">
      <c r="B23"/>
      <c r="C23"/>
      <c r="D23"/>
      <c r="E23"/>
      <c r="F23"/>
      <c r="G23"/>
      <c r="H23"/>
      <c r="I23"/>
      <c r="J23"/>
      <c r="K23"/>
      <c r="L23"/>
      <c r="M23"/>
      <c r="N23"/>
      <c r="O23"/>
      <c r="P23"/>
      <c r="Q23"/>
      <c r="R23"/>
      <c r="S23"/>
      <c r="T23"/>
    </row>
    <row r="24" spans="1:20">
      <c r="B24"/>
      <c r="C24"/>
      <c r="D24"/>
      <c r="E24"/>
      <c r="F24"/>
      <c r="G24"/>
      <c r="H24"/>
      <c r="I24"/>
      <c r="J24"/>
      <c r="K24"/>
      <c r="L24"/>
      <c r="M24"/>
      <c r="N24"/>
      <c r="O24"/>
      <c r="P24"/>
      <c r="Q24"/>
      <c r="R24"/>
      <c r="S24"/>
      <c r="T24"/>
    </row>
    <row r="25" spans="1:20">
      <c r="B25"/>
      <c r="C25"/>
      <c r="D25"/>
      <c r="E25"/>
      <c r="F25"/>
      <c r="G25"/>
      <c r="H25"/>
      <c r="I25"/>
      <c r="J25"/>
      <c r="K25"/>
      <c r="L25"/>
      <c r="M25"/>
      <c r="N25"/>
      <c r="O25"/>
      <c r="P25"/>
      <c r="Q25"/>
      <c r="R25"/>
      <c r="S25"/>
      <c r="T25"/>
    </row>
    <row r="26" spans="1:20">
      <c r="B26">
        <v>1</v>
      </c>
      <c r="C26" s="2549" t="s">
        <v>177</v>
      </c>
      <c r="D26"/>
      <c r="E26"/>
      <c r="F26"/>
      <c r="G26"/>
      <c r="H26"/>
      <c r="I26"/>
      <c r="J26"/>
      <c r="K26"/>
      <c r="L26"/>
      <c r="M26"/>
      <c r="N26"/>
      <c r="O26"/>
      <c r="P26"/>
      <c r="Q26"/>
      <c r="R26"/>
      <c r="S26"/>
      <c r="T26"/>
    </row>
    <row r="27" spans="1:20">
      <c r="B27"/>
      <c r="C27" s="2537" t="s">
        <v>586</v>
      </c>
      <c r="D27" s="2537" t="s">
        <v>587</v>
      </c>
      <c r="E27" s="2537"/>
      <c r="F27" s="2537"/>
      <c r="G27" s="2537"/>
      <c r="H27" s="2537" t="s">
        <v>611</v>
      </c>
      <c r="I27" s="2537"/>
      <c r="J27" s="2537"/>
      <c r="K27" s="2537"/>
      <c r="L27" s="2537"/>
      <c r="M27" s="2537" t="s">
        <v>612</v>
      </c>
      <c r="N27" s="2537"/>
      <c r="O27" s="2537"/>
      <c r="P27" s="2537"/>
      <c r="Q27"/>
      <c r="R27"/>
      <c r="S27"/>
      <c r="T27"/>
    </row>
    <row r="28" spans="1:20">
      <c r="B28"/>
      <c r="C28" s="2537"/>
      <c r="D28" s="2537" t="s">
        <v>590</v>
      </c>
      <c r="E28" s="2537" t="s">
        <v>591</v>
      </c>
      <c r="F28" s="2537" t="s">
        <v>592</v>
      </c>
      <c r="G28" s="2537" t="s">
        <v>118</v>
      </c>
      <c r="H28" s="2537" t="s">
        <v>590</v>
      </c>
      <c r="I28" s="2537" t="s">
        <v>591</v>
      </c>
      <c r="J28" s="2537" t="s">
        <v>592</v>
      </c>
      <c r="K28" s="2537"/>
      <c r="L28" s="2537" t="s">
        <v>118</v>
      </c>
      <c r="M28" s="2537" t="s">
        <v>590</v>
      </c>
      <c r="N28" s="2537" t="s">
        <v>591</v>
      </c>
      <c r="O28" s="2537" t="s">
        <v>592</v>
      </c>
      <c r="P28" s="2537" t="s">
        <v>118</v>
      </c>
      <c r="Q28"/>
      <c r="R28"/>
      <c r="S28"/>
      <c r="T28"/>
    </row>
    <row r="29" spans="1:20">
      <c r="B29"/>
      <c r="C29" s="2550" t="s">
        <v>593</v>
      </c>
      <c r="D29" s="2530">
        <v>1</v>
      </c>
      <c r="E29" s="2530">
        <v>4</v>
      </c>
      <c r="F29" s="2504">
        <v>2</v>
      </c>
      <c r="G29" s="2551">
        <f>+D29+E29+F29</f>
        <v>7</v>
      </c>
      <c r="H29" s="2526">
        <v>18</v>
      </c>
      <c r="I29" s="2526">
        <v>19</v>
      </c>
      <c r="J29" s="2526"/>
      <c r="K29" s="2526"/>
      <c r="L29" s="2551">
        <f>+H29+I29+J29</f>
        <v>37</v>
      </c>
      <c r="M29" s="2526">
        <v>4</v>
      </c>
      <c r="N29" s="2526">
        <v>111</v>
      </c>
      <c r="O29" s="2526"/>
      <c r="P29" s="2551">
        <f>+M29+N29+O29</f>
        <v>115</v>
      </c>
      <c r="Q29"/>
      <c r="R29"/>
      <c r="S29"/>
      <c r="T29"/>
    </row>
    <row r="30" spans="1:20">
      <c r="B30"/>
      <c r="C30" s="2504" t="s">
        <v>594</v>
      </c>
      <c r="D30" s="2526">
        <v>0</v>
      </c>
      <c r="E30" s="2526">
        <v>2</v>
      </c>
      <c r="F30" s="2504">
        <v>2</v>
      </c>
      <c r="G30" s="2551">
        <f t="shared" ref="G30:G37" si="8">+D30+E30+F30</f>
        <v>4</v>
      </c>
      <c r="H30" s="2526">
        <v>6</v>
      </c>
      <c r="I30" s="2526">
        <v>9</v>
      </c>
      <c r="J30" s="2526"/>
      <c r="K30" s="2526"/>
      <c r="L30" s="2551">
        <f t="shared" ref="L30:L37" si="9">+H30+I30+J30</f>
        <v>15</v>
      </c>
      <c r="M30" s="2526"/>
      <c r="N30" s="2526">
        <v>61</v>
      </c>
      <c r="O30" s="2526"/>
      <c r="P30" s="2551">
        <f t="shared" ref="P30:P37" si="10">+M30+N30+O30</f>
        <v>61</v>
      </c>
      <c r="Q30"/>
      <c r="R30"/>
      <c r="S30"/>
      <c r="T30"/>
    </row>
    <row r="31" spans="1:20">
      <c r="B31"/>
      <c r="C31" s="2504" t="s">
        <v>595</v>
      </c>
      <c r="D31" s="2526">
        <v>3</v>
      </c>
      <c r="E31" s="2526">
        <v>2</v>
      </c>
      <c r="F31" s="2504">
        <v>0</v>
      </c>
      <c r="G31" s="2551">
        <f t="shared" si="8"/>
        <v>5</v>
      </c>
      <c r="H31" s="2526">
        <v>11</v>
      </c>
      <c r="I31" s="2526">
        <v>1</v>
      </c>
      <c r="J31" s="2526"/>
      <c r="K31" s="2526"/>
      <c r="L31" s="2551">
        <f t="shared" si="9"/>
        <v>12</v>
      </c>
      <c r="M31" s="2526">
        <v>4</v>
      </c>
      <c r="N31" s="2526">
        <v>33</v>
      </c>
      <c r="O31" s="2526"/>
      <c r="P31" s="2551">
        <f t="shared" si="10"/>
        <v>37</v>
      </c>
      <c r="Q31"/>
      <c r="R31"/>
      <c r="S31"/>
      <c r="T31"/>
    </row>
    <row r="32" spans="1:20">
      <c r="B32"/>
      <c r="C32" s="2504" t="s">
        <v>596</v>
      </c>
      <c r="D32" s="2526">
        <v>0</v>
      </c>
      <c r="E32" s="2526">
        <v>4</v>
      </c>
      <c r="F32" s="2504">
        <v>1</v>
      </c>
      <c r="G32" s="2551">
        <f t="shared" si="8"/>
        <v>5</v>
      </c>
      <c r="H32" s="2526">
        <v>6</v>
      </c>
      <c r="I32" s="2526">
        <v>20</v>
      </c>
      <c r="J32" s="2526"/>
      <c r="K32" s="2526"/>
      <c r="L32" s="2551">
        <f t="shared" si="9"/>
        <v>26</v>
      </c>
      <c r="M32" s="2526">
        <v>2</v>
      </c>
      <c r="N32" s="2526">
        <v>88</v>
      </c>
      <c r="O32" s="2526"/>
      <c r="P32" s="2551">
        <f t="shared" si="10"/>
        <v>90</v>
      </c>
      <c r="Q32"/>
      <c r="R32"/>
      <c r="S32"/>
      <c r="T32"/>
    </row>
    <row r="33" spans="1:20">
      <c r="B33"/>
      <c r="C33" s="2504" t="s">
        <v>597</v>
      </c>
      <c r="D33" s="2526">
        <v>0</v>
      </c>
      <c r="E33" s="2526">
        <v>4</v>
      </c>
      <c r="F33" s="2504">
        <v>0</v>
      </c>
      <c r="G33" s="2551">
        <f t="shared" si="8"/>
        <v>4</v>
      </c>
      <c r="H33" s="2526">
        <v>1</v>
      </c>
      <c r="I33" s="2526">
        <v>15</v>
      </c>
      <c r="J33" s="2526"/>
      <c r="K33" s="2526"/>
      <c r="L33" s="2551">
        <f t="shared" si="9"/>
        <v>16</v>
      </c>
      <c r="M33" s="2526"/>
      <c r="N33" s="2526">
        <v>77</v>
      </c>
      <c r="O33" s="2526"/>
      <c r="P33" s="2551">
        <f t="shared" si="10"/>
        <v>77</v>
      </c>
      <c r="Q33"/>
      <c r="R33"/>
      <c r="S33"/>
      <c r="T33"/>
    </row>
    <row r="34" spans="1:20">
      <c r="B34"/>
      <c r="C34" s="2504" t="s">
        <v>598</v>
      </c>
      <c r="D34" s="2526">
        <v>1</v>
      </c>
      <c r="E34" s="2526">
        <v>2</v>
      </c>
      <c r="F34" s="2504">
        <v>1</v>
      </c>
      <c r="G34" s="2551">
        <f t="shared" si="8"/>
        <v>4</v>
      </c>
      <c r="H34" s="2526">
        <v>9</v>
      </c>
      <c r="I34" s="2526">
        <v>8</v>
      </c>
      <c r="J34" s="2526"/>
      <c r="K34" s="2526"/>
      <c r="L34" s="2551">
        <f t="shared" si="9"/>
        <v>17</v>
      </c>
      <c r="M34" s="2526">
        <v>2</v>
      </c>
      <c r="N34" s="2526">
        <v>63</v>
      </c>
      <c r="O34" s="2526"/>
      <c r="P34" s="2551">
        <f t="shared" si="10"/>
        <v>65</v>
      </c>
      <c r="Q34"/>
      <c r="R34"/>
      <c r="S34"/>
      <c r="T34"/>
    </row>
    <row r="35" spans="1:20">
      <c r="A35" s="193">
        <v>2</v>
      </c>
      <c r="B35"/>
      <c r="C35" s="2504" t="s">
        <v>599</v>
      </c>
      <c r="D35" s="2526">
        <v>1</v>
      </c>
      <c r="E35" s="2526">
        <v>1</v>
      </c>
      <c r="F35" s="2504">
        <v>3</v>
      </c>
      <c r="G35" s="2551">
        <f t="shared" si="8"/>
        <v>5</v>
      </c>
      <c r="H35" s="2526">
        <v>13</v>
      </c>
      <c r="I35" s="2526">
        <v>21</v>
      </c>
      <c r="J35" s="2526"/>
      <c r="K35" s="2526"/>
      <c r="L35" s="2551">
        <f t="shared" si="9"/>
        <v>34</v>
      </c>
      <c r="M35" s="2526">
        <v>7</v>
      </c>
      <c r="N35" s="2526">
        <v>98</v>
      </c>
      <c r="O35" s="2526"/>
      <c r="P35" s="2551">
        <f t="shared" si="10"/>
        <v>105</v>
      </c>
      <c r="Q35"/>
      <c r="R35"/>
      <c r="S35"/>
      <c r="T35"/>
    </row>
    <row r="36" spans="1:20">
      <c r="B36"/>
      <c r="C36" s="2504" t="s">
        <v>600</v>
      </c>
      <c r="D36" s="2526">
        <v>3</v>
      </c>
      <c r="E36" s="2526">
        <v>3</v>
      </c>
      <c r="F36" s="2504">
        <v>0</v>
      </c>
      <c r="G36" s="2551">
        <f t="shared" si="8"/>
        <v>6</v>
      </c>
      <c r="H36" s="2526">
        <v>6</v>
      </c>
      <c r="I36" s="2526">
        <v>12</v>
      </c>
      <c r="J36" s="2526"/>
      <c r="K36" s="2526"/>
      <c r="L36" s="2551">
        <f t="shared" si="9"/>
        <v>18</v>
      </c>
      <c r="M36" s="2526">
        <v>1</v>
      </c>
      <c r="N36" s="2526">
        <v>55</v>
      </c>
      <c r="O36" s="2526"/>
      <c r="P36" s="2551">
        <f t="shared" si="10"/>
        <v>56</v>
      </c>
      <c r="Q36"/>
      <c r="R36"/>
      <c r="S36"/>
      <c r="T36"/>
    </row>
    <row r="37" spans="1:20">
      <c r="B37"/>
      <c r="C37" s="2504" t="s">
        <v>601</v>
      </c>
      <c r="D37" s="2526">
        <v>3</v>
      </c>
      <c r="E37" s="2526">
        <v>13</v>
      </c>
      <c r="F37" s="2504">
        <v>13</v>
      </c>
      <c r="G37" s="2551">
        <f t="shared" si="8"/>
        <v>29</v>
      </c>
      <c r="H37" s="2526">
        <v>223</v>
      </c>
      <c r="I37" s="2526">
        <v>252</v>
      </c>
      <c r="J37" s="2526">
        <v>80</v>
      </c>
      <c r="K37" s="2526"/>
      <c r="L37" s="2551">
        <f t="shared" si="9"/>
        <v>555</v>
      </c>
      <c r="M37" s="2526">
        <v>33</v>
      </c>
      <c r="N37" s="2526">
        <v>506</v>
      </c>
      <c r="O37" s="2526"/>
      <c r="P37" s="2551">
        <f t="shared" si="10"/>
        <v>539</v>
      </c>
      <c r="Q37"/>
      <c r="R37"/>
      <c r="S37"/>
      <c r="T37"/>
    </row>
    <row r="38" spans="1:20">
      <c r="B38"/>
      <c r="C38" s="2537" t="s">
        <v>118</v>
      </c>
      <c r="D38" s="2552">
        <f>SUM(D29:D37)</f>
        <v>12</v>
      </c>
      <c r="E38" s="2552">
        <f t="shared" ref="E38:P38" si="11">SUM(E29:E37)</f>
        <v>35</v>
      </c>
      <c r="F38" s="2552">
        <f>SUM(F29:F37)</f>
        <v>22</v>
      </c>
      <c r="G38" s="2552">
        <f>SUM(G29:G37)</f>
        <v>69</v>
      </c>
      <c r="H38" s="2552">
        <f t="shared" si="11"/>
        <v>293</v>
      </c>
      <c r="I38" s="2552">
        <f t="shared" si="11"/>
        <v>357</v>
      </c>
      <c r="J38" s="2552">
        <f t="shared" si="11"/>
        <v>80</v>
      </c>
      <c r="K38" s="2552"/>
      <c r="L38" s="2552">
        <f t="shared" si="11"/>
        <v>730</v>
      </c>
      <c r="M38" s="2552">
        <f t="shared" si="11"/>
        <v>53</v>
      </c>
      <c r="N38" s="2552">
        <f t="shared" si="11"/>
        <v>1092</v>
      </c>
      <c r="O38" s="2552">
        <f t="shared" si="11"/>
        <v>0</v>
      </c>
      <c r="P38" s="2552">
        <f t="shared" si="11"/>
        <v>1145</v>
      </c>
      <c r="Q38"/>
      <c r="R38"/>
      <c r="S38"/>
      <c r="T38"/>
    </row>
    <row r="39" spans="1:20">
      <c r="B39"/>
      <c r="C39" s="2553"/>
      <c r="D39"/>
      <c r="E39"/>
      <c r="F39"/>
      <c r="G39"/>
      <c r="H39"/>
      <c r="I39"/>
      <c r="J39"/>
      <c r="K39"/>
      <c r="L39"/>
      <c r="M39"/>
      <c r="N39"/>
      <c r="O39"/>
      <c r="P39"/>
      <c r="Q39"/>
      <c r="R39"/>
      <c r="S39"/>
      <c r="T39"/>
    </row>
    <row r="40" spans="1:20">
      <c r="B40">
        <v>2</v>
      </c>
      <c r="C40" s="2554" t="s">
        <v>179</v>
      </c>
      <c r="D40"/>
      <c r="E40"/>
      <c r="F40"/>
      <c r="G40"/>
      <c r="H40"/>
      <c r="I40"/>
      <c r="J40"/>
      <c r="K40"/>
      <c r="L40"/>
      <c r="M40"/>
      <c r="N40"/>
      <c r="O40"/>
      <c r="P40"/>
      <c r="Q40"/>
      <c r="R40"/>
      <c r="S40"/>
      <c r="T40"/>
    </row>
    <row r="41" spans="1:20">
      <c r="B41"/>
      <c r="C41" s="2537" t="s">
        <v>586</v>
      </c>
      <c r="D41" s="2537" t="s">
        <v>587</v>
      </c>
      <c r="E41" s="2537"/>
      <c r="F41" s="2537"/>
      <c r="G41" s="2537"/>
      <c r="H41" s="2537" t="s">
        <v>611</v>
      </c>
      <c r="I41" s="2537"/>
      <c r="J41" s="2537"/>
      <c r="K41" s="2537"/>
      <c r="L41" s="2537"/>
      <c r="M41" s="2537" t="s">
        <v>612</v>
      </c>
      <c r="N41" s="2537"/>
      <c r="O41" s="2537"/>
      <c r="P41" s="2537"/>
      <c r="Q41"/>
      <c r="R41"/>
      <c r="S41"/>
      <c r="T41"/>
    </row>
    <row r="42" spans="1:20">
      <c r="B42"/>
      <c r="C42" s="2537"/>
      <c r="D42" s="2537" t="s">
        <v>590</v>
      </c>
      <c r="E42" s="2537" t="s">
        <v>591</v>
      </c>
      <c r="F42" s="2537" t="s">
        <v>592</v>
      </c>
      <c r="G42" s="2537" t="s">
        <v>118</v>
      </c>
      <c r="H42" s="2537" t="s">
        <v>590</v>
      </c>
      <c r="I42" s="2537" t="s">
        <v>591</v>
      </c>
      <c r="J42" s="2537" t="s">
        <v>592</v>
      </c>
      <c r="K42" s="2537"/>
      <c r="L42" s="2537" t="s">
        <v>118</v>
      </c>
      <c r="M42" s="2537" t="s">
        <v>590</v>
      </c>
      <c r="N42" s="2537" t="s">
        <v>591</v>
      </c>
      <c r="O42" s="2537" t="s">
        <v>592</v>
      </c>
      <c r="P42" s="2537" t="s">
        <v>118</v>
      </c>
      <c r="Q42"/>
      <c r="R42"/>
      <c r="S42"/>
      <c r="T42"/>
    </row>
    <row r="43" spans="1:20">
      <c r="B43"/>
      <c r="C43" s="2550" t="s">
        <v>593</v>
      </c>
      <c r="D43" s="2530">
        <v>11</v>
      </c>
      <c r="E43" s="2555"/>
      <c r="F43" s="1789"/>
      <c r="G43" s="2551">
        <f>+D43+E43+F43</f>
        <v>11</v>
      </c>
      <c r="H43" s="2526">
        <v>19</v>
      </c>
      <c r="I43" s="2126"/>
      <c r="J43" s="2126"/>
      <c r="K43" s="2126"/>
      <c r="L43" s="2551">
        <f>+H43+I43+J43</f>
        <v>19</v>
      </c>
      <c r="M43" s="2526"/>
      <c r="N43" s="2126"/>
      <c r="O43" s="2126"/>
      <c r="P43" s="2551">
        <f>+M43+N43+O43</f>
        <v>0</v>
      </c>
      <c r="Q43"/>
      <c r="R43"/>
      <c r="S43"/>
      <c r="T43"/>
    </row>
    <row r="44" spans="1:20">
      <c r="B44"/>
      <c r="C44" s="2504" t="s">
        <v>594</v>
      </c>
      <c r="D44" s="2526">
        <v>6</v>
      </c>
      <c r="E44" s="2126"/>
      <c r="F44" s="1789"/>
      <c r="G44" s="2551">
        <f t="shared" ref="G44:G51" si="12">+D44+E44+F44</f>
        <v>6</v>
      </c>
      <c r="H44" s="2526">
        <v>16</v>
      </c>
      <c r="I44" s="2126"/>
      <c r="J44" s="2126"/>
      <c r="K44" s="2126"/>
      <c r="L44" s="2551">
        <f t="shared" ref="L44:L51" si="13">+H44+I44+J44</f>
        <v>16</v>
      </c>
      <c r="M44" s="2526"/>
      <c r="N44" s="2126"/>
      <c r="O44" s="2126"/>
      <c r="P44" s="2551">
        <f t="shared" ref="P44:P51" si="14">+M44+N44+O44</f>
        <v>0</v>
      </c>
      <c r="Q44"/>
      <c r="R44"/>
      <c r="S44"/>
      <c r="T44"/>
    </row>
    <row r="45" spans="1:20">
      <c r="B45"/>
      <c r="C45" s="2504" t="s">
        <v>595</v>
      </c>
      <c r="D45" s="2526">
        <v>1</v>
      </c>
      <c r="E45" s="2126"/>
      <c r="F45" s="1789"/>
      <c r="G45" s="2551">
        <f t="shared" si="12"/>
        <v>1</v>
      </c>
      <c r="H45" s="2526">
        <v>9</v>
      </c>
      <c r="I45" s="2126"/>
      <c r="J45" s="2126"/>
      <c r="K45" s="2126"/>
      <c r="L45" s="2551">
        <f t="shared" si="13"/>
        <v>9</v>
      </c>
      <c r="M45" s="2526"/>
      <c r="N45" s="2126"/>
      <c r="O45" s="2126"/>
      <c r="P45" s="2551">
        <f t="shared" si="14"/>
        <v>0</v>
      </c>
      <c r="Q45"/>
      <c r="R45"/>
      <c r="S45"/>
      <c r="T45"/>
    </row>
    <row r="46" spans="1:20">
      <c r="B46"/>
      <c r="C46" s="2504" t="s">
        <v>596</v>
      </c>
      <c r="D46" s="2526">
        <v>4</v>
      </c>
      <c r="E46" s="2126"/>
      <c r="F46" s="1789"/>
      <c r="G46" s="2551">
        <f t="shared" si="12"/>
        <v>4</v>
      </c>
      <c r="H46" s="2526">
        <v>22</v>
      </c>
      <c r="I46" s="2126"/>
      <c r="J46" s="2126"/>
      <c r="K46" s="2126"/>
      <c r="L46" s="2551">
        <f t="shared" si="13"/>
        <v>22</v>
      </c>
      <c r="M46" s="2526"/>
      <c r="N46" s="2126"/>
      <c r="O46" s="2126"/>
      <c r="P46" s="2551">
        <f t="shared" si="14"/>
        <v>0</v>
      </c>
      <c r="Q46"/>
      <c r="R46"/>
      <c r="S46"/>
      <c r="T46"/>
    </row>
    <row r="47" spans="1:20">
      <c r="B47"/>
      <c r="C47" s="2504" t="s">
        <v>597</v>
      </c>
      <c r="D47" s="2526">
        <v>6</v>
      </c>
      <c r="E47" s="2126"/>
      <c r="F47" s="1789"/>
      <c r="G47" s="2551">
        <f t="shared" si="12"/>
        <v>6</v>
      </c>
      <c r="H47" s="2526">
        <v>4</v>
      </c>
      <c r="I47" s="2126"/>
      <c r="J47" s="2126"/>
      <c r="K47" s="2126"/>
      <c r="L47" s="2551">
        <f t="shared" si="13"/>
        <v>4</v>
      </c>
      <c r="M47" s="2526"/>
      <c r="N47" s="2126"/>
      <c r="O47" s="2126"/>
      <c r="P47" s="2551">
        <f t="shared" si="14"/>
        <v>0</v>
      </c>
      <c r="Q47"/>
      <c r="R47"/>
      <c r="S47"/>
      <c r="T47"/>
    </row>
    <row r="48" spans="1:20">
      <c r="B48"/>
      <c r="C48" s="2504" t="s">
        <v>598</v>
      </c>
      <c r="D48" s="2526">
        <v>4</v>
      </c>
      <c r="E48" s="2126"/>
      <c r="F48" s="1789"/>
      <c r="G48" s="2551">
        <f t="shared" si="12"/>
        <v>4</v>
      </c>
      <c r="H48" s="2526">
        <v>55</v>
      </c>
      <c r="I48" s="2126"/>
      <c r="J48" s="2126"/>
      <c r="K48" s="2126"/>
      <c r="L48" s="2551">
        <f t="shared" si="13"/>
        <v>55</v>
      </c>
      <c r="M48" s="2526"/>
      <c r="N48" s="2126"/>
      <c r="O48" s="2126"/>
      <c r="P48" s="2551">
        <f t="shared" si="14"/>
        <v>0</v>
      </c>
      <c r="Q48"/>
      <c r="R48"/>
      <c r="S48"/>
      <c r="T48"/>
    </row>
    <row r="49" spans="1:20">
      <c r="B49"/>
      <c r="C49" s="2504" t="s">
        <v>599</v>
      </c>
      <c r="D49" s="2526">
        <v>6</v>
      </c>
      <c r="E49" s="2126"/>
      <c r="F49" s="1789"/>
      <c r="G49" s="2551">
        <f t="shared" si="12"/>
        <v>6</v>
      </c>
      <c r="H49" s="2526">
        <v>23</v>
      </c>
      <c r="I49" s="2126"/>
      <c r="J49" s="2126"/>
      <c r="K49" s="2126"/>
      <c r="L49" s="2551">
        <f t="shared" si="13"/>
        <v>23</v>
      </c>
      <c r="M49" s="2526"/>
      <c r="N49" s="2126"/>
      <c r="O49" s="2126"/>
      <c r="P49" s="2551">
        <f t="shared" si="14"/>
        <v>0</v>
      </c>
      <c r="Q49"/>
      <c r="R49"/>
      <c r="S49"/>
      <c r="T49"/>
    </row>
    <row r="50" spans="1:20">
      <c r="B50"/>
      <c r="C50" s="2504" t="s">
        <v>600</v>
      </c>
      <c r="D50" s="2526">
        <v>5</v>
      </c>
      <c r="E50" s="2126"/>
      <c r="F50" s="1789"/>
      <c r="G50" s="2551">
        <f t="shared" si="12"/>
        <v>5</v>
      </c>
      <c r="H50" s="2526">
        <v>13</v>
      </c>
      <c r="I50" s="2126"/>
      <c r="J50" s="2126"/>
      <c r="K50" s="2126"/>
      <c r="L50" s="2551">
        <f t="shared" si="13"/>
        <v>13</v>
      </c>
      <c r="M50" s="2526"/>
      <c r="N50" s="2126"/>
      <c r="O50" s="2126"/>
      <c r="P50" s="2551">
        <f t="shared" si="14"/>
        <v>0</v>
      </c>
      <c r="Q50"/>
      <c r="R50"/>
      <c r="S50"/>
      <c r="T50"/>
    </row>
    <row r="51" spans="1:20">
      <c r="A51" s="193">
        <v>3</v>
      </c>
      <c r="B51"/>
      <c r="C51" s="2504" t="s">
        <v>601</v>
      </c>
      <c r="D51" s="2526">
        <v>18</v>
      </c>
      <c r="E51" s="2126"/>
      <c r="F51" s="1789"/>
      <c r="G51" s="2551">
        <f t="shared" si="12"/>
        <v>18</v>
      </c>
      <c r="H51" s="2526">
        <v>252</v>
      </c>
      <c r="I51" s="2126"/>
      <c r="J51" s="2126"/>
      <c r="K51" s="2126"/>
      <c r="L51" s="2551">
        <f t="shared" si="13"/>
        <v>252</v>
      </c>
      <c r="M51" s="2526">
        <v>5</v>
      </c>
      <c r="N51" s="2126"/>
      <c r="O51" s="2126"/>
      <c r="P51" s="2551">
        <f t="shared" si="14"/>
        <v>5</v>
      </c>
      <c r="Q51"/>
      <c r="R51"/>
      <c r="S51"/>
      <c r="T51"/>
    </row>
    <row r="52" spans="1:20">
      <c r="B52"/>
      <c r="C52" s="2537" t="s">
        <v>118</v>
      </c>
      <c r="D52" s="2552">
        <f t="shared" ref="D52:J52" si="15">SUM(D43:D51)</f>
        <v>61</v>
      </c>
      <c r="E52" s="2552">
        <f t="shared" si="15"/>
        <v>0</v>
      </c>
      <c r="F52" s="2552">
        <f t="shared" si="15"/>
        <v>0</v>
      </c>
      <c r="G52" s="2552">
        <f t="shared" si="15"/>
        <v>61</v>
      </c>
      <c r="H52" s="2552">
        <f t="shared" si="15"/>
        <v>413</v>
      </c>
      <c r="I52" s="2552">
        <f t="shared" si="15"/>
        <v>0</v>
      </c>
      <c r="J52" s="2552">
        <f t="shared" si="15"/>
        <v>0</v>
      </c>
      <c r="K52" s="2552"/>
      <c r="L52" s="2552">
        <f>SUM(L43:L51)</f>
        <v>413</v>
      </c>
      <c r="M52" s="2552">
        <f>SUM(M43:M51)</f>
        <v>5</v>
      </c>
      <c r="N52" s="2552">
        <f>SUM(N43:N51)</f>
        <v>0</v>
      </c>
      <c r="O52" s="2552">
        <f>SUM(O43:O51)</f>
        <v>0</v>
      </c>
      <c r="P52" s="2552">
        <f>SUM(P43:P51)</f>
        <v>5</v>
      </c>
      <c r="Q52"/>
      <c r="R52"/>
      <c r="S52"/>
      <c r="T52"/>
    </row>
    <row r="53" spans="1:20">
      <c r="B53">
        <v>3</v>
      </c>
      <c r="C53" s="2556" t="s">
        <v>180</v>
      </c>
      <c r="D53"/>
      <c r="E53"/>
      <c r="F53"/>
      <c r="G53"/>
      <c r="H53"/>
      <c r="I53"/>
      <c r="J53"/>
      <c r="K53"/>
      <c r="L53"/>
      <c r="M53"/>
      <c r="N53"/>
      <c r="O53"/>
      <c r="P53"/>
      <c r="Q53"/>
      <c r="R53"/>
      <c r="S53"/>
      <c r="T53"/>
    </row>
    <row r="54" spans="1:20">
      <c r="B54"/>
      <c r="C54" s="2537" t="s">
        <v>586</v>
      </c>
      <c r="D54" s="2537" t="s">
        <v>587</v>
      </c>
      <c r="E54" s="2537"/>
      <c r="F54" s="2537"/>
      <c r="G54" s="2537"/>
      <c r="H54" s="2537" t="s">
        <v>611</v>
      </c>
      <c r="I54" s="2537"/>
      <c r="J54" s="2537"/>
      <c r="K54" s="2537"/>
      <c r="L54" s="2537"/>
      <c r="M54" s="2537" t="s">
        <v>612</v>
      </c>
      <c r="N54" s="2537"/>
      <c r="O54" s="2537"/>
      <c r="P54" s="2537"/>
      <c r="Q54"/>
      <c r="R54"/>
      <c r="S54"/>
      <c r="T54"/>
    </row>
    <row r="55" spans="1:20">
      <c r="B55"/>
      <c r="C55" s="2537"/>
      <c r="D55" s="2537" t="s">
        <v>590</v>
      </c>
      <c r="E55" s="2537" t="s">
        <v>591</v>
      </c>
      <c r="F55" s="2537" t="s">
        <v>592</v>
      </c>
      <c r="G55" s="2537" t="s">
        <v>118</v>
      </c>
      <c r="H55" s="2537" t="s">
        <v>590</v>
      </c>
      <c r="I55" s="2537" t="s">
        <v>591</v>
      </c>
      <c r="J55" s="2537" t="s">
        <v>592</v>
      </c>
      <c r="K55" s="2537"/>
      <c r="L55" s="2537" t="s">
        <v>118</v>
      </c>
      <c r="M55" s="2537" t="s">
        <v>590</v>
      </c>
      <c r="N55" s="2537" t="s">
        <v>591</v>
      </c>
      <c r="O55" s="2537" t="s">
        <v>592</v>
      </c>
      <c r="P55" s="2537" t="s">
        <v>118</v>
      </c>
      <c r="Q55"/>
      <c r="R55"/>
      <c r="S55"/>
      <c r="T55"/>
    </row>
    <row r="56" spans="1:20">
      <c r="B56"/>
      <c r="C56" s="2550" t="s">
        <v>593</v>
      </c>
      <c r="D56" s="2555"/>
      <c r="E56" s="2530">
        <v>5</v>
      </c>
      <c r="F56" s="1789"/>
      <c r="G56" s="2551">
        <v>5</v>
      </c>
      <c r="H56" s="2126"/>
      <c r="I56" s="2557">
        <v>5</v>
      </c>
      <c r="J56" s="2126"/>
      <c r="K56" s="2126"/>
      <c r="L56" s="2551">
        <f>+H56+I56+J56</f>
        <v>5</v>
      </c>
      <c r="M56" s="2126"/>
      <c r="N56" s="2526">
        <v>66</v>
      </c>
      <c r="O56" s="2126"/>
      <c r="P56" s="2551">
        <f>+M56+N56+O56</f>
        <v>66</v>
      </c>
      <c r="Q56"/>
      <c r="R56"/>
      <c r="S56"/>
      <c r="T56"/>
    </row>
    <row r="57" spans="1:20">
      <c r="B57"/>
      <c r="C57" s="2504" t="s">
        <v>594</v>
      </c>
      <c r="D57" s="2126"/>
      <c r="E57" s="2526">
        <v>2</v>
      </c>
      <c r="F57" s="1789"/>
      <c r="G57" s="2551">
        <v>2</v>
      </c>
      <c r="H57" s="2126"/>
      <c r="I57" s="2557">
        <v>3</v>
      </c>
      <c r="J57" s="2126"/>
      <c r="K57" s="2126"/>
      <c r="L57" s="2551">
        <f t="shared" ref="L57:L64" si="16">+H57+I57+J57</f>
        <v>3</v>
      </c>
      <c r="M57" s="2126"/>
      <c r="N57" s="2526">
        <v>35</v>
      </c>
      <c r="O57" s="2126"/>
      <c r="P57" s="2551">
        <f t="shared" ref="P57:P64" si="17">+M57+N57+O57</f>
        <v>35</v>
      </c>
      <c r="Q57"/>
      <c r="R57"/>
      <c r="S57"/>
      <c r="T57"/>
    </row>
    <row r="58" spans="1:20">
      <c r="B58"/>
      <c r="C58" s="2504" t="s">
        <v>595</v>
      </c>
      <c r="D58" s="2126"/>
      <c r="E58" s="2526">
        <v>2</v>
      </c>
      <c r="F58" s="1789"/>
      <c r="G58" s="2551">
        <v>2</v>
      </c>
      <c r="H58" s="2126"/>
      <c r="I58" s="2557">
        <v>3</v>
      </c>
      <c r="J58" s="2126"/>
      <c r="K58" s="2126"/>
      <c r="L58" s="2551">
        <f t="shared" si="16"/>
        <v>3</v>
      </c>
      <c r="M58" s="2126"/>
      <c r="N58" s="2526">
        <v>14</v>
      </c>
      <c r="O58" s="2126"/>
      <c r="P58" s="2551">
        <f t="shared" si="17"/>
        <v>14</v>
      </c>
      <c r="Q58"/>
      <c r="R58"/>
      <c r="S58"/>
      <c r="T58"/>
    </row>
    <row r="59" spans="1:20">
      <c r="B59"/>
      <c r="C59" s="2504" t="s">
        <v>596</v>
      </c>
      <c r="D59" s="2126"/>
      <c r="E59" s="2526">
        <v>5</v>
      </c>
      <c r="F59" s="1789"/>
      <c r="G59" s="2551">
        <v>5</v>
      </c>
      <c r="H59" s="2126"/>
      <c r="I59" s="2557">
        <v>9</v>
      </c>
      <c r="J59" s="2126"/>
      <c r="K59" s="2126"/>
      <c r="L59" s="2551">
        <f t="shared" si="16"/>
        <v>9</v>
      </c>
      <c r="M59" s="2126"/>
      <c r="N59" s="2526">
        <v>92</v>
      </c>
      <c r="O59" s="2126"/>
      <c r="P59" s="2551">
        <f t="shared" si="17"/>
        <v>92</v>
      </c>
      <c r="Q59"/>
      <c r="R59"/>
      <c r="S59"/>
      <c r="T59"/>
    </row>
    <row r="60" spans="1:20">
      <c r="B60"/>
      <c r="C60" s="2504" t="s">
        <v>597</v>
      </c>
      <c r="D60" s="2126"/>
      <c r="E60" s="2526">
        <v>10</v>
      </c>
      <c r="F60" s="1789"/>
      <c r="G60" s="2551">
        <v>10</v>
      </c>
      <c r="H60" s="2126"/>
      <c r="I60" s="2557">
        <v>12</v>
      </c>
      <c r="J60" s="2126"/>
      <c r="K60" s="2126"/>
      <c r="L60" s="2551">
        <f t="shared" si="16"/>
        <v>12</v>
      </c>
      <c r="M60" s="2126"/>
      <c r="N60" s="2526">
        <v>123</v>
      </c>
      <c r="O60" s="2126"/>
      <c r="P60" s="2551">
        <f t="shared" si="17"/>
        <v>123</v>
      </c>
      <c r="Q60"/>
      <c r="R60"/>
      <c r="S60"/>
      <c r="T60"/>
    </row>
    <row r="61" spans="1:20">
      <c r="B61"/>
      <c r="C61" s="2504" t="s">
        <v>598</v>
      </c>
      <c r="D61" s="2126"/>
      <c r="E61" s="2526">
        <v>4</v>
      </c>
      <c r="F61" s="1789"/>
      <c r="G61" s="2551">
        <v>4</v>
      </c>
      <c r="H61" s="2126"/>
      <c r="I61" s="2557">
        <v>2</v>
      </c>
      <c r="J61" s="2126"/>
      <c r="K61" s="2126"/>
      <c r="L61" s="2551">
        <f t="shared" si="16"/>
        <v>2</v>
      </c>
      <c r="M61" s="2126"/>
      <c r="N61" s="2526">
        <v>73</v>
      </c>
      <c r="O61" s="2126"/>
      <c r="P61" s="2551">
        <f t="shared" si="17"/>
        <v>73</v>
      </c>
      <c r="Q61"/>
      <c r="R61"/>
      <c r="S61"/>
      <c r="T61"/>
    </row>
    <row r="62" spans="1:20">
      <c r="B62"/>
      <c r="C62" s="2504" t="s">
        <v>599</v>
      </c>
      <c r="D62" s="2126"/>
      <c r="E62" s="2526">
        <v>13</v>
      </c>
      <c r="F62" s="1789"/>
      <c r="G62" s="2551">
        <v>13</v>
      </c>
      <c r="H62" s="2126"/>
      <c r="I62" s="2557">
        <v>10</v>
      </c>
      <c r="J62" s="2126"/>
      <c r="K62" s="2126"/>
      <c r="L62" s="2551">
        <f t="shared" si="16"/>
        <v>10</v>
      </c>
      <c r="M62" s="2126"/>
      <c r="N62" s="2526">
        <v>168</v>
      </c>
      <c r="O62" s="2126"/>
      <c r="P62" s="2551">
        <f t="shared" si="17"/>
        <v>168</v>
      </c>
      <c r="Q62"/>
      <c r="R62"/>
      <c r="S62"/>
      <c r="T62"/>
    </row>
    <row r="63" spans="1:20">
      <c r="B63"/>
      <c r="C63" s="2504" t="s">
        <v>600</v>
      </c>
      <c r="D63" s="2126"/>
      <c r="E63" s="2526">
        <v>6</v>
      </c>
      <c r="F63" s="1789"/>
      <c r="G63" s="2551">
        <v>6</v>
      </c>
      <c r="H63" s="2126"/>
      <c r="I63" s="2557">
        <v>5</v>
      </c>
      <c r="J63" s="2126"/>
      <c r="K63" s="2126"/>
      <c r="L63" s="2551">
        <f t="shared" si="16"/>
        <v>5</v>
      </c>
      <c r="M63" s="2126"/>
      <c r="N63" s="2526">
        <v>77</v>
      </c>
      <c r="O63" s="2126"/>
      <c r="P63" s="2551">
        <f t="shared" si="17"/>
        <v>77</v>
      </c>
      <c r="Q63"/>
      <c r="R63"/>
      <c r="S63"/>
      <c r="T63"/>
    </row>
    <row r="64" spans="1:20">
      <c r="B64"/>
      <c r="C64" s="2504" t="s">
        <v>601</v>
      </c>
      <c r="D64" s="2126"/>
      <c r="E64" s="2526">
        <v>22</v>
      </c>
      <c r="F64" s="1789"/>
      <c r="G64" s="2551">
        <v>22</v>
      </c>
      <c r="H64" s="2126"/>
      <c r="I64" s="2557">
        <v>42</v>
      </c>
      <c r="J64" s="2126"/>
      <c r="K64" s="2126"/>
      <c r="L64" s="2551">
        <f t="shared" si="16"/>
        <v>42</v>
      </c>
      <c r="M64" s="2126"/>
      <c r="N64" s="2526">
        <v>242</v>
      </c>
      <c r="O64" s="2126"/>
      <c r="P64" s="2551">
        <f t="shared" si="17"/>
        <v>242</v>
      </c>
      <c r="Q64"/>
      <c r="R64"/>
      <c r="S64"/>
      <c r="T64"/>
    </row>
    <row r="65" spans="1:20">
      <c r="B65"/>
      <c r="C65" s="2537" t="s">
        <v>118</v>
      </c>
      <c r="D65" s="2552">
        <v>0</v>
      </c>
      <c r="E65" s="2552">
        <v>69</v>
      </c>
      <c r="F65" s="2552">
        <v>0</v>
      </c>
      <c r="G65" s="2552">
        <v>69</v>
      </c>
      <c r="H65" s="2552">
        <v>0</v>
      </c>
      <c r="I65" s="2552">
        <v>91</v>
      </c>
      <c r="J65" s="2552">
        <f>SUM(J56:J64)</f>
        <v>0</v>
      </c>
      <c r="K65" s="2552"/>
      <c r="L65" s="2552">
        <f>SUM(L56:L64)</f>
        <v>91</v>
      </c>
      <c r="M65" s="2552">
        <f>SUM(M56:M64)</f>
        <v>0</v>
      </c>
      <c r="N65" s="2552">
        <f>SUM(N56:N64)</f>
        <v>890</v>
      </c>
      <c r="O65" s="2552">
        <f>SUM(O56:O64)</f>
        <v>0</v>
      </c>
      <c r="P65" s="2552">
        <f>SUM(P56:P64)</f>
        <v>890</v>
      </c>
      <c r="Q65"/>
      <c r="R65"/>
      <c r="S65"/>
      <c r="T65"/>
    </row>
    <row r="66" spans="1:20">
      <c r="A66" s="193">
        <v>4</v>
      </c>
      <c r="B66">
        <v>4</v>
      </c>
      <c r="C66" s="2553" t="s">
        <v>181</v>
      </c>
      <c r="D66"/>
      <c r="E66"/>
      <c r="F66"/>
      <c r="G66"/>
      <c r="H66"/>
      <c r="I66"/>
      <c r="J66"/>
      <c r="K66"/>
      <c r="L66"/>
      <c r="M66"/>
      <c r="N66"/>
      <c r="O66"/>
      <c r="P66"/>
      <c r="Q66"/>
      <c r="R66"/>
      <c r="S66"/>
      <c r="T66"/>
    </row>
    <row r="67" spans="1:20">
      <c r="B67"/>
      <c r="C67" s="2537" t="s">
        <v>586</v>
      </c>
      <c r="D67" s="2537" t="s">
        <v>587</v>
      </c>
      <c r="E67" s="2537"/>
      <c r="F67" s="2537"/>
      <c r="G67" s="2537"/>
      <c r="H67" s="2537" t="s">
        <v>611</v>
      </c>
      <c r="I67" s="2537"/>
      <c r="J67" s="2537"/>
      <c r="K67" s="2537"/>
      <c r="L67" s="2537"/>
      <c r="M67" s="2537" t="s">
        <v>612</v>
      </c>
      <c r="N67" s="2537"/>
      <c r="O67" s="2537"/>
      <c r="P67" s="2537"/>
      <c r="Q67"/>
      <c r="R67"/>
      <c r="S67"/>
      <c r="T67"/>
    </row>
    <row r="68" spans="1:20">
      <c r="B68"/>
      <c r="C68" s="2537"/>
      <c r="D68" s="2537" t="s">
        <v>590</v>
      </c>
      <c r="E68" s="2537" t="s">
        <v>591</v>
      </c>
      <c r="F68" s="2537" t="s">
        <v>592</v>
      </c>
      <c r="G68" s="2537" t="s">
        <v>118</v>
      </c>
      <c r="H68" s="2537" t="s">
        <v>590</v>
      </c>
      <c r="I68" s="2537" t="s">
        <v>591</v>
      </c>
      <c r="J68" s="2537" t="s">
        <v>592</v>
      </c>
      <c r="K68" s="2537"/>
      <c r="L68" s="2537" t="s">
        <v>118</v>
      </c>
      <c r="M68" s="2537" t="s">
        <v>590</v>
      </c>
      <c r="N68" s="2537" t="s">
        <v>591</v>
      </c>
      <c r="O68" s="2537" t="s">
        <v>592</v>
      </c>
      <c r="P68" s="2537" t="s">
        <v>118</v>
      </c>
      <c r="Q68"/>
      <c r="R68"/>
      <c r="S68"/>
      <c r="T68"/>
    </row>
    <row r="69" spans="1:20">
      <c r="B69"/>
      <c r="C69" s="2550" t="s">
        <v>593</v>
      </c>
      <c r="D69" s="2555">
        <v>0</v>
      </c>
      <c r="E69" s="2530">
        <v>6</v>
      </c>
      <c r="F69" s="3741">
        <v>3</v>
      </c>
      <c r="G69" s="2551">
        <f>+D69+E69+F69</f>
        <v>9</v>
      </c>
      <c r="H69" s="2526">
        <v>7</v>
      </c>
      <c r="I69" s="2526">
        <v>29</v>
      </c>
      <c r="J69" s="2526">
        <v>0</v>
      </c>
      <c r="K69" s="2526"/>
      <c r="L69" s="2551">
        <f>+H69+I69+J69</f>
        <v>36</v>
      </c>
      <c r="M69" s="2558">
        <v>19</v>
      </c>
      <c r="N69" s="2559">
        <v>376</v>
      </c>
      <c r="O69" s="2559">
        <v>6</v>
      </c>
      <c r="P69" s="2551">
        <f>+M69+N69+O69</f>
        <v>401</v>
      </c>
      <c r="Q69"/>
      <c r="R69"/>
      <c r="S69"/>
      <c r="T69"/>
    </row>
    <row r="70" spans="1:20">
      <c r="B70"/>
      <c r="C70" s="2504" t="s">
        <v>594</v>
      </c>
      <c r="D70" s="2126">
        <v>0</v>
      </c>
      <c r="E70" s="2526">
        <v>6</v>
      </c>
      <c r="F70" s="3742">
        <v>2</v>
      </c>
      <c r="G70" s="2551">
        <f t="shared" ref="G70:G77" si="18">+D70+E70+F70</f>
        <v>8</v>
      </c>
      <c r="H70" s="2526">
        <v>5</v>
      </c>
      <c r="I70" s="2526">
        <v>25</v>
      </c>
      <c r="J70" s="2526">
        <v>0</v>
      </c>
      <c r="K70" s="2526"/>
      <c r="L70" s="2551">
        <f t="shared" ref="L70:L77" si="19">+H70+I70+J70</f>
        <v>30</v>
      </c>
      <c r="M70" s="2558">
        <v>10</v>
      </c>
      <c r="N70" s="2559">
        <v>289</v>
      </c>
      <c r="O70" s="2559">
        <v>8</v>
      </c>
      <c r="P70" s="2551">
        <f t="shared" ref="P70:P77" si="20">+M70+N70+O70</f>
        <v>307</v>
      </c>
      <c r="Q70"/>
      <c r="R70"/>
      <c r="S70"/>
      <c r="T70"/>
    </row>
    <row r="71" spans="1:20">
      <c r="B71"/>
      <c r="C71" s="2504" t="s">
        <v>595</v>
      </c>
      <c r="D71" s="2126">
        <v>0</v>
      </c>
      <c r="E71" s="2526">
        <v>2</v>
      </c>
      <c r="F71" s="3742">
        <v>2</v>
      </c>
      <c r="G71" s="2551">
        <f t="shared" si="18"/>
        <v>4</v>
      </c>
      <c r="H71" s="2526">
        <v>4</v>
      </c>
      <c r="I71" s="2526">
        <v>19</v>
      </c>
      <c r="J71" s="2526">
        <v>0</v>
      </c>
      <c r="K71" s="2526"/>
      <c r="L71" s="2551">
        <f t="shared" si="19"/>
        <v>23</v>
      </c>
      <c r="M71" s="2558">
        <v>15</v>
      </c>
      <c r="N71" s="2559">
        <v>288</v>
      </c>
      <c r="O71" s="2559">
        <v>2</v>
      </c>
      <c r="P71" s="2551">
        <f t="shared" si="20"/>
        <v>305</v>
      </c>
      <c r="Q71"/>
      <c r="R71"/>
      <c r="S71"/>
      <c r="T71"/>
    </row>
    <row r="72" spans="1:20">
      <c r="B72"/>
      <c r="C72" s="2504" t="s">
        <v>596</v>
      </c>
      <c r="D72" s="2126">
        <v>0</v>
      </c>
      <c r="E72" s="2526">
        <v>11</v>
      </c>
      <c r="F72" s="3742">
        <v>3</v>
      </c>
      <c r="G72" s="2551">
        <f t="shared" si="18"/>
        <v>14</v>
      </c>
      <c r="H72" s="2526">
        <v>8</v>
      </c>
      <c r="I72" s="2526">
        <v>47</v>
      </c>
      <c r="J72" s="2526">
        <v>0</v>
      </c>
      <c r="K72" s="2526"/>
      <c r="L72" s="2551">
        <f t="shared" si="19"/>
        <v>55</v>
      </c>
      <c r="M72" s="2558">
        <v>9</v>
      </c>
      <c r="N72" s="2559">
        <v>178</v>
      </c>
      <c r="O72" s="2559">
        <v>3</v>
      </c>
      <c r="P72" s="2551">
        <f t="shared" si="20"/>
        <v>190</v>
      </c>
      <c r="Q72"/>
      <c r="R72"/>
      <c r="S72"/>
      <c r="T72"/>
    </row>
    <row r="73" spans="1:20">
      <c r="B73"/>
      <c r="C73" s="2504" t="s">
        <v>597</v>
      </c>
      <c r="D73" s="2126">
        <v>0</v>
      </c>
      <c r="E73" s="2526">
        <v>2</v>
      </c>
      <c r="F73" s="3742">
        <v>3</v>
      </c>
      <c r="G73" s="2551">
        <f t="shared" si="18"/>
        <v>5</v>
      </c>
      <c r="H73" s="2526">
        <v>5</v>
      </c>
      <c r="I73" s="2526">
        <v>15</v>
      </c>
      <c r="J73" s="2526">
        <v>0</v>
      </c>
      <c r="K73" s="2526"/>
      <c r="L73" s="2551">
        <f t="shared" si="19"/>
        <v>20</v>
      </c>
      <c r="M73" s="2558">
        <v>24</v>
      </c>
      <c r="N73" s="2559">
        <v>468</v>
      </c>
      <c r="O73" s="2559">
        <v>10</v>
      </c>
      <c r="P73" s="2551">
        <f t="shared" si="20"/>
        <v>502</v>
      </c>
      <c r="Q73"/>
      <c r="R73"/>
      <c r="S73"/>
      <c r="T73"/>
    </row>
    <row r="74" spans="1:20">
      <c r="B74"/>
      <c r="C74" s="2504" t="s">
        <v>598</v>
      </c>
      <c r="D74" s="2126">
        <v>0</v>
      </c>
      <c r="E74" s="2526">
        <v>2</v>
      </c>
      <c r="F74" s="3742">
        <v>3</v>
      </c>
      <c r="G74" s="2551">
        <f t="shared" si="18"/>
        <v>5</v>
      </c>
      <c r="H74" s="2526">
        <v>5</v>
      </c>
      <c r="I74" s="2526">
        <v>16</v>
      </c>
      <c r="J74" s="2526">
        <v>0</v>
      </c>
      <c r="K74" s="2526"/>
      <c r="L74" s="2551">
        <f t="shared" si="19"/>
        <v>21</v>
      </c>
      <c r="M74" s="2558">
        <v>21</v>
      </c>
      <c r="N74" s="2559">
        <v>215</v>
      </c>
      <c r="O74" s="2559">
        <v>8</v>
      </c>
      <c r="P74" s="2551">
        <f t="shared" si="20"/>
        <v>244</v>
      </c>
      <c r="Q74"/>
      <c r="R74"/>
      <c r="S74"/>
      <c r="T74"/>
    </row>
    <row r="75" spans="1:20">
      <c r="B75"/>
      <c r="C75" s="2504" t="s">
        <v>599</v>
      </c>
      <c r="D75" s="2126">
        <v>0</v>
      </c>
      <c r="E75" s="2526">
        <v>19</v>
      </c>
      <c r="F75" s="3742">
        <v>3</v>
      </c>
      <c r="G75" s="2551">
        <f t="shared" si="18"/>
        <v>22</v>
      </c>
      <c r="H75" s="2526">
        <v>8</v>
      </c>
      <c r="I75" s="2526">
        <v>61</v>
      </c>
      <c r="J75" s="2526">
        <v>0</v>
      </c>
      <c r="K75" s="2526"/>
      <c r="L75" s="2551">
        <f t="shared" si="19"/>
        <v>69</v>
      </c>
      <c r="M75" s="2558">
        <v>23</v>
      </c>
      <c r="N75" s="2559">
        <v>680</v>
      </c>
      <c r="O75" s="2559">
        <v>10</v>
      </c>
      <c r="P75" s="2551">
        <f t="shared" si="20"/>
        <v>713</v>
      </c>
      <c r="Q75"/>
      <c r="R75"/>
      <c r="S75"/>
      <c r="T75"/>
    </row>
    <row r="76" spans="1:20">
      <c r="B76"/>
      <c r="C76" s="2504" t="s">
        <v>600</v>
      </c>
      <c r="D76" s="2126">
        <v>0</v>
      </c>
      <c r="E76" s="2526">
        <v>4</v>
      </c>
      <c r="F76" s="3742">
        <v>3</v>
      </c>
      <c r="G76" s="2551">
        <f t="shared" si="18"/>
        <v>7</v>
      </c>
      <c r="H76" s="2526">
        <v>6</v>
      </c>
      <c r="I76" s="2526">
        <v>25</v>
      </c>
      <c r="J76" s="2526">
        <v>0</v>
      </c>
      <c r="K76" s="2526"/>
      <c r="L76" s="2551">
        <f t="shared" si="19"/>
        <v>31</v>
      </c>
      <c r="M76" s="2558">
        <v>14</v>
      </c>
      <c r="N76" s="2559">
        <v>352</v>
      </c>
      <c r="O76" s="2559">
        <v>6</v>
      </c>
      <c r="P76" s="2551">
        <f t="shared" si="20"/>
        <v>372</v>
      </c>
      <c r="Q76"/>
      <c r="R76"/>
      <c r="S76"/>
      <c r="T76"/>
    </row>
    <row r="77" spans="1:20">
      <c r="B77"/>
      <c r="C77" s="2504" t="s">
        <v>601</v>
      </c>
      <c r="D77" s="2126">
        <v>0</v>
      </c>
      <c r="E77" s="2526">
        <v>27</v>
      </c>
      <c r="F77" s="3742">
        <v>12</v>
      </c>
      <c r="G77" s="2551">
        <f t="shared" si="18"/>
        <v>39</v>
      </c>
      <c r="H77" s="2526">
        <v>267</v>
      </c>
      <c r="I77" s="2526">
        <v>420</v>
      </c>
      <c r="J77" s="2526">
        <v>128</v>
      </c>
      <c r="K77" s="2526"/>
      <c r="L77" s="2551">
        <f t="shared" si="19"/>
        <v>815</v>
      </c>
      <c r="M77" s="2558">
        <v>165</v>
      </c>
      <c r="N77" s="2559">
        <v>2461</v>
      </c>
      <c r="O77" s="2559">
        <v>154</v>
      </c>
      <c r="P77" s="2551">
        <f t="shared" si="20"/>
        <v>2780</v>
      </c>
      <c r="Q77"/>
      <c r="R77"/>
      <c r="S77"/>
      <c r="T77"/>
    </row>
    <row r="78" spans="1:20">
      <c r="B78"/>
      <c r="C78" s="2537" t="s">
        <v>118</v>
      </c>
      <c r="D78" s="2552">
        <f t="shared" ref="D78:J78" si="21">SUM(D69:D77)</f>
        <v>0</v>
      </c>
      <c r="E78" s="2552">
        <f t="shared" si="21"/>
        <v>79</v>
      </c>
      <c r="F78" s="2552">
        <f t="shared" si="21"/>
        <v>34</v>
      </c>
      <c r="G78" s="2552">
        <f t="shared" si="21"/>
        <v>113</v>
      </c>
      <c r="H78" s="2552">
        <f t="shared" si="21"/>
        <v>315</v>
      </c>
      <c r="I78" s="2552">
        <f t="shared" si="21"/>
        <v>657</v>
      </c>
      <c r="J78" s="2552">
        <f t="shared" si="21"/>
        <v>128</v>
      </c>
      <c r="K78" s="2552"/>
      <c r="L78" s="2552">
        <f>SUM(L69:L77)</f>
        <v>1100</v>
      </c>
      <c r="M78" s="2552">
        <f>SUM(M69:M77)</f>
        <v>300</v>
      </c>
      <c r="N78" s="2552">
        <f>SUM(N69:N77)</f>
        <v>5307</v>
      </c>
      <c r="O78" s="2552">
        <f>SUM(O69:O77)</f>
        <v>207</v>
      </c>
      <c r="P78" s="2552">
        <f>SUM(P69:P77)</f>
        <v>5814</v>
      </c>
      <c r="Q78" s="14"/>
      <c r="R78"/>
      <c r="S78"/>
      <c r="T78"/>
    </row>
    <row r="79" spans="1:20">
      <c r="B79">
        <v>5</v>
      </c>
      <c r="C79" s="2553" t="s">
        <v>182</v>
      </c>
      <c r="D79"/>
      <c r="E79"/>
      <c r="F79"/>
      <c r="G79"/>
      <c r="H79"/>
      <c r="I79"/>
      <c r="J79"/>
      <c r="K79"/>
      <c r="L79"/>
      <c r="M79"/>
      <c r="N79" s="14"/>
      <c r="O79"/>
      <c r="P79"/>
      <c r="Q79"/>
      <c r="R79"/>
      <c r="S79"/>
      <c r="T79"/>
    </row>
    <row r="80" spans="1:20">
      <c r="B80"/>
      <c r="C80" s="2537" t="s">
        <v>586</v>
      </c>
      <c r="D80" s="2537" t="s">
        <v>587</v>
      </c>
      <c r="E80" s="2537"/>
      <c r="F80" s="2537"/>
      <c r="G80" s="2537"/>
      <c r="H80" s="2537" t="s">
        <v>611</v>
      </c>
      <c r="I80" s="2537"/>
      <c r="J80" s="2537"/>
      <c r="K80" s="2537"/>
      <c r="L80" s="2537"/>
      <c r="M80" s="2537" t="s">
        <v>612</v>
      </c>
      <c r="N80" s="2537"/>
      <c r="O80" s="2537"/>
      <c r="P80" s="2537"/>
      <c r="Q80"/>
      <c r="R80"/>
      <c r="S80"/>
      <c r="T80"/>
    </row>
    <row r="81" spans="1:20">
      <c r="A81" s="193">
        <v>5</v>
      </c>
      <c r="B81"/>
      <c r="C81" s="2537"/>
      <c r="D81" s="2537" t="s">
        <v>590</v>
      </c>
      <c r="E81" s="2537" t="s">
        <v>591</v>
      </c>
      <c r="F81" s="2537" t="s">
        <v>592</v>
      </c>
      <c r="G81" s="2537" t="s">
        <v>118</v>
      </c>
      <c r="H81" s="2537" t="s">
        <v>590</v>
      </c>
      <c r="I81" s="2537" t="s">
        <v>591</v>
      </c>
      <c r="J81" s="2537" t="s">
        <v>592</v>
      </c>
      <c r="K81" s="2537"/>
      <c r="L81" s="2537" t="s">
        <v>118</v>
      </c>
      <c r="M81" s="2537" t="s">
        <v>590</v>
      </c>
      <c r="N81" s="2537" t="s">
        <v>591</v>
      </c>
      <c r="O81" s="2537" t="s">
        <v>592</v>
      </c>
      <c r="P81" s="2537" t="s">
        <v>118</v>
      </c>
      <c r="Q81"/>
      <c r="R81"/>
      <c r="S81"/>
      <c r="T81"/>
    </row>
    <row r="82" spans="1:20">
      <c r="B82"/>
      <c r="C82" s="2550" t="s">
        <v>593</v>
      </c>
      <c r="D82" s="2530">
        <v>0</v>
      </c>
      <c r="E82" s="2530">
        <v>0</v>
      </c>
      <c r="F82" s="2521">
        <v>4</v>
      </c>
      <c r="G82" s="2551">
        <f>+D82+E82+F82</f>
        <v>4</v>
      </c>
      <c r="H82" s="2526">
        <v>22</v>
      </c>
      <c r="I82" s="2526">
        <v>13</v>
      </c>
      <c r="J82" s="2526">
        <v>0</v>
      </c>
      <c r="K82" s="2526"/>
      <c r="L82" s="2551">
        <f>+H82+I82+J82</f>
        <v>35</v>
      </c>
      <c r="M82" s="2526"/>
      <c r="N82" s="2526">
        <v>14</v>
      </c>
      <c r="O82" s="2526"/>
      <c r="P82" s="2551">
        <f>+M82+N82+O82</f>
        <v>14</v>
      </c>
      <c r="Q82"/>
      <c r="R82"/>
      <c r="S82"/>
      <c r="T82"/>
    </row>
    <row r="83" spans="1:20">
      <c r="B83"/>
      <c r="C83" s="2504" t="s">
        <v>594</v>
      </c>
      <c r="D83" s="2526">
        <v>0</v>
      </c>
      <c r="E83" s="2526">
        <v>0</v>
      </c>
      <c r="F83" s="2521">
        <v>6</v>
      </c>
      <c r="G83" s="2551">
        <f t="shared" ref="G83:G90" si="22">+D83+E83+F83</f>
        <v>6</v>
      </c>
      <c r="H83" s="2526">
        <v>21</v>
      </c>
      <c r="I83" s="2526">
        <v>11</v>
      </c>
      <c r="J83" s="2526">
        <v>0</v>
      </c>
      <c r="K83" s="2526"/>
      <c r="L83" s="2551">
        <f t="shared" ref="L83:L90" si="23">+H83+I83+J83</f>
        <v>32</v>
      </c>
      <c r="M83" s="2526"/>
      <c r="N83" s="2526">
        <v>62</v>
      </c>
      <c r="O83" s="2526"/>
      <c r="P83" s="2551">
        <f>+M83+N83+O83</f>
        <v>62</v>
      </c>
      <c r="Q83"/>
      <c r="R83"/>
      <c r="S83"/>
      <c r="T83"/>
    </row>
    <row r="84" spans="1:20">
      <c r="B84"/>
      <c r="C84" s="2504" t="s">
        <v>595</v>
      </c>
      <c r="D84" s="2526">
        <v>0</v>
      </c>
      <c r="E84" s="2526">
        <v>0</v>
      </c>
      <c r="F84" s="2521">
        <v>2</v>
      </c>
      <c r="G84" s="2551">
        <f t="shared" si="22"/>
        <v>2</v>
      </c>
      <c r="H84" s="2526">
        <v>4</v>
      </c>
      <c r="I84" s="2526">
        <v>3</v>
      </c>
      <c r="J84" s="2526">
        <v>0</v>
      </c>
      <c r="K84" s="2526"/>
      <c r="L84" s="2551">
        <f t="shared" si="23"/>
        <v>7</v>
      </c>
      <c r="M84" s="2526"/>
      <c r="N84" s="2526">
        <v>5</v>
      </c>
      <c r="O84" s="2526"/>
      <c r="P84" s="2551">
        <f t="shared" ref="P84:P90" si="24">+M84+N84+O84</f>
        <v>5</v>
      </c>
      <c r="Q84"/>
      <c r="R84"/>
      <c r="S84"/>
      <c r="T84"/>
    </row>
    <row r="85" spans="1:20">
      <c r="B85"/>
      <c r="C85" s="2504" t="s">
        <v>596</v>
      </c>
      <c r="D85" s="2526">
        <v>0</v>
      </c>
      <c r="E85" s="2526">
        <v>0</v>
      </c>
      <c r="F85" s="2521">
        <v>2</v>
      </c>
      <c r="G85" s="2551">
        <f t="shared" si="22"/>
        <v>2</v>
      </c>
      <c r="H85" s="2526">
        <v>24</v>
      </c>
      <c r="I85" s="2526">
        <v>5</v>
      </c>
      <c r="J85" s="2526">
        <v>0</v>
      </c>
      <c r="K85" s="2526"/>
      <c r="L85" s="2551">
        <f t="shared" si="23"/>
        <v>29</v>
      </c>
      <c r="M85" s="2526"/>
      <c r="N85" s="2526">
        <v>22</v>
      </c>
      <c r="O85" s="2526"/>
      <c r="P85" s="2551">
        <f t="shared" si="24"/>
        <v>22</v>
      </c>
      <c r="Q85"/>
      <c r="R85"/>
      <c r="S85"/>
      <c r="T85"/>
    </row>
    <row r="86" spans="1:20">
      <c r="B86"/>
      <c r="C86" s="2504" t="s">
        <v>597</v>
      </c>
      <c r="D86" s="2526">
        <v>0</v>
      </c>
      <c r="E86" s="2526">
        <v>0</v>
      </c>
      <c r="F86" s="2521">
        <v>2</v>
      </c>
      <c r="G86" s="2551">
        <f t="shared" si="22"/>
        <v>2</v>
      </c>
      <c r="H86" s="2526">
        <v>3</v>
      </c>
      <c r="I86" s="2526">
        <v>1</v>
      </c>
      <c r="J86" s="2526">
        <v>0</v>
      </c>
      <c r="K86" s="2526"/>
      <c r="L86" s="2551">
        <f t="shared" si="23"/>
        <v>4</v>
      </c>
      <c r="M86" s="2526"/>
      <c r="N86" s="2526">
        <v>2</v>
      </c>
      <c r="O86" s="2526"/>
      <c r="P86" s="2551">
        <f t="shared" si="24"/>
        <v>2</v>
      </c>
      <c r="Q86"/>
      <c r="R86"/>
      <c r="S86"/>
      <c r="T86"/>
    </row>
    <row r="87" spans="1:20">
      <c r="B87"/>
      <c r="C87" s="2504" t="s">
        <v>598</v>
      </c>
      <c r="D87" s="2526">
        <v>0</v>
      </c>
      <c r="E87" s="2526">
        <v>0</v>
      </c>
      <c r="F87" s="2521">
        <v>2</v>
      </c>
      <c r="G87" s="2551">
        <f t="shared" si="22"/>
        <v>2</v>
      </c>
      <c r="H87" s="2526">
        <v>6</v>
      </c>
      <c r="I87" s="2526">
        <v>4</v>
      </c>
      <c r="J87" s="2526">
        <v>0</v>
      </c>
      <c r="K87" s="2526"/>
      <c r="L87" s="2551">
        <f t="shared" si="23"/>
        <v>10</v>
      </c>
      <c r="M87" s="2526"/>
      <c r="N87" s="2526">
        <v>12</v>
      </c>
      <c r="O87" s="2526"/>
      <c r="P87" s="2551">
        <f t="shared" si="24"/>
        <v>12</v>
      </c>
      <c r="Q87"/>
      <c r="R87"/>
      <c r="S87"/>
      <c r="T87"/>
    </row>
    <row r="88" spans="1:20">
      <c r="B88"/>
      <c r="C88" s="2504" t="s">
        <v>599</v>
      </c>
      <c r="D88" s="2526">
        <v>0</v>
      </c>
      <c r="E88" s="2526">
        <v>0</v>
      </c>
      <c r="F88" s="2521">
        <v>3</v>
      </c>
      <c r="G88" s="2551">
        <f t="shared" si="22"/>
        <v>3</v>
      </c>
      <c r="H88" s="2526">
        <v>17</v>
      </c>
      <c r="I88" s="2526">
        <v>1</v>
      </c>
      <c r="J88" s="2526">
        <v>0</v>
      </c>
      <c r="K88" s="2526"/>
      <c r="L88" s="2551">
        <f t="shared" si="23"/>
        <v>18</v>
      </c>
      <c r="M88" s="2526"/>
      <c r="N88" s="2526">
        <v>9</v>
      </c>
      <c r="O88" s="2526"/>
      <c r="P88" s="2551">
        <f t="shared" si="24"/>
        <v>9</v>
      </c>
      <c r="Q88"/>
      <c r="R88"/>
      <c r="S88"/>
      <c r="T88"/>
    </row>
    <row r="89" spans="1:20">
      <c r="B89"/>
      <c r="C89" s="2504" t="s">
        <v>600</v>
      </c>
      <c r="D89" s="2526">
        <v>0</v>
      </c>
      <c r="E89" s="2526">
        <v>0</v>
      </c>
      <c r="F89" s="2521"/>
      <c r="G89" s="2551">
        <f t="shared" si="22"/>
        <v>0</v>
      </c>
      <c r="H89" s="2526">
        <v>0</v>
      </c>
      <c r="I89" s="2526">
        <v>0</v>
      </c>
      <c r="J89" s="2526">
        <v>0</v>
      </c>
      <c r="K89" s="2526"/>
      <c r="L89" s="2551">
        <f t="shared" si="23"/>
        <v>0</v>
      </c>
      <c r="M89" s="2526"/>
      <c r="N89" s="2526">
        <v>0</v>
      </c>
      <c r="O89" s="2526"/>
      <c r="P89" s="2551">
        <f t="shared" si="24"/>
        <v>0</v>
      </c>
      <c r="Q89"/>
      <c r="R89"/>
      <c r="S89"/>
      <c r="T89"/>
    </row>
    <row r="90" spans="1:20">
      <c r="B90"/>
      <c r="C90" s="2504" t="s">
        <v>601</v>
      </c>
      <c r="D90" s="2526">
        <v>0</v>
      </c>
      <c r="E90" s="2526">
        <v>0</v>
      </c>
      <c r="F90" s="2521">
        <v>5</v>
      </c>
      <c r="G90" s="2551">
        <f t="shared" si="22"/>
        <v>5</v>
      </c>
      <c r="H90" s="2526">
        <f>166+11-46</f>
        <v>131</v>
      </c>
      <c r="I90" s="2526">
        <v>43</v>
      </c>
      <c r="J90" s="2526">
        <v>46</v>
      </c>
      <c r="K90" s="2526"/>
      <c r="L90" s="2551">
        <f t="shared" si="23"/>
        <v>220</v>
      </c>
      <c r="M90" s="2526"/>
      <c r="N90" s="2526">
        <v>48</v>
      </c>
      <c r="O90" s="2526"/>
      <c r="P90" s="2551">
        <f t="shared" si="24"/>
        <v>48</v>
      </c>
      <c r="Q90"/>
      <c r="R90"/>
      <c r="S90"/>
      <c r="T90"/>
    </row>
    <row r="91" spans="1:20">
      <c r="B91"/>
      <c r="C91" s="2537" t="s">
        <v>118</v>
      </c>
      <c r="D91" s="2552">
        <f t="shared" ref="D91:J91" si="25">SUM(D82:D90)</f>
        <v>0</v>
      </c>
      <c r="E91" s="2552">
        <f t="shared" si="25"/>
        <v>0</v>
      </c>
      <c r="F91" s="2552">
        <f t="shared" si="25"/>
        <v>26</v>
      </c>
      <c r="G91" s="2552">
        <f t="shared" si="25"/>
        <v>26</v>
      </c>
      <c r="H91" s="2552">
        <f t="shared" si="25"/>
        <v>228</v>
      </c>
      <c r="I91" s="2552">
        <f t="shared" si="25"/>
        <v>81</v>
      </c>
      <c r="J91" s="2552">
        <f t="shared" si="25"/>
        <v>46</v>
      </c>
      <c r="K91" s="2552"/>
      <c r="L91" s="2552">
        <f>SUM(L82:L90)</f>
        <v>355</v>
      </c>
      <c r="M91" s="2552">
        <f>SUM(M82:M90)</f>
        <v>0</v>
      </c>
      <c r="N91" s="2552">
        <f>SUM(N82:N90)</f>
        <v>174</v>
      </c>
      <c r="O91" s="2552">
        <f>SUM(O82:O90)</f>
        <v>0</v>
      </c>
      <c r="P91" s="2552">
        <f>SUM(P82:P90)</f>
        <v>174</v>
      </c>
      <c r="Q91">
        <v>149</v>
      </c>
      <c r="R91"/>
      <c r="S91"/>
      <c r="T91"/>
    </row>
    <row r="92" spans="1:20">
      <c r="B92">
        <v>6</v>
      </c>
      <c r="C92" s="2554" t="s">
        <v>183</v>
      </c>
      <c r="D92"/>
      <c r="E92"/>
      <c r="F92"/>
      <c r="G92"/>
      <c r="H92"/>
      <c r="I92"/>
      <c r="J92"/>
      <c r="K92"/>
      <c r="L92"/>
      <c r="M92"/>
      <c r="N92"/>
      <c r="O92"/>
      <c r="P92"/>
      <c r="Q92" s="14">
        <f>+P91-Q91</f>
        <v>25</v>
      </c>
      <c r="R92"/>
      <c r="S92"/>
      <c r="T92"/>
    </row>
    <row r="93" spans="1:20">
      <c r="B93"/>
      <c r="C93" s="2537" t="s">
        <v>586</v>
      </c>
      <c r="D93" s="2537" t="s">
        <v>587</v>
      </c>
      <c r="E93" s="2537"/>
      <c r="F93" s="2537"/>
      <c r="G93" s="2537"/>
      <c r="H93" s="2537" t="s">
        <v>611</v>
      </c>
      <c r="I93" s="2537"/>
      <c r="J93" s="2537"/>
      <c r="K93" s="2537"/>
      <c r="L93" s="2537"/>
      <c r="M93" s="2537" t="s">
        <v>612</v>
      </c>
      <c r="N93" s="2537"/>
      <c r="O93" s="2537"/>
      <c r="P93" s="2537"/>
      <c r="Q93"/>
      <c r="R93"/>
      <c r="S93"/>
      <c r="T93"/>
    </row>
    <row r="94" spans="1:20">
      <c r="B94"/>
      <c r="C94" s="2537"/>
      <c r="D94" s="2537" t="s">
        <v>590</v>
      </c>
      <c r="E94" s="2537" t="s">
        <v>591</v>
      </c>
      <c r="F94" s="2537" t="s">
        <v>592</v>
      </c>
      <c r="G94" s="2537" t="s">
        <v>118</v>
      </c>
      <c r="H94" s="2537" t="s">
        <v>590</v>
      </c>
      <c r="I94" s="2537" t="s">
        <v>591</v>
      </c>
      <c r="J94" s="2537" t="s">
        <v>592</v>
      </c>
      <c r="K94" s="2537"/>
      <c r="L94" s="2537" t="s">
        <v>118</v>
      </c>
      <c r="M94" s="2537" t="s">
        <v>590</v>
      </c>
      <c r="N94" s="2537" t="s">
        <v>591</v>
      </c>
      <c r="O94" s="2537" t="s">
        <v>592</v>
      </c>
      <c r="P94" s="2537" t="s">
        <v>118</v>
      </c>
      <c r="Q94"/>
      <c r="R94"/>
      <c r="S94"/>
      <c r="T94"/>
    </row>
    <row r="95" spans="1:20">
      <c r="B95"/>
      <c r="C95" s="2550" t="s">
        <v>593</v>
      </c>
      <c r="D95" s="2530"/>
      <c r="E95" s="2555"/>
      <c r="F95" s="1789"/>
      <c r="G95" s="2551">
        <f>+D95+E95+F95</f>
        <v>0</v>
      </c>
      <c r="H95" s="2526"/>
      <c r="I95" s="2126"/>
      <c r="J95" s="2126"/>
      <c r="K95" s="2126"/>
      <c r="L95" s="2551">
        <f>+H95+I95+J95</f>
        <v>0</v>
      </c>
      <c r="M95" s="2526"/>
      <c r="N95" s="2126"/>
      <c r="O95" s="2126"/>
      <c r="P95" s="2551">
        <f>+M95+N95+O95</f>
        <v>0</v>
      </c>
      <c r="Q95"/>
      <c r="R95"/>
      <c r="S95"/>
      <c r="T95"/>
    </row>
    <row r="96" spans="1:20">
      <c r="A96" s="193">
        <v>6</v>
      </c>
      <c r="B96"/>
      <c r="C96" s="2504" t="s">
        <v>594</v>
      </c>
      <c r="D96" s="2526"/>
      <c r="E96" s="2126"/>
      <c r="F96" s="1789"/>
      <c r="G96" s="2551">
        <f t="shared" ref="G96:G103" si="26">+D96+E96+F96</f>
        <v>0</v>
      </c>
      <c r="H96" s="2526"/>
      <c r="I96" s="2126"/>
      <c r="J96" s="2126"/>
      <c r="K96" s="2126"/>
      <c r="L96" s="2551">
        <f t="shared" ref="L96:L103" si="27">+H96+I96+J96</f>
        <v>0</v>
      </c>
      <c r="M96" s="2526"/>
      <c r="N96" s="2126"/>
      <c r="O96" s="2126"/>
      <c r="P96" s="2551">
        <f t="shared" ref="P96:P103" si="28">+M96+N96+O96</f>
        <v>0</v>
      </c>
      <c r="Q96"/>
      <c r="R96"/>
      <c r="S96"/>
      <c r="T96"/>
    </row>
    <row r="97" spans="1:20">
      <c r="B97"/>
      <c r="C97" s="2504" t="s">
        <v>595</v>
      </c>
      <c r="D97" s="2526"/>
      <c r="E97" s="2126"/>
      <c r="F97" s="1789"/>
      <c r="G97" s="2551">
        <f t="shared" si="26"/>
        <v>0</v>
      </c>
      <c r="H97" s="2526"/>
      <c r="I97" s="2126"/>
      <c r="J97" s="2126"/>
      <c r="K97" s="2126"/>
      <c r="L97" s="2551">
        <f t="shared" si="27"/>
        <v>0</v>
      </c>
      <c r="M97" s="2526"/>
      <c r="N97" s="2126"/>
      <c r="O97" s="2126"/>
      <c r="P97" s="2551">
        <f t="shared" si="28"/>
        <v>0</v>
      </c>
      <c r="Q97"/>
      <c r="R97"/>
      <c r="S97"/>
      <c r="T97"/>
    </row>
    <row r="98" spans="1:20">
      <c r="B98"/>
      <c r="C98" s="2504" t="s">
        <v>596</v>
      </c>
      <c r="D98" s="2526"/>
      <c r="E98" s="2126"/>
      <c r="F98" s="1789"/>
      <c r="G98" s="2551">
        <f t="shared" si="26"/>
        <v>0</v>
      </c>
      <c r="H98" s="2526"/>
      <c r="I98" s="2126"/>
      <c r="J98" s="2126"/>
      <c r="K98" s="2126"/>
      <c r="L98" s="2551">
        <f t="shared" si="27"/>
        <v>0</v>
      </c>
      <c r="M98" s="2526"/>
      <c r="N98" s="2126"/>
      <c r="O98" s="2126"/>
      <c r="P98" s="2551">
        <f t="shared" si="28"/>
        <v>0</v>
      </c>
      <c r="Q98"/>
      <c r="R98"/>
      <c r="S98"/>
      <c r="T98"/>
    </row>
    <row r="99" spans="1:20">
      <c r="B99"/>
      <c r="C99" s="2504" t="s">
        <v>597</v>
      </c>
      <c r="D99" s="2526"/>
      <c r="E99" s="2126"/>
      <c r="F99" s="1789"/>
      <c r="G99" s="2551">
        <f t="shared" si="26"/>
        <v>0</v>
      </c>
      <c r="H99" s="2526"/>
      <c r="I99" s="2126"/>
      <c r="J99" s="2126"/>
      <c r="K99" s="2126"/>
      <c r="L99" s="2551">
        <f t="shared" si="27"/>
        <v>0</v>
      </c>
      <c r="M99" s="2126"/>
      <c r="N99" s="2126"/>
      <c r="O99" s="2126"/>
      <c r="P99" s="2551">
        <f t="shared" si="28"/>
        <v>0</v>
      </c>
      <c r="Q99"/>
      <c r="R99"/>
      <c r="S99"/>
      <c r="T99"/>
    </row>
    <row r="100" spans="1:20">
      <c r="B100"/>
      <c r="C100" s="2504" t="s">
        <v>598</v>
      </c>
      <c r="D100" s="2526"/>
      <c r="E100" s="2126"/>
      <c r="F100" s="1789"/>
      <c r="G100" s="2551">
        <f t="shared" si="26"/>
        <v>0</v>
      </c>
      <c r="H100" s="2526"/>
      <c r="I100" s="2126"/>
      <c r="J100" s="2126"/>
      <c r="K100" s="2126"/>
      <c r="L100" s="2551">
        <f t="shared" si="27"/>
        <v>0</v>
      </c>
      <c r="M100" s="2126"/>
      <c r="N100" s="2126"/>
      <c r="O100" s="2126"/>
      <c r="P100" s="2551">
        <f t="shared" si="28"/>
        <v>0</v>
      </c>
      <c r="Q100"/>
      <c r="R100"/>
      <c r="S100"/>
      <c r="T100"/>
    </row>
    <row r="101" spans="1:20">
      <c r="B101"/>
      <c r="C101" s="2504" t="s">
        <v>599</v>
      </c>
      <c r="D101" s="2526"/>
      <c r="E101" s="2126"/>
      <c r="F101" s="1789"/>
      <c r="G101" s="2551">
        <f t="shared" si="26"/>
        <v>0</v>
      </c>
      <c r="H101" s="2526"/>
      <c r="I101" s="2126"/>
      <c r="J101" s="2126"/>
      <c r="K101" s="2126"/>
      <c r="L101" s="2551">
        <f t="shared" si="27"/>
        <v>0</v>
      </c>
      <c r="M101" s="2126"/>
      <c r="N101" s="2126"/>
      <c r="O101" s="2126"/>
      <c r="P101" s="2551">
        <f t="shared" si="28"/>
        <v>0</v>
      </c>
      <c r="Q101"/>
      <c r="R101"/>
      <c r="S101"/>
      <c r="T101"/>
    </row>
    <row r="102" spans="1:20">
      <c r="B102"/>
      <c r="C102" s="2504" t="s">
        <v>600</v>
      </c>
      <c r="D102" s="2526"/>
      <c r="E102" s="2126"/>
      <c r="F102" s="1789"/>
      <c r="G102" s="2551">
        <f t="shared" si="26"/>
        <v>0</v>
      </c>
      <c r="H102" s="2526"/>
      <c r="I102" s="2126"/>
      <c r="J102" s="2126"/>
      <c r="K102" s="2126"/>
      <c r="L102" s="2551">
        <f t="shared" si="27"/>
        <v>0</v>
      </c>
      <c r="M102" s="2126"/>
      <c r="N102" s="2126"/>
      <c r="O102" s="2126"/>
      <c r="P102" s="2551">
        <f t="shared" si="28"/>
        <v>0</v>
      </c>
      <c r="Q102"/>
      <c r="R102"/>
      <c r="S102"/>
      <c r="T102"/>
    </row>
    <row r="103" spans="1:20">
      <c r="B103"/>
      <c r="C103" s="2504" t="s">
        <v>601</v>
      </c>
      <c r="D103" s="2526"/>
      <c r="E103" s="2126"/>
      <c r="F103" s="1789"/>
      <c r="G103" s="2551">
        <f t="shared" si="26"/>
        <v>0</v>
      </c>
      <c r="H103" s="2526"/>
      <c r="I103" s="2126"/>
      <c r="J103" s="2126"/>
      <c r="K103" s="2126"/>
      <c r="L103" s="2551">
        <f t="shared" si="27"/>
        <v>0</v>
      </c>
      <c r="M103" s="2126"/>
      <c r="N103" s="2126"/>
      <c r="O103" s="2126"/>
      <c r="P103" s="2551">
        <f t="shared" si="28"/>
        <v>0</v>
      </c>
      <c r="Q103"/>
      <c r="R103"/>
      <c r="S103"/>
      <c r="T103"/>
    </row>
    <row r="104" spans="1:20">
      <c r="B104"/>
      <c r="C104" s="2537" t="s">
        <v>118</v>
      </c>
      <c r="D104" s="2552">
        <f t="shared" ref="D104:J104" si="29">SUM(D95:D103)</f>
        <v>0</v>
      </c>
      <c r="E104" s="2552">
        <f t="shared" si="29"/>
        <v>0</v>
      </c>
      <c r="F104" s="2552">
        <f t="shared" si="29"/>
        <v>0</v>
      </c>
      <c r="G104" s="2552">
        <f t="shared" si="29"/>
        <v>0</v>
      </c>
      <c r="H104" s="2552">
        <f t="shared" si="29"/>
        <v>0</v>
      </c>
      <c r="I104" s="2552">
        <f t="shared" si="29"/>
        <v>0</v>
      </c>
      <c r="J104" s="2552">
        <f t="shared" si="29"/>
        <v>0</v>
      </c>
      <c r="K104" s="2552"/>
      <c r="L104" s="2552">
        <f>SUM(L95:L103)</f>
        <v>0</v>
      </c>
      <c r="M104" s="2552">
        <f>SUM(M95:M103)</f>
        <v>0</v>
      </c>
      <c r="N104" s="2552">
        <f>SUM(N95:N103)</f>
        <v>0</v>
      </c>
      <c r="O104" s="2552">
        <f>SUM(O95:O103)</f>
        <v>0</v>
      </c>
      <c r="P104" s="2552">
        <f>SUM(P95:P103)</f>
        <v>0</v>
      </c>
      <c r="Q104"/>
      <c r="R104"/>
      <c r="S104"/>
      <c r="T104"/>
    </row>
    <row r="105" spans="1:20">
      <c r="B105">
        <v>7</v>
      </c>
      <c r="C105" s="2554" t="s">
        <v>184</v>
      </c>
      <c r="D105"/>
      <c r="E105"/>
      <c r="F105"/>
      <c r="G105"/>
      <c r="H105"/>
      <c r="I105"/>
      <c r="J105"/>
      <c r="K105"/>
      <c r="L105"/>
      <c r="M105"/>
      <c r="N105"/>
      <c r="O105"/>
      <c r="P105"/>
      <c r="Q105"/>
      <c r="R105"/>
      <c r="S105"/>
      <c r="T105"/>
    </row>
    <row r="106" spans="1:20">
      <c r="B106"/>
      <c r="C106" s="2537" t="s">
        <v>586</v>
      </c>
      <c r="D106" s="2537" t="s">
        <v>587</v>
      </c>
      <c r="E106" s="2537"/>
      <c r="F106" s="2537"/>
      <c r="G106" s="2537"/>
      <c r="H106" s="2537" t="s">
        <v>611</v>
      </c>
      <c r="I106" s="2537"/>
      <c r="J106" s="2537"/>
      <c r="K106" s="2537"/>
      <c r="L106" s="2537"/>
      <c r="M106" s="2537" t="s">
        <v>612</v>
      </c>
      <c r="N106" s="2537"/>
      <c r="O106" s="2537"/>
      <c r="P106" s="2537"/>
      <c r="Q106"/>
      <c r="R106"/>
      <c r="S106"/>
      <c r="T106"/>
    </row>
    <row r="107" spans="1:20">
      <c r="B107"/>
      <c r="C107" s="2537"/>
      <c r="D107" s="2537" t="s">
        <v>590</v>
      </c>
      <c r="E107" s="2537" t="s">
        <v>591</v>
      </c>
      <c r="F107" s="2537" t="s">
        <v>592</v>
      </c>
      <c r="G107" s="2537" t="s">
        <v>118</v>
      </c>
      <c r="H107" s="2537" t="s">
        <v>590</v>
      </c>
      <c r="I107" s="2537" t="s">
        <v>591</v>
      </c>
      <c r="J107" s="2537" t="s">
        <v>592</v>
      </c>
      <c r="K107" s="2537"/>
      <c r="L107" s="2537" t="s">
        <v>118</v>
      </c>
      <c r="M107" s="2537" t="s">
        <v>590</v>
      </c>
      <c r="N107" s="2537" t="s">
        <v>591</v>
      </c>
      <c r="O107" s="2537" t="s">
        <v>592</v>
      </c>
      <c r="P107" s="2537" t="s">
        <v>118</v>
      </c>
      <c r="Q107"/>
      <c r="R107"/>
      <c r="S107"/>
      <c r="T107"/>
    </row>
    <row r="108" spans="1:20">
      <c r="B108"/>
      <c r="C108" s="2550" t="s">
        <v>593</v>
      </c>
      <c r="D108" s="2560">
        <v>2</v>
      </c>
      <c r="E108" s="2555"/>
      <c r="F108" s="1789"/>
      <c r="G108" s="2551">
        <f>+D108+E108+F108</f>
        <v>2</v>
      </c>
      <c r="H108" s="2560">
        <v>15</v>
      </c>
      <c r="I108" s="2126"/>
      <c r="J108" s="2126"/>
      <c r="K108" s="2126"/>
      <c r="L108" s="2551">
        <f>+H108+I108+J108</f>
        <v>15</v>
      </c>
      <c r="M108" s="2560"/>
      <c r="N108" s="2126"/>
      <c r="O108" s="2126"/>
      <c r="P108" s="2551">
        <f>+M108+N108+O108</f>
        <v>0</v>
      </c>
      <c r="Q108"/>
      <c r="R108"/>
      <c r="S108"/>
      <c r="T108"/>
    </row>
    <row r="109" spans="1:20">
      <c r="B109"/>
      <c r="C109" s="2504" t="s">
        <v>594</v>
      </c>
      <c r="D109" s="2560">
        <v>3</v>
      </c>
      <c r="E109" s="2126"/>
      <c r="F109" s="1789"/>
      <c r="G109" s="2551">
        <f t="shared" ref="G109:G116" si="30">+D109+E109+F109</f>
        <v>3</v>
      </c>
      <c r="H109" s="2560">
        <v>11</v>
      </c>
      <c r="I109" s="2126"/>
      <c r="J109" s="2126"/>
      <c r="K109" s="2126"/>
      <c r="L109" s="2551">
        <f t="shared" ref="L109:L116" si="31">+H109+I109+J109</f>
        <v>11</v>
      </c>
      <c r="M109" s="2560"/>
      <c r="N109" s="2126"/>
      <c r="O109" s="2126"/>
      <c r="P109" s="2551">
        <f t="shared" ref="P109:P116" si="32">+M109+N109+O109</f>
        <v>0</v>
      </c>
      <c r="Q109"/>
      <c r="R109"/>
      <c r="S109"/>
      <c r="T109"/>
    </row>
    <row r="110" spans="1:20">
      <c r="B110"/>
      <c r="C110" s="2504" t="s">
        <v>595</v>
      </c>
      <c r="D110" s="2560">
        <v>2</v>
      </c>
      <c r="E110" s="2126"/>
      <c r="F110" s="1789"/>
      <c r="G110" s="2551">
        <f t="shared" si="30"/>
        <v>2</v>
      </c>
      <c r="H110" s="2560">
        <v>10</v>
      </c>
      <c r="I110" s="2126"/>
      <c r="J110" s="2126"/>
      <c r="K110" s="2126"/>
      <c r="L110" s="2551">
        <f t="shared" si="31"/>
        <v>10</v>
      </c>
      <c r="M110" s="2560">
        <v>2</v>
      </c>
      <c r="N110" s="2126"/>
      <c r="O110" s="2126"/>
      <c r="P110" s="2551">
        <f t="shared" si="32"/>
        <v>2</v>
      </c>
      <c r="Q110"/>
      <c r="R110"/>
      <c r="S110"/>
      <c r="T110"/>
    </row>
    <row r="111" spans="1:20">
      <c r="A111" s="193">
        <v>7</v>
      </c>
      <c r="B111"/>
      <c r="C111" s="2504" t="s">
        <v>596</v>
      </c>
      <c r="D111" s="2560">
        <v>4</v>
      </c>
      <c r="E111" s="2126"/>
      <c r="F111" s="1789"/>
      <c r="G111" s="2551">
        <f t="shared" si="30"/>
        <v>4</v>
      </c>
      <c r="H111" s="2560">
        <v>19</v>
      </c>
      <c r="I111" s="2126"/>
      <c r="J111" s="2126"/>
      <c r="K111" s="2126"/>
      <c r="L111" s="2551">
        <f t="shared" si="31"/>
        <v>19</v>
      </c>
      <c r="M111" s="2560">
        <v>1</v>
      </c>
      <c r="N111" s="2126"/>
      <c r="O111" s="2126"/>
      <c r="P111" s="2551">
        <f t="shared" si="32"/>
        <v>1</v>
      </c>
      <c r="Q111"/>
      <c r="R111"/>
      <c r="S111"/>
      <c r="T111"/>
    </row>
    <row r="112" spans="1:20" ht="42" customHeight="1">
      <c r="B112"/>
      <c r="C112" s="2504" t="s">
        <v>597</v>
      </c>
      <c r="D112" s="2560">
        <v>2</v>
      </c>
      <c r="E112" s="2126"/>
      <c r="F112" s="1789"/>
      <c r="G112" s="2551">
        <f t="shared" si="30"/>
        <v>2</v>
      </c>
      <c r="H112" s="2560">
        <v>5</v>
      </c>
      <c r="I112" s="2126"/>
      <c r="J112" s="2126"/>
      <c r="K112" s="2126"/>
      <c r="L112" s="2551">
        <f t="shared" si="31"/>
        <v>5</v>
      </c>
      <c r="M112" s="2560"/>
      <c r="N112" s="2126"/>
      <c r="O112" s="2126"/>
      <c r="P112" s="2551">
        <f t="shared" si="32"/>
        <v>0</v>
      </c>
      <c r="Q112"/>
      <c r="R112"/>
      <c r="S112"/>
      <c r="T112"/>
    </row>
    <row r="113" spans="1:20">
      <c r="B113"/>
      <c r="C113" s="2504" t="s">
        <v>598</v>
      </c>
      <c r="D113" s="2560">
        <v>2</v>
      </c>
      <c r="E113" s="2126"/>
      <c r="F113" s="1789"/>
      <c r="G113" s="2551">
        <f t="shared" si="30"/>
        <v>2</v>
      </c>
      <c r="H113" s="2560">
        <v>6</v>
      </c>
      <c r="I113" s="2126"/>
      <c r="J113" s="2126"/>
      <c r="K113" s="2126"/>
      <c r="L113" s="2551">
        <f t="shared" si="31"/>
        <v>6</v>
      </c>
      <c r="M113" s="2560"/>
      <c r="N113" s="2126"/>
      <c r="O113" s="2126"/>
      <c r="P113" s="2551">
        <f t="shared" si="32"/>
        <v>0</v>
      </c>
      <c r="Q113"/>
      <c r="R113"/>
      <c r="S113"/>
      <c r="T113"/>
    </row>
    <row r="114" spans="1:20">
      <c r="B114"/>
      <c r="C114" s="2504" t="s">
        <v>599</v>
      </c>
      <c r="D114" s="2560">
        <v>6</v>
      </c>
      <c r="E114" s="2126"/>
      <c r="F114" s="1789"/>
      <c r="G114" s="2551">
        <f t="shared" si="30"/>
        <v>6</v>
      </c>
      <c r="H114" s="2560">
        <v>23</v>
      </c>
      <c r="I114" s="2126"/>
      <c r="J114" s="2126"/>
      <c r="K114" s="2126"/>
      <c r="L114" s="2551">
        <f t="shared" si="31"/>
        <v>23</v>
      </c>
      <c r="M114" s="2560">
        <v>3</v>
      </c>
      <c r="N114" s="2126"/>
      <c r="O114" s="2126"/>
      <c r="P114" s="2551">
        <f t="shared" si="32"/>
        <v>3</v>
      </c>
      <c r="Q114"/>
      <c r="R114"/>
      <c r="S114"/>
      <c r="T114"/>
    </row>
    <row r="115" spans="1:20">
      <c r="B115"/>
      <c r="C115" s="2504" t="s">
        <v>600</v>
      </c>
      <c r="D115" s="2560">
        <v>2</v>
      </c>
      <c r="E115" s="2126"/>
      <c r="F115" s="1789"/>
      <c r="G115" s="2551">
        <f t="shared" si="30"/>
        <v>2</v>
      </c>
      <c r="H115" s="2560">
        <v>9</v>
      </c>
      <c r="I115" s="2126"/>
      <c r="J115" s="2126"/>
      <c r="K115" s="2126"/>
      <c r="L115" s="2551">
        <f t="shared" si="31"/>
        <v>9</v>
      </c>
      <c r="M115" s="2560"/>
      <c r="N115" s="2126"/>
      <c r="O115" s="2126"/>
      <c r="P115" s="2551">
        <f t="shared" si="32"/>
        <v>0</v>
      </c>
      <c r="Q115"/>
      <c r="R115"/>
      <c r="S115"/>
      <c r="T115"/>
    </row>
    <row r="116" spans="1:20">
      <c r="B116"/>
      <c r="C116" s="2504" t="s">
        <v>601</v>
      </c>
      <c r="D116" s="2560">
        <v>9</v>
      </c>
      <c r="E116" s="2126"/>
      <c r="F116" s="1789"/>
      <c r="G116" s="2551">
        <f t="shared" si="30"/>
        <v>9</v>
      </c>
      <c r="H116" s="2560">
        <v>213</v>
      </c>
      <c r="I116" s="2126"/>
      <c r="J116" s="2126"/>
      <c r="K116" s="2126"/>
      <c r="L116" s="2551">
        <f t="shared" si="31"/>
        <v>213</v>
      </c>
      <c r="M116" s="2560">
        <v>1</v>
      </c>
      <c r="N116" s="2126"/>
      <c r="O116" s="2126"/>
      <c r="P116" s="2551">
        <f t="shared" si="32"/>
        <v>1</v>
      </c>
      <c r="Q116"/>
      <c r="R116"/>
      <c r="S116"/>
      <c r="T116"/>
    </row>
    <row r="117" spans="1:20">
      <c r="B117"/>
      <c r="C117" s="2537" t="s">
        <v>118</v>
      </c>
      <c r="D117" s="2552">
        <f t="shared" ref="D117:J117" si="33">SUM(D108:D116)</f>
        <v>32</v>
      </c>
      <c r="E117" s="2552">
        <f t="shared" si="33"/>
        <v>0</v>
      </c>
      <c r="F117" s="2552">
        <f t="shared" si="33"/>
        <v>0</v>
      </c>
      <c r="G117" s="2552">
        <f t="shared" si="33"/>
        <v>32</v>
      </c>
      <c r="H117" s="2552">
        <f t="shared" si="33"/>
        <v>311</v>
      </c>
      <c r="I117" s="2552">
        <f t="shared" si="33"/>
        <v>0</v>
      </c>
      <c r="J117" s="2552">
        <f t="shared" si="33"/>
        <v>0</v>
      </c>
      <c r="K117" s="2552"/>
      <c r="L117" s="2552">
        <f>SUM(L108:L116)</f>
        <v>311</v>
      </c>
      <c r="M117" s="2552">
        <f>SUM(M108:M116)</f>
        <v>7</v>
      </c>
      <c r="N117" s="2552">
        <f>SUM(N108:N116)</f>
        <v>0</v>
      </c>
      <c r="O117" s="2552">
        <f>SUM(O108:O116)</f>
        <v>0</v>
      </c>
      <c r="P117" s="2552">
        <f>SUM(P108:P116)</f>
        <v>7</v>
      </c>
      <c r="Q117"/>
      <c r="R117"/>
      <c r="S117"/>
      <c r="T117"/>
    </row>
    <row r="118" spans="1:20">
      <c r="B118">
        <v>8</v>
      </c>
      <c r="C118" s="2553" t="s">
        <v>185</v>
      </c>
      <c r="D118"/>
      <c r="E118"/>
      <c r="F118"/>
      <c r="G118"/>
      <c r="H118"/>
      <c r="I118"/>
      <c r="J118"/>
      <c r="K118"/>
      <c r="L118"/>
      <c r="M118"/>
      <c r="N118"/>
      <c r="O118"/>
      <c r="P118"/>
      <c r="Q118"/>
      <c r="R118"/>
      <c r="S118"/>
      <c r="T118"/>
    </row>
    <row r="119" spans="1:20">
      <c r="B119"/>
      <c r="C119" s="2537" t="s">
        <v>586</v>
      </c>
      <c r="D119" s="2537" t="s">
        <v>587</v>
      </c>
      <c r="E119" s="2537"/>
      <c r="F119" s="2537"/>
      <c r="G119" s="2537"/>
      <c r="H119" s="2537" t="s">
        <v>611</v>
      </c>
      <c r="I119" s="2537"/>
      <c r="J119" s="2537"/>
      <c r="K119" s="2537"/>
      <c r="L119" s="2537"/>
      <c r="M119" s="2537" t="s">
        <v>612</v>
      </c>
      <c r="N119" s="2537"/>
      <c r="O119" s="2537"/>
      <c r="P119" s="2537"/>
      <c r="Q119"/>
      <c r="R119"/>
      <c r="S119"/>
      <c r="T119"/>
    </row>
    <row r="120" spans="1:20">
      <c r="B120"/>
      <c r="C120" s="2537"/>
      <c r="D120" s="2537" t="s">
        <v>590</v>
      </c>
      <c r="E120" s="2537" t="s">
        <v>591</v>
      </c>
      <c r="F120" s="2537" t="s">
        <v>592</v>
      </c>
      <c r="G120" s="2537" t="s">
        <v>118</v>
      </c>
      <c r="H120" s="2537" t="s">
        <v>590</v>
      </c>
      <c r="I120" s="2537" t="s">
        <v>591</v>
      </c>
      <c r="J120" s="2537" t="s">
        <v>592</v>
      </c>
      <c r="K120" s="2537"/>
      <c r="L120" s="2537" t="s">
        <v>118</v>
      </c>
      <c r="M120" s="2537" t="s">
        <v>590</v>
      </c>
      <c r="N120" s="2537" t="s">
        <v>591</v>
      </c>
      <c r="O120" s="2537" t="s">
        <v>592</v>
      </c>
      <c r="P120" s="2537" t="s">
        <v>118</v>
      </c>
      <c r="Q120"/>
      <c r="R120"/>
      <c r="S120"/>
      <c r="T120"/>
    </row>
    <row r="121" spans="1:20">
      <c r="B121"/>
      <c r="C121" s="2550" t="s">
        <v>593</v>
      </c>
      <c r="D121" s="2530">
        <v>18</v>
      </c>
      <c r="E121" s="2530">
        <v>14</v>
      </c>
      <c r="F121" s="1789"/>
      <c r="G121" s="2551">
        <f>+D121+E121+F121</f>
        <v>32</v>
      </c>
      <c r="H121" s="2526">
        <v>112</v>
      </c>
      <c r="I121" s="2526">
        <v>57</v>
      </c>
      <c r="J121" s="2126"/>
      <c r="K121" s="2126"/>
      <c r="L121" s="2551">
        <f>+H121+I121+J121</f>
        <v>169</v>
      </c>
      <c r="M121" s="2526">
        <v>90</v>
      </c>
      <c r="N121" s="2526">
        <v>244</v>
      </c>
      <c r="O121" s="2126"/>
      <c r="P121" s="2551">
        <f>+M121+N121+O121</f>
        <v>334</v>
      </c>
      <c r="Q121"/>
      <c r="R121"/>
      <c r="S121"/>
      <c r="T121"/>
    </row>
    <row r="122" spans="1:20">
      <c r="B122"/>
      <c r="C122" s="2504" t="s">
        <v>594</v>
      </c>
      <c r="D122" s="2526">
        <v>11</v>
      </c>
      <c r="E122" s="2526">
        <v>8</v>
      </c>
      <c r="F122" s="1789"/>
      <c r="G122" s="2551">
        <f t="shared" ref="G122:G129" si="34">+D122+E122+F122</f>
        <v>19</v>
      </c>
      <c r="H122" s="2526">
        <v>52</v>
      </c>
      <c r="I122" s="2526">
        <v>37</v>
      </c>
      <c r="J122" s="2126"/>
      <c r="K122" s="2126"/>
      <c r="L122" s="2551">
        <f t="shared" ref="L122:L129" si="35">+H122+I122+J122</f>
        <v>89</v>
      </c>
      <c r="M122" s="2526">
        <v>9</v>
      </c>
      <c r="N122" s="2526">
        <v>302</v>
      </c>
      <c r="O122" s="2126"/>
      <c r="P122" s="2551">
        <f t="shared" ref="P122:P129" si="36">+M122+N122+O122</f>
        <v>311</v>
      </c>
      <c r="Q122"/>
      <c r="R122"/>
      <c r="S122"/>
      <c r="T122"/>
    </row>
    <row r="123" spans="1:20">
      <c r="B123"/>
      <c r="C123" s="2504" t="s">
        <v>595</v>
      </c>
      <c r="D123" s="2526">
        <v>15</v>
      </c>
      <c r="E123" s="2526">
        <v>8</v>
      </c>
      <c r="F123" s="1789"/>
      <c r="G123" s="2551">
        <f t="shared" si="34"/>
        <v>23</v>
      </c>
      <c r="H123" s="2526">
        <v>125</v>
      </c>
      <c r="I123" s="2526">
        <v>36</v>
      </c>
      <c r="J123" s="2126"/>
      <c r="K123" s="2126"/>
      <c r="L123" s="2551">
        <f t="shared" si="35"/>
        <v>161</v>
      </c>
      <c r="M123" s="2526">
        <v>57</v>
      </c>
      <c r="N123" s="2526">
        <v>319</v>
      </c>
      <c r="O123" s="2126"/>
      <c r="P123" s="2551">
        <f t="shared" si="36"/>
        <v>376</v>
      </c>
      <c r="Q123"/>
      <c r="R123"/>
      <c r="S123"/>
      <c r="T123"/>
    </row>
    <row r="124" spans="1:20">
      <c r="B124"/>
      <c r="C124" s="2504" t="s">
        <v>596</v>
      </c>
      <c r="D124" s="2526">
        <v>17</v>
      </c>
      <c r="E124" s="2526">
        <v>20</v>
      </c>
      <c r="F124" s="1789"/>
      <c r="G124" s="2551">
        <f t="shared" si="34"/>
        <v>37</v>
      </c>
      <c r="H124" s="2526">
        <v>145</v>
      </c>
      <c r="I124" s="2526">
        <v>40</v>
      </c>
      <c r="J124" s="2126"/>
      <c r="K124" s="2126"/>
      <c r="L124" s="2551">
        <f t="shared" si="35"/>
        <v>185</v>
      </c>
      <c r="M124" s="2526">
        <v>48</v>
      </c>
      <c r="N124" s="2526">
        <v>481</v>
      </c>
      <c r="O124" s="2126"/>
      <c r="P124" s="2551">
        <f t="shared" si="36"/>
        <v>529</v>
      </c>
      <c r="Q124"/>
      <c r="R124"/>
      <c r="S124"/>
      <c r="T124"/>
    </row>
    <row r="125" spans="1:20">
      <c r="B125"/>
      <c r="C125" s="2504" t="s">
        <v>597</v>
      </c>
      <c r="D125" s="2526">
        <v>14</v>
      </c>
      <c r="E125" s="2526">
        <v>11</v>
      </c>
      <c r="F125" s="1789"/>
      <c r="G125" s="2551">
        <f t="shared" si="34"/>
        <v>25</v>
      </c>
      <c r="H125" s="2526">
        <v>57</v>
      </c>
      <c r="I125" s="2526">
        <v>71</v>
      </c>
      <c r="J125" s="2126"/>
      <c r="K125" s="2126"/>
      <c r="L125" s="2551">
        <f t="shared" si="35"/>
        <v>128</v>
      </c>
      <c r="M125" s="2526">
        <v>18</v>
      </c>
      <c r="N125" s="2526">
        <v>270</v>
      </c>
      <c r="O125" s="2126"/>
      <c r="P125" s="2551">
        <f t="shared" si="36"/>
        <v>288</v>
      </c>
      <c r="Q125"/>
      <c r="R125"/>
      <c r="S125"/>
      <c r="T125"/>
    </row>
    <row r="126" spans="1:20">
      <c r="A126" s="193">
        <v>8</v>
      </c>
      <c r="B126"/>
      <c r="C126" s="2504" t="s">
        <v>598</v>
      </c>
      <c r="D126" s="2526">
        <v>20</v>
      </c>
      <c r="E126" s="2526">
        <v>11</v>
      </c>
      <c r="F126" s="1789"/>
      <c r="G126" s="2551">
        <f t="shared" si="34"/>
        <v>31</v>
      </c>
      <c r="H126" s="2526">
        <v>147</v>
      </c>
      <c r="I126" s="2526">
        <v>38</v>
      </c>
      <c r="J126" s="2126"/>
      <c r="K126" s="2126"/>
      <c r="L126" s="2551">
        <f t="shared" si="35"/>
        <v>185</v>
      </c>
      <c r="M126" s="2526">
        <v>68</v>
      </c>
      <c r="N126" s="2526">
        <v>285</v>
      </c>
      <c r="O126" s="2126"/>
      <c r="P126" s="2551">
        <f t="shared" si="36"/>
        <v>353</v>
      </c>
      <c r="Q126"/>
      <c r="R126"/>
      <c r="S126"/>
      <c r="T126"/>
    </row>
    <row r="127" spans="1:20">
      <c r="B127"/>
      <c r="C127" s="2504" t="s">
        <v>599</v>
      </c>
      <c r="D127" s="2526">
        <v>25</v>
      </c>
      <c r="E127" s="2526">
        <v>13</v>
      </c>
      <c r="F127" s="1789"/>
      <c r="G127" s="2551">
        <f t="shared" si="34"/>
        <v>38</v>
      </c>
      <c r="H127" s="2526">
        <v>170</v>
      </c>
      <c r="I127" s="2526">
        <v>59</v>
      </c>
      <c r="J127" s="2126"/>
      <c r="K127" s="2126"/>
      <c r="L127" s="2551">
        <f t="shared" si="35"/>
        <v>229</v>
      </c>
      <c r="M127" s="2526">
        <v>72</v>
      </c>
      <c r="N127" s="2526">
        <v>367</v>
      </c>
      <c r="O127" s="2126"/>
      <c r="P127" s="2551">
        <f t="shared" si="36"/>
        <v>439</v>
      </c>
      <c r="Q127"/>
      <c r="R127"/>
      <c r="S127"/>
      <c r="T127"/>
    </row>
    <row r="128" spans="1:20">
      <c r="B128"/>
      <c r="C128" s="2504" t="s">
        <v>600</v>
      </c>
      <c r="D128" s="2526">
        <v>8</v>
      </c>
      <c r="E128" s="2526">
        <v>6</v>
      </c>
      <c r="F128" s="1789"/>
      <c r="G128" s="2551">
        <f t="shared" si="34"/>
        <v>14</v>
      </c>
      <c r="H128" s="2526">
        <v>93</v>
      </c>
      <c r="I128" s="2526">
        <v>35</v>
      </c>
      <c r="J128" s="2126"/>
      <c r="K128" s="2126"/>
      <c r="L128" s="2551">
        <f t="shared" si="35"/>
        <v>128</v>
      </c>
      <c r="M128" s="2526">
        <v>24</v>
      </c>
      <c r="N128" s="2526">
        <v>251</v>
      </c>
      <c r="O128" s="2126"/>
      <c r="P128" s="2551">
        <f t="shared" si="36"/>
        <v>275</v>
      </c>
      <c r="Q128"/>
      <c r="R128"/>
      <c r="S128"/>
      <c r="T128"/>
    </row>
    <row r="129" spans="1:20">
      <c r="B129"/>
      <c r="C129" s="2504" t="s">
        <v>601</v>
      </c>
      <c r="D129" s="2526">
        <v>104</v>
      </c>
      <c r="E129" s="2526">
        <v>51</v>
      </c>
      <c r="F129" s="1789"/>
      <c r="G129" s="2551">
        <f t="shared" si="34"/>
        <v>155</v>
      </c>
      <c r="H129" s="2526">
        <v>1731</v>
      </c>
      <c r="I129" s="2526">
        <v>555</v>
      </c>
      <c r="J129" s="2126"/>
      <c r="K129" s="2126"/>
      <c r="L129" s="2551">
        <f t="shared" si="35"/>
        <v>2286</v>
      </c>
      <c r="M129" s="2526">
        <v>404</v>
      </c>
      <c r="N129" s="2526">
        <v>1303</v>
      </c>
      <c r="O129" s="2126"/>
      <c r="P129" s="2551">
        <f t="shared" si="36"/>
        <v>1707</v>
      </c>
      <c r="Q129"/>
      <c r="R129"/>
      <c r="S129"/>
      <c r="T129"/>
    </row>
    <row r="130" spans="1:20">
      <c r="B130"/>
      <c r="C130" s="2537" t="s">
        <v>118</v>
      </c>
      <c r="D130" s="2552">
        <f t="shared" ref="D130:J130" si="37">SUM(D121:D129)</f>
        <v>232</v>
      </c>
      <c r="E130" s="2552">
        <f t="shared" si="37"/>
        <v>142</v>
      </c>
      <c r="F130" s="2552">
        <f t="shared" si="37"/>
        <v>0</v>
      </c>
      <c r="G130" s="2552">
        <f t="shared" si="37"/>
        <v>374</v>
      </c>
      <c r="H130" s="2552">
        <f t="shared" si="37"/>
        <v>2632</v>
      </c>
      <c r="I130" s="2552">
        <f t="shared" si="37"/>
        <v>928</v>
      </c>
      <c r="J130" s="2552">
        <f t="shared" si="37"/>
        <v>0</v>
      </c>
      <c r="K130" s="2552"/>
      <c r="L130" s="2552">
        <f>SUM(L121:L129)</f>
        <v>3560</v>
      </c>
      <c r="M130" s="2552">
        <f>SUM(M121:M129)</f>
        <v>790</v>
      </c>
      <c r="N130" s="2552">
        <f>SUM(N121:N129)</f>
        <v>3822</v>
      </c>
      <c r="O130" s="2552">
        <f>SUM(O121:O129)</f>
        <v>0</v>
      </c>
      <c r="P130" s="2552">
        <f>SUM(P121:P129)</f>
        <v>4612</v>
      </c>
      <c r="Q130"/>
      <c r="R130"/>
      <c r="S130"/>
      <c r="T130"/>
    </row>
    <row r="131" spans="1:20">
      <c r="B131">
        <v>9</v>
      </c>
      <c r="C131" s="2553" t="s">
        <v>186</v>
      </c>
      <c r="D131"/>
      <c r="E131"/>
      <c r="F131"/>
      <c r="G131"/>
      <c r="H131"/>
      <c r="I131"/>
      <c r="J131"/>
      <c r="K131"/>
      <c r="L131"/>
      <c r="M131"/>
      <c r="N131"/>
      <c r="O131"/>
      <c r="P131"/>
      <c r="Q131"/>
      <c r="R131"/>
      <c r="S131"/>
      <c r="T131"/>
    </row>
    <row r="132" spans="1:20">
      <c r="B132"/>
      <c r="C132" s="2537" t="s">
        <v>586</v>
      </c>
      <c r="D132" s="2537" t="s">
        <v>587</v>
      </c>
      <c r="E132" s="2537"/>
      <c r="F132" s="2537"/>
      <c r="G132" s="2537"/>
      <c r="H132" s="2537" t="s">
        <v>611</v>
      </c>
      <c r="I132" s="2537"/>
      <c r="J132" s="2537"/>
      <c r="K132" s="2537"/>
      <c r="L132" s="2537"/>
      <c r="M132" s="2537" t="s">
        <v>612</v>
      </c>
      <c r="N132" s="2537"/>
      <c r="O132" s="2537"/>
      <c r="P132" s="2537"/>
      <c r="Q132"/>
      <c r="R132"/>
      <c r="S132"/>
      <c r="T132"/>
    </row>
    <row r="133" spans="1:20">
      <c r="B133"/>
      <c r="C133" s="2537"/>
      <c r="D133" s="2537" t="s">
        <v>590</v>
      </c>
      <c r="E133" s="2537" t="s">
        <v>591</v>
      </c>
      <c r="F133" s="2537" t="s">
        <v>592</v>
      </c>
      <c r="G133" s="2537" t="s">
        <v>118</v>
      </c>
      <c r="H133" s="2537" t="s">
        <v>590</v>
      </c>
      <c r="I133" s="2537" t="s">
        <v>591</v>
      </c>
      <c r="J133" s="2537" t="s">
        <v>592</v>
      </c>
      <c r="K133" s="2537"/>
      <c r="L133" s="2537" t="s">
        <v>118</v>
      </c>
      <c r="M133" s="2537" t="s">
        <v>590</v>
      </c>
      <c r="N133" s="2537" t="s">
        <v>591</v>
      </c>
      <c r="O133" s="2537" t="s">
        <v>592</v>
      </c>
      <c r="P133" s="2537" t="s">
        <v>118</v>
      </c>
      <c r="Q133"/>
      <c r="R133"/>
      <c r="S133"/>
      <c r="T133"/>
    </row>
    <row r="134" spans="1:20">
      <c r="B134"/>
      <c r="C134" s="2550" t="s">
        <v>593</v>
      </c>
      <c r="D134" s="2555"/>
      <c r="E134" s="2555"/>
      <c r="F134" s="2561">
        <v>3</v>
      </c>
      <c r="G134" s="2551">
        <f>+D134+E134+F134</f>
        <v>3</v>
      </c>
      <c r="H134" s="2526"/>
      <c r="I134" s="2526"/>
      <c r="J134" s="2526">
        <v>39</v>
      </c>
      <c r="K134" s="2526"/>
      <c r="L134" s="2551">
        <f>+H134+I134+J134</f>
        <v>39</v>
      </c>
      <c r="M134" s="2526">
        <v>48</v>
      </c>
      <c r="N134" s="2526">
        <v>150</v>
      </c>
      <c r="O134" s="2526"/>
      <c r="P134" s="2551">
        <f>+M134+N134+O134</f>
        <v>198</v>
      </c>
      <c r="Q134"/>
      <c r="R134"/>
      <c r="S134"/>
      <c r="T134"/>
    </row>
    <row r="135" spans="1:20">
      <c r="B135"/>
      <c r="C135" s="2504" t="s">
        <v>594</v>
      </c>
      <c r="D135" s="2126"/>
      <c r="E135" s="2126"/>
      <c r="F135" s="2561">
        <v>4</v>
      </c>
      <c r="G135" s="2551">
        <f t="shared" ref="G135:G142" si="38">+D135+E135+F135</f>
        <v>4</v>
      </c>
      <c r="H135" s="2526"/>
      <c r="I135" s="2526"/>
      <c r="J135" s="2526">
        <v>23</v>
      </c>
      <c r="K135" s="2526"/>
      <c r="L135" s="2551">
        <f t="shared" ref="L135:L142" si="39">+H135+I135+J135</f>
        <v>23</v>
      </c>
      <c r="M135" s="2526">
        <v>31</v>
      </c>
      <c r="N135" s="2526">
        <v>89</v>
      </c>
      <c r="O135" s="2526"/>
      <c r="P135" s="2551">
        <f t="shared" ref="P135:P142" si="40">+M135+N135+O135</f>
        <v>120</v>
      </c>
      <c r="Q135"/>
      <c r="R135"/>
      <c r="S135"/>
      <c r="T135"/>
    </row>
    <row r="136" spans="1:20">
      <c r="B136"/>
      <c r="C136" s="2504" t="s">
        <v>595</v>
      </c>
      <c r="D136" s="2126"/>
      <c r="E136" s="2126"/>
      <c r="F136" s="2561">
        <v>3</v>
      </c>
      <c r="G136" s="2551">
        <f t="shared" si="38"/>
        <v>3</v>
      </c>
      <c r="H136" s="2526"/>
      <c r="I136" s="2526"/>
      <c r="J136" s="2526">
        <v>39</v>
      </c>
      <c r="K136" s="2526"/>
      <c r="L136" s="2551">
        <f t="shared" si="39"/>
        <v>39</v>
      </c>
      <c r="M136" s="2526">
        <v>47</v>
      </c>
      <c r="N136" s="2526">
        <v>139</v>
      </c>
      <c r="O136" s="2526"/>
      <c r="P136" s="2551">
        <f t="shared" si="40"/>
        <v>186</v>
      </c>
      <c r="Q136"/>
      <c r="R136"/>
      <c r="S136"/>
      <c r="T136"/>
    </row>
    <row r="137" spans="1:20">
      <c r="B137"/>
      <c r="C137" s="2504" t="s">
        <v>596</v>
      </c>
      <c r="D137" s="2126"/>
      <c r="E137" s="2126"/>
      <c r="F137" s="2561">
        <v>3</v>
      </c>
      <c r="G137" s="2551">
        <f t="shared" si="38"/>
        <v>3</v>
      </c>
      <c r="H137" s="2526"/>
      <c r="I137" s="2526"/>
      <c r="J137" s="2526">
        <v>100</v>
      </c>
      <c r="K137" s="2526"/>
      <c r="L137" s="2551">
        <f t="shared" si="39"/>
        <v>100</v>
      </c>
      <c r="M137" s="2526">
        <v>123</v>
      </c>
      <c r="N137" s="2526">
        <v>473</v>
      </c>
      <c r="O137" s="2526"/>
      <c r="P137" s="2551">
        <f t="shared" si="40"/>
        <v>596</v>
      </c>
      <c r="Q137"/>
      <c r="R137"/>
      <c r="S137"/>
      <c r="T137"/>
    </row>
    <row r="138" spans="1:20">
      <c r="B138"/>
      <c r="C138" s="2504" t="s">
        <v>597</v>
      </c>
      <c r="D138" s="2126"/>
      <c r="E138" s="2126"/>
      <c r="F138" s="2561">
        <v>5</v>
      </c>
      <c r="G138" s="2551">
        <f t="shared" si="38"/>
        <v>5</v>
      </c>
      <c r="H138" s="2526"/>
      <c r="I138" s="2526"/>
      <c r="J138" s="2526">
        <v>36</v>
      </c>
      <c r="K138" s="2526"/>
      <c r="L138" s="2551">
        <f t="shared" si="39"/>
        <v>36</v>
      </c>
      <c r="M138" s="2526">
        <v>28</v>
      </c>
      <c r="N138" s="2526">
        <v>173</v>
      </c>
      <c r="O138" s="2526"/>
      <c r="P138" s="2551">
        <f t="shared" si="40"/>
        <v>201</v>
      </c>
      <c r="Q138"/>
      <c r="R138"/>
      <c r="S138"/>
      <c r="T138"/>
    </row>
    <row r="139" spans="1:20">
      <c r="B139"/>
      <c r="C139" s="2504" t="s">
        <v>598</v>
      </c>
      <c r="D139" s="2126"/>
      <c r="E139" s="2126"/>
      <c r="F139" s="2561">
        <v>4</v>
      </c>
      <c r="G139" s="2551">
        <f t="shared" si="38"/>
        <v>4</v>
      </c>
      <c r="H139" s="2526"/>
      <c r="I139" s="2526"/>
      <c r="J139" s="2526">
        <v>53</v>
      </c>
      <c r="K139" s="2526"/>
      <c r="L139" s="2551">
        <f t="shared" si="39"/>
        <v>53</v>
      </c>
      <c r="M139" s="2526">
        <v>38</v>
      </c>
      <c r="N139" s="2526">
        <v>153</v>
      </c>
      <c r="O139" s="2526"/>
      <c r="P139" s="2551">
        <f t="shared" si="40"/>
        <v>191</v>
      </c>
      <c r="Q139"/>
      <c r="R139"/>
      <c r="S139"/>
      <c r="T139"/>
    </row>
    <row r="140" spans="1:20">
      <c r="B140"/>
      <c r="C140" s="2504" t="s">
        <v>599</v>
      </c>
      <c r="D140" s="2126"/>
      <c r="E140" s="2126"/>
      <c r="F140" s="2561">
        <v>5</v>
      </c>
      <c r="G140" s="2551">
        <f t="shared" si="38"/>
        <v>5</v>
      </c>
      <c r="H140" s="2526"/>
      <c r="I140" s="2526"/>
      <c r="J140" s="2526">
        <v>85</v>
      </c>
      <c r="K140" s="2526"/>
      <c r="L140" s="2551">
        <f t="shared" si="39"/>
        <v>85</v>
      </c>
      <c r="M140" s="2526">
        <v>94</v>
      </c>
      <c r="N140" s="2526">
        <v>208</v>
      </c>
      <c r="O140" s="2526"/>
      <c r="P140" s="2551">
        <f t="shared" si="40"/>
        <v>302</v>
      </c>
      <c r="Q140"/>
      <c r="R140"/>
      <c r="S140"/>
      <c r="T140"/>
    </row>
    <row r="141" spans="1:20">
      <c r="A141" s="193">
        <v>9</v>
      </c>
      <c r="B141"/>
      <c r="C141" s="2504" t="s">
        <v>600</v>
      </c>
      <c r="D141" s="2126"/>
      <c r="E141" s="2126"/>
      <c r="F141" s="2561">
        <v>2</v>
      </c>
      <c r="G141" s="2551">
        <f t="shared" si="38"/>
        <v>2</v>
      </c>
      <c r="H141" s="2526"/>
      <c r="I141" s="2526"/>
      <c r="J141" s="2526">
        <v>20</v>
      </c>
      <c r="K141" s="2526"/>
      <c r="L141" s="2551">
        <f t="shared" si="39"/>
        <v>20</v>
      </c>
      <c r="M141" s="2526">
        <v>14</v>
      </c>
      <c r="N141" s="2526">
        <v>42</v>
      </c>
      <c r="O141" s="2526"/>
      <c r="P141" s="2551">
        <f t="shared" si="40"/>
        <v>56</v>
      </c>
      <c r="Q141"/>
      <c r="R141"/>
      <c r="S141"/>
      <c r="T141"/>
    </row>
    <row r="142" spans="1:20">
      <c r="B142"/>
      <c r="C142" s="2504" t="s">
        <v>601</v>
      </c>
      <c r="D142" s="2126"/>
      <c r="E142" s="2126"/>
      <c r="F142" s="2561">
        <v>12</v>
      </c>
      <c r="G142" s="2551">
        <f t="shared" si="38"/>
        <v>12</v>
      </c>
      <c r="H142" s="2526"/>
      <c r="I142" s="2526"/>
      <c r="J142" s="2526">
        <v>347</v>
      </c>
      <c r="K142" s="2526"/>
      <c r="L142" s="2551">
        <f t="shared" si="39"/>
        <v>347</v>
      </c>
      <c r="M142" s="2526">
        <v>173</v>
      </c>
      <c r="N142" s="2526">
        <v>353</v>
      </c>
      <c r="O142" s="2526"/>
      <c r="P142" s="2551">
        <f t="shared" si="40"/>
        <v>526</v>
      </c>
      <c r="Q142"/>
      <c r="R142"/>
      <c r="S142"/>
      <c r="T142"/>
    </row>
    <row r="143" spans="1:20">
      <c r="B143"/>
      <c r="C143" s="2537" t="s">
        <v>118</v>
      </c>
      <c r="D143" s="2552">
        <f t="shared" ref="D143:J143" si="41">SUM(D134:D142)</f>
        <v>0</v>
      </c>
      <c r="E143" s="2552">
        <f t="shared" si="41"/>
        <v>0</v>
      </c>
      <c r="F143" s="2552">
        <f t="shared" si="41"/>
        <v>41</v>
      </c>
      <c r="G143" s="2552">
        <f t="shared" si="41"/>
        <v>41</v>
      </c>
      <c r="H143" s="2552">
        <f t="shared" si="41"/>
        <v>0</v>
      </c>
      <c r="I143" s="2552">
        <f t="shared" si="41"/>
        <v>0</v>
      </c>
      <c r="J143" s="2552">
        <f t="shared" si="41"/>
        <v>742</v>
      </c>
      <c r="K143" s="2552"/>
      <c r="L143" s="2552">
        <f>SUM(L134:L142)</f>
        <v>742</v>
      </c>
      <c r="M143" s="2552">
        <f>SUM(M134:M142)</f>
        <v>596</v>
      </c>
      <c r="N143" s="2552">
        <f>SUM(N134:N142)</f>
        <v>1780</v>
      </c>
      <c r="O143" s="2552">
        <f>SUM(O134:O142)</f>
        <v>0</v>
      </c>
      <c r="P143" s="2552">
        <f>SUM(P134:P142)</f>
        <v>2376</v>
      </c>
      <c r="Q143"/>
      <c r="R143"/>
      <c r="S143"/>
      <c r="T143"/>
    </row>
    <row r="144" spans="1:20">
      <c r="B144">
        <v>10</v>
      </c>
      <c r="C144" s="2554" t="s">
        <v>187</v>
      </c>
      <c r="D144"/>
      <c r="E144"/>
      <c r="F144"/>
      <c r="G144"/>
      <c r="H144"/>
      <c r="I144"/>
      <c r="J144"/>
      <c r="K144"/>
      <c r="L144"/>
      <c r="M144"/>
      <c r="N144"/>
      <c r="O144"/>
      <c r="P144"/>
      <c r="Q144"/>
      <c r="R144"/>
      <c r="S144"/>
      <c r="T144"/>
    </row>
    <row r="145" spans="1:20">
      <c r="B145"/>
      <c r="C145" s="2537" t="s">
        <v>586</v>
      </c>
      <c r="D145" s="2537" t="s">
        <v>587</v>
      </c>
      <c r="E145" s="2537"/>
      <c r="F145" s="2537"/>
      <c r="G145" s="2537"/>
      <c r="H145" s="2537" t="s">
        <v>611</v>
      </c>
      <c r="I145" s="2537"/>
      <c r="J145" s="2537"/>
      <c r="K145" s="2537"/>
      <c r="L145" s="2537"/>
      <c r="M145" s="2537" t="s">
        <v>612</v>
      </c>
      <c r="N145" s="2537"/>
      <c r="O145" s="2537"/>
      <c r="P145" s="2537"/>
      <c r="Q145"/>
      <c r="R145"/>
      <c r="S145"/>
      <c r="T145"/>
    </row>
    <row r="146" spans="1:20">
      <c r="B146"/>
      <c r="C146" s="2537"/>
      <c r="D146" s="2537" t="s">
        <v>590</v>
      </c>
      <c r="E146" s="2537" t="s">
        <v>591</v>
      </c>
      <c r="F146" s="2537" t="s">
        <v>592</v>
      </c>
      <c r="G146" s="2537" t="s">
        <v>118</v>
      </c>
      <c r="H146" s="2537" t="s">
        <v>590</v>
      </c>
      <c r="I146" s="2537" t="s">
        <v>591</v>
      </c>
      <c r="J146" s="2537" t="s">
        <v>592</v>
      </c>
      <c r="K146" s="2537"/>
      <c r="L146" s="2537" t="s">
        <v>118</v>
      </c>
      <c r="M146" s="2537" t="s">
        <v>590</v>
      </c>
      <c r="N146" s="2537" t="s">
        <v>591</v>
      </c>
      <c r="O146" s="2537" t="s">
        <v>592</v>
      </c>
      <c r="P146" s="2537" t="s">
        <v>118</v>
      </c>
      <c r="Q146"/>
      <c r="R146"/>
      <c r="S146"/>
      <c r="T146"/>
    </row>
    <row r="147" spans="1:20">
      <c r="B147"/>
      <c r="C147" s="2550" t="s">
        <v>593</v>
      </c>
      <c r="D147" s="2555"/>
      <c r="E147" s="2555"/>
      <c r="F147" s="1789"/>
      <c r="G147" s="2551">
        <f>+D147+E147+F147</f>
        <v>0</v>
      </c>
      <c r="H147" s="2126"/>
      <c r="I147" s="2126"/>
      <c r="J147" s="2126"/>
      <c r="K147" s="2126"/>
      <c r="L147" s="2551">
        <f>+H147+I147+J147</f>
        <v>0</v>
      </c>
      <c r="M147" s="2126"/>
      <c r="N147" s="2126"/>
      <c r="O147" s="2126"/>
      <c r="P147" s="2551">
        <f>+M147+N147+O147</f>
        <v>0</v>
      </c>
      <c r="Q147"/>
      <c r="R147"/>
      <c r="S147"/>
      <c r="T147"/>
    </row>
    <row r="148" spans="1:20">
      <c r="B148"/>
      <c r="C148" s="2504" t="s">
        <v>594</v>
      </c>
      <c r="D148" s="2126"/>
      <c r="E148" s="2126"/>
      <c r="F148" s="1789"/>
      <c r="G148" s="2551">
        <f t="shared" ref="G148:G155" si="42">+D148+E148+F148</f>
        <v>0</v>
      </c>
      <c r="H148" s="2126"/>
      <c r="I148" s="2126"/>
      <c r="J148" s="2126"/>
      <c r="K148" s="2126"/>
      <c r="L148" s="2551">
        <f t="shared" ref="L148:L155" si="43">+H148+I148+J148</f>
        <v>0</v>
      </c>
      <c r="M148" s="2126"/>
      <c r="N148" s="2126"/>
      <c r="O148" s="2126"/>
      <c r="P148" s="2551">
        <f t="shared" ref="P148:P155" si="44">+M148+N148+O148</f>
        <v>0</v>
      </c>
      <c r="Q148"/>
      <c r="R148"/>
      <c r="S148"/>
      <c r="T148"/>
    </row>
    <row r="149" spans="1:20">
      <c r="B149"/>
      <c r="C149" s="2504" t="s">
        <v>595</v>
      </c>
      <c r="D149" s="2126"/>
      <c r="E149" s="2126"/>
      <c r="F149" s="1789"/>
      <c r="G149" s="2551">
        <f t="shared" si="42"/>
        <v>0</v>
      </c>
      <c r="H149" s="2126"/>
      <c r="I149" s="2126"/>
      <c r="J149" s="2126"/>
      <c r="K149" s="2126"/>
      <c r="L149" s="2551">
        <f t="shared" si="43"/>
        <v>0</v>
      </c>
      <c r="M149" s="2126"/>
      <c r="N149" s="2126"/>
      <c r="O149" s="2126"/>
      <c r="P149" s="2551">
        <f t="shared" si="44"/>
        <v>0</v>
      </c>
      <c r="Q149"/>
      <c r="R149"/>
      <c r="S149"/>
      <c r="T149"/>
    </row>
    <row r="150" spans="1:20">
      <c r="B150"/>
      <c r="C150" s="2504" t="s">
        <v>596</v>
      </c>
      <c r="D150" s="2126"/>
      <c r="E150" s="2126"/>
      <c r="F150" s="1789"/>
      <c r="G150" s="2551">
        <f t="shared" si="42"/>
        <v>0</v>
      </c>
      <c r="H150" s="2126"/>
      <c r="I150" s="2126"/>
      <c r="J150" s="2126"/>
      <c r="K150" s="2126"/>
      <c r="L150" s="2551">
        <f t="shared" si="43"/>
        <v>0</v>
      </c>
      <c r="M150" s="2126"/>
      <c r="N150" s="2126"/>
      <c r="O150" s="2126"/>
      <c r="P150" s="2551">
        <f t="shared" si="44"/>
        <v>0</v>
      </c>
      <c r="Q150"/>
      <c r="R150"/>
      <c r="S150"/>
      <c r="T150"/>
    </row>
    <row r="151" spans="1:20">
      <c r="B151"/>
      <c r="C151" s="2504" t="s">
        <v>597</v>
      </c>
      <c r="D151" s="2126"/>
      <c r="E151" s="2126"/>
      <c r="F151" s="1789"/>
      <c r="G151" s="2551">
        <f t="shared" si="42"/>
        <v>0</v>
      </c>
      <c r="H151" s="2126"/>
      <c r="I151" s="2126"/>
      <c r="J151" s="2126"/>
      <c r="K151" s="2126"/>
      <c r="L151" s="2551">
        <f t="shared" si="43"/>
        <v>0</v>
      </c>
      <c r="M151" s="2126"/>
      <c r="N151" s="2126"/>
      <c r="O151" s="2126"/>
      <c r="P151" s="2551">
        <f t="shared" si="44"/>
        <v>0</v>
      </c>
      <c r="Q151"/>
      <c r="R151"/>
      <c r="S151"/>
      <c r="T151"/>
    </row>
    <row r="152" spans="1:20">
      <c r="B152"/>
      <c r="C152" s="2504" t="s">
        <v>598</v>
      </c>
      <c r="D152" s="2126"/>
      <c r="E152" s="2126"/>
      <c r="F152" s="1789"/>
      <c r="G152" s="2551">
        <f t="shared" si="42"/>
        <v>0</v>
      </c>
      <c r="H152" s="2126"/>
      <c r="I152" s="2126"/>
      <c r="J152" s="2126"/>
      <c r="K152" s="2126"/>
      <c r="L152" s="2551">
        <f t="shared" si="43"/>
        <v>0</v>
      </c>
      <c r="M152" s="2126"/>
      <c r="N152" s="2126"/>
      <c r="O152" s="2126"/>
      <c r="P152" s="2551">
        <f t="shared" si="44"/>
        <v>0</v>
      </c>
      <c r="Q152"/>
      <c r="R152"/>
      <c r="S152"/>
      <c r="T152"/>
    </row>
    <row r="153" spans="1:20">
      <c r="B153"/>
      <c r="C153" s="2504" t="s">
        <v>599</v>
      </c>
      <c r="D153" s="2126"/>
      <c r="E153" s="2126"/>
      <c r="F153" s="1789"/>
      <c r="G153" s="2551">
        <f t="shared" si="42"/>
        <v>0</v>
      </c>
      <c r="H153" s="2126"/>
      <c r="I153" s="2126"/>
      <c r="J153" s="2126"/>
      <c r="K153" s="2126"/>
      <c r="L153" s="2551">
        <f t="shared" si="43"/>
        <v>0</v>
      </c>
      <c r="M153" s="2126"/>
      <c r="N153" s="2126"/>
      <c r="O153" s="2126"/>
      <c r="P153" s="2551">
        <f t="shared" si="44"/>
        <v>0</v>
      </c>
      <c r="Q153"/>
      <c r="R153"/>
      <c r="S153"/>
      <c r="T153"/>
    </row>
    <row r="154" spans="1:20">
      <c r="B154"/>
      <c r="C154" s="2504" t="s">
        <v>600</v>
      </c>
      <c r="D154" s="2126"/>
      <c r="E154" s="2126"/>
      <c r="F154" s="1789"/>
      <c r="G154" s="2551">
        <f t="shared" si="42"/>
        <v>0</v>
      </c>
      <c r="H154" s="2126"/>
      <c r="I154" s="2126"/>
      <c r="J154" s="2126"/>
      <c r="K154" s="2126"/>
      <c r="L154" s="2551">
        <f t="shared" si="43"/>
        <v>0</v>
      </c>
      <c r="M154" s="2126"/>
      <c r="N154" s="2126"/>
      <c r="O154" s="2126"/>
      <c r="P154" s="2551">
        <f t="shared" si="44"/>
        <v>0</v>
      </c>
      <c r="Q154"/>
      <c r="R154"/>
      <c r="S154"/>
      <c r="T154"/>
    </row>
    <row r="155" spans="1:20">
      <c r="B155"/>
      <c r="C155" s="2504" t="s">
        <v>601</v>
      </c>
      <c r="D155" s="2126"/>
      <c r="E155" s="2126"/>
      <c r="F155" s="1789"/>
      <c r="G155" s="2551">
        <f t="shared" si="42"/>
        <v>0</v>
      </c>
      <c r="H155" s="2126"/>
      <c r="I155" s="2126"/>
      <c r="J155" s="2126"/>
      <c r="K155" s="2126"/>
      <c r="L155" s="2551">
        <f t="shared" si="43"/>
        <v>0</v>
      </c>
      <c r="M155" s="2126"/>
      <c r="N155" s="2126"/>
      <c r="O155" s="2126"/>
      <c r="P155" s="2551">
        <f t="shared" si="44"/>
        <v>0</v>
      </c>
      <c r="Q155"/>
      <c r="R155"/>
      <c r="S155"/>
      <c r="T155"/>
    </row>
    <row r="156" spans="1:20">
      <c r="A156" s="193">
        <v>10</v>
      </c>
      <c r="B156"/>
      <c r="C156" s="2537" t="s">
        <v>118</v>
      </c>
      <c r="D156" s="2552">
        <f t="shared" ref="D156:J156" si="45">SUM(D147:D155)</f>
        <v>0</v>
      </c>
      <c r="E156" s="2552">
        <f t="shared" si="45"/>
        <v>0</v>
      </c>
      <c r="F156" s="2552">
        <f t="shared" si="45"/>
        <v>0</v>
      </c>
      <c r="G156" s="2552">
        <f t="shared" si="45"/>
        <v>0</v>
      </c>
      <c r="H156" s="2552">
        <f t="shared" si="45"/>
        <v>0</v>
      </c>
      <c r="I156" s="2552">
        <f t="shared" si="45"/>
        <v>0</v>
      </c>
      <c r="J156" s="2552">
        <f t="shared" si="45"/>
        <v>0</v>
      </c>
      <c r="K156" s="2552"/>
      <c r="L156" s="2552">
        <f>SUM(L147:L155)</f>
        <v>0</v>
      </c>
      <c r="M156" s="2552">
        <f>SUM(M147:M155)</f>
        <v>0</v>
      </c>
      <c r="N156" s="2552">
        <f>SUM(N147:N155)</f>
        <v>0</v>
      </c>
      <c r="O156" s="2552">
        <f>SUM(O147:O155)</f>
        <v>0</v>
      </c>
      <c r="P156" s="2552">
        <f>SUM(P147:P155)</f>
        <v>0</v>
      </c>
      <c r="Q156"/>
      <c r="R156"/>
      <c r="S156"/>
      <c r="T156"/>
    </row>
    <row r="157" spans="1:20">
      <c r="B157">
        <v>11</v>
      </c>
      <c r="C157" s="2553" t="s">
        <v>188</v>
      </c>
      <c r="D157"/>
      <c r="E157"/>
      <c r="F157"/>
      <c r="G157"/>
      <c r="H157"/>
      <c r="I157"/>
      <c r="J157"/>
      <c r="K157"/>
      <c r="L157"/>
      <c r="M157"/>
      <c r="N157"/>
      <c r="O157"/>
      <c r="P157"/>
      <c r="Q157"/>
      <c r="R157"/>
      <c r="S157"/>
      <c r="T157"/>
    </row>
    <row r="158" spans="1:20">
      <c r="B158"/>
      <c r="C158" s="2537" t="s">
        <v>586</v>
      </c>
      <c r="D158" s="2537" t="s">
        <v>587</v>
      </c>
      <c r="E158" s="2537"/>
      <c r="F158" s="2537"/>
      <c r="G158" s="2537"/>
      <c r="H158" s="2537" t="s">
        <v>611</v>
      </c>
      <c r="I158" s="2537"/>
      <c r="J158" s="2537"/>
      <c r="K158" s="2537"/>
      <c r="L158" s="2537"/>
      <c r="M158" s="2537" t="s">
        <v>612</v>
      </c>
      <c r="N158" s="2537"/>
      <c r="O158" s="2537"/>
      <c r="P158" s="2537"/>
      <c r="Q158"/>
      <c r="R158"/>
      <c r="S158"/>
      <c r="T158"/>
    </row>
    <row r="159" spans="1:20">
      <c r="B159"/>
      <c r="C159" s="2537"/>
      <c r="D159" s="2537" t="s">
        <v>590</v>
      </c>
      <c r="E159" s="2537" t="s">
        <v>591</v>
      </c>
      <c r="F159" s="2537" t="s">
        <v>592</v>
      </c>
      <c r="G159" s="2537" t="s">
        <v>118</v>
      </c>
      <c r="H159" s="2537" t="s">
        <v>590</v>
      </c>
      <c r="I159" s="2537" t="s">
        <v>591</v>
      </c>
      <c r="J159" s="2537" t="s">
        <v>592</v>
      </c>
      <c r="K159" s="2537"/>
      <c r="L159" s="2537" t="s">
        <v>118</v>
      </c>
      <c r="M159" s="2537" t="s">
        <v>590</v>
      </c>
      <c r="N159" s="2537" t="s">
        <v>591</v>
      </c>
      <c r="O159" s="2537" t="s">
        <v>592</v>
      </c>
      <c r="P159" s="2537" t="s">
        <v>118</v>
      </c>
      <c r="Q159"/>
      <c r="R159"/>
      <c r="S159"/>
      <c r="T159"/>
    </row>
    <row r="160" spans="1:20">
      <c r="B160"/>
      <c r="C160" s="2550" t="s">
        <v>593</v>
      </c>
      <c r="D160" s="2562">
        <v>6</v>
      </c>
      <c r="E160" s="2562">
        <v>6</v>
      </c>
      <c r="F160" s="2504"/>
      <c r="G160" s="2551">
        <v>12</v>
      </c>
      <c r="H160" s="2526">
        <v>26</v>
      </c>
      <c r="I160" s="2526">
        <v>35</v>
      </c>
      <c r="J160" s="2526"/>
      <c r="K160" s="2526"/>
      <c r="L160" s="2551">
        <f>+H160+I160+J160</f>
        <v>61</v>
      </c>
      <c r="M160" s="2526">
        <v>15</v>
      </c>
      <c r="N160" s="2526">
        <v>124</v>
      </c>
      <c r="O160" s="2526"/>
      <c r="P160" s="2551">
        <f>+M160+N160+O160</f>
        <v>139</v>
      </c>
      <c r="Q160"/>
      <c r="R160"/>
      <c r="S160"/>
      <c r="T160"/>
    </row>
    <row r="161" spans="1:20">
      <c r="B161"/>
      <c r="C161" s="2504" t="s">
        <v>594</v>
      </c>
      <c r="D161" s="2563">
        <v>4</v>
      </c>
      <c r="E161" s="2563">
        <v>4</v>
      </c>
      <c r="F161" s="2504"/>
      <c r="G161" s="2551">
        <v>8</v>
      </c>
      <c r="H161" s="2526">
        <v>13</v>
      </c>
      <c r="I161" s="2526">
        <v>28</v>
      </c>
      <c r="J161" s="2526"/>
      <c r="K161" s="2526"/>
      <c r="L161" s="2551">
        <f t="shared" ref="L161:L168" si="46">+H161+I161+J161</f>
        <v>41</v>
      </c>
      <c r="M161" s="2526">
        <v>25</v>
      </c>
      <c r="N161" s="2526">
        <v>121</v>
      </c>
      <c r="O161" s="2526"/>
      <c r="P161" s="2551">
        <f t="shared" ref="P161:P168" si="47">+M161+N161+O161</f>
        <v>146</v>
      </c>
      <c r="Q161"/>
      <c r="R161"/>
      <c r="S161"/>
      <c r="T161"/>
    </row>
    <row r="162" spans="1:20">
      <c r="B162"/>
      <c r="C162" s="2504" t="s">
        <v>595</v>
      </c>
      <c r="D162" s="2563">
        <v>3</v>
      </c>
      <c r="E162" s="2563">
        <v>2</v>
      </c>
      <c r="F162" s="2504"/>
      <c r="G162" s="2551">
        <v>5</v>
      </c>
      <c r="H162" s="2526">
        <v>13</v>
      </c>
      <c r="I162" s="2526">
        <v>13</v>
      </c>
      <c r="J162" s="2526"/>
      <c r="K162" s="2526"/>
      <c r="L162" s="2551">
        <f t="shared" si="46"/>
        <v>26</v>
      </c>
      <c r="M162" s="2526">
        <v>20</v>
      </c>
      <c r="N162" s="2526">
        <v>33</v>
      </c>
      <c r="O162" s="2526"/>
      <c r="P162" s="2551">
        <f t="shared" si="47"/>
        <v>53</v>
      </c>
      <c r="Q162"/>
      <c r="R162"/>
      <c r="S162"/>
      <c r="T162"/>
    </row>
    <row r="163" spans="1:20">
      <c r="B163"/>
      <c r="C163" s="2504" t="s">
        <v>596</v>
      </c>
      <c r="D163" s="2563">
        <v>4</v>
      </c>
      <c r="E163" s="2563">
        <v>4</v>
      </c>
      <c r="F163" s="2504"/>
      <c r="G163" s="2551">
        <v>8</v>
      </c>
      <c r="H163" s="2526">
        <v>11</v>
      </c>
      <c r="I163" s="2526">
        <v>25</v>
      </c>
      <c r="J163" s="2526"/>
      <c r="K163" s="2526"/>
      <c r="L163" s="2551">
        <f t="shared" si="46"/>
        <v>36</v>
      </c>
      <c r="M163" s="2526">
        <v>12</v>
      </c>
      <c r="N163" s="2526">
        <v>117</v>
      </c>
      <c r="O163" s="2526"/>
      <c r="P163" s="2551">
        <f t="shared" si="47"/>
        <v>129</v>
      </c>
      <c r="Q163"/>
      <c r="R163"/>
      <c r="S163"/>
      <c r="T163"/>
    </row>
    <row r="164" spans="1:20">
      <c r="B164"/>
      <c r="C164" s="2504" t="s">
        <v>597</v>
      </c>
      <c r="D164" s="2563">
        <v>6</v>
      </c>
      <c r="E164" s="2563">
        <v>6</v>
      </c>
      <c r="F164" s="2504"/>
      <c r="G164" s="2551">
        <v>12</v>
      </c>
      <c r="H164" s="2526">
        <v>17</v>
      </c>
      <c r="I164" s="2526">
        <v>30</v>
      </c>
      <c r="J164" s="2526"/>
      <c r="K164" s="2526"/>
      <c r="L164" s="2551">
        <f t="shared" si="46"/>
        <v>47</v>
      </c>
      <c r="M164" s="2526">
        <v>22</v>
      </c>
      <c r="N164" s="2526">
        <v>180</v>
      </c>
      <c r="O164" s="2526"/>
      <c r="P164" s="2551">
        <f t="shared" si="47"/>
        <v>202</v>
      </c>
      <c r="Q164"/>
      <c r="R164"/>
      <c r="S164"/>
      <c r="T164"/>
    </row>
    <row r="165" spans="1:20">
      <c r="B165"/>
      <c r="C165" s="2504" t="s">
        <v>598</v>
      </c>
      <c r="D165" s="2563">
        <v>4</v>
      </c>
      <c r="E165" s="2563">
        <v>4</v>
      </c>
      <c r="F165" s="2504"/>
      <c r="G165" s="2551">
        <v>8</v>
      </c>
      <c r="H165" s="2526">
        <v>19</v>
      </c>
      <c r="I165" s="2526">
        <v>19</v>
      </c>
      <c r="J165" s="2526"/>
      <c r="K165" s="2526"/>
      <c r="L165" s="2551">
        <f t="shared" si="46"/>
        <v>38</v>
      </c>
      <c r="M165" s="2526">
        <v>26</v>
      </c>
      <c r="N165" s="2526">
        <v>78</v>
      </c>
      <c r="O165" s="2526"/>
      <c r="P165" s="2551">
        <f t="shared" si="47"/>
        <v>104</v>
      </c>
      <c r="Q165"/>
      <c r="R165"/>
      <c r="S165"/>
      <c r="T165"/>
    </row>
    <row r="166" spans="1:20">
      <c r="B166"/>
      <c r="C166" s="2504" t="s">
        <v>599</v>
      </c>
      <c r="D166" s="2563">
        <v>6</v>
      </c>
      <c r="E166" s="2563">
        <v>5</v>
      </c>
      <c r="F166" s="2504"/>
      <c r="G166" s="2551">
        <v>11</v>
      </c>
      <c r="H166" s="2526">
        <v>30</v>
      </c>
      <c r="I166" s="2526">
        <v>31</v>
      </c>
      <c r="J166" s="2526"/>
      <c r="K166" s="2526"/>
      <c r="L166" s="2551">
        <f t="shared" si="46"/>
        <v>61</v>
      </c>
      <c r="M166" s="2526">
        <v>65</v>
      </c>
      <c r="N166" s="2526">
        <v>97</v>
      </c>
      <c r="O166" s="2526"/>
      <c r="P166" s="2551">
        <f t="shared" si="47"/>
        <v>162</v>
      </c>
      <c r="Q166"/>
      <c r="R166"/>
      <c r="S166"/>
      <c r="T166"/>
    </row>
    <row r="167" spans="1:20">
      <c r="B167"/>
      <c r="C167" s="2504" t="s">
        <v>600</v>
      </c>
      <c r="D167" s="2563">
        <v>4</v>
      </c>
      <c r="E167" s="2563">
        <v>4</v>
      </c>
      <c r="F167" s="2504"/>
      <c r="G167" s="2551">
        <v>8</v>
      </c>
      <c r="H167" s="2526">
        <v>13</v>
      </c>
      <c r="I167" s="2526">
        <v>19</v>
      </c>
      <c r="J167" s="2526"/>
      <c r="K167" s="2526"/>
      <c r="L167" s="2551">
        <f t="shared" si="46"/>
        <v>32</v>
      </c>
      <c r="M167" s="2526">
        <v>17</v>
      </c>
      <c r="N167" s="2526">
        <v>77</v>
      </c>
      <c r="O167" s="2526"/>
      <c r="P167" s="2551">
        <f t="shared" si="47"/>
        <v>94</v>
      </c>
      <c r="Q167"/>
      <c r="R167"/>
      <c r="S167"/>
      <c r="T167"/>
    </row>
    <row r="168" spans="1:20">
      <c r="B168"/>
      <c r="C168" s="2504" t="s">
        <v>601</v>
      </c>
      <c r="D168" s="2563">
        <v>14</v>
      </c>
      <c r="E168" s="2563">
        <v>14</v>
      </c>
      <c r="F168" s="2504"/>
      <c r="G168" s="2551">
        <v>28</v>
      </c>
      <c r="H168" s="2526">
        <v>200</v>
      </c>
      <c r="I168" s="2526">
        <v>191</v>
      </c>
      <c r="J168" s="2526"/>
      <c r="K168" s="2526"/>
      <c r="L168" s="2551">
        <f t="shared" si="46"/>
        <v>391</v>
      </c>
      <c r="M168" s="2526">
        <v>93</v>
      </c>
      <c r="N168" s="2526">
        <v>409</v>
      </c>
      <c r="O168" s="2526"/>
      <c r="P168" s="2551">
        <f t="shared" si="47"/>
        <v>502</v>
      </c>
      <c r="Q168"/>
      <c r="R168"/>
      <c r="S168"/>
      <c r="T168"/>
    </row>
    <row r="169" spans="1:20">
      <c r="B169"/>
      <c r="C169" s="2537" t="s">
        <v>118</v>
      </c>
      <c r="D169" s="2552">
        <f t="shared" ref="D169:J169" si="48">SUM(D160:D168)</f>
        <v>51</v>
      </c>
      <c r="E169" s="2552">
        <f t="shared" si="48"/>
        <v>49</v>
      </c>
      <c r="F169" s="2552">
        <f t="shared" si="48"/>
        <v>0</v>
      </c>
      <c r="G169" s="2552">
        <f t="shared" si="48"/>
        <v>100</v>
      </c>
      <c r="H169" s="2552">
        <f t="shared" si="48"/>
        <v>342</v>
      </c>
      <c r="I169" s="2552">
        <f t="shared" si="48"/>
        <v>391</v>
      </c>
      <c r="J169" s="2552">
        <f t="shared" si="48"/>
        <v>0</v>
      </c>
      <c r="K169" s="2552"/>
      <c r="L169" s="2552">
        <f>SUM(L160:L168)</f>
        <v>733</v>
      </c>
      <c r="M169" s="2552">
        <f>SUM(M160:M168)</f>
        <v>295</v>
      </c>
      <c r="N169" s="2552">
        <f>SUM(N160:N168)</f>
        <v>1236</v>
      </c>
      <c r="O169" s="2552">
        <f>SUM(O160:O168)</f>
        <v>0</v>
      </c>
      <c r="P169" s="2552">
        <f>SUM(P160:P168)</f>
        <v>1531</v>
      </c>
      <c r="Q169"/>
      <c r="R169"/>
      <c r="S169"/>
      <c r="T169"/>
    </row>
    <row r="170" spans="1:20">
      <c r="B170">
        <v>12</v>
      </c>
      <c r="C170" s="2553" t="s">
        <v>189</v>
      </c>
      <c r="D170"/>
      <c r="E170"/>
      <c r="F170"/>
      <c r="G170"/>
      <c r="H170"/>
      <c r="I170"/>
      <c r="J170"/>
      <c r="K170"/>
      <c r="L170"/>
      <c r="M170"/>
      <c r="N170"/>
      <c r="O170"/>
      <c r="P170"/>
      <c r="Q170"/>
      <c r="R170"/>
      <c r="S170"/>
      <c r="T170"/>
    </row>
    <row r="171" spans="1:20">
      <c r="A171" s="193">
        <v>11</v>
      </c>
      <c r="B171"/>
      <c r="C171" s="2537" t="s">
        <v>586</v>
      </c>
      <c r="D171" s="2537" t="s">
        <v>587</v>
      </c>
      <c r="E171" s="2537"/>
      <c r="F171" s="2537"/>
      <c r="G171" s="2537"/>
      <c r="H171" s="2537" t="s">
        <v>611</v>
      </c>
      <c r="I171" s="2537"/>
      <c r="J171" s="2537"/>
      <c r="K171" s="2537"/>
      <c r="L171" s="2537"/>
      <c r="M171" s="2537" t="s">
        <v>612</v>
      </c>
      <c r="N171" s="2537"/>
      <c r="O171" s="2537"/>
      <c r="P171" s="2537"/>
      <c r="Q171"/>
      <c r="R171"/>
      <c r="S171"/>
      <c r="T171"/>
    </row>
    <row r="172" spans="1:20">
      <c r="B172"/>
      <c r="C172" s="2537"/>
      <c r="D172" s="2537" t="s">
        <v>590</v>
      </c>
      <c r="E172" s="2537" t="s">
        <v>591</v>
      </c>
      <c r="F172" s="2537" t="s">
        <v>592</v>
      </c>
      <c r="G172" s="2537" t="s">
        <v>118</v>
      </c>
      <c r="H172" s="2537" t="s">
        <v>590</v>
      </c>
      <c r="I172" s="2537" t="s">
        <v>591</v>
      </c>
      <c r="J172" s="2537" t="s">
        <v>592</v>
      </c>
      <c r="K172" s="2537"/>
      <c r="L172" s="2537" t="s">
        <v>118</v>
      </c>
      <c r="M172" s="2537" t="s">
        <v>590</v>
      </c>
      <c r="N172" s="2537" t="s">
        <v>591</v>
      </c>
      <c r="O172" s="2537" t="s">
        <v>592</v>
      </c>
      <c r="P172" s="2537" t="s">
        <v>118</v>
      </c>
      <c r="Q172"/>
      <c r="R172"/>
      <c r="S172"/>
      <c r="T172"/>
    </row>
    <row r="173" spans="1:20">
      <c r="B173"/>
      <c r="C173" s="2550" t="s">
        <v>593</v>
      </c>
      <c r="D173" s="2555"/>
      <c r="E173" s="2555"/>
      <c r="F173" s="2564">
        <v>17</v>
      </c>
      <c r="G173" s="2547">
        <f>+D173+E173+F173</f>
        <v>17</v>
      </c>
      <c r="H173" s="2126"/>
      <c r="I173" s="2126"/>
      <c r="J173" s="2126">
        <v>195</v>
      </c>
      <c r="K173" s="2126"/>
      <c r="L173" s="2547">
        <f>+H173+I173+J173</f>
        <v>195</v>
      </c>
      <c r="M173" s="2126">
        <v>143</v>
      </c>
      <c r="N173" s="2126">
        <v>404</v>
      </c>
      <c r="O173" s="2126"/>
      <c r="P173" s="2547">
        <f>+M173+N173+O173</f>
        <v>547</v>
      </c>
      <c r="Q173"/>
      <c r="R173"/>
      <c r="S173"/>
      <c r="T173"/>
    </row>
    <row r="174" spans="1:20">
      <c r="B174"/>
      <c r="C174" s="2504" t="s">
        <v>594</v>
      </c>
      <c r="D174" s="2126"/>
      <c r="E174" s="2126"/>
      <c r="F174" s="2564">
        <v>16</v>
      </c>
      <c r="G174" s="2547">
        <f t="shared" ref="G174:G181" si="49">+D174+E174+F174</f>
        <v>16</v>
      </c>
      <c r="H174" s="2126"/>
      <c r="I174" s="2126"/>
      <c r="J174" s="2126">
        <v>123</v>
      </c>
      <c r="K174" s="2126"/>
      <c r="L174" s="2547">
        <f t="shared" ref="L174:L180" si="50">+H174+I174+J174</f>
        <v>123</v>
      </c>
      <c r="M174" s="2126">
        <v>129</v>
      </c>
      <c r="N174" s="2126">
        <v>223</v>
      </c>
      <c r="O174" s="2126"/>
      <c r="P174" s="2547">
        <f t="shared" ref="P174:P181" si="51">+M174+N174+O174</f>
        <v>352</v>
      </c>
      <c r="Q174"/>
      <c r="R174"/>
      <c r="S174"/>
      <c r="T174"/>
    </row>
    <row r="175" spans="1:20">
      <c r="B175"/>
      <c r="C175" s="2504" t="s">
        <v>595</v>
      </c>
      <c r="D175" s="2126"/>
      <c r="E175" s="2126"/>
      <c r="F175" s="2564">
        <v>18</v>
      </c>
      <c r="G175" s="2547">
        <f t="shared" si="49"/>
        <v>18</v>
      </c>
      <c r="H175" s="2126"/>
      <c r="I175" s="2126"/>
      <c r="J175" s="2126">
        <v>152</v>
      </c>
      <c r="K175" s="2126"/>
      <c r="L175" s="2547">
        <f t="shared" si="50"/>
        <v>152</v>
      </c>
      <c r="M175" s="2126">
        <v>114</v>
      </c>
      <c r="N175" s="2126">
        <v>220</v>
      </c>
      <c r="O175" s="2126"/>
      <c r="P175" s="2547">
        <f t="shared" si="51"/>
        <v>334</v>
      </c>
      <c r="Q175"/>
      <c r="R175"/>
      <c r="S175"/>
      <c r="T175"/>
    </row>
    <row r="176" spans="1:20">
      <c r="B176"/>
      <c r="C176" s="2504" t="s">
        <v>596</v>
      </c>
      <c r="D176" s="2126"/>
      <c r="E176" s="2126"/>
      <c r="F176" s="2564"/>
      <c r="G176" s="2547">
        <f t="shared" si="49"/>
        <v>0</v>
      </c>
      <c r="H176" s="2126"/>
      <c r="I176" s="2126"/>
      <c r="J176" s="2126"/>
      <c r="K176" s="2126"/>
      <c r="L176" s="2547">
        <f t="shared" si="50"/>
        <v>0</v>
      </c>
      <c r="M176" s="2126"/>
      <c r="N176" s="2126">
        <v>41</v>
      </c>
      <c r="O176" s="2126"/>
      <c r="P176" s="2547">
        <f t="shared" si="51"/>
        <v>41</v>
      </c>
      <c r="Q176"/>
      <c r="R176"/>
      <c r="S176"/>
      <c r="T176"/>
    </row>
    <row r="177" spans="1:20">
      <c r="B177"/>
      <c r="C177" s="2504" t="s">
        <v>597</v>
      </c>
      <c r="D177" s="2126"/>
      <c r="E177" s="2126"/>
      <c r="F177" s="2564"/>
      <c r="G177" s="2547">
        <f t="shared" si="49"/>
        <v>0</v>
      </c>
      <c r="H177" s="2126"/>
      <c r="I177" s="2126"/>
      <c r="J177" s="2126"/>
      <c r="K177" s="2126"/>
      <c r="L177" s="2547">
        <f t="shared" si="50"/>
        <v>0</v>
      </c>
      <c r="M177" s="2126"/>
      <c r="N177" s="2126"/>
      <c r="O177" s="2126"/>
      <c r="P177" s="2547">
        <f t="shared" si="51"/>
        <v>0</v>
      </c>
      <c r="Q177"/>
      <c r="R177"/>
      <c r="S177"/>
      <c r="T177"/>
    </row>
    <row r="178" spans="1:20">
      <c r="B178"/>
      <c r="C178" s="2504" t="s">
        <v>598</v>
      </c>
      <c r="D178" s="2126"/>
      <c r="E178" s="2126"/>
      <c r="F178" s="2564"/>
      <c r="G178" s="2547">
        <f t="shared" si="49"/>
        <v>0</v>
      </c>
      <c r="H178" s="2126"/>
      <c r="I178" s="2126"/>
      <c r="J178" s="2126"/>
      <c r="K178" s="2126"/>
      <c r="L178" s="2547">
        <f t="shared" si="50"/>
        <v>0</v>
      </c>
      <c r="M178" s="2126"/>
      <c r="N178" s="2126"/>
      <c r="O178" s="2126"/>
      <c r="P178" s="2547">
        <f t="shared" si="51"/>
        <v>0</v>
      </c>
      <c r="Q178"/>
      <c r="R178"/>
      <c r="S178"/>
      <c r="T178"/>
    </row>
    <row r="179" spans="1:20">
      <c r="B179"/>
      <c r="C179" s="2504" t="s">
        <v>599</v>
      </c>
      <c r="D179" s="2126"/>
      <c r="E179" s="2126"/>
      <c r="F179" s="2564">
        <v>21</v>
      </c>
      <c r="G179" s="2547">
        <f t="shared" si="49"/>
        <v>21</v>
      </c>
      <c r="H179" s="2126"/>
      <c r="I179" s="2126"/>
      <c r="J179" s="2126">
        <v>223</v>
      </c>
      <c r="K179" s="2126"/>
      <c r="L179" s="2547">
        <f t="shared" si="50"/>
        <v>223</v>
      </c>
      <c r="M179" s="2126">
        <v>186</v>
      </c>
      <c r="N179" s="2126">
        <v>281</v>
      </c>
      <c r="O179" s="2126"/>
      <c r="P179" s="2547">
        <f t="shared" si="51"/>
        <v>467</v>
      </c>
      <c r="Q179"/>
      <c r="R179"/>
      <c r="S179"/>
      <c r="T179"/>
    </row>
    <row r="180" spans="1:20">
      <c r="B180"/>
      <c r="C180" s="2504" t="s">
        <v>600</v>
      </c>
      <c r="D180" s="2126"/>
      <c r="E180" s="2126"/>
      <c r="F180" s="2564"/>
      <c r="G180" s="2547">
        <f t="shared" si="49"/>
        <v>0</v>
      </c>
      <c r="H180" s="2126"/>
      <c r="I180" s="2126"/>
      <c r="J180" s="2126"/>
      <c r="K180" s="2126"/>
      <c r="L180" s="2547">
        <f t="shared" si="50"/>
        <v>0</v>
      </c>
      <c r="M180" s="2126"/>
      <c r="N180" s="2126"/>
      <c r="O180" s="2126"/>
      <c r="P180" s="2547">
        <f t="shared" si="51"/>
        <v>0</v>
      </c>
      <c r="Q180"/>
      <c r="R180"/>
      <c r="S180"/>
      <c r="T180"/>
    </row>
    <row r="181" spans="1:20">
      <c r="B181"/>
      <c r="C181" s="2504" t="s">
        <v>601</v>
      </c>
      <c r="D181" s="2126"/>
      <c r="E181" s="2126"/>
      <c r="F181" s="2564">
        <v>37</v>
      </c>
      <c r="G181" s="2547">
        <f t="shared" si="49"/>
        <v>37</v>
      </c>
      <c r="H181" s="2126"/>
      <c r="I181" s="2126"/>
      <c r="J181" s="2126">
        <v>1547</v>
      </c>
      <c r="K181" s="2126"/>
      <c r="L181" s="2547">
        <f>+H181+I181+J181</f>
        <v>1547</v>
      </c>
      <c r="M181" s="2126">
        <v>533</v>
      </c>
      <c r="N181" s="2126">
        <v>535</v>
      </c>
      <c r="O181" s="2126"/>
      <c r="P181" s="2547">
        <f t="shared" si="51"/>
        <v>1068</v>
      </c>
      <c r="Q181"/>
      <c r="R181"/>
      <c r="S181"/>
      <c r="T181"/>
    </row>
    <row r="182" spans="1:20">
      <c r="B182"/>
      <c r="C182" s="2537" t="s">
        <v>118</v>
      </c>
      <c r="D182" s="2552">
        <f t="shared" ref="D182:J182" si="52">SUM(D173:D181)</f>
        <v>0</v>
      </c>
      <c r="E182" s="2552">
        <f t="shared" si="52"/>
        <v>0</v>
      </c>
      <c r="F182" s="2552">
        <f t="shared" si="52"/>
        <v>109</v>
      </c>
      <c r="G182" s="2552">
        <f t="shared" si="52"/>
        <v>109</v>
      </c>
      <c r="H182" s="2552">
        <f t="shared" si="52"/>
        <v>0</v>
      </c>
      <c r="I182" s="2552">
        <f t="shared" si="52"/>
        <v>0</v>
      </c>
      <c r="J182" s="2552">
        <f t="shared" si="52"/>
        <v>2240</v>
      </c>
      <c r="K182" s="2552"/>
      <c r="L182" s="2552">
        <f>SUM(L173:L181)</f>
        <v>2240</v>
      </c>
      <c r="M182" s="2552">
        <f>SUM(M173:M181)</f>
        <v>1105</v>
      </c>
      <c r="N182" s="2552">
        <f>SUM(N173:N181)</f>
        <v>1704</v>
      </c>
      <c r="O182" s="2552">
        <f>SUM(O173:O181)</f>
        <v>0</v>
      </c>
      <c r="P182" s="2552">
        <f>SUM(P173:P181)</f>
        <v>2809</v>
      </c>
      <c r="Q182"/>
      <c r="R182" s="14"/>
      <c r="S182"/>
      <c r="T182"/>
    </row>
    <row r="183" spans="1:20">
      <c r="B183">
        <v>13</v>
      </c>
      <c r="C183" s="2556" t="s">
        <v>190</v>
      </c>
      <c r="D183"/>
      <c r="E183"/>
      <c r="F183" s="2557"/>
      <c r="G183" s="401"/>
      <c r="H183" s="401"/>
      <c r="I183" s="401"/>
      <c r="J183"/>
      <c r="K183"/>
      <c r="L183"/>
      <c r="M183" s="401"/>
      <c r="N183" s="401"/>
      <c r="O183"/>
      <c r="P183"/>
      <c r="Q183"/>
      <c r="R183"/>
      <c r="S183"/>
      <c r="T183"/>
    </row>
    <row r="184" spans="1:20">
      <c r="B184"/>
      <c r="C184" s="2537" t="s">
        <v>586</v>
      </c>
      <c r="D184" s="2537" t="s">
        <v>587</v>
      </c>
      <c r="E184" s="2537"/>
      <c r="F184" s="2537"/>
      <c r="G184" s="2537"/>
      <c r="H184" s="2537" t="s">
        <v>611</v>
      </c>
      <c r="I184" s="2537"/>
      <c r="J184" s="2537"/>
      <c r="K184" s="2537"/>
      <c r="L184" s="2537"/>
      <c r="M184" s="2537" t="s">
        <v>612</v>
      </c>
      <c r="N184" s="2537"/>
      <c r="O184" s="2537"/>
      <c r="P184" s="2537"/>
      <c r="Q184"/>
      <c r="R184"/>
      <c r="S184"/>
      <c r="T184"/>
    </row>
    <row r="185" spans="1:20">
      <c r="B185"/>
      <c r="C185" s="2537"/>
      <c r="D185" s="2537" t="s">
        <v>590</v>
      </c>
      <c r="E185" s="2537" t="s">
        <v>591</v>
      </c>
      <c r="F185" s="2537" t="s">
        <v>592</v>
      </c>
      <c r="G185" s="2537" t="s">
        <v>118</v>
      </c>
      <c r="H185" s="2537" t="s">
        <v>590</v>
      </c>
      <c r="I185" s="2537" t="s">
        <v>591</v>
      </c>
      <c r="J185" s="2537" t="s">
        <v>592</v>
      </c>
      <c r="K185" s="2537"/>
      <c r="L185" s="2537" t="s">
        <v>118</v>
      </c>
      <c r="M185" s="2537" t="s">
        <v>590</v>
      </c>
      <c r="N185" s="2537" t="s">
        <v>591</v>
      </c>
      <c r="O185" s="2537" t="s">
        <v>592</v>
      </c>
      <c r="P185" s="2537" t="s">
        <v>118</v>
      </c>
      <c r="Q185"/>
      <c r="R185"/>
      <c r="S185"/>
      <c r="T185"/>
    </row>
    <row r="186" spans="1:20">
      <c r="A186" s="193">
        <v>12</v>
      </c>
      <c r="B186"/>
      <c r="C186" s="2550" t="s">
        <v>593</v>
      </c>
      <c r="D186" s="2555"/>
      <c r="E186" s="2530">
        <v>2</v>
      </c>
      <c r="F186" s="1789"/>
      <c r="G186" s="2551">
        <f>+D186+E186+F186</f>
        <v>2</v>
      </c>
      <c r="H186" s="2126"/>
      <c r="I186" s="2526">
        <v>8</v>
      </c>
      <c r="J186" s="2126"/>
      <c r="K186" s="2126"/>
      <c r="L186" s="2551">
        <f>+H186+I186+J186</f>
        <v>8</v>
      </c>
      <c r="M186" s="2126"/>
      <c r="N186" s="2526">
        <v>129</v>
      </c>
      <c r="O186" s="2126"/>
      <c r="P186" s="2551">
        <f>+M186+N186+O186</f>
        <v>129</v>
      </c>
      <c r="Q186"/>
      <c r="R186"/>
      <c r="S186"/>
      <c r="T186"/>
    </row>
    <row r="187" spans="1:20">
      <c r="B187"/>
      <c r="C187" s="2504" t="s">
        <v>594</v>
      </c>
      <c r="D187" s="2126"/>
      <c r="E187" s="2526">
        <v>3</v>
      </c>
      <c r="F187" s="1789"/>
      <c r="G187" s="2551">
        <f t="shared" ref="G187:G194" si="53">+D187+E187+F187</f>
        <v>3</v>
      </c>
      <c r="H187" s="2126"/>
      <c r="I187" s="2526">
        <v>10</v>
      </c>
      <c r="J187" s="2126"/>
      <c r="K187" s="2126"/>
      <c r="L187" s="2551">
        <f t="shared" ref="L187:L194" si="54">+H187+I187+J187</f>
        <v>10</v>
      </c>
      <c r="M187" s="2126"/>
      <c r="N187" s="2526">
        <v>171</v>
      </c>
      <c r="O187" s="2126"/>
      <c r="P187" s="2551">
        <f t="shared" ref="P187:P194" si="55">+M187+N187+O187</f>
        <v>171</v>
      </c>
      <c r="Q187"/>
      <c r="R187"/>
      <c r="S187"/>
      <c r="T187"/>
    </row>
    <row r="188" spans="1:20">
      <c r="B188"/>
      <c r="C188" s="2504" t="s">
        <v>595</v>
      </c>
      <c r="D188" s="2126"/>
      <c r="E188" s="2526">
        <v>2</v>
      </c>
      <c r="F188" s="1789"/>
      <c r="G188" s="2551">
        <f t="shared" si="53"/>
        <v>2</v>
      </c>
      <c r="H188" s="2126"/>
      <c r="I188" s="2526">
        <v>6</v>
      </c>
      <c r="J188" s="2126"/>
      <c r="K188" s="2126"/>
      <c r="L188" s="2551">
        <f t="shared" si="54"/>
        <v>6</v>
      </c>
      <c r="M188" s="2126"/>
      <c r="N188" s="2526">
        <v>44</v>
      </c>
      <c r="O188" s="2126"/>
      <c r="P188" s="2551">
        <f t="shared" si="55"/>
        <v>44</v>
      </c>
      <c r="Q188"/>
      <c r="R188"/>
      <c r="S188"/>
      <c r="T188"/>
    </row>
    <row r="189" spans="1:20">
      <c r="B189"/>
      <c r="C189" s="2504" t="s">
        <v>596</v>
      </c>
      <c r="D189" s="2126"/>
      <c r="E189" s="2526">
        <v>3</v>
      </c>
      <c r="F189" s="1789"/>
      <c r="G189" s="2551">
        <f t="shared" si="53"/>
        <v>3</v>
      </c>
      <c r="H189" s="2126"/>
      <c r="I189" s="2526">
        <v>6</v>
      </c>
      <c r="J189" s="2126"/>
      <c r="K189" s="2126"/>
      <c r="L189" s="2551">
        <f t="shared" si="54"/>
        <v>6</v>
      </c>
      <c r="M189" s="2126"/>
      <c r="N189" s="2526">
        <v>51</v>
      </c>
      <c r="O189" s="2126"/>
      <c r="P189" s="2551">
        <f t="shared" si="55"/>
        <v>51</v>
      </c>
      <c r="Q189"/>
      <c r="R189"/>
      <c r="S189"/>
      <c r="T189"/>
    </row>
    <row r="190" spans="1:20">
      <c r="B190"/>
      <c r="C190" s="2504" t="s">
        <v>597</v>
      </c>
      <c r="D190" s="2126"/>
      <c r="E190" s="2526">
        <v>8</v>
      </c>
      <c r="F190" s="1789"/>
      <c r="G190" s="2551">
        <f t="shared" si="53"/>
        <v>8</v>
      </c>
      <c r="H190" s="2126"/>
      <c r="I190" s="2526">
        <v>15</v>
      </c>
      <c r="J190" s="2126"/>
      <c r="K190" s="2126"/>
      <c r="L190" s="2551">
        <f t="shared" si="54"/>
        <v>15</v>
      </c>
      <c r="M190" s="2126"/>
      <c r="N190" s="2526">
        <v>642</v>
      </c>
      <c r="O190" s="2126"/>
      <c r="P190" s="2551">
        <f t="shared" si="55"/>
        <v>642</v>
      </c>
      <c r="Q190"/>
      <c r="R190"/>
      <c r="S190"/>
      <c r="T190"/>
    </row>
    <row r="191" spans="1:20">
      <c r="B191"/>
      <c r="C191" s="2504" t="s">
        <v>598</v>
      </c>
      <c r="D191" s="2126"/>
      <c r="E191" s="2526">
        <v>2</v>
      </c>
      <c r="F191" s="1789"/>
      <c r="G191" s="2551">
        <f t="shared" si="53"/>
        <v>2</v>
      </c>
      <c r="H191" s="2126"/>
      <c r="I191" s="2526">
        <v>3</v>
      </c>
      <c r="J191" s="2126"/>
      <c r="K191" s="2126"/>
      <c r="L191" s="2551">
        <f t="shared" si="54"/>
        <v>3</v>
      </c>
      <c r="M191" s="2126"/>
      <c r="N191" s="2526">
        <v>46</v>
      </c>
      <c r="O191" s="2126"/>
      <c r="P191" s="2551">
        <f t="shared" si="55"/>
        <v>46</v>
      </c>
      <c r="Q191"/>
      <c r="R191"/>
      <c r="S191"/>
      <c r="T191"/>
    </row>
    <row r="192" spans="1:20">
      <c r="B192"/>
      <c r="C192" s="2504" t="s">
        <v>599</v>
      </c>
      <c r="D192" s="2126"/>
      <c r="E192" s="2526">
        <v>1</v>
      </c>
      <c r="F192" s="1789"/>
      <c r="G192" s="2551">
        <f t="shared" si="53"/>
        <v>1</v>
      </c>
      <c r="H192" s="2126"/>
      <c r="I192" s="2526">
        <v>3</v>
      </c>
      <c r="J192" s="2126"/>
      <c r="K192" s="2126"/>
      <c r="L192" s="2551">
        <f t="shared" si="54"/>
        <v>3</v>
      </c>
      <c r="M192" s="2126"/>
      <c r="N192" s="2526">
        <v>106</v>
      </c>
      <c r="O192" s="2126"/>
      <c r="P192" s="2551">
        <f t="shared" si="55"/>
        <v>106</v>
      </c>
      <c r="Q192"/>
      <c r="R192"/>
      <c r="S192"/>
      <c r="T192"/>
    </row>
    <row r="193" spans="1:20">
      <c r="B193"/>
      <c r="C193" s="2504" t="s">
        <v>600</v>
      </c>
      <c r="D193" s="2126"/>
      <c r="E193" s="2526">
        <v>2</v>
      </c>
      <c r="F193" s="1789"/>
      <c r="G193" s="2551">
        <f t="shared" si="53"/>
        <v>2</v>
      </c>
      <c r="H193" s="2126"/>
      <c r="I193" s="2526">
        <v>3</v>
      </c>
      <c r="J193" s="2126"/>
      <c r="K193" s="2126"/>
      <c r="L193" s="2551">
        <f t="shared" si="54"/>
        <v>3</v>
      </c>
      <c r="M193" s="2126"/>
      <c r="N193" s="2526">
        <v>48</v>
      </c>
      <c r="O193" s="2126"/>
      <c r="P193" s="2551">
        <f t="shared" si="55"/>
        <v>48</v>
      </c>
      <c r="Q193"/>
      <c r="R193"/>
      <c r="S193"/>
      <c r="T193"/>
    </row>
    <row r="194" spans="1:20">
      <c r="B194"/>
      <c r="C194" s="2504" t="s">
        <v>601</v>
      </c>
      <c r="D194" s="2126"/>
      <c r="E194" s="2526">
        <v>6</v>
      </c>
      <c r="F194" s="1789"/>
      <c r="G194" s="2551">
        <f t="shared" si="53"/>
        <v>6</v>
      </c>
      <c r="H194" s="2126"/>
      <c r="I194" s="2526">
        <v>31</v>
      </c>
      <c r="J194" s="2126"/>
      <c r="K194" s="2126"/>
      <c r="L194" s="2551">
        <f t="shared" si="54"/>
        <v>31</v>
      </c>
      <c r="M194" s="2126"/>
      <c r="N194" s="2526">
        <v>174</v>
      </c>
      <c r="O194" s="2126"/>
      <c r="P194" s="2551">
        <f t="shared" si="55"/>
        <v>174</v>
      </c>
      <c r="Q194"/>
      <c r="R194"/>
      <c r="S194"/>
      <c r="T194"/>
    </row>
    <row r="195" spans="1:20">
      <c r="B195"/>
      <c r="C195" s="2537" t="s">
        <v>118</v>
      </c>
      <c r="D195" s="2552">
        <f t="shared" ref="D195:J195" si="56">SUM(D186:D194)</f>
        <v>0</v>
      </c>
      <c r="E195" s="2552">
        <f t="shared" si="56"/>
        <v>29</v>
      </c>
      <c r="F195" s="2552">
        <f t="shared" si="56"/>
        <v>0</v>
      </c>
      <c r="G195" s="2552">
        <f t="shared" si="56"/>
        <v>29</v>
      </c>
      <c r="H195" s="2552">
        <f t="shared" si="56"/>
        <v>0</v>
      </c>
      <c r="I195" s="2552">
        <f t="shared" si="56"/>
        <v>85</v>
      </c>
      <c r="J195" s="2552">
        <f t="shared" si="56"/>
        <v>0</v>
      </c>
      <c r="K195" s="2552"/>
      <c r="L195" s="2552">
        <f>SUM(L186:L194)</f>
        <v>85</v>
      </c>
      <c r="M195" s="2552">
        <f>SUM(M186:M194)</f>
        <v>0</v>
      </c>
      <c r="N195" s="2552">
        <f>SUM(N186:N194)</f>
        <v>1411</v>
      </c>
      <c r="O195" s="2552">
        <f>SUM(O186:O194)</f>
        <v>0</v>
      </c>
      <c r="P195" s="2552">
        <f>SUM(P186:P194)</f>
        <v>1411</v>
      </c>
      <c r="Q195"/>
      <c r="R195"/>
      <c r="S195"/>
      <c r="T195"/>
    </row>
    <row r="196" spans="1:20">
      <c r="B196">
        <v>14</v>
      </c>
      <c r="C196" s="2553" t="s">
        <v>191</v>
      </c>
      <c r="D196"/>
      <c r="E196"/>
      <c r="F196"/>
      <c r="G196"/>
      <c r="H196"/>
      <c r="I196"/>
      <c r="J196"/>
      <c r="K196"/>
      <c r="L196"/>
      <c r="M196"/>
      <c r="N196"/>
      <c r="O196"/>
      <c r="P196"/>
      <c r="Q196"/>
      <c r="R196"/>
      <c r="S196"/>
      <c r="T196"/>
    </row>
    <row r="197" spans="1:20">
      <c r="B197"/>
      <c r="C197" s="2537" t="s">
        <v>586</v>
      </c>
      <c r="D197" s="2537" t="s">
        <v>587</v>
      </c>
      <c r="E197" s="2537"/>
      <c r="F197" s="2537"/>
      <c r="G197" s="2537"/>
      <c r="H197" s="2565" t="s">
        <v>611</v>
      </c>
      <c r="I197" s="3151"/>
      <c r="J197" s="3151"/>
      <c r="K197" s="3151"/>
      <c r="L197" s="2566"/>
      <c r="M197" s="2565" t="s">
        <v>612</v>
      </c>
      <c r="N197" s="3151"/>
      <c r="O197" s="3151"/>
      <c r="P197" s="2566"/>
      <c r="Q197"/>
      <c r="R197"/>
      <c r="S197"/>
      <c r="T197"/>
    </row>
    <row r="198" spans="1:20">
      <c r="B198"/>
      <c r="C198" s="2537"/>
      <c r="D198" s="2537" t="s">
        <v>590</v>
      </c>
      <c r="E198" s="2537" t="s">
        <v>591</v>
      </c>
      <c r="F198" s="2537" t="s">
        <v>592</v>
      </c>
      <c r="G198" s="2537" t="s">
        <v>118</v>
      </c>
      <c r="H198" s="397" t="s">
        <v>590</v>
      </c>
      <c r="I198" s="397" t="s">
        <v>591</v>
      </c>
      <c r="J198" s="397" t="s">
        <v>592</v>
      </c>
      <c r="K198" s="397" t="s">
        <v>613</v>
      </c>
      <c r="L198" s="2537" t="s">
        <v>118</v>
      </c>
      <c r="M198" s="2537" t="s">
        <v>590</v>
      </c>
      <c r="N198" s="2537" t="s">
        <v>591</v>
      </c>
      <c r="O198" s="2537" t="s">
        <v>592</v>
      </c>
      <c r="P198" s="2537" t="s">
        <v>118</v>
      </c>
      <c r="Q198"/>
      <c r="R198"/>
      <c r="S198"/>
      <c r="T198"/>
    </row>
    <row r="199" spans="1:20">
      <c r="B199"/>
      <c r="C199" s="2550" t="s">
        <v>593</v>
      </c>
      <c r="D199" s="2555">
        <v>0</v>
      </c>
      <c r="E199" s="2555">
        <v>2</v>
      </c>
      <c r="F199" s="1711">
        <v>7</v>
      </c>
      <c r="G199" s="2551">
        <f>+D199+E199+F199</f>
        <v>9</v>
      </c>
      <c r="H199" s="2526">
        <v>1</v>
      </c>
      <c r="I199" s="2526">
        <v>7</v>
      </c>
      <c r="J199" s="2526">
        <v>10</v>
      </c>
      <c r="K199" s="2526">
        <v>4</v>
      </c>
      <c r="L199" s="2551">
        <f>+H199+I199+J199+K199</f>
        <v>22</v>
      </c>
      <c r="M199" s="2526">
        <v>0</v>
      </c>
      <c r="N199" s="2526">
        <v>98</v>
      </c>
      <c r="O199" s="2526">
        <v>0</v>
      </c>
      <c r="P199" s="2551">
        <f>+M199+N199+O199</f>
        <v>98</v>
      </c>
      <c r="Q199"/>
      <c r="R199"/>
      <c r="S199"/>
      <c r="T199"/>
    </row>
    <row r="200" spans="1:20">
      <c r="B200"/>
      <c r="C200" s="2504" t="s">
        <v>594</v>
      </c>
      <c r="D200" s="2126">
        <v>0</v>
      </c>
      <c r="E200" s="2126">
        <v>1</v>
      </c>
      <c r="F200" s="1711">
        <v>3</v>
      </c>
      <c r="G200" s="2551">
        <f t="shared" ref="G200:G207" si="57">+D200+E200+F200</f>
        <v>4</v>
      </c>
      <c r="H200" s="2526">
        <v>0</v>
      </c>
      <c r="I200" s="2526">
        <v>5</v>
      </c>
      <c r="J200" s="2526">
        <v>3</v>
      </c>
      <c r="K200" s="2526">
        <v>2</v>
      </c>
      <c r="L200" s="2551">
        <f t="shared" ref="L200:L208" si="58">+H200+I200+J200+K200</f>
        <v>10</v>
      </c>
      <c r="M200" s="2526">
        <v>0</v>
      </c>
      <c r="N200" s="2526">
        <v>98</v>
      </c>
      <c r="O200" s="2526">
        <v>0</v>
      </c>
      <c r="P200" s="2551">
        <f t="shared" ref="P200:P207" si="59">+M200+N200+O200</f>
        <v>98</v>
      </c>
      <c r="Q200"/>
      <c r="R200"/>
      <c r="S200"/>
      <c r="T200"/>
    </row>
    <row r="201" spans="1:20">
      <c r="A201" s="193">
        <v>13</v>
      </c>
      <c r="B201"/>
      <c r="C201" s="2504" t="s">
        <v>595</v>
      </c>
      <c r="D201" s="2126">
        <v>0</v>
      </c>
      <c r="E201" s="2126">
        <v>3</v>
      </c>
      <c r="F201" s="1711">
        <v>3</v>
      </c>
      <c r="G201" s="2551">
        <f t="shared" si="57"/>
        <v>6</v>
      </c>
      <c r="H201" s="2526">
        <v>1</v>
      </c>
      <c r="I201" s="2526">
        <v>5</v>
      </c>
      <c r="J201" s="2526">
        <v>5</v>
      </c>
      <c r="K201" s="2526">
        <v>1</v>
      </c>
      <c r="L201" s="2551">
        <f t="shared" si="58"/>
        <v>12</v>
      </c>
      <c r="M201" s="2526">
        <v>0</v>
      </c>
      <c r="N201" s="2526">
        <v>118</v>
      </c>
      <c r="O201" s="2526">
        <v>2</v>
      </c>
      <c r="P201" s="2551">
        <f t="shared" si="59"/>
        <v>120</v>
      </c>
      <c r="Q201"/>
      <c r="R201"/>
      <c r="S201"/>
      <c r="T201"/>
    </row>
    <row r="202" spans="1:20">
      <c r="B202"/>
      <c r="C202" s="2504" t="s">
        <v>596</v>
      </c>
      <c r="D202" s="2126">
        <v>0</v>
      </c>
      <c r="E202" s="2126">
        <v>0</v>
      </c>
      <c r="F202" s="1711">
        <v>6</v>
      </c>
      <c r="G202" s="2551">
        <f t="shared" si="57"/>
        <v>6</v>
      </c>
      <c r="H202" s="2526">
        <v>1</v>
      </c>
      <c r="I202" s="2526">
        <v>3</v>
      </c>
      <c r="J202" s="2526">
        <v>7</v>
      </c>
      <c r="K202" s="2526">
        <v>4</v>
      </c>
      <c r="L202" s="2551">
        <f t="shared" si="58"/>
        <v>15</v>
      </c>
      <c r="M202" s="2526">
        <v>0</v>
      </c>
      <c r="N202" s="2526">
        <v>121</v>
      </c>
      <c r="O202" s="2526">
        <v>0</v>
      </c>
      <c r="P202" s="2551">
        <f t="shared" si="59"/>
        <v>121</v>
      </c>
      <c r="Q202"/>
      <c r="R202"/>
      <c r="S202"/>
      <c r="T202"/>
    </row>
    <row r="203" spans="1:20">
      <c r="B203"/>
      <c r="C203" s="2504" t="s">
        <v>597</v>
      </c>
      <c r="D203" s="2126">
        <v>0</v>
      </c>
      <c r="E203" s="2126">
        <v>0</v>
      </c>
      <c r="F203" s="1711">
        <v>7</v>
      </c>
      <c r="G203" s="2551">
        <f t="shared" si="57"/>
        <v>7</v>
      </c>
      <c r="H203" s="2526">
        <v>0</v>
      </c>
      <c r="I203" s="2526">
        <v>6</v>
      </c>
      <c r="J203" s="2526">
        <v>7</v>
      </c>
      <c r="K203" s="2526">
        <v>2</v>
      </c>
      <c r="L203" s="2551">
        <f t="shared" si="58"/>
        <v>15</v>
      </c>
      <c r="M203" s="2526">
        <v>0</v>
      </c>
      <c r="N203" s="2526">
        <v>189</v>
      </c>
      <c r="O203" s="2526">
        <v>0</v>
      </c>
      <c r="P203" s="2551">
        <f t="shared" si="59"/>
        <v>189</v>
      </c>
      <c r="Q203"/>
      <c r="R203"/>
      <c r="S203"/>
      <c r="T203"/>
    </row>
    <row r="204" spans="1:20">
      <c r="B204"/>
      <c r="C204" s="2504" t="s">
        <v>598</v>
      </c>
      <c r="D204" s="2126">
        <v>0</v>
      </c>
      <c r="E204" s="2126">
        <v>0</v>
      </c>
      <c r="F204" s="1711">
        <v>4</v>
      </c>
      <c r="G204" s="2551">
        <f t="shared" si="57"/>
        <v>4</v>
      </c>
      <c r="H204" s="2526">
        <v>0</v>
      </c>
      <c r="I204" s="2526">
        <v>5</v>
      </c>
      <c r="J204" s="2526">
        <v>8</v>
      </c>
      <c r="K204" s="2526">
        <v>5</v>
      </c>
      <c r="L204" s="2551">
        <f t="shared" si="58"/>
        <v>18</v>
      </c>
      <c r="M204" s="2526">
        <v>0</v>
      </c>
      <c r="N204" s="2526">
        <v>48</v>
      </c>
      <c r="O204" s="2526">
        <v>0</v>
      </c>
      <c r="P204" s="2551">
        <f t="shared" si="59"/>
        <v>48</v>
      </c>
      <c r="Q204"/>
      <c r="R204"/>
      <c r="S204"/>
      <c r="T204"/>
    </row>
    <row r="205" spans="1:20">
      <c r="B205"/>
      <c r="C205" s="2504" t="s">
        <v>599</v>
      </c>
      <c r="D205" s="2126">
        <v>0</v>
      </c>
      <c r="E205" s="2126">
        <v>1</v>
      </c>
      <c r="F205" s="1711">
        <v>7</v>
      </c>
      <c r="G205" s="2551">
        <f t="shared" si="57"/>
        <v>8</v>
      </c>
      <c r="H205" s="2526">
        <v>1</v>
      </c>
      <c r="I205" s="2526">
        <v>6</v>
      </c>
      <c r="J205" s="2526">
        <v>10</v>
      </c>
      <c r="K205" s="2526">
        <v>1</v>
      </c>
      <c r="L205" s="2551">
        <f t="shared" si="58"/>
        <v>18</v>
      </c>
      <c r="M205" s="2526">
        <v>0</v>
      </c>
      <c r="N205" s="2526">
        <v>319</v>
      </c>
      <c r="O205" s="2526">
        <v>0</v>
      </c>
      <c r="P205" s="2551">
        <f t="shared" si="59"/>
        <v>319</v>
      </c>
      <c r="Q205"/>
      <c r="R205"/>
      <c r="S205"/>
      <c r="T205"/>
    </row>
    <row r="206" spans="1:20">
      <c r="B206"/>
      <c r="C206" s="2504" t="s">
        <v>600</v>
      </c>
      <c r="D206" s="2126">
        <v>0</v>
      </c>
      <c r="E206" s="2126">
        <v>0</v>
      </c>
      <c r="F206" s="1711">
        <v>2</v>
      </c>
      <c r="G206" s="2551">
        <f t="shared" si="57"/>
        <v>2</v>
      </c>
      <c r="H206" s="2526">
        <v>0</v>
      </c>
      <c r="I206" s="2526">
        <v>3</v>
      </c>
      <c r="J206" s="2526">
        <v>3</v>
      </c>
      <c r="K206" s="2526"/>
      <c r="L206" s="2551">
        <f t="shared" si="58"/>
        <v>6</v>
      </c>
      <c r="M206" s="2526">
        <v>0</v>
      </c>
      <c r="N206" s="2526">
        <v>81</v>
      </c>
      <c r="O206" s="2526">
        <v>0</v>
      </c>
      <c r="P206" s="2551">
        <f t="shared" si="59"/>
        <v>81</v>
      </c>
      <c r="Q206"/>
      <c r="R206"/>
      <c r="S206"/>
      <c r="T206"/>
    </row>
    <row r="207" spans="1:20">
      <c r="B207"/>
      <c r="C207" s="2504" t="s">
        <v>601</v>
      </c>
      <c r="D207" s="2126">
        <v>0</v>
      </c>
      <c r="E207" s="2126">
        <v>0</v>
      </c>
      <c r="F207" s="1711">
        <v>18</v>
      </c>
      <c r="G207" s="2551">
        <f t="shared" si="57"/>
        <v>18</v>
      </c>
      <c r="H207" s="2526">
        <v>100</v>
      </c>
      <c r="I207" s="2526">
        <v>32</v>
      </c>
      <c r="J207" s="2526">
        <v>52</v>
      </c>
      <c r="K207" s="2526">
        <v>34</v>
      </c>
      <c r="L207" s="2551">
        <f t="shared" si="58"/>
        <v>218</v>
      </c>
      <c r="M207" s="2526">
        <v>0</v>
      </c>
      <c r="N207" s="2526">
        <v>401</v>
      </c>
      <c r="O207" s="2526">
        <v>8</v>
      </c>
      <c r="P207" s="2551">
        <f t="shared" si="59"/>
        <v>409</v>
      </c>
      <c r="Q207"/>
      <c r="R207"/>
      <c r="S207"/>
      <c r="T207"/>
    </row>
    <row r="208" spans="1:20">
      <c r="B208"/>
      <c r="C208" s="2537" t="s">
        <v>118</v>
      </c>
      <c r="D208" s="2552">
        <f t="shared" ref="D208:K208" si="60">SUM(D199:D207)</f>
        <v>0</v>
      </c>
      <c r="E208" s="2552">
        <f t="shared" si="60"/>
        <v>7</v>
      </c>
      <c r="F208" s="2552">
        <f t="shared" si="60"/>
        <v>57</v>
      </c>
      <c r="G208" s="2552">
        <f t="shared" si="60"/>
        <v>64</v>
      </c>
      <c r="H208" s="2552">
        <f t="shared" si="60"/>
        <v>104</v>
      </c>
      <c r="I208" s="2552">
        <f t="shared" si="60"/>
        <v>72</v>
      </c>
      <c r="J208" s="2552">
        <f t="shared" si="60"/>
        <v>105</v>
      </c>
      <c r="K208" s="2552">
        <f t="shared" si="60"/>
        <v>53</v>
      </c>
      <c r="L208" s="2551">
        <f t="shared" si="58"/>
        <v>334</v>
      </c>
      <c r="M208" s="2552">
        <f>SUM(M199:M207)</f>
        <v>0</v>
      </c>
      <c r="N208" s="2552">
        <f>SUM(N199:N207)</f>
        <v>1473</v>
      </c>
      <c r="O208" s="2552">
        <f>SUM(O199:O207)</f>
        <v>10</v>
      </c>
      <c r="P208" s="2552">
        <f>SUM(P199:P207)</f>
        <v>1483</v>
      </c>
      <c r="Q208"/>
      <c r="R208" s="14"/>
      <c r="S208"/>
      <c r="T208"/>
    </row>
    <row r="209" spans="1:20">
      <c r="B209">
        <v>15</v>
      </c>
      <c r="C209" s="2553" t="s">
        <v>192</v>
      </c>
      <c r="D209"/>
      <c r="E209"/>
      <c r="F209"/>
      <c r="G209"/>
      <c r="H209"/>
      <c r="I209"/>
      <c r="J209"/>
      <c r="K209"/>
      <c r="L209"/>
      <c r="M209"/>
      <c r="N209"/>
      <c r="O209"/>
      <c r="P209"/>
      <c r="Q209"/>
      <c r="R209"/>
      <c r="S209"/>
      <c r="T209"/>
    </row>
    <row r="210" spans="1:20">
      <c r="B210"/>
      <c r="C210" s="2537" t="s">
        <v>586</v>
      </c>
      <c r="D210" s="2537" t="s">
        <v>587</v>
      </c>
      <c r="E210" s="2537"/>
      <c r="F210" s="2537"/>
      <c r="G210" s="2537"/>
      <c r="H210" s="2537" t="s">
        <v>611</v>
      </c>
      <c r="I210" s="2537"/>
      <c r="J210" s="2537"/>
      <c r="K210" s="2537"/>
      <c r="L210" s="2537"/>
      <c r="M210" s="2537" t="s">
        <v>612</v>
      </c>
      <c r="N210" s="2537"/>
      <c r="O210" s="2537"/>
      <c r="P210" s="2537"/>
      <c r="Q210"/>
      <c r="R210"/>
      <c r="S210"/>
      <c r="T210"/>
    </row>
    <row r="211" spans="1:20">
      <c r="B211"/>
      <c r="C211" s="2537"/>
      <c r="D211" s="2537" t="s">
        <v>590</v>
      </c>
      <c r="E211" s="2537" t="s">
        <v>591</v>
      </c>
      <c r="F211" s="2537" t="s">
        <v>592</v>
      </c>
      <c r="G211" s="2537" t="s">
        <v>118</v>
      </c>
      <c r="H211" s="2537" t="s">
        <v>590</v>
      </c>
      <c r="I211" s="2537" t="s">
        <v>591</v>
      </c>
      <c r="J211" s="2537" t="s">
        <v>592</v>
      </c>
      <c r="K211" s="2537"/>
      <c r="L211" s="2537" t="s">
        <v>118</v>
      </c>
      <c r="M211" s="2537" t="s">
        <v>590</v>
      </c>
      <c r="N211" s="2537" t="s">
        <v>591</v>
      </c>
      <c r="O211" s="2537" t="s">
        <v>592</v>
      </c>
      <c r="P211" s="2537" t="s">
        <v>118</v>
      </c>
      <c r="Q211"/>
      <c r="R211"/>
      <c r="S211"/>
      <c r="T211"/>
    </row>
    <row r="212" spans="1:20">
      <c r="B212"/>
      <c r="C212" s="2550" t="s">
        <v>593</v>
      </c>
      <c r="D212" s="2530"/>
      <c r="E212" s="2530"/>
      <c r="F212" s="1789">
        <v>5</v>
      </c>
      <c r="G212" s="2551">
        <v>5</v>
      </c>
      <c r="H212" s="2526">
        <v>15</v>
      </c>
      <c r="I212" s="2526">
        <v>2</v>
      </c>
      <c r="J212" s="2526">
        <v>23</v>
      </c>
      <c r="K212"/>
      <c r="L212" s="2526">
        <v>40</v>
      </c>
      <c r="M212" s="2551">
        <v>14</v>
      </c>
      <c r="N212" s="2526">
        <v>33</v>
      </c>
      <c r="O212" s="2526"/>
      <c r="P212" s="2551">
        <f>+N212+M212+O212</f>
        <v>47</v>
      </c>
      <c r="Q212"/>
      <c r="R212"/>
      <c r="S212"/>
      <c r="T212"/>
    </row>
    <row r="213" spans="1:20">
      <c r="B213"/>
      <c r="C213" s="2504" t="s">
        <v>594</v>
      </c>
      <c r="D213" s="2526"/>
      <c r="E213" s="2526"/>
      <c r="F213" s="1789">
        <v>5</v>
      </c>
      <c r="G213" s="2551">
        <v>5</v>
      </c>
      <c r="H213" s="2526">
        <v>7</v>
      </c>
      <c r="I213" s="2526">
        <v>0</v>
      </c>
      <c r="J213" s="2526">
        <v>9</v>
      </c>
      <c r="K213"/>
      <c r="L213" s="2526">
        <v>16</v>
      </c>
      <c r="M213" s="2551">
        <v>5</v>
      </c>
      <c r="N213" s="2526">
        <v>45</v>
      </c>
      <c r="O213" s="2526"/>
      <c r="P213" s="2551">
        <f t="shared" ref="P213:P220" si="61">+N213+M213+O213</f>
        <v>50</v>
      </c>
      <c r="Q213"/>
      <c r="R213"/>
      <c r="S213"/>
      <c r="T213"/>
    </row>
    <row r="214" spans="1:20">
      <c r="B214"/>
      <c r="C214" s="2504" t="s">
        <v>595</v>
      </c>
      <c r="D214" s="2526"/>
      <c r="E214" s="2526"/>
      <c r="F214" s="1789">
        <v>5</v>
      </c>
      <c r="G214" s="2551">
        <v>5</v>
      </c>
      <c r="H214" s="2526">
        <v>8</v>
      </c>
      <c r="I214" s="2526">
        <v>0</v>
      </c>
      <c r="J214" s="2526">
        <v>9</v>
      </c>
      <c r="K214"/>
      <c r="L214" s="2526">
        <v>17</v>
      </c>
      <c r="M214" s="2551">
        <v>13</v>
      </c>
      <c r="N214" s="2526">
        <v>79</v>
      </c>
      <c r="O214" s="2526"/>
      <c r="P214" s="2551">
        <f t="shared" si="61"/>
        <v>92</v>
      </c>
      <c r="Q214"/>
      <c r="R214"/>
      <c r="S214"/>
      <c r="T214"/>
    </row>
    <row r="215" spans="1:20">
      <c r="B215"/>
      <c r="C215" s="2504" t="s">
        <v>596</v>
      </c>
      <c r="D215" s="2526"/>
      <c r="E215" s="2526"/>
      <c r="F215" s="1789">
        <v>6</v>
      </c>
      <c r="G215" s="2551">
        <v>6</v>
      </c>
      <c r="H215" s="2526">
        <v>14</v>
      </c>
      <c r="I215" s="2526">
        <v>3</v>
      </c>
      <c r="J215" s="2526">
        <v>26</v>
      </c>
      <c r="K215"/>
      <c r="L215" s="2526">
        <v>43</v>
      </c>
      <c r="M215" s="2551">
        <v>27</v>
      </c>
      <c r="N215" s="2526">
        <v>23</v>
      </c>
      <c r="O215" s="2526"/>
      <c r="P215" s="2551">
        <f t="shared" si="61"/>
        <v>50</v>
      </c>
      <c r="Q215"/>
      <c r="R215"/>
      <c r="S215"/>
      <c r="T215"/>
    </row>
    <row r="216" spans="1:20">
      <c r="A216" s="193">
        <v>14</v>
      </c>
      <c r="B216"/>
      <c r="C216" s="2504" t="s">
        <v>597</v>
      </c>
      <c r="D216" s="2526"/>
      <c r="E216" s="2526"/>
      <c r="F216" s="1789">
        <v>5</v>
      </c>
      <c r="G216" s="2551">
        <v>5</v>
      </c>
      <c r="H216" s="2526">
        <v>5</v>
      </c>
      <c r="I216" s="2526">
        <v>4</v>
      </c>
      <c r="J216" s="2526">
        <v>16</v>
      </c>
      <c r="K216"/>
      <c r="L216" s="2526">
        <v>25</v>
      </c>
      <c r="M216" s="2551">
        <v>14</v>
      </c>
      <c r="N216" s="2526">
        <v>51</v>
      </c>
      <c r="O216" s="2526"/>
      <c r="P216" s="2551">
        <f t="shared" si="61"/>
        <v>65</v>
      </c>
      <c r="Q216"/>
      <c r="R216"/>
      <c r="S216"/>
      <c r="T216"/>
    </row>
    <row r="217" spans="1:20">
      <c r="B217"/>
      <c r="C217" s="2504" t="s">
        <v>598</v>
      </c>
      <c r="D217" s="2526"/>
      <c r="E217" s="2526"/>
      <c r="F217" s="1789">
        <v>3</v>
      </c>
      <c r="G217" s="2551">
        <v>3</v>
      </c>
      <c r="H217" s="2526">
        <v>5</v>
      </c>
      <c r="I217" s="2526">
        <v>1</v>
      </c>
      <c r="J217" s="2526">
        <v>13</v>
      </c>
      <c r="K217"/>
      <c r="L217" s="2526">
        <v>19</v>
      </c>
      <c r="M217" s="2551">
        <v>7</v>
      </c>
      <c r="N217" s="2526">
        <v>16</v>
      </c>
      <c r="O217" s="2526"/>
      <c r="P217" s="2551">
        <f t="shared" si="61"/>
        <v>23</v>
      </c>
      <c r="Q217"/>
      <c r="R217"/>
      <c r="S217"/>
      <c r="T217"/>
    </row>
    <row r="218" spans="1:20">
      <c r="B218"/>
      <c r="C218" s="2504" t="s">
        <v>599</v>
      </c>
      <c r="D218" s="2526"/>
      <c r="E218" s="2526"/>
      <c r="F218" s="1789">
        <v>6</v>
      </c>
      <c r="G218" s="2551">
        <v>6</v>
      </c>
      <c r="H218" s="2526">
        <v>15</v>
      </c>
      <c r="I218" s="2526">
        <v>1</v>
      </c>
      <c r="J218" s="2526">
        <v>23</v>
      </c>
      <c r="K218"/>
      <c r="L218" s="2526">
        <v>39</v>
      </c>
      <c r="M218" s="2551">
        <v>37</v>
      </c>
      <c r="N218" s="2526">
        <v>55</v>
      </c>
      <c r="O218" s="2526"/>
      <c r="P218" s="2551">
        <f t="shared" si="61"/>
        <v>92</v>
      </c>
      <c r="Q218"/>
      <c r="R218"/>
      <c r="S218"/>
      <c r="T218"/>
    </row>
    <row r="219" spans="1:20">
      <c r="B219"/>
      <c r="C219" s="2504" t="s">
        <v>600</v>
      </c>
      <c r="D219" s="2526"/>
      <c r="E219" s="2526"/>
      <c r="F219" s="1789">
        <v>5</v>
      </c>
      <c r="G219" s="2551">
        <v>5</v>
      </c>
      <c r="H219" s="2526">
        <v>9</v>
      </c>
      <c r="I219" s="2526">
        <v>0</v>
      </c>
      <c r="J219" s="2526">
        <v>13</v>
      </c>
      <c r="K219"/>
      <c r="L219" s="2526">
        <v>22</v>
      </c>
      <c r="M219" s="2551">
        <v>15</v>
      </c>
      <c r="N219" s="2526">
        <v>52</v>
      </c>
      <c r="O219" s="2526"/>
      <c r="P219" s="2551">
        <f t="shared" si="61"/>
        <v>67</v>
      </c>
      <c r="Q219"/>
      <c r="R219"/>
      <c r="S219"/>
      <c r="T219"/>
    </row>
    <row r="220" spans="1:20">
      <c r="B220"/>
      <c r="C220" s="2504" t="s">
        <v>601</v>
      </c>
      <c r="D220" s="2526"/>
      <c r="E220" s="2526"/>
      <c r="F220" s="1789">
        <v>15</v>
      </c>
      <c r="G220" s="2551">
        <v>15</v>
      </c>
      <c r="H220" s="2526">
        <v>63</v>
      </c>
      <c r="I220" s="2526">
        <v>24</v>
      </c>
      <c r="J220" s="2526">
        <v>208</v>
      </c>
      <c r="K220"/>
      <c r="L220" s="2526">
        <v>295</v>
      </c>
      <c r="M220" s="2551">
        <v>86</v>
      </c>
      <c r="N220" s="2526">
        <v>110</v>
      </c>
      <c r="O220" s="2526"/>
      <c r="P220" s="2551">
        <f t="shared" si="61"/>
        <v>196</v>
      </c>
      <c r="Q220"/>
      <c r="R220"/>
      <c r="S220"/>
      <c r="T220"/>
    </row>
    <row r="221" spans="1:20">
      <c r="B221"/>
      <c r="C221" s="2537" t="s">
        <v>118</v>
      </c>
      <c r="D221" s="2552">
        <f t="shared" ref="D221:J221" si="62">SUM(D212:D220)</f>
        <v>0</v>
      </c>
      <c r="E221" s="2552">
        <f t="shared" si="62"/>
        <v>0</v>
      </c>
      <c r="F221" s="2552">
        <f t="shared" si="62"/>
        <v>55</v>
      </c>
      <c r="G221" s="2552">
        <f t="shared" si="62"/>
        <v>55</v>
      </c>
      <c r="H221" s="2552">
        <f t="shared" si="62"/>
        <v>141</v>
      </c>
      <c r="I221" s="2552">
        <f t="shared" si="62"/>
        <v>35</v>
      </c>
      <c r="J221" s="2552">
        <f t="shared" si="62"/>
        <v>340</v>
      </c>
      <c r="K221" s="2552"/>
      <c r="L221" s="2552">
        <f>SUM(L212:L220)</f>
        <v>516</v>
      </c>
      <c r="M221" s="2552">
        <f>SUM(M212:M220)</f>
        <v>218</v>
      </c>
      <c r="N221" s="2552">
        <f>SUM(N212:N220)</f>
        <v>464</v>
      </c>
      <c r="O221" s="2552">
        <f>SUM(O212:O220)</f>
        <v>0</v>
      </c>
      <c r="P221" s="2552">
        <f>SUM(P212:P220)</f>
        <v>682</v>
      </c>
      <c r="Q221"/>
      <c r="R221"/>
      <c r="S221"/>
      <c r="T221"/>
    </row>
    <row r="222" spans="1:20">
      <c r="B222">
        <v>16</v>
      </c>
      <c r="C222" s="2554" t="s">
        <v>194</v>
      </c>
      <c r="D222"/>
      <c r="E222"/>
      <c r="F222"/>
      <c r="G222"/>
      <c r="H222"/>
      <c r="I222"/>
      <c r="J222"/>
      <c r="K222"/>
      <c r="L222"/>
      <c r="M222"/>
      <c r="N222"/>
      <c r="O222"/>
      <c r="P222"/>
      <c r="Q222"/>
      <c r="R222"/>
      <c r="S222"/>
      <c r="T222"/>
    </row>
    <row r="223" spans="1:20">
      <c r="B223"/>
      <c r="C223" s="2537" t="s">
        <v>586</v>
      </c>
      <c r="D223" s="2537" t="s">
        <v>587</v>
      </c>
      <c r="E223" s="2537"/>
      <c r="F223" s="2537"/>
      <c r="G223" s="2537"/>
      <c r="H223" s="2537" t="s">
        <v>611</v>
      </c>
      <c r="I223" s="2537"/>
      <c r="J223" s="2537"/>
      <c r="K223" s="2537"/>
      <c r="L223" s="2537"/>
      <c r="M223" s="2537" t="s">
        <v>612</v>
      </c>
      <c r="N223" s="2537"/>
      <c r="O223" s="2537"/>
      <c r="P223" s="2537"/>
      <c r="Q223"/>
      <c r="R223"/>
      <c r="S223"/>
      <c r="T223"/>
    </row>
    <row r="224" spans="1:20">
      <c r="B224"/>
      <c r="C224" s="2537"/>
      <c r="D224" s="2537" t="s">
        <v>590</v>
      </c>
      <c r="E224" s="2537" t="s">
        <v>591</v>
      </c>
      <c r="F224" s="2537" t="s">
        <v>592</v>
      </c>
      <c r="G224" s="2537" t="s">
        <v>118</v>
      </c>
      <c r="H224" s="2537" t="s">
        <v>590</v>
      </c>
      <c r="I224" s="2537" t="s">
        <v>591</v>
      </c>
      <c r="J224" s="2537" t="s">
        <v>592</v>
      </c>
      <c r="K224" s="2537"/>
      <c r="L224" s="2537" t="s">
        <v>118</v>
      </c>
      <c r="M224" s="2537" t="s">
        <v>590</v>
      </c>
      <c r="N224" s="2537" t="s">
        <v>591</v>
      </c>
      <c r="O224" s="2537" t="s">
        <v>592</v>
      </c>
      <c r="P224" s="2537" t="s">
        <v>118</v>
      </c>
      <c r="Q224"/>
      <c r="R224"/>
      <c r="S224"/>
      <c r="T224"/>
    </row>
    <row r="225" spans="1:20">
      <c r="B225"/>
      <c r="C225" s="2550" t="s">
        <v>593</v>
      </c>
      <c r="D225" s="2555">
        <v>0</v>
      </c>
      <c r="E225" s="2555">
        <v>0</v>
      </c>
      <c r="F225" s="1789">
        <v>0</v>
      </c>
      <c r="G225" s="2551">
        <v>0</v>
      </c>
      <c r="H225" s="2526">
        <v>12</v>
      </c>
      <c r="I225" s="2126">
        <v>0</v>
      </c>
      <c r="J225" s="2126">
        <v>0</v>
      </c>
      <c r="K225" s="2126"/>
      <c r="L225" s="2551">
        <f>+H225+I225+J225</f>
        <v>12</v>
      </c>
      <c r="M225" s="2126">
        <v>0</v>
      </c>
      <c r="N225" s="2126">
        <v>0</v>
      </c>
      <c r="O225" s="2126">
        <v>0</v>
      </c>
      <c r="P225" s="2551">
        <v>0</v>
      </c>
      <c r="Q225"/>
      <c r="R225"/>
      <c r="S225"/>
      <c r="T225"/>
    </row>
    <row r="226" spans="1:20">
      <c r="B226"/>
      <c r="C226" s="2504" t="s">
        <v>594</v>
      </c>
      <c r="D226" s="2126">
        <v>0</v>
      </c>
      <c r="E226" s="2126">
        <v>0</v>
      </c>
      <c r="F226" s="1789">
        <v>0</v>
      </c>
      <c r="G226" s="2551">
        <v>0</v>
      </c>
      <c r="H226" s="2526">
        <v>8</v>
      </c>
      <c r="I226" s="2126">
        <v>0</v>
      </c>
      <c r="J226" s="2126">
        <v>0</v>
      </c>
      <c r="K226" s="2126"/>
      <c r="L226" s="2551">
        <f t="shared" ref="L226:L233" si="63">+H226+I226+J226</f>
        <v>8</v>
      </c>
      <c r="M226" s="2126">
        <v>0</v>
      </c>
      <c r="N226" s="2126">
        <v>0</v>
      </c>
      <c r="O226" s="2126">
        <v>0</v>
      </c>
      <c r="P226" s="2551">
        <v>0</v>
      </c>
      <c r="Q226"/>
      <c r="R226"/>
      <c r="S226"/>
      <c r="T226"/>
    </row>
    <row r="227" spans="1:20">
      <c r="B227"/>
      <c r="C227" s="2504" t="s">
        <v>595</v>
      </c>
      <c r="D227" s="2126">
        <v>0</v>
      </c>
      <c r="E227" s="2126">
        <v>0</v>
      </c>
      <c r="F227" s="1789">
        <v>0</v>
      </c>
      <c r="G227" s="2551">
        <v>0</v>
      </c>
      <c r="H227" s="2526">
        <v>7</v>
      </c>
      <c r="I227" s="2126">
        <v>0</v>
      </c>
      <c r="J227" s="2126">
        <v>0</v>
      </c>
      <c r="K227" s="2126"/>
      <c r="L227" s="2551">
        <f t="shared" si="63"/>
        <v>7</v>
      </c>
      <c r="M227" s="2126">
        <v>0</v>
      </c>
      <c r="N227" s="2126">
        <v>0</v>
      </c>
      <c r="O227" s="2126">
        <v>0</v>
      </c>
      <c r="P227" s="2551">
        <v>0</v>
      </c>
      <c r="Q227"/>
      <c r="R227"/>
      <c r="S227"/>
      <c r="T227"/>
    </row>
    <row r="228" spans="1:20">
      <c r="B228"/>
      <c r="C228" s="2504" t="s">
        <v>596</v>
      </c>
      <c r="D228" s="2126"/>
      <c r="E228" s="2126">
        <v>0</v>
      </c>
      <c r="F228" s="1789">
        <v>0</v>
      </c>
      <c r="G228" s="2551">
        <v>0</v>
      </c>
      <c r="H228" s="2526">
        <v>9</v>
      </c>
      <c r="I228" s="2126">
        <v>0</v>
      </c>
      <c r="J228" s="2126">
        <v>0</v>
      </c>
      <c r="K228" s="2126"/>
      <c r="L228" s="2551">
        <f t="shared" si="63"/>
        <v>9</v>
      </c>
      <c r="M228" s="2126">
        <v>0</v>
      </c>
      <c r="N228" s="2126">
        <v>0</v>
      </c>
      <c r="O228" s="2126">
        <v>0</v>
      </c>
      <c r="P228" s="2551">
        <v>0</v>
      </c>
      <c r="Q228"/>
      <c r="R228"/>
      <c r="S228"/>
      <c r="T228"/>
    </row>
    <row r="229" spans="1:20">
      <c r="B229"/>
      <c r="C229" s="2504" t="s">
        <v>597</v>
      </c>
      <c r="D229" s="2126">
        <v>0</v>
      </c>
      <c r="E229" s="2126">
        <v>0</v>
      </c>
      <c r="F229" s="1789">
        <v>0</v>
      </c>
      <c r="G229" s="2551">
        <v>0</v>
      </c>
      <c r="H229" s="2526">
        <v>6</v>
      </c>
      <c r="I229" s="2126">
        <v>0</v>
      </c>
      <c r="J229" s="2126">
        <v>0</v>
      </c>
      <c r="K229" s="2126"/>
      <c r="L229" s="2551">
        <f t="shared" si="63"/>
        <v>6</v>
      </c>
      <c r="M229" s="2126">
        <v>0</v>
      </c>
      <c r="N229" s="2126">
        <v>0</v>
      </c>
      <c r="O229" s="2126">
        <v>0</v>
      </c>
      <c r="P229" s="2551">
        <v>0</v>
      </c>
      <c r="Q229"/>
      <c r="R229"/>
      <c r="S229"/>
      <c r="T229"/>
    </row>
    <row r="230" spans="1:20">
      <c r="B230"/>
      <c r="C230" s="2504" t="s">
        <v>598</v>
      </c>
      <c r="D230" s="2126">
        <v>0</v>
      </c>
      <c r="E230" s="2126">
        <v>0</v>
      </c>
      <c r="F230" s="1789">
        <v>0</v>
      </c>
      <c r="G230" s="2551">
        <v>0</v>
      </c>
      <c r="H230" s="2526">
        <v>7</v>
      </c>
      <c r="I230" s="2126">
        <v>0</v>
      </c>
      <c r="J230" s="2126">
        <v>0</v>
      </c>
      <c r="K230" s="2126"/>
      <c r="L230" s="2551">
        <f t="shared" si="63"/>
        <v>7</v>
      </c>
      <c r="M230" s="2126">
        <v>0</v>
      </c>
      <c r="N230" s="2126">
        <v>0</v>
      </c>
      <c r="O230" s="2126">
        <v>0</v>
      </c>
      <c r="P230" s="2551">
        <v>0</v>
      </c>
      <c r="Q230"/>
      <c r="R230"/>
      <c r="S230"/>
      <c r="T230"/>
    </row>
    <row r="231" spans="1:20">
      <c r="A231" s="193">
        <v>15</v>
      </c>
      <c r="B231"/>
      <c r="C231" s="2504" t="s">
        <v>599</v>
      </c>
      <c r="D231" s="2126">
        <v>1</v>
      </c>
      <c r="E231" s="2126">
        <v>0</v>
      </c>
      <c r="F231" s="1789">
        <v>0</v>
      </c>
      <c r="G231" s="2551">
        <v>1</v>
      </c>
      <c r="H231" s="2526">
        <v>10</v>
      </c>
      <c r="I231" s="2126">
        <v>0</v>
      </c>
      <c r="J231" s="2126">
        <v>0</v>
      </c>
      <c r="K231" s="2126"/>
      <c r="L231" s="2551">
        <f t="shared" si="63"/>
        <v>10</v>
      </c>
      <c r="M231" s="2126">
        <v>12</v>
      </c>
      <c r="N231" s="2126">
        <v>0</v>
      </c>
      <c r="O231" s="2126">
        <v>0</v>
      </c>
      <c r="P231" s="2551">
        <v>12</v>
      </c>
      <c r="Q231"/>
      <c r="R231"/>
      <c r="S231"/>
      <c r="T231"/>
    </row>
    <row r="232" spans="1:20">
      <c r="B232"/>
      <c r="C232" s="2504" t="s">
        <v>600</v>
      </c>
      <c r="D232" s="2126">
        <v>0</v>
      </c>
      <c r="E232" s="2126">
        <v>0</v>
      </c>
      <c r="F232" s="1789">
        <v>0</v>
      </c>
      <c r="G232" s="2551">
        <v>0</v>
      </c>
      <c r="H232" s="2526">
        <v>8</v>
      </c>
      <c r="I232" s="2126">
        <v>0</v>
      </c>
      <c r="J232" s="2126">
        <v>0</v>
      </c>
      <c r="K232" s="2126"/>
      <c r="L232" s="2551">
        <f t="shared" si="63"/>
        <v>8</v>
      </c>
      <c r="M232" s="2126">
        <v>0</v>
      </c>
      <c r="N232" s="2126">
        <v>0</v>
      </c>
      <c r="O232" s="2126">
        <v>0</v>
      </c>
      <c r="P232" s="2551">
        <v>0</v>
      </c>
      <c r="Q232"/>
      <c r="R232"/>
      <c r="S232"/>
      <c r="T232"/>
    </row>
    <row r="233" spans="1:20">
      <c r="B233"/>
      <c r="C233" s="2504" t="s">
        <v>601</v>
      </c>
      <c r="D233" s="2126">
        <v>1</v>
      </c>
      <c r="E233" s="2126">
        <v>0</v>
      </c>
      <c r="F233" s="1789">
        <v>0</v>
      </c>
      <c r="G233" s="2551">
        <v>1</v>
      </c>
      <c r="H233" s="2526">
        <v>183</v>
      </c>
      <c r="I233" s="2126">
        <v>0</v>
      </c>
      <c r="J233" s="2126">
        <v>0</v>
      </c>
      <c r="K233" s="2126"/>
      <c r="L233" s="2551">
        <f t="shared" si="63"/>
        <v>183</v>
      </c>
      <c r="M233" s="2126">
        <v>0</v>
      </c>
      <c r="N233" s="2126">
        <v>0</v>
      </c>
      <c r="O233" s="2126">
        <v>0</v>
      </c>
      <c r="P233" s="2551">
        <v>0</v>
      </c>
      <c r="Q233"/>
      <c r="R233"/>
      <c r="S233"/>
      <c r="T233"/>
    </row>
    <row r="234" spans="1:20">
      <c r="B234"/>
      <c r="C234" s="2537" t="s">
        <v>118</v>
      </c>
      <c r="D234" s="2552">
        <v>2</v>
      </c>
      <c r="E234" s="2552">
        <v>0</v>
      </c>
      <c r="F234" s="2552">
        <v>0</v>
      </c>
      <c r="G234" s="2552">
        <v>2</v>
      </c>
      <c r="H234" s="2552">
        <v>250</v>
      </c>
      <c r="I234" s="2552">
        <v>0</v>
      </c>
      <c r="J234" s="2552">
        <v>0</v>
      </c>
      <c r="K234" s="2552"/>
      <c r="L234" s="2552">
        <f>SUM(L225:L233)</f>
        <v>250</v>
      </c>
      <c r="M234" s="2552">
        <v>12</v>
      </c>
      <c r="N234" s="2552">
        <v>0</v>
      </c>
      <c r="O234" s="2552">
        <v>0</v>
      </c>
      <c r="P234" s="2552">
        <v>12</v>
      </c>
      <c r="Q234"/>
      <c r="R234"/>
      <c r="S234"/>
      <c r="T234"/>
    </row>
    <row r="235" spans="1:20">
      <c r="B235">
        <v>17</v>
      </c>
      <c r="C235" s="2553" t="s">
        <v>195</v>
      </c>
      <c r="D235"/>
      <c r="E235"/>
      <c r="F235"/>
      <c r="G235"/>
      <c r="H235"/>
      <c r="I235"/>
      <c r="J235"/>
      <c r="K235"/>
      <c r="L235"/>
      <c r="M235"/>
      <c r="N235"/>
      <c r="O235"/>
      <c r="P235"/>
      <c r="Q235"/>
      <c r="R235"/>
      <c r="S235"/>
      <c r="T235"/>
    </row>
    <row r="236" spans="1:20">
      <c r="B236"/>
      <c r="C236" s="2537" t="s">
        <v>586</v>
      </c>
      <c r="D236" s="2537" t="s">
        <v>587</v>
      </c>
      <c r="E236" s="2537"/>
      <c r="F236" s="2537"/>
      <c r="G236" s="2537"/>
      <c r="H236" s="2537" t="s">
        <v>611</v>
      </c>
      <c r="I236" s="2537"/>
      <c r="J236" s="2537"/>
      <c r="K236" s="2537"/>
      <c r="L236" s="2537"/>
      <c r="M236" s="2537" t="s">
        <v>612</v>
      </c>
      <c r="N236" s="2537"/>
      <c r="O236" s="2537"/>
      <c r="P236" s="2537"/>
      <c r="Q236"/>
      <c r="R236"/>
      <c r="S236"/>
      <c r="T236"/>
    </row>
    <row r="237" spans="1:20">
      <c r="B237"/>
      <c r="C237" s="2537"/>
      <c r="D237" s="2537" t="s">
        <v>590</v>
      </c>
      <c r="E237" s="2537" t="s">
        <v>591</v>
      </c>
      <c r="F237" s="2537" t="s">
        <v>592</v>
      </c>
      <c r="G237" s="2537" t="s">
        <v>118</v>
      </c>
      <c r="H237" s="2537" t="s">
        <v>590</v>
      </c>
      <c r="I237" s="2537" t="s">
        <v>591</v>
      </c>
      <c r="J237" s="2537" t="s">
        <v>592</v>
      </c>
      <c r="K237" s="2537"/>
      <c r="L237" s="2537" t="s">
        <v>118</v>
      </c>
      <c r="M237" s="2537" t="s">
        <v>590</v>
      </c>
      <c r="N237" s="2537" t="s">
        <v>591</v>
      </c>
      <c r="O237" s="2537" t="s">
        <v>592</v>
      </c>
      <c r="P237" s="2537" t="s">
        <v>118</v>
      </c>
      <c r="Q237"/>
      <c r="R237"/>
      <c r="S237"/>
      <c r="T237"/>
    </row>
    <row r="238" spans="1:20" ht="15">
      <c r="B238"/>
      <c r="C238" s="2550" t="s">
        <v>593</v>
      </c>
      <c r="D238" s="2555"/>
      <c r="E238" s="2555"/>
      <c r="F238" s="2567">
        <v>12</v>
      </c>
      <c r="G238" s="2551">
        <v>12</v>
      </c>
      <c r="H238" s="2126"/>
      <c r="I238" s="2126"/>
      <c r="J238" s="2567">
        <v>139</v>
      </c>
      <c r="K238" s="2567"/>
      <c r="L238" s="2551">
        <v>139</v>
      </c>
      <c r="M238" s="2126"/>
      <c r="N238" s="2126"/>
      <c r="O238" s="2568">
        <v>1007</v>
      </c>
      <c r="P238" s="2551">
        <v>1007</v>
      </c>
      <c r="Q238"/>
      <c r="R238"/>
      <c r="S238"/>
      <c r="T238"/>
    </row>
    <row r="239" spans="1:20" ht="15">
      <c r="B239"/>
      <c r="C239" s="2504" t="s">
        <v>594</v>
      </c>
      <c r="D239" s="2126"/>
      <c r="E239" s="2126"/>
      <c r="F239" s="2567">
        <v>7</v>
      </c>
      <c r="G239" s="2551">
        <v>7</v>
      </c>
      <c r="H239" s="2126"/>
      <c r="I239" s="2126"/>
      <c r="J239" s="2567">
        <v>47</v>
      </c>
      <c r="K239" s="2567"/>
      <c r="L239" s="2551">
        <v>47</v>
      </c>
      <c r="M239" s="2126"/>
      <c r="N239" s="2126"/>
      <c r="O239" s="2568">
        <v>371</v>
      </c>
      <c r="P239" s="2551">
        <v>371</v>
      </c>
      <c r="Q239"/>
      <c r="R239"/>
      <c r="S239"/>
      <c r="T239"/>
    </row>
    <row r="240" spans="1:20" ht="15">
      <c r="B240"/>
      <c r="C240" s="2504" t="s">
        <v>595</v>
      </c>
      <c r="D240" s="2126"/>
      <c r="E240" s="2126"/>
      <c r="F240" s="2567">
        <v>10</v>
      </c>
      <c r="G240" s="2551">
        <v>10</v>
      </c>
      <c r="H240" s="2126"/>
      <c r="I240" s="2126"/>
      <c r="J240" s="2567">
        <v>95</v>
      </c>
      <c r="K240" s="2567"/>
      <c r="L240" s="2551">
        <v>95</v>
      </c>
      <c r="M240" s="2126"/>
      <c r="N240" s="2126"/>
      <c r="O240" s="2568">
        <v>465</v>
      </c>
      <c r="P240" s="2551">
        <v>465</v>
      </c>
      <c r="Q240"/>
      <c r="R240"/>
      <c r="S240"/>
      <c r="T240"/>
    </row>
    <row r="241" spans="1:20" ht="15">
      <c r="B241"/>
      <c r="C241" s="2504" t="s">
        <v>596</v>
      </c>
      <c r="D241" s="2126"/>
      <c r="E241" s="2126"/>
      <c r="F241" s="2567">
        <v>15</v>
      </c>
      <c r="G241" s="2551">
        <v>15</v>
      </c>
      <c r="H241" s="2126"/>
      <c r="I241" s="2126"/>
      <c r="J241" s="2567">
        <v>114</v>
      </c>
      <c r="K241" s="2567"/>
      <c r="L241" s="2551">
        <v>114</v>
      </c>
      <c r="M241" s="2126"/>
      <c r="N241" s="2126"/>
      <c r="O241" s="2568">
        <v>1346</v>
      </c>
      <c r="P241" s="2551">
        <v>1346</v>
      </c>
      <c r="Q241"/>
      <c r="R241"/>
      <c r="S241"/>
      <c r="T241"/>
    </row>
    <row r="242" spans="1:20" ht="15">
      <c r="B242"/>
      <c r="C242" s="2504" t="s">
        <v>597</v>
      </c>
      <c r="D242" s="2126"/>
      <c r="E242" s="2126"/>
      <c r="F242" s="2567">
        <v>7</v>
      </c>
      <c r="G242" s="2551">
        <v>7</v>
      </c>
      <c r="H242" s="2126"/>
      <c r="I242" s="2126"/>
      <c r="J242" s="2567">
        <v>42</v>
      </c>
      <c r="K242" s="2567"/>
      <c r="L242" s="2551">
        <v>42</v>
      </c>
      <c r="M242" s="2126"/>
      <c r="N242" s="2126"/>
      <c r="O242" s="2568">
        <v>659</v>
      </c>
      <c r="P242" s="2551">
        <v>659</v>
      </c>
      <c r="Q242"/>
      <c r="R242"/>
      <c r="S242"/>
      <c r="T242"/>
    </row>
    <row r="243" spans="1:20" ht="15">
      <c r="B243"/>
      <c r="C243" s="2504" t="s">
        <v>598</v>
      </c>
      <c r="D243" s="2126"/>
      <c r="E243" s="2126"/>
      <c r="F243" s="2567">
        <v>7</v>
      </c>
      <c r="G243" s="2551">
        <v>6</v>
      </c>
      <c r="H243" s="2126"/>
      <c r="I243" s="2126"/>
      <c r="J243" s="2567">
        <v>65</v>
      </c>
      <c r="K243" s="2567"/>
      <c r="L243" s="2551">
        <v>65</v>
      </c>
      <c r="M243" s="2126"/>
      <c r="N243" s="2126"/>
      <c r="O243" s="2568">
        <v>738</v>
      </c>
      <c r="P243" s="2551">
        <v>738</v>
      </c>
      <c r="Q243"/>
      <c r="R243"/>
      <c r="S243"/>
      <c r="T243"/>
    </row>
    <row r="244" spans="1:20" ht="15">
      <c r="B244"/>
      <c r="C244" s="2504" t="s">
        <v>599</v>
      </c>
      <c r="D244" s="2126"/>
      <c r="E244" s="2126"/>
      <c r="F244" s="2567">
        <v>17</v>
      </c>
      <c r="G244" s="2551">
        <v>18</v>
      </c>
      <c r="H244" s="2126"/>
      <c r="I244" s="2126"/>
      <c r="J244" s="2567">
        <v>172</v>
      </c>
      <c r="K244" s="2567"/>
      <c r="L244" s="2551">
        <v>172</v>
      </c>
      <c r="M244" s="2126"/>
      <c r="N244" s="2126"/>
      <c r="O244" s="2568">
        <v>1326</v>
      </c>
      <c r="P244" s="2551">
        <v>1326</v>
      </c>
      <c r="Q244"/>
      <c r="R244"/>
      <c r="S244"/>
      <c r="T244"/>
    </row>
    <row r="245" spans="1:20" ht="15">
      <c r="B245"/>
      <c r="C245" s="2504" t="s">
        <v>600</v>
      </c>
      <c r="D245" s="2126"/>
      <c r="E245" s="2126"/>
      <c r="F245" s="2567">
        <v>7</v>
      </c>
      <c r="G245" s="2551">
        <v>7</v>
      </c>
      <c r="H245" s="2126"/>
      <c r="I245" s="2126"/>
      <c r="J245" s="2567">
        <v>52</v>
      </c>
      <c r="K245" s="2567"/>
      <c r="L245" s="2551">
        <v>52</v>
      </c>
      <c r="M245" s="2126"/>
      <c r="N245" s="2126"/>
      <c r="O245" s="2568">
        <v>661</v>
      </c>
      <c r="P245" s="2551">
        <v>661</v>
      </c>
      <c r="Q245"/>
      <c r="R245"/>
      <c r="S245"/>
      <c r="T245"/>
    </row>
    <row r="246" spans="1:20" ht="15">
      <c r="A246" s="193">
        <v>16</v>
      </c>
      <c r="B246"/>
      <c r="C246" s="2504" t="s">
        <v>601</v>
      </c>
      <c r="D246" s="2126"/>
      <c r="E246" s="2126"/>
      <c r="F246" s="2568">
        <v>33</v>
      </c>
      <c r="G246" s="2551">
        <v>33</v>
      </c>
      <c r="H246" s="2126"/>
      <c r="I246" s="2126"/>
      <c r="J246" s="2567">
        <v>1623</v>
      </c>
      <c r="K246" s="2567"/>
      <c r="L246" s="2551">
        <v>1623</v>
      </c>
      <c r="M246" s="2126"/>
      <c r="N246" s="2126"/>
      <c r="O246" s="2568">
        <v>6478</v>
      </c>
      <c r="P246" s="2551">
        <v>6478</v>
      </c>
      <c r="Q246"/>
      <c r="R246"/>
      <c r="S246"/>
      <c r="T246"/>
    </row>
    <row r="247" spans="1:20">
      <c r="B247"/>
      <c r="C247" s="2537" t="s">
        <v>118</v>
      </c>
      <c r="D247" s="2552">
        <f t="shared" ref="D247:J247" si="64">SUM(D238:D246)</f>
        <v>0</v>
      </c>
      <c r="E247" s="2552">
        <f t="shared" si="64"/>
        <v>0</v>
      </c>
      <c r="F247" s="2552">
        <f t="shared" si="64"/>
        <v>115</v>
      </c>
      <c r="G247" s="2552">
        <f t="shared" si="64"/>
        <v>115</v>
      </c>
      <c r="H247" s="2552">
        <f t="shared" si="64"/>
        <v>0</v>
      </c>
      <c r="I247" s="2552">
        <f t="shared" si="64"/>
        <v>0</v>
      </c>
      <c r="J247" s="2552">
        <f t="shared" si="64"/>
        <v>2349</v>
      </c>
      <c r="K247" s="2552"/>
      <c r="L247" s="2552">
        <f>SUM(L238:L246)</f>
        <v>2349</v>
      </c>
      <c r="M247" s="2552">
        <f>SUM(M238:M246)</f>
        <v>0</v>
      </c>
      <c r="N247" s="2552">
        <f>SUM(N238:N246)</f>
        <v>0</v>
      </c>
      <c r="O247" s="2552">
        <f>SUM(O238:O246)</f>
        <v>13051</v>
      </c>
      <c r="P247" s="2552">
        <f>SUM(P238:P246)</f>
        <v>13051</v>
      </c>
      <c r="Q247"/>
      <c r="R247"/>
      <c r="S247"/>
      <c r="T247"/>
    </row>
    <row r="248" spans="1:20">
      <c r="B248">
        <v>18</v>
      </c>
      <c r="C248" s="2553" t="s">
        <v>196</v>
      </c>
      <c r="D248"/>
      <c r="E248"/>
      <c r="F248"/>
      <c r="G248"/>
      <c r="H248"/>
      <c r="I248"/>
      <c r="J248"/>
      <c r="K248"/>
      <c r="L248"/>
      <c r="M248"/>
      <c r="N248"/>
      <c r="O248"/>
      <c r="P248"/>
      <c r="Q248"/>
      <c r="R248"/>
      <c r="S248"/>
      <c r="T248"/>
    </row>
    <row r="249" spans="1:20">
      <c r="B249"/>
      <c r="C249" s="2537" t="s">
        <v>586</v>
      </c>
      <c r="D249" s="2537" t="s">
        <v>587</v>
      </c>
      <c r="E249" s="2537"/>
      <c r="F249" s="2537"/>
      <c r="G249" s="2537"/>
      <c r="H249" s="2537" t="s">
        <v>611</v>
      </c>
      <c r="I249" s="2537"/>
      <c r="J249" s="2537"/>
      <c r="K249" s="2537"/>
      <c r="L249" s="2537"/>
      <c r="M249" s="2537" t="s">
        <v>612</v>
      </c>
      <c r="N249" s="2537"/>
      <c r="O249" s="2537"/>
      <c r="P249" s="2537"/>
      <c r="Q249"/>
      <c r="R249"/>
      <c r="S249"/>
      <c r="T249"/>
    </row>
    <row r="250" spans="1:20">
      <c r="B250"/>
      <c r="C250" s="2537"/>
      <c r="D250" s="2537" t="s">
        <v>590</v>
      </c>
      <c r="E250" s="2537" t="s">
        <v>591</v>
      </c>
      <c r="F250" s="2537" t="s">
        <v>592</v>
      </c>
      <c r="G250" s="2537" t="s">
        <v>118</v>
      </c>
      <c r="H250" s="2537" t="s">
        <v>590</v>
      </c>
      <c r="I250" s="2537" t="s">
        <v>591</v>
      </c>
      <c r="J250" s="2537" t="s">
        <v>592</v>
      </c>
      <c r="K250" s="2537"/>
      <c r="L250" s="2537" t="s">
        <v>118</v>
      </c>
      <c r="M250" s="2537" t="s">
        <v>590</v>
      </c>
      <c r="N250" s="2537" t="s">
        <v>591</v>
      </c>
      <c r="O250" s="2537" t="s">
        <v>592</v>
      </c>
      <c r="P250" s="2537" t="s">
        <v>118</v>
      </c>
      <c r="Q250"/>
      <c r="R250"/>
      <c r="S250"/>
      <c r="T250"/>
    </row>
    <row r="251" spans="1:20">
      <c r="B251"/>
      <c r="C251" s="2550" t="s">
        <v>593</v>
      </c>
      <c r="D251" s="2555"/>
      <c r="E251" s="2555"/>
      <c r="F251" s="2504">
        <v>3</v>
      </c>
      <c r="G251" s="2551">
        <f>+D251+E251+F251</f>
        <v>3</v>
      </c>
      <c r="H251" s="2126"/>
      <c r="I251" s="2126"/>
      <c r="J251" s="2564">
        <v>23</v>
      </c>
      <c r="K251" s="2526"/>
      <c r="L251" s="2551">
        <f>+H251+I251+J251</f>
        <v>23</v>
      </c>
      <c r="M251" s="2126"/>
      <c r="N251" s="2126"/>
      <c r="O251" s="2526">
        <v>149</v>
      </c>
      <c r="P251" s="2551">
        <f>+M251+N251+O251</f>
        <v>149</v>
      </c>
      <c r="Q251"/>
      <c r="R251"/>
      <c r="S251"/>
      <c r="T251"/>
    </row>
    <row r="252" spans="1:20">
      <c r="B252"/>
      <c r="C252" s="2504" t="s">
        <v>594</v>
      </c>
      <c r="D252" s="2126"/>
      <c r="E252" s="2126"/>
      <c r="F252" s="2504">
        <v>2</v>
      </c>
      <c r="G252" s="2551">
        <f t="shared" ref="G252:G259" si="65">+D252+E252+F252</f>
        <v>2</v>
      </c>
      <c r="H252" s="2126"/>
      <c r="I252" s="2126"/>
      <c r="J252" s="2564">
        <v>9</v>
      </c>
      <c r="K252" s="2526"/>
      <c r="L252" s="2551">
        <f t="shared" ref="L252:L259" si="66">+H252+I252+J252</f>
        <v>9</v>
      </c>
      <c r="M252" s="2126"/>
      <c r="N252" s="2126"/>
      <c r="O252" s="2526">
        <v>28</v>
      </c>
      <c r="P252" s="2551">
        <f t="shared" ref="P252:P259" si="67">+M252+N252+O252</f>
        <v>28</v>
      </c>
      <c r="Q252"/>
      <c r="R252"/>
      <c r="S252"/>
      <c r="T252"/>
    </row>
    <row r="253" spans="1:20">
      <c r="B253"/>
      <c r="C253" s="2504" t="s">
        <v>595</v>
      </c>
      <c r="D253" s="2126"/>
      <c r="E253" s="2126"/>
      <c r="F253" s="2504">
        <v>2</v>
      </c>
      <c r="G253" s="2551">
        <f t="shared" si="65"/>
        <v>2</v>
      </c>
      <c r="H253" s="2126"/>
      <c r="I253" s="2126"/>
      <c r="J253" s="2564">
        <v>18</v>
      </c>
      <c r="K253" s="2526"/>
      <c r="L253" s="2551">
        <f t="shared" si="66"/>
        <v>18</v>
      </c>
      <c r="M253" s="2126"/>
      <c r="N253" s="2126"/>
      <c r="O253" s="2526">
        <v>106</v>
      </c>
      <c r="P253" s="2551">
        <f t="shared" si="67"/>
        <v>106</v>
      </c>
      <c r="Q253"/>
      <c r="R253"/>
      <c r="S253"/>
      <c r="T253"/>
    </row>
    <row r="254" spans="1:20">
      <c r="B254"/>
      <c r="C254" s="2504" t="s">
        <v>596</v>
      </c>
      <c r="D254" s="2126"/>
      <c r="E254" s="2126"/>
      <c r="F254" s="2504">
        <v>8</v>
      </c>
      <c r="G254" s="2551">
        <f t="shared" si="65"/>
        <v>8</v>
      </c>
      <c r="H254" s="2126"/>
      <c r="I254" s="2126"/>
      <c r="J254" s="2564">
        <v>35</v>
      </c>
      <c r="K254" s="2526"/>
      <c r="L254" s="2551">
        <f t="shared" si="66"/>
        <v>35</v>
      </c>
      <c r="M254" s="2126"/>
      <c r="N254" s="2126"/>
      <c r="O254" s="2526">
        <v>210</v>
      </c>
      <c r="P254" s="2551">
        <f t="shared" si="67"/>
        <v>210</v>
      </c>
      <c r="Q254"/>
      <c r="R254"/>
      <c r="S254"/>
      <c r="T254"/>
    </row>
    <row r="255" spans="1:20">
      <c r="B255"/>
      <c r="C255" s="2504" t="s">
        <v>597</v>
      </c>
      <c r="D255" s="2126"/>
      <c r="E255" s="2126"/>
      <c r="F255" s="2504">
        <v>2</v>
      </c>
      <c r="G255" s="2551">
        <f t="shared" si="65"/>
        <v>2</v>
      </c>
      <c r="H255" s="2126"/>
      <c r="I255" s="2126"/>
      <c r="J255" s="2564">
        <v>9</v>
      </c>
      <c r="K255" s="2526"/>
      <c r="L255" s="2551">
        <f t="shared" si="66"/>
        <v>9</v>
      </c>
      <c r="M255" s="2126"/>
      <c r="N255" s="2126"/>
      <c r="O255" s="2526"/>
      <c r="P255" s="2551">
        <f t="shared" si="67"/>
        <v>0</v>
      </c>
      <c r="Q255"/>
      <c r="R255"/>
      <c r="S255"/>
      <c r="T255"/>
    </row>
    <row r="256" spans="1:20">
      <c r="B256"/>
      <c r="C256" s="2504" t="s">
        <v>598</v>
      </c>
      <c r="D256" s="2126"/>
      <c r="E256" s="2126"/>
      <c r="F256" s="2504">
        <v>6</v>
      </c>
      <c r="G256" s="2551">
        <f t="shared" si="65"/>
        <v>6</v>
      </c>
      <c r="H256" s="2126"/>
      <c r="I256" s="2126"/>
      <c r="J256" s="2564">
        <v>27</v>
      </c>
      <c r="K256" s="2526"/>
      <c r="L256" s="2551">
        <f t="shared" si="66"/>
        <v>27</v>
      </c>
      <c r="M256" s="2126"/>
      <c r="N256" s="2126"/>
      <c r="O256" s="2526">
        <v>158</v>
      </c>
      <c r="P256" s="2551">
        <f t="shared" si="67"/>
        <v>158</v>
      </c>
      <c r="Q256"/>
      <c r="R256"/>
      <c r="S256"/>
      <c r="T256"/>
    </row>
    <row r="257" spans="1:20">
      <c r="B257"/>
      <c r="C257" s="2504" t="s">
        <v>599</v>
      </c>
      <c r="D257" s="2126"/>
      <c r="E257" s="2126"/>
      <c r="F257" s="2504">
        <v>7</v>
      </c>
      <c r="G257" s="2551">
        <f t="shared" si="65"/>
        <v>7</v>
      </c>
      <c r="H257" s="2126"/>
      <c r="I257" s="2126"/>
      <c r="J257" s="2564">
        <v>40</v>
      </c>
      <c r="K257" s="2526"/>
      <c r="L257" s="2551">
        <f t="shared" si="66"/>
        <v>40</v>
      </c>
      <c r="M257" s="2126"/>
      <c r="N257" s="2126"/>
      <c r="O257" s="2526">
        <v>271</v>
      </c>
      <c r="P257" s="2551">
        <f t="shared" si="67"/>
        <v>271</v>
      </c>
      <c r="Q257"/>
      <c r="R257"/>
      <c r="S257"/>
      <c r="T257"/>
    </row>
    <row r="258" spans="1:20">
      <c r="B258"/>
      <c r="C258" s="2504" t="s">
        <v>600</v>
      </c>
      <c r="D258" s="2126"/>
      <c r="E258" s="2126"/>
      <c r="F258" s="2504">
        <v>2</v>
      </c>
      <c r="G258" s="2551">
        <f t="shared" si="65"/>
        <v>2</v>
      </c>
      <c r="H258" s="2126"/>
      <c r="I258" s="2126"/>
      <c r="J258" s="2564">
        <v>8</v>
      </c>
      <c r="K258" s="2526"/>
      <c r="L258" s="2551">
        <f t="shared" si="66"/>
        <v>8</v>
      </c>
      <c r="M258" s="2126"/>
      <c r="N258" s="2126"/>
      <c r="O258" s="2526">
        <v>35</v>
      </c>
      <c r="P258" s="2551">
        <f t="shared" si="67"/>
        <v>35</v>
      </c>
      <c r="Q258"/>
      <c r="R258"/>
      <c r="S258"/>
      <c r="T258"/>
    </row>
    <row r="259" spans="1:20">
      <c r="B259"/>
      <c r="C259" s="2504" t="s">
        <v>601</v>
      </c>
      <c r="D259" s="2126"/>
      <c r="E259" s="2126"/>
      <c r="F259" s="2504">
        <v>8</v>
      </c>
      <c r="G259" s="2551">
        <f t="shared" si="65"/>
        <v>8</v>
      </c>
      <c r="H259" s="2126"/>
      <c r="I259" s="2126"/>
      <c r="J259" s="2564">
        <v>160</v>
      </c>
      <c r="K259" s="2526"/>
      <c r="L259" s="2551">
        <f t="shared" si="66"/>
        <v>160</v>
      </c>
      <c r="M259" s="2126"/>
      <c r="N259" s="2126"/>
      <c r="O259" s="2526">
        <v>216</v>
      </c>
      <c r="P259" s="2551">
        <f t="shared" si="67"/>
        <v>216</v>
      </c>
      <c r="Q259"/>
      <c r="R259"/>
      <c r="S259"/>
      <c r="T259"/>
    </row>
    <row r="260" spans="1:20">
      <c r="B260"/>
      <c r="C260" s="2537" t="s">
        <v>118</v>
      </c>
      <c r="D260" s="2552">
        <f t="shared" ref="D260:J260" si="68">SUM(D251:D259)</f>
        <v>0</v>
      </c>
      <c r="E260" s="2552">
        <f t="shared" si="68"/>
        <v>0</v>
      </c>
      <c r="F260" s="2552">
        <f t="shared" si="68"/>
        <v>40</v>
      </c>
      <c r="G260" s="2552">
        <f t="shared" si="68"/>
        <v>40</v>
      </c>
      <c r="H260" s="2552">
        <f t="shared" si="68"/>
        <v>0</v>
      </c>
      <c r="I260" s="2552">
        <f t="shared" si="68"/>
        <v>0</v>
      </c>
      <c r="J260" s="2552">
        <f t="shared" si="68"/>
        <v>329</v>
      </c>
      <c r="K260" s="2552"/>
      <c r="L260" s="2552">
        <f>SUM(L251:L259)</f>
        <v>329</v>
      </c>
      <c r="M260" s="2552">
        <f>SUM(M251:M259)</f>
        <v>0</v>
      </c>
      <c r="N260" s="2552">
        <f>SUM(N251:N259)</f>
        <v>0</v>
      </c>
      <c r="O260" s="2552">
        <f>SUM(O251:O259)</f>
        <v>1173</v>
      </c>
      <c r="P260" s="2552">
        <f>SUM(P251:P259)</f>
        <v>1173</v>
      </c>
      <c r="Q260"/>
      <c r="R260"/>
      <c r="S260"/>
      <c r="T260"/>
    </row>
    <row r="261" spans="1:20">
      <c r="A261" s="193">
        <v>17</v>
      </c>
      <c r="B261">
        <v>19</v>
      </c>
      <c r="C261" s="2549" t="s">
        <v>197</v>
      </c>
      <c r="D261" s="58"/>
      <c r="E261" s="58"/>
      <c r="F261" s="58"/>
      <c r="G261" s="58"/>
      <c r="H261" s="58"/>
      <c r="I261" s="58"/>
      <c r="J261" s="58"/>
      <c r="K261" s="58"/>
      <c r="L261" s="58"/>
      <c r="M261" s="58"/>
      <c r="N261" s="58"/>
      <c r="O261" s="58"/>
      <c r="P261"/>
      <c r="Q261"/>
      <c r="R261"/>
      <c r="S261"/>
      <c r="T261"/>
    </row>
    <row r="262" spans="1:20">
      <c r="B262"/>
      <c r="C262" s="2537" t="s">
        <v>586</v>
      </c>
      <c r="D262" s="2537" t="s">
        <v>587</v>
      </c>
      <c r="E262" s="2537"/>
      <c r="F262" s="2537"/>
      <c r="G262" s="2537"/>
      <c r="H262" s="2537" t="s">
        <v>611</v>
      </c>
      <c r="I262" s="2537"/>
      <c r="J262" s="2537"/>
      <c r="K262" s="2537"/>
      <c r="L262" s="2537"/>
      <c r="M262" s="2537" t="s">
        <v>612</v>
      </c>
      <c r="N262" s="2537"/>
      <c r="O262" s="2537"/>
      <c r="P262" s="2537"/>
      <c r="Q262"/>
      <c r="R262"/>
      <c r="S262"/>
      <c r="T262"/>
    </row>
    <row r="263" spans="1:20">
      <c r="B263"/>
      <c r="C263" s="2537"/>
      <c r="D263" s="2537" t="s">
        <v>590</v>
      </c>
      <c r="E263" s="2537" t="s">
        <v>591</v>
      </c>
      <c r="F263" s="2537" t="s">
        <v>592</v>
      </c>
      <c r="G263" s="2537" t="s">
        <v>118</v>
      </c>
      <c r="H263" s="2537" t="s">
        <v>590</v>
      </c>
      <c r="I263" s="2537" t="s">
        <v>591</v>
      </c>
      <c r="J263" s="2537" t="s">
        <v>592</v>
      </c>
      <c r="K263" s="2537"/>
      <c r="L263" s="2537" t="s">
        <v>118</v>
      </c>
      <c r="M263" s="2537" t="s">
        <v>590</v>
      </c>
      <c r="N263" s="2537" t="s">
        <v>591</v>
      </c>
      <c r="O263" s="2537" t="s">
        <v>592</v>
      </c>
      <c r="P263" s="2537" t="s">
        <v>118</v>
      </c>
      <c r="Q263"/>
      <c r="R263"/>
      <c r="S263"/>
      <c r="T263"/>
    </row>
    <row r="264" spans="1:20">
      <c r="B264"/>
      <c r="C264" s="2550" t="s">
        <v>593</v>
      </c>
      <c r="D264" s="2530">
        <v>1</v>
      </c>
      <c r="E264" s="2530">
        <v>19</v>
      </c>
      <c r="F264" s="2504">
        <v>5</v>
      </c>
      <c r="G264" s="2551">
        <f>+D264+E264+F264</f>
        <v>25</v>
      </c>
      <c r="H264" s="2526">
        <v>50</v>
      </c>
      <c r="I264" s="2526">
        <v>31</v>
      </c>
      <c r="J264" s="2526">
        <v>0</v>
      </c>
      <c r="K264" s="2526"/>
      <c r="L264" s="2551">
        <f>+H264+I264+J264</f>
        <v>81</v>
      </c>
      <c r="M264" s="2526">
        <v>115</v>
      </c>
      <c r="N264" s="2526">
        <v>1011</v>
      </c>
      <c r="O264" s="2526">
        <v>0</v>
      </c>
      <c r="P264" s="2551">
        <f>+M264+N264+O264</f>
        <v>1126</v>
      </c>
      <c r="Q264"/>
      <c r="R264"/>
      <c r="S264"/>
      <c r="T264"/>
    </row>
    <row r="265" spans="1:20">
      <c r="B265"/>
      <c r="C265" s="2504" t="s">
        <v>594</v>
      </c>
      <c r="D265" s="2526">
        <v>0</v>
      </c>
      <c r="E265" s="2526">
        <v>5</v>
      </c>
      <c r="F265" s="2504">
        <v>0</v>
      </c>
      <c r="G265" s="2551">
        <f t="shared" ref="G265:G272" si="69">+D265+E265+F265</f>
        <v>5</v>
      </c>
      <c r="H265" s="2526">
        <v>3</v>
      </c>
      <c r="I265" s="2526">
        <v>11</v>
      </c>
      <c r="J265" s="2526">
        <v>0</v>
      </c>
      <c r="K265" s="2526"/>
      <c r="L265" s="2551">
        <f t="shared" ref="L265:L272" si="70">+H265+I265+J265</f>
        <v>14</v>
      </c>
      <c r="M265" s="2526"/>
      <c r="N265" s="2526">
        <v>180</v>
      </c>
      <c r="O265" s="2526">
        <v>0</v>
      </c>
      <c r="P265" s="2551">
        <f t="shared" ref="P265:P272" si="71">+M265+N265+O265</f>
        <v>180</v>
      </c>
      <c r="Q265"/>
      <c r="R265"/>
      <c r="S265"/>
      <c r="T265"/>
    </row>
    <row r="266" spans="1:20">
      <c r="B266"/>
      <c r="C266" s="2504" t="s">
        <v>595</v>
      </c>
      <c r="D266" s="2526">
        <v>0</v>
      </c>
      <c r="E266" s="2526">
        <v>10</v>
      </c>
      <c r="F266" s="2504">
        <v>7</v>
      </c>
      <c r="G266" s="2551">
        <f t="shared" si="69"/>
        <v>17</v>
      </c>
      <c r="H266" s="2526">
        <v>40</v>
      </c>
      <c r="I266" s="2526">
        <v>25</v>
      </c>
      <c r="J266" s="2526">
        <v>0</v>
      </c>
      <c r="K266" s="2526"/>
      <c r="L266" s="2551">
        <f t="shared" si="70"/>
        <v>65</v>
      </c>
      <c r="M266" s="2526">
        <v>87</v>
      </c>
      <c r="N266" s="2526">
        <v>507</v>
      </c>
      <c r="O266" s="2526">
        <v>0</v>
      </c>
      <c r="P266" s="2551">
        <f t="shared" si="71"/>
        <v>594</v>
      </c>
      <c r="Q266"/>
      <c r="R266"/>
      <c r="S266"/>
      <c r="T266"/>
    </row>
    <row r="267" spans="1:20">
      <c r="B267"/>
      <c r="C267" s="2504" t="s">
        <v>596</v>
      </c>
      <c r="D267" s="2526">
        <v>0</v>
      </c>
      <c r="E267" s="2526">
        <v>0</v>
      </c>
      <c r="F267" s="2504">
        <v>8</v>
      </c>
      <c r="G267" s="2551">
        <f t="shared" si="69"/>
        <v>8</v>
      </c>
      <c r="H267" s="2526">
        <v>5</v>
      </c>
      <c r="I267" s="2526">
        <v>10</v>
      </c>
      <c r="J267" s="2526">
        <v>0</v>
      </c>
      <c r="K267" s="2526"/>
      <c r="L267" s="2551">
        <f t="shared" si="70"/>
        <v>15</v>
      </c>
      <c r="M267" s="2526">
        <v>125</v>
      </c>
      <c r="N267" s="2526">
        <v>276</v>
      </c>
      <c r="O267" s="2526">
        <v>0</v>
      </c>
      <c r="P267" s="2551">
        <f t="shared" si="71"/>
        <v>401</v>
      </c>
      <c r="Q267"/>
      <c r="R267"/>
      <c r="S267"/>
      <c r="T267"/>
    </row>
    <row r="268" spans="1:20">
      <c r="B268"/>
      <c r="C268" s="2504" t="s">
        <v>597</v>
      </c>
      <c r="D268" s="2526">
        <v>0</v>
      </c>
      <c r="E268" s="2526">
        <v>10</v>
      </c>
      <c r="F268" s="2504">
        <v>1</v>
      </c>
      <c r="G268" s="2551">
        <f t="shared" si="69"/>
        <v>11</v>
      </c>
      <c r="H268" s="2526">
        <v>4</v>
      </c>
      <c r="I268" s="2526">
        <v>12</v>
      </c>
      <c r="J268" s="2526">
        <v>0</v>
      </c>
      <c r="K268" s="2526"/>
      <c r="L268" s="2551">
        <f t="shared" si="70"/>
        <v>16</v>
      </c>
      <c r="M268" s="2526">
        <v>12</v>
      </c>
      <c r="N268" s="2526">
        <v>407</v>
      </c>
      <c r="O268" s="2526">
        <v>0</v>
      </c>
      <c r="P268" s="2551">
        <f t="shared" si="71"/>
        <v>419</v>
      </c>
      <c r="Q268"/>
      <c r="R268"/>
      <c r="S268"/>
      <c r="T268"/>
    </row>
    <row r="269" spans="1:20">
      <c r="B269"/>
      <c r="C269" s="2504" t="s">
        <v>598</v>
      </c>
      <c r="D269" s="2526">
        <v>0</v>
      </c>
      <c r="E269" s="2526">
        <v>3</v>
      </c>
      <c r="F269" s="2504">
        <v>0</v>
      </c>
      <c r="G269" s="2551">
        <f t="shared" si="69"/>
        <v>3</v>
      </c>
      <c r="H269" s="2526">
        <v>9</v>
      </c>
      <c r="I269" s="2526">
        <v>5</v>
      </c>
      <c r="J269" s="2526">
        <v>0</v>
      </c>
      <c r="K269" s="2526"/>
      <c r="L269" s="2551">
        <f t="shared" si="70"/>
        <v>14</v>
      </c>
      <c r="M269" s="2526"/>
      <c r="N269" s="2526">
        <v>92</v>
      </c>
      <c r="O269" s="2526">
        <v>0</v>
      </c>
      <c r="P269" s="2551">
        <f t="shared" si="71"/>
        <v>92</v>
      </c>
      <c r="Q269"/>
      <c r="R269"/>
      <c r="S269"/>
      <c r="T269"/>
    </row>
    <row r="270" spans="1:20">
      <c r="B270"/>
      <c r="C270" s="2504" t="s">
        <v>599</v>
      </c>
      <c r="D270" s="2526">
        <v>0</v>
      </c>
      <c r="E270" s="2526">
        <v>8</v>
      </c>
      <c r="F270" s="2504">
        <v>9</v>
      </c>
      <c r="G270" s="2551">
        <f t="shared" si="69"/>
        <v>17</v>
      </c>
      <c r="H270" s="2526">
        <v>39</v>
      </c>
      <c r="I270" s="2526">
        <v>27</v>
      </c>
      <c r="J270" s="2526">
        <v>0</v>
      </c>
      <c r="K270" s="2526"/>
      <c r="L270" s="2551">
        <f t="shared" si="70"/>
        <v>66</v>
      </c>
      <c r="M270" s="2526">
        <v>173</v>
      </c>
      <c r="N270" s="2526">
        <v>599</v>
      </c>
      <c r="O270" s="2526">
        <v>0</v>
      </c>
      <c r="P270" s="2551">
        <f t="shared" si="71"/>
        <v>772</v>
      </c>
      <c r="Q270"/>
      <c r="R270"/>
      <c r="S270"/>
      <c r="T270"/>
    </row>
    <row r="271" spans="1:20">
      <c r="B271"/>
      <c r="C271" s="2504" t="s">
        <v>600</v>
      </c>
      <c r="D271" s="2526">
        <v>0</v>
      </c>
      <c r="E271" s="2526">
        <v>0</v>
      </c>
      <c r="F271" s="2504">
        <v>7</v>
      </c>
      <c r="G271" s="2551">
        <f t="shared" si="69"/>
        <v>7</v>
      </c>
      <c r="H271" s="2526">
        <v>31</v>
      </c>
      <c r="I271" s="2526">
        <v>17</v>
      </c>
      <c r="J271" s="2526">
        <v>0</v>
      </c>
      <c r="K271" s="2526"/>
      <c r="L271" s="2551">
        <f t="shared" si="70"/>
        <v>48</v>
      </c>
      <c r="M271" s="2526">
        <v>46</v>
      </c>
      <c r="N271" s="2526">
        <v>310</v>
      </c>
      <c r="O271" s="2526">
        <v>0</v>
      </c>
      <c r="P271" s="2551">
        <f t="shared" si="71"/>
        <v>356</v>
      </c>
      <c r="Q271"/>
      <c r="R271"/>
      <c r="S271"/>
      <c r="T271"/>
    </row>
    <row r="272" spans="1:20">
      <c r="B272"/>
      <c r="C272" s="2504" t="s">
        <v>601</v>
      </c>
      <c r="D272" s="2526">
        <v>5</v>
      </c>
      <c r="E272" s="2526">
        <v>31</v>
      </c>
      <c r="F272" s="2504">
        <v>3</v>
      </c>
      <c r="G272" s="2551">
        <f t="shared" si="69"/>
        <v>39</v>
      </c>
      <c r="H272" s="2526">
        <v>481</v>
      </c>
      <c r="I272" s="2526">
        <v>334</v>
      </c>
      <c r="J272" s="2526">
        <v>645</v>
      </c>
      <c r="K272" s="2526"/>
      <c r="L272" s="2551">
        <f t="shared" si="70"/>
        <v>1460</v>
      </c>
      <c r="M272" s="2526">
        <v>291</v>
      </c>
      <c r="N272" s="2526">
        <v>1272</v>
      </c>
      <c r="O272" s="2526">
        <v>0</v>
      </c>
      <c r="P272" s="2551">
        <f t="shared" si="71"/>
        <v>1563</v>
      </c>
      <c r="Q272"/>
      <c r="R272"/>
      <c r="S272"/>
      <c r="T272"/>
    </row>
    <row r="273" spans="1:20">
      <c r="B273"/>
      <c r="C273" s="2537" t="s">
        <v>118</v>
      </c>
      <c r="D273" s="2552">
        <f t="shared" ref="D273:J273" si="72">SUM(D264:D272)</f>
        <v>6</v>
      </c>
      <c r="E273" s="2552">
        <f t="shared" si="72"/>
        <v>86</v>
      </c>
      <c r="F273" s="2552">
        <f t="shared" si="72"/>
        <v>40</v>
      </c>
      <c r="G273" s="2552">
        <f t="shared" si="72"/>
        <v>132</v>
      </c>
      <c r="H273" s="2552">
        <f t="shared" si="72"/>
        <v>662</v>
      </c>
      <c r="I273" s="2552">
        <f t="shared" si="72"/>
        <v>472</v>
      </c>
      <c r="J273" s="2552">
        <f t="shared" si="72"/>
        <v>645</v>
      </c>
      <c r="K273" s="2552"/>
      <c r="L273" s="2552">
        <f>SUM(L264:L272)</f>
        <v>1779</v>
      </c>
      <c r="M273" s="2552">
        <f>SUM(M264:M272)</f>
        <v>849</v>
      </c>
      <c r="N273" s="2552">
        <f>SUM(N264:N272)</f>
        <v>4654</v>
      </c>
      <c r="O273" s="2552">
        <f>SUM(O264:O272)</f>
        <v>0</v>
      </c>
      <c r="P273" s="2552">
        <f>SUM(P264:P272)</f>
        <v>5503</v>
      </c>
      <c r="Q273"/>
      <c r="R273"/>
      <c r="S273"/>
      <c r="T273"/>
    </row>
    <row r="274" spans="1:20">
      <c r="B274">
        <v>20</v>
      </c>
      <c r="C274" s="2554" t="s">
        <v>193</v>
      </c>
      <c r="D274"/>
      <c r="E274"/>
      <c r="F274"/>
      <c r="G274"/>
      <c r="H274"/>
      <c r="I274"/>
      <c r="J274"/>
      <c r="K274"/>
      <c r="L274"/>
      <c r="M274"/>
      <c r="N274"/>
      <c r="O274"/>
      <c r="P274"/>
      <c r="Q274"/>
      <c r="R274"/>
      <c r="S274"/>
      <c r="T274"/>
    </row>
    <row r="275" spans="1:20">
      <c r="B275"/>
      <c r="C275" s="2537" t="s">
        <v>586</v>
      </c>
      <c r="D275" s="2537" t="s">
        <v>587</v>
      </c>
      <c r="E275" s="2537"/>
      <c r="F275" s="2537"/>
      <c r="G275" s="2537"/>
      <c r="H275" s="2537" t="s">
        <v>611</v>
      </c>
      <c r="I275" s="2537"/>
      <c r="J275" s="2537"/>
      <c r="K275" s="2537"/>
      <c r="L275" s="2537"/>
      <c r="M275" s="2537" t="s">
        <v>612</v>
      </c>
      <c r="N275" s="2537"/>
      <c r="O275" s="2537"/>
      <c r="P275" s="2537"/>
      <c r="Q275"/>
      <c r="R275"/>
      <c r="S275"/>
      <c r="T275"/>
    </row>
    <row r="276" spans="1:20">
      <c r="A276" s="193">
        <v>18</v>
      </c>
      <c r="B276"/>
      <c r="C276" s="2537"/>
      <c r="D276" s="2537" t="s">
        <v>590</v>
      </c>
      <c r="E276" s="2537" t="s">
        <v>591</v>
      </c>
      <c r="F276" s="2537" t="s">
        <v>592</v>
      </c>
      <c r="G276" s="2537" t="s">
        <v>118</v>
      </c>
      <c r="H276" s="2537" t="s">
        <v>590</v>
      </c>
      <c r="I276" s="2537" t="s">
        <v>591</v>
      </c>
      <c r="J276" s="2537" t="s">
        <v>592</v>
      </c>
      <c r="K276" s="2537"/>
      <c r="L276" s="2537" t="s">
        <v>118</v>
      </c>
      <c r="M276" s="2537" t="s">
        <v>590</v>
      </c>
      <c r="N276" s="2537" t="s">
        <v>591</v>
      </c>
      <c r="O276" s="2537" t="s">
        <v>592</v>
      </c>
      <c r="P276" s="2537" t="s">
        <v>118</v>
      </c>
      <c r="Q276"/>
      <c r="R276"/>
      <c r="S276"/>
      <c r="T276"/>
    </row>
    <row r="277" spans="1:20">
      <c r="B277"/>
      <c r="C277" s="2550" t="s">
        <v>593</v>
      </c>
      <c r="D277" s="2530">
        <v>1</v>
      </c>
      <c r="E277" s="2555"/>
      <c r="F277" s="1789"/>
      <c r="G277" s="2551">
        <f>+D277+E277+F277</f>
        <v>1</v>
      </c>
      <c r="H277" s="2526">
        <v>5</v>
      </c>
      <c r="I277" s="2126"/>
      <c r="J277" s="2126"/>
      <c r="K277" s="2126"/>
      <c r="L277" s="2551">
        <f>+H277+I277+J277</f>
        <v>5</v>
      </c>
      <c r="M277" s="2126">
        <v>0</v>
      </c>
      <c r="N277" s="2126"/>
      <c r="O277" s="2126"/>
      <c r="P277" s="2551">
        <f>+M277+N277+O277</f>
        <v>0</v>
      </c>
      <c r="Q277"/>
      <c r="R277"/>
      <c r="S277"/>
      <c r="T277"/>
    </row>
    <row r="278" spans="1:20">
      <c r="B278"/>
      <c r="C278" s="2504" t="s">
        <v>594</v>
      </c>
      <c r="D278" s="2526">
        <v>0</v>
      </c>
      <c r="E278" s="2126"/>
      <c r="F278" s="1789"/>
      <c r="G278" s="2551">
        <f t="shared" ref="G278:G285" si="73">+D278+E278+F278</f>
        <v>0</v>
      </c>
      <c r="H278" s="2526">
        <v>0</v>
      </c>
      <c r="I278" s="2126"/>
      <c r="J278" s="2126"/>
      <c r="K278" s="2126"/>
      <c r="L278" s="2551">
        <f t="shared" ref="L278:L285" si="74">+H278+I278+J278</f>
        <v>0</v>
      </c>
      <c r="M278" s="2126">
        <v>0</v>
      </c>
      <c r="N278" s="2126"/>
      <c r="O278" s="2126"/>
      <c r="P278" s="2551">
        <f t="shared" ref="P278:P285" si="75">+M278+N278+O278</f>
        <v>0</v>
      </c>
      <c r="Q278"/>
      <c r="R278"/>
      <c r="S278"/>
      <c r="T278"/>
    </row>
    <row r="279" spans="1:20">
      <c r="B279"/>
      <c r="C279" s="2504" t="s">
        <v>595</v>
      </c>
      <c r="D279" s="2526">
        <v>0</v>
      </c>
      <c r="E279" s="2126"/>
      <c r="F279" s="1789"/>
      <c r="G279" s="2551">
        <f t="shared" si="73"/>
        <v>0</v>
      </c>
      <c r="H279" s="2526">
        <v>7</v>
      </c>
      <c r="I279" s="2126"/>
      <c r="J279" s="2126"/>
      <c r="K279" s="2126"/>
      <c r="L279" s="2551">
        <f t="shared" si="74"/>
        <v>7</v>
      </c>
      <c r="M279" s="2126">
        <v>0</v>
      </c>
      <c r="N279" s="2126"/>
      <c r="O279" s="2126"/>
      <c r="P279" s="2551">
        <f t="shared" si="75"/>
        <v>0</v>
      </c>
      <c r="Q279"/>
      <c r="R279"/>
      <c r="S279"/>
      <c r="T279"/>
    </row>
    <row r="280" spans="1:20">
      <c r="B280"/>
      <c r="C280" s="2504" t="s">
        <v>596</v>
      </c>
      <c r="D280" s="2526">
        <v>3</v>
      </c>
      <c r="E280" s="2126"/>
      <c r="F280" s="1789"/>
      <c r="G280" s="2551">
        <f t="shared" si="73"/>
        <v>3</v>
      </c>
      <c r="H280" s="2526">
        <v>0</v>
      </c>
      <c r="I280" s="2126"/>
      <c r="J280" s="2126"/>
      <c r="K280" s="2126"/>
      <c r="L280" s="2551">
        <f t="shared" si="74"/>
        <v>0</v>
      </c>
      <c r="M280" s="2126"/>
      <c r="N280" s="2126"/>
      <c r="O280" s="2126"/>
      <c r="P280" s="2551">
        <f t="shared" si="75"/>
        <v>0</v>
      </c>
      <c r="Q280"/>
      <c r="R280"/>
      <c r="S280"/>
      <c r="T280"/>
    </row>
    <row r="281" spans="1:20">
      <c r="B281"/>
      <c r="C281" s="2504" t="s">
        <v>597</v>
      </c>
      <c r="D281" s="2526">
        <v>0</v>
      </c>
      <c r="E281" s="2126"/>
      <c r="F281" s="1789"/>
      <c r="G281" s="2551">
        <f t="shared" si="73"/>
        <v>0</v>
      </c>
      <c r="H281" s="2526">
        <v>0</v>
      </c>
      <c r="I281" s="2126"/>
      <c r="J281" s="2126"/>
      <c r="K281" s="2126"/>
      <c r="L281" s="2551">
        <f t="shared" si="74"/>
        <v>0</v>
      </c>
      <c r="M281" s="2126">
        <v>0</v>
      </c>
      <c r="N281" s="2126"/>
      <c r="O281" s="2126"/>
      <c r="P281" s="2551">
        <f t="shared" si="75"/>
        <v>0</v>
      </c>
      <c r="Q281"/>
      <c r="R281"/>
      <c r="S281"/>
      <c r="T281"/>
    </row>
    <row r="282" spans="1:20">
      <c r="B282"/>
      <c r="C282" s="2504" t="s">
        <v>598</v>
      </c>
      <c r="D282" s="2526">
        <v>0</v>
      </c>
      <c r="E282" s="2126"/>
      <c r="F282" s="1789"/>
      <c r="G282" s="2551">
        <f t="shared" si="73"/>
        <v>0</v>
      </c>
      <c r="H282" s="2526">
        <v>5</v>
      </c>
      <c r="I282" s="2126"/>
      <c r="J282" s="2126"/>
      <c r="K282" s="2126"/>
      <c r="L282" s="2551">
        <f t="shared" si="74"/>
        <v>5</v>
      </c>
      <c r="M282" s="2126">
        <v>0</v>
      </c>
      <c r="N282" s="2126"/>
      <c r="O282" s="2126"/>
      <c r="P282" s="2551">
        <f t="shared" si="75"/>
        <v>0</v>
      </c>
      <c r="Q282"/>
      <c r="R282"/>
      <c r="S282"/>
      <c r="T282"/>
    </row>
    <row r="283" spans="1:20">
      <c r="B283"/>
      <c r="C283" s="2504" t="s">
        <v>599</v>
      </c>
      <c r="D283" s="2526">
        <v>2</v>
      </c>
      <c r="E283" s="2126"/>
      <c r="F283" s="1789"/>
      <c r="G283" s="2551">
        <f t="shared" si="73"/>
        <v>2</v>
      </c>
      <c r="H283" s="2526">
        <v>0</v>
      </c>
      <c r="I283" s="2126"/>
      <c r="J283" s="2126"/>
      <c r="K283" s="2126"/>
      <c r="L283" s="2551">
        <f t="shared" si="74"/>
        <v>0</v>
      </c>
      <c r="M283" s="2126">
        <v>0</v>
      </c>
      <c r="N283" s="2126"/>
      <c r="O283" s="2126"/>
      <c r="P283" s="2551">
        <f t="shared" si="75"/>
        <v>0</v>
      </c>
      <c r="Q283"/>
      <c r="R283"/>
      <c r="S283"/>
      <c r="T283"/>
    </row>
    <row r="284" spans="1:20">
      <c r="B284"/>
      <c r="C284" s="2504" t="s">
        <v>600</v>
      </c>
      <c r="D284" s="2526">
        <v>0</v>
      </c>
      <c r="E284" s="2126"/>
      <c r="F284" s="1789"/>
      <c r="G284" s="2551">
        <f t="shared" si="73"/>
        <v>0</v>
      </c>
      <c r="H284" s="2526">
        <v>0</v>
      </c>
      <c r="I284" s="2126"/>
      <c r="J284" s="2126"/>
      <c r="K284" s="2126"/>
      <c r="L284" s="2551">
        <f t="shared" si="74"/>
        <v>0</v>
      </c>
      <c r="M284" s="2126"/>
      <c r="N284" s="2126"/>
      <c r="O284" s="2126"/>
      <c r="P284" s="2551">
        <f t="shared" si="75"/>
        <v>0</v>
      </c>
      <c r="Q284"/>
      <c r="R284"/>
      <c r="S284"/>
      <c r="T284"/>
    </row>
    <row r="285" spans="1:20">
      <c r="B285"/>
      <c r="C285" s="2504" t="s">
        <v>601</v>
      </c>
      <c r="D285" s="2526">
        <v>5</v>
      </c>
      <c r="E285" s="2126"/>
      <c r="F285" s="1789"/>
      <c r="G285" s="2551">
        <f t="shared" si="73"/>
        <v>5</v>
      </c>
      <c r="H285" s="2526">
        <v>88</v>
      </c>
      <c r="I285" s="2126"/>
      <c r="J285" s="2126"/>
      <c r="K285" s="2126"/>
      <c r="L285" s="2551">
        <f t="shared" si="74"/>
        <v>88</v>
      </c>
      <c r="M285" s="2126">
        <v>0</v>
      </c>
      <c r="N285" s="2126"/>
      <c r="O285" s="2126"/>
      <c r="P285" s="2551">
        <f t="shared" si="75"/>
        <v>0</v>
      </c>
      <c r="Q285"/>
      <c r="R285"/>
      <c r="S285"/>
      <c r="T285"/>
    </row>
    <row r="286" spans="1:20">
      <c r="B286"/>
      <c r="C286" s="2537" t="s">
        <v>118</v>
      </c>
      <c r="D286" s="2552">
        <f t="shared" ref="D286:J286" si="76">SUM(D277:D285)</f>
        <v>11</v>
      </c>
      <c r="E286" s="2552">
        <f t="shared" si="76"/>
        <v>0</v>
      </c>
      <c r="F286" s="2552">
        <f t="shared" si="76"/>
        <v>0</v>
      </c>
      <c r="G286" s="2552">
        <f t="shared" si="76"/>
        <v>11</v>
      </c>
      <c r="H286" s="2552">
        <f t="shared" si="76"/>
        <v>105</v>
      </c>
      <c r="I286" s="2552">
        <f t="shared" si="76"/>
        <v>0</v>
      </c>
      <c r="J286" s="2552">
        <f t="shared" si="76"/>
        <v>0</v>
      </c>
      <c r="K286" s="2552"/>
      <c r="L286" s="2552">
        <f>SUM(L277:L285)</f>
        <v>105</v>
      </c>
      <c r="M286" s="2552">
        <f>SUM(M277:M285)</f>
        <v>0</v>
      </c>
      <c r="N286" s="2552">
        <f>SUM(N277:N285)</f>
        <v>0</v>
      </c>
      <c r="O286" s="2552">
        <f>SUM(O277:O285)</f>
        <v>0</v>
      </c>
      <c r="P286" s="2552">
        <f>SUM(P277:P285)</f>
        <v>0</v>
      </c>
      <c r="Q286"/>
      <c r="R286"/>
      <c r="S286"/>
      <c r="T286"/>
    </row>
    <row r="287" spans="1:20">
      <c r="B287">
        <v>21</v>
      </c>
      <c r="C287" s="2556" t="s">
        <v>178</v>
      </c>
      <c r="D287"/>
      <c r="E287"/>
      <c r="F287"/>
      <c r="G287"/>
      <c r="H287"/>
      <c r="I287"/>
      <c r="J287"/>
      <c r="K287"/>
      <c r="L287"/>
      <c r="M287"/>
      <c r="N287"/>
      <c r="O287"/>
      <c r="P287"/>
      <c r="Q287"/>
      <c r="R287"/>
      <c r="S287"/>
      <c r="T287"/>
    </row>
    <row r="288" spans="1:20">
      <c r="B288"/>
      <c r="C288" s="2537" t="s">
        <v>586</v>
      </c>
      <c r="D288" s="2537" t="s">
        <v>587</v>
      </c>
      <c r="E288" s="2537"/>
      <c r="F288" s="2537"/>
      <c r="G288" s="2537"/>
      <c r="H288" s="2537" t="s">
        <v>611</v>
      </c>
      <c r="I288" s="2537"/>
      <c r="J288" s="2537"/>
      <c r="K288" s="2537"/>
      <c r="L288" s="2537"/>
      <c r="M288" s="2537" t="s">
        <v>612</v>
      </c>
      <c r="N288" s="2537"/>
      <c r="O288" s="2537"/>
      <c r="P288" s="2537"/>
      <c r="Q288"/>
      <c r="R288"/>
      <c r="S288"/>
      <c r="T288"/>
    </row>
    <row r="289" spans="1:20">
      <c r="B289"/>
      <c r="C289" s="2537"/>
      <c r="D289" s="2537" t="s">
        <v>590</v>
      </c>
      <c r="E289" s="2537" t="s">
        <v>591</v>
      </c>
      <c r="F289" s="2537" t="s">
        <v>592</v>
      </c>
      <c r="G289" s="2537" t="s">
        <v>118</v>
      </c>
      <c r="H289" s="2537" t="s">
        <v>590</v>
      </c>
      <c r="I289" s="2537" t="s">
        <v>591</v>
      </c>
      <c r="J289" s="2537" t="s">
        <v>592</v>
      </c>
      <c r="K289" s="2537"/>
      <c r="L289" s="2537" t="s">
        <v>118</v>
      </c>
      <c r="M289" s="2537" t="s">
        <v>590</v>
      </c>
      <c r="N289" s="2537" t="s">
        <v>591</v>
      </c>
      <c r="O289" s="2537" t="s">
        <v>592</v>
      </c>
      <c r="P289" s="2537" t="s">
        <v>118</v>
      </c>
      <c r="Q289"/>
      <c r="R289"/>
      <c r="S289"/>
      <c r="T289"/>
    </row>
    <row r="290" spans="1:20">
      <c r="B290"/>
      <c r="C290" s="2550" t="s">
        <v>593</v>
      </c>
      <c r="D290" s="2555"/>
      <c r="E290" s="2530"/>
      <c r="F290" s="1789"/>
      <c r="G290" s="2551">
        <f>+D290+E290+F290</f>
        <v>0</v>
      </c>
      <c r="H290" s="2126"/>
      <c r="I290" s="2526"/>
      <c r="J290" s="2126"/>
      <c r="K290" s="2126"/>
      <c r="L290" s="2551">
        <f>+H290+I290+J290</f>
        <v>0</v>
      </c>
      <c r="M290" s="2126"/>
      <c r="N290" s="2526">
        <v>0</v>
      </c>
      <c r="O290" s="2126"/>
      <c r="P290" s="2551">
        <f>+M290+N290+O290</f>
        <v>0</v>
      </c>
      <c r="Q290"/>
      <c r="R290"/>
      <c r="S290"/>
      <c r="T290"/>
    </row>
    <row r="291" spans="1:20">
      <c r="A291" s="193">
        <v>19</v>
      </c>
      <c r="B291"/>
      <c r="C291" s="2504" t="s">
        <v>594</v>
      </c>
      <c r="D291" s="2126"/>
      <c r="E291" s="2526">
        <v>2</v>
      </c>
      <c r="F291" s="1789"/>
      <c r="G291" s="2551">
        <f t="shared" ref="G291:G298" si="77">+D291+E291+F291</f>
        <v>2</v>
      </c>
      <c r="H291" s="2126"/>
      <c r="I291" s="2526">
        <v>9</v>
      </c>
      <c r="J291" s="2126"/>
      <c r="K291" s="2126"/>
      <c r="L291" s="2551">
        <f t="shared" ref="L291:L298" si="78">+H291+I291+J291</f>
        <v>9</v>
      </c>
      <c r="M291" s="2126"/>
      <c r="N291" s="2526">
        <v>18</v>
      </c>
      <c r="O291" s="2126"/>
      <c r="P291" s="2551">
        <f t="shared" ref="P291:P298" si="79">+M291+N291+O291</f>
        <v>18</v>
      </c>
      <c r="Q291"/>
      <c r="R291"/>
      <c r="S291"/>
      <c r="T291"/>
    </row>
    <row r="292" spans="1:20">
      <c r="B292"/>
      <c r="C292" s="2504" t="s">
        <v>595</v>
      </c>
      <c r="D292" s="2126"/>
      <c r="E292" s="2526">
        <v>2</v>
      </c>
      <c r="F292" s="1789"/>
      <c r="G292" s="2551">
        <f t="shared" si="77"/>
        <v>2</v>
      </c>
      <c r="H292" s="2126"/>
      <c r="I292" s="2526">
        <v>10</v>
      </c>
      <c r="J292" s="2126"/>
      <c r="K292" s="2126"/>
      <c r="L292" s="2551">
        <f t="shared" si="78"/>
        <v>10</v>
      </c>
      <c r="M292" s="2126"/>
      <c r="N292" s="2526">
        <v>19</v>
      </c>
      <c r="O292" s="2126"/>
      <c r="P292" s="2551">
        <f t="shared" si="79"/>
        <v>19</v>
      </c>
      <c r="Q292"/>
      <c r="R292"/>
      <c r="S292"/>
      <c r="T292"/>
    </row>
    <row r="293" spans="1:20">
      <c r="B293"/>
      <c r="C293" s="2504" t="s">
        <v>596</v>
      </c>
      <c r="D293" s="2126"/>
      <c r="E293" s="2526">
        <v>2</v>
      </c>
      <c r="F293" s="1789"/>
      <c r="G293" s="2551">
        <f t="shared" si="77"/>
        <v>2</v>
      </c>
      <c r="H293" s="2126"/>
      <c r="I293" s="2526">
        <v>7</v>
      </c>
      <c r="J293" s="2126"/>
      <c r="K293" s="2126"/>
      <c r="L293" s="2551">
        <f t="shared" si="78"/>
        <v>7</v>
      </c>
      <c r="M293" s="2126"/>
      <c r="N293" s="2526">
        <v>29</v>
      </c>
      <c r="O293" s="2126"/>
      <c r="P293" s="2551">
        <f t="shared" si="79"/>
        <v>29</v>
      </c>
      <c r="Q293"/>
      <c r="R293"/>
      <c r="S293"/>
      <c r="T293"/>
    </row>
    <row r="294" spans="1:20">
      <c r="B294"/>
      <c r="C294" s="2504" t="s">
        <v>597</v>
      </c>
      <c r="D294" s="2126"/>
      <c r="E294" s="2526"/>
      <c r="F294" s="1789"/>
      <c r="G294" s="2551">
        <f t="shared" si="77"/>
        <v>0</v>
      </c>
      <c r="H294" s="2126"/>
      <c r="I294" s="2526"/>
      <c r="J294" s="2126"/>
      <c r="K294" s="2126"/>
      <c r="L294" s="2551">
        <f t="shared" si="78"/>
        <v>0</v>
      </c>
      <c r="M294" s="2126"/>
      <c r="N294" s="2526"/>
      <c r="O294" s="2126"/>
      <c r="P294" s="2551">
        <f t="shared" si="79"/>
        <v>0</v>
      </c>
      <c r="Q294"/>
      <c r="R294"/>
      <c r="S294"/>
      <c r="T294"/>
    </row>
    <row r="295" spans="1:20">
      <c r="B295"/>
      <c r="C295" s="2504" t="s">
        <v>598</v>
      </c>
      <c r="D295" s="2126"/>
      <c r="E295" s="2526">
        <v>3</v>
      </c>
      <c r="F295" s="1789"/>
      <c r="G295" s="2551">
        <f t="shared" si="77"/>
        <v>3</v>
      </c>
      <c r="H295" s="2126"/>
      <c r="I295" s="2526">
        <v>16</v>
      </c>
      <c r="J295" s="2126"/>
      <c r="K295" s="2126"/>
      <c r="L295" s="2551">
        <f t="shared" si="78"/>
        <v>16</v>
      </c>
      <c r="M295" s="2126"/>
      <c r="N295" s="2526">
        <v>62</v>
      </c>
      <c r="O295" s="2126"/>
      <c r="P295" s="2551">
        <f t="shared" si="79"/>
        <v>62</v>
      </c>
      <c r="Q295"/>
      <c r="R295"/>
      <c r="S295"/>
      <c r="T295"/>
    </row>
    <row r="296" spans="1:20">
      <c r="B296"/>
      <c r="C296" s="2504" t="s">
        <v>599</v>
      </c>
      <c r="D296" s="2126"/>
      <c r="E296" s="2526">
        <v>2</v>
      </c>
      <c r="F296" s="1789"/>
      <c r="G296" s="2551">
        <f t="shared" si="77"/>
        <v>2</v>
      </c>
      <c r="H296" s="2126"/>
      <c r="I296" s="2526">
        <v>14</v>
      </c>
      <c r="J296" s="2126"/>
      <c r="K296" s="2126"/>
      <c r="L296" s="2551">
        <f t="shared" si="78"/>
        <v>14</v>
      </c>
      <c r="M296" s="2126"/>
      <c r="N296" s="2526">
        <v>9</v>
      </c>
      <c r="O296" s="2126"/>
      <c r="P296" s="2551">
        <f t="shared" si="79"/>
        <v>9</v>
      </c>
      <c r="Q296"/>
      <c r="R296"/>
      <c r="S296"/>
      <c r="T296"/>
    </row>
    <row r="297" spans="1:20">
      <c r="B297"/>
      <c r="C297" s="2504" t="s">
        <v>600</v>
      </c>
      <c r="D297" s="2126"/>
      <c r="E297" s="2526">
        <v>1</v>
      </c>
      <c r="F297" s="1789"/>
      <c r="G297" s="2551">
        <f t="shared" si="77"/>
        <v>1</v>
      </c>
      <c r="H297" s="2126"/>
      <c r="I297" s="2526">
        <v>2</v>
      </c>
      <c r="J297" s="2126"/>
      <c r="K297" s="2126"/>
      <c r="L297" s="2551">
        <f t="shared" si="78"/>
        <v>2</v>
      </c>
      <c r="M297" s="2126"/>
      <c r="N297" s="2526">
        <v>19</v>
      </c>
      <c r="O297" s="2126"/>
      <c r="P297" s="2551">
        <f t="shared" si="79"/>
        <v>19</v>
      </c>
      <c r="Q297"/>
      <c r="R297"/>
      <c r="S297"/>
      <c r="T297"/>
    </row>
    <row r="298" spans="1:20">
      <c r="B298"/>
      <c r="C298" s="2504" t="s">
        <v>601</v>
      </c>
      <c r="D298" s="2126"/>
      <c r="E298" s="2526">
        <v>8</v>
      </c>
      <c r="F298" s="1789"/>
      <c r="G298" s="2551">
        <f t="shared" si="77"/>
        <v>8</v>
      </c>
      <c r="H298" s="2126"/>
      <c r="I298" s="2526">
        <v>54</v>
      </c>
      <c r="J298" s="2126"/>
      <c r="K298" s="2126"/>
      <c r="L298" s="2551">
        <f t="shared" si="78"/>
        <v>54</v>
      </c>
      <c r="M298" s="2126"/>
      <c r="N298" s="2526">
        <v>124</v>
      </c>
      <c r="O298" s="2126"/>
      <c r="P298" s="2551">
        <f t="shared" si="79"/>
        <v>124</v>
      </c>
      <c r="Q298"/>
      <c r="R298"/>
      <c r="S298"/>
      <c r="T298"/>
    </row>
    <row r="299" spans="1:20">
      <c r="B299"/>
      <c r="C299" s="2537" t="s">
        <v>118</v>
      </c>
      <c r="D299" s="2552">
        <f t="shared" ref="D299:J299" si="80">SUM(D290:D298)</f>
        <v>0</v>
      </c>
      <c r="E299" s="2552">
        <f t="shared" si="80"/>
        <v>20</v>
      </c>
      <c r="F299" s="2552">
        <f t="shared" si="80"/>
        <v>0</v>
      </c>
      <c r="G299" s="2552">
        <f t="shared" si="80"/>
        <v>20</v>
      </c>
      <c r="H299" s="2552">
        <f t="shared" si="80"/>
        <v>0</v>
      </c>
      <c r="I299" s="2552">
        <f t="shared" si="80"/>
        <v>112</v>
      </c>
      <c r="J299" s="2552">
        <f t="shared" si="80"/>
        <v>0</v>
      </c>
      <c r="K299" s="2552"/>
      <c r="L299" s="2552">
        <f>SUM(L290:L298)</f>
        <v>112</v>
      </c>
      <c r="M299" s="2552">
        <f>SUM(M290:M298)</f>
        <v>0</v>
      </c>
      <c r="N299" s="2552">
        <f>SUM(N290:N298)</f>
        <v>280</v>
      </c>
      <c r="O299" s="2552">
        <f>SUM(O290:O298)</f>
        <v>0</v>
      </c>
      <c r="P299" s="2552">
        <f>SUM(P290:P298)</f>
        <v>280</v>
      </c>
      <c r="Q299"/>
      <c r="R299"/>
      <c r="S299"/>
      <c r="T299"/>
    </row>
    <row r="300" spans="1:20">
      <c r="B300">
        <v>22</v>
      </c>
      <c r="C300" s="2554" t="s">
        <v>110</v>
      </c>
      <c r="D300"/>
      <c r="E300"/>
      <c r="F300"/>
      <c r="G300"/>
      <c r="H300"/>
      <c r="I300"/>
      <c r="J300"/>
      <c r="K300"/>
      <c r="L300"/>
      <c r="M300"/>
      <c r="N300"/>
      <c r="O300"/>
      <c r="P300"/>
      <c r="Q300"/>
      <c r="R300"/>
      <c r="S300"/>
      <c r="T300"/>
    </row>
    <row r="301" spans="1:20">
      <c r="B301"/>
      <c r="C301" s="2537" t="s">
        <v>586</v>
      </c>
      <c r="D301" s="2537" t="s">
        <v>587</v>
      </c>
      <c r="E301" s="2537"/>
      <c r="F301" s="2537"/>
      <c r="G301" s="2537"/>
      <c r="H301" s="2537" t="s">
        <v>611</v>
      </c>
      <c r="I301" s="2537"/>
      <c r="J301" s="2537"/>
      <c r="K301" s="2537"/>
      <c r="L301" s="2537"/>
      <c r="M301" s="2537" t="s">
        <v>612</v>
      </c>
      <c r="N301" s="2537"/>
      <c r="O301" s="2537"/>
      <c r="P301" s="2537"/>
      <c r="Q301"/>
      <c r="R301"/>
      <c r="S301"/>
      <c r="T301"/>
    </row>
    <row r="302" spans="1:20">
      <c r="B302"/>
      <c r="C302" s="2537"/>
      <c r="D302" s="2537" t="s">
        <v>590</v>
      </c>
      <c r="E302" s="2537" t="s">
        <v>591</v>
      </c>
      <c r="F302" s="2537" t="s">
        <v>592</v>
      </c>
      <c r="G302" s="2537" t="s">
        <v>118</v>
      </c>
      <c r="H302" s="2537" t="s">
        <v>590</v>
      </c>
      <c r="I302" s="2537" t="s">
        <v>591</v>
      </c>
      <c r="J302" s="2537" t="s">
        <v>592</v>
      </c>
      <c r="K302" s="2537"/>
      <c r="L302" s="2537" t="s">
        <v>118</v>
      </c>
      <c r="M302" s="2537" t="s">
        <v>590</v>
      </c>
      <c r="N302" s="2537" t="s">
        <v>591</v>
      </c>
      <c r="O302" s="2537" t="s">
        <v>592</v>
      </c>
      <c r="P302" s="2537" t="s">
        <v>118</v>
      </c>
      <c r="Q302"/>
      <c r="R302"/>
      <c r="S302"/>
      <c r="T302"/>
    </row>
    <row r="303" spans="1:20">
      <c r="B303"/>
      <c r="C303" s="2550" t="s">
        <v>593</v>
      </c>
      <c r="D303" s="2555"/>
      <c r="E303" s="2555"/>
      <c r="F303" s="1789"/>
      <c r="G303" s="2551">
        <f>+D303+E303+F303</f>
        <v>0</v>
      </c>
      <c r="H303" s="2126"/>
      <c r="I303" s="2126"/>
      <c r="J303" s="2126"/>
      <c r="K303" s="2126"/>
      <c r="L303" s="2551">
        <f>+H303+I303+J303</f>
        <v>0</v>
      </c>
      <c r="M303" s="2126"/>
      <c r="N303" s="2126"/>
      <c r="O303" s="2126"/>
      <c r="P303" s="2551">
        <f>+M303+N303+O303</f>
        <v>0</v>
      </c>
      <c r="Q303"/>
      <c r="R303"/>
      <c r="S303"/>
      <c r="T303"/>
    </row>
    <row r="304" spans="1:20">
      <c r="B304"/>
      <c r="C304" s="2504" t="s">
        <v>594</v>
      </c>
      <c r="D304" s="2126"/>
      <c r="E304" s="2126"/>
      <c r="F304" s="1789"/>
      <c r="G304" s="2551">
        <f t="shared" ref="G304:G311" si="81">+D304+E304+F304</f>
        <v>0</v>
      </c>
      <c r="H304" s="2126"/>
      <c r="I304" s="2126"/>
      <c r="J304" s="2126"/>
      <c r="K304" s="2126"/>
      <c r="L304" s="2551">
        <f t="shared" ref="L304:L311" si="82">+H304+I304+J304</f>
        <v>0</v>
      </c>
      <c r="M304" s="2126"/>
      <c r="N304" s="2126"/>
      <c r="O304" s="2126"/>
      <c r="P304" s="2551">
        <f t="shared" ref="P304:P311" si="83">+M304+N304+O304</f>
        <v>0</v>
      </c>
      <c r="Q304"/>
      <c r="R304"/>
      <c r="S304"/>
      <c r="T304"/>
    </row>
    <row r="305" spans="1:20">
      <c r="B305"/>
      <c r="C305" s="2504" t="s">
        <v>595</v>
      </c>
      <c r="D305" s="2126"/>
      <c r="E305" s="2126"/>
      <c r="F305" s="1789"/>
      <c r="G305" s="2551">
        <f t="shared" si="81"/>
        <v>0</v>
      </c>
      <c r="H305" s="2126"/>
      <c r="I305" s="2126"/>
      <c r="J305" s="2126"/>
      <c r="K305" s="2126"/>
      <c r="L305" s="2551">
        <f t="shared" si="82"/>
        <v>0</v>
      </c>
      <c r="M305" s="2126"/>
      <c r="N305" s="2126"/>
      <c r="O305" s="2126"/>
      <c r="P305" s="2551">
        <f t="shared" si="83"/>
        <v>0</v>
      </c>
      <c r="Q305"/>
      <c r="R305"/>
      <c r="S305"/>
      <c r="T305"/>
    </row>
    <row r="306" spans="1:20">
      <c r="A306" s="193">
        <v>20</v>
      </c>
      <c r="B306"/>
      <c r="C306" s="2504" t="s">
        <v>596</v>
      </c>
      <c r="D306" s="2126"/>
      <c r="E306" s="2126"/>
      <c r="F306" s="1789"/>
      <c r="G306" s="2551">
        <f t="shared" si="81"/>
        <v>0</v>
      </c>
      <c r="H306" s="2126"/>
      <c r="I306" s="2126"/>
      <c r="J306" s="2126"/>
      <c r="K306" s="2126"/>
      <c r="L306" s="2551">
        <f t="shared" si="82"/>
        <v>0</v>
      </c>
      <c r="M306" s="2126"/>
      <c r="N306" s="2126"/>
      <c r="O306" s="2126"/>
      <c r="P306" s="2551">
        <f t="shared" si="83"/>
        <v>0</v>
      </c>
      <c r="Q306"/>
      <c r="R306"/>
      <c r="S306"/>
      <c r="T306"/>
    </row>
    <row r="307" spans="1:20">
      <c r="B307"/>
      <c r="C307" s="2504" t="s">
        <v>597</v>
      </c>
      <c r="D307" s="2126"/>
      <c r="E307" s="2126"/>
      <c r="F307" s="1789"/>
      <c r="G307" s="2551">
        <f t="shared" si="81"/>
        <v>0</v>
      </c>
      <c r="H307" s="2126"/>
      <c r="I307" s="2126"/>
      <c r="J307" s="2126"/>
      <c r="K307" s="2126"/>
      <c r="L307" s="2551">
        <f t="shared" si="82"/>
        <v>0</v>
      </c>
      <c r="M307" s="2126"/>
      <c r="N307" s="2126"/>
      <c r="O307" s="2126"/>
      <c r="P307" s="2551">
        <f t="shared" si="83"/>
        <v>0</v>
      </c>
      <c r="Q307"/>
      <c r="R307"/>
      <c r="S307"/>
      <c r="T307"/>
    </row>
    <row r="308" spans="1:20">
      <c r="B308"/>
      <c r="C308" s="2504" t="s">
        <v>598</v>
      </c>
      <c r="D308" s="2126"/>
      <c r="E308" s="2126"/>
      <c r="F308" s="1789"/>
      <c r="G308" s="2551">
        <f t="shared" si="81"/>
        <v>0</v>
      </c>
      <c r="H308" s="2126"/>
      <c r="I308" s="2126"/>
      <c r="J308" s="2126"/>
      <c r="K308" s="2126"/>
      <c r="L308" s="2551">
        <f t="shared" si="82"/>
        <v>0</v>
      </c>
      <c r="M308" s="2126"/>
      <c r="N308" s="2126"/>
      <c r="O308" s="2126"/>
      <c r="P308" s="2551">
        <f t="shared" si="83"/>
        <v>0</v>
      </c>
      <c r="Q308"/>
      <c r="R308"/>
      <c r="S308"/>
      <c r="T308"/>
    </row>
    <row r="309" spans="1:20">
      <c r="B309"/>
      <c r="C309" s="2504" t="s">
        <v>599</v>
      </c>
      <c r="D309" s="2126"/>
      <c r="E309" s="2126"/>
      <c r="F309" s="1789"/>
      <c r="G309" s="2551">
        <f t="shared" si="81"/>
        <v>0</v>
      </c>
      <c r="H309" s="2126"/>
      <c r="I309" s="2126"/>
      <c r="J309" s="2126"/>
      <c r="K309" s="2126"/>
      <c r="L309" s="2551">
        <f t="shared" si="82"/>
        <v>0</v>
      </c>
      <c r="M309" s="2126"/>
      <c r="N309" s="2126"/>
      <c r="O309" s="2126"/>
      <c r="P309" s="2551">
        <f t="shared" si="83"/>
        <v>0</v>
      </c>
      <c r="Q309"/>
      <c r="R309"/>
      <c r="S309"/>
      <c r="T309"/>
    </row>
    <row r="310" spans="1:20">
      <c r="B310"/>
      <c r="C310" s="2504" t="s">
        <v>600</v>
      </c>
      <c r="D310" s="2126"/>
      <c r="E310" s="2126"/>
      <c r="F310" s="1789"/>
      <c r="G310" s="2551">
        <f t="shared" si="81"/>
        <v>0</v>
      </c>
      <c r="H310" s="2126"/>
      <c r="I310" s="2126"/>
      <c r="J310" s="2126"/>
      <c r="K310" s="2126"/>
      <c r="L310" s="2551">
        <f t="shared" si="82"/>
        <v>0</v>
      </c>
      <c r="M310" s="2126"/>
      <c r="N310" s="2126"/>
      <c r="O310" s="2126"/>
      <c r="P310" s="2551">
        <f t="shared" si="83"/>
        <v>0</v>
      </c>
      <c r="Q310"/>
      <c r="R310"/>
      <c r="S310"/>
      <c r="T310"/>
    </row>
    <row r="311" spans="1:20">
      <c r="B311"/>
      <c r="C311" s="2504" t="s">
        <v>601</v>
      </c>
      <c r="D311" s="2126"/>
      <c r="E311" s="2126"/>
      <c r="F311" s="1789"/>
      <c r="G311" s="2551">
        <f t="shared" si="81"/>
        <v>0</v>
      </c>
      <c r="H311" s="2126"/>
      <c r="I311" s="2126"/>
      <c r="J311" s="2126"/>
      <c r="K311" s="2126"/>
      <c r="L311" s="2551">
        <f t="shared" si="82"/>
        <v>0</v>
      </c>
      <c r="M311" s="2126"/>
      <c r="N311" s="2126"/>
      <c r="O311" s="2126"/>
      <c r="P311" s="2551">
        <f t="shared" si="83"/>
        <v>0</v>
      </c>
      <c r="Q311"/>
      <c r="R311"/>
      <c r="S311"/>
      <c r="T311"/>
    </row>
    <row r="312" spans="1:20">
      <c r="B312"/>
      <c r="C312" s="2537" t="s">
        <v>118</v>
      </c>
      <c r="D312" s="2552">
        <f t="shared" ref="D312:J312" si="84">SUM(D303:D311)</f>
        <v>0</v>
      </c>
      <c r="E312" s="2552">
        <f t="shared" si="84"/>
        <v>0</v>
      </c>
      <c r="F312" s="2552">
        <f t="shared" si="84"/>
        <v>0</v>
      </c>
      <c r="G312" s="2552">
        <f t="shared" si="84"/>
        <v>0</v>
      </c>
      <c r="H312" s="2552">
        <f t="shared" si="84"/>
        <v>0</v>
      </c>
      <c r="I312" s="2552">
        <f t="shared" si="84"/>
        <v>0</v>
      </c>
      <c r="J312" s="2552">
        <f t="shared" si="84"/>
        <v>0</v>
      </c>
      <c r="K312" s="2552"/>
      <c r="L312" s="2552">
        <f>SUM(L303:L311)</f>
        <v>0</v>
      </c>
      <c r="M312" s="2552">
        <f>SUM(M303:M311)</f>
        <v>0</v>
      </c>
      <c r="N312" s="2552">
        <f>SUM(N303:N311)</f>
        <v>0</v>
      </c>
      <c r="O312" s="2552">
        <f>SUM(O303:O311)</f>
        <v>0</v>
      </c>
      <c r="P312" s="2552">
        <f>SUM(P303:P311)</f>
        <v>0</v>
      </c>
      <c r="Q312"/>
      <c r="R312"/>
      <c r="S312"/>
      <c r="T312"/>
    </row>
    <row r="313" spans="1:20">
      <c r="B313"/>
      <c r="C313"/>
      <c r="D313"/>
      <c r="E313"/>
      <c r="F313"/>
      <c r="G313"/>
      <c r="H313"/>
      <c r="I313"/>
      <c r="J313"/>
      <c r="K313"/>
      <c r="L313"/>
      <c r="M313"/>
      <c r="N313"/>
      <c r="O313"/>
      <c r="P313"/>
      <c r="Q313"/>
      <c r="R313"/>
      <c r="S313"/>
      <c r="T313"/>
    </row>
    <row r="314" spans="1:20">
      <c r="B314"/>
      <c r="C314"/>
      <c r="D314"/>
      <c r="E314"/>
      <c r="F314"/>
      <c r="G314"/>
      <c r="H314"/>
      <c r="I314"/>
      <c r="J314"/>
      <c r="K314"/>
      <c r="L314"/>
      <c r="M314"/>
      <c r="N314"/>
      <c r="O314"/>
      <c r="P314"/>
      <c r="Q314"/>
      <c r="R314"/>
      <c r="S314"/>
      <c r="T314"/>
    </row>
    <row r="315" spans="1:20">
      <c r="B315"/>
      <c r="C315"/>
      <c r="D315"/>
      <c r="E315"/>
      <c r="F315"/>
      <c r="G315"/>
      <c r="H315"/>
      <c r="I315"/>
      <c r="J315"/>
      <c r="K315"/>
      <c r="L315"/>
      <c r="M315"/>
      <c r="N315"/>
      <c r="O315"/>
      <c r="P315"/>
      <c r="Q315"/>
      <c r="R315"/>
      <c r="S315"/>
      <c r="T315"/>
    </row>
    <row r="316" spans="1:20">
      <c r="B316"/>
      <c r="C316"/>
      <c r="D316"/>
      <c r="E316"/>
      <c r="F316"/>
      <c r="G316"/>
      <c r="H316"/>
      <c r="I316"/>
      <c r="J316"/>
      <c r="K316"/>
      <c r="L316"/>
      <c r="M316"/>
      <c r="N316"/>
      <c r="O316"/>
      <c r="P316"/>
      <c r="Q316"/>
      <c r="R316"/>
      <c r="S316"/>
      <c r="T316"/>
    </row>
    <row r="317" spans="1:20">
      <c r="B317"/>
      <c r="C317"/>
      <c r="D317"/>
      <c r="E317"/>
      <c r="F317"/>
      <c r="G317"/>
      <c r="H317"/>
      <c r="I317"/>
      <c r="J317"/>
      <c r="K317"/>
      <c r="L317"/>
      <c r="M317"/>
      <c r="N317"/>
      <c r="O317"/>
      <c r="P317"/>
      <c r="Q317"/>
      <c r="R317"/>
      <c r="S317"/>
      <c r="T317"/>
    </row>
    <row r="318" spans="1:20">
      <c r="B318"/>
      <c r="C318"/>
      <c r="D318"/>
      <c r="E318"/>
      <c r="F318"/>
      <c r="G318"/>
      <c r="H318"/>
      <c r="I318"/>
      <c r="J318"/>
      <c r="K318"/>
      <c r="L318"/>
      <c r="M318"/>
      <c r="N318"/>
      <c r="O318"/>
      <c r="P318"/>
      <c r="Q318"/>
      <c r="R318"/>
      <c r="S318"/>
      <c r="T318"/>
    </row>
    <row r="319" spans="1:20">
      <c r="B319"/>
      <c r="C319"/>
      <c r="D319"/>
      <c r="E319"/>
      <c r="F319"/>
      <c r="G319"/>
      <c r="H319"/>
      <c r="I319"/>
      <c r="J319"/>
      <c r="K319"/>
      <c r="L319"/>
      <c r="M319"/>
      <c r="N319"/>
      <c r="O319"/>
      <c r="P319"/>
      <c r="Q319"/>
      <c r="R319"/>
      <c r="S319"/>
      <c r="T319"/>
    </row>
    <row r="320" spans="1:20">
      <c r="B320"/>
      <c r="C320"/>
      <c r="D320"/>
      <c r="E320"/>
      <c r="F320"/>
      <c r="G320"/>
      <c r="H320"/>
      <c r="I320"/>
      <c r="J320"/>
      <c r="K320"/>
      <c r="L320"/>
      <c r="M320"/>
      <c r="N320"/>
      <c r="O320"/>
      <c r="P320"/>
      <c r="Q320"/>
      <c r="R320"/>
      <c r="S320"/>
      <c r="T320"/>
    </row>
    <row r="321" spans="2:20">
      <c r="B321"/>
      <c r="C321"/>
      <c r="D321"/>
      <c r="E321"/>
      <c r="F321"/>
      <c r="G321"/>
      <c r="H321"/>
      <c r="I321"/>
      <c r="J321"/>
      <c r="K321"/>
      <c r="L321"/>
      <c r="M321"/>
      <c r="N321"/>
      <c r="O321"/>
      <c r="P321"/>
      <c r="Q321"/>
      <c r="R321"/>
      <c r="S321"/>
      <c r="T321"/>
    </row>
    <row r="322" spans="2:20">
      <c r="B322"/>
      <c r="C322"/>
      <c r="D322"/>
      <c r="E322"/>
      <c r="F322"/>
      <c r="G322"/>
      <c r="H322"/>
      <c r="I322"/>
      <c r="J322"/>
      <c r="K322"/>
      <c r="L322"/>
      <c r="M322"/>
      <c r="N322"/>
      <c r="O322"/>
      <c r="P322"/>
      <c r="Q322"/>
      <c r="R322"/>
      <c r="S322"/>
      <c r="T322"/>
    </row>
    <row r="323" spans="2:20">
      <c r="B323"/>
      <c r="C323"/>
      <c r="D323"/>
      <c r="E323"/>
      <c r="F323"/>
      <c r="G323"/>
      <c r="H323"/>
      <c r="I323"/>
      <c r="J323"/>
      <c r="K323"/>
      <c r="L323"/>
      <c r="M323"/>
      <c r="N323"/>
      <c r="O323"/>
      <c r="P323"/>
      <c r="Q323"/>
      <c r="R323"/>
      <c r="S323"/>
      <c r="T323"/>
    </row>
    <row r="324" spans="2:20">
      <c r="B324"/>
      <c r="C324"/>
      <c r="D324"/>
      <c r="E324"/>
      <c r="F324"/>
      <c r="G324"/>
      <c r="H324"/>
      <c r="I324"/>
      <c r="J324"/>
      <c r="K324"/>
      <c r="L324"/>
      <c r="M324"/>
      <c r="N324"/>
      <c r="O324"/>
      <c r="P324"/>
      <c r="Q324"/>
      <c r="R324"/>
      <c r="S324"/>
      <c r="T324"/>
    </row>
    <row r="325" spans="2:20">
      <c r="B325"/>
      <c r="C325"/>
      <c r="D325"/>
      <c r="E325"/>
      <c r="F325"/>
      <c r="G325"/>
      <c r="H325"/>
      <c r="I325"/>
      <c r="J325"/>
      <c r="K325"/>
      <c r="L325"/>
      <c r="M325"/>
      <c r="N325"/>
      <c r="O325"/>
      <c r="P325"/>
      <c r="Q325"/>
      <c r="R325"/>
      <c r="S325"/>
      <c r="T325"/>
    </row>
    <row r="326" spans="2:20">
      <c r="B326"/>
      <c r="C326"/>
      <c r="D326"/>
      <c r="E326"/>
      <c r="F326"/>
      <c r="G326"/>
      <c r="H326"/>
      <c r="I326"/>
      <c r="J326"/>
      <c r="K326"/>
      <c r="L326"/>
      <c r="M326"/>
      <c r="N326"/>
      <c r="O326"/>
      <c r="P326"/>
      <c r="Q326"/>
      <c r="R326"/>
      <c r="S326"/>
      <c r="T326"/>
    </row>
    <row r="327" spans="2:20">
      <c r="B327"/>
      <c r="C327"/>
      <c r="D327"/>
      <c r="E327"/>
      <c r="F327"/>
      <c r="G327"/>
      <c r="H327"/>
      <c r="I327"/>
      <c r="J327"/>
      <c r="K327"/>
      <c r="L327"/>
      <c r="M327"/>
      <c r="N327"/>
      <c r="O327"/>
      <c r="P327"/>
      <c r="Q327"/>
      <c r="R327"/>
      <c r="S327"/>
      <c r="T327"/>
    </row>
    <row r="328" spans="2:20">
      <c r="B328"/>
      <c r="C328"/>
      <c r="D328"/>
      <c r="E328"/>
      <c r="F328"/>
      <c r="G328"/>
      <c r="H328"/>
      <c r="I328"/>
      <c r="J328"/>
      <c r="K328"/>
      <c r="L328"/>
      <c r="M328"/>
      <c r="N328"/>
      <c r="O328"/>
      <c r="P328"/>
      <c r="Q328"/>
      <c r="R328"/>
      <c r="S328"/>
      <c r="T328"/>
    </row>
  </sheetData>
  <customSheetViews>
    <customSheetView guid="{2ACFE167-4169-43A6-9AB2-59D5A2DA2DB4}" showPageBreaks="1" state="hidden">
      <pane xSplit="2" ySplit="7" topLeftCell="F44" activePane="bottomRight" state="frozen"/>
      <selection pane="bottomRight" activeCell="A13" sqref="A13"/>
      <rowBreaks count="10" manualBreakCount="10">
        <brk id="17" max="16383" man="1"/>
        <brk id="47" max="16383" man="1"/>
        <brk id="78" max="16383" man="1"/>
        <brk id="108" max="16383" man="1"/>
        <brk id="138" max="16383" man="1"/>
        <brk id="168" max="16383" man="1"/>
        <brk id="198" max="16383" man="1"/>
        <brk id="228" max="16383" man="1"/>
        <brk id="258" max="16383" man="1"/>
        <brk id="288" max="16383" man="1"/>
      </rowBreaks>
      <pageMargins left="0" right="0" top="0" bottom="0" header="0" footer="0"/>
      <pageSetup scale="88" orientation="landscape" r:id="rId1"/>
    </customSheetView>
    <customSheetView guid="{967E0446-E234-427F-8E57-7FE287052E2E}" showPageBreaks="1" state="hidden">
      <pane xSplit="2" ySplit="7" topLeftCell="F44" activePane="bottomRight" state="frozen"/>
      <selection pane="bottomRight" activeCell="A13" sqref="A13"/>
      <rowBreaks count="10" manualBreakCount="10">
        <brk id="17" max="16383" man="1"/>
        <brk id="47" max="16383" man="1"/>
        <brk id="78" max="16383" man="1"/>
        <brk id="108" max="16383" man="1"/>
        <brk id="138" max="16383" man="1"/>
        <brk id="168" max="16383" man="1"/>
        <brk id="198" max="16383" man="1"/>
        <brk id="228" max="16383" man="1"/>
        <brk id="258" max="16383" man="1"/>
        <brk id="288" max="16383" man="1"/>
      </rowBreaks>
      <pageMargins left="0" right="0" top="0" bottom="0" header="0" footer="0"/>
      <pageSetup scale="88" orientation="landscape" r:id="rId2"/>
    </customSheetView>
    <customSheetView guid="{B2E1A0C6-5BA1-4CF1-B412-16D81FCDF11F}" showPageBreaks="1" state="hidden">
      <pane xSplit="2" ySplit="7" topLeftCell="F44" activePane="bottomRight" state="frozen"/>
      <selection pane="bottomRight" activeCell="A13" sqref="A13"/>
      <rowBreaks count="10" manualBreakCount="10">
        <brk id="17" max="16383" man="1"/>
        <brk id="47" max="16383" man="1"/>
        <brk id="78" max="16383" man="1"/>
        <brk id="108" max="16383" man="1"/>
        <brk id="138" max="16383" man="1"/>
        <brk id="168" max="16383" man="1"/>
        <brk id="198" max="16383" man="1"/>
        <brk id="228" max="16383" man="1"/>
        <brk id="258" max="16383" man="1"/>
        <brk id="288" max="16383" man="1"/>
      </rowBreaks>
      <pageMargins left="0" right="0" top="0" bottom="0" header="0" footer="0"/>
      <pageSetup scale="88" orientation="landscape" r:id="rId3"/>
    </customSheetView>
    <customSheetView guid="{46F31544-8E6F-41C5-8628-1D6EE074AF15}" state="hidden">
      <pane xSplit="2" ySplit="7" topLeftCell="F44" activePane="bottomRight" state="frozen"/>
      <selection pane="bottomRight" activeCell="A13" sqref="A13"/>
      <rowBreaks count="10" manualBreakCount="10">
        <brk id="17" max="16383" man="1"/>
        <brk id="47" max="16383" man="1"/>
        <brk id="78" max="16383" man="1"/>
        <brk id="108" max="16383" man="1"/>
        <brk id="138" max="16383" man="1"/>
        <brk id="168" max="16383" man="1"/>
        <brk id="198" max="16383" man="1"/>
        <brk id="228" max="16383" man="1"/>
        <brk id="258" max="16383" man="1"/>
        <brk id="288" max="16383" man="1"/>
      </rowBreaks>
      <pageMargins left="0" right="0" top="0" bottom="0" header="0" footer="0"/>
      <pageSetup scale="88" orientation="landscape" r:id="rId4"/>
    </customSheetView>
    <customSheetView guid="{E82B35BE-4719-4C53-A9EF-1CC6F153A6F3}" showPageBreaks="1">
      <pane xSplit="2" ySplit="7" topLeftCell="C147" activePane="bottomRight" state="frozen"/>
      <selection pane="bottomRight" activeCell="F197" sqref="F197"/>
      <rowBreaks count="10" manualBreakCount="10">
        <brk id="17" max="16383" man="1"/>
        <brk id="47" max="16383" man="1"/>
        <brk id="78" max="16383" man="1"/>
        <brk id="108" max="16383" man="1"/>
        <brk id="138" max="16383" man="1"/>
        <brk id="168" max="16383" man="1"/>
        <brk id="198" max="16383" man="1"/>
        <brk id="228" max="16383" man="1"/>
        <brk id="258" max="16383" man="1"/>
        <brk id="288" max="16383" man="1"/>
      </rowBreaks>
      <pageMargins left="0" right="0" top="0" bottom="0" header="0" footer="0"/>
      <pageSetup scale="88" orientation="landscape" r:id="rId5"/>
    </customSheetView>
    <customSheetView guid="{B1E1B596-A9A1-411D-A882-A48CB025B978}" showPageBreaks="1" state="hidden">
      <pane xSplit="2" ySplit="7" topLeftCell="F44" activePane="bottomRight" state="frozen"/>
      <selection pane="bottomRight" activeCell="A13" sqref="A13"/>
      <rowBreaks count="10" manualBreakCount="10">
        <brk id="17" max="16383" man="1"/>
        <brk id="47" max="16383" man="1"/>
        <brk id="78" max="16383" man="1"/>
        <brk id="108" max="16383" man="1"/>
        <brk id="138" max="16383" man="1"/>
        <brk id="168" max="16383" man="1"/>
        <brk id="198" max="16383" man="1"/>
        <brk id="228" max="16383" man="1"/>
        <brk id="258" max="16383" man="1"/>
        <brk id="288" max="16383" man="1"/>
      </rowBreaks>
      <pageMargins left="0" right="0" top="0" bottom="0" header="0" footer="0"/>
      <pageSetup scale="88" orientation="landscape" r:id="rId6"/>
    </customSheetView>
    <customSheetView guid="{5E394B0B-7867-4722-9497-A93AB2A9A773}" showPageBreaks="1" state="hidden">
      <pane xSplit="2" ySplit="7" topLeftCell="F44" activePane="bottomRight" state="frozen"/>
      <selection pane="bottomRight" activeCell="A13" sqref="A13"/>
      <rowBreaks count="10" manualBreakCount="10">
        <brk id="17" max="16383" man="1"/>
        <brk id="47" max="16383" man="1"/>
        <brk id="78" max="16383" man="1"/>
        <brk id="108" max="16383" man="1"/>
        <brk id="138" max="16383" man="1"/>
        <brk id="168" max="16383" man="1"/>
        <brk id="198" max="16383" man="1"/>
        <brk id="228" max="16383" man="1"/>
        <brk id="258" max="16383" man="1"/>
        <brk id="288" max="16383" man="1"/>
      </rowBreaks>
      <pageMargins left="0" right="0" top="0" bottom="0" header="0" footer="0"/>
      <pageSetup scale="88" orientation="landscape" r:id="rId7"/>
    </customSheetView>
  </customSheetViews>
  <pageMargins left="0.3" right="0.22" top="0.75" bottom="0.75" header="0.3" footer="0.3"/>
  <pageSetup scale="88" orientation="landscape" r:id="rId8"/>
  <rowBreaks count="10" manualBreakCount="10">
    <brk id="17" max="16383" man="1"/>
    <brk id="47" max="16383" man="1"/>
    <brk id="78" max="16383" man="1"/>
    <brk id="108" max="16383" man="1"/>
    <brk id="138" max="16383" man="1"/>
    <brk id="168" max="16383" man="1"/>
    <brk id="198" max="16383" man="1"/>
    <brk id="228" max="16383" man="1"/>
    <brk id="258" max="16383" man="1"/>
    <brk id="288" max="16383" man="1"/>
  </rowBreaks>
  <legacyDrawing r:id="rId9"/>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7030A0"/>
    <pageSetUpPr autoPageBreaks="0"/>
  </sheetPr>
  <dimension ref="B2:J68"/>
  <sheetViews>
    <sheetView showGridLines="0" view="pageBreakPreview" zoomScale="85" zoomScaleNormal="85" zoomScaleSheetLayoutView="85" workbookViewId="0">
      <pane ySplit="5" topLeftCell="C28" activePane="bottomLeft" state="frozen"/>
      <selection pane="bottomLeft" activeCell="F29" sqref="F29"/>
    </sheetView>
  </sheetViews>
  <sheetFormatPr defaultColWidth="9.140625" defaultRowHeight="12.75" customHeight="1"/>
  <cols>
    <col min="1" max="1" width="3.7109375" style="292" customWidth="1"/>
    <col min="2" max="7" width="18.85546875" style="292" customWidth="1"/>
    <col min="8" max="8" width="10.5703125" style="292" bestFit="1" customWidth="1"/>
    <col min="9" max="9" width="15.5703125" style="292" customWidth="1"/>
    <col min="10" max="10" width="16.42578125" style="292" bestFit="1" customWidth="1"/>
    <col min="11" max="16384" width="9.140625" style="292"/>
  </cols>
  <sheetData>
    <row r="2" spans="2:10">
      <c r="B2" s="3198" t="s">
        <v>83</v>
      </c>
      <c r="C2" s="3198"/>
      <c r="D2" s="3198"/>
      <c r="E2" s="3198"/>
      <c r="F2" s="3198"/>
      <c r="G2" s="3198"/>
    </row>
    <row r="4" spans="2:10">
      <c r="B4" s="3199" t="s">
        <v>84</v>
      </c>
      <c r="C4" s="3201">
        <v>2022</v>
      </c>
      <c r="D4" s="3201"/>
      <c r="E4" s="3201"/>
      <c r="F4" s="3201"/>
      <c r="G4" s="3201"/>
    </row>
    <row r="5" spans="2:10" ht="66.75" customHeight="1">
      <c r="B5" s="3200"/>
      <c r="C5" s="1591" t="s">
        <v>85</v>
      </c>
      <c r="D5" s="1122" t="s">
        <v>86</v>
      </c>
      <c r="E5" s="1118" t="s">
        <v>87</v>
      </c>
      <c r="F5" s="1122" t="s">
        <v>88</v>
      </c>
      <c r="G5" s="1122" t="s">
        <v>89</v>
      </c>
    </row>
    <row r="6" spans="2:10" ht="16.5" customHeight="1">
      <c r="B6" s="1593" t="s">
        <v>90</v>
      </c>
      <c r="C6" s="553">
        <v>17568324.862730004</v>
      </c>
      <c r="D6" s="1677"/>
      <c r="E6" s="1678">
        <f t="shared" ref="E6:E34" si="0">+C6+D6</f>
        <v>17568324.862730004</v>
      </c>
      <c r="F6" s="1679">
        <f>(C6/$C$34)*100</f>
        <v>12.892195179526725</v>
      </c>
      <c r="G6" s="1680"/>
      <c r="H6" s="396"/>
      <c r="I6" s="624"/>
      <c r="J6" s="437"/>
    </row>
    <row r="7" spans="2:10" ht="16.5" customHeight="1">
      <c r="B7" s="1681" t="s">
        <v>91</v>
      </c>
      <c r="C7" s="1677"/>
      <c r="D7" s="1682">
        <v>14533206.979500007</v>
      </c>
      <c r="E7" s="1678">
        <f t="shared" si="0"/>
        <v>14533206.979500007</v>
      </c>
      <c r="F7" s="1680"/>
      <c r="G7" s="3190">
        <f>(D7/$D$34)*100</f>
        <v>11.929142418711974</v>
      </c>
      <c r="H7" s="482"/>
      <c r="I7" s="624"/>
      <c r="J7" s="437"/>
    </row>
    <row r="8" spans="2:10" ht="16.5" customHeight="1">
      <c r="B8" s="1683" t="s">
        <v>92</v>
      </c>
      <c r="C8" s="1684">
        <v>2307274.1605399996</v>
      </c>
      <c r="D8" s="1685"/>
      <c r="E8" s="1678">
        <f t="shared" si="0"/>
        <v>2307274.1605399996</v>
      </c>
      <c r="F8" s="1679">
        <f>(C8/$C$34)*100</f>
        <v>1.6931511138813291</v>
      </c>
      <c r="G8" s="1680"/>
      <c r="H8" s="396"/>
      <c r="I8" s="624"/>
      <c r="J8" s="437"/>
    </row>
    <row r="9" spans="2:10" ht="16.5" customHeight="1">
      <c r="B9" s="1683" t="s">
        <v>93</v>
      </c>
      <c r="C9" s="1678">
        <v>1059623.6349760001</v>
      </c>
      <c r="D9" s="1685"/>
      <c r="E9" s="1678">
        <f t="shared" si="0"/>
        <v>1059623.6349760001</v>
      </c>
      <c r="F9" s="1679">
        <f>(C9/$C$34)*100</f>
        <v>0.77758550264122128</v>
      </c>
      <c r="G9" s="3190"/>
      <c r="H9" s="396"/>
      <c r="I9" s="624"/>
      <c r="J9" s="437"/>
    </row>
    <row r="10" spans="2:10" ht="16.5" customHeight="1">
      <c r="B10" s="1683" t="s">
        <v>94</v>
      </c>
      <c r="C10" s="1677"/>
      <c r="D10" s="1682">
        <v>2680935.5357164424</v>
      </c>
      <c r="E10" s="1678">
        <f t="shared" si="0"/>
        <v>2680935.5357164424</v>
      </c>
      <c r="F10" s="1680"/>
      <c r="G10" s="3190">
        <f>(D10/$D$34)*100</f>
        <v>2.2005646700042796</v>
      </c>
      <c r="H10" s="482"/>
      <c r="I10" s="624"/>
      <c r="J10" s="437"/>
    </row>
    <row r="11" spans="2:10" ht="16.5" customHeight="1">
      <c r="B11" s="1683" t="s">
        <v>95</v>
      </c>
      <c r="C11" s="1678">
        <v>2318578.3563300003</v>
      </c>
      <c r="D11" s="1685">
        <v>0</v>
      </c>
      <c r="E11" s="1678">
        <f t="shared" si="0"/>
        <v>2318578.3563300003</v>
      </c>
      <c r="F11" s="1679">
        <f>(C11/$C$34)*100</f>
        <v>1.7014464920469188</v>
      </c>
      <c r="G11" s="1680"/>
      <c r="H11" s="396"/>
      <c r="I11" s="624"/>
      <c r="J11" s="437"/>
    </row>
    <row r="12" spans="2:10" ht="16.5" customHeight="1">
      <c r="B12" s="1683" t="s">
        <v>96</v>
      </c>
      <c r="C12" s="1678">
        <v>29160164.109129999</v>
      </c>
      <c r="D12" s="1685"/>
      <c r="E12" s="1678">
        <f t="shared" si="0"/>
        <v>29160164.109129999</v>
      </c>
      <c r="F12" s="1679">
        <f>(C12/$C$34)*100</f>
        <v>21.398655255940866</v>
      </c>
      <c r="G12" s="1680"/>
      <c r="H12" s="396"/>
      <c r="I12" s="624"/>
      <c r="J12" s="437"/>
    </row>
    <row r="13" spans="2:10" ht="16.5" customHeight="1">
      <c r="B13" s="1683" t="s">
        <v>97</v>
      </c>
      <c r="C13" s="1677"/>
      <c r="D13" s="1682">
        <v>22013615.794574223</v>
      </c>
      <c r="E13" s="1678">
        <f t="shared" si="0"/>
        <v>22013615.794574223</v>
      </c>
      <c r="F13" s="1680"/>
      <c r="G13" s="3190">
        <f>(D13/$D$34)*100</f>
        <v>18.069209248495667</v>
      </c>
      <c r="H13" s="482"/>
      <c r="I13" s="624"/>
      <c r="J13" s="437"/>
    </row>
    <row r="14" spans="2:10" ht="16.5" customHeight="1">
      <c r="B14" s="1681" t="s">
        <v>98</v>
      </c>
      <c r="C14" s="1677"/>
      <c r="D14" s="1682">
        <v>6753682</v>
      </c>
      <c r="E14" s="1678">
        <f t="shared" si="0"/>
        <v>6753682</v>
      </c>
      <c r="F14" s="1680"/>
      <c r="G14" s="3190">
        <f t="shared" ref="G14:G18" si="1">(D14/$D$34)*100</f>
        <v>5.5435551521652702</v>
      </c>
      <c r="H14" s="482"/>
      <c r="I14" s="624"/>
      <c r="J14" s="437"/>
    </row>
    <row r="15" spans="2:10" ht="16.5" customHeight="1">
      <c r="B15" s="1681" t="s">
        <v>99</v>
      </c>
      <c r="C15" s="1678">
        <v>10331.803</v>
      </c>
      <c r="D15" s="1682"/>
      <c r="E15" s="1678">
        <f t="shared" si="0"/>
        <v>10331.803</v>
      </c>
      <c r="F15" s="1679">
        <f>(C15/$C$34)*100</f>
        <v>7.5818054295542781E-3</v>
      </c>
      <c r="G15" s="1680"/>
      <c r="H15" s="482"/>
      <c r="I15" s="624"/>
      <c r="J15" s="437"/>
    </row>
    <row r="16" spans="2:10" ht="16.5" customHeight="1">
      <c r="B16" s="1683" t="s">
        <v>100</v>
      </c>
      <c r="C16" s="1678">
        <v>1114508</v>
      </c>
      <c r="D16" s="1686"/>
      <c r="E16" s="1678">
        <f t="shared" si="0"/>
        <v>1114508</v>
      </c>
      <c r="F16" s="1679">
        <f>(C16/$C$34)*100</f>
        <v>0.81786139415179326</v>
      </c>
      <c r="G16" s="1680"/>
      <c r="H16" s="396"/>
      <c r="I16" s="624"/>
      <c r="J16" s="437"/>
    </row>
    <row r="17" spans="2:10" ht="16.5" customHeight="1">
      <c r="B17" s="1683" t="s">
        <v>101</v>
      </c>
      <c r="C17" s="1685"/>
      <c r="D17" s="1682">
        <v>5086945</v>
      </c>
      <c r="E17" s="1678">
        <f t="shared" si="0"/>
        <v>5086945</v>
      </c>
      <c r="F17" s="1680"/>
      <c r="G17" s="3190">
        <f>(D17/$D$34)*100</f>
        <v>4.1754646078289381</v>
      </c>
      <c r="H17" s="482"/>
      <c r="I17" s="624"/>
      <c r="J17" s="437"/>
    </row>
    <row r="18" spans="2:10" ht="16.5" customHeight="1">
      <c r="B18" s="1683" t="s">
        <v>102</v>
      </c>
      <c r="C18" s="1685"/>
      <c r="D18" s="1682">
        <v>12628447</v>
      </c>
      <c r="E18" s="1678">
        <f t="shared" si="0"/>
        <v>12628447</v>
      </c>
      <c r="F18" s="1680"/>
      <c r="G18" s="3190">
        <f t="shared" si="1"/>
        <v>10.365677926603006</v>
      </c>
      <c r="H18" s="482"/>
      <c r="I18" s="624"/>
      <c r="J18" s="437"/>
    </row>
    <row r="19" spans="2:10" ht="16.5" customHeight="1">
      <c r="B19" s="1683" t="s">
        <v>103</v>
      </c>
      <c r="C19" s="1678">
        <v>8911460</v>
      </c>
      <c r="D19" s="1685"/>
      <c r="E19" s="1678">
        <f t="shared" si="0"/>
        <v>8911460</v>
      </c>
      <c r="F19" s="1679">
        <f>(C19/$C$34)*100</f>
        <v>6.5395125916798609</v>
      </c>
      <c r="G19" s="3190"/>
      <c r="H19" s="396"/>
      <c r="I19" s="624"/>
      <c r="J19" s="437"/>
    </row>
    <row r="20" spans="2:10" ht="16.5" customHeight="1">
      <c r="B20" s="1683" t="s">
        <v>104</v>
      </c>
      <c r="C20" s="1685"/>
      <c r="D20" s="1682">
        <v>6211166</v>
      </c>
      <c r="E20" s="1678">
        <f t="shared" si="0"/>
        <v>6211166</v>
      </c>
      <c r="F20" s="1680"/>
      <c r="G20" s="3190">
        <f>(D20/$D$34)*100</f>
        <v>5.0982473383043132</v>
      </c>
      <c r="H20" s="482"/>
      <c r="I20" s="624"/>
      <c r="J20" s="437"/>
    </row>
    <row r="21" spans="2:10" ht="16.5" customHeight="1">
      <c r="B21" s="1683" t="s">
        <v>105</v>
      </c>
      <c r="C21" s="1678">
        <v>4811414.1280300003</v>
      </c>
      <c r="D21" s="1685"/>
      <c r="E21" s="1678">
        <f t="shared" si="0"/>
        <v>4811414.1280300003</v>
      </c>
      <c r="F21" s="1679">
        <f>(C21/$C$34)*100</f>
        <v>3.5307686141259196</v>
      </c>
      <c r="G21" s="1680"/>
      <c r="H21" s="396"/>
      <c r="I21" s="624"/>
      <c r="J21" s="437"/>
    </row>
    <row r="22" spans="2:10" ht="16.5" customHeight="1">
      <c r="B22" s="1683" t="s">
        <v>106</v>
      </c>
      <c r="C22" s="1678">
        <v>753996.95799999987</v>
      </c>
      <c r="D22" s="1685"/>
      <c r="E22" s="1678">
        <f t="shared" si="0"/>
        <v>753996.95799999987</v>
      </c>
      <c r="F22" s="1679">
        <f>(C22/$C$34)*100</f>
        <v>0.55330693297499067</v>
      </c>
      <c r="G22" s="1680"/>
      <c r="H22" s="396"/>
      <c r="I22" s="624"/>
      <c r="J22" s="437"/>
    </row>
    <row r="23" spans="2:10" ht="16.5" customHeight="1">
      <c r="B23" s="1683" t="s">
        <v>107</v>
      </c>
      <c r="C23" s="1678">
        <v>4961325.5269299997</v>
      </c>
      <c r="D23" s="1685"/>
      <c r="E23" s="1678">
        <f t="shared" si="0"/>
        <v>4961325.5269299997</v>
      </c>
      <c r="F23" s="1679">
        <f>(C23/$C$34)*100</f>
        <v>3.6407783634535145</v>
      </c>
      <c r="G23" s="1680"/>
      <c r="H23" s="396"/>
      <c r="I23" s="624"/>
      <c r="J23" s="437"/>
    </row>
    <row r="24" spans="2:10" ht="16.5" customHeight="1">
      <c r="B24" s="1683" t="s">
        <v>108</v>
      </c>
      <c r="C24" s="1685"/>
      <c r="D24" s="1687">
        <v>7684307.6099999994</v>
      </c>
      <c r="E24" s="1678">
        <f t="shared" si="0"/>
        <v>7684307.6099999994</v>
      </c>
      <c r="F24" s="1680"/>
      <c r="G24" s="3190">
        <f>(D24/$D$34)*100</f>
        <v>6.307430975020484</v>
      </c>
      <c r="H24" s="482"/>
      <c r="I24" s="624"/>
      <c r="J24" s="437"/>
    </row>
    <row r="25" spans="2:10" ht="16.5" customHeight="1">
      <c r="B25" s="1683" t="s">
        <v>109</v>
      </c>
      <c r="C25" s="1678">
        <v>36849.434659999992</v>
      </c>
      <c r="D25" s="1687">
        <v>583430</v>
      </c>
      <c r="E25" s="1678">
        <f t="shared" si="0"/>
        <v>620279.43466000003</v>
      </c>
      <c r="F25" s="1679">
        <f>(C25/$C$34)*100</f>
        <v>2.7041286383527981E-2</v>
      </c>
      <c r="G25" s="3190">
        <f>(D25/$D$34)*100</f>
        <v>0.47889083057623733</v>
      </c>
      <c r="H25" s="396"/>
      <c r="I25" s="624"/>
      <c r="J25" s="437"/>
    </row>
    <row r="26" spans="2:10" ht="16.5" customHeight="1">
      <c r="B26" s="1683" t="s">
        <v>110</v>
      </c>
      <c r="C26" s="1684"/>
      <c r="D26" s="1687">
        <v>15185349</v>
      </c>
      <c r="E26" s="1678">
        <f t="shared" si="0"/>
        <v>15185349</v>
      </c>
      <c r="F26" s="1679">
        <f>(C26/$C$34)*100</f>
        <v>0</v>
      </c>
      <c r="G26" s="3190">
        <f>(D26/$D$34)*100</f>
        <v>12.464433428517619</v>
      </c>
      <c r="H26" s="482"/>
      <c r="I26" s="624"/>
      <c r="J26" s="437"/>
    </row>
    <row r="27" spans="2:10" ht="16.5" customHeight="1">
      <c r="B27" s="1681" t="s">
        <v>111</v>
      </c>
      <c r="C27" s="1685"/>
      <c r="D27" s="1687">
        <v>2340612.0483314414</v>
      </c>
      <c r="E27" s="1678">
        <f t="shared" si="0"/>
        <v>2340612.0483314414</v>
      </c>
      <c r="F27" s="1680"/>
      <c r="G27" s="3190">
        <f t="shared" ref="G27:G31" si="2">(D27/$D$34)*100</f>
        <v>1.9212204512661195</v>
      </c>
      <c r="H27" s="482"/>
      <c r="I27" s="624"/>
      <c r="J27" s="437"/>
    </row>
    <row r="28" spans="2:10" ht="16.149999999999999" customHeight="1">
      <c r="B28" s="1681" t="s">
        <v>112</v>
      </c>
      <c r="C28" s="1685"/>
      <c r="D28" s="1687">
        <v>5793702.4606299978</v>
      </c>
      <c r="E28" s="1678">
        <f t="shared" si="0"/>
        <v>5793702.4606299978</v>
      </c>
      <c r="F28" s="1680"/>
      <c r="G28" s="3190">
        <f t="shared" si="2"/>
        <v>4.7555850461626745</v>
      </c>
      <c r="H28" s="482"/>
      <c r="I28" s="624"/>
      <c r="J28" s="437"/>
    </row>
    <row r="29" spans="2:10" ht="16.5" customHeight="1">
      <c r="B29" s="1681" t="s">
        <v>113</v>
      </c>
      <c r="C29" s="1678">
        <v>2568558</v>
      </c>
      <c r="D29" s="1688"/>
      <c r="E29" s="1678">
        <f t="shared" si="0"/>
        <v>2568558</v>
      </c>
      <c r="F29" s="1679">
        <f>(C29/$C$34)*100</f>
        <v>1.8848894999764394</v>
      </c>
      <c r="G29" s="1680"/>
      <c r="H29" s="396"/>
      <c r="I29" s="624"/>
      <c r="J29" s="437"/>
    </row>
    <row r="30" spans="2:10" ht="16.5" customHeight="1">
      <c r="B30" s="1683" t="s">
        <v>114</v>
      </c>
      <c r="C30" s="1685"/>
      <c r="D30" s="1687">
        <v>1014318</v>
      </c>
      <c r="E30" s="1678">
        <f t="shared" si="0"/>
        <v>1014318</v>
      </c>
      <c r="F30" s="1680"/>
      <c r="G30" s="3190">
        <f t="shared" si="2"/>
        <v>0.832572184303906</v>
      </c>
      <c r="H30" s="482"/>
      <c r="I30" s="624"/>
      <c r="J30" s="437"/>
    </row>
    <row r="31" spans="2:10" ht="16.5" customHeight="1">
      <c r="B31" s="1683" t="s">
        <v>115</v>
      </c>
      <c r="C31" s="1678">
        <v>20930125.200769998</v>
      </c>
      <c r="D31" s="1687">
        <v>19319719</v>
      </c>
      <c r="E31" s="1678">
        <f t="shared" si="0"/>
        <v>40249844.200769998</v>
      </c>
      <c r="F31" s="1679">
        <f>(C31/$C$34)*100</f>
        <v>15.359191119734744</v>
      </c>
      <c r="G31" s="3190">
        <f t="shared" si="2"/>
        <v>15.858005722039511</v>
      </c>
      <c r="H31" s="396"/>
      <c r="I31" s="624"/>
      <c r="J31" s="437"/>
    </row>
    <row r="32" spans="2:10" ht="16.5" customHeight="1">
      <c r="B32" s="1683" t="s">
        <v>116</v>
      </c>
      <c r="C32" s="1678">
        <v>23083425</v>
      </c>
      <c r="D32" s="1685"/>
      <c r="E32" s="1678">
        <f t="shared" si="0"/>
        <v>23083425</v>
      </c>
      <c r="F32" s="1679">
        <f>(C32/$C$34)*100</f>
        <v>16.939350953333985</v>
      </c>
      <c r="G32" s="1680"/>
      <c r="H32" s="396"/>
      <c r="I32" s="624"/>
      <c r="J32" s="437"/>
    </row>
    <row r="33" spans="2:10" ht="16.5" customHeight="1">
      <c r="B33" s="1683" t="s">
        <v>117</v>
      </c>
      <c r="C33" s="1678">
        <v>16675053</v>
      </c>
      <c r="D33" s="1685"/>
      <c r="E33" s="1678">
        <f t="shared" si="0"/>
        <v>16675053</v>
      </c>
      <c r="F33" s="1679">
        <f>(C33/$C$34)*100</f>
        <v>12.236683894718603</v>
      </c>
      <c r="G33" s="1680"/>
      <c r="H33" s="396"/>
      <c r="I33" s="624"/>
      <c r="J33" s="437"/>
    </row>
    <row r="34" spans="2:10" s="295" customFormat="1" ht="16.5" customHeight="1">
      <c r="B34" s="1689" t="s">
        <v>118</v>
      </c>
      <c r="C34" s="1690">
        <f>SUM(C6:C33)</f>
        <v>136271012.17509601</v>
      </c>
      <c r="D34" s="1690">
        <f>SUM(D6:D33)</f>
        <v>121829436.42875211</v>
      </c>
      <c r="E34" s="1691">
        <f t="shared" si="0"/>
        <v>258100448.6038481</v>
      </c>
      <c r="F34" s="1690">
        <f>SUM(F6:F33)</f>
        <v>99.999999999999972</v>
      </c>
      <c r="G34" s="1690">
        <f>SUM(G6:G33)</f>
        <v>99.999999999999986</v>
      </c>
      <c r="H34" s="550"/>
      <c r="I34" s="624"/>
      <c r="J34" s="437"/>
    </row>
    <row r="35" spans="2:10">
      <c r="E35" s="396"/>
    </row>
    <row r="36" spans="2:10">
      <c r="B36" s="620"/>
      <c r="E36" s="293"/>
      <c r="F36" s="444"/>
    </row>
    <row r="37" spans="2:10">
      <c r="B37" s="620"/>
      <c r="C37" s="396"/>
      <c r="D37" s="396"/>
      <c r="E37" s="621"/>
    </row>
    <row r="39" spans="2:10">
      <c r="B39" s="37"/>
    </row>
    <row r="40" spans="2:10">
      <c r="G40" s="292" t="s">
        <v>1</v>
      </c>
    </row>
    <row r="42" spans="2:10">
      <c r="E42" s="396"/>
      <c r="F42" s="396"/>
      <c r="G42" s="396"/>
    </row>
    <row r="43" spans="2:10">
      <c r="E43" s="588"/>
      <c r="H43" s="471"/>
    </row>
    <row r="68" spans="3:4">
      <c r="C68" s="437"/>
      <c r="D68" s="437"/>
    </row>
  </sheetData>
  <mergeCells count="3">
    <mergeCell ref="B2:G2"/>
    <mergeCell ref="B4:B5"/>
    <mergeCell ref="C4:G4"/>
  </mergeCells>
  <pageMargins left="0.7" right="0.7" top="0.31" bottom="0.75" header="0.3" footer="0.3"/>
  <pageSetup paperSize="9" scale="82"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00B050"/>
    <pageSetUpPr autoPageBreaks="0"/>
  </sheetPr>
  <dimension ref="A1:AP134"/>
  <sheetViews>
    <sheetView zoomScaleNormal="100" zoomScaleSheetLayoutView="82" workbookViewId="0">
      <pane xSplit="5" ySplit="6" topLeftCell="F7" activePane="bottomRight" state="frozen"/>
      <selection pane="bottomRight" activeCell="Q7" sqref="Q7:Q21"/>
      <selection pane="bottomLeft" activeCell="A7" sqref="A7"/>
      <selection pane="topRight" activeCell="F1" sqref="F1"/>
    </sheetView>
  </sheetViews>
  <sheetFormatPr defaultColWidth="9.140625" defaultRowHeight="14.45"/>
  <cols>
    <col min="1" max="1" width="2.7109375" customWidth="1"/>
    <col min="2" max="2" width="14.42578125" customWidth="1"/>
    <col min="3" max="3" width="14.42578125" hidden="1" customWidth="1"/>
    <col min="4" max="4" width="12.42578125" hidden="1" customWidth="1"/>
    <col min="5" max="5" width="11" hidden="1" customWidth="1"/>
    <col min="6" max="6" width="13.5703125" customWidth="1"/>
    <col min="7" max="7" width="11.28515625" hidden="1" customWidth="1"/>
    <col min="8" max="8" width="11" hidden="1" customWidth="1"/>
    <col min="9" max="9" width="11.28515625" bestFit="1" customWidth="1"/>
    <col min="10" max="10" width="12.7109375" customWidth="1"/>
    <col min="11" max="11" width="12.28515625" customWidth="1"/>
    <col min="12" max="12" width="11.7109375" customWidth="1"/>
    <col min="13" max="13" width="11.140625" customWidth="1"/>
    <col min="14" max="14" width="7.140625" customWidth="1"/>
    <col min="15" max="15" width="11.42578125" customWidth="1"/>
    <col min="16" max="16" width="7.5703125" customWidth="1"/>
    <col min="17" max="17" width="11.140625" customWidth="1"/>
    <col min="18" max="18" width="7.5703125" customWidth="1"/>
    <col min="20" max="20" width="4.28515625" customWidth="1"/>
    <col min="21" max="21" width="14.28515625" customWidth="1"/>
    <col min="22" max="22" width="11.140625" hidden="1" customWidth="1"/>
    <col min="23" max="23" width="11.140625" customWidth="1"/>
    <col min="24" max="24" width="12.85546875" customWidth="1"/>
    <col min="25" max="31" width="12.28515625" customWidth="1"/>
    <col min="32" max="32" width="10.5703125" customWidth="1"/>
    <col min="33" max="34" width="9.140625" hidden="1" customWidth="1"/>
    <col min="35" max="35" width="11" customWidth="1"/>
  </cols>
  <sheetData>
    <row r="1" spans="1:42">
      <c r="B1" s="201" t="s">
        <v>614</v>
      </c>
      <c r="C1" s="42"/>
    </row>
    <row r="2" spans="1:42" ht="15" thickBot="1">
      <c r="B2" s="202" t="s">
        <v>615</v>
      </c>
      <c r="K2" s="3"/>
      <c r="L2" s="3"/>
      <c r="M2" s="3"/>
      <c r="N2" s="3"/>
      <c r="O2" s="3"/>
      <c r="P2" s="3"/>
      <c r="Q2" s="3"/>
      <c r="R2" s="3"/>
    </row>
    <row r="3" spans="1:42" s="39" customFormat="1" ht="31.5" customHeight="1" thickBot="1">
      <c r="B3" s="203" t="s">
        <v>616</v>
      </c>
      <c r="C3" s="203"/>
      <c r="D3" s="203"/>
      <c r="E3" s="203"/>
      <c r="F3" s="3557" t="s">
        <v>616</v>
      </c>
      <c r="G3" s="3557"/>
      <c r="H3" s="3557"/>
      <c r="I3" s="3557"/>
      <c r="J3" s="3557"/>
      <c r="K3" s="3557"/>
      <c r="L3" s="3557"/>
      <c r="M3" s="3557"/>
      <c r="N3" s="3557"/>
      <c r="O3" s="3557"/>
      <c r="P3" s="3557"/>
      <c r="Q3" s="218"/>
      <c r="R3" s="218"/>
      <c r="U3" s="3558" t="s">
        <v>617</v>
      </c>
      <c r="V3" s="3559"/>
      <c r="W3" s="3559"/>
      <c r="X3" s="3559"/>
      <c r="Y3" s="3559"/>
      <c r="Z3" s="3559"/>
      <c r="AA3" s="3559"/>
      <c r="AB3" s="3559"/>
      <c r="AC3" s="3559"/>
      <c r="AD3" s="3559"/>
      <c r="AE3" s="351"/>
      <c r="AG3" s="3560" t="s">
        <v>618</v>
      </c>
      <c r="AH3" s="3561"/>
      <c r="AI3" s="3561"/>
      <c r="AJ3" s="3561"/>
      <c r="AK3" s="3561"/>
      <c r="AL3" s="3561"/>
      <c r="AM3" s="3561"/>
      <c r="AN3" s="3562"/>
    </row>
    <row r="4" spans="1:42">
      <c r="B4" s="2569" t="s">
        <v>84</v>
      </c>
      <c r="C4" s="2569">
        <v>2006</v>
      </c>
      <c r="D4" s="3563">
        <v>2007</v>
      </c>
      <c r="E4" s="3564"/>
      <c r="F4" s="2569" t="s">
        <v>84</v>
      </c>
      <c r="G4" s="3565">
        <v>2008</v>
      </c>
      <c r="H4" s="3566"/>
      <c r="I4" s="3565">
        <v>2009</v>
      </c>
      <c r="J4" s="3566"/>
      <c r="K4" s="3567">
        <v>2010</v>
      </c>
      <c r="L4" s="3567"/>
      <c r="M4" s="3568">
        <v>2011</v>
      </c>
      <c r="N4" s="3568"/>
      <c r="O4" s="3568" t="s">
        <v>210</v>
      </c>
      <c r="P4" s="3568"/>
      <c r="Q4" s="3568" t="s">
        <v>211</v>
      </c>
      <c r="R4" s="3568"/>
      <c r="U4" s="352" t="s">
        <v>84</v>
      </c>
      <c r="V4" s="91">
        <v>2006</v>
      </c>
      <c r="W4" s="352" t="s">
        <v>84</v>
      </c>
      <c r="X4" s="167">
        <v>2007</v>
      </c>
      <c r="Y4" s="167">
        <v>2008</v>
      </c>
      <c r="Z4" s="167"/>
      <c r="AA4" s="167">
        <v>2009</v>
      </c>
      <c r="AB4" s="167">
        <v>2010</v>
      </c>
      <c r="AC4" s="168">
        <v>2011</v>
      </c>
      <c r="AD4" s="168" t="s">
        <v>210</v>
      </c>
      <c r="AE4" s="93" t="s">
        <v>211</v>
      </c>
      <c r="AG4" s="348" t="s">
        <v>84</v>
      </c>
      <c r="AH4" s="353">
        <v>2006</v>
      </c>
      <c r="AI4" s="353"/>
      <c r="AJ4" s="167">
        <v>2007</v>
      </c>
      <c r="AK4" s="167">
        <v>2008</v>
      </c>
      <c r="AL4" s="167">
        <v>2009</v>
      </c>
      <c r="AM4" s="167">
        <v>2010</v>
      </c>
      <c r="AN4" s="168">
        <v>2011</v>
      </c>
      <c r="AO4" s="168" t="s">
        <v>210</v>
      </c>
      <c r="AP4" s="168" t="s">
        <v>211</v>
      </c>
    </row>
    <row r="5" spans="1:42" ht="24.75" customHeight="1">
      <c r="B5" s="2570"/>
      <c r="C5" s="2570"/>
      <c r="D5" s="2571" t="s">
        <v>140</v>
      </c>
      <c r="E5" s="2572" t="s">
        <v>141</v>
      </c>
      <c r="F5" s="2572"/>
      <c r="G5" s="2571" t="s">
        <v>140</v>
      </c>
      <c r="H5" s="2572" t="s">
        <v>141</v>
      </c>
      <c r="I5" s="2571" t="s">
        <v>140</v>
      </c>
      <c r="J5" s="2572" t="s">
        <v>141</v>
      </c>
      <c r="K5" s="2571" t="s">
        <v>140</v>
      </c>
      <c r="L5" s="2572" t="s">
        <v>141</v>
      </c>
      <c r="M5" s="2572" t="s">
        <v>140</v>
      </c>
      <c r="N5" s="2572" t="s">
        <v>141</v>
      </c>
      <c r="O5" s="2572" t="s">
        <v>140</v>
      </c>
      <c r="P5" s="2572" t="s">
        <v>141</v>
      </c>
      <c r="Q5" s="2572" t="s">
        <v>140</v>
      </c>
      <c r="R5" s="2572" t="s">
        <v>141</v>
      </c>
      <c r="S5" s="2572" t="s">
        <v>619</v>
      </c>
      <c r="U5" s="24"/>
      <c r="V5" s="24"/>
      <c r="W5" s="24"/>
      <c r="X5" s="2573" t="s">
        <v>140</v>
      </c>
      <c r="Y5" s="2573" t="s">
        <v>140</v>
      </c>
      <c r="Z5" s="2573"/>
      <c r="AA5" s="2573" t="s">
        <v>140</v>
      </c>
      <c r="AB5" s="2573" t="s">
        <v>140</v>
      </c>
      <c r="AC5" s="2573" t="s">
        <v>140</v>
      </c>
      <c r="AD5" s="2573" t="s">
        <v>140</v>
      </c>
      <c r="AE5" s="2573" t="s">
        <v>140</v>
      </c>
      <c r="AG5" s="169"/>
      <c r="AH5" s="169"/>
      <c r="AI5" s="169"/>
      <c r="AJ5" s="2574" t="s">
        <v>140</v>
      </c>
      <c r="AK5" s="2574" t="s">
        <v>140</v>
      </c>
      <c r="AL5" s="2574" t="s">
        <v>140</v>
      </c>
      <c r="AM5" s="2574" t="s">
        <v>140</v>
      </c>
      <c r="AN5" s="2574" t="s">
        <v>140</v>
      </c>
      <c r="AO5" s="2574" t="s">
        <v>140</v>
      </c>
      <c r="AP5" s="2574" t="s">
        <v>140</v>
      </c>
    </row>
    <row r="6" spans="1:42">
      <c r="B6" s="2570"/>
      <c r="C6" s="2570"/>
      <c r="D6" s="2569" t="s">
        <v>142</v>
      </c>
      <c r="E6" s="2569" t="s">
        <v>159</v>
      </c>
      <c r="F6" s="2569"/>
      <c r="G6" s="2569" t="s">
        <v>142</v>
      </c>
      <c r="H6" s="2569" t="s">
        <v>143</v>
      </c>
      <c r="I6" s="2569" t="s">
        <v>142</v>
      </c>
      <c r="J6" s="2569" t="s">
        <v>143</v>
      </c>
      <c r="K6" s="2569" t="s">
        <v>142</v>
      </c>
      <c r="L6" s="2569" t="s">
        <v>143</v>
      </c>
      <c r="M6" s="2569" t="s">
        <v>142</v>
      </c>
      <c r="N6" s="2569" t="s">
        <v>143</v>
      </c>
      <c r="O6" s="2569" t="s">
        <v>142</v>
      </c>
      <c r="P6" s="2569" t="s">
        <v>143</v>
      </c>
      <c r="Q6" s="2569" t="s">
        <v>142</v>
      </c>
      <c r="R6" s="2569" t="s">
        <v>143</v>
      </c>
      <c r="U6" s="25"/>
      <c r="V6" s="25"/>
      <c r="W6" s="25"/>
      <c r="X6" s="26" t="s">
        <v>142</v>
      </c>
      <c r="Y6" s="26" t="s">
        <v>142</v>
      </c>
      <c r="Z6" s="26" t="s">
        <v>620</v>
      </c>
      <c r="AA6" s="26" t="s">
        <v>142</v>
      </c>
      <c r="AB6" s="26" t="s">
        <v>142</v>
      </c>
      <c r="AC6" s="26" t="s">
        <v>142</v>
      </c>
      <c r="AD6" s="26" t="s">
        <v>142</v>
      </c>
      <c r="AE6" s="26" t="s">
        <v>142</v>
      </c>
      <c r="AF6" s="352" t="s">
        <v>621</v>
      </c>
      <c r="AG6" s="170"/>
      <c r="AH6" s="170"/>
      <c r="AI6" s="170"/>
      <c r="AJ6" s="171" t="s">
        <v>142</v>
      </c>
      <c r="AK6" s="171" t="s">
        <v>142</v>
      </c>
      <c r="AL6" s="171" t="s">
        <v>142</v>
      </c>
      <c r="AM6" s="171" t="s">
        <v>142</v>
      </c>
      <c r="AN6" s="171" t="s">
        <v>142</v>
      </c>
      <c r="AO6" s="171" t="s">
        <v>142</v>
      </c>
      <c r="AP6" s="171" t="s">
        <v>142</v>
      </c>
    </row>
    <row r="7" spans="1:42">
      <c r="A7">
        <v>1</v>
      </c>
      <c r="B7" s="2575" t="s">
        <v>181</v>
      </c>
      <c r="C7" s="2575"/>
      <c r="D7" s="2576">
        <v>3788103</v>
      </c>
      <c r="E7" s="2577">
        <f t="shared" ref="E7:E21" si="0">(D7/D$22)*100</f>
        <v>18.294912408464963</v>
      </c>
      <c r="F7" s="2578" t="s">
        <v>125</v>
      </c>
      <c r="G7" s="2576">
        <v>4342218</v>
      </c>
      <c r="H7" s="2577">
        <f>(G7/G$22)*100</f>
        <v>18.389289463382525</v>
      </c>
      <c r="I7" s="2579">
        <v>4632490</v>
      </c>
      <c r="J7" s="2580">
        <f t="shared" ref="J7:J17" si="1">(I7/I$22)*100</f>
        <v>19.298005165339198</v>
      </c>
      <c r="K7" s="2579">
        <v>7783925</v>
      </c>
      <c r="L7" s="2580">
        <f>(K7/K$22)*100</f>
        <v>24.986850325428559</v>
      </c>
      <c r="M7" s="2576">
        <v>7846447</v>
      </c>
      <c r="N7" s="2580">
        <f>(M7/M$22)*100</f>
        <v>22.315226302988211</v>
      </c>
      <c r="O7" s="2576">
        <f>+'[5]P &amp; L LI 2013 &amp; 12'!H144</f>
        <v>6495863</v>
      </c>
      <c r="P7" s="2580">
        <f t="shared" ref="P7:P17" si="2">(O7/O$22)*100</f>
        <v>17.333066860338516</v>
      </c>
      <c r="Q7" s="2576">
        <f>+'[5]P &amp; L LI 2013 &amp; 12'!E144</f>
        <v>6863047</v>
      </c>
      <c r="R7" s="2580">
        <f>(Q7/Q$22)*100</f>
        <v>16.615226841919561</v>
      </c>
      <c r="S7" s="2581">
        <f>+(Q7-O7)/O7*100</f>
        <v>5.6525822665902901</v>
      </c>
      <c r="T7">
        <v>1</v>
      </c>
      <c r="U7" s="2582" t="s">
        <v>185</v>
      </c>
      <c r="V7" s="2582"/>
      <c r="W7" s="2583" t="s">
        <v>129</v>
      </c>
      <c r="X7" s="2584">
        <f t="shared" ref="X7:X12" si="3">VLOOKUP(U7,$B$7:$D$21,3,0)</f>
        <v>6847185</v>
      </c>
      <c r="Y7" s="2584">
        <f t="shared" ref="Y7:Y12" si="4">VLOOKUP(W7,$F$7:$G$21,2,0)</f>
        <v>8257279</v>
      </c>
      <c r="Z7" s="2584">
        <f>VLOOKUP(W7,F72:M86,8,0)</f>
        <v>0</v>
      </c>
      <c r="AA7" s="2584">
        <f t="shared" ref="AA7:AA12" si="5">VLOOKUP(W7,$F$7:$I$21,4,0)</f>
        <v>7522328</v>
      </c>
      <c r="AB7" s="2584">
        <f t="shared" ref="AB7:AB12" si="6">VLOOKUP(W7,$F$7:$K$21,6,0)</f>
        <v>8786120</v>
      </c>
      <c r="AC7" s="2584">
        <f t="shared" ref="AC7:AC12" si="7">VLOOKUP(W7,$F$7:$M$21,8,0)</f>
        <v>9815942.7451399993</v>
      </c>
      <c r="AD7" s="2584">
        <f t="shared" ref="AD7:AD12" si="8">VLOOKUP(W7,$F$7:$O$21,10,0)</f>
        <v>10829470</v>
      </c>
      <c r="AE7" s="2584">
        <f t="shared" ref="AE7:AE12" si="9">VLOOKUP(W7,$F$7:$Q$21,12,0)</f>
        <v>11122906.218729999</v>
      </c>
      <c r="AF7">
        <f>VLOOKUP(W7,F72:R86,12,0)</f>
        <v>1</v>
      </c>
      <c r="AG7" s="1772" t="s">
        <v>185</v>
      </c>
      <c r="AI7" s="354" t="s">
        <v>129</v>
      </c>
      <c r="AJ7" s="355">
        <f>+X7/$D$22*100</f>
        <v>33.068966134119151</v>
      </c>
      <c r="AK7" s="355">
        <f>+Y7/$G$22*100</f>
        <v>34.969569402298504</v>
      </c>
      <c r="AL7" s="355">
        <f>+AA7/$I$22*100</f>
        <v>31.3364787834136</v>
      </c>
      <c r="AM7" s="355">
        <f>+AB7/$K$22*100+0.01</f>
        <v>28.213954352239309</v>
      </c>
      <c r="AN7" s="355">
        <f>+AC7/$M$22*100-0.01</f>
        <v>27.906454891618385</v>
      </c>
      <c r="AO7" s="356">
        <f>+AD7/$O$22*100</f>
        <v>28.896534236025325</v>
      </c>
      <c r="AP7" s="356">
        <f>+AE7/$Q$22*100</f>
        <v>26.928215698595199</v>
      </c>
    </row>
    <row r="8" spans="1:42">
      <c r="A8">
        <v>2</v>
      </c>
      <c r="B8" s="2575" t="s">
        <v>180</v>
      </c>
      <c r="C8" s="2575"/>
      <c r="D8" s="2576">
        <v>0</v>
      </c>
      <c r="E8" s="2577">
        <f t="shared" si="0"/>
        <v>0</v>
      </c>
      <c r="F8" s="2578" t="s">
        <v>92</v>
      </c>
      <c r="G8" s="2576">
        <v>4013</v>
      </c>
      <c r="H8" s="2577">
        <f>(G8/G$22)*100</f>
        <v>1.6995051518959681E-2</v>
      </c>
      <c r="I8" s="2579">
        <v>101816</v>
      </c>
      <c r="J8" s="2580">
        <f t="shared" si="1"/>
        <v>0.42414461637568046</v>
      </c>
      <c r="K8" s="2579">
        <v>204813.75133999999</v>
      </c>
      <c r="L8" s="2580">
        <f>(K8/K$22)*100</f>
        <v>0.65746401067869009</v>
      </c>
      <c r="M8" s="2576">
        <v>351299.33501599997</v>
      </c>
      <c r="N8" s="2580">
        <f>(M8/M$22)*100</f>
        <v>0.9990922210997295</v>
      </c>
      <c r="O8" s="2576">
        <f>+'[5]P &amp; L LI 2013 &amp; 12'!H110</f>
        <v>532141.81854000001</v>
      </c>
      <c r="P8" s="2580">
        <f t="shared" si="2"/>
        <v>1.4199267626081318</v>
      </c>
      <c r="Q8" s="2576">
        <f>+'[5]P &amp; L LI 2013 &amp; 12'!E110</f>
        <v>828789.90813200013</v>
      </c>
      <c r="R8" s="2580">
        <f t="shared" ref="R8:R17" si="10">(Q8/Q$22)*100</f>
        <v>2.006475014364153</v>
      </c>
      <c r="S8" s="2581">
        <f>+(Q8-O8)/O8*100</f>
        <v>55.746058523626765</v>
      </c>
      <c r="T8">
        <v>2</v>
      </c>
      <c r="U8" s="2582" t="s">
        <v>181</v>
      </c>
      <c r="V8" s="2582"/>
      <c r="W8" s="2583" t="s">
        <v>125</v>
      </c>
      <c r="X8" s="2584">
        <f t="shared" si="3"/>
        <v>3788103</v>
      </c>
      <c r="Y8" s="2584">
        <f t="shared" si="4"/>
        <v>4342218</v>
      </c>
      <c r="Z8" s="2584">
        <f>VLOOKUP(W8,F73:M87,8,0)</f>
        <v>0</v>
      </c>
      <c r="AA8" s="2584">
        <f t="shared" si="5"/>
        <v>4632490</v>
      </c>
      <c r="AB8" s="2584">
        <f t="shared" si="6"/>
        <v>7783925</v>
      </c>
      <c r="AC8" s="2584">
        <f t="shared" si="7"/>
        <v>7846447</v>
      </c>
      <c r="AD8" s="2584">
        <f t="shared" si="8"/>
        <v>6495863</v>
      </c>
      <c r="AE8" s="2584">
        <f t="shared" si="9"/>
        <v>6863047</v>
      </c>
      <c r="AF8">
        <f>VLOOKUP(W9,F74:S88,12,0)</f>
        <v>2</v>
      </c>
      <c r="AG8" s="1772" t="s">
        <v>195</v>
      </c>
      <c r="AI8" s="354" t="s">
        <v>115</v>
      </c>
      <c r="AJ8" s="355">
        <f>+X9/$D$22*100</f>
        <v>21.625041673190985</v>
      </c>
      <c r="AK8" s="355">
        <f>+Y9/$G$22*100</f>
        <v>19.048683063321111</v>
      </c>
      <c r="AL8" s="355">
        <f>+AA9/$I$22*100</f>
        <v>20.07854919055319</v>
      </c>
      <c r="AM8" s="355">
        <f>+AB9/$K$22*100</f>
        <v>19.29199565899334</v>
      </c>
      <c r="AN8" s="355">
        <f>+AC9/$M$22*100</f>
        <v>19.177240244143764</v>
      </c>
      <c r="AO8" s="356">
        <f>+AD9/$O$22*100</f>
        <v>19.662962850370686</v>
      </c>
      <c r="AP8" s="356">
        <f>+AE9/Q22*100</f>
        <v>19.537136580879157</v>
      </c>
    </row>
    <row r="9" spans="1:42">
      <c r="A9">
        <v>3</v>
      </c>
      <c r="B9" s="2575" t="s">
        <v>182</v>
      </c>
      <c r="C9" s="2575"/>
      <c r="D9" s="2576">
        <v>130986</v>
      </c>
      <c r="E9" s="2577">
        <f t="shared" si="0"/>
        <v>0.63260618751263942</v>
      </c>
      <c r="F9" s="2578" t="s">
        <v>126</v>
      </c>
      <c r="G9" s="2576">
        <v>188676</v>
      </c>
      <c r="H9" s="2577">
        <f>(G9/G$22)*100</f>
        <v>0.79904269633472147</v>
      </c>
      <c r="I9" s="2579">
        <v>207097</v>
      </c>
      <c r="J9" s="2580">
        <f t="shared" si="1"/>
        <v>0.86272371353769839</v>
      </c>
      <c r="K9" s="2579">
        <v>240155.78</v>
      </c>
      <c r="L9" s="2580">
        <f>(K9/K$22)*100</f>
        <v>0.77091397073411538</v>
      </c>
      <c r="M9" s="2576">
        <v>303786.40899999999</v>
      </c>
      <c r="N9" s="2580">
        <f>(M9/M$22)*100</f>
        <v>0.86396587711701034</v>
      </c>
      <c r="O9" s="2576">
        <f>+'[5]P &amp; L LI 2013 &amp; 12'!H178</f>
        <v>364758.88936999999</v>
      </c>
      <c r="P9" s="2580">
        <f t="shared" si="2"/>
        <v>0.97329488281280419</v>
      </c>
      <c r="Q9" s="2576">
        <f>+'[5]P &amp; L LI 2013 &amp; 12'!E178</f>
        <v>542986.16200000001</v>
      </c>
      <c r="R9" s="2580">
        <f t="shared" si="10"/>
        <v>1.3145528879014354</v>
      </c>
      <c r="S9" s="2581">
        <f>+(Q9-O9)/O9*100</f>
        <v>48.861666658166584</v>
      </c>
      <c r="T9">
        <v>3</v>
      </c>
      <c r="U9" s="2582" t="s">
        <v>195</v>
      </c>
      <c r="V9" s="2582"/>
      <c r="W9" s="2583" t="s">
        <v>115</v>
      </c>
      <c r="X9" s="2584">
        <f t="shared" si="3"/>
        <v>4477632</v>
      </c>
      <c r="Y9" s="2584">
        <f t="shared" si="4"/>
        <v>4497919</v>
      </c>
      <c r="Z9" s="2584">
        <f>VLOOKUP(W9,F74:M88,8,0)</f>
        <v>0</v>
      </c>
      <c r="AA9" s="2584">
        <f t="shared" si="5"/>
        <v>4819859.7493799999</v>
      </c>
      <c r="AB9" s="2584">
        <f t="shared" si="6"/>
        <v>6009859</v>
      </c>
      <c r="AC9" s="2584">
        <f t="shared" si="7"/>
        <v>6743072.964569998</v>
      </c>
      <c r="AD9" s="2584">
        <f t="shared" si="8"/>
        <v>7369031.3364199949</v>
      </c>
      <c r="AE9" s="2584">
        <f t="shared" si="9"/>
        <v>8069964.2487999983</v>
      </c>
      <c r="AF9">
        <f>VLOOKUP(W8,F73:S87,12,0)</f>
        <v>3</v>
      </c>
      <c r="AG9" s="1772" t="s">
        <v>181</v>
      </c>
      <c r="AI9" s="354" t="s">
        <v>125</v>
      </c>
      <c r="AJ9" s="355">
        <f>+X8/$D$22*100</f>
        <v>18.294912408464963</v>
      </c>
      <c r="AK9" s="355">
        <f>+Y8/$G$22*100</f>
        <v>18.389289463382525</v>
      </c>
      <c r="AL9" s="355">
        <f>+AA8/$I$22*100</f>
        <v>19.298005165339198</v>
      </c>
      <c r="AM9" s="355">
        <f>+AB8/$K$22*100</f>
        <v>24.986850325428559</v>
      </c>
      <c r="AN9" s="355">
        <f>+AC8/$M$22*100</f>
        <v>22.315226302988211</v>
      </c>
      <c r="AO9" s="356">
        <f>+AD8/$O$22*100</f>
        <v>17.333066860338516</v>
      </c>
      <c r="AP9" s="356">
        <f>+AE8/Q22*100</f>
        <v>16.615226841919561</v>
      </c>
    </row>
    <row r="10" spans="1:42">
      <c r="A10">
        <v>4</v>
      </c>
      <c r="B10" s="2575" t="s">
        <v>178</v>
      </c>
      <c r="C10" s="2575"/>
      <c r="D10" s="2576"/>
      <c r="E10" s="2585">
        <f t="shared" si="0"/>
        <v>0</v>
      </c>
      <c r="F10" s="2578" t="s">
        <v>95</v>
      </c>
      <c r="G10" s="2585"/>
      <c r="H10" s="2585">
        <v>0</v>
      </c>
      <c r="I10" s="2585"/>
      <c r="J10" s="2585">
        <f t="shared" si="1"/>
        <v>0</v>
      </c>
      <c r="K10" s="2585"/>
      <c r="L10" s="2585">
        <f>(K10/K$22)*100</f>
        <v>0</v>
      </c>
      <c r="M10" s="2576">
        <v>0</v>
      </c>
      <c r="N10" s="2580">
        <f>(M10/M$22)*100</f>
        <v>0</v>
      </c>
      <c r="O10" s="2576">
        <f>+'[5]P &amp; L LI 2013 &amp; 12'!H76</f>
        <v>101900.14992770001</v>
      </c>
      <c r="P10" s="2580">
        <f t="shared" si="2"/>
        <v>0.27190261121198883</v>
      </c>
      <c r="Q10" s="2576">
        <f>+'[5]P &amp; L LI 2013 &amp; 12'!E76</f>
        <v>206494.24839999998</v>
      </c>
      <c r="R10" s="2580">
        <f t="shared" si="10"/>
        <v>0.49991625858276723</v>
      </c>
      <c r="S10" s="2581">
        <f>+(Q10-O10)/O10*100</f>
        <v>102.64371401466177</v>
      </c>
      <c r="T10">
        <v>4</v>
      </c>
      <c r="U10" s="2582" t="s">
        <v>197</v>
      </c>
      <c r="V10" s="2586"/>
      <c r="W10" s="2583" t="s">
        <v>136</v>
      </c>
      <c r="X10" s="2584">
        <f t="shared" si="3"/>
        <v>2163480</v>
      </c>
      <c r="Y10" s="2584">
        <f t="shared" si="4"/>
        <v>2503887</v>
      </c>
      <c r="Z10" s="2584">
        <f>VLOOKUP(W10,F75:M89,8,0)</f>
        <v>0</v>
      </c>
      <c r="AA10" s="2584">
        <f t="shared" si="5"/>
        <v>2778184</v>
      </c>
      <c r="AB10" s="2584">
        <f t="shared" si="6"/>
        <v>3465505</v>
      </c>
      <c r="AC10" s="2584">
        <f t="shared" si="7"/>
        <v>4471627</v>
      </c>
      <c r="AD10" s="2584">
        <f t="shared" si="8"/>
        <v>5106323</v>
      </c>
      <c r="AE10" s="2584">
        <f t="shared" si="9"/>
        <v>5515063</v>
      </c>
      <c r="AF10">
        <f>VLOOKUP(W10,F75:S89,12,0)</f>
        <v>4</v>
      </c>
      <c r="AG10" s="1772" t="s">
        <v>197</v>
      </c>
      <c r="AI10" s="354" t="s">
        <v>136</v>
      </c>
      <c r="AJ10" s="355">
        <f>+X10/$D$22*100</f>
        <v>10.448680275448103</v>
      </c>
      <c r="AK10" s="355">
        <f>+Y10/$G$22*100</f>
        <v>10.603959273026016</v>
      </c>
      <c r="AL10" s="355">
        <f>+AA10/$I$22*100</f>
        <v>11.57334590733336</v>
      </c>
      <c r="AM10" s="355">
        <f>+AB10/$K$22*100</f>
        <v>11.124471874667895</v>
      </c>
      <c r="AN10" s="355">
        <f>+AC10/$M$22*100</f>
        <v>12.717267885394786</v>
      </c>
      <c r="AO10" s="356">
        <f>+AD10/$O$22*100</f>
        <v>13.625323989973982</v>
      </c>
      <c r="AP10" s="356">
        <f>+AE10/$Q$22*100</f>
        <v>13.351798813628616</v>
      </c>
    </row>
    <row r="11" spans="1:42">
      <c r="A11">
        <v>5</v>
      </c>
      <c r="B11" s="2575" t="s">
        <v>177</v>
      </c>
      <c r="C11" s="2575"/>
      <c r="D11" s="2576">
        <v>890793</v>
      </c>
      <c r="E11" s="2577">
        <f t="shared" si="0"/>
        <v>4.3021480432484891</v>
      </c>
      <c r="F11" s="2578" t="s">
        <v>124</v>
      </c>
      <c r="G11" s="2576">
        <v>970077</v>
      </c>
      <c r="H11" s="2577">
        <f>(G11/G$22)*100</f>
        <v>4.1082752535155374</v>
      </c>
      <c r="I11" s="2579">
        <v>1009031</v>
      </c>
      <c r="J11" s="2580">
        <f t="shared" si="1"/>
        <v>4.2034166182738391</v>
      </c>
      <c r="K11" s="2579">
        <v>1242608.3961700001</v>
      </c>
      <c r="L11" s="2580">
        <f>(K11/K$22)*100</f>
        <v>3.9888449603793239</v>
      </c>
      <c r="M11" s="2576">
        <v>1579190.622</v>
      </c>
      <c r="N11" s="2580">
        <f>(M11/M$22)*100</f>
        <v>4.4912042489405346</v>
      </c>
      <c r="O11" s="2576">
        <f>+'[5]P &amp; L LI 2013 &amp; 12'!H42</f>
        <v>2034084</v>
      </c>
      <c r="P11" s="2580">
        <f t="shared" si="2"/>
        <v>5.4275950665130734</v>
      </c>
      <c r="Q11" s="2576">
        <f>+'[5]P &amp; L LI 2013 &amp; 12'!E42</f>
        <v>2520283</v>
      </c>
      <c r="R11" s="2580">
        <f t="shared" si="10"/>
        <v>6.1015280459005394</v>
      </c>
      <c r="S11" s="2581">
        <f t="shared" ref="S11:S21" si="11">+(Q11-O11)/O11*100</f>
        <v>23.902601859116928</v>
      </c>
      <c r="T11">
        <v>5</v>
      </c>
      <c r="U11" s="357" t="s">
        <v>177</v>
      </c>
      <c r="W11" s="354" t="s">
        <v>124</v>
      </c>
      <c r="X11" s="2584">
        <f t="shared" si="3"/>
        <v>890793</v>
      </c>
      <c r="Y11" s="2584">
        <f t="shared" si="4"/>
        <v>970077</v>
      </c>
      <c r="Z11" s="2584"/>
      <c r="AA11" s="2584">
        <f t="shared" si="5"/>
        <v>1009031</v>
      </c>
      <c r="AB11" s="2584">
        <f t="shared" si="6"/>
        <v>1242608.3961700001</v>
      </c>
      <c r="AC11" s="2584">
        <f t="shared" si="7"/>
        <v>1579190.622</v>
      </c>
      <c r="AD11" s="2584">
        <f t="shared" si="8"/>
        <v>2034084</v>
      </c>
      <c r="AE11" s="2584">
        <f t="shared" si="9"/>
        <v>2520283</v>
      </c>
      <c r="AF11">
        <v>5</v>
      </c>
      <c r="AG11" s="357" t="s">
        <v>177</v>
      </c>
      <c r="AI11" s="354" t="s">
        <v>124</v>
      </c>
      <c r="AK11" s="9">
        <f>+Y11/G22*100</f>
        <v>4.1082752535155374</v>
      </c>
      <c r="AL11" s="9">
        <f>+AA11/I22*100</f>
        <v>4.2034166182738391</v>
      </c>
      <c r="AM11" s="9">
        <f>+AB11/K22*100</f>
        <v>3.9888449603793239</v>
      </c>
      <c r="AN11" s="9">
        <f>+AC11/M22*100</f>
        <v>4.4912042489405346</v>
      </c>
      <c r="AO11" s="9">
        <f>+AD11/O22*100</f>
        <v>5.4275950665130734</v>
      </c>
      <c r="AP11" s="356">
        <f>+AE11/$Q$22*100</f>
        <v>6.1015280459005394</v>
      </c>
    </row>
    <row r="12" spans="1:42">
      <c r="A12">
        <v>6</v>
      </c>
      <c r="B12" s="2575" t="s">
        <v>185</v>
      </c>
      <c r="C12" s="2575"/>
      <c r="D12" s="2576">
        <v>6847185</v>
      </c>
      <c r="E12" s="2577">
        <f t="shared" si="0"/>
        <v>33.068966134119151</v>
      </c>
      <c r="F12" s="2578" t="s">
        <v>129</v>
      </c>
      <c r="G12" s="2576">
        <v>8257279</v>
      </c>
      <c r="H12" s="2577">
        <f>(G12/G$22)*100</f>
        <v>34.969569402298504</v>
      </c>
      <c r="I12" s="2579">
        <v>7522328</v>
      </c>
      <c r="J12" s="2580">
        <f t="shared" si="1"/>
        <v>31.3364787834136</v>
      </c>
      <c r="K12" s="2579">
        <v>8786120</v>
      </c>
      <c r="L12" s="2580">
        <f>(K12/K$22)*100+0.01</f>
        <v>28.213954352239309</v>
      </c>
      <c r="M12" s="2576">
        <v>9815942.7451399993</v>
      </c>
      <c r="N12" s="2580">
        <f>(M12/M$22)*100-0.01</f>
        <v>27.906454891618385</v>
      </c>
      <c r="O12" s="2576">
        <f>+'[5]P &amp; L LI 2013 &amp; 12'!H212</f>
        <v>10829470</v>
      </c>
      <c r="P12" s="2580">
        <f t="shared" si="2"/>
        <v>28.896534236025325</v>
      </c>
      <c r="Q12" s="2576">
        <f>+'[5]P &amp; L LI 2013 &amp; 12'!E212</f>
        <v>11122906.218729999</v>
      </c>
      <c r="R12" s="2580">
        <f t="shared" si="10"/>
        <v>26.928215698595199</v>
      </c>
      <c r="S12" s="2581">
        <f t="shared" si="11"/>
        <v>2.709608307054721</v>
      </c>
      <c r="T12">
        <v>6</v>
      </c>
      <c r="U12" s="2582" t="s">
        <v>189</v>
      </c>
      <c r="V12" s="2582"/>
      <c r="W12" s="2583" t="s">
        <v>133</v>
      </c>
      <c r="X12" s="2584">
        <f t="shared" si="3"/>
        <v>1206033</v>
      </c>
      <c r="Y12" s="2584">
        <f t="shared" si="4"/>
        <v>1426160</v>
      </c>
      <c r="Z12" s="2584">
        <f>VLOOKUP(W12,F76:M90,8,0)</f>
        <v>0</v>
      </c>
      <c r="AA12" s="2584">
        <f t="shared" si="5"/>
        <v>1431628</v>
      </c>
      <c r="AB12" s="2584">
        <f t="shared" si="6"/>
        <v>1685409</v>
      </c>
      <c r="AC12" s="2584">
        <f t="shared" si="7"/>
        <v>1871986.46325</v>
      </c>
      <c r="AD12" s="2584">
        <f t="shared" si="8"/>
        <v>2025075.1086100002</v>
      </c>
      <c r="AE12" s="2584">
        <f t="shared" si="9"/>
        <v>2150506.5177199999</v>
      </c>
      <c r="AF12">
        <f>VLOOKUP(W12,F76:S90,12,0)</f>
        <v>6</v>
      </c>
      <c r="AG12" s="1772" t="s">
        <v>189</v>
      </c>
      <c r="AI12" s="354" t="s">
        <v>381</v>
      </c>
      <c r="AL12" s="9">
        <f>100-(AL7+AL8+AL9+AL10+AL11)</f>
        <v>13.510204335086812</v>
      </c>
      <c r="AM12" s="9">
        <f>100-(AM7+AM8+AM9+AM10+AM11)</f>
        <v>12.393882828291581</v>
      </c>
      <c r="AN12" s="9">
        <f>100-(AN7+AN8+AN9+AN10+AN11)</f>
        <v>13.392606426914313</v>
      </c>
      <c r="AO12" s="9">
        <f>100-(AO7+AO8+AO9+AO10+AO11)</f>
        <v>15.054516996778418</v>
      </c>
      <c r="AP12" s="9">
        <f>100-(AP7+AP8+AP9+AP10+AP11)</f>
        <v>17.46609401907692</v>
      </c>
    </row>
    <row r="13" spans="1:42">
      <c r="A13">
        <v>7</v>
      </c>
      <c r="B13" s="2575" t="s">
        <v>186</v>
      </c>
      <c r="C13" s="2575"/>
      <c r="D13" s="2576">
        <v>100392.815</v>
      </c>
      <c r="E13" s="2577">
        <f t="shared" si="0"/>
        <v>0.48485422832067332</v>
      </c>
      <c r="F13" s="2578" t="s">
        <v>130</v>
      </c>
      <c r="G13" s="2576">
        <v>131003.72199999999</v>
      </c>
      <c r="H13" s="2577">
        <f>(G13/G$22)*100</f>
        <v>0.55480064903201387</v>
      </c>
      <c r="I13" s="2576">
        <v>149401.253</v>
      </c>
      <c r="J13" s="2580">
        <f t="shared" si="1"/>
        <v>0.62237504065894333</v>
      </c>
      <c r="K13" s="2576">
        <v>233539.66399999999</v>
      </c>
      <c r="L13" s="2580">
        <f>(K13/K$22)*100</f>
        <v>0.74967585497276457</v>
      </c>
      <c r="M13" s="2576">
        <v>269578.71580000001</v>
      </c>
      <c r="N13" s="2580">
        <f t="shared" ref="N13:N21" si="12">(M13/M$22)*100</f>
        <v>0.76667949831891347</v>
      </c>
      <c r="O13" s="2576">
        <f>+'[5]P &amp; L LI 2013 &amp; 12'!H246</f>
        <v>312055.98389999999</v>
      </c>
      <c r="P13" s="2580">
        <f t="shared" si="2"/>
        <v>0.83266645757575553</v>
      </c>
      <c r="Q13" s="2576">
        <f>+'[5]P &amp; L LI 2013 &amp; 12'!E246</f>
        <v>337975.97847999999</v>
      </c>
      <c r="R13" s="2580">
        <f t="shared" si="10"/>
        <v>0.81822950499463643</v>
      </c>
      <c r="S13" s="2581">
        <f t="shared" si="11"/>
        <v>8.3062001426981773</v>
      </c>
      <c r="U13" s="2587" t="s">
        <v>118</v>
      </c>
      <c r="V13" s="2588">
        <v>17104186</v>
      </c>
      <c r="W13" s="2589" t="s">
        <v>118</v>
      </c>
      <c r="X13" s="2590"/>
      <c r="Y13" s="2590"/>
      <c r="Z13" s="2590"/>
      <c r="AA13" s="2590"/>
      <c r="AB13" s="2590"/>
      <c r="AC13" s="2590"/>
      <c r="AD13" s="2590"/>
      <c r="AE13" s="2590"/>
      <c r="AG13" s="1777" t="s">
        <v>118</v>
      </c>
    </row>
    <row r="14" spans="1:42">
      <c r="A14">
        <v>8</v>
      </c>
      <c r="B14" s="2575" t="s">
        <v>188</v>
      </c>
      <c r="C14" s="2575"/>
      <c r="D14" s="2576">
        <v>767576</v>
      </c>
      <c r="E14" s="2577">
        <f t="shared" si="0"/>
        <v>3.7070627928648991</v>
      </c>
      <c r="F14" s="2578" t="s">
        <v>132</v>
      </c>
      <c r="G14" s="2576">
        <v>914170</v>
      </c>
      <c r="H14" s="2577">
        <f>(G14/G$22)*100</f>
        <v>3.8715091570115554</v>
      </c>
      <c r="I14" s="2576">
        <v>984866</v>
      </c>
      <c r="J14" s="2580">
        <f t="shared" si="1"/>
        <v>4.1027501743483432</v>
      </c>
      <c r="K14" s="2576">
        <v>1084480</v>
      </c>
      <c r="L14" s="2580">
        <f>(K14/K$22)*100</f>
        <v>3.4812436451945215</v>
      </c>
      <c r="M14" s="2576">
        <v>1290367.39479</v>
      </c>
      <c r="N14" s="2580">
        <f t="shared" si="12"/>
        <v>3.6697935293179427</v>
      </c>
      <c r="O14" s="2576">
        <f>+'[5]P &amp; L LI 2013 &amp; 12'!H280</f>
        <v>1500027.7209900001</v>
      </c>
      <c r="P14" s="2580">
        <f t="shared" si="2"/>
        <v>4.002559903169276</v>
      </c>
      <c r="Q14" s="2576">
        <f>+'[5]P &amp; L LI 2013 &amp; 12'!E280</f>
        <v>2014547</v>
      </c>
      <c r="R14" s="2580">
        <f t="shared" si="10"/>
        <v>4.8771566606943724</v>
      </c>
      <c r="S14" s="2581">
        <f t="shared" si="11"/>
        <v>34.300651368657604</v>
      </c>
      <c r="U14" s="2591" t="s">
        <v>622</v>
      </c>
      <c r="V14" s="3092"/>
      <c r="W14" s="3152" t="s">
        <v>622</v>
      </c>
      <c r="X14" s="3153">
        <f>+D23</f>
        <v>21.056756603325045</v>
      </c>
      <c r="Y14" s="3154">
        <f>+G23</f>
        <v>14.039480356386793</v>
      </c>
      <c r="Z14" s="3154"/>
      <c r="AA14" s="3154">
        <f>+I23</f>
        <v>1.6612388871432187</v>
      </c>
      <c r="AB14" s="3154">
        <f>+K23</f>
        <v>29.773212388164644</v>
      </c>
      <c r="AC14" s="3154">
        <f>+M23</f>
        <v>12.871584749204711</v>
      </c>
      <c r="AD14" s="3154">
        <f>+O23</f>
        <v>6.5834305410152814</v>
      </c>
      <c r="AE14" s="2592">
        <f>+Q23</f>
        <v>10.217169456511401</v>
      </c>
      <c r="AG14" s="3093" t="s">
        <v>622</v>
      </c>
      <c r="AI14" s="354" t="s">
        <v>133</v>
      </c>
      <c r="AJ14" s="355">
        <f>+X12/$D$22*100</f>
        <v>5.8246220065078029</v>
      </c>
      <c r="AK14" s="355">
        <f>+Y12/$G$22*100</f>
        <v>6.0397863628904913</v>
      </c>
      <c r="AL14" s="355">
        <f>+AA12/$I$22*100</f>
        <v>5.9638692234293496</v>
      </c>
      <c r="AM14" s="355">
        <f>+AB12/$K$22*100</f>
        <v>5.410260558796522</v>
      </c>
      <c r="AN14" s="355">
        <f>+AC12/$M$22*100</f>
        <v>5.323913047976272</v>
      </c>
      <c r="AO14" s="356">
        <f>+AD12/$O$22*100</f>
        <v>5.403556425796606</v>
      </c>
      <c r="AP14" s="356">
        <f>+AE12/$Q$22*100</f>
        <v>5.2063104940042386</v>
      </c>
    </row>
    <row r="15" spans="1:42">
      <c r="A15">
        <v>9</v>
      </c>
      <c r="B15" s="2575" t="s">
        <v>189</v>
      </c>
      <c r="C15" s="2575"/>
      <c r="D15" s="2576">
        <v>1206033</v>
      </c>
      <c r="E15" s="2577">
        <f t="shared" si="0"/>
        <v>5.8246220065078029</v>
      </c>
      <c r="F15" s="2578" t="s">
        <v>133</v>
      </c>
      <c r="G15" s="2576">
        <v>1426160</v>
      </c>
      <c r="H15" s="2577">
        <f>(G15/G$22)*100+0.01</f>
        <v>6.0497863628904911</v>
      </c>
      <c r="I15" s="2576">
        <v>1431628</v>
      </c>
      <c r="J15" s="2580">
        <f t="shared" si="1"/>
        <v>5.9638692234293496</v>
      </c>
      <c r="K15" s="2576">
        <v>1685409</v>
      </c>
      <c r="L15" s="2580">
        <f>(K15/K$22)*100+0.01</f>
        <v>5.4202605587965218</v>
      </c>
      <c r="M15" s="2576">
        <v>1871986.46325</v>
      </c>
      <c r="N15" s="2580">
        <f t="shared" si="12"/>
        <v>5.323913047976272</v>
      </c>
      <c r="O15" s="2576">
        <f>+'[5]P &amp; L LI 2013 &amp; 12'!H314</f>
        <v>2025075.1086100002</v>
      </c>
      <c r="P15" s="2580">
        <f t="shared" si="2"/>
        <v>5.403556425796606</v>
      </c>
      <c r="Q15" s="2576">
        <f>+'[5]P &amp; L LI 2013 &amp; 12'!E314</f>
        <v>2150506.5177199999</v>
      </c>
      <c r="R15" s="2580">
        <f t="shared" si="10"/>
        <v>5.2063104940042386</v>
      </c>
      <c r="S15" s="2581">
        <f t="shared" si="11"/>
        <v>6.1939139233257894</v>
      </c>
      <c r="U15" s="350"/>
      <c r="V15" s="27"/>
      <c r="W15" s="358"/>
      <c r="X15" s="359"/>
      <c r="Y15" s="100"/>
      <c r="Z15" s="100"/>
      <c r="AA15" s="100"/>
      <c r="AB15" s="100"/>
      <c r="AC15" s="100"/>
      <c r="AD15" s="100"/>
      <c r="AE15" s="2593"/>
      <c r="AI15" s="38" t="s">
        <v>623</v>
      </c>
      <c r="AJ15" s="38"/>
      <c r="AK15" s="360">
        <f>+(Y7-X7)/X7*100</f>
        <v>20.593776858665276</v>
      </c>
      <c r="AL15" s="360">
        <f>+(AA7-Y7)/Y7*100</f>
        <v>-8.9006439046082857</v>
      </c>
      <c r="AM15" s="360">
        <f t="shared" ref="AM15:AP18" si="13">+(AB7-AA7)/AA7*100</f>
        <v>16.80054366148352</v>
      </c>
      <c r="AN15" s="360">
        <f t="shared" si="13"/>
        <v>11.721018437490033</v>
      </c>
      <c r="AO15" s="360">
        <f t="shared" si="13"/>
        <v>10.325317508211947</v>
      </c>
      <c r="AP15" s="361">
        <f t="shared" si="13"/>
        <v>2.709608307054721</v>
      </c>
    </row>
    <row r="16" spans="1:42">
      <c r="A16">
        <v>10</v>
      </c>
      <c r="B16" s="2575" t="s">
        <v>190</v>
      </c>
      <c r="C16" s="2575"/>
      <c r="D16" s="2576">
        <v>254238</v>
      </c>
      <c r="E16" s="2577">
        <f t="shared" si="0"/>
        <v>1.2278604728813645</v>
      </c>
      <c r="F16" s="2578" t="s">
        <v>106</v>
      </c>
      <c r="G16" s="2576">
        <v>255099</v>
      </c>
      <c r="H16" s="2577">
        <f t="shared" ref="H16:H21" si="14">(G16/G$22)*100</f>
        <v>1.0803440437166947</v>
      </c>
      <c r="I16" s="2576">
        <v>251150</v>
      </c>
      <c r="J16" s="2580">
        <f t="shared" si="1"/>
        <v>1.0462394948019185</v>
      </c>
      <c r="K16" s="2576">
        <v>252656</v>
      </c>
      <c r="L16" s="2580">
        <f>(K16/K$22)*100</f>
        <v>0.81104040131700617</v>
      </c>
      <c r="M16" s="2576">
        <v>295859</v>
      </c>
      <c r="N16" s="2580">
        <f t="shared" si="12"/>
        <v>0.84142039559762394</v>
      </c>
      <c r="O16" s="2576">
        <f>+'[5]P &amp; L LI 2013 &amp; 12'!H348</f>
        <v>303344</v>
      </c>
      <c r="P16" s="2580">
        <f t="shared" si="2"/>
        <v>0.8094200622276867</v>
      </c>
      <c r="Q16" s="2576">
        <f>+'[5]P &amp; L LI 2013 &amp; 12'!E348</f>
        <v>322712</v>
      </c>
      <c r="R16" s="2580">
        <f t="shared" si="10"/>
        <v>0.78127588002960568</v>
      </c>
      <c r="S16" s="2581">
        <f t="shared" si="11"/>
        <v>6.3848304235455453</v>
      </c>
      <c r="AI16" s="38" t="s">
        <v>624</v>
      </c>
      <c r="AJ16" s="38"/>
      <c r="AK16" s="360">
        <f>+(Y8-X8)/X8*100</f>
        <v>14.627770153029102</v>
      </c>
      <c r="AL16" s="360">
        <f>+(AA8-Y8)/Y8*100</f>
        <v>6.6848785574561198</v>
      </c>
      <c r="AM16" s="360">
        <f t="shared" si="13"/>
        <v>68.028964984274126</v>
      </c>
      <c r="AN16" s="360">
        <f t="shared" si="13"/>
        <v>0.803219455480365</v>
      </c>
      <c r="AO16" s="360">
        <f t="shared" si="13"/>
        <v>-17.212682377131969</v>
      </c>
      <c r="AP16" s="361">
        <f t="shared" si="13"/>
        <v>5.6525822665902901</v>
      </c>
    </row>
    <row r="17" spans="1:42">
      <c r="A17">
        <v>11</v>
      </c>
      <c r="B17" s="2575" t="s">
        <v>191</v>
      </c>
      <c r="C17" s="2575"/>
      <c r="D17" s="2585">
        <v>0</v>
      </c>
      <c r="E17" s="2585">
        <f t="shared" si="0"/>
        <v>0</v>
      </c>
      <c r="F17" s="2578" t="s">
        <v>134</v>
      </c>
      <c r="G17" s="2585">
        <v>0</v>
      </c>
      <c r="H17" s="2585">
        <f t="shared" si="14"/>
        <v>0</v>
      </c>
      <c r="I17" s="2585">
        <v>0</v>
      </c>
      <c r="J17" s="2585">
        <f t="shared" si="1"/>
        <v>0</v>
      </c>
      <c r="K17" s="2576">
        <v>0</v>
      </c>
      <c r="L17" s="2580">
        <f>(K17/K$22)*100</f>
        <v>0</v>
      </c>
      <c r="M17" s="2576">
        <v>51426.839</v>
      </c>
      <c r="N17" s="2580">
        <f t="shared" si="12"/>
        <v>0.14625747810854262</v>
      </c>
      <c r="O17" s="2576">
        <f>+'[5]P &amp; L LI 2013 &amp; 12'!H382</f>
        <v>106237.90670000001</v>
      </c>
      <c r="P17" s="2580">
        <f t="shared" si="2"/>
        <v>0.28347715152451725</v>
      </c>
      <c r="Q17" s="2576">
        <f>+'[5]P &amp; L LI 2013 &amp; 12'!E382</f>
        <v>274797.61674999999</v>
      </c>
      <c r="R17" s="2580">
        <f t="shared" si="10"/>
        <v>0.66527662391356546</v>
      </c>
      <c r="S17" s="2581">
        <f>+(Q17-O17)/O17*100</f>
        <v>158.66249184105959</v>
      </c>
      <c r="AI17" s="38" t="s">
        <v>625</v>
      </c>
      <c r="AJ17" s="38"/>
      <c r="AK17" s="360">
        <f>+(Y9-X9)/X9*100</f>
        <v>0.45307430356045336</v>
      </c>
      <c r="AL17" s="360">
        <f>+(AA9-Y9)/Y9*100</f>
        <v>7.157548843809769</v>
      </c>
      <c r="AM17" s="360">
        <f t="shared" si="13"/>
        <v>24.689499539339813</v>
      </c>
      <c r="AN17" s="360">
        <f t="shared" si="13"/>
        <v>12.20018580419271</v>
      </c>
      <c r="AO17" s="360">
        <f t="shared" si="13"/>
        <v>9.2829838137442433</v>
      </c>
      <c r="AP17" s="361">
        <f t="shared" si="13"/>
        <v>9.5118731401748793</v>
      </c>
    </row>
    <row r="18" spans="1:42">
      <c r="A18">
        <v>12</v>
      </c>
      <c r="B18" s="2575" t="s">
        <v>192</v>
      </c>
      <c r="C18" s="2575"/>
      <c r="D18" s="2576">
        <v>23813</v>
      </c>
      <c r="E18" s="2577">
        <f t="shared" si="0"/>
        <v>0.11500657431510607</v>
      </c>
      <c r="F18" s="2578" t="s">
        <v>109</v>
      </c>
      <c r="G18" s="2576">
        <v>52637</v>
      </c>
      <c r="H18" s="2577">
        <f t="shared" si="14"/>
        <v>0.2229176493405135</v>
      </c>
      <c r="I18" s="2576">
        <v>55606</v>
      </c>
      <c r="J18" s="2580">
        <f>(I18/I$22)*100+0.01</f>
        <v>0.24164321460464061</v>
      </c>
      <c r="K18" s="2576">
        <v>89984</v>
      </c>
      <c r="L18" s="2580">
        <f>(K18/K$22)*100-0.01</f>
        <v>0.27885385453782807</v>
      </c>
      <c r="M18" s="2576">
        <v>143156</v>
      </c>
      <c r="N18" s="2580">
        <f t="shared" si="12"/>
        <v>0.40713440575467852</v>
      </c>
      <c r="O18" s="2576">
        <f>+'[5]P &amp; L LI 2013 &amp; 12'!H416</f>
        <v>192780</v>
      </c>
      <c r="P18" s="2580">
        <f>(O18/O$22)*100</f>
        <v>0.51439949231319371</v>
      </c>
      <c r="Q18" s="2576">
        <f>+'[5]P &amp; L LI 2013 &amp; 12'!E416</f>
        <v>251719.53922999999</v>
      </c>
      <c r="R18" s="2580">
        <f>(Q18/Q$22)*100</f>
        <v>0.60940530421107708</v>
      </c>
      <c r="S18" s="2581">
        <f t="shared" si="11"/>
        <v>30.573471952484692</v>
      </c>
      <c r="U18" s="15" t="s">
        <v>626</v>
      </c>
      <c r="AI18" s="38" t="s">
        <v>627</v>
      </c>
      <c r="AJ18" s="38"/>
      <c r="AK18" s="360">
        <f>+(Y10-X10)/X10*100</f>
        <v>15.734233734538799</v>
      </c>
      <c r="AL18" s="360">
        <f>+(AA10-Y10)/Y10*100</f>
        <v>10.954847403257416</v>
      </c>
      <c r="AM18" s="360">
        <f t="shared" si="13"/>
        <v>24.73993803146228</v>
      </c>
      <c r="AN18" s="360">
        <f t="shared" si="13"/>
        <v>29.032478671939586</v>
      </c>
      <c r="AO18" s="360">
        <f t="shared" si="13"/>
        <v>14.193849352819454</v>
      </c>
      <c r="AP18" s="361">
        <f t="shared" si="13"/>
        <v>8.0045856871960499</v>
      </c>
    </row>
    <row r="19" spans="1:42">
      <c r="A19">
        <v>13</v>
      </c>
      <c r="B19" s="2575" t="s">
        <v>196</v>
      </c>
      <c r="C19" s="2575"/>
      <c r="D19" s="2576">
        <v>55541</v>
      </c>
      <c r="E19" s="2577">
        <f t="shared" si="0"/>
        <v>0.26823920312582644</v>
      </c>
      <c r="F19" s="2578" t="s">
        <v>135</v>
      </c>
      <c r="G19" s="2576">
        <v>69617</v>
      </c>
      <c r="H19" s="2577">
        <f t="shared" si="14"/>
        <v>0.29482793461136708</v>
      </c>
      <c r="I19" s="2579">
        <v>61563</v>
      </c>
      <c r="J19" s="2580">
        <f>(I19/I$22)*100</f>
        <v>0.25645885733024293</v>
      </c>
      <c r="K19" s="2579">
        <v>73030</v>
      </c>
      <c r="L19" s="2580">
        <f>(K19/K$22)*100</f>
        <v>0.23443053206011721</v>
      </c>
      <c r="M19" s="2576">
        <v>128113.201</v>
      </c>
      <c r="N19" s="2580">
        <f t="shared" si="12"/>
        <v>0.36435281761480265</v>
      </c>
      <c r="O19" s="2576">
        <f>+'[5]P &amp; L LI 2013 &amp; 12'!H484</f>
        <v>203615.92386000001</v>
      </c>
      <c r="P19" s="2580">
        <f>(O19/O$22)*100</f>
        <v>0.54331324753846821</v>
      </c>
      <c r="Q19" s="2576">
        <f>+'[5]P &amp; L LI 2013 &amp; 12'!E484</f>
        <v>283975.24881000002</v>
      </c>
      <c r="R19" s="2580">
        <f>(Q19/Q$22)*100</f>
        <v>0.68749539038107976</v>
      </c>
      <c r="S19" s="2581">
        <f>+(Q19-O19)/O19*100</f>
        <v>39.466129871675747</v>
      </c>
      <c r="U19" s="2594"/>
      <c r="V19" s="2594"/>
      <c r="W19" s="2595">
        <v>2009</v>
      </c>
      <c r="X19" s="2595">
        <v>2013</v>
      </c>
      <c r="Y19" s="2595" t="s">
        <v>628</v>
      </c>
      <c r="Z19" s="195"/>
      <c r="AI19" s="38" t="s">
        <v>629</v>
      </c>
      <c r="AJ19" s="38"/>
      <c r="AK19" s="360">
        <f>+(Y12-X12)/X12*100</f>
        <v>18.252153962619598</v>
      </c>
      <c r="AL19" s="360">
        <f>+(AA12-Y12)/Y12*100</f>
        <v>0.38340719133898016</v>
      </c>
      <c r="AM19" s="360">
        <f>+(AB12-AA12)/AA12*100</f>
        <v>17.726741863109691</v>
      </c>
      <c r="AN19" s="360">
        <f>+(AC12-AB12)/AB12*100</f>
        <v>11.07015942421098</v>
      </c>
      <c r="AO19" s="360">
        <f>+(AD12-AC12)/AC12*100</f>
        <v>8.1778713877139566</v>
      </c>
      <c r="AP19" s="361">
        <f>+(AE12-AD12)/AD12*100</f>
        <v>6.1939139233257894</v>
      </c>
    </row>
    <row r="20" spans="1:42">
      <c r="A20">
        <v>14</v>
      </c>
      <c r="B20" s="2575" t="s">
        <v>195</v>
      </c>
      <c r="C20" s="2575"/>
      <c r="D20" s="2576">
        <v>4477632</v>
      </c>
      <c r="E20" s="2577">
        <f t="shared" si="0"/>
        <v>21.625041673190985</v>
      </c>
      <c r="F20" s="2578" t="s">
        <v>115</v>
      </c>
      <c r="G20" s="2576">
        <v>4497919</v>
      </c>
      <c r="H20" s="2577">
        <f t="shared" si="14"/>
        <v>19.048683063321111</v>
      </c>
      <c r="I20" s="2579">
        <v>4819859.7493799999</v>
      </c>
      <c r="J20" s="2580">
        <f>(I20/I$22)*100</f>
        <v>20.07854919055319</v>
      </c>
      <c r="K20" s="2579">
        <v>6009859</v>
      </c>
      <c r="L20" s="2580">
        <f>(K20/K$22)*100</f>
        <v>19.29199565899334</v>
      </c>
      <c r="M20" s="2576">
        <v>6743072.964569998</v>
      </c>
      <c r="N20" s="2580">
        <f t="shared" si="12"/>
        <v>19.177240244143764</v>
      </c>
      <c r="O20" s="2576">
        <f>+'[5]P &amp; L LI 2013 &amp; 12'!H450</f>
        <v>7369031.3364199949</v>
      </c>
      <c r="P20" s="2580">
        <f>(O20/O$22)*100</f>
        <v>19.662962850370686</v>
      </c>
      <c r="Q20" s="2576">
        <f>+'[5]P &amp; L LI 2013 &amp; 12'!E450</f>
        <v>8069964.2487999983</v>
      </c>
      <c r="R20" s="2580">
        <f>(Q20/Q$22)*100</f>
        <v>19.537136580879157</v>
      </c>
      <c r="S20" s="2581">
        <f>+(Q20-O20)/O20*100</f>
        <v>9.5118731401748793</v>
      </c>
      <c r="U20" s="2594" t="s">
        <v>630</v>
      </c>
      <c r="V20" s="2594"/>
      <c r="W20" s="2596">
        <f>+AL7+AL8+AL9+AL10+AL14</f>
        <v>88.25024827006871</v>
      </c>
      <c r="X20" s="2597">
        <f>+AP7+AP8+AP9+AP10+AP11</f>
        <v>82.53390598092308</v>
      </c>
      <c r="Y20" s="2598">
        <f>+X20-W20</f>
        <v>-5.7163422891456293</v>
      </c>
    </row>
    <row r="21" spans="1:42">
      <c r="A21">
        <v>15</v>
      </c>
      <c r="B21" s="2575" t="s">
        <v>197</v>
      </c>
      <c r="C21" s="2575"/>
      <c r="D21" s="2576">
        <v>2163480</v>
      </c>
      <c r="E21" s="2577">
        <f t="shared" si="0"/>
        <v>10.448680275448103</v>
      </c>
      <c r="F21" s="2578" t="s">
        <v>136</v>
      </c>
      <c r="G21" s="2576">
        <v>2503887</v>
      </c>
      <c r="H21" s="2577">
        <f t="shared" si="14"/>
        <v>10.603959273026016</v>
      </c>
      <c r="I21" s="2579">
        <v>2778184</v>
      </c>
      <c r="J21" s="2580">
        <f>(I21/I$22)*100</f>
        <v>11.57334590733336</v>
      </c>
      <c r="K21" s="2579">
        <v>3465505</v>
      </c>
      <c r="L21" s="2580">
        <f>(K21/K$22)*100</f>
        <v>11.124471874667895</v>
      </c>
      <c r="M21" s="2576">
        <v>4471627</v>
      </c>
      <c r="N21" s="2580">
        <f t="shared" si="12"/>
        <v>12.717267885394786</v>
      </c>
      <c r="O21" s="2576">
        <f>+'[5]P &amp; L LI 2013 &amp; 12'!H518</f>
        <v>5106323</v>
      </c>
      <c r="P21" s="2580">
        <f>(O21/O$22)*100</f>
        <v>13.625323989973982</v>
      </c>
      <c r="Q21" s="2576">
        <f>+'[5]P &amp; L LI 2013 &amp; 12'!E518</f>
        <v>5515063</v>
      </c>
      <c r="R21" s="2580">
        <f>(Q21/Q$22)*100</f>
        <v>13.351798813628616</v>
      </c>
      <c r="S21" s="2581">
        <f t="shared" si="11"/>
        <v>8.0045856871960499</v>
      </c>
      <c r="U21" s="2594" t="s">
        <v>381</v>
      </c>
      <c r="V21" s="2594"/>
      <c r="W21" s="2599">
        <f>100-W20</f>
        <v>11.74975172993129</v>
      </c>
      <c r="X21" s="2597">
        <f>100-X20</f>
        <v>17.46609401907692</v>
      </c>
      <c r="Y21" s="2598">
        <f>+X21-W21</f>
        <v>5.7163422891456293</v>
      </c>
    </row>
    <row r="22" spans="1:42">
      <c r="B22" s="2570" t="s">
        <v>118</v>
      </c>
      <c r="C22" s="2600">
        <v>17104186</v>
      </c>
      <c r="D22" s="2601">
        <f t="shared" ref="D22:N22" si="15">SUM(D7:D21)</f>
        <v>20705772.814999998</v>
      </c>
      <c r="E22" s="2601">
        <f t="shared" si="15"/>
        <v>99.999999999999986</v>
      </c>
      <c r="F22" s="2602"/>
      <c r="G22" s="2601">
        <f t="shared" si="15"/>
        <v>23612755.721999999</v>
      </c>
      <c r="H22" s="2601">
        <f t="shared" si="15"/>
        <v>100.01</v>
      </c>
      <c r="I22" s="2601">
        <f t="shared" si="15"/>
        <v>24005020.002379999</v>
      </c>
      <c r="J22" s="2601">
        <f t="shared" si="15"/>
        <v>100.01</v>
      </c>
      <c r="K22" s="2601">
        <f t="shared" si="15"/>
        <v>31152085.591510002</v>
      </c>
      <c r="L22" s="2601">
        <f t="shared" si="15"/>
        <v>100.00999999999999</v>
      </c>
      <c r="M22" s="2601">
        <f>SUM(M7:M21)-1</f>
        <v>35161852.689566001</v>
      </c>
      <c r="N22" s="2601">
        <f t="shared" si="15"/>
        <v>99.990002843991192</v>
      </c>
      <c r="O22" s="2601">
        <f>SUM(O7:O21)</f>
        <v>37476708.838317692</v>
      </c>
      <c r="P22" s="2601">
        <f>SUM(P7:P21)</f>
        <v>100</v>
      </c>
      <c r="Q22" s="2601">
        <f>SUM(Q7:Q21)</f>
        <v>41305767.687051997</v>
      </c>
      <c r="R22" s="2601">
        <f>SUM(R7:R21)</f>
        <v>100</v>
      </c>
      <c r="AK22" s="166" t="s">
        <v>631</v>
      </c>
    </row>
    <row r="23" spans="1:42">
      <c r="B23" s="3553" t="s">
        <v>622</v>
      </c>
      <c r="C23" s="2570"/>
      <c r="D23" s="3548">
        <f>+((D22-C22)/C22)*100</f>
        <v>21.056756603325045</v>
      </c>
      <c r="E23" s="3548"/>
      <c r="F23" s="3555" t="s">
        <v>632</v>
      </c>
      <c r="G23" s="3548">
        <f>((G22-D22)/D22)*100</f>
        <v>14.039480356386793</v>
      </c>
      <c r="H23" s="3548"/>
      <c r="I23" s="3548">
        <f>((I22-G22)/G22)*100</f>
        <v>1.6612388871432187</v>
      </c>
      <c r="J23" s="3548"/>
      <c r="K23" s="3548">
        <f>((K22-I22)/I22)*100</f>
        <v>29.773212388164644</v>
      </c>
      <c r="L23" s="3548"/>
      <c r="M23" s="3548">
        <f>((M22-K22)/K22)*100</f>
        <v>12.871584749204711</v>
      </c>
      <c r="N23" s="3548"/>
      <c r="O23" s="3548">
        <f>((O22-M22)/M22)*100</f>
        <v>6.5834305410152814</v>
      </c>
      <c r="P23" s="3548"/>
      <c r="Q23" s="3548">
        <f>((Q22-O22)/O22)*100</f>
        <v>10.217169456511401</v>
      </c>
      <c r="R23" s="3548"/>
    </row>
    <row r="24" spans="1:42">
      <c r="B24" s="3554"/>
      <c r="C24" s="2570"/>
      <c r="D24" s="3548"/>
      <c r="E24" s="3548"/>
      <c r="F24" s="3556"/>
      <c r="G24" s="3548"/>
      <c r="H24" s="3548"/>
      <c r="I24" s="3548"/>
      <c r="J24" s="3548"/>
      <c r="K24" s="3548"/>
      <c r="L24" s="3548"/>
      <c r="M24" s="3548"/>
      <c r="N24" s="3548"/>
      <c r="O24" s="3548"/>
      <c r="P24" s="3548"/>
      <c r="Q24" s="3548"/>
      <c r="R24" s="3548"/>
    </row>
    <row r="26" spans="1:42">
      <c r="B26" s="204" t="s">
        <v>633</v>
      </c>
      <c r="C26" s="42"/>
      <c r="F26" s="204" t="s">
        <v>633</v>
      </c>
    </row>
    <row r="27" spans="1:42">
      <c r="B27" s="204" t="s">
        <v>634</v>
      </c>
      <c r="F27" s="204" t="s">
        <v>634</v>
      </c>
    </row>
    <row r="28" spans="1:42">
      <c r="B28" s="42"/>
      <c r="C28" s="42"/>
    </row>
    <row r="29" spans="1:42">
      <c r="G29" s="156">
        <f>+G10+G12+G15+G19+G21</f>
        <v>12256943</v>
      </c>
      <c r="K29" s="157">
        <f>+K10+K12+K15+K19+K21</f>
        <v>14010064</v>
      </c>
    </row>
    <row r="30" spans="1:42">
      <c r="G30" s="9">
        <f>+G29/G22*100</f>
        <v>51.908142972826376</v>
      </c>
      <c r="K30" s="157">
        <f>+K29/K22*100</f>
        <v>44.973117317763844</v>
      </c>
    </row>
    <row r="31" spans="1:42">
      <c r="G31" s="9">
        <f>100-G30</f>
        <v>48.091857027173624</v>
      </c>
      <c r="K31" s="99">
        <f>100-K30</f>
        <v>55.026882682236156</v>
      </c>
    </row>
    <row r="36" spans="4:39">
      <c r="D36" s="166" t="s">
        <v>635</v>
      </c>
    </row>
    <row r="48" spans="4:39">
      <c r="AM48" s="204" t="s">
        <v>633</v>
      </c>
    </row>
    <row r="49" spans="20:39">
      <c r="AM49" s="204" t="s">
        <v>634</v>
      </c>
    </row>
    <row r="57" spans="20:39">
      <c r="T57" s="39"/>
      <c r="U57" s="39"/>
      <c r="V57" s="39"/>
      <c r="W57" s="39"/>
      <c r="X57" s="39"/>
      <c r="Y57" s="39"/>
      <c r="Z57" s="39"/>
      <c r="AA57" s="39"/>
      <c r="AB57" s="39"/>
      <c r="AC57" s="39"/>
      <c r="AD57" s="39"/>
      <c r="AE57" s="39"/>
      <c r="AF57" s="39"/>
    </row>
    <row r="68" spans="1:32" s="39" customFormat="1" ht="36" customHeight="1">
      <c r="B68" s="189" t="s">
        <v>617</v>
      </c>
      <c r="C68" s="190"/>
      <c r="D68" s="190"/>
      <c r="E68" s="190"/>
      <c r="F68" s="3549" t="s">
        <v>617</v>
      </c>
      <c r="G68" s="3549"/>
      <c r="H68" s="3549"/>
      <c r="I68" s="3549"/>
      <c r="J68" s="3549"/>
      <c r="K68" s="3549"/>
      <c r="L68" s="214"/>
      <c r="M68" s="214"/>
      <c r="N68" s="214" t="s">
        <v>636</v>
      </c>
      <c r="O68" s="214" t="s">
        <v>637</v>
      </c>
      <c r="P68" s="214" t="s">
        <v>638</v>
      </c>
      <c r="Q68" s="214" t="s">
        <v>639</v>
      </c>
      <c r="R68" s="214" t="s">
        <v>640</v>
      </c>
      <c r="T68"/>
      <c r="AB68"/>
      <c r="AC68"/>
      <c r="AD68"/>
      <c r="AE68"/>
      <c r="AF68"/>
    </row>
    <row r="69" spans="1:32">
      <c r="B69" s="3550" t="s">
        <v>84</v>
      </c>
      <c r="C69" s="91"/>
      <c r="D69" s="167">
        <v>2007</v>
      </c>
      <c r="F69" s="3552" t="s">
        <v>84</v>
      </c>
      <c r="G69" s="167">
        <v>2008</v>
      </c>
      <c r="H69" s="167">
        <v>2009</v>
      </c>
      <c r="I69" s="1802">
        <v>2010</v>
      </c>
      <c r="J69" s="2603">
        <v>2011</v>
      </c>
      <c r="K69" s="2603" t="s">
        <v>210</v>
      </c>
      <c r="L69" s="2603" t="s">
        <v>211</v>
      </c>
    </row>
    <row r="70" spans="1:32">
      <c r="B70" s="3550"/>
      <c r="C70" s="24"/>
      <c r="D70" s="2573" t="s">
        <v>140</v>
      </c>
      <c r="F70" s="3552"/>
      <c r="G70" s="2573" t="s">
        <v>140</v>
      </c>
      <c r="H70" s="2573" t="s">
        <v>140</v>
      </c>
      <c r="I70" s="2604" t="s">
        <v>140</v>
      </c>
      <c r="J70" s="2604" t="s">
        <v>140</v>
      </c>
      <c r="K70" s="2604" t="s">
        <v>140</v>
      </c>
      <c r="L70" s="2604" t="s">
        <v>140</v>
      </c>
    </row>
    <row r="71" spans="1:32">
      <c r="B71" s="3551"/>
      <c r="C71" s="25"/>
      <c r="D71" s="26" t="s">
        <v>142</v>
      </c>
      <c r="F71" s="3552"/>
      <c r="G71" s="26" t="s">
        <v>142</v>
      </c>
      <c r="H71" s="26" t="s">
        <v>142</v>
      </c>
      <c r="I71" s="2604" t="s">
        <v>142</v>
      </c>
      <c r="J71" s="2604" t="s">
        <v>142</v>
      </c>
      <c r="K71" s="2604" t="s">
        <v>142</v>
      </c>
      <c r="L71" s="2604" t="s">
        <v>142</v>
      </c>
    </row>
    <row r="72" spans="1:32">
      <c r="A72">
        <v>1</v>
      </c>
      <c r="B72" s="2582" t="s">
        <v>177</v>
      </c>
      <c r="C72" s="2582"/>
      <c r="D72" s="2584">
        <f>VLOOKUP(B72,$B$7:$D$21,3,0)</f>
        <v>890793</v>
      </c>
      <c r="F72" s="2605" t="s">
        <v>124</v>
      </c>
      <c r="G72" s="2584">
        <f>VLOOKUP(F72,$F$7:$G$21,2,0)</f>
        <v>970077</v>
      </c>
      <c r="H72" s="2584">
        <f>VLOOKUP(F72,$F$7:$I$21,4,0)</f>
        <v>1009031</v>
      </c>
      <c r="I72" s="2584">
        <f>VLOOKUP(F72,$F$7:$K$21,6,0)</f>
        <v>1242608.3961700001</v>
      </c>
      <c r="J72" s="2584">
        <f>VLOOKUP(F72,$F$7:$M$21,8,0)</f>
        <v>1579190.622</v>
      </c>
      <c r="K72" s="2584">
        <f>VLOOKUP(F72,$F$7:$O$21,10,0)</f>
        <v>2034084</v>
      </c>
      <c r="L72" s="362">
        <f>VLOOKUP(F72,$F$7:$Q$21,12,0)</f>
        <v>2520283</v>
      </c>
      <c r="M72" s="43"/>
      <c r="N72" s="43">
        <f t="shared" ref="N72:N86" si="16">RANK(H72,$H$72:$H$86,0)</f>
        <v>6</v>
      </c>
      <c r="O72" s="43">
        <f t="shared" ref="O72:O86" si="17">RANK(I72,$I$72:$I$86,0)</f>
        <v>6</v>
      </c>
      <c r="P72" s="43">
        <f t="shared" ref="P72:P86" si="18">RANK(J72,$J$72:$J$86,0)</f>
        <v>6</v>
      </c>
      <c r="Q72" s="43">
        <f t="shared" ref="Q72:Q86" si="19">RANK(K72,$K$72:$K$86,0)</f>
        <v>5</v>
      </c>
      <c r="R72" s="43">
        <f>RANK(L72,$L$72:$L$86)</f>
        <v>5</v>
      </c>
    </row>
    <row r="73" spans="1:32">
      <c r="A73">
        <v>2</v>
      </c>
      <c r="B73" s="2582" t="s">
        <v>178</v>
      </c>
      <c r="C73" s="2582"/>
      <c r="D73" s="2584">
        <f t="shared" ref="D73:D86" si="20">VLOOKUP(B73,$B$7:$D$21,3,0)</f>
        <v>0</v>
      </c>
      <c r="F73" s="2605" t="s">
        <v>95</v>
      </c>
      <c r="G73" s="2584">
        <f t="shared" ref="G73:G86" si="21">VLOOKUP(F73,$F$7:$G$21,2,0)</f>
        <v>0</v>
      </c>
      <c r="H73" s="2584">
        <f t="shared" ref="H73:H86" si="22">VLOOKUP(F73,$F$7:$I$21,4,0)</f>
        <v>0</v>
      </c>
      <c r="I73" s="2584">
        <f t="shared" ref="I73:I86" si="23">VLOOKUP(F73,$F$7:$K$21,6,0)</f>
        <v>0</v>
      </c>
      <c r="J73" s="2584">
        <f t="shared" ref="J73:J86" si="24">VLOOKUP(F73,$F$7:$M$21,8,0)</f>
        <v>0</v>
      </c>
      <c r="K73" s="2584">
        <f t="shared" ref="K73:K86" si="25">VLOOKUP(F73,$F$7:$O$21,10,0)</f>
        <v>101900.14992770001</v>
      </c>
      <c r="L73" s="362">
        <f t="shared" ref="L73:L86" si="26">VLOOKUP(F73,$F$7:$Q$21,12,0)</f>
        <v>206494.24839999998</v>
      </c>
      <c r="M73" s="43"/>
      <c r="N73" s="43">
        <f t="shared" si="16"/>
        <v>14</v>
      </c>
      <c r="O73" s="43">
        <f t="shared" si="17"/>
        <v>14</v>
      </c>
      <c r="P73" s="43">
        <f t="shared" si="18"/>
        <v>15</v>
      </c>
      <c r="Q73" s="43">
        <f t="shared" si="19"/>
        <v>15</v>
      </c>
      <c r="R73" s="43">
        <f t="shared" ref="R73:R86" si="27">RANK(L73,$L$72:$L$86)</f>
        <v>15</v>
      </c>
    </row>
    <row r="74" spans="1:32">
      <c r="A74">
        <v>3</v>
      </c>
      <c r="B74" s="2582" t="s">
        <v>180</v>
      </c>
      <c r="C74" s="2582"/>
      <c r="D74" s="2584">
        <f t="shared" si="20"/>
        <v>0</v>
      </c>
      <c r="F74" s="2605" t="s">
        <v>92</v>
      </c>
      <c r="G74" s="2584">
        <f t="shared" si="21"/>
        <v>4013</v>
      </c>
      <c r="H74" s="2584">
        <f t="shared" si="22"/>
        <v>101816</v>
      </c>
      <c r="I74" s="2584">
        <f t="shared" si="23"/>
        <v>204813.75133999999</v>
      </c>
      <c r="J74" s="2584">
        <f t="shared" si="24"/>
        <v>351299.33501599997</v>
      </c>
      <c r="K74" s="2584">
        <f t="shared" si="25"/>
        <v>532141.81854000001</v>
      </c>
      <c r="L74" s="362">
        <f t="shared" si="26"/>
        <v>828789.90813200013</v>
      </c>
      <c r="M74" s="43"/>
      <c r="N74" s="43">
        <f t="shared" si="16"/>
        <v>11</v>
      </c>
      <c r="O74" s="43">
        <f t="shared" si="17"/>
        <v>11</v>
      </c>
      <c r="P74" s="43">
        <f t="shared" si="18"/>
        <v>8</v>
      </c>
      <c r="Q74" s="43">
        <f t="shared" si="19"/>
        <v>8</v>
      </c>
      <c r="R74" s="43">
        <f t="shared" si="27"/>
        <v>8</v>
      </c>
    </row>
    <row r="75" spans="1:32">
      <c r="A75">
        <v>4</v>
      </c>
      <c r="B75" s="2582" t="s">
        <v>181</v>
      </c>
      <c r="C75" s="2582"/>
      <c r="D75" s="2584">
        <f t="shared" si="20"/>
        <v>3788103</v>
      </c>
      <c r="F75" s="2605" t="s">
        <v>125</v>
      </c>
      <c r="G75" s="2584">
        <f t="shared" si="21"/>
        <v>4342218</v>
      </c>
      <c r="H75" s="2584">
        <f t="shared" si="22"/>
        <v>4632490</v>
      </c>
      <c r="I75" s="2584">
        <f t="shared" si="23"/>
        <v>7783925</v>
      </c>
      <c r="J75" s="2584">
        <f t="shared" si="24"/>
        <v>7846447</v>
      </c>
      <c r="K75" s="2584">
        <f t="shared" si="25"/>
        <v>6495863</v>
      </c>
      <c r="L75" s="362">
        <f t="shared" si="26"/>
        <v>6863047</v>
      </c>
      <c r="M75" s="43"/>
      <c r="N75" s="43">
        <f t="shared" si="16"/>
        <v>3</v>
      </c>
      <c r="O75" s="43">
        <f t="shared" si="17"/>
        <v>2</v>
      </c>
      <c r="P75" s="148">
        <f t="shared" si="18"/>
        <v>2</v>
      </c>
      <c r="Q75" s="43">
        <f t="shared" si="19"/>
        <v>3</v>
      </c>
      <c r="R75" s="43">
        <f t="shared" si="27"/>
        <v>3</v>
      </c>
    </row>
    <row r="76" spans="1:32">
      <c r="A76">
        <v>5</v>
      </c>
      <c r="B76" s="2582" t="s">
        <v>182</v>
      </c>
      <c r="C76" s="2582"/>
      <c r="D76" s="2584">
        <f t="shared" si="20"/>
        <v>130986</v>
      </c>
      <c r="F76" s="2605" t="s">
        <v>126</v>
      </c>
      <c r="G76" s="2584">
        <f t="shared" si="21"/>
        <v>188676</v>
      </c>
      <c r="H76" s="2584">
        <f t="shared" si="22"/>
        <v>207097</v>
      </c>
      <c r="I76" s="2584">
        <f t="shared" si="23"/>
        <v>240155.78</v>
      </c>
      <c r="J76" s="2584">
        <f t="shared" si="24"/>
        <v>303786.40899999999</v>
      </c>
      <c r="K76" s="2584">
        <f t="shared" si="25"/>
        <v>364758.88936999999</v>
      </c>
      <c r="L76" s="362">
        <f t="shared" si="26"/>
        <v>542986.16200000001</v>
      </c>
      <c r="M76" s="43"/>
      <c r="N76" s="43">
        <f t="shared" si="16"/>
        <v>9</v>
      </c>
      <c r="O76" s="43">
        <f t="shared" si="17"/>
        <v>9</v>
      </c>
      <c r="P76" s="43">
        <f t="shared" si="18"/>
        <v>9</v>
      </c>
      <c r="Q76" s="43">
        <f t="shared" si="19"/>
        <v>9</v>
      </c>
      <c r="R76" s="43">
        <f t="shared" si="27"/>
        <v>9</v>
      </c>
    </row>
    <row r="77" spans="1:32">
      <c r="A77">
        <v>6</v>
      </c>
      <c r="B77" s="2582" t="s">
        <v>185</v>
      </c>
      <c r="C77" s="2582"/>
      <c r="D77" s="2584">
        <f t="shared" si="20"/>
        <v>6847185</v>
      </c>
      <c r="F77" s="2605" t="s">
        <v>129</v>
      </c>
      <c r="G77" s="2584">
        <f t="shared" si="21"/>
        <v>8257279</v>
      </c>
      <c r="H77" s="2584">
        <f t="shared" si="22"/>
        <v>7522328</v>
      </c>
      <c r="I77" s="2584">
        <f t="shared" si="23"/>
        <v>8786120</v>
      </c>
      <c r="J77" s="2584">
        <f t="shared" si="24"/>
        <v>9815942.7451399993</v>
      </c>
      <c r="K77" s="2584">
        <f t="shared" si="25"/>
        <v>10829470</v>
      </c>
      <c r="L77" s="362">
        <f t="shared" si="26"/>
        <v>11122906.218729999</v>
      </c>
      <c r="M77" s="43"/>
      <c r="N77" s="43">
        <f t="shared" si="16"/>
        <v>1</v>
      </c>
      <c r="O77" s="43">
        <f t="shared" si="17"/>
        <v>1</v>
      </c>
      <c r="P77" s="148">
        <f t="shared" si="18"/>
        <v>1</v>
      </c>
      <c r="Q77" s="43">
        <f t="shared" si="19"/>
        <v>1</v>
      </c>
      <c r="R77" s="43">
        <f t="shared" si="27"/>
        <v>1</v>
      </c>
    </row>
    <row r="78" spans="1:32">
      <c r="A78">
        <v>7</v>
      </c>
      <c r="B78" s="2582" t="s">
        <v>186</v>
      </c>
      <c r="C78" s="2582"/>
      <c r="D78" s="2584">
        <f t="shared" si="20"/>
        <v>100392.815</v>
      </c>
      <c r="F78" s="2605" t="s">
        <v>130</v>
      </c>
      <c r="G78" s="2584">
        <f t="shared" si="21"/>
        <v>131003.72199999999</v>
      </c>
      <c r="H78" s="2584">
        <f t="shared" si="22"/>
        <v>149401.253</v>
      </c>
      <c r="I78" s="2584">
        <f t="shared" si="23"/>
        <v>233539.66399999999</v>
      </c>
      <c r="J78" s="2584">
        <f t="shared" si="24"/>
        <v>269578.71580000001</v>
      </c>
      <c r="K78" s="2584">
        <f t="shared" si="25"/>
        <v>312055.98389999999</v>
      </c>
      <c r="L78" s="362">
        <f t="shared" si="26"/>
        <v>337975.97847999999</v>
      </c>
      <c r="M78" s="43"/>
      <c r="N78" s="43">
        <f t="shared" si="16"/>
        <v>10</v>
      </c>
      <c r="O78" s="43">
        <f t="shared" si="17"/>
        <v>10</v>
      </c>
      <c r="P78" s="43">
        <f t="shared" si="18"/>
        <v>11</v>
      </c>
      <c r="Q78" s="43">
        <f t="shared" si="19"/>
        <v>10</v>
      </c>
      <c r="R78" s="43">
        <f t="shared" si="27"/>
        <v>10</v>
      </c>
    </row>
    <row r="79" spans="1:32">
      <c r="A79">
        <v>8</v>
      </c>
      <c r="B79" s="2582" t="s">
        <v>188</v>
      </c>
      <c r="C79" s="2582"/>
      <c r="D79" s="2584">
        <f t="shared" si="20"/>
        <v>767576</v>
      </c>
      <c r="F79" s="2605" t="s">
        <v>132</v>
      </c>
      <c r="G79" s="2584">
        <f t="shared" si="21"/>
        <v>914170</v>
      </c>
      <c r="H79" s="2584">
        <f t="shared" si="22"/>
        <v>984866</v>
      </c>
      <c r="I79" s="2584">
        <f t="shared" si="23"/>
        <v>1084480</v>
      </c>
      <c r="J79" s="2584">
        <f t="shared" si="24"/>
        <v>1290367.39479</v>
      </c>
      <c r="K79" s="2584">
        <f t="shared" si="25"/>
        <v>1500027.7209900001</v>
      </c>
      <c r="L79" s="362">
        <f t="shared" si="26"/>
        <v>2014547</v>
      </c>
      <c r="M79" s="43"/>
      <c r="N79" s="43">
        <f t="shared" si="16"/>
        <v>7</v>
      </c>
      <c r="O79" s="43">
        <f t="shared" si="17"/>
        <v>7</v>
      </c>
      <c r="P79" s="43">
        <f t="shared" si="18"/>
        <v>7</v>
      </c>
      <c r="Q79" s="43">
        <f t="shared" si="19"/>
        <v>7</v>
      </c>
      <c r="R79" s="43">
        <f t="shared" si="27"/>
        <v>7</v>
      </c>
    </row>
    <row r="80" spans="1:32">
      <c r="A80">
        <v>9</v>
      </c>
      <c r="B80" s="2582" t="s">
        <v>189</v>
      </c>
      <c r="C80" s="2582"/>
      <c r="D80" s="2584">
        <f t="shared" si="20"/>
        <v>1206033</v>
      </c>
      <c r="F80" s="2605" t="s">
        <v>133</v>
      </c>
      <c r="G80" s="2584">
        <f t="shared" si="21"/>
        <v>1426160</v>
      </c>
      <c r="H80" s="2584">
        <f t="shared" si="22"/>
        <v>1431628</v>
      </c>
      <c r="I80" s="2584">
        <f t="shared" si="23"/>
        <v>1685409</v>
      </c>
      <c r="J80" s="2584">
        <f t="shared" si="24"/>
        <v>1871986.46325</v>
      </c>
      <c r="K80" s="2584">
        <f t="shared" si="25"/>
        <v>2025075.1086100002</v>
      </c>
      <c r="L80" s="362">
        <f t="shared" si="26"/>
        <v>2150506.5177199999</v>
      </c>
      <c r="M80" s="43"/>
      <c r="N80" s="43">
        <f t="shared" si="16"/>
        <v>5</v>
      </c>
      <c r="O80" s="43">
        <f t="shared" si="17"/>
        <v>5</v>
      </c>
      <c r="P80" s="148">
        <f t="shared" si="18"/>
        <v>5</v>
      </c>
      <c r="Q80" s="43">
        <f t="shared" si="19"/>
        <v>6</v>
      </c>
      <c r="R80" s="43">
        <f t="shared" si="27"/>
        <v>6</v>
      </c>
    </row>
    <row r="81" spans="1:18">
      <c r="A81">
        <v>10</v>
      </c>
      <c r="B81" s="2582" t="s">
        <v>190</v>
      </c>
      <c r="C81" s="2582"/>
      <c r="D81" s="2584">
        <f t="shared" si="20"/>
        <v>254238</v>
      </c>
      <c r="F81" s="2605" t="s">
        <v>106</v>
      </c>
      <c r="G81" s="2584">
        <f t="shared" si="21"/>
        <v>255099</v>
      </c>
      <c r="H81" s="2584">
        <f t="shared" si="22"/>
        <v>251150</v>
      </c>
      <c r="I81" s="2584">
        <f t="shared" si="23"/>
        <v>252656</v>
      </c>
      <c r="J81" s="2584">
        <f t="shared" si="24"/>
        <v>295859</v>
      </c>
      <c r="K81" s="2584">
        <f t="shared" si="25"/>
        <v>303344</v>
      </c>
      <c r="L81" s="362">
        <f t="shared" si="26"/>
        <v>322712</v>
      </c>
      <c r="M81" s="43"/>
      <c r="N81" s="43">
        <f t="shared" si="16"/>
        <v>8</v>
      </c>
      <c r="O81" s="43">
        <f t="shared" si="17"/>
        <v>8</v>
      </c>
      <c r="P81" s="43">
        <f t="shared" si="18"/>
        <v>10</v>
      </c>
      <c r="Q81" s="43">
        <f t="shared" si="19"/>
        <v>11</v>
      </c>
      <c r="R81" s="43">
        <f t="shared" si="27"/>
        <v>11</v>
      </c>
    </row>
    <row r="82" spans="1:18">
      <c r="A82">
        <v>11</v>
      </c>
      <c r="B82" s="2582" t="s">
        <v>191</v>
      </c>
      <c r="C82" s="2582"/>
      <c r="D82" s="2584">
        <f t="shared" si="20"/>
        <v>0</v>
      </c>
      <c r="F82" s="2605" t="s">
        <v>134</v>
      </c>
      <c r="G82" s="2584">
        <f t="shared" si="21"/>
        <v>0</v>
      </c>
      <c r="H82" s="2584">
        <f t="shared" si="22"/>
        <v>0</v>
      </c>
      <c r="I82" s="2584">
        <f t="shared" si="23"/>
        <v>0</v>
      </c>
      <c r="J82" s="2584">
        <f t="shared" si="24"/>
        <v>51426.839</v>
      </c>
      <c r="K82" s="2584">
        <f t="shared" si="25"/>
        <v>106237.90670000001</v>
      </c>
      <c r="L82" s="362">
        <f t="shared" si="26"/>
        <v>274797.61674999999</v>
      </c>
      <c r="M82" s="43"/>
      <c r="N82" s="43">
        <f t="shared" si="16"/>
        <v>14</v>
      </c>
      <c r="O82" s="43">
        <f t="shared" si="17"/>
        <v>14</v>
      </c>
      <c r="P82" s="43">
        <f t="shared" si="18"/>
        <v>14</v>
      </c>
      <c r="Q82" s="43">
        <f t="shared" si="19"/>
        <v>14</v>
      </c>
      <c r="R82" s="43">
        <f t="shared" si="27"/>
        <v>13</v>
      </c>
    </row>
    <row r="83" spans="1:18">
      <c r="A83">
        <v>12</v>
      </c>
      <c r="B83" s="2582" t="s">
        <v>192</v>
      </c>
      <c r="C83" s="2582"/>
      <c r="D83" s="2584">
        <f t="shared" si="20"/>
        <v>23813</v>
      </c>
      <c r="F83" s="2605" t="s">
        <v>109</v>
      </c>
      <c r="G83" s="2584">
        <f t="shared" si="21"/>
        <v>52637</v>
      </c>
      <c r="H83" s="2584">
        <f t="shared" si="22"/>
        <v>55606</v>
      </c>
      <c r="I83" s="2584">
        <f t="shared" si="23"/>
        <v>89984</v>
      </c>
      <c r="J83" s="2584">
        <f t="shared" si="24"/>
        <v>143156</v>
      </c>
      <c r="K83" s="2584">
        <f t="shared" si="25"/>
        <v>192780</v>
      </c>
      <c r="L83" s="362">
        <f t="shared" si="26"/>
        <v>251719.53922999999</v>
      </c>
      <c r="M83" s="43"/>
      <c r="N83" s="43">
        <f t="shared" si="16"/>
        <v>13</v>
      </c>
      <c r="O83" s="43">
        <f t="shared" si="17"/>
        <v>12</v>
      </c>
      <c r="P83" s="43">
        <f t="shared" si="18"/>
        <v>12</v>
      </c>
      <c r="Q83" s="43">
        <f t="shared" si="19"/>
        <v>13</v>
      </c>
      <c r="R83" s="43">
        <f t="shared" si="27"/>
        <v>14</v>
      </c>
    </row>
    <row r="84" spans="1:18">
      <c r="A84">
        <v>13</v>
      </c>
      <c r="B84" s="2582" t="s">
        <v>195</v>
      </c>
      <c r="C84" s="2582"/>
      <c r="D84" s="2584">
        <f t="shared" si="20"/>
        <v>4477632</v>
      </c>
      <c r="F84" s="2605" t="s">
        <v>115</v>
      </c>
      <c r="G84" s="2584">
        <f t="shared" si="21"/>
        <v>4497919</v>
      </c>
      <c r="H84" s="2584">
        <f t="shared" si="22"/>
        <v>4819859.7493799999</v>
      </c>
      <c r="I84" s="2584">
        <f t="shared" si="23"/>
        <v>6009859</v>
      </c>
      <c r="J84" s="2584">
        <f t="shared" si="24"/>
        <v>6743072.964569998</v>
      </c>
      <c r="K84" s="2584">
        <f t="shared" si="25"/>
        <v>7369031.3364199949</v>
      </c>
      <c r="L84" s="362">
        <f t="shared" si="26"/>
        <v>8069964.2487999983</v>
      </c>
      <c r="M84" s="43"/>
      <c r="N84" s="43">
        <f t="shared" si="16"/>
        <v>2</v>
      </c>
      <c r="O84" s="43">
        <f t="shared" si="17"/>
        <v>3</v>
      </c>
      <c r="P84" s="148">
        <f t="shared" si="18"/>
        <v>3</v>
      </c>
      <c r="Q84" s="43">
        <f t="shared" si="19"/>
        <v>2</v>
      </c>
      <c r="R84" s="43">
        <f t="shared" si="27"/>
        <v>2</v>
      </c>
    </row>
    <row r="85" spans="1:18">
      <c r="A85">
        <v>14</v>
      </c>
      <c r="B85" s="2582" t="s">
        <v>196</v>
      </c>
      <c r="C85" s="2582"/>
      <c r="D85" s="2584">
        <f t="shared" si="20"/>
        <v>55541</v>
      </c>
      <c r="F85" s="2605" t="s">
        <v>135</v>
      </c>
      <c r="G85" s="2584">
        <f t="shared" si="21"/>
        <v>69617</v>
      </c>
      <c r="H85" s="2584">
        <f t="shared" si="22"/>
        <v>61563</v>
      </c>
      <c r="I85" s="2584">
        <f t="shared" si="23"/>
        <v>73030</v>
      </c>
      <c r="J85" s="2584">
        <f t="shared" si="24"/>
        <v>128113.201</v>
      </c>
      <c r="K85" s="2584">
        <f t="shared" si="25"/>
        <v>203615.92386000001</v>
      </c>
      <c r="L85" s="362">
        <f t="shared" si="26"/>
        <v>283975.24881000002</v>
      </c>
      <c r="M85" s="43"/>
      <c r="N85" s="43">
        <f t="shared" si="16"/>
        <v>12</v>
      </c>
      <c r="O85" s="43">
        <f t="shared" si="17"/>
        <v>13</v>
      </c>
      <c r="P85" s="43">
        <f t="shared" si="18"/>
        <v>13</v>
      </c>
      <c r="Q85" s="43">
        <f t="shared" si="19"/>
        <v>12</v>
      </c>
      <c r="R85" s="43">
        <f t="shared" si="27"/>
        <v>12</v>
      </c>
    </row>
    <row r="86" spans="1:18">
      <c r="A86">
        <v>15</v>
      </c>
      <c r="B86" s="2582" t="s">
        <v>197</v>
      </c>
      <c r="C86" s="2582"/>
      <c r="D86" s="2584">
        <f t="shared" si="20"/>
        <v>2163480</v>
      </c>
      <c r="F86" s="2605" t="s">
        <v>136</v>
      </c>
      <c r="G86" s="2584">
        <f t="shared" si="21"/>
        <v>2503887</v>
      </c>
      <c r="H86" s="2584">
        <f t="shared" si="22"/>
        <v>2778184</v>
      </c>
      <c r="I86" s="2584">
        <f t="shared" si="23"/>
        <v>3465505</v>
      </c>
      <c r="J86" s="2584">
        <f t="shared" si="24"/>
        <v>4471627</v>
      </c>
      <c r="K86" s="2584">
        <f t="shared" si="25"/>
        <v>5106323</v>
      </c>
      <c r="L86" s="362">
        <f t="shared" si="26"/>
        <v>5515063</v>
      </c>
      <c r="M86" s="43"/>
      <c r="N86" s="43">
        <f t="shared" si="16"/>
        <v>4</v>
      </c>
      <c r="O86" s="43">
        <f t="shared" si="17"/>
        <v>4</v>
      </c>
      <c r="P86" s="148">
        <f t="shared" si="18"/>
        <v>4</v>
      </c>
      <c r="Q86" s="43">
        <f t="shared" si="19"/>
        <v>4</v>
      </c>
      <c r="R86" s="43">
        <f t="shared" si="27"/>
        <v>4</v>
      </c>
    </row>
    <row r="87" spans="1:18">
      <c r="B87" s="2587" t="s">
        <v>118</v>
      </c>
      <c r="C87" s="3155">
        <f>+C22</f>
        <v>17104186</v>
      </c>
      <c r="D87" s="2606">
        <f>+D22</f>
        <v>20705772.814999998</v>
      </c>
      <c r="F87" s="2587" t="s">
        <v>118</v>
      </c>
      <c r="G87" s="3156">
        <f>SUM(G72:G86)</f>
        <v>23612755.721999999</v>
      </c>
      <c r="H87" s="3156">
        <f>SUM(H72:H86)</f>
        <v>24005020.002379999</v>
      </c>
      <c r="I87" s="3156">
        <f>SUM(I72:I86)</f>
        <v>31152085.591510002</v>
      </c>
      <c r="J87" s="2607">
        <f>SUM(J72:J86)-1</f>
        <v>35161852.689566001</v>
      </c>
      <c r="K87" s="2607">
        <f>SUM(K72:K86)</f>
        <v>37476708.838317692</v>
      </c>
      <c r="L87" s="2607">
        <f>SUM(L72:L86)</f>
        <v>41305767.687051997</v>
      </c>
    </row>
    <row r="88" spans="1:18">
      <c r="B88" s="3092"/>
      <c r="C88" s="3092"/>
      <c r="D88" s="3094"/>
      <c r="F88" s="2543"/>
      <c r="G88" s="3094"/>
      <c r="H88" s="3094"/>
      <c r="I88" s="3094"/>
      <c r="J88" s="2590"/>
      <c r="K88" s="2590"/>
    </row>
    <row r="89" spans="1:18">
      <c r="B89" s="3546" t="s">
        <v>622</v>
      </c>
      <c r="C89" s="3092"/>
      <c r="D89" s="3095">
        <f>+((D87-C87)/C87)*100</f>
        <v>21.056756603325045</v>
      </c>
      <c r="F89" s="3546" t="s">
        <v>622</v>
      </c>
      <c r="G89" s="3096">
        <f>((G87-D87)/D87)*100</f>
        <v>14.039480356386793</v>
      </c>
      <c r="H89" s="3096">
        <f>((H87-G87)/G87)*100</f>
        <v>1.6612388871432187</v>
      </c>
      <c r="I89" s="3096">
        <f>((I87-H87)/H87)*100</f>
        <v>29.773212388164644</v>
      </c>
      <c r="J89" s="3154">
        <f>((J87-I87)/I87)*100</f>
        <v>12.871584749204711</v>
      </c>
      <c r="K89" s="3154">
        <f>((K87-J87)/J87)*100</f>
        <v>6.5834305410152814</v>
      </c>
      <c r="L89" s="3154">
        <f>((L87-K87)/K87)*100</f>
        <v>10.217169456511401</v>
      </c>
    </row>
    <row r="90" spans="1:18">
      <c r="B90" s="3547"/>
      <c r="C90" s="27"/>
      <c r="D90" s="79"/>
      <c r="F90" s="3547"/>
      <c r="G90" s="80"/>
      <c r="H90" s="80"/>
      <c r="I90" s="80"/>
      <c r="J90" s="100"/>
      <c r="K90" s="100"/>
    </row>
    <row r="125" spans="12:12">
      <c r="L125" s="14" t="e">
        <f>+M22+#REF!</f>
        <v>#REF!</v>
      </c>
    </row>
    <row r="129" spans="10:13" ht="15" thickBot="1">
      <c r="J129" s="363">
        <v>41305768</v>
      </c>
      <c r="K129" s="363">
        <v>37476709</v>
      </c>
      <c r="L129" s="363">
        <v>53177349</v>
      </c>
      <c r="M129" s="363">
        <v>49694449</v>
      </c>
    </row>
    <row r="131" spans="10:13">
      <c r="J131" s="10">
        <f>+J129+L129</f>
        <v>94483117</v>
      </c>
      <c r="K131" s="10">
        <f>+K129+M129</f>
        <v>87171158</v>
      </c>
    </row>
    <row r="133" spans="10:13">
      <c r="J133" s="10">
        <f>+J131-K131</f>
        <v>7311959</v>
      </c>
      <c r="K133" s="14" t="e">
        <f>+K131-L125</f>
        <v>#REF!</v>
      </c>
    </row>
    <row r="134" spans="10:13">
      <c r="J134">
        <f>+J133/K131*100</f>
        <v>8.3880484873219192</v>
      </c>
      <c r="K134" s="9" t="e">
        <f>+K133/L125*100</f>
        <v>#REF!</v>
      </c>
    </row>
  </sheetData>
  <customSheetViews>
    <customSheetView guid="{2ACFE167-4169-43A6-9AB2-59D5A2DA2DB4}" hiddenColumns="1" state="hidden">
      <pane xSplit="4" ySplit="6" topLeftCell="F7" activePane="bottomRight" state="frozen"/>
      <selection pane="bottomRight" activeCell="Q7" sqref="Q7:Q21"/>
      <rowBreaks count="1" manualBreakCount="1">
        <brk id="49" max="16383" man="1"/>
      </rowBreaks>
      <colBreaks count="1" manualBreakCount="1">
        <brk id="18" max="1048575" man="1"/>
      </colBreaks>
      <pageMargins left="0" right="0" top="0" bottom="0" header="0" footer="0"/>
      <pageSetup scale="69" orientation="landscape" r:id="rId1"/>
    </customSheetView>
    <customSheetView guid="{967E0446-E234-427F-8E57-7FE287052E2E}" hiddenColumns="1" state="hidden">
      <pane xSplit="4" ySplit="6" topLeftCell="F7" activePane="bottomRight" state="frozen"/>
      <selection pane="bottomRight" activeCell="Q7" sqref="Q7:Q21"/>
      <rowBreaks count="1" manualBreakCount="1">
        <brk id="49" max="16383" man="1"/>
      </rowBreaks>
      <colBreaks count="1" manualBreakCount="1">
        <brk id="18" max="1048575" man="1"/>
      </colBreaks>
      <pageMargins left="0" right="0" top="0" bottom="0" header="0" footer="0"/>
      <pageSetup scale="69" orientation="landscape" r:id="rId2"/>
    </customSheetView>
    <customSheetView guid="{B2E1A0C6-5BA1-4CF1-B412-16D81FCDF11F}" hiddenColumns="1" state="hidden">
      <pane xSplit="4" ySplit="6" topLeftCell="F7" activePane="bottomRight" state="frozen"/>
      <selection pane="bottomRight" activeCell="Q7" sqref="Q7:Q21"/>
      <rowBreaks count="1" manualBreakCount="1">
        <brk id="49" max="16383" man="1"/>
      </rowBreaks>
      <colBreaks count="1" manualBreakCount="1">
        <brk id="18" max="1048575" man="1"/>
      </colBreaks>
      <pageMargins left="0" right="0" top="0" bottom="0" header="0" footer="0"/>
      <pageSetup scale="69" orientation="landscape" r:id="rId3"/>
    </customSheetView>
    <customSheetView guid="{46F31544-8E6F-41C5-8628-1D6EE074AF15}" hiddenColumns="1" state="hidden">
      <pane xSplit="4" ySplit="6" topLeftCell="F7" activePane="bottomRight" state="frozen"/>
      <selection pane="bottomRight" activeCell="Q7" sqref="Q7:Q21"/>
      <rowBreaks count="1" manualBreakCount="1">
        <brk id="49" max="16383" man="1"/>
      </rowBreaks>
      <colBreaks count="1" manualBreakCount="1">
        <brk id="18" max="1048575" man="1"/>
      </colBreaks>
      <pageMargins left="0" right="0" top="0" bottom="0" header="0" footer="0"/>
      <pageSetup scale="69" orientation="landscape" r:id="rId4"/>
    </customSheetView>
    <customSheetView guid="{B1E1B596-A9A1-411D-A882-A48CB025B978}" hiddenColumns="1" state="hidden">
      <pane xSplit="4" ySplit="6" topLeftCell="F7" activePane="bottomRight" state="frozen"/>
      <selection pane="bottomRight" activeCell="Q7" sqref="Q7:Q21"/>
      <rowBreaks count="1" manualBreakCount="1">
        <brk id="49" max="16383" man="1"/>
      </rowBreaks>
      <colBreaks count="1" manualBreakCount="1">
        <brk id="18" max="1048575" man="1"/>
      </colBreaks>
      <pageMargins left="0" right="0" top="0" bottom="0" header="0" footer="0"/>
      <pageSetup scale="69" orientation="landscape" r:id="rId5"/>
    </customSheetView>
    <customSheetView guid="{5E394B0B-7867-4722-9497-A93AB2A9A773}" hiddenColumns="1" state="hidden">
      <pane xSplit="4" ySplit="6" topLeftCell="F7" activePane="bottomRight" state="frozen"/>
      <selection pane="bottomRight" activeCell="Q7" sqref="Q7:Q21"/>
      <rowBreaks count="1" manualBreakCount="1">
        <brk id="49" max="16383" man="1"/>
      </rowBreaks>
      <colBreaks count="1" manualBreakCount="1">
        <brk id="18" max="1048575" man="1"/>
      </colBreaks>
      <pageMargins left="0" right="0" top="0" bottom="0" header="0" footer="0"/>
      <pageSetup scale="69" orientation="landscape" r:id="rId6"/>
    </customSheetView>
  </customSheetViews>
  <mergeCells count="24">
    <mergeCell ref="F3:P3"/>
    <mergeCell ref="U3:AD3"/>
    <mergeCell ref="AG3:AN3"/>
    <mergeCell ref="D4:E4"/>
    <mergeCell ref="G4:H4"/>
    <mergeCell ref="I4:J4"/>
    <mergeCell ref="K4:L4"/>
    <mergeCell ref="M4:N4"/>
    <mergeCell ref="O4:P4"/>
    <mergeCell ref="Q4:R4"/>
    <mergeCell ref="B89:B90"/>
    <mergeCell ref="F89:F90"/>
    <mergeCell ref="M23:N24"/>
    <mergeCell ref="O23:P24"/>
    <mergeCell ref="Q23:R24"/>
    <mergeCell ref="F68:K68"/>
    <mergeCell ref="B69:B71"/>
    <mergeCell ref="F69:F71"/>
    <mergeCell ref="B23:B24"/>
    <mergeCell ref="D23:E24"/>
    <mergeCell ref="F23:F24"/>
    <mergeCell ref="G23:H24"/>
    <mergeCell ref="I23:J24"/>
    <mergeCell ref="K23:L24"/>
  </mergeCells>
  <hyperlinks>
    <hyperlink ref="B2" location="'List of tables'!A1" display="'List of tables'!A1" xr:uid="{00000000-0004-0000-2700-000000000000}"/>
  </hyperlinks>
  <pageMargins left="0.22" right="0.2" top="0.75" bottom="0.75" header="0.3" footer="0.3"/>
  <pageSetup scale="69" orientation="landscape" r:id="rId7"/>
  <rowBreaks count="1" manualBreakCount="1">
    <brk id="49" max="16383" man="1"/>
  </rowBreaks>
  <colBreaks count="1" manualBreakCount="1">
    <brk id="18" max="1048575" man="1"/>
  </colBreaks>
  <drawing r:id="rId8"/>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rgb="FF92D050"/>
    <pageSetUpPr autoPageBreaks="0"/>
  </sheetPr>
  <dimension ref="B2:O39"/>
  <sheetViews>
    <sheetView showGridLines="0" view="pageBreakPreview" zoomScaleNormal="80" zoomScaleSheetLayoutView="100" workbookViewId="0">
      <pane xSplit="2" topLeftCell="C1" activePane="topRight" state="frozen"/>
      <selection pane="topRight" activeCell="F9" sqref="F9"/>
    </sheetView>
  </sheetViews>
  <sheetFormatPr defaultColWidth="9.140625" defaultRowHeight="13.15"/>
  <cols>
    <col min="1" max="1" width="6.28515625" style="2" customWidth="1"/>
    <col min="2" max="2" width="16.7109375" style="2" customWidth="1"/>
    <col min="3" max="7" width="18.28515625" style="2" customWidth="1"/>
    <col min="8" max="8" width="21.140625" style="2" customWidth="1"/>
    <col min="9" max="9" width="9.42578125" style="2" bestFit="1" customWidth="1"/>
    <col min="10" max="10" width="9.5703125" style="2" bestFit="1" customWidth="1"/>
    <col min="11" max="11" width="10.5703125" style="2" bestFit="1" customWidth="1"/>
    <col min="12" max="12" width="27.7109375" style="2" customWidth="1"/>
    <col min="13" max="13" width="10.7109375" style="2" bestFit="1" customWidth="1"/>
    <col min="14" max="14" width="10.7109375" style="2" customWidth="1"/>
    <col min="15" max="15" width="12.42578125" style="2" bestFit="1" customWidth="1"/>
    <col min="16" max="16" width="11.5703125" style="2" bestFit="1" customWidth="1"/>
    <col min="17" max="17" width="9.28515625" style="2" bestFit="1" customWidth="1"/>
    <col min="18" max="16384" width="9.140625" style="2"/>
  </cols>
  <sheetData>
    <row r="2" spans="2:15">
      <c r="B2" s="295" t="s">
        <v>641</v>
      </c>
      <c r="C2" s="295"/>
      <c r="D2" s="381"/>
      <c r="E2" s="381"/>
      <c r="F2" s="381"/>
      <c r="G2" s="381"/>
      <c r="H2" s="381"/>
      <c r="I2" s="381"/>
      <c r="J2" s="381"/>
      <c r="K2" s="291"/>
      <c r="L2" s="291"/>
      <c r="M2" s="291"/>
      <c r="N2" s="237"/>
      <c r="O2" s="381"/>
    </row>
    <row r="3" spans="2:15">
      <c r="C3" s="381"/>
      <c r="D3" s="381"/>
      <c r="E3" s="381"/>
      <c r="F3" s="381"/>
      <c r="G3" s="381"/>
      <c r="H3" s="381"/>
      <c r="I3" s="381"/>
      <c r="J3" s="381"/>
      <c r="K3" s="291"/>
      <c r="L3" s="291"/>
      <c r="M3" s="291"/>
      <c r="N3" s="237"/>
      <c r="O3" s="381"/>
    </row>
    <row r="4" spans="2:15" ht="14.45">
      <c r="B4" s="2608" t="s">
        <v>84</v>
      </c>
      <c r="C4" s="1620">
        <v>2018</v>
      </c>
      <c r="D4" s="1621">
        <v>2019</v>
      </c>
      <c r="E4" s="1620">
        <v>2020</v>
      </c>
      <c r="F4" s="1622" t="s">
        <v>138</v>
      </c>
      <c r="G4" s="1622" t="s">
        <v>139</v>
      </c>
      <c r="H4" s="11"/>
      <c r="I4" s="11"/>
      <c r="J4"/>
      <c r="M4"/>
      <c r="N4"/>
    </row>
    <row r="5" spans="2:15" s="292" customFormat="1" ht="14.45">
      <c r="B5" s="1683" t="s">
        <v>90</v>
      </c>
      <c r="C5" s="1554">
        <v>53654</v>
      </c>
      <c r="D5" s="1619">
        <v>50848</v>
      </c>
      <c r="E5" s="1619">
        <v>49873</v>
      </c>
      <c r="F5" s="1623">
        <v>56481</v>
      </c>
      <c r="G5" s="1715">
        <v>47581</v>
      </c>
      <c r="H5"/>
      <c r="I5"/>
      <c r="J5" s="257"/>
      <c r="K5" s="157"/>
      <c r="L5" s="157"/>
      <c r="M5"/>
      <c r="N5"/>
    </row>
    <row r="6" spans="2:15" s="292" customFormat="1" ht="14.45">
      <c r="B6" s="1683" t="s">
        <v>92</v>
      </c>
      <c r="C6" s="1717">
        <v>11331</v>
      </c>
      <c r="D6" s="1717">
        <v>12345</v>
      </c>
      <c r="E6" s="1717">
        <v>9107</v>
      </c>
      <c r="F6" s="1626">
        <v>30838</v>
      </c>
      <c r="G6" s="1715">
        <v>9868</v>
      </c>
      <c r="H6"/>
      <c r="I6"/>
      <c r="J6" s="257"/>
      <c r="K6" s="157"/>
      <c r="L6" s="157"/>
      <c r="M6"/>
      <c r="N6"/>
    </row>
    <row r="7" spans="2:15" s="292" customFormat="1" ht="14.45">
      <c r="B7" s="1683" t="s">
        <v>93</v>
      </c>
      <c r="C7" s="1717">
        <v>4847</v>
      </c>
      <c r="D7" s="1717">
        <v>4838</v>
      </c>
      <c r="E7" s="1717">
        <v>4279</v>
      </c>
      <c r="F7" s="1742">
        <v>4969</v>
      </c>
      <c r="G7" s="1715">
        <v>4476</v>
      </c>
      <c r="H7"/>
      <c r="I7"/>
      <c r="J7" s="257"/>
      <c r="K7" s="157"/>
      <c r="L7" s="157"/>
      <c r="M7"/>
      <c r="N7"/>
    </row>
    <row r="8" spans="2:15" s="292" customFormat="1" ht="14.45">
      <c r="B8" s="1683" t="s">
        <v>95</v>
      </c>
      <c r="C8" s="1717">
        <v>20565</v>
      </c>
      <c r="D8" s="1717">
        <v>20988</v>
      </c>
      <c r="E8" s="1717">
        <v>19232</v>
      </c>
      <c r="F8" s="1742">
        <v>22186</v>
      </c>
      <c r="G8" s="1715">
        <v>16774</v>
      </c>
      <c r="H8"/>
      <c r="I8"/>
      <c r="J8" s="257"/>
      <c r="K8" s="157"/>
      <c r="L8" s="157"/>
      <c r="M8"/>
      <c r="N8"/>
    </row>
    <row r="9" spans="2:15" s="292" customFormat="1" ht="14.45">
      <c r="B9" s="1683" t="s">
        <v>96</v>
      </c>
      <c r="C9" s="1717">
        <v>110089</v>
      </c>
      <c r="D9" s="1717">
        <v>109901</v>
      </c>
      <c r="E9" s="1717">
        <v>108866</v>
      </c>
      <c r="F9" s="1742">
        <v>115868</v>
      </c>
      <c r="G9" s="1715">
        <v>96163</v>
      </c>
      <c r="H9"/>
      <c r="I9"/>
      <c r="J9" s="257"/>
      <c r="K9" s="157"/>
      <c r="L9" s="157"/>
      <c r="M9"/>
      <c r="N9"/>
    </row>
    <row r="10" spans="2:15" s="292" customFormat="1" ht="14.45">
      <c r="B10" s="1683" t="s">
        <v>99</v>
      </c>
      <c r="C10" s="2609"/>
      <c r="D10" s="2609"/>
      <c r="E10" s="2609"/>
      <c r="F10" s="2609"/>
      <c r="G10" s="1715">
        <v>10</v>
      </c>
      <c r="H10"/>
      <c r="I10"/>
      <c r="J10" s="257"/>
      <c r="K10" s="157"/>
      <c r="L10" s="157"/>
      <c r="M10"/>
      <c r="N10"/>
    </row>
    <row r="11" spans="2:15" s="292" customFormat="1" ht="14.45">
      <c r="B11" s="1683" t="s">
        <v>239</v>
      </c>
      <c r="C11" s="1717">
        <v>11394</v>
      </c>
      <c r="D11" s="1717">
        <v>7626</v>
      </c>
      <c r="E11" s="1717">
        <v>6179</v>
      </c>
      <c r="F11" s="1742">
        <v>5392</v>
      </c>
      <c r="G11" s="1715">
        <v>5417</v>
      </c>
      <c r="H11"/>
      <c r="I11"/>
      <c r="J11" s="257"/>
      <c r="K11" s="157"/>
      <c r="L11" s="157"/>
      <c r="M11"/>
      <c r="N11"/>
    </row>
    <row r="12" spans="2:15" s="292" customFormat="1" ht="14.45">
      <c r="B12" s="1683" t="s">
        <v>103</v>
      </c>
      <c r="C12" s="1717">
        <v>29530</v>
      </c>
      <c r="D12" s="1717">
        <v>28211</v>
      </c>
      <c r="E12" s="1717">
        <v>24635</v>
      </c>
      <c r="F12" s="1742">
        <v>34371</v>
      </c>
      <c r="G12" s="1715">
        <v>39932</v>
      </c>
      <c r="H12"/>
      <c r="I12"/>
      <c r="J12" s="257"/>
      <c r="K12" s="157"/>
      <c r="L12" s="157"/>
      <c r="M12"/>
      <c r="N12"/>
    </row>
    <row r="13" spans="2:15" s="292" customFormat="1" ht="14.45">
      <c r="B13" s="1683" t="s">
        <v>105</v>
      </c>
      <c r="C13" s="1717">
        <v>24885</v>
      </c>
      <c r="D13" s="1717">
        <v>17526</v>
      </c>
      <c r="E13" s="1717">
        <v>16092</v>
      </c>
      <c r="F13" s="1742">
        <v>30096</v>
      </c>
      <c r="G13" s="1715">
        <v>25058</v>
      </c>
      <c r="H13"/>
      <c r="I13"/>
      <c r="J13" s="257"/>
      <c r="K13" s="157"/>
      <c r="L13" s="157"/>
      <c r="M13"/>
      <c r="N13"/>
    </row>
    <row r="14" spans="2:15" s="292" customFormat="1" ht="14.45">
      <c r="B14" s="1683" t="s">
        <v>106</v>
      </c>
      <c r="C14" s="1717">
        <v>4059</v>
      </c>
      <c r="D14" s="1717">
        <v>5897</v>
      </c>
      <c r="E14" s="1717">
        <v>5582</v>
      </c>
      <c r="F14" s="1626">
        <v>6257</v>
      </c>
      <c r="G14" s="1715">
        <v>4925</v>
      </c>
      <c r="H14"/>
      <c r="I14"/>
      <c r="J14" s="257"/>
      <c r="K14" s="157"/>
      <c r="L14" s="157"/>
      <c r="M14"/>
      <c r="N14"/>
    </row>
    <row r="15" spans="2:15" s="292" customFormat="1" ht="14.45">
      <c r="B15" s="1683" t="s">
        <v>107</v>
      </c>
      <c r="C15" s="1717">
        <v>86838</v>
      </c>
      <c r="D15" s="1717">
        <v>79348</v>
      </c>
      <c r="E15" s="1717">
        <v>94528</v>
      </c>
      <c r="F15" s="1742">
        <v>88783</v>
      </c>
      <c r="G15" s="1715">
        <v>57324</v>
      </c>
      <c r="H15"/>
      <c r="I15"/>
      <c r="J15" s="257"/>
      <c r="K15" s="157"/>
      <c r="L15" s="157"/>
      <c r="M15"/>
      <c r="N15"/>
    </row>
    <row r="16" spans="2:15" s="292" customFormat="1" ht="14.45">
      <c r="B16" s="1683" t="s">
        <v>109</v>
      </c>
      <c r="C16" s="2609"/>
      <c r="D16" s="1717">
        <v>197</v>
      </c>
      <c r="E16" s="1717">
        <v>38</v>
      </c>
      <c r="F16" s="2609"/>
      <c r="G16" s="1686"/>
      <c r="H16"/>
      <c r="I16"/>
      <c r="J16" s="257"/>
      <c r="K16" s="157"/>
      <c r="L16" s="157"/>
      <c r="M16"/>
      <c r="N16"/>
    </row>
    <row r="17" spans="2:15" s="292" customFormat="1" ht="14.45">
      <c r="B17" s="1683" t="s">
        <v>113</v>
      </c>
      <c r="C17" s="1717">
        <v>30016</v>
      </c>
      <c r="D17" s="1717">
        <v>27206</v>
      </c>
      <c r="E17" s="1717">
        <v>35577</v>
      </c>
      <c r="F17" s="1626">
        <v>24959</v>
      </c>
      <c r="G17" s="1715">
        <v>30356</v>
      </c>
      <c r="H17"/>
      <c r="I17"/>
      <c r="J17" s="257"/>
      <c r="K17" s="157"/>
      <c r="L17" s="157"/>
      <c r="M17"/>
      <c r="N17"/>
    </row>
    <row r="18" spans="2:15" s="292" customFormat="1" ht="14.45">
      <c r="B18" s="1683" t="s">
        <v>115</v>
      </c>
      <c r="C18" s="1717">
        <v>72788</v>
      </c>
      <c r="D18" s="1717">
        <v>65392</v>
      </c>
      <c r="E18" s="1717">
        <v>213603</v>
      </c>
      <c r="F18" s="1742">
        <v>170624</v>
      </c>
      <c r="G18" s="1715">
        <v>111816</v>
      </c>
      <c r="H18"/>
      <c r="I18"/>
      <c r="J18" s="257"/>
      <c r="K18" s="157"/>
      <c r="L18" s="157"/>
      <c r="M18"/>
      <c r="N18"/>
    </row>
    <row r="19" spans="2:15" s="292" customFormat="1" ht="14.45">
      <c r="B19" s="1683" t="s">
        <v>116</v>
      </c>
      <c r="C19" s="1717">
        <v>202583</v>
      </c>
      <c r="D19" s="1717">
        <v>250407</v>
      </c>
      <c r="E19" s="1717">
        <v>262605</v>
      </c>
      <c r="F19" s="1742">
        <v>237453</v>
      </c>
      <c r="G19" s="1715">
        <v>132420</v>
      </c>
      <c r="H19"/>
      <c r="I19"/>
      <c r="J19" s="257"/>
      <c r="K19" s="157"/>
      <c r="L19" s="157"/>
      <c r="M19"/>
      <c r="N19"/>
    </row>
    <row r="20" spans="2:15" s="292" customFormat="1" ht="14.45">
      <c r="B20" s="1683" t="s">
        <v>117</v>
      </c>
      <c r="C20" s="1717">
        <v>48547</v>
      </c>
      <c r="D20" s="1717">
        <v>54166</v>
      </c>
      <c r="E20" s="1717">
        <v>54028</v>
      </c>
      <c r="F20" s="1742">
        <v>64383</v>
      </c>
      <c r="G20" s="1715">
        <v>55792</v>
      </c>
      <c r="H20"/>
      <c r="I20"/>
      <c r="J20" s="257"/>
      <c r="K20" s="157"/>
      <c r="L20" s="157"/>
      <c r="M20"/>
      <c r="N20"/>
    </row>
    <row r="21" spans="2:15" s="292" customFormat="1" ht="14.45">
      <c r="B21" s="2610" t="s">
        <v>118</v>
      </c>
      <c r="C21" s="2611">
        <f>SUM(C5:C20)</f>
        <v>711126</v>
      </c>
      <c r="D21" s="2611">
        <f>SUM(D5:D20)</f>
        <v>734896</v>
      </c>
      <c r="E21" s="2611">
        <f>SUM(E5:E20)</f>
        <v>904224</v>
      </c>
      <c r="F21" s="2611">
        <f>SUM(F5:F20)</f>
        <v>892660</v>
      </c>
      <c r="G21" s="2611">
        <f>SUM(G5:G20)</f>
        <v>637912</v>
      </c>
      <c r="H21"/>
      <c r="I21"/>
      <c r="J21" s="257"/>
      <c r="K21" s="157"/>
      <c r="L21" s="157"/>
      <c r="M21"/>
      <c r="N21"/>
    </row>
    <row r="22" spans="2:15" s="292" customFormat="1" ht="14.45">
      <c r="B22" s="423"/>
      <c r="C22" s="424"/>
      <c r="I22"/>
      <c r="J22"/>
      <c r="K22" s="257"/>
      <c r="L22" s="157"/>
      <c r="M22" s="157"/>
      <c r="N22"/>
      <c r="O22"/>
    </row>
    <row r="23" spans="2:15" s="292" customFormat="1" ht="14.45">
      <c r="B23" s="423"/>
      <c r="C23" s="469"/>
      <c r="G23" s="292">
        <v>180</v>
      </c>
      <c r="I23"/>
      <c r="J23"/>
      <c r="K23" s="257"/>
      <c r="L23" s="157"/>
      <c r="M23" s="157"/>
      <c r="N23"/>
      <c r="O23"/>
    </row>
    <row r="24" spans="2:15" ht="14.45">
      <c r="B24" s="233"/>
      <c r="I24"/>
      <c r="J24"/>
      <c r="K24"/>
      <c r="L24"/>
      <c r="M24"/>
      <c r="N24"/>
      <c r="O24"/>
    </row>
    <row r="26" spans="2:15">
      <c r="C26" s="408"/>
    </row>
    <row r="27" spans="2:15">
      <c r="B27" s="489"/>
    </row>
    <row r="37" spans="2:2">
      <c r="B37" s="233"/>
    </row>
    <row r="38" spans="2:2">
      <c r="B38" s="233"/>
    </row>
    <row r="39" spans="2:2">
      <c r="B39" s="233"/>
    </row>
  </sheetData>
  <pageMargins left="0.72" right="0.2" top="0.75" bottom="0.75" header="0.3" footer="0.3"/>
  <pageSetup paperSize="9" scale="70"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theme="3" tint="0.39997558519241921"/>
  </sheetPr>
  <dimension ref="A2:H44"/>
  <sheetViews>
    <sheetView topLeftCell="A10" zoomScaleNormal="100" workbookViewId="0">
      <selection activeCell="H16" sqref="H16"/>
    </sheetView>
  </sheetViews>
  <sheetFormatPr defaultColWidth="9.140625" defaultRowHeight="13.15"/>
  <cols>
    <col min="1" max="1" width="21.42578125" style="2" customWidth="1"/>
    <col min="2" max="2" width="13.5703125" style="2" customWidth="1"/>
    <col min="3" max="3" width="18.28515625" style="2" customWidth="1"/>
    <col min="4" max="4" width="17.5703125" style="2" customWidth="1"/>
    <col min="5" max="5" width="13.7109375" style="2" customWidth="1"/>
    <col min="6" max="6" width="14" style="2" customWidth="1"/>
    <col min="7" max="7" width="12.85546875" style="2" customWidth="1"/>
    <col min="8" max="8" width="14.28515625" style="2" bestFit="1" customWidth="1"/>
    <col min="9" max="16384" width="9.140625" style="2"/>
  </cols>
  <sheetData>
    <row r="2" spans="1:7">
      <c r="A2" s="1" t="s">
        <v>642</v>
      </c>
    </row>
    <row r="4" spans="1:7">
      <c r="A4" s="3569" t="s">
        <v>643</v>
      </c>
      <c r="B4" s="3570" t="s">
        <v>210</v>
      </c>
      <c r="C4" s="3570"/>
      <c r="D4" s="3570"/>
      <c r="E4" s="3571" t="s">
        <v>211</v>
      </c>
      <c r="F4" s="3572"/>
      <c r="G4" s="3573"/>
    </row>
    <row r="5" spans="1:7" ht="62.25" customHeight="1">
      <c r="A5" s="3569"/>
      <c r="B5" s="2612" t="s">
        <v>644</v>
      </c>
      <c r="C5" s="2612" t="s">
        <v>645</v>
      </c>
      <c r="D5" s="2612" t="s">
        <v>646</v>
      </c>
      <c r="E5" s="2612" t="s">
        <v>647</v>
      </c>
      <c r="F5" s="2612" t="s">
        <v>648</v>
      </c>
      <c r="G5" s="2612" t="s">
        <v>646</v>
      </c>
    </row>
    <row r="6" spans="1:7" ht="26.45">
      <c r="A6" s="2613" t="s">
        <v>226</v>
      </c>
      <c r="B6" s="2609">
        <f>+B7+B8+B9</f>
        <v>10932807.229024513</v>
      </c>
      <c r="C6" s="2609">
        <f>+E35</f>
        <v>91445229.242670387</v>
      </c>
      <c r="D6" s="2614">
        <f>+B6/C6*100</f>
        <v>11.95557966180156</v>
      </c>
      <c r="E6" s="2609">
        <f>+E7+E8+E9</f>
        <v>11880429.152922077</v>
      </c>
      <c r="F6" s="2609">
        <f>+F35</f>
        <v>96085489.538927764</v>
      </c>
      <c r="G6" s="2615">
        <f>+E6/F6*100</f>
        <v>12.364436305555667</v>
      </c>
    </row>
    <row r="7" spans="1:7">
      <c r="A7" s="1789" t="s">
        <v>649</v>
      </c>
      <c r="B7" s="1717">
        <f>VLOOKUP(A7,'[6]InV Income  - Life'!B7:F27,5,0)+VLOOKUP('Investment Income LI  (Final)'!A7,'[6]InV Income  - Life'!B7:J27,9,0)</f>
        <v>9137669.0239545126</v>
      </c>
      <c r="C7" s="1717"/>
      <c r="D7" s="1738"/>
      <c r="E7" s="1717">
        <f>VLOOKUP(A7,'[6]InV Income  - Life'!B7:C27,2,0)+VLOOKUP('Investment Income LI  (Final)'!A7,'[6]InV Income  - Life'!B7:I27,8,0)</f>
        <v>9612859.4406555854</v>
      </c>
      <c r="F7" s="1717"/>
      <c r="G7" s="1727"/>
    </row>
    <row r="8" spans="1:7">
      <c r="A8" s="1789" t="s">
        <v>650</v>
      </c>
      <c r="B8" s="1717">
        <f>VLOOKUP(A8,'[6]InV Income  - Life'!B8:F28,5,0)+VLOOKUP('Investment Income LI  (Final)'!A8,'[6]InV Income  - Life'!B8:J28,9,0)</f>
        <v>186641.66677000001</v>
      </c>
      <c r="C8" s="1717"/>
      <c r="D8" s="1738"/>
      <c r="E8" s="1717">
        <f>VLOOKUP(A8,'[6]InV Income  - Life'!B8:C28,2,0)+VLOOKUP('Investment Income LI  (Final)'!A8,'[6]InV Income  - Life'!B8:I28,8,0)</f>
        <v>249376.68720708851</v>
      </c>
      <c r="F8" s="1717"/>
      <c r="G8" s="1727"/>
    </row>
    <row r="9" spans="1:7">
      <c r="A9" s="1789" t="s">
        <v>651</v>
      </c>
      <c r="B9" s="1717">
        <f>VLOOKUP(A9,'[6]InV Income  - Life'!B9:F29,5,0)+VLOOKUP('Investment Income LI  (Final)'!A9,'[6]InV Income  - Life'!B9:J29,9,0)</f>
        <v>1608496.5382999999</v>
      </c>
      <c r="C9" s="1717"/>
      <c r="D9" s="1738"/>
      <c r="E9" s="1717">
        <f>VLOOKUP(A9,'[6]InV Income  - Life'!B9:C29,2,0)+VLOOKUP('Investment Income LI  (Final)'!A9,'[6]InV Income  - Life'!B9:I29,8,0)</f>
        <v>2018193.0250594034</v>
      </c>
      <c r="F9" s="1717"/>
      <c r="G9" s="1727"/>
    </row>
    <row r="10" spans="1:7">
      <c r="A10" s="2616" t="s">
        <v>652</v>
      </c>
      <c r="B10" s="2609">
        <f>+B11+B12</f>
        <v>-69948.105779999867</v>
      </c>
      <c r="C10" s="2609">
        <f>+E36</f>
        <v>24759141.967679288</v>
      </c>
      <c r="D10" s="2614">
        <f>+B10/C10*100</f>
        <v>-0.28251425623436582</v>
      </c>
      <c r="E10" s="2609">
        <f>+E11+E12</f>
        <v>914352.7882699999</v>
      </c>
      <c r="F10" s="2609">
        <f>+F36</f>
        <v>25733073.914437652</v>
      </c>
      <c r="G10" s="2615">
        <f>+E10/F10*100</f>
        <v>3.5532202305492868</v>
      </c>
    </row>
    <row r="11" spans="1:7">
      <c r="A11" s="1789" t="s">
        <v>653</v>
      </c>
      <c r="B11" s="1717">
        <f>VLOOKUP(A11,'[6]InV Income  - Life'!B11:F31,5,0)+VLOOKUP('Investment Income LI  (Final)'!A11,'[6]InV Income  - Life'!B11:J31,9,0)</f>
        <v>-855776.82077999995</v>
      </c>
      <c r="C11" s="1717"/>
      <c r="D11" s="1738"/>
      <c r="E11" s="1717">
        <f>VLOOKUP(A11,'[6]InV Income  - Life'!B11:C31,2,0)+VLOOKUP('Investment Income LI  (Final)'!A11,'[6]InV Income  - Life'!B11:I31,8,0)</f>
        <v>-92781.190640000073</v>
      </c>
      <c r="F11" s="1717"/>
      <c r="G11" s="1727"/>
    </row>
    <row r="12" spans="1:7">
      <c r="A12" s="1789" t="s">
        <v>654</v>
      </c>
      <c r="B12" s="1717">
        <f>VLOOKUP(A12,'[6]InV Income  - Life'!B12:F32,5,0)+VLOOKUP('Investment Income LI  (Final)'!A12,'[6]InV Income  - Life'!B12:J32,9,0)</f>
        <v>785828.71500000008</v>
      </c>
      <c r="C12" s="1717"/>
      <c r="D12" s="1738"/>
      <c r="E12" s="1717">
        <f>VLOOKUP(A12,'[6]InV Income  - Life'!B12:C32,2,0)+VLOOKUP('Investment Income LI  (Final)'!A12,'[6]InV Income  - Life'!B12:I32,8,0)</f>
        <v>1007133.9789099999</v>
      </c>
      <c r="F12" s="1717"/>
      <c r="G12" s="1727"/>
    </row>
    <row r="13" spans="1:7">
      <c r="A13" s="2616" t="s">
        <v>655</v>
      </c>
      <c r="B13" s="2609">
        <f>+B14+B15+B16+B17</f>
        <v>1636238.8744821211</v>
      </c>
      <c r="C13" s="2609">
        <f>+E37</f>
        <v>11986395.403613916</v>
      </c>
      <c r="D13" s="2614">
        <f>+B13/C13*100</f>
        <v>13.650800089481386</v>
      </c>
      <c r="E13" s="2609">
        <f>+E14+E15+E16+E17</f>
        <v>2558858.3499542433</v>
      </c>
      <c r="F13" s="2609">
        <f>+F37</f>
        <v>23110025.30414727</v>
      </c>
      <c r="G13" s="2615">
        <f>+E13/F13*100</f>
        <v>11.072503453706894</v>
      </c>
    </row>
    <row r="14" spans="1:7">
      <c r="A14" s="1793" t="s">
        <v>656</v>
      </c>
      <c r="B14" s="1717">
        <f>VLOOKUP(A14,'[6]InV Income  - Life'!B14:F34,5,0)+VLOOKUP('Investment Income LI  (Final)'!A14,'[6]InV Income  - Life'!B14:J34,9,0)</f>
        <v>1504614.9553747794</v>
      </c>
      <c r="C14" s="1717"/>
      <c r="D14" s="1738"/>
      <c r="E14" s="1717">
        <f>VLOOKUP(A14,'[6]InV Income  - Life'!B14:C34,2,0)+VLOOKUP('Investment Income LI  (Final)'!A14,'[6]InV Income  - Life'!B14:I34,8,0)</f>
        <v>2419956.8851926178</v>
      </c>
      <c r="F14" s="1717"/>
      <c r="G14" s="1727"/>
    </row>
    <row r="15" spans="1:7">
      <c r="A15" s="1793" t="s">
        <v>657</v>
      </c>
      <c r="B15" s="1717">
        <f>VLOOKUP(A15,'[6]InV Income  - Life'!B15:F35,5,0)+VLOOKUP('Investment Income LI  (Final)'!A15,'[6]InV Income  - Life'!B15:J35,9,0)</f>
        <v>125876.37511196753</v>
      </c>
      <c r="C15" s="1717"/>
      <c r="D15" s="1738"/>
      <c r="E15" s="1717">
        <f>VLOOKUP(A15,'[6]InV Income  - Life'!B15:C35,2,0)+VLOOKUP('Investment Income LI  (Final)'!A15,'[6]InV Income  - Life'!B15:I35,8,0)</f>
        <v>119306.13954316938</v>
      </c>
      <c r="F15" s="1717"/>
      <c r="G15" s="1727"/>
    </row>
    <row r="16" spans="1:7" ht="30" customHeight="1">
      <c r="A16" s="1793" t="s">
        <v>658</v>
      </c>
      <c r="B16" s="1717">
        <f>VLOOKUP(A16,'[6]InV Income  - Life'!B16:F36,5,0)+VLOOKUP('Investment Income LI  (Final)'!A16,'[6]InV Income  - Life'!B16:J36,9,0)</f>
        <v>5747.543995374127</v>
      </c>
      <c r="C16" s="1717"/>
      <c r="D16" s="1738"/>
      <c r="E16" s="1717">
        <f>VLOOKUP(A16,'[6]InV Income  - Life'!B16:C36,2,0)+VLOOKUP('Investment Income LI  (Final)'!A16,'[6]InV Income  - Life'!B16:I36,8,0)</f>
        <v>19595.325218456117</v>
      </c>
      <c r="F16" s="1717"/>
      <c r="G16" s="1727"/>
    </row>
    <row r="17" spans="1:8" ht="26.45">
      <c r="A17" s="1793" t="s">
        <v>659</v>
      </c>
      <c r="B17" s="1717">
        <f>VLOOKUP(A17,'[6]InV Income  - Life'!B17:F37,5,0)+VLOOKUP('Investment Income LI  (Final)'!A17,'[6]InV Income  - Life'!B17:J37,9,0)</f>
        <v>0</v>
      </c>
      <c r="C17" s="1717"/>
      <c r="D17" s="1738"/>
      <c r="E17" s="1717">
        <f>VLOOKUP(A17,'[6]InV Income  - Life'!B17:C37,2,0)+VLOOKUP('Investment Income LI  (Final)'!A17,'[6]InV Income  - Life'!B17:I37,8,0)</f>
        <v>0</v>
      </c>
      <c r="F17" s="1717"/>
      <c r="G17" s="1727"/>
    </row>
    <row r="18" spans="1:8">
      <c r="A18" s="2616" t="s">
        <v>660</v>
      </c>
      <c r="B18" s="2609">
        <f>+'[6]InV Income  - Life'!N18</f>
        <v>56208.679359999995</v>
      </c>
      <c r="C18" s="2609">
        <f>+E38</f>
        <v>5915963.0320727769</v>
      </c>
      <c r="D18" s="2614">
        <f>+B18/C18*100</f>
        <v>0.95011884041990291</v>
      </c>
      <c r="E18" s="2609">
        <f>VLOOKUP(A18,'[6]InV Income  - Life'!B18:C38,2,0)+VLOOKUP('Investment Income LI  (Final)'!A18,'[6]InV Income  - Life'!B18:I38,8,0)</f>
        <v>65635.83</v>
      </c>
      <c r="F18" s="2609">
        <f>+F38</f>
        <v>6040643.7781865541</v>
      </c>
      <c r="G18" s="2615">
        <f>+E18/F18*100</f>
        <v>1.0865701142156137</v>
      </c>
    </row>
    <row r="19" spans="1:8">
      <c r="A19" s="2616" t="s">
        <v>661</v>
      </c>
      <c r="B19" s="2609">
        <f>+B20+B21</f>
        <v>3778231.9995539719</v>
      </c>
      <c r="C19" s="2609">
        <f>+E39</f>
        <v>28815685.132265575</v>
      </c>
      <c r="D19" s="2614">
        <f>+B19/C19*100</f>
        <v>13.111720169802243</v>
      </c>
      <c r="E19" s="2609">
        <f>+E20+E21</f>
        <v>5813633.5945394058</v>
      </c>
      <c r="F19" s="2609">
        <f>+F39</f>
        <v>36314036.846678108</v>
      </c>
      <c r="G19" s="2615">
        <f>+E19/F19*100</f>
        <v>16.009328896936498</v>
      </c>
    </row>
    <row r="20" spans="1:8">
      <c r="A20" s="2617" t="s">
        <v>662</v>
      </c>
      <c r="B20" s="1717">
        <f>VLOOKUP(A20,'[6]InV Income  - Life'!B20:F40,5,0)+VLOOKUP('Investment Income LI  (Final)'!A20,'[6]InV Income  - Life'!B20:J40,9,0)</f>
        <v>3656310.0990701825</v>
      </c>
      <c r="C20" s="1717"/>
      <c r="D20" s="1738"/>
      <c r="E20" s="1717">
        <f>VLOOKUP(A20,'[6]InV Income  - Life'!B20:C40,2,0)+VLOOKUP('Investment Income LI  (Final)'!A20,'[6]InV Income  - Life'!B20:I40,8,0)</f>
        <v>5649639.4438144295</v>
      </c>
      <c r="F20" s="1717"/>
      <c r="G20" s="1727"/>
      <c r="H20" s="240">
        <f>+E20-B20</f>
        <v>1993329.3447442469</v>
      </c>
    </row>
    <row r="21" spans="1:8">
      <c r="A21" s="1789" t="s">
        <v>663</v>
      </c>
      <c r="B21" s="1717">
        <f>VLOOKUP(A21,'[6]InV Income  - Life'!B21:F41,5,0)+VLOOKUP('Investment Income LI  (Final)'!A21,'[6]InV Income  - Life'!B21:J41,9,0)</f>
        <v>121921.90048378942</v>
      </c>
      <c r="C21" s="1717"/>
      <c r="D21" s="1738"/>
      <c r="E21" s="1717">
        <f>VLOOKUP(A21,'[6]InV Income  - Life'!B21:C41,2,0)+VLOOKUP('Investment Income LI  (Final)'!A21,'[6]InV Income  - Life'!B21:I41,8,0)</f>
        <v>163994.15072497641</v>
      </c>
      <c r="F21" s="1717"/>
      <c r="G21" s="1717"/>
    </row>
    <row r="22" spans="1:8">
      <c r="A22" s="2616" t="s">
        <v>664</v>
      </c>
      <c r="B22" s="2609">
        <f>+'[6]InV Income  - Life'!N22</f>
        <v>123616.50711999999</v>
      </c>
      <c r="C22" s="2609">
        <f>+E40</f>
        <v>1441082.0082959128</v>
      </c>
      <c r="D22" s="2614">
        <f>+B22/C22*100</f>
        <v>8.5780341721271771</v>
      </c>
      <c r="E22" s="2609">
        <f>VLOOKUP(A22,'[6]InV Income  - Life'!B22:C42,2,0)+VLOOKUP('Investment Income LI  (Final)'!A22,'[6]InV Income  - Life'!B22:I42,8,0)</f>
        <v>106619.3315</v>
      </c>
      <c r="F22" s="2609">
        <f>+F40</f>
        <v>1945956.3887018778</v>
      </c>
      <c r="G22" s="2615">
        <f>+E22/F22*100</f>
        <v>5.4790195771614574</v>
      </c>
    </row>
    <row r="23" spans="1:8">
      <c r="A23" s="2616" t="s">
        <v>665</v>
      </c>
      <c r="B23" s="2609">
        <f>+'[6]InV Income  - Life'!F23+'[6]InV Income  - Life'!I23</f>
        <v>25886.913</v>
      </c>
      <c r="C23" s="2609">
        <f>+E41</f>
        <v>71374.043999999994</v>
      </c>
      <c r="D23" s="2614">
        <f>+B23/C23*100</f>
        <v>36.269365653429979</v>
      </c>
      <c r="E23" s="2609">
        <f>VLOOKUP(A23,'[6]InV Income  - Life'!B23:C43,2,0)+VLOOKUP('Investment Income LI  (Final)'!A23,'[6]InV Income  - Life'!B23:I43,8,0)</f>
        <v>-10968</v>
      </c>
      <c r="F23" s="2609">
        <f>+F41</f>
        <v>30563.5</v>
      </c>
      <c r="G23" s="2615">
        <f>+E23/F23*100</f>
        <v>-35.885942382253347</v>
      </c>
    </row>
    <row r="24" spans="1:8">
      <c r="A24" s="2616" t="s">
        <v>232</v>
      </c>
      <c r="B24" s="2609">
        <f>+'[6]InV Income  - Life'!N24</f>
        <v>56895.01468</v>
      </c>
      <c r="C24" s="2609">
        <f>+E42</f>
        <v>4463050.0663699992</v>
      </c>
      <c r="D24" s="2614">
        <f>+B24/C24*100</f>
        <v>1.2748011748448811</v>
      </c>
      <c r="E24" s="2609">
        <f>VLOOKUP(A24,'[6]InV Income  - Life'!B24:C44,2,0)+VLOOKUP('Investment Income LI  (Final)'!A24,'[6]InV Income  - Life'!B24:I44,8,0)</f>
        <v>25895.240530000003</v>
      </c>
      <c r="F24" s="2609">
        <f>+F42</f>
        <v>4930651.4600959588</v>
      </c>
      <c r="G24" s="2615">
        <f>+E24/F24*100</f>
        <v>0.525189029067896</v>
      </c>
    </row>
    <row r="25" spans="1:8">
      <c r="A25" s="2616" t="s">
        <v>666</v>
      </c>
      <c r="B25" s="2609">
        <f>+'[6]InV Income  - Life'!N25</f>
        <v>632488.06532000005</v>
      </c>
      <c r="C25" s="2609">
        <f>+E43</f>
        <v>867219.08823154087</v>
      </c>
      <c r="D25" s="2614">
        <f>+B25/C25*100</f>
        <v>72.932904026569418</v>
      </c>
      <c r="E25" s="2609">
        <f>+'[6]InV Income  - Life'!M25</f>
        <v>124374.35172000002</v>
      </c>
      <c r="F25" s="2609">
        <f>+F43</f>
        <v>943538.79234764061</v>
      </c>
      <c r="G25" s="2615">
        <f>+E25/F25*100</f>
        <v>13.181689266907759</v>
      </c>
    </row>
    <row r="26" spans="1:8" ht="30" customHeight="1">
      <c r="A26" s="2618" t="s">
        <v>160</v>
      </c>
      <c r="B26" s="2476">
        <f>+B6+B10+B13+B18+B19+B22+B23+B24+B25</f>
        <v>17172425.176760606</v>
      </c>
      <c r="C26" s="2476">
        <f>SUM(C6:C25)</f>
        <v>169765139.98519942</v>
      </c>
      <c r="D26" s="2619">
        <f>+B26/C26*100</f>
        <v>10.115401299853282</v>
      </c>
      <c r="E26" s="2476">
        <f>+E6+E10+E13+E18+E19+E22+E23+E24+E25</f>
        <v>21478830.639435727</v>
      </c>
      <c r="F26" s="2476">
        <f>SUM(F6:F25)</f>
        <v>195133979.52352285</v>
      </c>
      <c r="G26" s="2619">
        <f>+E26/F26*100</f>
        <v>11.007222161861623</v>
      </c>
    </row>
    <row r="27" spans="1:8" s="238" customFormat="1">
      <c r="B27" s="239">
        <f>+'[6]InV Income  - Life'!M26</f>
        <v>21478830.639435727</v>
      </c>
      <c r="C27" s="239"/>
      <c r="D27" s="239"/>
      <c r="E27" s="239">
        <f>+'[6]InV Income  - Life'!N27</f>
        <v>17172425.176760606</v>
      </c>
      <c r="F27" s="239"/>
      <c r="G27" s="239"/>
      <c r="H27" s="239"/>
    </row>
    <row r="28" spans="1:8" s="238" customFormat="1">
      <c r="A28" s="204" t="s">
        <v>633</v>
      </c>
      <c r="B28" s="239"/>
      <c r="C28" s="239"/>
      <c r="D28" s="239"/>
      <c r="E28" s="239"/>
      <c r="F28" s="239"/>
      <c r="G28" s="239"/>
      <c r="H28" s="239"/>
    </row>
    <row r="29" spans="1:8" s="238" customFormat="1">
      <c r="A29" s="204" t="s">
        <v>634</v>
      </c>
      <c r="B29" s="239"/>
      <c r="C29" s="239"/>
      <c r="D29" s="342"/>
      <c r="E29" s="342"/>
      <c r="F29" s="239"/>
      <c r="G29" s="239"/>
      <c r="H29" s="239"/>
    </row>
    <row r="30" spans="1:8">
      <c r="B30" s="240">
        <f>+E26-B27</f>
        <v>0</v>
      </c>
      <c r="C30" s="237"/>
      <c r="D30" s="237"/>
      <c r="E30" s="240"/>
      <c r="F30" s="240"/>
      <c r="G30" s="240"/>
      <c r="H30" s="240"/>
    </row>
    <row r="31" spans="1:8">
      <c r="A31" s="3248"/>
      <c r="B31" s="3248"/>
      <c r="C31" s="3248"/>
      <c r="D31" s="3248"/>
      <c r="E31" s="3248"/>
      <c r="F31" s="3248"/>
      <c r="G31" s="3248"/>
      <c r="H31" s="3248"/>
    </row>
    <row r="32" spans="1:8">
      <c r="A32" s="204"/>
      <c r="B32" s="240"/>
      <c r="C32" s="237"/>
      <c r="D32" s="237"/>
    </row>
    <row r="33" spans="1:7">
      <c r="A33" s="204"/>
    </row>
    <row r="34" spans="1:7">
      <c r="B34" s="45">
        <v>2011</v>
      </c>
      <c r="C34" s="45">
        <v>2012</v>
      </c>
      <c r="D34" s="45">
        <v>2013</v>
      </c>
      <c r="E34" s="343" t="s">
        <v>667</v>
      </c>
      <c r="F34" s="343" t="s">
        <v>668</v>
      </c>
    </row>
    <row r="35" spans="1:7">
      <c r="A35" s="2620" t="s">
        <v>226</v>
      </c>
      <c r="B35" s="237">
        <v>84743648.012294337</v>
      </c>
      <c r="C35" s="237">
        <f>+'[6]BS 2012'!Q13</f>
        <v>98146810.473046437</v>
      </c>
      <c r="D35" s="237">
        <f>+'[6]BS 2013'!Q13</f>
        <v>94024168.604809076</v>
      </c>
      <c r="E35" s="344">
        <f>+(B35+C35)/2</f>
        <v>91445229.242670387</v>
      </c>
      <c r="F35" s="344">
        <f>+(C35+D35)/2</f>
        <v>96085489.538927764</v>
      </c>
      <c r="G35" s="237"/>
    </row>
    <row r="36" spans="1:7">
      <c r="A36" s="2616" t="s">
        <v>652</v>
      </c>
      <c r="B36" s="237">
        <v>23113399.953623276</v>
      </c>
      <c r="C36" s="237">
        <f>+'[6]BS 2012'!Q14+'[6]BS 2012'!Q15+'[6]BS 2012'!Q16</f>
        <v>26404883.9817353</v>
      </c>
      <c r="D36" s="237">
        <f>+'[6]BS 2013'!Q14+'[6]BS 2013'!Q15+'[6]BS 2013'!Q16</f>
        <v>25061263.847140007</v>
      </c>
      <c r="E36" s="344">
        <f t="shared" ref="E36:F42" si="0">+(B36+C36)/2</f>
        <v>24759141.967679288</v>
      </c>
      <c r="F36" s="344">
        <f t="shared" si="0"/>
        <v>25733073.914437652</v>
      </c>
      <c r="G36" s="237"/>
    </row>
    <row r="37" spans="1:7">
      <c r="A37" s="2616" t="s">
        <v>655</v>
      </c>
      <c r="B37" s="237">
        <v>10687124.225099912</v>
      </c>
      <c r="C37" s="237">
        <f>+'[6]BS 2012'!Q17</f>
        <v>13285666.582127919</v>
      </c>
      <c r="D37" s="237">
        <f>+'[6]BS 2013'!Q17</f>
        <v>32934384.026166622</v>
      </c>
      <c r="E37" s="344">
        <f t="shared" si="0"/>
        <v>11986395.403613916</v>
      </c>
      <c r="F37" s="344">
        <f t="shared" si="0"/>
        <v>23110025.30414727</v>
      </c>
      <c r="G37" s="237"/>
    </row>
    <row r="38" spans="1:7">
      <c r="A38" s="2616" t="s">
        <v>660</v>
      </c>
      <c r="B38" s="237">
        <v>5880475.6915324442</v>
      </c>
      <c r="C38" s="237">
        <f>+'[6]BS 2012'!Q18</f>
        <v>5951450.3726131096</v>
      </c>
      <c r="D38" s="237">
        <f>+'[6]BS 2013'!Q18</f>
        <v>6129837.1837599995</v>
      </c>
      <c r="E38" s="344">
        <f t="shared" si="0"/>
        <v>5915963.0320727769</v>
      </c>
      <c r="F38" s="344">
        <f t="shared" si="0"/>
        <v>6040643.7781865541</v>
      </c>
      <c r="G38" s="237"/>
    </row>
    <row r="39" spans="1:7">
      <c r="A39" s="2616" t="s">
        <v>661</v>
      </c>
      <c r="B39" s="237">
        <v>25841259.365232278</v>
      </c>
      <c r="C39" s="237">
        <f>+'[6]BS 2012'!Q19</f>
        <v>31790110.899298877</v>
      </c>
      <c r="D39" s="237">
        <f>+'[6]BS 2013'!Q19</f>
        <v>40837962.794057339</v>
      </c>
      <c r="E39" s="344">
        <f>+(B39+C39)/2</f>
        <v>28815685.132265575</v>
      </c>
      <c r="F39" s="344">
        <f>+(C39+D39)/2</f>
        <v>36314036.846678108</v>
      </c>
      <c r="G39" s="237"/>
    </row>
    <row r="40" spans="1:7">
      <c r="A40" s="2616" t="s">
        <v>664</v>
      </c>
      <c r="B40" s="237">
        <v>1292290.5370259902</v>
      </c>
      <c r="C40" s="237">
        <f>+'[6]BS 2012'!Q20</f>
        <v>1589873.4795658356</v>
      </c>
      <c r="D40" s="237">
        <f>+'[6]BS 2013'!Q20</f>
        <v>2302039.29783792</v>
      </c>
      <c r="E40" s="344">
        <f t="shared" si="0"/>
        <v>1441082.0082959128</v>
      </c>
      <c r="F40" s="344">
        <f t="shared" si="0"/>
        <v>1945956.3887018778</v>
      </c>
      <c r="G40" s="237"/>
    </row>
    <row r="41" spans="1:7">
      <c r="A41" s="2616" t="s">
        <v>665</v>
      </c>
      <c r="B41" s="237">
        <v>110916.08799999999</v>
      </c>
      <c r="C41" s="237">
        <f>+'[6]BS 2012'!Q21</f>
        <v>31832</v>
      </c>
      <c r="D41" s="237">
        <f>+'[6]BS 2013'!Q21</f>
        <v>29295</v>
      </c>
      <c r="E41" s="344">
        <f t="shared" si="0"/>
        <v>71374.043999999994</v>
      </c>
      <c r="F41" s="344">
        <f t="shared" si="0"/>
        <v>30563.5</v>
      </c>
      <c r="G41" s="237"/>
    </row>
    <row r="42" spans="1:7">
      <c r="A42" s="2616" t="s">
        <v>232</v>
      </c>
      <c r="B42" s="237">
        <v>4247196.1324299993</v>
      </c>
      <c r="C42" s="237">
        <f>+'[6]BS 2012'!Q23</f>
        <v>4678904.00031</v>
      </c>
      <c r="D42" s="237">
        <f>+'[6]BS 2013'!Q23</f>
        <v>5182398.9198819185</v>
      </c>
      <c r="E42" s="344">
        <f t="shared" si="0"/>
        <v>4463050.0663699992</v>
      </c>
      <c r="F42" s="344">
        <f t="shared" si="0"/>
        <v>4930651.4600959588</v>
      </c>
      <c r="G42" s="237"/>
    </row>
    <row r="43" spans="1:7">
      <c r="A43" s="2616" t="s">
        <v>666</v>
      </c>
      <c r="B43" s="237">
        <v>816883.1418468405</v>
      </c>
      <c r="C43" s="237">
        <f>+'[6]BS 2012'!Q28</f>
        <v>917555.03461624123</v>
      </c>
      <c r="D43" s="237">
        <f>+'[6]BS 2013'!Q28</f>
        <v>969522.55007904</v>
      </c>
      <c r="E43" s="344">
        <f>+(B43+C43)/2</f>
        <v>867219.08823154087</v>
      </c>
      <c r="F43" s="344">
        <f>+(C43+D43)/2</f>
        <v>943538.79234764061</v>
      </c>
      <c r="G43" s="237"/>
    </row>
    <row r="44" spans="1:7">
      <c r="B44" s="237">
        <f>SUM(B35:B43)</f>
        <v>156733193.14708507</v>
      </c>
      <c r="C44" s="237">
        <f>SUM(C35:C43)</f>
        <v>182797086.82331371</v>
      </c>
      <c r="D44" s="237">
        <f>SUM(D35:D43)</f>
        <v>207470872.22373191</v>
      </c>
      <c r="E44" s="344">
        <f>SUM(E35:E43)</f>
        <v>169765139.98519942</v>
      </c>
      <c r="F44" s="344">
        <f>SUM(F35:F43)</f>
        <v>195133979.52352285</v>
      </c>
      <c r="G44" s="237"/>
    </row>
  </sheetData>
  <customSheetViews>
    <customSheetView guid="{2ACFE167-4169-43A6-9AB2-59D5A2DA2DB4}" showPageBreaks="1" printArea="1" state="hidden" topLeftCell="A10">
      <selection activeCell="H16" sqref="H16"/>
      <pageMargins left="0" right="0" top="0" bottom="0" header="0" footer="0"/>
      <pageSetup scale="86" orientation="landscape" r:id="rId1"/>
    </customSheetView>
    <customSheetView guid="{967E0446-E234-427F-8E57-7FE287052E2E}" showPageBreaks="1" printArea="1" state="hidden" topLeftCell="A10">
      <selection activeCell="H16" sqref="H16"/>
      <pageMargins left="0" right="0" top="0" bottom="0" header="0" footer="0"/>
      <pageSetup scale="86" orientation="landscape" r:id="rId2"/>
    </customSheetView>
    <customSheetView guid="{B2E1A0C6-5BA1-4CF1-B412-16D81FCDF11F}" showPageBreaks="1" printArea="1" state="hidden" topLeftCell="A10">
      <selection activeCell="H16" sqref="H16"/>
      <pageMargins left="0" right="0" top="0" bottom="0" header="0" footer="0"/>
      <pageSetup scale="86" orientation="landscape" r:id="rId3"/>
    </customSheetView>
    <customSheetView guid="{46F31544-8E6F-41C5-8628-1D6EE074AF15}" state="hidden" topLeftCell="A10">
      <selection activeCell="H16" sqref="H16"/>
      <pageMargins left="0" right="0" top="0" bottom="0" header="0" footer="0"/>
      <pageSetup scale="86" orientation="landscape" r:id="rId4"/>
    </customSheetView>
    <customSheetView guid="{B1E1B596-A9A1-411D-A882-A48CB025B978}" showPageBreaks="1" printArea="1" state="hidden" topLeftCell="A10">
      <selection activeCell="H16" sqref="H16"/>
      <pageMargins left="0" right="0" top="0" bottom="0" header="0" footer="0"/>
      <pageSetup scale="86" orientation="landscape" r:id="rId5"/>
    </customSheetView>
    <customSheetView guid="{5E394B0B-7867-4722-9497-A93AB2A9A773}" showPageBreaks="1" printArea="1" state="hidden" topLeftCell="A10">
      <selection activeCell="H16" sqref="H16"/>
      <pageMargins left="0" right="0" top="0" bottom="0" header="0" footer="0"/>
      <pageSetup scale="86" orientation="landscape" r:id="rId6"/>
    </customSheetView>
  </customSheetViews>
  <mergeCells count="4">
    <mergeCell ref="A4:A5"/>
    <mergeCell ref="B4:D4"/>
    <mergeCell ref="E4:G4"/>
    <mergeCell ref="A31:H31"/>
  </mergeCells>
  <pageMargins left="0.7" right="0.7" top="0.75" bottom="0.75" header="0.3" footer="0.3"/>
  <pageSetup scale="86" orientation="landscape" r:id="rId7"/>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69">
    <tabColor rgb="FF00B050"/>
  </sheetPr>
  <dimension ref="A2:H44"/>
  <sheetViews>
    <sheetView topLeftCell="A16" workbookViewId="0">
      <selection activeCell="C47" sqref="C47"/>
    </sheetView>
  </sheetViews>
  <sheetFormatPr defaultColWidth="9.140625" defaultRowHeight="13.15"/>
  <cols>
    <col min="1" max="1" width="21.42578125" style="2" customWidth="1"/>
    <col min="2" max="2" width="13.5703125" style="2" customWidth="1"/>
    <col min="3" max="3" width="13.85546875" style="2" customWidth="1"/>
    <col min="4" max="5" width="13.7109375" style="2" customWidth="1"/>
    <col min="6" max="6" width="14" style="2" customWidth="1"/>
    <col min="7" max="7" width="11.85546875" style="2" customWidth="1"/>
    <col min="8" max="8" width="14.28515625" style="2" bestFit="1" customWidth="1"/>
    <col min="9" max="16384" width="9.140625" style="2"/>
  </cols>
  <sheetData>
    <row r="2" spans="1:7">
      <c r="A2" s="1" t="s">
        <v>669</v>
      </c>
    </row>
    <row r="3" spans="1:7" ht="13.9" thickBot="1"/>
    <row r="4" spans="1:7" ht="23.25" customHeight="1">
      <c r="A4" s="3574" t="s">
        <v>643</v>
      </c>
      <c r="B4" s="3578" t="s">
        <v>210</v>
      </c>
      <c r="C4" s="3579"/>
      <c r="D4" s="3580"/>
      <c r="E4" s="3575" t="s">
        <v>211</v>
      </c>
      <c r="F4" s="3576"/>
      <c r="G4" s="3577"/>
    </row>
    <row r="5" spans="1:7" ht="62.25" customHeight="1">
      <c r="A5" s="3574"/>
      <c r="B5" s="2621" t="s">
        <v>644</v>
      </c>
      <c r="C5" s="2612" t="s">
        <v>670</v>
      </c>
      <c r="D5" s="2622" t="s">
        <v>646</v>
      </c>
      <c r="E5" s="2621" t="s">
        <v>647</v>
      </c>
      <c r="F5" s="2612" t="s">
        <v>671</v>
      </c>
      <c r="G5" s="2622" t="s">
        <v>646</v>
      </c>
    </row>
    <row r="6" spans="1:7" ht="26.45">
      <c r="A6" s="2623" t="s">
        <v>226</v>
      </c>
      <c r="B6" s="2624">
        <f>SUM(B7:B9)</f>
        <v>10932807.229024513</v>
      </c>
      <c r="C6" s="2609">
        <v>91445229.242670387</v>
      </c>
      <c r="D6" s="2625">
        <f>B6/C6*100</f>
        <v>11.95557966180156</v>
      </c>
      <c r="E6" s="2624">
        <f>SUM(E7:E9)</f>
        <v>11880429.152922077</v>
      </c>
      <c r="F6" s="2609">
        <v>96085489.538927764</v>
      </c>
      <c r="G6" s="2626">
        <f>E6/F6*100</f>
        <v>12.364436305555667</v>
      </c>
    </row>
    <row r="7" spans="1:7">
      <c r="A7" s="2627" t="s">
        <v>649</v>
      </c>
      <c r="B7" s="1717">
        <f>VLOOKUP(A7,'[6]InV Income  - Life'!B7:F27,5,0)+VLOOKUP('[6]Investment Income LI '!A7,'[6]InV Income  - Life'!B7:J27,9,0)</f>
        <v>9137669.0239545126</v>
      </c>
      <c r="C7" s="1717"/>
      <c r="D7" s="1717"/>
      <c r="E7" s="2628">
        <v>9612859.4406555854</v>
      </c>
      <c r="F7" s="1717"/>
      <c r="G7" s="2626"/>
    </row>
    <row r="8" spans="1:7">
      <c r="A8" s="2627" t="s">
        <v>650</v>
      </c>
      <c r="B8" s="1717">
        <f>VLOOKUP(A8,'[6]InV Income  - Life'!B8:F28,5,0)+VLOOKUP('[6]Investment Income LI '!A8,'[6]InV Income  - Life'!B8:J28,9,0)</f>
        <v>186641.66677000001</v>
      </c>
      <c r="C8" s="1717"/>
      <c r="D8" s="1717"/>
      <c r="E8" s="2628">
        <v>249376.68720708851</v>
      </c>
      <c r="F8" s="1717"/>
      <c r="G8" s="2626"/>
    </row>
    <row r="9" spans="1:7">
      <c r="A9" s="2627" t="s">
        <v>651</v>
      </c>
      <c r="B9" s="1717">
        <f>VLOOKUP(A9,'[6]InV Income  - Life'!B9:F29,5,0)+VLOOKUP('[6]Investment Income LI '!A9,'[6]InV Income  - Life'!B9:J29,9,0)</f>
        <v>1608496.5382999999</v>
      </c>
      <c r="C9" s="1717"/>
      <c r="D9" s="1717"/>
      <c r="E9" s="2628">
        <v>2018193.0250594034</v>
      </c>
      <c r="F9" s="1717"/>
      <c r="G9" s="2626"/>
    </row>
    <row r="10" spans="1:7">
      <c r="A10" s="2629" t="s">
        <v>652</v>
      </c>
      <c r="B10" s="2609">
        <f>SUM(B11:B12)</f>
        <v>-69948.105779999867</v>
      </c>
      <c r="C10" s="2609">
        <v>24759141.967679288</v>
      </c>
      <c r="D10" s="2625">
        <f>B10/C10*100</f>
        <v>-0.28251425623436582</v>
      </c>
      <c r="E10" s="2624">
        <f>SUM(E11:E12)</f>
        <v>914352.7882699999</v>
      </c>
      <c r="F10" s="2609">
        <v>25733073.914437652</v>
      </c>
      <c r="G10" s="2626">
        <f>E10/F10*100</f>
        <v>3.5532202305492868</v>
      </c>
    </row>
    <row r="11" spans="1:7">
      <c r="A11" s="2627" t="s">
        <v>653</v>
      </c>
      <c r="B11" s="2628">
        <v>-855776.82077999995</v>
      </c>
      <c r="C11" s="1717"/>
      <c r="D11" s="2630"/>
      <c r="E11" s="2628">
        <v>-92781.190640000073</v>
      </c>
      <c r="F11" s="1717"/>
      <c r="G11" s="2631"/>
    </row>
    <row r="12" spans="1:7">
      <c r="A12" s="2627" t="s">
        <v>654</v>
      </c>
      <c r="B12" s="2628">
        <v>785828.71500000008</v>
      </c>
      <c r="C12" s="1717"/>
      <c r="D12" s="2630"/>
      <c r="E12" s="2628">
        <v>1007133.9789099999</v>
      </c>
      <c r="F12" s="1717"/>
      <c r="G12" s="2631"/>
    </row>
    <row r="13" spans="1:7">
      <c r="A13" s="2629" t="s">
        <v>655</v>
      </c>
      <c r="B13" s="2624">
        <f>SUM(B14:B17)</f>
        <v>1636238.8744821211</v>
      </c>
      <c r="C13" s="2609">
        <v>11986395.403613916</v>
      </c>
      <c r="D13" s="2625">
        <f>B13/C13*100</f>
        <v>13.650800089481386</v>
      </c>
      <c r="E13" s="2624">
        <f>SUM(E14:E17)</f>
        <v>2558858.3499542433</v>
      </c>
      <c r="F13" s="2609">
        <v>23110025.30414727</v>
      </c>
      <c r="G13" s="2626">
        <f>E13/F13*100</f>
        <v>11.072503453706894</v>
      </c>
    </row>
    <row r="14" spans="1:7">
      <c r="A14" s="2632" t="s">
        <v>656</v>
      </c>
      <c r="B14" s="1717">
        <f>VLOOKUP(A14,'[6]InV Income  - Life'!B14:F34,5,0)+VLOOKUP('[6]Investment Income LI '!A14,'[6]InV Income  - Life'!B14:J34,9,0)</f>
        <v>1504614.9553747794</v>
      </c>
      <c r="C14" s="1717"/>
      <c r="D14" s="2630"/>
      <c r="E14" s="2628">
        <v>2419956.8851926178</v>
      </c>
      <c r="F14" s="1717"/>
      <c r="G14" s="2631"/>
    </row>
    <row r="15" spans="1:7">
      <c r="A15" s="2632" t="s">
        <v>657</v>
      </c>
      <c r="B15" s="1717">
        <f>VLOOKUP(A15,'[6]InV Income  - Life'!B15:F35,5,0)+VLOOKUP('[6]Investment Income LI '!A15,'[6]InV Income  - Life'!B15:J35,9,0)</f>
        <v>125876.37511196753</v>
      </c>
      <c r="C15" s="1717"/>
      <c r="D15" s="2630"/>
      <c r="E15" s="2628">
        <v>119306.13954316938</v>
      </c>
      <c r="F15" s="1717"/>
      <c r="G15" s="2631"/>
    </row>
    <row r="16" spans="1:7" ht="30" customHeight="1">
      <c r="A16" s="2632" t="s">
        <v>672</v>
      </c>
      <c r="B16" s="1717">
        <f>VLOOKUP(A16,'[6]InV Income  - Life'!B16:F36,5,0)+VLOOKUP('[6]Investment Income LI '!A16,'[6]InV Income  - Life'!B16:J36,9,0)</f>
        <v>5747.543995374127</v>
      </c>
      <c r="C16" s="1717"/>
      <c r="D16" s="2630"/>
      <c r="E16" s="2628">
        <v>19595.325218456117</v>
      </c>
      <c r="F16" s="1717"/>
      <c r="G16" s="2631"/>
    </row>
    <row r="17" spans="1:8" ht="26.45">
      <c r="A17" s="2632" t="s">
        <v>673</v>
      </c>
      <c r="B17" s="1717">
        <f>VLOOKUP(A17,'[6]InV Income  - Life'!B17:F37,5,0)+VLOOKUP('[6]Investment Income LI '!A17,'[6]InV Income  - Life'!B17:J37,9,0)</f>
        <v>0</v>
      </c>
      <c r="C17" s="1717"/>
      <c r="D17" s="2630"/>
      <c r="E17" s="2628">
        <v>0</v>
      </c>
      <c r="F17" s="1717"/>
      <c r="G17" s="2631"/>
    </row>
    <row r="18" spans="1:8">
      <c r="A18" s="2629" t="s">
        <v>660</v>
      </c>
      <c r="B18" s="2609">
        <f>+'[6]InV Income  - Life'!N18</f>
        <v>56208.679359999995</v>
      </c>
      <c r="C18" s="2609">
        <v>5915963.0320727769</v>
      </c>
      <c r="D18" s="2625">
        <f>B18/C18*100</f>
        <v>0.95011884041990291</v>
      </c>
      <c r="E18" s="2624">
        <v>65635.83</v>
      </c>
      <c r="F18" s="2609">
        <v>6040643.7781865541</v>
      </c>
      <c r="G18" s="2626">
        <f>E18/F18*100</f>
        <v>1.0865701142156137</v>
      </c>
    </row>
    <row r="19" spans="1:8">
      <c r="A19" s="2629" t="s">
        <v>661</v>
      </c>
      <c r="B19" s="2624">
        <f>SUM(B20:B21)</f>
        <v>3778231.9995539719</v>
      </c>
      <c r="C19" s="2609">
        <v>28815685.132265575</v>
      </c>
      <c r="D19" s="2625">
        <f>B19/C19*100</f>
        <v>13.111720169802243</v>
      </c>
      <c r="E19" s="2624">
        <f>SUM(E20:E21)</f>
        <v>5813633.5945394058</v>
      </c>
      <c r="F19" s="2609">
        <v>36314036.846678108</v>
      </c>
      <c r="G19" s="2626">
        <f>E19/F19*100</f>
        <v>16.009328896936498</v>
      </c>
    </row>
    <row r="20" spans="1:8">
      <c r="A20" s="2633" t="s">
        <v>662</v>
      </c>
      <c r="B20" s="2628">
        <v>3656310.0990701825</v>
      </c>
      <c r="C20" s="1717"/>
      <c r="D20" s="2630"/>
      <c r="E20" s="2628">
        <v>5649639.4438144295</v>
      </c>
      <c r="F20" s="1717"/>
      <c r="G20" s="2631"/>
    </row>
    <row r="21" spans="1:8">
      <c r="A21" s="2627" t="s">
        <v>663</v>
      </c>
      <c r="B21" s="2628">
        <v>121921.90048378942</v>
      </c>
      <c r="C21" s="1717"/>
      <c r="D21" s="2630"/>
      <c r="E21" s="2628">
        <v>163994.15072497641</v>
      </c>
      <c r="F21" s="1717"/>
      <c r="G21" s="2634"/>
    </row>
    <row r="22" spans="1:8">
      <c r="A22" s="2629" t="s">
        <v>664</v>
      </c>
      <c r="B22" s="2624">
        <v>123616.50711999999</v>
      </c>
      <c r="C22" s="2609">
        <v>1441082.0082959128</v>
      </c>
      <c r="D22" s="2625">
        <f>B22/C22*100</f>
        <v>8.5780341721271771</v>
      </c>
      <c r="E22" s="2624">
        <v>106619.3315</v>
      </c>
      <c r="F22" s="2609">
        <v>1945956.3887018778</v>
      </c>
      <c r="G22" s="2626">
        <f>E22/F22*100</f>
        <v>5.4790195771614574</v>
      </c>
    </row>
    <row r="23" spans="1:8">
      <c r="A23" s="2629" t="s">
        <v>665</v>
      </c>
      <c r="B23" s="2624">
        <v>25886.913</v>
      </c>
      <c r="C23" s="2609">
        <v>71374.043999999994</v>
      </c>
      <c r="D23" s="2625">
        <f>B23/C23*100</f>
        <v>36.269365653429979</v>
      </c>
      <c r="E23" s="2624">
        <v>-10968</v>
      </c>
      <c r="F23" s="2609">
        <v>30563.5</v>
      </c>
      <c r="G23" s="2626">
        <f>E23/F23*100</f>
        <v>-35.885942382253347</v>
      </c>
    </row>
    <row r="24" spans="1:8">
      <c r="A24" s="2629" t="s">
        <v>232</v>
      </c>
      <c r="B24" s="2624">
        <v>56895.01468</v>
      </c>
      <c r="C24" s="2609">
        <v>4463050.0663699992</v>
      </c>
      <c r="D24" s="2625">
        <f>B24/C24*100</f>
        <v>1.2748011748448811</v>
      </c>
      <c r="E24" s="2624">
        <v>25895.240530000003</v>
      </c>
      <c r="F24" s="2609">
        <v>4930651.4600959588</v>
      </c>
      <c r="G24" s="2626">
        <f>E24/F24*100</f>
        <v>0.525189029067896</v>
      </c>
    </row>
    <row r="25" spans="1:8">
      <c r="A25" s="2629" t="s">
        <v>666</v>
      </c>
      <c r="B25" s="2624">
        <v>632488.06532000005</v>
      </c>
      <c r="C25" s="2609">
        <v>867219.08823154087</v>
      </c>
      <c r="D25" s="2625">
        <f>B25/C25*100</f>
        <v>72.932904026569418</v>
      </c>
      <c r="E25" s="2624">
        <v>124374.35172000002</v>
      </c>
      <c r="F25" s="2609">
        <v>943538.79234764061</v>
      </c>
      <c r="G25" s="2626">
        <f>E25/F25*100</f>
        <v>13.181689266907759</v>
      </c>
    </row>
    <row r="26" spans="1:8" ht="30" customHeight="1" thickBot="1">
      <c r="A26" s="2635" t="s">
        <v>160</v>
      </c>
      <c r="B26" s="275">
        <f>+B6+B10+B13+B18+B19+B22+B23+B24+B25</f>
        <v>17172425.176760606</v>
      </c>
      <c r="C26" s="276">
        <f>SUM(C6:C25)</f>
        <v>169765139.98519942</v>
      </c>
      <c r="D26" s="277">
        <f>+B26/C26*100</f>
        <v>10.115401299853282</v>
      </c>
      <c r="E26" s="275">
        <f>+E6+E10+E13+E18+E19+E22+E23+E24+E25</f>
        <v>21478830.639435727</v>
      </c>
      <c r="F26" s="276">
        <f>SUM(F6:F25)</f>
        <v>195133979.52352285</v>
      </c>
      <c r="G26" s="2636">
        <f>E26/F26*100</f>
        <v>11.007222161861623</v>
      </c>
    </row>
    <row r="27" spans="1:8" s="238" customFormat="1">
      <c r="B27" s="239" t="e">
        <f>+#REF!</f>
        <v>#REF!</v>
      </c>
      <c r="C27" s="239"/>
      <c r="D27" s="239"/>
      <c r="E27" s="239" t="e">
        <f>+#REF!</f>
        <v>#REF!</v>
      </c>
      <c r="F27" s="239"/>
      <c r="G27" s="239"/>
      <c r="H27" s="239"/>
    </row>
    <row r="28" spans="1:8">
      <c r="B28" s="240"/>
      <c r="C28" s="237"/>
      <c r="D28" s="237"/>
      <c r="E28" s="240"/>
      <c r="F28" s="240"/>
      <c r="G28" s="240"/>
      <c r="H28" s="240"/>
    </row>
    <row r="29" spans="1:8">
      <c r="A29" s="3248" t="s">
        <v>674</v>
      </c>
      <c r="B29" s="3248"/>
      <c r="C29" s="3248"/>
      <c r="D29" s="3248"/>
      <c r="E29" s="3248"/>
      <c r="F29" s="3248"/>
      <c r="G29" s="3248"/>
      <c r="H29" s="3248"/>
    </row>
    <row r="30" spans="1:8">
      <c r="A30" s="233"/>
      <c r="B30" s="240"/>
      <c r="C30" s="237"/>
      <c r="D30" s="237"/>
    </row>
    <row r="32" spans="1:8" hidden="1">
      <c r="B32" s="2">
        <v>2010</v>
      </c>
      <c r="C32" s="2">
        <v>2011</v>
      </c>
      <c r="D32" s="2">
        <v>2012</v>
      </c>
      <c r="E32" s="2" t="s">
        <v>675</v>
      </c>
      <c r="F32" s="2" t="s">
        <v>667</v>
      </c>
    </row>
    <row r="33" spans="1:7" hidden="1">
      <c r="A33" s="2637" t="s">
        <v>226</v>
      </c>
      <c r="B33" s="237">
        <f>+'[7]BS 2010'!$Q$13</f>
        <v>70038347.676369995</v>
      </c>
      <c r="C33" s="237" t="e">
        <f>+#REF!</f>
        <v>#REF!</v>
      </c>
      <c r="D33" s="237" t="e">
        <f>+#REF!</f>
        <v>#REF!</v>
      </c>
      <c r="E33" s="237" t="e">
        <f>+(B33+C33)/2</f>
        <v>#REF!</v>
      </c>
      <c r="F33" s="237" t="e">
        <f>+(C33+D33)/2</f>
        <v>#REF!</v>
      </c>
      <c r="G33" s="237"/>
    </row>
    <row r="34" spans="1:7" hidden="1">
      <c r="A34" s="2638" t="s">
        <v>652</v>
      </c>
      <c r="B34" s="237">
        <f>+'[7]BS 2010'!$Q$14+'[7]BS 2010'!$Q$15+'[7]BS 2010'!$Q$16</f>
        <v>21771069.44447</v>
      </c>
      <c r="C34" s="237" t="e">
        <f>+#REF!+#REF!+#REF!</f>
        <v>#REF!</v>
      </c>
      <c r="D34" s="237" t="e">
        <f>+#REF!+#REF!+#REF!</f>
        <v>#REF!</v>
      </c>
      <c r="E34" s="237" t="e">
        <f t="shared" ref="E34:E41" si="0">+(B34+C34)/2</f>
        <v>#REF!</v>
      </c>
      <c r="F34" s="237" t="e">
        <f t="shared" ref="F34:F41" si="1">+(C34+D34)/2</f>
        <v>#REF!</v>
      </c>
      <c r="G34" s="237"/>
    </row>
    <row r="35" spans="1:7" hidden="1">
      <c r="A35" s="2638" t="s">
        <v>655</v>
      </c>
      <c r="B35" s="237">
        <f>+'[7]BS 2010'!$Q$17</f>
        <v>8606697.7198600005</v>
      </c>
      <c r="C35" s="237" t="e">
        <f>+#REF!</f>
        <v>#REF!</v>
      </c>
      <c r="D35" s="237" t="e">
        <f>+#REF!</f>
        <v>#REF!</v>
      </c>
      <c r="E35" s="237" t="e">
        <f t="shared" si="0"/>
        <v>#REF!</v>
      </c>
      <c r="F35" s="237" t="e">
        <f t="shared" si="1"/>
        <v>#REF!</v>
      </c>
      <c r="G35" s="237"/>
    </row>
    <row r="36" spans="1:7" hidden="1">
      <c r="A36" s="2638" t="s">
        <v>660</v>
      </c>
      <c r="B36" s="237">
        <f>+'[7]BS 2010'!$Q$18</f>
        <v>482049</v>
      </c>
      <c r="C36" s="237" t="e">
        <f>+#REF!</f>
        <v>#REF!</v>
      </c>
      <c r="D36" s="237" t="e">
        <f>+#REF!</f>
        <v>#REF!</v>
      </c>
      <c r="E36" s="237" t="e">
        <f t="shared" si="0"/>
        <v>#REF!</v>
      </c>
      <c r="F36" s="237" t="e">
        <f t="shared" si="1"/>
        <v>#REF!</v>
      </c>
      <c r="G36" s="237"/>
    </row>
    <row r="37" spans="1:7" hidden="1">
      <c r="A37" s="2638" t="s">
        <v>661</v>
      </c>
      <c r="B37" s="237">
        <f>+'[7]BS 2010'!$Q$19</f>
        <v>19151994.766230002</v>
      </c>
      <c r="C37" s="237" t="e">
        <f>+#REF!</f>
        <v>#REF!</v>
      </c>
      <c r="D37" s="237" t="e">
        <f>+#REF!</f>
        <v>#REF!</v>
      </c>
      <c r="E37" s="237" t="e">
        <f t="shared" si="0"/>
        <v>#REF!</v>
      </c>
      <c r="F37" s="237" t="e">
        <f t="shared" si="1"/>
        <v>#REF!</v>
      </c>
      <c r="G37" s="237"/>
    </row>
    <row r="38" spans="1:7" hidden="1">
      <c r="A38" s="2638" t="s">
        <v>664</v>
      </c>
      <c r="B38" s="237">
        <f>+'[7]BS 2010'!$Q$20</f>
        <v>1246496</v>
      </c>
      <c r="C38" s="237" t="e">
        <f>+#REF!</f>
        <v>#REF!</v>
      </c>
      <c r="D38" s="237" t="e">
        <f>+#REF!</f>
        <v>#REF!</v>
      </c>
      <c r="E38" s="237" t="e">
        <f t="shared" si="0"/>
        <v>#REF!</v>
      </c>
      <c r="F38" s="237" t="e">
        <f t="shared" si="1"/>
        <v>#REF!</v>
      </c>
      <c r="G38" s="237"/>
    </row>
    <row r="39" spans="1:7" hidden="1">
      <c r="A39" s="2638" t="s">
        <v>665</v>
      </c>
      <c r="B39" s="237">
        <f>+'[7]BS 2010'!$Q$21</f>
        <v>0</v>
      </c>
      <c r="C39" s="237" t="e">
        <f>+#REF!</f>
        <v>#REF!</v>
      </c>
      <c r="D39" s="237" t="e">
        <f>+#REF!</f>
        <v>#REF!</v>
      </c>
      <c r="E39" s="237" t="e">
        <f t="shared" si="0"/>
        <v>#REF!</v>
      </c>
      <c r="F39" s="237" t="e">
        <f t="shared" si="1"/>
        <v>#REF!</v>
      </c>
      <c r="G39" s="237"/>
    </row>
    <row r="40" spans="1:7" hidden="1">
      <c r="A40" s="2638" t="s">
        <v>232</v>
      </c>
      <c r="B40" s="237">
        <f>+'[7]BS 2010'!$Q$23</f>
        <v>4190810.7754799998</v>
      </c>
      <c r="C40" s="237" t="e">
        <f>+#REF!</f>
        <v>#REF!</v>
      </c>
      <c r="D40" s="237" t="e">
        <f>+#REF!</f>
        <v>#REF!</v>
      </c>
      <c r="E40" s="237" t="e">
        <f t="shared" si="0"/>
        <v>#REF!</v>
      </c>
      <c r="F40" s="237" t="e">
        <f t="shared" si="1"/>
        <v>#REF!</v>
      </c>
      <c r="G40" s="237"/>
    </row>
    <row r="41" spans="1:7" hidden="1">
      <c r="A41" s="2638" t="s">
        <v>666</v>
      </c>
      <c r="B41" s="237">
        <f>+'[7]BS 2010'!$Q$28+'[7]BS 2010'!$Q$24</f>
        <v>218622</v>
      </c>
      <c r="C41" s="237" t="e">
        <f>+#REF!</f>
        <v>#REF!</v>
      </c>
      <c r="D41" s="237" t="e">
        <f>+#REF!</f>
        <v>#REF!</v>
      </c>
      <c r="E41" s="237" t="e">
        <f t="shared" si="0"/>
        <v>#REF!</v>
      </c>
      <c r="F41" s="237" t="e">
        <f t="shared" si="1"/>
        <v>#REF!</v>
      </c>
      <c r="G41" s="237"/>
    </row>
    <row r="42" spans="1:7" hidden="1">
      <c r="B42" s="237">
        <f>SUM(B33:B41)</f>
        <v>125706087.38241</v>
      </c>
      <c r="C42" s="237" t="e">
        <f>SUM(C33:C41)</f>
        <v>#REF!</v>
      </c>
      <c r="D42" s="237" t="e">
        <f>SUM(D33:D41)</f>
        <v>#REF!</v>
      </c>
      <c r="E42" s="237" t="e">
        <f>SUM(E33:E41)</f>
        <v>#REF!</v>
      </c>
      <c r="F42" s="237" t="e">
        <f>SUM(F33:F41)</f>
        <v>#REF!</v>
      </c>
      <c r="G42" s="237"/>
    </row>
    <row r="43" spans="1:7" hidden="1"/>
    <row r="44" spans="1:7" hidden="1"/>
  </sheetData>
  <customSheetViews>
    <customSheetView guid="{2ACFE167-4169-43A6-9AB2-59D5A2DA2DB4}" showPageBreaks="1" printArea="1" hiddenRows="1" state="hidden" topLeftCell="A16">
      <selection activeCell="C47" sqref="C47"/>
      <pageMargins left="0" right="0" top="0" bottom="0" header="0" footer="0"/>
      <pageSetup scale="86" orientation="landscape" r:id="rId1"/>
    </customSheetView>
    <customSheetView guid="{967E0446-E234-427F-8E57-7FE287052E2E}" showPageBreaks="1" printArea="1" hiddenRows="1" state="hidden" topLeftCell="A16">
      <selection activeCell="C47" sqref="C47"/>
      <pageMargins left="0" right="0" top="0" bottom="0" header="0" footer="0"/>
      <pageSetup scale="86" orientation="landscape" r:id="rId2"/>
    </customSheetView>
    <customSheetView guid="{B2E1A0C6-5BA1-4CF1-B412-16D81FCDF11F}" showPageBreaks="1" printArea="1" hiddenRows="1" state="hidden" topLeftCell="A16">
      <selection activeCell="C47" sqref="C47"/>
      <pageMargins left="0" right="0" top="0" bottom="0" header="0" footer="0"/>
      <pageSetup scale="86" orientation="landscape" r:id="rId3"/>
    </customSheetView>
    <customSheetView guid="{46F31544-8E6F-41C5-8628-1D6EE074AF15}" hiddenRows="1" state="hidden" topLeftCell="A16">
      <selection activeCell="C47" sqref="C47"/>
      <pageMargins left="0" right="0" top="0" bottom="0" header="0" footer="0"/>
      <pageSetup scale="86" orientation="landscape" r:id="rId4"/>
    </customSheetView>
    <customSheetView guid="{E82B35BE-4719-4C53-A9EF-1CC6F153A6F3}" showPageBreaks="1" printArea="1" hiddenRows="1">
      <selection activeCell="E5" sqref="E5"/>
      <pageMargins left="0" right="0" top="0" bottom="0" header="0" footer="0"/>
      <pageSetup scale="86" orientation="landscape" r:id="rId5"/>
    </customSheetView>
    <customSheetView guid="{B1E1B596-A9A1-411D-A882-A48CB025B978}" showPageBreaks="1" printArea="1" hiddenRows="1" state="hidden" topLeftCell="A16">
      <selection activeCell="C47" sqref="C47"/>
      <pageMargins left="0" right="0" top="0" bottom="0" header="0" footer="0"/>
      <pageSetup scale="86" orientation="landscape" r:id="rId6"/>
    </customSheetView>
    <customSheetView guid="{5E394B0B-7867-4722-9497-A93AB2A9A773}" showPageBreaks="1" printArea="1" hiddenRows="1" state="hidden" topLeftCell="A16">
      <selection activeCell="C47" sqref="C47"/>
      <pageMargins left="0" right="0" top="0" bottom="0" header="0" footer="0"/>
      <pageSetup scale="86" orientation="landscape" r:id="rId7"/>
    </customSheetView>
  </customSheetViews>
  <mergeCells count="4">
    <mergeCell ref="A4:A5"/>
    <mergeCell ref="E4:G4"/>
    <mergeCell ref="B4:D4"/>
    <mergeCell ref="A29:H29"/>
  </mergeCells>
  <pageMargins left="0.7" right="0.7" top="0.75" bottom="0.75" header="0.3" footer="0.3"/>
  <pageSetup scale="86" orientation="landscape" r:id="rId8"/>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28"/>
  <dimension ref="A1:L188"/>
  <sheetViews>
    <sheetView workbookViewId="0">
      <selection activeCell="H83" sqref="H83"/>
    </sheetView>
  </sheetViews>
  <sheetFormatPr defaultRowHeight="14.45"/>
  <cols>
    <col min="1" max="1" width="5.140625" customWidth="1"/>
    <col min="2" max="2" width="42.5703125" bestFit="1" customWidth="1"/>
    <col min="3" max="3" width="13.7109375" customWidth="1"/>
    <col min="4" max="4" width="14.5703125" customWidth="1"/>
    <col min="5" max="5" width="14.28515625" bestFit="1" customWidth="1"/>
    <col min="6" max="6" width="13.7109375" customWidth="1"/>
    <col min="7" max="7" width="13.42578125" customWidth="1"/>
    <col min="8" max="8" width="11.5703125" bestFit="1" customWidth="1"/>
    <col min="12" max="12" width="12.5703125" customWidth="1"/>
  </cols>
  <sheetData>
    <row r="1" spans="1:12">
      <c r="B1" s="15" t="s">
        <v>676</v>
      </c>
    </row>
    <row r="3" spans="1:12" s="54" customFormat="1" ht="22.9">
      <c r="A3" s="2532"/>
      <c r="B3" s="2638" t="s">
        <v>677</v>
      </c>
      <c r="C3" s="2520" t="s">
        <v>678</v>
      </c>
      <c r="D3" s="2520" t="s">
        <v>679</v>
      </c>
      <c r="E3" s="2520" t="s">
        <v>680</v>
      </c>
      <c r="F3" s="2520" t="s">
        <v>681</v>
      </c>
      <c r="G3" s="2520" t="s">
        <v>682</v>
      </c>
    </row>
    <row r="4" spans="1:12" s="54" customFormat="1" ht="13.15">
      <c r="A4" s="63">
        <v>1</v>
      </c>
      <c r="B4" s="63" t="s">
        <v>683</v>
      </c>
      <c r="C4" s="2639">
        <v>106726845.58342999</v>
      </c>
      <c r="D4" s="2639">
        <v>124494629.17119999</v>
      </c>
      <c r="E4" s="2639">
        <v>152792034.83136511</v>
      </c>
      <c r="F4" s="2639">
        <v>172254824.62086499</v>
      </c>
      <c r="G4" s="2640"/>
    </row>
    <row r="5" spans="1:12" s="54" customFormat="1" ht="13.15">
      <c r="A5" s="65">
        <v>2</v>
      </c>
      <c r="B5" s="65" t="s">
        <v>684</v>
      </c>
      <c r="C5" s="2639">
        <f>SUM(C6:C7)</f>
        <v>86432710.812909991</v>
      </c>
      <c r="D5" s="2639">
        <f>SUM(D6:D7)</f>
        <v>100812244.29128</v>
      </c>
      <c r="E5" s="2639">
        <f>SUM(E6:E7)</f>
        <v>118653456.63091002</v>
      </c>
      <c r="F5" s="2639">
        <f>SUM(F6:F7)</f>
        <v>128379560.31361157</v>
      </c>
      <c r="G5" s="2639">
        <f>SUM(G6:G7)</f>
        <v>0</v>
      </c>
      <c r="H5" s="77"/>
    </row>
    <row r="6" spans="1:12" s="54" customFormat="1" ht="13.15">
      <c r="A6" s="65"/>
      <c r="B6" s="65" t="s">
        <v>685</v>
      </c>
      <c r="C6" s="2639">
        <v>76966510.000239998</v>
      </c>
      <c r="D6" s="2639">
        <v>90135031</v>
      </c>
      <c r="E6" s="2639">
        <v>104608400.65390003</v>
      </c>
      <c r="F6" s="2639">
        <v>117870540.95510709</v>
      </c>
      <c r="G6" s="2640"/>
    </row>
    <row r="7" spans="1:12" s="54" customFormat="1" ht="13.15">
      <c r="A7" s="64"/>
      <c r="B7" s="64" t="s">
        <v>686</v>
      </c>
      <c r="C7" s="2639">
        <v>9466200.8126699999</v>
      </c>
      <c r="D7" s="2639">
        <v>10677213.291280001</v>
      </c>
      <c r="E7" s="2639">
        <v>14045055.977009999</v>
      </c>
      <c r="F7" s="2639">
        <v>10509019.358504478</v>
      </c>
      <c r="G7" s="2640"/>
    </row>
    <row r="8" spans="1:12" s="54" customFormat="1" ht="13.15">
      <c r="A8" s="65">
        <v>3</v>
      </c>
      <c r="B8" s="65" t="s">
        <v>687</v>
      </c>
      <c r="C8" s="2639">
        <f>C4-C5</f>
        <v>20294134.770520002</v>
      </c>
      <c r="D8" s="2639">
        <f>D4-D5</f>
        <v>23682384.879919991</v>
      </c>
      <c r="E8" s="2639">
        <f>E4-E5</f>
        <v>34138578.200455084</v>
      </c>
      <c r="F8" s="2639">
        <f>F4-F5</f>
        <v>43875264.30725342</v>
      </c>
      <c r="G8" s="2639">
        <f>G4-G5</f>
        <v>0</v>
      </c>
    </row>
    <row r="9" spans="1:12" s="54" customFormat="1" ht="13.15" hidden="1">
      <c r="A9" s="117"/>
      <c r="B9" s="117" t="s">
        <v>688</v>
      </c>
      <c r="C9" s="2641">
        <v>16445809.270508002</v>
      </c>
      <c r="D9" s="2641">
        <v>19175633.32991999</v>
      </c>
      <c r="E9" s="2641">
        <v>28908158.167760082</v>
      </c>
      <c r="F9" s="2641">
        <v>37981737.259498514</v>
      </c>
      <c r="G9" s="2640"/>
    </row>
    <row r="10" spans="1:12" s="54" customFormat="1" ht="13.15">
      <c r="A10" s="65">
        <v>4</v>
      </c>
      <c r="B10" s="65" t="s">
        <v>689</v>
      </c>
      <c r="C10" s="2642">
        <v>0.05</v>
      </c>
      <c r="D10" s="2642">
        <v>0.05</v>
      </c>
      <c r="E10" s="2642">
        <v>0.05</v>
      </c>
      <c r="F10" s="2642">
        <v>0.05</v>
      </c>
      <c r="G10" s="2640"/>
    </row>
    <row r="11" spans="1:12" s="54" customFormat="1" ht="13.15">
      <c r="A11" s="65">
        <v>5</v>
      </c>
      <c r="B11" s="177" t="s">
        <v>690</v>
      </c>
      <c r="C11" s="2639">
        <f>C6*C10</f>
        <v>3848325.5000120001</v>
      </c>
      <c r="D11" s="2639">
        <f>D6*D10</f>
        <v>4506751.55</v>
      </c>
      <c r="E11" s="2639">
        <f>E6*E10</f>
        <v>5230420.0326950019</v>
      </c>
      <c r="F11" s="2639">
        <f>F6*F10</f>
        <v>5893527.047755355</v>
      </c>
      <c r="G11" s="2639">
        <f>G6*G10</f>
        <v>0</v>
      </c>
    </row>
    <row r="12" spans="1:12" s="54" customFormat="1" ht="13.15">
      <c r="A12" s="60">
        <v>6</v>
      </c>
      <c r="B12" s="60" t="s">
        <v>691</v>
      </c>
      <c r="C12" s="2642">
        <f>C8/C11</f>
        <v>5.2734974654448328</v>
      </c>
      <c r="D12" s="2642">
        <f>D8/D11</f>
        <v>5.2548680834025543</v>
      </c>
      <c r="E12" s="2642">
        <f>E8/E11</f>
        <v>6.5269286189363651</v>
      </c>
      <c r="F12" s="2642">
        <f>F8/F11</f>
        <v>7.4446530832439333</v>
      </c>
      <c r="G12" s="2642" t="e">
        <f>G8/G11</f>
        <v>#DIV/0!</v>
      </c>
    </row>
    <row r="13" spans="1:12" s="54" customFormat="1" ht="13.15">
      <c r="C13" s="282"/>
      <c r="D13" s="282"/>
      <c r="E13" s="282"/>
      <c r="F13" s="282"/>
    </row>
    <row r="15" spans="1:12" s="54" customFormat="1" ht="26.45">
      <c r="A15" s="2532">
        <v>1</v>
      </c>
      <c r="B15" s="2637" t="s">
        <v>125</v>
      </c>
      <c r="C15" s="2643" t="s">
        <v>692</v>
      </c>
      <c r="D15" s="2643" t="s">
        <v>693</v>
      </c>
      <c r="E15" s="2643" t="s">
        <v>694</v>
      </c>
      <c r="F15" s="2643" t="s">
        <v>695</v>
      </c>
      <c r="G15" s="2643" t="s">
        <v>696</v>
      </c>
      <c r="L15" s="116"/>
    </row>
    <row r="16" spans="1:12" s="54" customFormat="1">
      <c r="A16" s="63">
        <v>1</v>
      </c>
      <c r="B16" s="63" t="s">
        <v>697</v>
      </c>
      <c r="C16" s="2644">
        <v>16948052</v>
      </c>
      <c r="D16" s="2644">
        <v>19664159</v>
      </c>
      <c r="E16" s="2644">
        <v>22935699</v>
      </c>
      <c r="F16" s="2644">
        <v>26445359</v>
      </c>
      <c r="G16" s="2640"/>
      <c r="L16" s="179"/>
    </row>
    <row r="17" spans="1:12" s="54" customFormat="1">
      <c r="A17" s="65">
        <v>2</v>
      </c>
      <c r="B17" s="65" t="s">
        <v>698</v>
      </c>
      <c r="C17" s="2644">
        <f>SUM(C18:C19)</f>
        <v>15802665</v>
      </c>
      <c r="D17" s="2644">
        <f>SUM(D18:D19)</f>
        <v>18355763</v>
      </c>
      <c r="E17" s="2644">
        <f>SUM(E18:E19)</f>
        <v>21134967</v>
      </c>
      <c r="F17" s="2644">
        <f>SUM(F18:F19)</f>
        <v>23614391</v>
      </c>
      <c r="G17" s="2644">
        <f>SUM(G18:G19)</f>
        <v>0</v>
      </c>
      <c r="L17" s="179"/>
    </row>
    <row r="18" spans="1:12" s="54" customFormat="1">
      <c r="A18" s="65"/>
      <c r="B18" s="65" t="s">
        <v>699</v>
      </c>
      <c r="C18" s="2644">
        <v>15127240</v>
      </c>
      <c r="D18" s="2644">
        <v>17445273</v>
      </c>
      <c r="E18" s="2644">
        <v>20199291</v>
      </c>
      <c r="F18" s="2644">
        <v>22399842</v>
      </c>
      <c r="G18" s="2640"/>
      <c r="L18" s="179"/>
    </row>
    <row r="19" spans="1:12" s="54" customFormat="1">
      <c r="A19" s="64"/>
      <c r="B19" s="64" t="s">
        <v>700</v>
      </c>
      <c r="C19" s="2644">
        <v>675425</v>
      </c>
      <c r="D19" s="2644">
        <v>910490</v>
      </c>
      <c r="E19" s="2644">
        <v>935676</v>
      </c>
      <c r="F19" s="2644">
        <v>1214549</v>
      </c>
      <c r="G19" s="2640"/>
      <c r="L19" s="179"/>
    </row>
    <row r="20" spans="1:12" s="54" customFormat="1">
      <c r="A20" s="65">
        <v>3</v>
      </c>
      <c r="B20" s="65" t="s">
        <v>701</v>
      </c>
      <c r="C20" s="2644">
        <f>C16-C17</f>
        <v>1145387</v>
      </c>
      <c r="D20" s="2644">
        <f>D16-D17</f>
        <v>1308396</v>
      </c>
      <c r="E20" s="2644">
        <f>E16-E17</f>
        <v>1800732</v>
      </c>
      <c r="F20" s="2644">
        <f>F16-F17</f>
        <v>2830968</v>
      </c>
      <c r="G20" s="2644">
        <f>G16-G17</f>
        <v>0</v>
      </c>
      <c r="L20" s="179"/>
    </row>
    <row r="21" spans="1:12" s="54" customFormat="1">
      <c r="A21" s="65">
        <v>4</v>
      </c>
      <c r="B21" s="65" t="s">
        <v>689</v>
      </c>
      <c r="C21" s="2598">
        <v>0.05</v>
      </c>
      <c r="D21" s="2598">
        <v>0.05</v>
      </c>
      <c r="E21" s="2598">
        <v>0.05</v>
      </c>
      <c r="F21" s="2598">
        <v>0.05</v>
      </c>
      <c r="G21" s="2598">
        <v>0.05</v>
      </c>
      <c r="L21" s="182"/>
    </row>
    <row r="22" spans="1:12" s="54" customFormat="1">
      <c r="A22" s="65">
        <v>5</v>
      </c>
      <c r="B22" s="283" t="s">
        <v>690</v>
      </c>
      <c r="C22" s="3157">
        <f>C18*C21</f>
        <v>756362</v>
      </c>
      <c r="D22" s="3157">
        <f>D18*D21</f>
        <v>872263.65</v>
      </c>
      <c r="E22" s="3157">
        <f>E18*E21</f>
        <v>1009964.55</v>
      </c>
      <c r="F22" s="3157">
        <f>F18*F21</f>
        <v>1119992.1000000001</v>
      </c>
      <c r="G22" s="3157">
        <f>G18*G21</f>
        <v>0</v>
      </c>
      <c r="L22" s="179"/>
    </row>
    <row r="23" spans="1:12" s="54" customFormat="1">
      <c r="A23" s="60">
        <v>6</v>
      </c>
      <c r="B23" s="2640" t="s">
        <v>691</v>
      </c>
      <c r="C23" s="2645">
        <f>C20/C22</f>
        <v>1.5143370502484259</v>
      </c>
      <c r="D23" s="2645">
        <f>D20/D22</f>
        <v>1.5000006018822405</v>
      </c>
      <c r="E23" s="2645">
        <f>E20/E22</f>
        <v>1.7829655506225441</v>
      </c>
      <c r="F23" s="2645">
        <f>F20/F22</f>
        <v>2.5276678290855799</v>
      </c>
      <c r="G23" s="2645" t="e">
        <f>G20/G22</f>
        <v>#DIV/0!</v>
      </c>
      <c r="L23" s="183"/>
    </row>
    <row r="24" spans="1:12" s="54" customFormat="1">
      <c r="C24" s="280"/>
      <c r="D24" s="280"/>
      <c r="E24" s="280"/>
      <c r="F24" s="280"/>
      <c r="L24" s="183"/>
    </row>
    <row r="25" spans="1:12" s="54" customFormat="1">
      <c r="C25" s="280"/>
      <c r="D25" s="280"/>
      <c r="E25" s="280"/>
      <c r="F25" s="280"/>
      <c r="L25" s="183"/>
    </row>
    <row r="26" spans="1:12" s="54" customFormat="1" ht="26.45">
      <c r="A26" s="2532">
        <v>2</v>
      </c>
      <c r="B26" s="2637" t="s">
        <v>92</v>
      </c>
      <c r="C26" s="2643" t="s">
        <v>692</v>
      </c>
      <c r="D26" s="2643" t="s">
        <v>693</v>
      </c>
      <c r="E26" s="2643" t="s">
        <v>694</v>
      </c>
      <c r="F26" s="2643" t="s">
        <v>695</v>
      </c>
      <c r="G26" s="2643" t="s">
        <v>696</v>
      </c>
      <c r="L26" s="116"/>
    </row>
    <row r="27" spans="1:12" s="54" customFormat="1" ht="13.15">
      <c r="A27" s="63">
        <v>1</v>
      </c>
      <c r="B27" s="63" t="s">
        <v>697</v>
      </c>
      <c r="C27" s="2646">
        <v>202865.08069</v>
      </c>
      <c r="D27" s="2647">
        <v>217427</v>
      </c>
      <c r="E27" s="2647">
        <v>393874.022706574</v>
      </c>
      <c r="F27" s="2647">
        <v>533868.68247930007</v>
      </c>
      <c r="G27" s="2640"/>
      <c r="L27" s="179"/>
    </row>
    <row r="28" spans="1:12" s="54" customFormat="1" ht="13.15">
      <c r="A28" s="65">
        <v>2</v>
      </c>
      <c r="B28" s="65" t="s">
        <v>698</v>
      </c>
      <c r="C28" s="2647">
        <f>SUM(C29:C30)</f>
        <v>106786.02876999999</v>
      </c>
      <c r="D28" s="2647">
        <f>SUM(D29:D30)</f>
        <v>140891</v>
      </c>
      <c r="E28" s="2647">
        <f>SUM(E29:E30)</f>
        <v>252908.2549</v>
      </c>
      <c r="F28" s="2647">
        <f>SUM(F29:F30)</f>
        <v>448356.39187000005</v>
      </c>
      <c r="G28" s="2647">
        <f>SUM(G29:G30)</f>
        <v>0</v>
      </c>
      <c r="L28" s="179"/>
    </row>
    <row r="29" spans="1:12" s="54" customFormat="1" ht="13.15">
      <c r="A29" s="65"/>
      <c r="B29" s="65" t="s">
        <v>699</v>
      </c>
      <c r="C29" s="2646">
        <v>8001.0002400000003</v>
      </c>
      <c r="D29" s="2647">
        <v>66290</v>
      </c>
      <c r="E29" s="2647">
        <v>179223.24911999999</v>
      </c>
      <c r="F29" s="2647">
        <v>370897.93116000004</v>
      </c>
      <c r="G29" s="2640"/>
      <c r="L29" s="179"/>
    </row>
    <row r="30" spans="1:12" s="54" customFormat="1" ht="13.15">
      <c r="A30" s="64"/>
      <c r="B30" s="64" t="s">
        <v>700</v>
      </c>
      <c r="C30" s="2646">
        <v>98785.028529999996</v>
      </c>
      <c r="D30" s="2647">
        <v>74601</v>
      </c>
      <c r="E30" s="2647">
        <v>73685.005780000007</v>
      </c>
      <c r="F30" s="2647">
        <v>77458.460709999985</v>
      </c>
      <c r="G30" s="2640"/>
      <c r="L30" s="179"/>
    </row>
    <row r="31" spans="1:12" s="54" customFormat="1" ht="13.15">
      <c r="A31" s="65">
        <v>3</v>
      </c>
      <c r="B31" s="65" t="s">
        <v>701</v>
      </c>
      <c r="C31" s="2647">
        <f>C27-C28</f>
        <v>96079.051920000013</v>
      </c>
      <c r="D31" s="2647">
        <f>D27-D28</f>
        <v>76536</v>
      </c>
      <c r="E31" s="2647">
        <f>E27-E28</f>
        <v>140965.767806574</v>
      </c>
      <c r="F31" s="2647">
        <f>F27-F28</f>
        <v>85512.29060930002</v>
      </c>
      <c r="G31" s="2647">
        <f>G27-G28</f>
        <v>0</v>
      </c>
      <c r="L31" s="179"/>
    </row>
    <row r="32" spans="1:12" s="54" customFormat="1" ht="13.15">
      <c r="A32" s="65">
        <v>4</v>
      </c>
      <c r="B32" s="65" t="s">
        <v>689</v>
      </c>
      <c r="C32" s="2648">
        <v>0.04</v>
      </c>
      <c r="D32" s="2649">
        <v>0.05</v>
      </c>
      <c r="E32" s="2649">
        <v>0.05</v>
      </c>
      <c r="F32" s="2649">
        <v>0.05</v>
      </c>
      <c r="G32" s="2649">
        <v>0.05</v>
      </c>
    </row>
    <row r="33" spans="1:12" s="54" customFormat="1" ht="13.15">
      <c r="A33" s="65">
        <v>5</v>
      </c>
      <c r="B33" s="65" t="s">
        <v>690</v>
      </c>
      <c r="C33" s="2650">
        <f>C29*C32</f>
        <v>320.04000960000002</v>
      </c>
      <c r="D33" s="2650">
        <f>D29*D32</f>
        <v>3314.5</v>
      </c>
      <c r="E33" s="2650">
        <f>E29*E32</f>
        <v>8961.162456</v>
      </c>
      <c r="F33" s="2651">
        <f>F29*F32</f>
        <v>18544.896558000004</v>
      </c>
      <c r="G33" s="2651">
        <f>G29*G32</f>
        <v>0</v>
      </c>
      <c r="L33" s="180"/>
    </row>
    <row r="34" spans="1:12" s="54" customFormat="1" ht="13.15">
      <c r="A34" s="60">
        <v>6</v>
      </c>
      <c r="B34" s="60" t="s">
        <v>691</v>
      </c>
      <c r="C34" s="2652">
        <f>C31/C33</f>
        <v>300.20950205595796</v>
      </c>
      <c r="D34" s="2652">
        <f>D31/D33</f>
        <v>23.091265650927742</v>
      </c>
      <c r="E34" s="2652">
        <f>E31/E33</f>
        <v>15.730745703889067</v>
      </c>
      <c r="F34" s="2652">
        <f>F31/F33</f>
        <v>4.6110955831895017</v>
      </c>
      <c r="G34" s="2653" t="e">
        <f>G31/G33</f>
        <v>#DIV/0!</v>
      </c>
      <c r="L34" s="181"/>
    </row>
    <row r="35" spans="1:12" s="54" customFormat="1" ht="13.15">
      <c r="C35" s="183"/>
      <c r="D35" s="178"/>
      <c r="E35" s="178"/>
      <c r="F35" s="178"/>
      <c r="L35" s="181"/>
    </row>
    <row r="37" spans="1:12" s="54" customFormat="1" ht="26.45">
      <c r="A37" s="2532">
        <v>3</v>
      </c>
      <c r="B37" s="2637" t="s">
        <v>126</v>
      </c>
      <c r="C37" s="2643" t="s">
        <v>692</v>
      </c>
      <c r="D37" s="2643" t="s">
        <v>693</v>
      </c>
      <c r="E37" s="2643" t="s">
        <v>694</v>
      </c>
      <c r="F37" s="2643" t="s">
        <v>695</v>
      </c>
      <c r="G37" s="2643" t="s">
        <v>696</v>
      </c>
      <c r="L37" s="116"/>
    </row>
    <row r="38" spans="1:12" s="54" customFormat="1" ht="13.15">
      <c r="A38" s="63">
        <v>1</v>
      </c>
      <c r="B38" s="63" t="s">
        <v>697</v>
      </c>
      <c r="C38" s="2647">
        <v>370132</v>
      </c>
      <c r="D38" s="2647">
        <v>467353.09900000005</v>
      </c>
      <c r="E38" s="2647">
        <v>591206.15433689137</v>
      </c>
      <c r="F38" s="2647">
        <v>709057.12350753217</v>
      </c>
      <c r="G38" s="2640"/>
      <c r="L38" s="74"/>
    </row>
    <row r="39" spans="1:12" s="54" customFormat="1" ht="13.15">
      <c r="A39" s="65">
        <v>2</v>
      </c>
      <c r="B39" s="65" t="s">
        <v>698</v>
      </c>
      <c r="C39" s="2647">
        <f>SUM(C40:C41)</f>
        <v>349677</v>
      </c>
      <c r="D39" s="2647">
        <f>SUM(D40:D41)</f>
        <v>464145.76</v>
      </c>
      <c r="E39" s="2647">
        <f>SUM(E40:E41)</f>
        <v>550299.78800000006</v>
      </c>
      <c r="F39" s="2647">
        <f>SUM(F40:F41)</f>
        <v>642759.86699999997</v>
      </c>
      <c r="G39" s="2647">
        <f>SUM(G40:G41)</f>
        <v>0</v>
      </c>
      <c r="L39" s="74"/>
    </row>
    <row r="40" spans="1:12" s="54" customFormat="1" ht="13.15">
      <c r="A40" s="65"/>
      <c r="B40" s="65" t="s">
        <v>699</v>
      </c>
      <c r="C40" s="2647">
        <v>335186</v>
      </c>
      <c r="D40" s="2647">
        <v>391211</v>
      </c>
      <c r="E40" s="2647">
        <v>480210.72700000001</v>
      </c>
      <c r="F40" s="2647">
        <v>560879.52</v>
      </c>
      <c r="G40" s="2640"/>
      <c r="L40" s="74"/>
    </row>
    <row r="41" spans="1:12" s="54" customFormat="1" ht="13.15">
      <c r="A41" s="64"/>
      <c r="B41" s="64" t="s">
        <v>700</v>
      </c>
      <c r="C41" s="2647">
        <v>14491</v>
      </c>
      <c r="D41" s="2647">
        <v>72934.759999999995</v>
      </c>
      <c r="E41" s="2647">
        <v>70089.061000000002</v>
      </c>
      <c r="F41" s="2647">
        <v>81880.346999999994</v>
      </c>
      <c r="G41" s="2640"/>
      <c r="L41" s="74"/>
    </row>
    <row r="42" spans="1:12" s="54" customFormat="1" ht="13.15">
      <c r="A42" s="65">
        <v>3</v>
      </c>
      <c r="B42" s="65" t="s">
        <v>701</v>
      </c>
      <c r="C42" s="2647">
        <f>C38-C39</f>
        <v>20455</v>
      </c>
      <c r="D42" s="2647">
        <f>D38-D39</f>
        <v>3207.3390000000363</v>
      </c>
      <c r="E42" s="2647">
        <f>E38-E39</f>
        <v>40906.366336891311</v>
      </c>
      <c r="F42" s="2647">
        <f>F38-F39</f>
        <v>66297.256507532205</v>
      </c>
      <c r="G42" s="2647">
        <f>G38-G39</f>
        <v>0</v>
      </c>
      <c r="L42" s="74"/>
    </row>
    <row r="43" spans="1:12" s="54" customFormat="1" ht="13.15">
      <c r="A43" s="65">
        <v>4</v>
      </c>
      <c r="B43" s="65" t="s">
        <v>689</v>
      </c>
      <c r="C43" s="2649">
        <v>0.05</v>
      </c>
      <c r="D43" s="2649">
        <v>0.05</v>
      </c>
      <c r="E43" s="2649">
        <v>0.05</v>
      </c>
      <c r="F43" s="2649">
        <v>0.05</v>
      </c>
      <c r="G43" s="2649">
        <v>0.05</v>
      </c>
    </row>
    <row r="44" spans="1:12" s="54" customFormat="1" ht="13.15">
      <c r="A44" s="65">
        <v>5</v>
      </c>
      <c r="B44" s="65" t="s">
        <v>690</v>
      </c>
      <c r="C44" s="2654">
        <f>C40*C43</f>
        <v>16759.3</v>
      </c>
      <c r="D44" s="2654">
        <f>D40*D43</f>
        <v>19560.55</v>
      </c>
      <c r="E44" s="2654">
        <f>E40*E43</f>
        <v>24010.536350000002</v>
      </c>
      <c r="F44" s="2654">
        <f>F40*F43</f>
        <v>28043.976000000002</v>
      </c>
      <c r="G44" s="2654">
        <f>G40*G43</f>
        <v>0</v>
      </c>
      <c r="L44" s="74"/>
    </row>
    <row r="45" spans="1:12" s="54" customFormat="1" ht="13.15">
      <c r="A45" s="60">
        <v>6</v>
      </c>
      <c r="B45" s="60" t="s">
        <v>691</v>
      </c>
      <c r="C45" s="2652">
        <f>C42/C44</f>
        <v>1.2205163700154542</v>
      </c>
      <c r="D45" s="2652">
        <f>D42/D44</f>
        <v>0.16396977590098624</v>
      </c>
      <c r="E45" s="2652">
        <f>E42/E44</f>
        <v>1.7036839885874231</v>
      </c>
      <c r="F45" s="2652">
        <f>F42/F44</f>
        <v>2.3640462574754806</v>
      </c>
      <c r="G45" s="2652" t="e">
        <f>G42/G44</f>
        <v>#DIV/0!</v>
      </c>
      <c r="L45" s="178"/>
    </row>
    <row r="46" spans="1:12" s="54" customFormat="1" ht="13.15">
      <c r="C46" s="178"/>
      <c r="D46" s="178"/>
      <c r="E46" s="178"/>
      <c r="F46" s="178"/>
      <c r="L46" s="178"/>
    </row>
    <row r="47" spans="1:12" s="54" customFormat="1" ht="13.15">
      <c r="C47" s="178"/>
      <c r="D47" s="178"/>
      <c r="E47" s="178"/>
      <c r="F47" s="178"/>
      <c r="L47" s="178"/>
    </row>
    <row r="48" spans="1:12" s="54" customFormat="1" ht="26.45">
      <c r="A48" s="2532">
        <v>4</v>
      </c>
      <c r="B48" s="2638" t="s">
        <v>95</v>
      </c>
      <c r="C48" s="2643" t="s">
        <v>692</v>
      </c>
      <c r="D48" s="2643" t="s">
        <v>693</v>
      </c>
      <c r="E48" s="2643" t="s">
        <v>694</v>
      </c>
      <c r="F48" s="2643" t="s">
        <v>695</v>
      </c>
      <c r="G48" s="2643" t="s">
        <v>696</v>
      </c>
      <c r="L48" s="116"/>
    </row>
    <row r="49" spans="1:12" s="54" customFormat="1" ht="13.15">
      <c r="A49" s="63">
        <v>1</v>
      </c>
      <c r="B49" s="63" t="s">
        <v>697</v>
      </c>
      <c r="C49" s="2655"/>
      <c r="D49" s="2655"/>
      <c r="E49" s="2655">
        <v>500134</v>
      </c>
      <c r="F49" s="2655">
        <f>+'[8]Sheet 3 - Long term Insurance'!$C$266/1000</f>
        <v>193910.85519603215</v>
      </c>
      <c r="G49" s="2640"/>
      <c r="L49" s="179"/>
    </row>
    <row r="50" spans="1:12" s="54" customFormat="1" ht="13.15">
      <c r="A50" s="65">
        <v>2</v>
      </c>
      <c r="B50" s="65" t="s">
        <v>698</v>
      </c>
      <c r="C50" s="2655"/>
      <c r="D50" s="2655"/>
      <c r="E50" s="2655">
        <f>SUM(E51:E52)</f>
        <v>60</v>
      </c>
      <c r="F50" s="2655">
        <f>SUM(F51:F52)</f>
        <v>92973.944271026936</v>
      </c>
      <c r="G50" s="2655">
        <f>SUM(G51:G52)</f>
        <v>0</v>
      </c>
      <c r="L50" s="179"/>
    </row>
    <row r="51" spans="1:12" s="54" customFormat="1" ht="13.15">
      <c r="A51" s="65"/>
      <c r="B51" s="65" t="s">
        <v>699</v>
      </c>
      <c r="C51" s="2655"/>
      <c r="D51" s="2655"/>
      <c r="E51" s="2655"/>
      <c r="F51" s="2655">
        <f>+'[8]Sheet 3 - Long term Insurance'!$C$268/1000</f>
        <v>54242.881046549162</v>
      </c>
      <c r="G51" s="2640"/>
      <c r="L51" s="179"/>
    </row>
    <row r="52" spans="1:12" s="54" customFormat="1" ht="13.15">
      <c r="A52" s="64"/>
      <c r="B52" s="64" t="s">
        <v>700</v>
      </c>
      <c r="C52" s="2655"/>
      <c r="D52" s="2655"/>
      <c r="E52" s="2655">
        <v>60</v>
      </c>
      <c r="F52" s="2655">
        <f>+'[8]Sheet 3 - Long term Insurance'!$C$269/1000</f>
        <v>38731.063224477773</v>
      </c>
      <c r="G52" s="2640"/>
      <c r="L52" s="179"/>
    </row>
    <row r="53" spans="1:12" s="54" customFormat="1" ht="13.15">
      <c r="A53" s="65">
        <v>3</v>
      </c>
      <c r="B53" s="65" t="s">
        <v>701</v>
      </c>
      <c r="C53" s="2655"/>
      <c r="D53" s="2655"/>
      <c r="E53" s="2655">
        <f>E49-E50</f>
        <v>500074</v>
      </c>
      <c r="F53" s="2655">
        <f>F49-F50</f>
        <v>100936.91092500521</v>
      </c>
      <c r="G53" s="2655">
        <f>G49-G50</f>
        <v>0</v>
      </c>
      <c r="L53" s="179"/>
    </row>
    <row r="54" spans="1:12" s="54" customFormat="1" ht="13.15">
      <c r="A54" s="65">
        <v>4</v>
      </c>
      <c r="B54" s="65" t="s">
        <v>689</v>
      </c>
      <c r="C54" s="2656"/>
      <c r="D54" s="2656"/>
      <c r="E54" s="2656">
        <f>+'[8]Sheet 3 - Long term Insurance'!$C$271</f>
        <v>0.05</v>
      </c>
      <c r="F54" s="2656">
        <f>+'[8]Sheet 3 - Long term Insurance'!$C$271</f>
        <v>0.05</v>
      </c>
      <c r="G54" s="2656">
        <f>+'[8]Sheet 3 - Long term Insurance'!$C$271</f>
        <v>0.05</v>
      </c>
    </row>
    <row r="55" spans="1:12" s="54" customFormat="1" ht="13.15">
      <c r="A55" s="65">
        <v>5</v>
      </c>
      <c r="B55" s="65" t="s">
        <v>690</v>
      </c>
      <c r="C55" s="2656"/>
      <c r="D55" s="2656"/>
      <c r="E55" s="2657">
        <f>E51*E54</f>
        <v>0</v>
      </c>
      <c r="F55" s="2657">
        <f>F51*F54</f>
        <v>2712.1440523274582</v>
      </c>
      <c r="G55" s="2657">
        <f>G51*G54</f>
        <v>0</v>
      </c>
      <c r="L55" s="180"/>
    </row>
    <row r="56" spans="1:12" s="54" customFormat="1" ht="13.15">
      <c r="A56" s="60">
        <v>6</v>
      </c>
      <c r="B56" s="60" t="s">
        <v>691</v>
      </c>
      <c r="C56" s="2658"/>
      <c r="D56" s="2658"/>
      <c r="E56" s="2658">
        <v>0</v>
      </c>
      <c r="F56" s="2658">
        <f>F53/F55</f>
        <v>37.21664814904836</v>
      </c>
      <c r="G56" s="2658" t="e">
        <f>G53/G55</f>
        <v>#DIV/0!</v>
      </c>
      <c r="L56" s="181"/>
    </row>
    <row r="57" spans="1:12" s="54" customFormat="1" ht="13.15">
      <c r="C57" s="178"/>
      <c r="D57" s="178"/>
      <c r="E57" s="178"/>
      <c r="F57" s="178"/>
      <c r="L57" s="181"/>
    </row>
    <row r="59" spans="1:12" s="54" customFormat="1" ht="26.45">
      <c r="A59" s="2532">
        <v>5</v>
      </c>
      <c r="B59" s="2638" t="s">
        <v>124</v>
      </c>
      <c r="C59" s="2643" t="s">
        <v>692</v>
      </c>
      <c r="D59" s="2643" t="s">
        <v>693</v>
      </c>
      <c r="E59" s="2643" t="s">
        <v>694</v>
      </c>
      <c r="F59" s="2643" t="s">
        <v>695</v>
      </c>
      <c r="G59" s="2643" t="s">
        <v>696</v>
      </c>
      <c r="L59" s="116"/>
    </row>
    <row r="60" spans="1:12" s="54" customFormat="1" ht="13.15">
      <c r="A60" s="63">
        <v>1</v>
      </c>
      <c r="B60" s="63" t="s">
        <v>697</v>
      </c>
      <c r="C60" s="2647">
        <v>1731565</v>
      </c>
      <c r="D60" s="2647">
        <v>2199766</v>
      </c>
      <c r="E60" s="2647">
        <v>2711174.9926200002</v>
      </c>
      <c r="F60" s="2647">
        <v>3580312.3573354725</v>
      </c>
      <c r="G60" s="2647">
        <v>3580312.3573354702</v>
      </c>
      <c r="L60" s="74"/>
    </row>
    <row r="61" spans="1:12" s="54" customFormat="1" ht="13.15">
      <c r="A61" s="65">
        <v>2</v>
      </c>
      <c r="B61" s="65" t="s">
        <v>698</v>
      </c>
      <c r="C61" s="2647">
        <f>SUM(C62:C63)</f>
        <v>1587045</v>
      </c>
      <c r="D61" s="2647">
        <f>SUM(D62:D63)</f>
        <v>2108654</v>
      </c>
      <c r="E61" s="2647">
        <f>SUM(E62:E63)</f>
        <v>2554989</v>
      </c>
      <c r="F61" s="2647">
        <f>SUM(F62:F63)</f>
        <v>3311333.0310300002</v>
      </c>
      <c r="G61" s="2647">
        <f>SUM(G62:G63)</f>
        <v>3311333.0310300002</v>
      </c>
      <c r="L61" s="74"/>
    </row>
    <row r="62" spans="1:12" s="54" customFormat="1" ht="13.15">
      <c r="A62" s="65"/>
      <c r="B62" s="65" t="s">
        <v>699</v>
      </c>
      <c r="C62" s="2647">
        <v>1309618</v>
      </c>
      <c r="D62" s="2647">
        <v>1807385</v>
      </c>
      <c r="E62" s="2647">
        <v>2171840</v>
      </c>
      <c r="F62" s="2647">
        <v>2857628</v>
      </c>
      <c r="G62" s="2647">
        <v>2857628</v>
      </c>
      <c r="L62" s="74"/>
    </row>
    <row r="63" spans="1:12" s="54" customFormat="1" ht="13.15">
      <c r="A63" s="64"/>
      <c r="B63" s="64" t="s">
        <v>700</v>
      </c>
      <c r="C63" s="2647">
        <v>277427</v>
      </c>
      <c r="D63" s="2647">
        <v>301269</v>
      </c>
      <c r="E63" s="2647">
        <v>383149</v>
      </c>
      <c r="F63" s="2647">
        <v>453705.03103000007</v>
      </c>
      <c r="G63" s="2647">
        <v>453705.03103000007</v>
      </c>
      <c r="L63" s="74"/>
    </row>
    <row r="64" spans="1:12" s="54" customFormat="1" ht="13.15">
      <c r="A64" s="65">
        <v>3</v>
      </c>
      <c r="B64" s="65" t="s">
        <v>701</v>
      </c>
      <c r="C64" s="2647">
        <f>C60-C61</f>
        <v>144520</v>
      </c>
      <c r="D64" s="2647">
        <f>D60-D61</f>
        <v>91112</v>
      </c>
      <c r="E64" s="2647">
        <f>E60-E61</f>
        <v>156185.99262000015</v>
      </c>
      <c r="F64" s="2647">
        <f>F60-F61</f>
        <v>268979.32630547229</v>
      </c>
      <c r="G64" s="2647">
        <f>G60-G61</f>
        <v>268979.32630546996</v>
      </c>
      <c r="L64" s="74"/>
    </row>
    <row r="65" spans="1:12" s="54" customFormat="1" ht="13.15">
      <c r="A65" s="65">
        <v>4</v>
      </c>
      <c r="B65" s="65" t="s">
        <v>689</v>
      </c>
      <c r="C65" s="2649">
        <v>0.05</v>
      </c>
      <c r="D65" s="2649">
        <v>0.05</v>
      </c>
      <c r="E65" s="2649">
        <v>0.05</v>
      </c>
      <c r="F65" s="2649">
        <v>0.05</v>
      </c>
      <c r="G65" s="2649">
        <v>0.05</v>
      </c>
    </row>
    <row r="66" spans="1:12" s="54" customFormat="1" ht="13.15">
      <c r="A66" s="65">
        <v>5</v>
      </c>
      <c r="B66" s="65" t="s">
        <v>690</v>
      </c>
      <c r="C66" s="2659">
        <f>C62*C65</f>
        <v>65480.9</v>
      </c>
      <c r="D66" s="2659">
        <f>D62*D65</f>
        <v>90369.25</v>
      </c>
      <c r="E66" s="2659">
        <f>E62*E65</f>
        <v>108592</v>
      </c>
      <c r="F66" s="2659">
        <f>F62*F65</f>
        <v>142881.4</v>
      </c>
      <c r="G66" s="2659">
        <f>G62*G65</f>
        <v>142881.4</v>
      </c>
    </row>
    <row r="67" spans="1:12" s="54" customFormat="1" ht="13.15">
      <c r="A67" s="60">
        <v>6</v>
      </c>
      <c r="B67" s="60" t="s">
        <v>691</v>
      </c>
      <c r="C67" s="2652">
        <f>C64/C66</f>
        <v>2.2070557979502419</v>
      </c>
      <c r="D67" s="2652">
        <f>D64/D66</f>
        <v>1.0082190568141265</v>
      </c>
      <c r="E67" s="2652">
        <f>E64/E66</f>
        <v>1.4382826784661866</v>
      </c>
      <c r="F67" s="2652">
        <f>F64/F66</f>
        <v>1.8825356295884019</v>
      </c>
      <c r="G67" s="2652">
        <f>G64/G66</f>
        <v>1.8825356295883857</v>
      </c>
      <c r="L67" s="178"/>
    </row>
    <row r="68" spans="1:12" s="54" customFormat="1" ht="13.15">
      <c r="C68" s="178"/>
      <c r="D68" s="178"/>
      <c r="E68" s="178"/>
      <c r="F68" s="178"/>
      <c r="L68" s="178"/>
    </row>
    <row r="70" spans="1:12" s="54" customFormat="1" ht="26.45">
      <c r="A70" s="2532">
        <v>6</v>
      </c>
      <c r="B70" s="2637" t="s">
        <v>129</v>
      </c>
      <c r="C70" s="2643" t="s">
        <v>692</v>
      </c>
      <c r="D70" s="2643" t="s">
        <v>693</v>
      </c>
      <c r="E70" s="2643" t="s">
        <v>694</v>
      </c>
      <c r="F70" s="2643" t="s">
        <v>695</v>
      </c>
      <c r="G70" s="2643" t="s">
        <v>696</v>
      </c>
      <c r="L70" s="116"/>
    </row>
    <row r="71" spans="1:12" s="54" customFormat="1" ht="13.15">
      <c r="A71" s="63">
        <v>1</v>
      </c>
      <c r="B71" s="63" t="s">
        <v>697</v>
      </c>
      <c r="C71" s="2647">
        <v>25675752</v>
      </c>
      <c r="D71" s="2647">
        <v>32530525</v>
      </c>
      <c r="E71" s="2647">
        <v>40956923</v>
      </c>
      <c r="F71" s="2647">
        <v>47002412.107340008</v>
      </c>
      <c r="G71" s="2647">
        <v>47002412.107340008</v>
      </c>
      <c r="L71" s="74"/>
    </row>
    <row r="72" spans="1:12" s="54" customFormat="1" ht="13.15">
      <c r="A72" s="65">
        <v>2</v>
      </c>
      <c r="B72" s="65" t="s">
        <v>698</v>
      </c>
      <c r="C72" s="2647">
        <f>SUM(C73:C74)</f>
        <v>18837081</v>
      </c>
      <c r="D72" s="2647">
        <f>SUM(D73:D74)</f>
        <v>22583063</v>
      </c>
      <c r="E72" s="2647">
        <f>SUM(E73:E74)</f>
        <v>30363434</v>
      </c>
      <c r="F72" s="2647">
        <f>SUM(F73:F74)</f>
        <v>31605025.425466213</v>
      </c>
      <c r="G72" s="2647">
        <f>SUM(G73:G74)</f>
        <v>31605025.425466213</v>
      </c>
      <c r="L72" s="74"/>
    </row>
    <row r="73" spans="1:12" s="54" customFormat="1" ht="13.15">
      <c r="A73" s="65"/>
      <c r="B73" s="65" t="s">
        <v>699</v>
      </c>
      <c r="C73" s="2647">
        <f>17189222+102671</f>
        <v>17291893</v>
      </c>
      <c r="D73" s="2647">
        <f>20571112+115269</f>
        <v>20686381</v>
      </c>
      <c r="E73" s="2647">
        <v>25068462</v>
      </c>
      <c r="F73" s="2647">
        <v>29854100.473306213</v>
      </c>
      <c r="G73" s="2647">
        <v>29854100.473306213</v>
      </c>
      <c r="L73" s="74"/>
    </row>
    <row r="74" spans="1:12" s="54" customFormat="1" ht="13.15">
      <c r="A74" s="64"/>
      <c r="B74" s="64" t="s">
        <v>700</v>
      </c>
      <c r="C74" s="2647">
        <f>233747+104859+259766+946816</f>
        <v>1545188</v>
      </c>
      <c r="D74" s="2647">
        <f>147555+132256+252892+1363979</f>
        <v>1896682</v>
      </c>
      <c r="E74" s="2647">
        <v>5294972</v>
      </c>
      <c r="F74" s="2647">
        <v>1750924.9521599996</v>
      </c>
      <c r="G74" s="2647">
        <v>1750924.9521599996</v>
      </c>
      <c r="L74" s="74"/>
    </row>
    <row r="75" spans="1:12" s="54" customFormat="1" ht="13.15">
      <c r="A75" s="65">
        <v>3</v>
      </c>
      <c r="B75" s="65" t="s">
        <v>701</v>
      </c>
      <c r="C75" s="2647">
        <f>C71-C72</f>
        <v>6838671</v>
      </c>
      <c r="D75" s="2647">
        <f>D71-D72</f>
        <v>9947462</v>
      </c>
      <c r="E75" s="2647">
        <f>E71-E72</f>
        <v>10593489</v>
      </c>
      <c r="F75" s="2647">
        <f>F71-F72</f>
        <v>15397386.681873795</v>
      </c>
      <c r="G75" s="2647">
        <f>G71-G72</f>
        <v>15397386.681873795</v>
      </c>
      <c r="L75" s="74"/>
    </row>
    <row r="76" spans="1:12" s="54" customFormat="1" ht="13.15">
      <c r="A76" s="65">
        <v>4</v>
      </c>
      <c r="B76" s="65" t="s">
        <v>689</v>
      </c>
      <c r="C76" s="2649">
        <v>0.05</v>
      </c>
      <c r="D76" s="2649">
        <v>0.05</v>
      </c>
      <c r="E76" s="2649">
        <v>0.05</v>
      </c>
      <c r="F76" s="2649">
        <v>0.05</v>
      </c>
      <c r="G76" s="2649">
        <v>0.05</v>
      </c>
    </row>
    <row r="77" spans="1:12" s="54" customFormat="1" ht="13.15">
      <c r="A77" s="65">
        <v>5</v>
      </c>
      <c r="B77" s="65" t="s">
        <v>690</v>
      </c>
      <c r="C77" s="2647">
        <f>C73*C76</f>
        <v>864594.65</v>
      </c>
      <c r="D77" s="2647">
        <f>D73*D76</f>
        <v>1034319.05</v>
      </c>
      <c r="E77" s="2647">
        <f>E73*E76</f>
        <v>1253423.1000000001</v>
      </c>
      <c r="F77" s="2647">
        <f>F73*F76</f>
        <v>1492705.0236653108</v>
      </c>
      <c r="G77" s="2647">
        <f>G73*G76</f>
        <v>1492705.0236653108</v>
      </c>
      <c r="L77" s="74"/>
    </row>
    <row r="78" spans="1:12" s="54" customFormat="1" ht="13.15">
      <c r="A78" s="60">
        <v>6</v>
      </c>
      <c r="B78" s="60" t="s">
        <v>691</v>
      </c>
      <c r="C78" s="2652">
        <f>C75/C77</f>
        <v>7.9096846134775411</v>
      </c>
      <c r="D78" s="2652">
        <f>D75/D77</f>
        <v>9.6174019032135192</v>
      </c>
      <c r="E78" s="2652">
        <f>E75/E77</f>
        <v>8.4516465349968417</v>
      </c>
      <c r="F78" s="2652">
        <f>F75/F77</f>
        <v>10.315090012938915</v>
      </c>
      <c r="G78" s="2652">
        <f>G75/G77</f>
        <v>10.315090012938915</v>
      </c>
      <c r="L78" s="178"/>
    </row>
    <row r="79" spans="1:12" s="54" customFormat="1" ht="13.15">
      <c r="C79" s="178"/>
      <c r="D79" s="178"/>
      <c r="E79" s="178"/>
      <c r="F79" s="178"/>
      <c r="L79" s="178"/>
    </row>
    <row r="81" spans="1:12" s="54" customFormat="1" ht="26.45">
      <c r="A81" s="2532">
        <v>7</v>
      </c>
      <c r="B81" s="2637" t="s">
        <v>130</v>
      </c>
      <c r="C81" s="2643" t="s">
        <v>692</v>
      </c>
      <c r="D81" s="2643" t="s">
        <v>693</v>
      </c>
      <c r="E81" s="2643" t="s">
        <v>694</v>
      </c>
      <c r="F81" s="2643" t="s">
        <v>695</v>
      </c>
      <c r="G81" s="2643" t="s">
        <v>696</v>
      </c>
      <c r="L81" s="116"/>
    </row>
    <row r="82" spans="1:12" s="54" customFormat="1" ht="13.15">
      <c r="A82" s="63">
        <v>1</v>
      </c>
      <c r="B82" s="63" t="s">
        <v>697</v>
      </c>
      <c r="C82" s="2660">
        <v>373330.52292000002</v>
      </c>
      <c r="D82" s="2660">
        <v>581157</v>
      </c>
      <c r="E82" s="2660">
        <v>676618.0798566119</v>
      </c>
      <c r="F82" s="2660">
        <v>781199.52209999994</v>
      </c>
      <c r="G82" s="2647">
        <v>47002412.107340008</v>
      </c>
      <c r="L82" s="179"/>
    </row>
    <row r="83" spans="1:12" s="54" customFormat="1" ht="13.15">
      <c r="A83" s="65">
        <v>2</v>
      </c>
      <c r="B83" s="65" t="s">
        <v>698</v>
      </c>
      <c r="C83" s="2660">
        <f>SUM(C84:C85)</f>
        <v>325822.57996</v>
      </c>
      <c r="D83" s="2660">
        <f>SUM(D84:D85)</f>
        <v>442159</v>
      </c>
      <c r="E83" s="2660">
        <f>SUM(E84:E85)</f>
        <v>557426.64599999995</v>
      </c>
      <c r="F83" s="2660">
        <f>SUM(F84:F85)</f>
        <v>711547.63212650013</v>
      </c>
      <c r="G83" s="2660">
        <f>SUM(G84:G85)</f>
        <v>31605025.425466213</v>
      </c>
      <c r="L83" s="179"/>
    </row>
    <row r="84" spans="1:12" s="54" customFormat="1" ht="13.15">
      <c r="A84" s="65"/>
      <c r="B84" s="65" t="s">
        <v>699</v>
      </c>
      <c r="C84" s="2660">
        <v>275207</v>
      </c>
      <c r="D84" s="2660">
        <v>379396</v>
      </c>
      <c r="E84" s="2660">
        <v>470707</v>
      </c>
      <c r="F84" s="2660">
        <v>602336.95344650012</v>
      </c>
      <c r="G84" s="2647">
        <v>29854100.473306213</v>
      </c>
      <c r="L84" s="179"/>
    </row>
    <row r="85" spans="1:12" s="54" customFormat="1" ht="13.15">
      <c r="A85" s="64"/>
      <c r="B85" s="64" t="s">
        <v>700</v>
      </c>
      <c r="C85" s="2660">
        <v>50615.579960000003</v>
      </c>
      <c r="D85" s="2660">
        <v>62763</v>
      </c>
      <c r="E85" s="2660">
        <v>86719.645999999993</v>
      </c>
      <c r="F85" s="2660">
        <v>109210.67868</v>
      </c>
      <c r="G85" s="2647">
        <v>1750924.9521599996</v>
      </c>
      <c r="L85" s="179"/>
    </row>
    <row r="86" spans="1:12" s="54" customFormat="1" ht="13.15">
      <c r="A86" s="65">
        <v>3</v>
      </c>
      <c r="B86" s="65" t="s">
        <v>701</v>
      </c>
      <c r="C86" s="2660">
        <f>C82-C83</f>
        <v>47507.942960000015</v>
      </c>
      <c r="D86" s="2660">
        <f>D82-D83</f>
        <v>138998</v>
      </c>
      <c r="E86" s="2660">
        <f>E82-E83</f>
        <v>119191.43385661195</v>
      </c>
      <c r="F86" s="2660">
        <f>F82-F83</f>
        <v>69651.889973499812</v>
      </c>
      <c r="G86" s="2660">
        <f>G82-G83</f>
        <v>15397386.681873795</v>
      </c>
      <c r="L86" s="179"/>
    </row>
    <row r="87" spans="1:12" s="54" customFormat="1" ht="13.15">
      <c r="A87" s="65">
        <v>4</v>
      </c>
      <c r="B87" s="65" t="s">
        <v>689</v>
      </c>
      <c r="C87" s="2661">
        <v>0.05</v>
      </c>
      <c r="D87" s="2661">
        <v>0.05</v>
      </c>
      <c r="E87" s="2661">
        <v>0.05</v>
      </c>
      <c r="F87" s="2661">
        <v>0.05</v>
      </c>
      <c r="G87" s="2649">
        <v>0.05</v>
      </c>
    </row>
    <row r="88" spans="1:12" s="54" customFormat="1" ht="13.15">
      <c r="A88" s="65">
        <v>5</v>
      </c>
      <c r="B88" s="65" t="s">
        <v>690</v>
      </c>
      <c r="C88" s="2662">
        <f>C84*C87</f>
        <v>13760.35</v>
      </c>
      <c r="D88" s="2662">
        <f>D84*D87</f>
        <v>18969.8</v>
      </c>
      <c r="E88" s="2662">
        <f>E84*E87</f>
        <v>23535.350000000002</v>
      </c>
      <c r="F88" s="2662">
        <f>F84*F87</f>
        <v>30116.847672325006</v>
      </c>
      <c r="G88" s="2662">
        <f>G84*G87</f>
        <v>1492705.0236653108</v>
      </c>
      <c r="L88" s="180"/>
    </row>
    <row r="89" spans="1:12" s="54" customFormat="1" ht="13.15">
      <c r="A89" s="60">
        <v>6</v>
      </c>
      <c r="B89" s="60" t="s">
        <v>691</v>
      </c>
      <c r="C89" s="2663">
        <f>C86/C88</f>
        <v>3.4525243151518685</v>
      </c>
      <c r="D89" s="2663">
        <f>D86/D88</f>
        <v>7.327330810024355</v>
      </c>
      <c r="E89" s="2663">
        <f>E86/E88</f>
        <v>5.0643578216007814</v>
      </c>
      <c r="F89" s="2663">
        <f>F86/F88</f>
        <v>2.3127217938384823</v>
      </c>
      <c r="G89" s="2663">
        <f>G86/G88</f>
        <v>10.315090012938915</v>
      </c>
      <c r="L89" s="182"/>
    </row>
    <row r="90" spans="1:12" s="54" customFormat="1" ht="13.15">
      <c r="C90" s="183"/>
      <c r="D90" s="183"/>
      <c r="E90" s="178"/>
      <c r="F90" s="178"/>
      <c r="L90" s="182"/>
    </row>
    <row r="92" spans="1:12" s="54" customFormat="1" ht="26.45">
      <c r="A92" s="2532">
        <v>8</v>
      </c>
      <c r="B92" s="2637" t="s">
        <v>132</v>
      </c>
      <c r="C92" s="2643" t="s">
        <v>692</v>
      </c>
      <c r="D92" s="2643" t="s">
        <v>693</v>
      </c>
      <c r="E92" s="2643" t="s">
        <v>694</v>
      </c>
      <c r="F92" s="2643" t="s">
        <v>695</v>
      </c>
      <c r="G92" s="2643" t="s">
        <v>696</v>
      </c>
      <c r="L92" s="116"/>
    </row>
    <row r="93" spans="1:12" s="54" customFormat="1" ht="13.15">
      <c r="A93" s="63">
        <v>1</v>
      </c>
      <c r="B93" s="63" t="s">
        <v>697</v>
      </c>
      <c r="C93" s="2660">
        <v>1931239.9798199998</v>
      </c>
      <c r="D93" s="2660">
        <v>2459534.5406399998</v>
      </c>
      <c r="E93" s="2660">
        <v>3312085</v>
      </c>
      <c r="F93" s="2660">
        <v>4041514</v>
      </c>
      <c r="G93" s="2647">
        <v>47002412.107340008</v>
      </c>
      <c r="L93" s="179"/>
    </row>
    <row r="94" spans="1:12" s="54" customFormat="1" ht="13.15">
      <c r="A94" s="65">
        <v>2</v>
      </c>
      <c r="B94" s="65" t="s">
        <v>698</v>
      </c>
      <c r="C94" s="2660">
        <f>SUM(C95:C96)</f>
        <v>1772722.2041799999</v>
      </c>
      <c r="D94" s="2660">
        <f>SUM(D95:D96)</f>
        <v>2337669.3788100006</v>
      </c>
      <c r="E94" s="2660">
        <f>SUM(E95:E96)</f>
        <v>2922014.1558399997</v>
      </c>
      <c r="F94" s="2660">
        <f>SUM(F95:F96)</f>
        <v>3661808</v>
      </c>
      <c r="G94" s="2660">
        <f>SUM(G95:G96)</f>
        <v>31605025.425466213</v>
      </c>
      <c r="L94" s="179"/>
    </row>
    <row r="95" spans="1:12" s="54" customFormat="1" ht="13.15">
      <c r="A95" s="65"/>
      <c r="B95" s="65" t="s">
        <v>699</v>
      </c>
      <c r="C95" s="2660">
        <v>1627815</v>
      </c>
      <c r="D95" s="2660">
        <v>2162776</v>
      </c>
      <c r="E95" s="2660">
        <v>2704073</v>
      </c>
      <c r="F95" s="2660">
        <v>3332214</v>
      </c>
      <c r="G95" s="2647">
        <v>29854100.473306213</v>
      </c>
      <c r="L95" s="179"/>
    </row>
    <row r="96" spans="1:12" s="54" customFormat="1" ht="13.15">
      <c r="A96" s="64"/>
      <c r="B96" s="64" t="s">
        <v>700</v>
      </c>
      <c r="C96" s="2660">
        <v>144907.20418</v>
      </c>
      <c r="D96" s="2660">
        <v>174893.37881000043</v>
      </c>
      <c r="E96" s="2660">
        <v>217941.15583999976</v>
      </c>
      <c r="F96" s="2660">
        <v>329594</v>
      </c>
      <c r="G96" s="2647">
        <v>1750924.9521599996</v>
      </c>
      <c r="L96" s="179"/>
    </row>
    <row r="97" spans="1:12" s="54" customFormat="1" ht="13.15">
      <c r="A97" s="65">
        <v>3</v>
      </c>
      <c r="B97" s="65" t="s">
        <v>701</v>
      </c>
      <c r="C97" s="2660">
        <f>C93-C94</f>
        <v>158517.77563999989</v>
      </c>
      <c r="D97" s="2660">
        <f>D93-D94</f>
        <v>121865.16182999918</v>
      </c>
      <c r="E97" s="2660">
        <f>E93-E94</f>
        <v>390070.84416000033</v>
      </c>
      <c r="F97" s="2660">
        <f>F93-F94</f>
        <v>379706</v>
      </c>
      <c r="G97" s="2660">
        <f>G93-G94</f>
        <v>15397386.681873795</v>
      </c>
      <c r="L97" s="179"/>
    </row>
    <row r="98" spans="1:12" s="54" customFormat="1" ht="13.15">
      <c r="A98" s="65">
        <v>4</v>
      </c>
      <c r="B98" s="65" t="s">
        <v>689</v>
      </c>
      <c r="C98" s="2661">
        <v>0.05</v>
      </c>
      <c r="D98" s="2661">
        <v>0.05</v>
      </c>
      <c r="E98" s="2661">
        <v>0.05</v>
      </c>
      <c r="F98" s="2661">
        <v>0.05</v>
      </c>
      <c r="G98" s="2649">
        <v>0.05</v>
      </c>
    </row>
    <row r="99" spans="1:12" s="54" customFormat="1" ht="13.15">
      <c r="A99" s="65">
        <v>5</v>
      </c>
      <c r="B99" s="65" t="s">
        <v>690</v>
      </c>
      <c r="C99" s="2662">
        <f>C95*C98</f>
        <v>81390.75</v>
      </c>
      <c r="D99" s="2662">
        <f>D95*D98</f>
        <v>108138.8</v>
      </c>
      <c r="E99" s="2662">
        <f>E95*E98</f>
        <v>135203.65</v>
      </c>
      <c r="F99" s="2662">
        <f>F95*F98</f>
        <v>166610.70000000001</v>
      </c>
      <c r="G99" s="2662">
        <f>G95*G98</f>
        <v>1492705.0236653108</v>
      </c>
      <c r="L99" s="179"/>
    </row>
    <row r="100" spans="1:12" s="54" customFormat="1" ht="13.15">
      <c r="A100" s="60">
        <v>6</v>
      </c>
      <c r="B100" s="60" t="s">
        <v>691</v>
      </c>
      <c r="C100" s="2663">
        <f>C97/C99</f>
        <v>1.9476141409189607</v>
      </c>
      <c r="D100" s="2663">
        <f>D97/D99</f>
        <v>1.126932810702534</v>
      </c>
      <c r="E100" s="2663">
        <f>E97/E99</f>
        <v>2.8850614917570669</v>
      </c>
      <c r="F100" s="2663">
        <f>F97/F99</f>
        <v>2.2790012886327227</v>
      </c>
      <c r="G100" s="2663">
        <f>G97/G99</f>
        <v>10.315090012938915</v>
      </c>
      <c r="L100" s="183"/>
    </row>
    <row r="101" spans="1:12" s="54" customFormat="1" ht="13.15">
      <c r="C101" s="178"/>
      <c r="D101" s="178"/>
      <c r="E101" s="178"/>
      <c r="F101" s="178"/>
      <c r="L101" s="183"/>
    </row>
    <row r="103" spans="1:12" s="54" customFormat="1" ht="26.45">
      <c r="A103" s="2532">
        <v>9</v>
      </c>
      <c r="B103" s="2637" t="s">
        <v>133</v>
      </c>
      <c r="C103" s="2643" t="s">
        <v>692</v>
      </c>
      <c r="D103" s="2643" t="s">
        <v>693</v>
      </c>
      <c r="E103" s="2643" t="s">
        <v>694</v>
      </c>
      <c r="F103" s="2643" t="s">
        <v>695</v>
      </c>
      <c r="G103" s="2643" t="s">
        <v>696</v>
      </c>
      <c r="L103" s="116"/>
    </row>
    <row r="104" spans="1:12" s="54" customFormat="1" ht="13.15">
      <c r="A104" s="63">
        <v>1</v>
      </c>
      <c r="B104" s="63" t="s">
        <v>697</v>
      </c>
      <c r="C104" s="2664">
        <v>2803404</v>
      </c>
      <c r="D104" s="2664">
        <v>3406239.5315599996</v>
      </c>
      <c r="E104" s="2664">
        <v>4453499.8517499994</v>
      </c>
      <c r="F104" s="2664">
        <v>5909829.4898899999</v>
      </c>
      <c r="G104" s="2647">
        <v>47002412.107340008</v>
      </c>
      <c r="L104" s="109"/>
    </row>
    <row r="105" spans="1:12" s="54" customFormat="1" ht="13.15">
      <c r="A105" s="65">
        <v>2</v>
      </c>
      <c r="B105" s="65" t="s">
        <v>698</v>
      </c>
      <c r="C105" s="2664">
        <f>SUM(C106:C107)</f>
        <v>2120133</v>
      </c>
      <c r="D105" s="2664">
        <f>SUM(D106:D107)</f>
        <v>2992215.1524700001</v>
      </c>
      <c r="E105" s="2664">
        <f>SUM(E106:E107)</f>
        <v>3994998.48545</v>
      </c>
      <c r="F105" s="2664">
        <f>SUM(F106:F107)</f>
        <v>4898917.4042999996</v>
      </c>
      <c r="G105" s="2664">
        <f>SUM(G106:G107)</f>
        <v>31605025.425466213</v>
      </c>
      <c r="L105" s="109"/>
    </row>
    <row r="106" spans="1:12" s="54" customFormat="1" ht="13.15">
      <c r="A106" s="65"/>
      <c r="B106" s="65" t="s">
        <v>699</v>
      </c>
      <c r="C106" s="2664">
        <v>1882240</v>
      </c>
      <c r="D106" s="2664">
        <v>2617332</v>
      </c>
      <c r="E106" s="2664">
        <v>3671759</v>
      </c>
      <c r="F106" s="2664">
        <v>4553477</v>
      </c>
      <c r="G106" s="2647">
        <v>29854100.473306213</v>
      </c>
      <c r="L106" s="109"/>
    </row>
    <row r="107" spans="1:12" s="54" customFormat="1" ht="13.15">
      <c r="A107" s="64"/>
      <c r="B107" s="64" t="s">
        <v>700</v>
      </c>
      <c r="C107" s="2664">
        <v>237893</v>
      </c>
      <c r="D107" s="2664">
        <v>374883.15246999997</v>
      </c>
      <c r="E107" s="2664">
        <v>323239.48544999998</v>
      </c>
      <c r="F107" s="2664">
        <v>345440.40429999999</v>
      </c>
      <c r="G107" s="2647">
        <v>1750924.9521599996</v>
      </c>
      <c r="L107" s="109"/>
    </row>
    <row r="108" spans="1:12" s="54" customFormat="1" ht="13.15">
      <c r="A108" s="65">
        <v>3</v>
      </c>
      <c r="B108" s="65" t="s">
        <v>701</v>
      </c>
      <c r="C108" s="2664">
        <f>C104-C105</f>
        <v>683271</v>
      </c>
      <c r="D108" s="2664">
        <f>D104-D105</f>
        <v>414024.37908999948</v>
      </c>
      <c r="E108" s="2664">
        <f>E104-E105</f>
        <v>458501.36629999941</v>
      </c>
      <c r="F108" s="2664">
        <f>F104-F105</f>
        <v>1010912.0855900003</v>
      </c>
      <c r="G108" s="2664">
        <f>G104-G105</f>
        <v>15397386.681873795</v>
      </c>
      <c r="L108" s="109"/>
    </row>
    <row r="109" spans="1:12" s="54" customFormat="1" ht="13.15">
      <c r="A109" s="65">
        <v>4</v>
      </c>
      <c r="B109" s="65" t="s">
        <v>689</v>
      </c>
      <c r="C109" s="2661">
        <v>0.05</v>
      </c>
      <c r="D109" s="2661">
        <v>0.05</v>
      </c>
      <c r="E109" s="2661">
        <v>0.05</v>
      </c>
      <c r="F109" s="2661">
        <v>0.05</v>
      </c>
      <c r="G109" s="2649">
        <v>0.05</v>
      </c>
    </row>
    <row r="110" spans="1:12" s="54" customFormat="1" ht="13.15">
      <c r="A110" s="65">
        <v>5</v>
      </c>
      <c r="B110" s="65" t="s">
        <v>690</v>
      </c>
      <c r="C110" s="2664">
        <f>C106*C109</f>
        <v>94112</v>
      </c>
      <c r="D110" s="2664">
        <f>D106*D109</f>
        <v>130866.6</v>
      </c>
      <c r="E110" s="2664">
        <f>E106*E109</f>
        <v>183587.95</v>
      </c>
      <c r="F110" s="2664">
        <f>F106*F109</f>
        <v>227673.85</v>
      </c>
      <c r="G110" s="2664">
        <f>G106*G109</f>
        <v>1492705.0236653108</v>
      </c>
      <c r="L110" s="109"/>
    </row>
    <row r="111" spans="1:12" s="54" customFormat="1" ht="13.15">
      <c r="A111" s="60">
        <v>6</v>
      </c>
      <c r="B111" s="60" t="s">
        <v>691</v>
      </c>
      <c r="C111" s="2663">
        <f>C108/C110</f>
        <v>7.2601899863991841</v>
      </c>
      <c r="D111" s="2663">
        <f>D108/D110</f>
        <v>3.1637131177091744</v>
      </c>
      <c r="E111" s="2663">
        <f>E108/E110</f>
        <v>2.4974480422053809</v>
      </c>
      <c r="F111" s="2663">
        <f>F108/F110</f>
        <v>4.4401765314286212</v>
      </c>
      <c r="G111" s="2663">
        <f>G108/G110</f>
        <v>10.315090012938915</v>
      </c>
      <c r="L111" s="182"/>
    </row>
    <row r="112" spans="1:12" s="54" customFormat="1" ht="13.15">
      <c r="C112" s="178"/>
      <c r="D112" s="178"/>
      <c r="E112" s="178"/>
      <c r="F112" s="178"/>
      <c r="L112" s="182"/>
    </row>
    <row r="114" spans="1:12" s="54" customFormat="1" ht="26.45">
      <c r="A114" s="2532">
        <v>10</v>
      </c>
      <c r="B114" s="2637" t="s">
        <v>106</v>
      </c>
      <c r="C114" s="2643" t="s">
        <v>692</v>
      </c>
      <c r="D114" s="2643" t="s">
        <v>693</v>
      </c>
      <c r="E114" s="2643" t="s">
        <v>694</v>
      </c>
      <c r="F114" s="2643" t="s">
        <v>695</v>
      </c>
      <c r="G114" s="2643" t="s">
        <v>696</v>
      </c>
      <c r="L114" s="116"/>
    </row>
    <row r="115" spans="1:12" s="54" customFormat="1" ht="13.15">
      <c r="A115" s="63">
        <v>1</v>
      </c>
      <c r="B115" s="63" t="s">
        <v>697</v>
      </c>
      <c r="C115" s="2660">
        <v>664746</v>
      </c>
      <c r="D115" s="2660">
        <v>918937</v>
      </c>
      <c r="E115" s="2660">
        <v>1046860</v>
      </c>
      <c r="F115" s="2660">
        <v>1194056</v>
      </c>
      <c r="G115" s="2647">
        <v>47002412.107340008</v>
      </c>
      <c r="L115" s="74"/>
    </row>
    <row r="116" spans="1:12" s="54" customFormat="1" ht="13.15">
      <c r="A116" s="65">
        <v>2</v>
      </c>
      <c r="B116" s="65" t="s">
        <v>698</v>
      </c>
      <c r="C116" s="2660">
        <f>SUM(C117:C118)</f>
        <v>594195</v>
      </c>
      <c r="D116" s="2660">
        <f>SUM(D117:D118)</f>
        <v>648937</v>
      </c>
      <c r="E116" s="2660">
        <f>SUM(E117:E118)</f>
        <v>770711</v>
      </c>
      <c r="F116" s="2660">
        <f>SUM(F117:F118)</f>
        <v>820205</v>
      </c>
      <c r="G116" s="2660">
        <f>SUM(G117:G118)</f>
        <v>31605025.425466213</v>
      </c>
      <c r="L116" s="74"/>
    </row>
    <row r="117" spans="1:12" s="54" customFormat="1" ht="13.15">
      <c r="A117" s="65"/>
      <c r="B117" s="65" t="s">
        <v>699</v>
      </c>
      <c r="C117" s="2660">
        <v>550713</v>
      </c>
      <c r="D117" s="2660">
        <v>591357</v>
      </c>
      <c r="E117" s="2660">
        <v>670534</v>
      </c>
      <c r="F117" s="2660">
        <v>725000</v>
      </c>
      <c r="G117" s="2647">
        <v>29854100.473306213</v>
      </c>
      <c r="L117" s="74"/>
    </row>
    <row r="118" spans="1:12" s="54" customFormat="1" ht="13.15">
      <c r="A118" s="64"/>
      <c r="B118" s="64" t="s">
        <v>700</v>
      </c>
      <c r="C118" s="2660">
        <v>43482</v>
      </c>
      <c r="D118" s="2660">
        <v>57580</v>
      </c>
      <c r="E118" s="2660">
        <v>100177</v>
      </c>
      <c r="F118" s="2660">
        <v>95205</v>
      </c>
      <c r="G118" s="2647">
        <v>1750924.9521599996</v>
      </c>
      <c r="L118" s="74"/>
    </row>
    <row r="119" spans="1:12" s="54" customFormat="1" ht="13.15">
      <c r="A119" s="65">
        <v>3</v>
      </c>
      <c r="B119" s="65" t="s">
        <v>701</v>
      </c>
      <c r="C119" s="2660">
        <f>C115-C116</f>
        <v>70551</v>
      </c>
      <c r="D119" s="2660">
        <f>D115-D116</f>
        <v>270000</v>
      </c>
      <c r="E119" s="2660">
        <f>E115-E116</f>
        <v>276149</v>
      </c>
      <c r="F119" s="2660">
        <f>F115-F116</f>
        <v>373851</v>
      </c>
      <c r="G119" s="2660">
        <f>G115-G116</f>
        <v>15397386.681873795</v>
      </c>
      <c r="L119" s="74"/>
    </row>
    <row r="120" spans="1:12" s="54" customFormat="1" ht="13.15">
      <c r="A120" s="65">
        <v>4</v>
      </c>
      <c r="B120" s="65" t="s">
        <v>689</v>
      </c>
      <c r="C120" s="2661">
        <v>0.05</v>
      </c>
      <c r="D120" s="2661">
        <v>0.05</v>
      </c>
      <c r="E120" s="2661">
        <v>0.05</v>
      </c>
      <c r="F120" s="2661">
        <v>0.05</v>
      </c>
      <c r="G120" s="2649">
        <v>0.05</v>
      </c>
    </row>
    <row r="121" spans="1:12" s="54" customFormat="1" ht="13.15">
      <c r="A121" s="65">
        <v>5</v>
      </c>
      <c r="B121" s="65" t="s">
        <v>690</v>
      </c>
      <c r="C121" s="2662">
        <f>C119*C120</f>
        <v>3527.55</v>
      </c>
      <c r="D121" s="2662">
        <f>D119*D120</f>
        <v>13500</v>
      </c>
      <c r="E121" s="2662">
        <f>E119*E120</f>
        <v>13807.45</v>
      </c>
      <c r="F121" s="2662">
        <f>F119*F120</f>
        <v>18692.55</v>
      </c>
      <c r="G121" s="2662">
        <f>G119*G120</f>
        <v>769869.3340936898</v>
      </c>
    </row>
    <row r="122" spans="1:12" s="54" customFormat="1" ht="13.15">
      <c r="A122" s="60">
        <v>6</v>
      </c>
      <c r="B122" s="60" t="s">
        <v>691</v>
      </c>
      <c r="C122" s="2663">
        <f>C119/C121</f>
        <v>20</v>
      </c>
      <c r="D122" s="2663">
        <f>D119/D121</f>
        <v>20</v>
      </c>
      <c r="E122" s="2663">
        <f>E119/E121</f>
        <v>20</v>
      </c>
      <c r="F122" s="2663">
        <f>F119/F121</f>
        <v>20</v>
      </c>
      <c r="G122" s="2663">
        <f>G119/G121</f>
        <v>19.999999999999996</v>
      </c>
      <c r="L122" s="178"/>
    </row>
    <row r="123" spans="1:12" s="54" customFormat="1" ht="13.15">
      <c r="C123" s="183"/>
      <c r="D123" s="183"/>
      <c r="E123" s="183"/>
      <c r="F123" s="183"/>
      <c r="L123" s="178"/>
    </row>
    <row r="125" spans="1:12" s="54" customFormat="1" ht="26.45">
      <c r="A125" s="2532">
        <v>11</v>
      </c>
      <c r="B125" s="2637" t="s">
        <v>134</v>
      </c>
      <c r="C125" s="2643" t="s">
        <v>692</v>
      </c>
      <c r="D125" s="2643" t="s">
        <v>693</v>
      </c>
      <c r="E125" s="2643" t="s">
        <v>694</v>
      </c>
      <c r="F125" s="2643" t="s">
        <v>695</v>
      </c>
      <c r="G125" s="2643" t="s">
        <v>696</v>
      </c>
      <c r="L125" s="116"/>
    </row>
    <row r="126" spans="1:12" s="54" customFormat="1" ht="13.9">
      <c r="A126" s="63">
        <v>1</v>
      </c>
      <c r="B126" s="63" t="s">
        <v>697</v>
      </c>
      <c r="C126" s="2664"/>
      <c r="D126" s="2664"/>
      <c r="E126" s="2665">
        <f>143086975.25/1000</f>
        <v>143086.97524999999</v>
      </c>
      <c r="F126" s="2665">
        <f>217580563.783973/1000</f>
        <v>217580.56378397302</v>
      </c>
      <c r="G126" s="2647">
        <v>47002412.107340008</v>
      </c>
      <c r="L126" s="179"/>
    </row>
    <row r="127" spans="1:12" s="54" customFormat="1" ht="13.9">
      <c r="A127" s="65">
        <v>2</v>
      </c>
      <c r="B127" s="65" t="s">
        <v>698</v>
      </c>
      <c r="C127" s="2664"/>
      <c r="D127" s="2664"/>
      <c r="E127" s="2665">
        <f>SUM(E128:E129)</f>
        <v>51958.367080031894</v>
      </c>
      <c r="F127" s="2665">
        <f>SUM(F128:F129)</f>
        <v>125698.04497</v>
      </c>
      <c r="G127" s="2665">
        <f>SUM(G128:G129)</f>
        <v>31605025.425466213</v>
      </c>
      <c r="L127" s="179"/>
    </row>
    <row r="128" spans="1:12" s="54" customFormat="1" ht="13.9">
      <c r="A128" s="65"/>
      <c r="B128" s="65" t="s">
        <v>699</v>
      </c>
      <c r="C128" s="2664"/>
      <c r="D128" s="2664"/>
      <c r="E128" s="2665">
        <f>35388677.7800319/1000</f>
        <v>35388.677780031896</v>
      </c>
      <c r="F128" s="2665">
        <f>115642263.66/1000</f>
        <v>115642.26366</v>
      </c>
      <c r="G128" s="2647">
        <v>29854100.473306213</v>
      </c>
      <c r="L128" s="179"/>
    </row>
    <row r="129" spans="1:12" s="54" customFormat="1" ht="13.9">
      <c r="A129" s="64"/>
      <c r="B129" s="64" t="s">
        <v>700</v>
      </c>
      <c r="C129" s="2664"/>
      <c r="D129" s="2664"/>
      <c r="E129" s="2665">
        <f>16569689.3/1000</f>
        <v>16569.689300000002</v>
      </c>
      <c r="F129" s="2665">
        <f>10055781.31/1000</f>
        <v>10055.78131</v>
      </c>
      <c r="G129" s="2647">
        <v>1750924.9521599996</v>
      </c>
      <c r="L129" s="179"/>
    </row>
    <row r="130" spans="1:12" s="54" customFormat="1" ht="13.9">
      <c r="A130" s="65">
        <v>3</v>
      </c>
      <c r="B130" s="65" t="s">
        <v>701</v>
      </c>
      <c r="C130" s="2664"/>
      <c r="D130" s="2664"/>
      <c r="E130" s="2665">
        <f>E126-E127</f>
        <v>91128.608169968094</v>
      </c>
      <c r="F130" s="2665">
        <f>F126-F127</f>
        <v>91882.518813973016</v>
      </c>
      <c r="G130" s="2665">
        <f>G126-G127</f>
        <v>15397386.681873795</v>
      </c>
      <c r="H130" s="2665">
        <f>H126-H127</f>
        <v>0</v>
      </c>
      <c r="L130" s="179"/>
    </row>
    <row r="131" spans="1:12" s="54" customFormat="1" ht="13.9">
      <c r="A131" s="65">
        <v>4</v>
      </c>
      <c r="B131" s="65" t="s">
        <v>689</v>
      </c>
      <c r="C131" s="2664"/>
      <c r="D131" s="2664"/>
      <c r="E131" s="2665">
        <v>0.05</v>
      </c>
      <c r="F131" s="2665">
        <v>0.05</v>
      </c>
      <c r="G131" s="2649">
        <v>0.05</v>
      </c>
    </row>
    <row r="132" spans="1:12" s="54" customFormat="1" ht="13.9">
      <c r="A132" s="65">
        <v>5</v>
      </c>
      <c r="B132" s="65" t="s">
        <v>690</v>
      </c>
      <c r="C132" s="2664"/>
      <c r="D132" s="2664"/>
      <c r="E132" s="2665">
        <f>E128*E131</f>
        <v>1769.4338890015949</v>
      </c>
      <c r="F132" s="2665">
        <f>F128*F131</f>
        <v>5782.1131830000004</v>
      </c>
      <c r="G132" s="2665">
        <f>G128*G131</f>
        <v>1492705.0236653108</v>
      </c>
      <c r="L132" s="180"/>
    </row>
    <row r="133" spans="1:12" s="54" customFormat="1" ht="13.9">
      <c r="A133" s="60">
        <v>6</v>
      </c>
      <c r="B133" s="60" t="s">
        <v>691</v>
      </c>
      <c r="C133" s="2664"/>
      <c r="D133" s="2664"/>
      <c r="E133" s="2666">
        <f>E130/E132</f>
        <v>51.501561452170172</v>
      </c>
      <c r="F133" s="2666">
        <f>F130/F132</f>
        <v>15.890819827622355</v>
      </c>
      <c r="G133" s="2666">
        <f>G130/G132</f>
        <v>10.315090012938915</v>
      </c>
      <c r="L133" s="181"/>
    </row>
    <row r="134" spans="1:12" s="54" customFormat="1" ht="13.9">
      <c r="C134" s="90"/>
      <c r="D134" s="90"/>
      <c r="E134" s="281"/>
      <c r="F134" s="281"/>
      <c r="L134" s="181"/>
    </row>
    <row r="136" spans="1:12" s="54" customFormat="1" ht="26.45">
      <c r="A136" s="2532">
        <v>12</v>
      </c>
      <c r="B136" s="2637" t="s">
        <v>109</v>
      </c>
      <c r="C136" s="2643" t="s">
        <v>692</v>
      </c>
      <c r="D136" s="2643" t="s">
        <v>693</v>
      </c>
      <c r="E136" s="2643" t="s">
        <v>694</v>
      </c>
      <c r="F136" s="2643" t="s">
        <v>695</v>
      </c>
      <c r="G136" s="2643" t="s">
        <v>696</v>
      </c>
      <c r="L136" s="116"/>
    </row>
    <row r="137" spans="1:12" s="54" customFormat="1" ht="13.15">
      <c r="A137" s="63">
        <v>1</v>
      </c>
      <c r="B137" s="63" t="s">
        <v>697</v>
      </c>
      <c r="C137" s="2660">
        <v>84356</v>
      </c>
      <c r="D137" s="2660">
        <v>101488</v>
      </c>
      <c r="E137" s="2660">
        <v>144971</v>
      </c>
      <c r="F137" s="2660">
        <v>187793.21256163999</v>
      </c>
      <c r="G137" s="2647">
        <v>47002412.107340008</v>
      </c>
      <c r="L137" s="179"/>
    </row>
    <row r="138" spans="1:12" s="54" customFormat="1" ht="13.15">
      <c r="A138" s="65">
        <v>2</v>
      </c>
      <c r="B138" s="65" t="s">
        <v>698</v>
      </c>
      <c r="C138" s="2660">
        <f>SUM(C139:C140)</f>
        <v>66065</v>
      </c>
      <c r="D138" s="2660">
        <f>SUM(D139:D140)</f>
        <v>83048</v>
      </c>
      <c r="E138" s="2660">
        <f>SUM(E139:E140)</f>
        <v>120852</v>
      </c>
      <c r="F138" s="2660">
        <f>SUM(F139:F140)</f>
        <v>167206.3267478419</v>
      </c>
      <c r="G138" s="2660">
        <f>SUM(G139:G140)</f>
        <v>31605025.425466213</v>
      </c>
      <c r="L138" s="179"/>
    </row>
    <row r="139" spans="1:12" s="54" customFormat="1" ht="13.15">
      <c r="A139" s="65"/>
      <c r="B139" s="65" t="s">
        <v>699</v>
      </c>
      <c r="C139" s="2660">
        <v>40633</v>
      </c>
      <c r="D139" s="2660">
        <v>64284</v>
      </c>
      <c r="E139" s="2660">
        <v>95740</v>
      </c>
      <c r="F139" s="2660">
        <v>138423.9324878419</v>
      </c>
      <c r="G139" s="2647">
        <v>29854100.473306213</v>
      </c>
      <c r="L139" s="179"/>
    </row>
    <row r="140" spans="1:12" s="54" customFormat="1" ht="13.15">
      <c r="A140" s="64"/>
      <c r="B140" s="64" t="s">
        <v>700</v>
      </c>
      <c r="C140" s="2660">
        <v>25432</v>
      </c>
      <c r="D140" s="2660">
        <v>18764</v>
      </c>
      <c r="E140" s="2660">
        <v>25112</v>
      </c>
      <c r="F140" s="2660">
        <v>28782.394260000001</v>
      </c>
      <c r="G140" s="2647">
        <v>1750924.9521599996</v>
      </c>
      <c r="L140" s="179"/>
    </row>
    <row r="141" spans="1:12" s="54" customFormat="1" ht="13.15">
      <c r="A141" s="65">
        <v>3</v>
      </c>
      <c r="B141" s="65" t="s">
        <v>701</v>
      </c>
      <c r="C141" s="2660">
        <f>C137-C138</f>
        <v>18291</v>
      </c>
      <c r="D141" s="2660">
        <f>D137-D138</f>
        <v>18440</v>
      </c>
      <c r="E141" s="2660">
        <f>E137-E138</f>
        <v>24119</v>
      </c>
      <c r="F141" s="2660">
        <f>F137-F138</f>
        <v>20586.885813798086</v>
      </c>
      <c r="G141" s="2660">
        <f>G137-G138</f>
        <v>15397386.681873795</v>
      </c>
      <c r="L141" s="179"/>
    </row>
    <row r="142" spans="1:12" s="54" customFormat="1" ht="13.15">
      <c r="A142" s="65">
        <v>4</v>
      </c>
      <c r="B142" s="65" t="s">
        <v>689</v>
      </c>
      <c r="C142" s="2661">
        <v>0.05</v>
      </c>
      <c r="D142" s="2661">
        <v>0.05</v>
      </c>
      <c r="E142" s="2661">
        <v>0.05</v>
      </c>
      <c r="F142" s="2661">
        <v>0.05</v>
      </c>
      <c r="G142" s="2649">
        <v>0.05</v>
      </c>
    </row>
    <row r="143" spans="1:12" s="54" customFormat="1" ht="13.15">
      <c r="A143" s="65">
        <v>5</v>
      </c>
      <c r="B143" s="65" t="s">
        <v>690</v>
      </c>
      <c r="C143" s="2662">
        <f>C139*C142</f>
        <v>2031.65</v>
      </c>
      <c r="D143" s="2662">
        <f>D139*D142</f>
        <v>3214.2000000000003</v>
      </c>
      <c r="E143" s="2662">
        <f>E139*E142</f>
        <v>4787</v>
      </c>
      <c r="F143" s="2662">
        <f>F139*F142</f>
        <v>6921.1966243920951</v>
      </c>
      <c r="G143" s="2662">
        <f>G139*G142</f>
        <v>1492705.0236653108</v>
      </c>
    </row>
    <row r="144" spans="1:12" s="54" customFormat="1" ht="13.15">
      <c r="A144" s="60">
        <v>6</v>
      </c>
      <c r="B144" s="60" t="s">
        <v>691</v>
      </c>
      <c r="C144" s="2663">
        <f>C141/C143</f>
        <v>9.0030270962025938</v>
      </c>
      <c r="D144" s="2663">
        <f>D141/D143</f>
        <v>5.7370418766722659</v>
      </c>
      <c r="E144" s="2663">
        <f>E141/E143</f>
        <v>5.0384374347190306</v>
      </c>
      <c r="F144" s="2663">
        <f>F141/F143</f>
        <v>2.9744691461653541</v>
      </c>
      <c r="G144" s="2663">
        <f>G141/G143</f>
        <v>10.315090012938915</v>
      </c>
      <c r="L144" s="183"/>
    </row>
    <row r="145" spans="1:12" s="54" customFormat="1" ht="13.15">
      <c r="C145" s="183"/>
      <c r="D145" s="183"/>
      <c r="E145" s="183"/>
      <c r="F145" s="183"/>
      <c r="L145" s="183"/>
    </row>
    <row r="146" spans="1:12" s="54" customFormat="1" ht="13.15">
      <c r="C146" s="183"/>
      <c r="D146" s="183"/>
      <c r="E146" s="183"/>
      <c r="F146" s="183"/>
      <c r="L146" s="183"/>
    </row>
    <row r="147" spans="1:12" s="54" customFormat="1" ht="26.45">
      <c r="A147" s="2532">
        <v>13</v>
      </c>
      <c r="B147" s="2638" t="s">
        <v>135</v>
      </c>
      <c r="C147" s="2643" t="s">
        <v>692</v>
      </c>
      <c r="D147" s="2643" t="s">
        <v>693</v>
      </c>
      <c r="E147" s="2643" t="s">
        <v>694</v>
      </c>
      <c r="F147" s="2643" t="s">
        <v>695</v>
      </c>
      <c r="G147" s="2643" t="s">
        <v>696</v>
      </c>
      <c r="L147" s="116"/>
    </row>
    <row r="148" spans="1:12" s="54" customFormat="1" ht="13.15">
      <c r="A148" s="63">
        <v>1</v>
      </c>
      <c r="B148" s="63" t="s">
        <v>697</v>
      </c>
      <c r="C148" s="2655">
        <v>163548</v>
      </c>
      <c r="D148" s="2655">
        <v>222072</v>
      </c>
      <c r="E148" s="2655">
        <v>266527</v>
      </c>
      <c r="F148" s="2655">
        <v>404789</v>
      </c>
      <c r="G148" s="2647">
        <v>47002412.107340008</v>
      </c>
      <c r="L148" s="74"/>
    </row>
    <row r="149" spans="1:12" s="54" customFormat="1" ht="13.15">
      <c r="A149" s="65">
        <v>2</v>
      </c>
      <c r="B149" s="65" t="s">
        <v>698</v>
      </c>
      <c r="C149" s="2655">
        <f>SUM(C150:C151)</f>
        <v>94108</v>
      </c>
      <c r="D149" s="2655">
        <f>SUM(D150:D151)</f>
        <v>176505</v>
      </c>
      <c r="E149" s="2655">
        <f>SUM(E150:E151)</f>
        <v>240482</v>
      </c>
      <c r="F149" s="2655">
        <f>SUM(F150:F151)</f>
        <v>364833</v>
      </c>
      <c r="G149" s="2655">
        <f>SUM(G150:G151)</f>
        <v>31605025.425466213</v>
      </c>
      <c r="L149" s="74"/>
    </row>
    <row r="150" spans="1:12" s="54" customFormat="1" ht="13.15">
      <c r="A150" s="65"/>
      <c r="B150" s="65" t="s">
        <v>699</v>
      </c>
      <c r="C150" s="2655">
        <v>75494</v>
      </c>
      <c r="D150" s="2655">
        <v>154325</v>
      </c>
      <c r="E150" s="2655">
        <v>212620</v>
      </c>
      <c r="F150" s="2655">
        <v>361629</v>
      </c>
      <c r="G150" s="2647">
        <v>29854100.473306213</v>
      </c>
      <c r="L150" s="74"/>
    </row>
    <row r="151" spans="1:12" s="54" customFormat="1" ht="13.15">
      <c r="A151" s="64"/>
      <c r="B151" s="64" t="s">
        <v>700</v>
      </c>
      <c r="C151" s="2655">
        <v>18614</v>
      </c>
      <c r="D151" s="2655">
        <v>22180</v>
      </c>
      <c r="E151" s="2655">
        <v>27862</v>
      </c>
      <c r="F151" s="2655">
        <v>3204</v>
      </c>
      <c r="G151" s="2647">
        <v>1750924.9521599996</v>
      </c>
      <c r="L151" s="74"/>
    </row>
    <row r="152" spans="1:12" s="54" customFormat="1" ht="13.15">
      <c r="A152" s="65">
        <v>3</v>
      </c>
      <c r="B152" s="65" t="s">
        <v>701</v>
      </c>
      <c r="C152" s="2655">
        <f>C148-C149</f>
        <v>69440</v>
      </c>
      <c r="D152" s="2655">
        <f>D148-D149</f>
        <v>45567</v>
      </c>
      <c r="E152" s="2655">
        <f>E148-E149</f>
        <v>26045</v>
      </c>
      <c r="F152" s="2655">
        <f>F148-F149</f>
        <v>39956</v>
      </c>
      <c r="G152" s="2655">
        <f>G148-G149</f>
        <v>15397386.681873795</v>
      </c>
      <c r="L152" s="74"/>
    </row>
    <row r="153" spans="1:12" s="54" customFormat="1" ht="13.15">
      <c r="A153" s="65">
        <v>4</v>
      </c>
      <c r="B153" s="65" t="s">
        <v>689</v>
      </c>
      <c r="C153" s="2656">
        <v>0.05</v>
      </c>
      <c r="D153" s="2656">
        <v>0.05</v>
      </c>
      <c r="E153" s="2656">
        <v>0.05</v>
      </c>
      <c r="F153" s="2656">
        <v>0.05</v>
      </c>
      <c r="G153" s="2649">
        <v>0.05</v>
      </c>
    </row>
    <row r="154" spans="1:12" s="54" customFormat="1" ht="13.15">
      <c r="A154" s="65">
        <v>5</v>
      </c>
      <c r="B154" s="65" t="s">
        <v>690</v>
      </c>
      <c r="C154" s="2667">
        <f>C150*C153</f>
        <v>3774.7000000000003</v>
      </c>
      <c r="D154" s="2667">
        <f>D150*D153</f>
        <v>7716.25</v>
      </c>
      <c r="E154" s="2667">
        <f>E150*E153</f>
        <v>10631</v>
      </c>
      <c r="F154" s="2667">
        <f>F150*F153</f>
        <v>18081.45</v>
      </c>
      <c r="G154" s="2667">
        <f>G150*G153</f>
        <v>1492705.0236653108</v>
      </c>
      <c r="L154" s="180"/>
    </row>
    <row r="155" spans="1:12" s="54" customFormat="1" ht="13.15">
      <c r="A155" s="60">
        <v>6</v>
      </c>
      <c r="B155" s="60" t="s">
        <v>691</v>
      </c>
      <c r="C155" s="2658">
        <f>C152/C154</f>
        <v>18.396163933557631</v>
      </c>
      <c r="D155" s="2658">
        <f>D152/D154</f>
        <v>5.9053296614288024</v>
      </c>
      <c r="E155" s="2658">
        <f>E152/E154</f>
        <v>2.4499106386981468</v>
      </c>
      <c r="F155" s="2658">
        <f>F152/F154</f>
        <v>2.2097785299298454</v>
      </c>
      <c r="G155" s="2658">
        <f>G152/G154</f>
        <v>10.315090012938915</v>
      </c>
      <c r="L155" s="178"/>
    </row>
    <row r="156" spans="1:12" s="54" customFormat="1" ht="13.15">
      <c r="C156" s="178"/>
      <c r="D156" s="178"/>
      <c r="E156" s="178"/>
      <c r="F156" s="178"/>
      <c r="L156" s="178"/>
    </row>
    <row r="158" spans="1:12" s="54" customFormat="1" ht="26.45">
      <c r="A158" s="2532">
        <v>14</v>
      </c>
      <c r="B158" s="2638" t="s">
        <v>115</v>
      </c>
      <c r="C158" s="2643" t="s">
        <v>692</v>
      </c>
      <c r="D158" s="2643" t="s">
        <v>693</v>
      </c>
      <c r="E158" s="2643" t="s">
        <v>694</v>
      </c>
      <c r="F158" s="2643" t="s">
        <v>695</v>
      </c>
      <c r="G158" s="2643" t="s">
        <v>696</v>
      </c>
      <c r="L158" s="116"/>
    </row>
    <row r="159" spans="1:12" s="54" customFormat="1" ht="13.15">
      <c r="A159" s="63">
        <v>1</v>
      </c>
      <c r="B159" s="63" t="s">
        <v>697</v>
      </c>
      <c r="C159" s="2655">
        <v>45628151</v>
      </c>
      <c r="D159" s="2655">
        <v>50109285</v>
      </c>
      <c r="E159" s="2655">
        <v>60679224</v>
      </c>
      <c r="F159" s="2655">
        <v>64506197</v>
      </c>
      <c r="G159" s="2647">
        <v>47002412.107340008</v>
      </c>
      <c r="L159" s="109"/>
    </row>
    <row r="160" spans="1:12" s="54" customFormat="1" ht="13.15">
      <c r="A160" s="65">
        <v>2</v>
      </c>
      <c r="B160" s="65" t="s">
        <v>698</v>
      </c>
      <c r="C160" s="2655">
        <f>SUM(C161:C162)</f>
        <v>35489062</v>
      </c>
      <c r="D160" s="2655">
        <f>SUM(D161:D162)</f>
        <v>39694145</v>
      </c>
      <c r="E160" s="2655">
        <f>SUM(E161:E162)</f>
        <v>42247444</v>
      </c>
      <c r="F160" s="2655">
        <f>SUM(F161:F162)</f>
        <v>43378542</v>
      </c>
      <c r="G160" s="2655">
        <f>SUM(G161:G162)</f>
        <v>31605025.425466213</v>
      </c>
      <c r="L160" s="109"/>
    </row>
    <row r="161" spans="1:12" s="54" customFormat="1" ht="13.15">
      <c r="A161" s="65"/>
      <c r="B161" s="65" t="s">
        <v>699</v>
      </c>
      <c r="C161" s="2655">
        <v>30039416</v>
      </c>
      <c r="D161" s="2655">
        <v>34100798</v>
      </c>
      <c r="E161" s="2655">
        <v>37039605</v>
      </c>
      <c r="F161" s="2655">
        <v>38371425</v>
      </c>
      <c r="G161" s="2647">
        <v>29854100.473306213</v>
      </c>
      <c r="L161" s="109"/>
    </row>
    <row r="162" spans="1:12" s="54" customFormat="1" ht="13.15">
      <c r="A162" s="64"/>
      <c r="B162" s="64" t="s">
        <v>700</v>
      </c>
      <c r="C162" s="2655">
        <v>5449646</v>
      </c>
      <c r="D162" s="2655">
        <v>5593347</v>
      </c>
      <c r="E162" s="2655">
        <v>5207839</v>
      </c>
      <c r="F162" s="2655">
        <v>5007117</v>
      </c>
      <c r="G162" s="2647">
        <v>1750924.9521599996</v>
      </c>
      <c r="L162" s="109"/>
    </row>
    <row r="163" spans="1:12" s="54" customFormat="1" ht="13.15">
      <c r="A163" s="65">
        <v>3</v>
      </c>
      <c r="B163" s="65" t="s">
        <v>701</v>
      </c>
      <c r="C163" s="2655">
        <f>C159-C160</f>
        <v>10139089</v>
      </c>
      <c r="D163" s="2655">
        <f>D159-D160</f>
        <v>10415140</v>
      </c>
      <c r="E163" s="2655">
        <f>E159-E160</f>
        <v>18431780</v>
      </c>
      <c r="F163" s="2655">
        <f>F159-F160</f>
        <v>21127655</v>
      </c>
      <c r="G163" s="2655">
        <f>G159-G160</f>
        <v>15397386.681873795</v>
      </c>
      <c r="L163" s="109"/>
    </row>
    <row r="164" spans="1:12" s="54" customFormat="1" ht="13.15">
      <c r="A164" s="65">
        <v>4</v>
      </c>
      <c r="B164" s="65" t="s">
        <v>689</v>
      </c>
      <c r="C164" s="2667">
        <v>0.05</v>
      </c>
      <c r="D164" s="2656">
        <v>0.05</v>
      </c>
      <c r="E164" s="2656">
        <v>0.05</v>
      </c>
      <c r="F164" s="2656">
        <v>0.05</v>
      </c>
      <c r="G164" s="2649">
        <v>0.05</v>
      </c>
      <c r="L164" s="184"/>
    </row>
    <row r="165" spans="1:12" s="54" customFormat="1" ht="13.15">
      <c r="A165" s="65">
        <v>5</v>
      </c>
      <c r="B165" s="65" t="s">
        <v>690</v>
      </c>
      <c r="C165" s="2657">
        <f>C161*C164</f>
        <v>1501970.8</v>
      </c>
      <c r="D165" s="2657">
        <f>D161*D164</f>
        <v>1705039.9000000001</v>
      </c>
      <c r="E165" s="2657">
        <f>E161*E164</f>
        <v>1851980.25</v>
      </c>
      <c r="F165" s="2657">
        <f>F161*F164</f>
        <v>1918571.25</v>
      </c>
      <c r="G165" s="2657">
        <f>G161*G164</f>
        <v>1492705.0236653108</v>
      </c>
      <c r="L165" s="109"/>
    </row>
    <row r="166" spans="1:12" s="54" customFormat="1" ht="13.15">
      <c r="A166" s="60">
        <v>6</v>
      </c>
      <c r="B166" s="60" t="s">
        <v>691</v>
      </c>
      <c r="C166" s="2668">
        <f>C163/C165</f>
        <v>6.750523379016423</v>
      </c>
      <c r="D166" s="2668">
        <f>D163/D165</f>
        <v>6.1084435619365856</v>
      </c>
      <c r="E166" s="2668">
        <f>E163/E165</f>
        <v>9.9524711454131332</v>
      </c>
      <c r="F166" s="2668">
        <f>F163/F165</f>
        <v>11.012181590858301</v>
      </c>
      <c r="G166" s="2668">
        <f>G163/G165</f>
        <v>10.315090012938915</v>
      </c>
      <c r="L166" s="184"/>
    </row>
    <row r="167" spans="1:12" s="54" customFormat="1" ht="13.15">
      <c r="C167" s="282"/>
      <c r="D167" s="178"/>
      <c r="E167" s="178"/>
      <c r="F167" s="178"/>
      <c r="L167" s="184"/>
    </row>
    <row r="169" spans="1:12" s="54" customFormat="1" ht="26.45">
      <c r="A169" s="2532">
        <v>15</v>
      </c>
      <c r="B169" s="2638" t="s">
        <v>136</v>
      </c>
      <c r="C169" s="2643" t="s">
        <v>692</v>
      </c>
      <c r="D169" s="2643" t="s">
        <v>693</v>
      </c>
      <c r="E169" s="2643" t="s">
        <v>694</v>
      </c>
      <c r="F169" s="2643" t="s">
        <v>695</v>
      </c>
      <c r="G169" s="2643" t="s">
        <v>696</v>
      </c>
      <c r="L169" s="116"/>
    </row>
    <row r="170" spans="1:12" s="54" customFormat="1" ht="13.15">
      <c r="A170" s="63">
        <v>1</v>
      </c>
      <c r="B170" s="63" t="s">
        <v>697</v>
      </c>
      <c r="C170" s="2655">
        <v>10149704</v>
      </c>
      <c r="D170" s="2655">
        <v>11616686</v>
      </c>
      <c r="E170" s="2655">
        <v>13980151.754845018</v>
      </c>
      <c r="F170" s="2655">
        <v>16546945.706671475</v>
      </c>
      <c r="G170" s="2647">
        <v>47002412.107340008</v>
      </c>
      <c r="L170" s="179"/>
    </row>
    <row r="171" spans="1:12" s="54" customFormat="1" ht="13.15">
      <c r="A171" s="65">
        <v>2</v>
      </c>
      <c r="B171" s="65" t="s">
        <v>698</v>
      </c>
      <c r="C171" s="2655">
        <f>SUM(C172:C173)</f>
        <v>9287349</v>
      </c>
      <c r="D171" s="2655">
        <f>SUM(D172:D173)</f>
        <v>10785049</v>
      </c>
      <c r="E171" s="2655">
        <f>SUM(E172:E173)</f>
        <v>12890911.933639999</v>
      </c>
      <c r="F171" s="2655">
        <f>SUM(F172:F173)</f>
        <v>14535963.245829999</v>
      </c>
      <c r="G171" s="2655">
        <f>SUM(G172:G173)</f>
        <v>31605025.425466213</v>
      </c>
      <c r="L171" s="179"/>
    </row>
    <row r="172" spans="1:12" s="54" customFormat="1" ht="13.15">
      <c r="A172" s="65"/>
      <c r="B172" s="65" t="s">
        <v>699</v>
      </c>
      <c r="C172" s="2655">
        <v>8403054</v>
      </c>
      <c r="D172" s="2655">
        <v>9668223</v>
      </c>
      <c r="E172" s="2655">
        <v>11608947</v>
      </c>
      <c r="F172" s="2655">
        <v>13572802</v>
      </c>
      <c r="G172" s="2647">
        <v>29854100.473306213</v>
      </c>
      <c r="L172" s="179"/>
    </row>
    <row r="173" spans="1:12" s="54" customFormat="1" ht="13.15">
      <c r="A173" s="64"/>
      <c r="B173" s="64" t="s">
        <v>700</v>
      </c>
      <c r="C173" s="2655">
        <v>884295</v>
      </c>
      <c r="D173" s="2655">
        <v>1116826</v>
      </c>
      <c r="E173" s="2655">
        <v>1281964.9336400002</v>
      </c>
      <c r="F173" s="2655">
        <v>963161.2458299998</v>
      </c>
      <c r="G173" s="2647">
        <v>1750924.9521599996</v>
      </c>
      <c r="L173" s="179"/>
    </row>
    <row r="174" spans="1:12" s="54" customFormat="1" ht="13.15">
      <c r="A174" s="65">
        <v>3</v>
      </c>
      <c r="B174" s="65" t="s">
        <v>701</v>
      </c>
      <c r="C174" s="2655">
        <f>C170-C171</f>
        <v>862355</v>
      </c>
      <c r="D174" s="2655">
        <f>D170-D171</f>
        <v>831637</v>
      </c>
      <c r="E174" s="2655">
        <f>E170-E171</f>
        <v>1089239.8212050181</v>
      </c>
      <c r="F174" s="2655">
        <f>F170-F171</f>
        <v>2010982.4608414751</v>
      </c>
      <c r="G174" s="2655">
        <f>G170-G171</f>
        <v>15397386.681873795</v>
      </c>
      <c r="L174" s="179"/>
    </row>
    <row r="175" spans="1:12" s="54" customFormat="1" ht="13.15">
      <c r="A175" s="65">
        <v>4</v>
      </c>
      <c r="B175" s="65" t="s">
        <v>689</v>
      </c>
      <c r="C175" s="2656">
        <v>0.05</v>
      </c>
      <c r="D175" s="2656">
        <v>0.05</v>
      </c>
      <c r="E175" s="2656">
        <v>0.05</v>
      </c>
      <c r="F175" s="2656">
        <v>0.05</v>
      </c>
      <c r="G175" s="2649">
        <v>0.05</v>
      </c>
    </row>
    <row r="176" spans="1:12" s="54" customFormat="1" ht="13.15">
      <c r="A176" s="65">
        <v>5</v>
      </c>
      <c r="B176" s="65" t="s">
        <v>690</v>
      </c>
      <c r="C176" s="2669">
        <f>C172*C175</f>
        <v>420152.7</v>
      </c>
      <c r="D176" s="2669">
        <f>D172*D175</f>
        <v>483411.15</v>
      </c>
      <c r="E176" s="2669">
        <f>E172*E175</f>
        <v>580447.35</v>
      </c>
      <c r="F176" s="2669">
        <f>F172*F175</f>
        <v>678640.10000000009</v>
      </c>
      <c r="G176" s="2669">
        <f>G172*G175</f>
        <v>1492705.0236653108</v>
      </c>
      <c r="L176" s="179"/>
    </row>
    <row r="177" spans="1:12" s="54" customFormat="1" ht="13.15">
      <c r="A177" s="60">
        <v>6</v>
      </c>
      <c r="B177" s="60" t="s">
        <v>691</v>
      </c>
      <c r="C177" s="2658">
        <f>C174/C176</f>
        <v>2.0524799674023275</v>
      </c>
      <c r="D177" s="2658">
        <f>D174/D176</f>
        <v>1.7203512993028811</v>
      </c>
      <c r="E177" s="2658">
        <f>E174/E176</f>
        <v>1.8765523198702141</v>
      </c>
      <c r="F177" s="2658">
        <f>F174/F176</f>
        <v>2.9632532189616776</v>
      </c>
      <c r="G177" s="2658">
        <f>G174/G176</f>
        <v>10.315090012938915</v>
      </c>
      <c r="L177" s="183"/>
    </row>
    <row r="178" spans="1:12" s="54" customFormat="1" ht="13.15">
      <c r="C178" s="183"/>
      <c r="D178" s="183"/>
      <c r="E178" s="183"/>
      <c r="F178" s="183"/>
      <c r="L178" s="183"/>
    </row>
    <row r="180" spans="1:12" s="54" customFormat="1" ht="26.45">
      <c r="A180" s="2532">
        <v>16</v>
      </c>
      <c r="B180" s="2638" t="s">
        <v>702</v>
      </c>
      <c r="C180" s="2643" t="s">
        <v>692</v>
      </c>
      <c r="D180" s="2643" t="s">
        <v>693</v>
      </c>
      <c r="E180" s="2643" t="s">
        <v>694</v>
      </c>
      <c r="F180" s="2643" t="s">
        <v>695</v>
      </c>
      <c r="G180" s="2643" t="s">
        <v>696</v>
      </c>
      <c r="L180" s="116"/>
    </row>
    <row r="181" spans="1:12" s="54" customFormat="1" ht="13.15">
      <c r="A181" s="63">
        <v>1</v>
      </c>
      <c r="B181" s="63" t="s">
        <v>697</v>
      </c>
      <c r="C181" s="2660">
        <v>1051044.56913</v>
      </c>
      <c r="D181" s="2660">
        <v>1109371.14943</v>
      </c>
      <c r="E181" s="2660">
        <v>784579.95</v>
      </c>
      <c r="F181" s="2660">
        <v>863126.18733999995</v>
      </c>
      <c r="G181" s="2647">
        <v>47002412.107340008</v>
      </c>
      <c r="L181" s="179"/>
    </row>
    <row r="182" spans="1:12" s="54" customFormat="1" ht="13.15">
      <c r="A182" s="65">
        <v>2</v>
      </c>
      <c r="B182" s="65" t="s">
        <v>698</v>
      </c>
      <c r="C182" s="2660">
        <f>SUM(C183:C184)</f>
        <v>1009135.11913</v>
      </c>
      <c r="D182" s="2660">
        <f>SUM(D183:D184)</f>
        <v>1072832.2494300001</v>
      </c>
      <c r="E182" s="2660">
        <f>SUM(E183:E184)</f>
        <v>754604.71485999995</v>
      </c>
      <c r="F182" s="2660">
        <f>SUM(F183:F184)</f>
        <v>836446.03734000004</v>
      </c>
      <c r="G182" s="2660">
        <f>SUM(G183:G184)</f>
        <v>31605025.425466213</v>
      </c>
      <c r="L182" s="179"/>
    </row>
    <row r="183" spans="1:12" s="54" customFormat="1" ht="13.15">
      <c r="A183" s="65"/>
      <c r="B183" s="65" t="s">
        <v>699</v>
      </c>
      <c r="C183" s="2660">
        <v>838189</v>
      </c>
      <c r="D183" s="2660">
        <v>730778</v>
      </c>
      <c r="E183" s="2660">
        <v>599499</v>
      </c>
      <c r="F183" s="2660">
        <v>533603</v>
      </c>
      <c r="G183" s="2647">
        <v>29854100.473306213</v>
      </c>
      <c r="L183" s="179"/>
    </row>
    <row r="184" spans="1:12" s="54" customFormat="1" ht="13.15">
      <c r="A184" s="64"/>
      <c r="B184" s="64" t="s">
        <v>700</v>
      </c>
      <c r="C184" s="2660">
        <v>170946.11913000001</v>
      </c>
      <c r="D184" s="2660">
        <v>342054.24943000003</v>
      </c>
      <c r="E184" s="2660">
        <v>155105.71486000001</v>
      </c>
      <c r="F184" s="2660">
        <v>302843.03733999998</v>
      </c>
      <c r="G184" s="2647">
        <v>1750924.9521599996</v>
      </c>
      <c r="L184" s="179"/>
    </row>
    <row r="185" spans="1:12" s="54" customFormat="1" ht="13.15">
      <c r="A185" s="65">
        <v>3</v>
      </c>
      <c r="B185" s="65" t="s">
        <v>701</v>
      </c>
      <c r="C185" s="2660">
        <f>C181-C182</f>
        <v>41909.449999999953</v>
      </c>
      <c r="D185" s="2660">
        <f>D181-D182</f>
        <v>36538.899999999907</v>
      </c>
      <c r="E185" s="2660">
        <f>E181-E182</f>
        <v>29975.235140000004</v>
      </c>
      <c r="F185" s="2660">
        <f>F181-F182</f>
        <v>26680.149999999907</v>
      </c>
      <c r="G185" s="2660">
        <f>G181-G182</f>
        <v>15397386.681873795</v>
      </c>
      <c r="L185" s="179"/>
    </row>
    <row r="186" spans="1:12" s="54" customFormat="1" ht="13.15">
      <c r="A186" s="65">
        <v>4</v>
      </c>
      <c r="B186" s="65" t="s">
        <v>689</v>
      </c>
      <c r="C186" s="2661">
        <v>0.05</v>
      </c>
      <c r="D186" s="2661">
        <v>0.05</v>
      </c>
      <c r="E186" s="2661">
        <v>0.05</v>
      </c>
      <c r="F186" s="2661">
        <v>0.05</v>
      </c>
      <c r="G186" s="2649">
        <v>0.05</v>
      </c>
    </row>
    <row r="187" spans="1:12" s="54" customFormat="1" ht="13.15">
      <c r="A187" s="65">
        <v>5</v>
      </c>
      <c r="B187" s="65" t="s">
        <v>690</v>
      </c>
      <c r="C187" s="2664">
        <f>C183*C186</f>
        <v>41909.450000000004</v>
      </c>
      <c r="D187" s="2664">
        <f>D183*D186</f>
        <v>36538.9</v>
      </c>
      <c r="E187" s="2664">
        <f>E183*E186</f>
        <v>29974.95</v>
      </c>
      <c r="F187" s="2664">
        <f>F183*F186</f>
        <v>26680.15</v>
      </c>
      <c r="G187" s="2664">
        <f>G183*G186</f>
        <v>1492705.0236653108</v>
      </c>
      <c r="L187" s="179"/>
    </row>
    <row r="188" spans="1:12" s="54" customFormat="1" ht="13.15">
      <c r="A188" s="60">
        <v>6</v>
      </c>
      <c r="B188" s="60" t="s">
        <v>691</v>
      </c>
      <c r="C188" s="2663">
        <f>C185/C187</f>
        <v>0.99999999999999878</v>
      </c>
      <c r="D188" s="2663">
        <f>D185/D187</f>
        <v>0.99999999999999745</v>
      </c>
      <c r="E188" s="2663">
        <f>E185/E187</f>
        <v>1.0000095126096959</v>
      </c>
      <c r="F188" s="2663">
        <f>F185/F187</f>
        <v>0.99999999999999645</v>
      </c>
      <c r="G188" s="2663">
        <f>G185/G187</f>
        <v>10.315090012938915</v>
      </c>
      <c r="L188" s="183"/>
    </row>
  </sheetData>
  <customSheetViews>
    <customSheetView guid="{2ACFE167-4169-43A6-9AB2-59D5A2DA2DB4}" showPageBreaks="1" hiddenRows="1" state="hidden">
      <selection activeCell="H83" sqref="H83"/>
      <rowBreaks count="2" manualBreakCount="2">
        <brk id="67" max="16383" man="1"/>
        <brk id="133" max="16383" man="1"/>
      </rowBreaks>
      <pageMargins left="0" right="0" top="0" bottom="0" header="0" footer="0"/>
      <pageSetup scale="72" orientation="portrait" r:id="rId1"/>
    </customSheetView>
    <customSheetView guid="{967E0446-E234-427F-8E57-7FE287052E2E}" showPageBreaks="1" hiddenRows="1" state="hidden">
      <selection activeCell="H83" sqref="H83"/>
      <rowBreaks count="2" manualBreakCount="2">
        <brk id="67" max="16383" man="1"/>
        <brk id="133" max="16383" man="1"/>
      </rowBreaks>
      <pageMargins left="0" right="0" top="0" bottom="0" header="0" footer="0"/>
      <pageSetup scale="72" orientation="portrait" r:id="rId2"/>
    </customSheetView>
    <customSheetView guid="{B2E1A0C6-5BA1-4CF1-B412-16D81FCDF11F}" showPageBreaks="1" hiddenRows="1" state="hidden">
      <selection activeCell="H83" sqref="H83"/>
      <rowBreaks count="2" manualBreakCount="2">
        <brk id="67" max="16383" man="1"/>
        <brk id="133" max="16383" man="1"/>
      </rowBreaks>
      <pageMargins left="0" right="0" top="0" bottom="0" header="0" footer="0"/>
      <pageSetup scale="72" orientation="portrait" r:id="rId3"/>
    </customSheetView>
    <customSheetView guid="{46F31544-8E6F-41C5-8628-1D6EE074AF15}" hiddenRows="1" state="hidden">
      <selection activeCell="H83" sqref="H83"/>
      <rowBreaks count="2" manualBreakCount="2">
        <brk id="67" max="16383" man="1"/>
        <brk id="133" max="16383" man="1"/>
      </rowBreaks>
      <pageMargins left="0" right="0" top="0" bottom="0" header="0" footer="0"/>
      <pageSetup scale="72" orientation="portrait" r:id="rId4"/>
    </customSheetView>
    <customSheetView guid="{E82B35BE-4719-4C53-A9EF-1CC6F153A6F3}" showPageBreaks="1" hiddenRows="1" topLeftCell="A22">
      <selection activeCell="C32" sqref="C32:D32"/>
      <rowBreaks count="2" manualBreakCount="2">
        <brk id="67" max="16383" man="1"/>
        <brk id="133" max="16383" man="1"/>
      </rowBreaks>
      <pageMargins left="0" right="0" top="0" bottom="0" header="0" footer="0"/>
      <pageSetup scale="72" orientation="portrait" r:id="rId5"/>
    </customSheetView>
    <customSheetView guid="{B1E1B596-A9A1-411D-A882-A48CB025B978}" showPageBreaks="1" hiddenRows="1" state="hidden">
      <selection activeCell="H83" sqref="H83"/>
      <rowBreaks count="2" manualBreakCount="2">
        <brk id="67" max="16383" man="1"/>
        <brk id="133" max="16383" man="1"/>
      </rowBreaks>
      <pageMargins left="0" right="0" top="0" bottom="0" header="0" footer="0"/>
      <pageSetup scale="72" orientation="portrait" r:id="rId6"/>
    </customSheetView>
    <customSheetView guid="{5E394B0B-7867-4722-9497-A93AB2A9A773}" showPageBreaks="1" hiddenRows="1" state="hidden">
      <selection activeCell="H83" sqref="H83"/>
      <rowBreaks count="2" manualBreakCount="2">
        <brk id="67" max="16383" man="1"/>
        <brk id="133" max="16383" man="1"/>
      </rowBreaks>
      <pageMargins left="0" right="0" top="0" bottom="0" header="0" footer="0"/>
      <pageSetup scale="72" orientation="portrait" r:id="rId7"/>
    </customSheetView>
  </customSheetViews>
  <pageMargins left="0.7" right="0.7" top="0.75" bottom="0.75" header="0.3" footer="0.3"/>
  <pageSetup scale="72" orientation="portrait" r:id="rId8"/>
  <rowBreaks count="2" manualBreakCount="2">
    <brk id="67" max="16383" man="1"/>
    <brk id="133" max="16383" man="1"/>
  </row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rgb="FF00B050"/>
  </sheetPr>
  <dimension ref="A1:AN112"/>
  <sheetViews>
    <sheetView zoomScaleNormal="100" workbookViewId="0">
      <pane xSplit="5" ySplit="7" topLeftCell="F21" activePane="bottomRight" state="frozen"/>
      <selection pane="bottomRight" activeCell="M35" sqref="M35"/>
      <selection pane="bottomLeft" activeCell="A8" sqref="A8"/>
      <selection pane="topRight" activeCell="F1" sqref="F1"/>
    </sheetView>
  </sheetViews>
  <sheetFormatPr defaultColWidth="9.140625" defaultRowHeight="14.45"/>
  <cols>
    <col min="1" max="1" width="4" customWidth="1"/>
    <col min="2" max="2" width="10.140625" customWidth="1"/>
    <col min="3" max="3" width="14.85546875" hidden="1" customWidth="1"/>
    <col min="4" max="4" width="11.28515625" hidden="1" customWidth="1"/>
    <col min="5" max="5" width="12.7109375" hidden="1" customWidth="1"/>
    <col min="6" max="6" width="12.7109375" customWidth="1"/>
    <col min="7" max="7" width="11.140625" hidden="1" customWidth="1"/>
    <col min="8" max="8" width="11.28515625" hidden="1" customWidth="1"/>
    <col min="9" max="9" width="11.42578125" customWidth="1"/>
    <col min="10" max="10" width="11.28515625" bestFit="1" customWidth="1"/>
    <col min="11" max="11" width="13" customWidth="1"/>
    <col min="12" max="12" width="11.42578125" customWidth="1"/>
    <col min="13" max="13" width="13" customWidth="1"/>
    <col min="14" max="14" width="8.140625" customWidth="1"/>
    <col min="15" max="15" width="11.5703125" customWidth="1"/>
    <col min="16" max="16" width="10.42578125" customWidth="1"/>
    <col min="17" max="17" width="11.42578125" customWidth="1"/>
    <col min="18" max="18" width="10.42578125" customWidth="1"/>
    <col min="19" max="19" width="11.5703125" bestFit="1" customWidth="1"/>
    <col min="20" max="21" width="13.5703125" customWidth="1"/>
    <col min="22" max="22" width="14" customWidth="1"/>
    <col min="23" max="23" width="15.5703125" customWidth="1"/>
    <col min="24" max="24" width="12.140625" customWidth="1"/>
    <col min="25" max="25" width="12.28515625" customWidth="1"/>
    <col min="26" max="28" width="13" customWidth="1"/>
    <col min="31" max="31" width="9.140625" hidden="1" customWidth="1"/>
    <col min="34" max="34" width="13.85546875" customWidth="1"/>
  </cols>
  <sheetData>
    <row r="1" spans="1:40">
      <c r="B1" s="150" t="s">
        <v>615</v>
      </c>
    </row>
    <row r="2" spans="1:40">
      <c r="B2" s="245" t="s">
        <v>703</v>
      </c>
      <c r="C2" s="29"/>
      <c r="D2" s="29"/>
      <c r="E2" s="29"/>
      <c r="F2" s="29"/>
      <c r="G2" s="29"/>
      <c r="H2" s="29"/>
      <c r="I2" s="36"/>
      <c r="J2" s="36"/>
      <c r="K2" s="36"/>
      <c r="L2" s="28"/>
      <c r="M2" s="28"/>
      <c r="N2" s="28"/>
      <c r="O2" s="28"/>
      <c r="P2" s="28"/>
      <c r="Q2" s="28"/>
      <c r="R2" s="28"/>
    </row>
    <row r="3" spans="1:40">
      <c r="D3" s="29"/>
      <c r="E3" s="29"/>
      <c r="F3" s="29"/>
      <c r="G3" s="29"/>
      <c r="H3" s="29"/>
      <c r="I3" s="36"/>
      <c r="J3" s="36"/>
      <c r="K3" s="36"/>
      <c r="L3" s="28"/>
      <c r="M3" s="28"/>
      <c r="N3" s="28"/>
      <c r="O3" s="28"/>
      <c r="P3" s="28"/>
      <c r="Q3" s="28"/>
      <c r="R3" s="28"/>
    </row>
    <row r="4" spans="1:40">
      <c r="B4" s="29" t="s">
        <v>153</v>
      </c>
      <c r="C4" s="29"/>
      <c r="D4" s="6"/>
      <c r="E4" s="6"/>
      <c r="F4" s="29" t="s">
        <v>153</v>
      </c>
      <c r="G4" s="6"/>
      <c r="H4" s="6"/>
      <c r="I4" s="28"/>
      <c r="J4" s="28"/>
      <c r="K4" s="28"/>
      <c r="L4" s="28"/>
      <c r="M4" s="28"/>
      <c r="N4" s="28"/>
      <c r="O4" s="28"/>
      <c r="P4" s="28"/>
      <c r="Q4" s="28"/>
      <c r="R4" s="28"/>
    </row>
    <row r="5" spans="1:40">
      <c r="B5" s="3263" t="s">
        <v>84</v>
      </c>
      <c r="C5" s="3097">
        <v>2006</v>
      </c>
      <c r="D5" s="3563">
        <v>2007</v>
      </c>
      <c r="E5" s="3564"/>
      <c r="F5" s="3263" t="s">
        <v>84</v>
      </c>
      <c r="G5" s="3565">
        <v>2008</v>
      </c>
      <c r="H5" s="3566"/>
      <c r="I5" s="3565">
        <v>2009</v>
      </c>
      <c r="J5" s="3566"/>
      <c r="K5" s="3567">
        <v>2010</v>
      </c>
      <c r="L5" s="3567"/>
      <c r="M5" s="3568">
        <v>2011</v>
      </c>
      <c r="N5" s="3568"/>
      <c r="O5" s="3568" t="s">
        <v>210</v>
      </c>
      <c r="P5" s="3568"/>
      <c r="Q5" s="3568" t="s">
        <v>211</v>
      </c>
      <c r="R5" s="3568"/>
      <c r="T5" s="29" t="s">
        <v>704</v>
      </c>
      <c r="U5" s="29" t="s">
        <v>704</v>
      </c>
      <c r="V5" s="31"/>
      <c r="W5" s="31"/>
      <c r="X5" s="31"/>
      <c r="Y5" s="31"/>
      <c r="Z5" s="32"/>
      <c r="AA5" s="32"/>
      <c r="AB5" s="32"/>
      <c r="AD5" s="364" t="s">
        <v>704</v>
      </c>
      <c r="AE5" s="365"/>
      <c r="AF5" s="364" t="s">
        <v>704</v>
      </c>
      <c r="AG5" s="365"/>
      <c r="AH5" s="365"/>
      <c r="AI5" s="365"/>
      <c r="AJ5" s="365"/>
      <c r="AK5" s="366"/>
      <c r="AL5" s="366"/>
    </row>
    <row r="6" spans="1:40" ht="25.5" customHeight="1">
      <c r="B6" s="3264"/>
      <c r="C6" s="169"/>
      <c r="D6" s="3091" t="s">
        <v>140</v>
      </c>
      <c r="E6" s="3158" t="s">
        <v>141</v>
      </c>
      <c r="F6" s="3264"/>
      <c r="G6" s="3091" t="s">
        <v>140</v>
      </c>
      <c r="H6" s="3158" t="s">
        <v>141</v>
      </c>
      <c r="I6" s="3091" t="s">
        <v>140</v>
      </c>
      <c r="J6" s="3158" t="s">
        <v>141</v>
      </c>
      <c r="K6" s="3091" t="s">
        <v>140</v>
      </c>
      <c r="L6" s="3158" t="s">
        <v>141</v>
      </c>
      <c r="M6" s="3091" t="s">
        <v>140</v>
      </c>
      <c r="N6" s="3158" t="s">
        <v>141</v>
      </c>
      <c r="O6" s="3091" t="s">
        <v>140</v>
      </c>
      <c r="P6" s="3158" t="s">
        <v>141</v>
      </c>
      <c r="Q6" s="3091" t="s">
        <v>140</v>
      </c>
      <c r="R6" s="3158" t="s">
        <v>141</v>
      </c>
      <c r="T6" s="3263" t="s">
        <v>84</v>
      </c>
      <c r="U6" s="3263" t="s">
        <v>84</v>
      </c>
      <c r="V6" s="2670">
        <v>2007</v>
      </c>
      <c r="W6" s="2670">
        <v>2008</v>
      </c>
      <c r="X6" s="2670">
        <v>2009</v>
      </c>
      <c r="Y6" s="2670">
        <v>2010</v>
      </c>
      <c r="Z6" s="2670">
        <v>2011</v>
      </c>
      <c r="AA6" s="176" t="s">
        <v>210</v>
      </c>
      <c r="AB6" s="176" t="s">
        <v>211</v>
      </c>
      <c r="AD6" s="3159" t="s">
        <v>84</v>
      </c>
      <c r="AE6" s="2671">
        <v>2007</v>
      </c>
      <c r="AF6" s="3159" t="s">
        <v>84</v>
      </c>
      <c r="AG6" s="2671">
        <v>2008</v>
      </c>
      <c r="AH6" s="2671" t="s">
        <v>620</v>
      </c>
      <c r="AI6" s="2671">
        <v>2009</v>
      </c>
      <c r="AJ6" s="2671">
        <v>2010</v>
      </c>
      <c r="AK6" s="2671">
        <v>2011</v>
      </c>
      <c r="AL6" s="2671" t="s">
        <v>210</v>
      </c>
      <c r="AM6" s="2671" t="s">
        <v>211</v>
      </c>
    </row>
    <row r="7" spans="1:40">
      <c r="B7" s="3265"/>
      <c r="C7" s="170"/>
      <c r="D7" s="171" t="s">
        <v>142</v>
      </c>
      <c r="E7" s="171" t="s">
        <v>159</v>
      </c>
      <c r="F7" s="3265"/>
      <c r="G7" s="171" t="s">
        <v>142</v>
      </c>
      <c r="H7" s="349" t="s">
        <v>143</v>
      </c>
      <c r="I7" s="171" t="s">
        <v>142</v>
      </c>
      <c r="J7" s="349" t="s">
        <v>143</v>
      </c>
      <c r="K7" s="171" t="s">
        <v>142</v>
      </c>
      <c r="L7" s="349" t="s">
        <v>143</v>
      </c>
      <c r="M7" s="171" t="s">
        <v>142</v>
      </c>
      <c r="N7" s="349" t="s">
        <v>143</v>
      </c>
      <c r="O7" s="171" t="s">
        <v>142</v>
      </c>
      <c r="P7" s="349" t="s">
        <v>143</v>
      </c>
      <c r="Q7" s="171" t="s">
        <v>142</v>
      </c>
      <c r="R7" s="349" t="s">
        <v>143</v>
      </c>
      <c r="T7" s="3264"/>
      <c r="U7" s="3264"/>
      <c r="V7" s="3160" t="s">
        <v>140</v>
      </c>
      <c r="W7" s="3160" t="s">
        <v>140</v>
      </c>
      <c r="X7" s="3160" t="s">
        <v>140</v>
      </c>
      <c r="Y7" s="3160" t="s">
        <v>140</v>
      </c>
      <c r="Z7" s="3160" t="s">
        <v>140</v>
      </c>
      <c r="AA7" s="3160" t="s">
        <v>140</v>
      </c>
      <c r="AB7" s="367"/>
      <c r="AD7" s="165"/>
      <c r="AE7" s="3159" t="s">
        <v>140</v>
      </c>
      <c r="AF7" s="165"/>
      <c r="AG7" s="3159" t="s">
        <v>140</v>
      </c>
      <c r="AH7" s="3159"/>
      <c r="AI7" s="3159" t="s">
        <v>140</v>
      </c>
      <c r="AJ7" s="3159" t="s">
        <v>140</v>
      </c>
      <c r="AK7" s="3159" t="s">
        <v>140</v>
      </c>
      <c r="AL7" s="3159" t="s">
        <v>140</v>
      </c>
      <c r="AM7" s="3159" t="s">
        <v>140</v>
      </c>
    </row>
    <row r="8" spans="1:40">
      <c r="A8" s="43">
        <v>1</v>
      </c>
      <c r="B8" s="1772" t="s">
        <v>181</v>
      </c>
      <c r="C8" s="1772"/>
      <c r="D8" s="2672">
        <v>1867142</v>
      </c>
      <c r="E8" s="2673">
        <f t="shared" ref="E8:E23" si="0">(D8/D$26)*100</f>
        <v>5.9874945477856221</v>
      </c>
      <c r="F8" s="2673" t="s">
        <v>125</v>
      </c>
      <c r="G8" s="2672">
        <v>2045252</v>
      </c>
      <c r="H8" s="2673">
        <f t="shared" ref="H8:H25" si="1">(G8/G$26)*100</f>
        <v>5.918271870962748</v>
      </c>
      <c r="I8" s="2672">
        <v>2503628</v>
      </c>
      <c r="J8" s="2674">
        <f t="shared" ref="J8:J25" si="2">(I8/I$26)*100</f>
        <v>7.4627641101339863</v>
      </c>
      <c r="K8" s="2675">
        <v>2490843.2409499995</v>
      </c>
      <c r="L8" s="2673">
        <f t="shared" ref="L8:L21" si="3">(K8/K$26)*100</f>
        <v>7.0961269404468492</v>
      </c>
      <c r="M8" s="2676">
        <v>2456347.4955899999</v>
      </c>
      <c r="N8" s="2673">
        <f t="shared" ref="N8:N25" si="4">(M8/M$26)*100</f>
        <v>5.6690841935657721</v>
      </c>
      <c r="O8" s="2676">
        <f>+'[5]P &amp; L - GI - 2012 '!H140+'[5]P &amp; L - GI - 2012 '!H141+'[5]P &amp; L - GI - 2012 '!H142</f>
        <v>2143252.6117200004</v>
      </c>
      <c r="P8" s="2673">
        <f>(O8/O$26)*100</f>
        <v>4.3128612289369412</v>
      </c>
      <c r="Q8" s="2676">
        <f>+'[5]P &amp; L - GI - 2013'!H140+'[5]P &amp; L - GI - 2013'!H141+'[5]P &amp; L - GI - 2013'!H142</f>
        <v>2428675.0567999999</v>
      </c>
      <c r="R8" s="2673">
        <f>+Q8/$Q$26*100</f>
        <v>4.5671232565006044</v>
      </c>
      <c r="T8" s="3265"/>
      <c r="U8" s="3265"/>
      <c r="V8" s="35" t="s">
        <v>142</v>
      </c>
      <c r="W8" s="35" t="s">
        <v>142</v>
      </c>
      <c r="X8" s="35" t="s">
        <v>142</v>
      </c>
      <c r="Y8" s="35" t="s">
        <v>142</v>
      </c>
      <c r="Z8" s="35" t="s">
        <v>142</v>
      </c>
      <c r="AA8" s="35" t="s">
        <v>142</v>
      </c>
      <c r="AB8" s="367"/>
      <c r="AD8" s="68"/>
      <c r="AE8" s="68"/>
      <c r="AF8" s="68"/>
      <c r="AG8" s="68"/>
      <c r="AH8" s="68"/>
      <c r="AI8" s="68"/>
      <c r="AJ8" s="68"/>
      <c r="AK8" s="68"/>
      <c r="AL8" s="68"/>
    </row>
    <row r="9" spans="1:40">
      <c r="A9" s="43">
        <v>2</v>
      </c>
      <c r="B9" s="1772" t="s">
        <v>183</v>
      </c>
      <c r="C9" s="1772"/>
      <c r="D9" s="2672">
        <v>706293</v>
      </c>
      <c r="E9" s="2673">
        <f t="shared" si="0"/>
        <v>2.2649190509554979</v>
      </c>
      <c r="F9" s="2673" t="s">
        <v>127</v>
      </c>
      <c r="G9" s="2672">
        <v>932730</v>
      </c>
      <c r="H9" s="2673">
        <f t="shared" si="1"/>
        <v>2.6990071258715718</v>
      </c>
      <c r="I9" s="2672">
        <v>879285</v>
      </c>
      <c r="J9" s="2674">
        <f t="shared" si="2"/>
        <v>2.620955086210556</v>
      </c>
      <c r="K9" s="2675">
        <v>890387</v>
      </c>
      <c r="L9" s="2673">
        <f t="shared" si="3"/>
        <v>2.5366105237975032</v>
      </c>
      <c r="M9" s="2676">
        <v>942900.64272999996</v>
      </c>
      <c r="N9" s="2673">
        <f t="shared" si="4"/>
        <v>2.1761510288753838</v>
      </c>
      <c r="O9" s="2676">
        <f>+'[5]P &amp; L - GI - 2012 '!H206+'[5]P &amp; L - GI - 2012 '!H207+'[5]P &amp; L - GI - 2012 '!H208</f>
        <v>819447.65761999995</v>
      </c>
      <c r="P9" s="2673">
        <f t="shared" ref="P9:P25" si="5">(O9/O$26)*100</f>
        <v>1.6489722267765059</v>
      </c>
      <c r="Q9" s="2676">
        <f>+'[5]P &amp; L - GI - 2013'!H206+'[5]P &amp; L - GI - 2013'!H207+'[5]P &amp; L - GI - 2013'!H208</f>
        <v>880059.67078814725</v>
      </c>
      <c r="R9" s="2673">
        <f t="shared" ref="R9:R25" si="6">+Q9/$Q$26*100</f>
        <v>1.6549521428612441</v>
      </c>
      <c r="T9" t="s">
        <v>195</v>
      </c>
      <c r="U9" s="9" t="s">
        <v>115</v>
      </c>
      <c r="V9" s="14">
        <f>VLOOKUP(T9,$B$8:$D$25,3,0)</f>
        <v>8845416.7142199986</v>
      </c>
      <c r="W9" s="14">
        <f>VLOOKUP(U9,$F$8:$G$25,2,0)</f>
        <v>9140845.4283200018</v>
      </c>
      <c r="X9" s="14">
        <f>VLOOKUP(U9,$F$8:$I$25,4,0)</f>
        <v>8764538.8244118989</v>
      </c>
      <c r="Y9" s="14">
        <f t="shared" ref="Y9:Y14" si="7">VLOOKUP(U9,$F$8:$K$25,6,0)</f>
        <v>8766026.9246178009</v>
      </c>
      <c r="Z9" s="14">
        <f t="shared" ref="Z9:Z14" si="8">VLOOKUP(U9,$F$8:$M$25,8,0)</f>
        <v>11134582.762270002</v>
      </c>
      <c r="AA9" s="14">
        <f t="shared" ref="AA9:AA14" si="9">VLOOKUP(U9,$F$8:$O$25,10,0)</f>
        <v>12359187.410689998</v>
      </c>
      <c r="AB9" s="14">
        <f t="shared" ref="AB9:AB14" si="10">VLOOKUP(U9,$F$8:$Q$25,12,0)</f>
        <v>12785670.661330007</v>
      </c>
      <c r="AD9" s="68" t="s">
        <v>195</v>
      </c>
      <c r="AE9" s="368">
        <f>+V9/$D$26*100</f>
        <v>28.365215044856818</v>
      </c>
      <c r="AF9" s="368" t="s">
        <v>115</v>
      </c>
      <c r="AG9" s="368">
        <f>+W9/$G$26*100</f>
        <v>26.450534396370077</v>
      </c>
      <c r="AH9" s="368">
        <f>VLOOKUP(AF9,$F$92:$O$109,8,0)</f>
        <v>12785670.661330007</v>
      </c>
      <c r="AI9" s="368">
        <f>+X9/$I$26*100</f>
        <v>26.125161477942022</v>
      </c>
      <c r="AJ9" s="368">
        <f>+Y9/$K$26*100</f>
        <v>24.973406113159534</v>
      </c>
      <c r="AK9" s="369">
        <f>+Z9/$M$26*100</f>
        <v>25.697865327630709</v>
      </c>
      <c r="AL9" s="369">
        <f>+AA9/$O$26*100</f>
        <v>24.870358217808686</v>
      </c>
      <c r="AM9" s="345">
        <f>+AB9/$Q$26*100</f>
        <v>24.043452689902782</v>
      </c>
    </row>
    <row r="10" spans="1:40">
      <c r="A10" s="43">
        <v>3</v>
      </c>
      <c r="B10" s="1772" t="s">
        <v>179</v>
      </c>
      <c r="C10" s="1772"/>
      <c r="D10" s="2672">
        <v>414017</v>
      </c>
      <c r="E10" s="2673">
        <f t="shared" si="0"/>
        <v>1.327657205606515</v>
      </c>
      <c r="F10" s="2673" t="s">
        <v>91</v>
      </c>
      <c r="G10" s="2672">
        <v>601103</v>
      </c>
      <c r="H10" s="2673">
        <f t="shared" si="1"/>
        <v>1.7393900489774956</v>
      </c>
      <c r="I10" s="2672">
        <v>1174822</v>
      </c>
      <c r="J10" s="2674">
        <f t="shared" si="2"/>
        <v>3.5018858462183</v>
      </c>
      <c r="K10" s="2675">
        <v>1356660</v>
      </c>
      <c r="L10" s="2673">
        <f t="shared" si="3"/>
        <v>3.8649688654653769</v>
      </c>
      <c r="M10" s="2676">
        <v>1379406</v>
      </c>
      <c r="N10" s="2673">
        <f t="shared" si="4"/>
        <v>3.1835759252912537</v>
      </c>
      <c r="O10" s="2676">
        <f>+'[5]P &amp; L - GI - 2012 '!H74+'[5]P &amp; L - GI - 2012 '!H75+'[5]P &amp; L - GI - 2012 '!H76</f>
        <v>1397127.38</v>
      </c>
      <c r="P10" s="2673">
        <f t="shared" si="5"/>
        <v>2.8114355144784255</v>
      </c>
      <c r="Q10" s="2676">
        <f>+'[5]P &amp; L - GI - 2013'!H74+'[5]P &amp; L - GI - 2013'!H75+'[5]P &amp; L - GI - 2013'!H76</f>
        <v>1964907.3</v>
      </c>
      <c r="R10" s="2673">
        <f t="shared" si="6"/>
        <v>3.6950080257018154</v>
      </c>
      <c r="T10" t="s">
        <v>185</v>
      </c>
      <c r="U10" s="9" t="s">
        <v>129</v>
      </c>
      <c r="V10" s="14">
        <f>VLOOKUP(T10,$B$8:$D$25,3,0)</f>
        <v>10350684</v>
      </c>
      <c r="W10" s="14">
        <f>VLOOKUP(U10,$F$8:$G$25,2,0)</f>
        <v>11287233</v>
      </c>
      <c r="X10" s="14">
        <f>VLOOKUP(U10,$F$8:$I$25,4,0)</f>
        <v>9081297</v>
      </c>
      <c r="Y10" s="14">
        <f t="shared" si="7"/>
        <v>8724292</v>
      </c>
      <c r="Z10" s="14">
        <f t="shared" si="8"/>
        <v>9558942</v>
      </c>
      <c r="AA10" s="14">
        <f t="shared" si="9"/>
        <v>10434917</v>
      </c>
      <c r="AB10" s="14">
        <f t="shared" si="10"/>
        <v>10311479</v>
      </c>
      <c r="AD10" s="68" t="s">
        <v>185</v>
      </c>
      <c r="AE10" s="368">
        <f>+V10/$D$26*100</f>
        <v>33.192260693536895</v>
      </c>
      <c r="AF10" s="368" t="s">
        <v>129</v>
      </c>
      <c r="AG10" s="368">
        <f>+W10/$G$26*100</f>
        <v>32.661458619721422</v>
      </c>
      <c r="AH10" s="368">
        <f>VLOOKUP(AF10,$F$92:$O$109,8,0)</f>
        <v>10311479</v>
      </c>
      <c r="AI10" s="368">
        <f>+X10/$I$26*100</f>
        <v>27.069347892365574</v>
      </c>
      <c r="AJ10" s="368">
        <f>+Y10/$K$26*100</f>
        <v>24.854508095785729</v>
      </c>
      <c r="AK10" s="369">
        <f>+Z10/$M$26*100</f>
        <v>22.061392818688212</v>
      </c>
      <c r="AL10" s="369">
        <f>+AA10/$O$26*100</f>
        <v>20.998154258801137</v>
      </c>
      <c r="AM10" s="345">
        <f>+AB10/$Q$26*100</f>
        <v>19.39073546210334</v>
      </c>
    </row>
    <row r="11" spans="1:40">
      <c r="A11" s="43">
        <v>4</v>
      </c>
      <c r="B11" s="1772" t="s">
        <v>182</v>
      </c>
      <c r="C11" s="1772"/>
      <c r="D11" s="2672">
        <v>678012</v>
      </c>
      <c r="E11" s="2673">
        <f t="shared" si="0"/>
        <v>2.1742283946980066</v>
      </c>
      <c r="F11" s="2673" t="s">
        <v>126</v>
      </c>
      <c r="G11" s="2672">
        <v>835188</v>
      </c>
      <c r="H11" s="2673">
        <f t="shared" si="1"/>
        <v>2.4167533621116792</v>
      </c>
      <c r="I11" s="2672">
        <v>953798</v>
      </c>
      <c r="J11" s="2674">
        <f t="shared" si="2"/>
        <v>2.8430619415973841</v>
      </c>
      <c r="K11" s="2675">
        <v>908756.46100000001</v>
      </c>
      <c r="L11" s="2673">
        <f t="shared" si="3"/>
        <v>2.5889430130286892</v>
      </c>
      <c r="M11" s="2676">
        <v>916754.25</v>
      </c>
      <c r="N11" s="2673">
        <f t="shared" si="4"/>
        <v>2.1158069195787457</v>
      </c>
      <c r="O11" s="2676">
        <f>+'[5]P &amp; L - GI - 2012 '!H173+'[5]P &amp; L - GI - 2012 '!H174+'[5]P &amp; L - GI - 2012 '!H175</f>
        <v>1125837.3460000001</v>
      </c>
      <c r="P11" s="2673">
        <f t="shared" si="5"/>
        <v>2.2655193387381298</v>
      </c>
      <c r="Q11" s="2676">
        <f>+'[5]P &amp; L - GI - 2013'!H173+'[5]P &amp; L - GI - 2013'!H174+'[5]P &amp; L - GI - 2013'!H175</f>
        <v>1232433.2908158177</v>
      </c>
      <c r="R11" s="2673">
        <f t="shared" si="6"/>
        <v>2.3175907080738849</v>
      </c>
      <c r="T11" t="str">
        <f>+B102</f>
        <v>JIPLC</v>
      </c>
      <c r="U11" s="9" t="s">
        <v>133</v>
      </c>
      <c r="V11" s="14">
        <f>VLOOKUP(T11,$B$8:$D$25,3,0)</f>
        <v>3678224</v>
      </c>
      <c r="W11" s="14">
        <f>VLOOKUP(U11,$F$8:$G$25,2,0)</f>
        <v>3937285</v>
      </c>
      <c r="X11" s="14">
        <f>VLOOKUP(U11,$F$8:$I$25,4,0)</f>
        <v>4272926</v>
      </c>
      <c r="Y11" s="14">
        <f t="shared" si="7"/>
        <v>4324169.7151100002</v>
      </c>
      <c r="Z11" s="14">
        <f t="shared" si="8"/>
        <v>5086207.4053399796</v>
      </c>
      <c r="AA11" s="14">
        <f t="shared" si="9"/>
        <v>5773429.4972300194</v>
      </c>
      <c r="AB11" s="14">
        <f t="shared" si="10"/>
        <v>6342545.7904710202</v>
      </c>
      <c r="AD11" s="68" t="s">
        <v>189</v>
      </c>
      <c r="AE11" s="368">
        <f>+V11/$D$26*100</f>
        <v>11.79521758148776</v>
      </c>
      <c r="AF11" s="368" t="s">
        <v>133</v>
      </c>
      <c r="AG11" s="368">
        <f>+W11/$G$26*100</f>
        <v>11.39317945341873</v>
      </c>
      <c r="AH11" s="368">
        <f>VLOOKUP(AF11,$F$92:$O$109,8,0)</f>
        <v>6342545.7904710202</v>
      </c>
      <c r="AI11" s="368">
        <f>+X11/$I$26*100</f>
        <v>12.736652089710759</v>
      </c>
      <c r="AJ11" s="368">
        <f>+Y11/$K$26*100</f>
        <v>12.319063964359856</v>
      </c>
      <c r="AK11" s="369">
        <f>+Z11/$M$26*100</f>
        <v>11.738623325314268</v>
      </c>
      <c r="AL11" s="369">
        <f>+AA11/$O$26*100</f>
        <v>11.617856010272879</v>
      </c>
      <c r="AM11" s="345">
        <f>+AB11/$Q$26*100</f>
        <v>11.927156868505543</v>
      </c>
    </row>
    <row r="12" spans="1:40">
      <c r="A12" s="43">
        <v>5</v>
      </c>
      <c r="B12" s="1772" t="s">
        <v>177</v>
      </c>
      <c r="C12" s="1772"/>
      <c r="D12" s="2672">
        <v>383590</v>
      </c>
      <c r="E12" s="2673">
        <f t="shared" si="0"/>
        <v>1.230084821392849</v>
      </c>
      <c r="F12" s="2673" t="s">
        <v>124</v>
      </c>
      <c r="G12" s="2672">
        <v>459771</v>
      </c>
      <c r="H12" s="2673">
        <f t="shared" si="1"/>
        <v>1.3304227432044629</v>
      </c>
      <c r="I12" s="2672">
        <v>496749</v>
      </c>
      <c r="J12" s="2674">
        <f t="shared" si="2"/>
        <v>1.4806994525324639</v>
      </c>
      <c r="K12" s="2675">
        <v>397789</v>
      </c>
      <c r="L12" s="2673">
        <f t="shared" si="3"/>
        <v>1.1332552739998283</v>
      </c>
      <c r="M12" s="2676">
        <v>582257.21020000009</v>
      </c>
      <c r="N12" s="2673">
        <f t="shared" si="4"/>
        <v>1.3438103333753582</v>
      </c>
      <c r="O12" s="2676">
        <f>+'[5]P &amp; L - GI - 2012 '!H41+'[5]P &amp; L - GI - 2012 '!H42+'[5]P &amp; L - GI - 2012 '!H43</f>
        <v>1133240.01455</v>
      </c>
      <c r="P12" s="2673">
        <f t="shared" si="5"/>
        <v>2.2804157079320269</v>
      </c>
      <c r="Q12" s="2676">
        <f>+'[5]P &amp; L - GI - 2013'!H41+'[5]P &amp; L - GI - 2013'!H42+'[5]P &amp; L - GI - 2013'!H43</f>
        <v>1376657</v>
      </c>
      <c r="R12" s="2673">
        <f t="shared" si="6"/>
        <v>2.5888033820417804</v>
      </c>
      <c r="T12" t="str">
        <f>+B109</f>
        <v>UAPLC</v>
      </c>
      <c r="U12" s="9" t="s">
        <v>136</v>
      </c>
      <c r="V12" s="14">
        <f>VLOOKUP(T12,$B$8:$D$25,3,0)</f>
        <v>2814653.6389400014</v>
      </c>
      <c r="W12" s="14">
        <f>VLOOKUP(U12,$F$8:$G$25,2,0)</f>
        <v>3182235.5665899995</v>
      </c>
      <c r="X12" s="14">
        <f>VLOOKUP(U12,$F$8:$I$25,4,0)</f>
        <v>3210217.1266700001</v>
      </c>
      <c r="Y12" s="14">
        <f t="shared" si="7"/>
        <v>3433830.28211</v>
      </c>
      <c r="Z12" s="14">
        <f t="shared" si="8"/>
        <v>4055442.8969999999</v>
      </c>
      <c r="AA12" s="14">
        <f t="shared" si="9"/>
        <v>4436051.5967899989</v>
      </c>
      <c r="AB12" s="14">
        <f t="shared" si="10"/>
        <v>5116965.9560599998</v>
      </c>
      <c r="AD12" s="68" t="s">
        <v>197</v>
      </c>
      <c r="AE12" s="368">
        <f>+V12/$D$26*100</f>
        <v>9.0259462413990033</v>
      </c>
      <c r="AF12" s="368" t="s">
        <v>136</v>
      </c>
      <c r="AG12" s="368">
        <f>+W12/$G$26*100</f>
        <v>9.2083201681390836</v>
      </c>
      <c r="AH12" s="368">
        <f>VLOOKUP(AF12,$F$92:$O$109,8,0)</f>
        <v>5116965.9560599998</v>
      </c>
      <c r="AI12" s="368">
        <f>+X12/$I$26*100</f>
        <v>9.568950802056186</v>
      </c>
      <c r="AJ12" s="368">
        <f>+Y12/$K$26*100</f>
        <v>9.7825889534941268</v>
      </c>
      <c r="AK12" s="369">
        <f>+Z12/$M$26*100</f>
        <v>9.3596884262375379</v>
      </c>
      <c r="AL12" s="369">
        <f>+AA12/$O$26*100</f>
        <v>8.9266542061999612</v>
      </c>
      <c r="AM12" s="345">
        <f>+AB12/$Q$26*100</f>
        <v>9.6224540846708955</v>
      </c>
    </row>
    <row r="13" spans="1:40">
      <c r="A13" s="43">
        <v>6</v>
      </c>
      <c r="B13" s="1772" t="s">
        <v>185</v>
      </c>
      <c r="C13" s="1772"/>
      <c r="D13" s="2672">
        <v>10350684</v>
      </c>
      <c r="E13" s="2673">
        <f t="shared" si="0"/>
        <v>33.192260693536895</v>
      </c>
      <c r="F13" s="2673" t="s">
        <v>129</v>
      </c>
      <c r="G13" s="2672">
        <v>11287233</v>
      </c>
      <c r="H13" s="2673">
        <f t="shared" si="1"/>
        <v>32.661458619721422</v>
      </c>
      <c r="I13" s="2672">
        <v>9081297</v>
      </c>
      <c r="J13" s="2674">
        <f t="shared" si="2"/>
        <v>27.069347892365574</v>
      </c>
      <c r="K13" s="2675">
        <v>8724292</v>
      </c>
      <c r="L13" s="2673">
        <f t="shared" si="3"/>
        <v>24.854508095785729</v>
      </c>
      <c r="M13" s="2676">
        <v>9558942</v>
      </c>
      <c r="N13" s="2673">
        <f t="shared" si="4"/>
        <v>22.061392818688212</v>
      </c>
      <c r="O13" s="2676">
        <f>+'[5]P &amp; L - GI - 2012 '!H272+'[5]P &amp; L - GI - 2012 '!H273+'[5]P &amp; L - GI - 2012 '!H274</f>
        <v>10434917</v>
      </c>
      <c r="P13" s="2673">
        <f t="shared" si="5"/>
        <v>20.998154258801137</v>
      </c>
      <c r="Q13" s="2676">
        <f>+'[5]P &amp; L - GI - 2013'!H272+'[5]P &amp; L - GI - 2013'!H273+'[5]P &amp; L - GI - 2013'!H274</f>
        <v>10311479</v>
      </c>
      <c r="R13" s="2673">
        <f t="shared" si="6"/>
        <v>19.39073546210334</v>
      </c>
      <c r="S13" s="370"/>
      <c r="T13" s="1772" t="s">
        <v>194</v>
      </c>
      <c r="U13" s="2673" t="s">
        <v>112</v>
      </c>
      <c r="Y13" s="14">
        <f t="shared" si="7"/>
        <v>847064</v>
      </c>
      <c r="Z13" s="14">
        <f t="shared" si="8"/>
        <v>2284578</v>
      </c>
      <c r="AA13" s="14">
        <f t="shared" si="9"/>
        <v>2795447.79213</v>
      </c>
      <c r="AB13" s="14">
        <f t="shared" si="10"/>
        <v>3085041.1282100007</v>
      </c>
      <c r="AD13" s="2677" t="s">
        <v>194</v>
      </c>
      <c r="AE13" s="2678" t="s">
        <v>112</v>
      </c>
      <c r="AF13" s="2678" t="s">
        <v>112</v>
      </c>
      <c r="AG13" s="345">
        <v>0</v>
      </c>
      <c r="AH13" s="345">
        <v>0</v>
      </c>
      <c r="AI13" s="345">
        <v>0</v>
      </c>
      <c r="AJ13" s="9">
        <f>+Y13/K26*100+0.01</f>
        <v>2.4231882616547726</v>
      </c>
      <c r="AK13" s="9">
        <f>+Z13/M26*100</f>
        <v>5.2726517937793824</v>
      </c>
      <c r="AL13" s="345">
        <f>+AA13/O26*100</f>
        <v>5.6252717641712708</v>
      </c>
      <c r="AM13" s="345">
        <f>+AB13/$Q$26*100</f>
        <v>5.8014196030296876</v>
      </c>
    </row>
    <row r="14" spans="1:40">
      <c r="A14" s="43">
        <v>7</v>
      </c>
      <c r="B14" s="1772" t="s">
        <v>187</v>
      </c>
      <c r="C14" s="1772"/>
      <c r="D14" s="2672">
        <v>34945</v>
      </c>
      <c r="E14" s="2679">
        <f t="shared" si="0"/>
        <v>0.11206057009716913</v>
      </c>
      <c r="F14" s="2673" t="s">
        <v>131</v>
      </c>
      <c r="G14" s="2672">
        <v>178734</v>
      </c>
      <c r="H14" s="2679">
        <f t="shared" si="1"/>
        <v>0.51719612281746008</v>
      </c>
      <c r="I14" s="2672">
        <v>28324</v>
      </c>
      <c r="J14" s="2680">
        <f t="shared" si="2"/>
        <v>8.4427610913216738E-2</v>
      </c>
      <c r="K14" s="2679">
        <v>0</v>
      </c>
      <c r="L14" s="2679">
        <f t="shared" si="3"/>
        <v>0</v>
      </c>
      <c r="M14" s="2681"/>
      <c r="N14" s="2679">
        <f t="shared" si="4"/>
        <v>0</v>
      </c>
      <c r="O14" s="2681">
        <v>0</v>
      </c>
      <c r="P14" s="2679">
        <f t="shared" si="5"/>
        <v>0</v>
      </c>
      <c r="Q14" s="2681">
        <v>0</v>
      </c>
      <c r="R14" s="2679">
        <f>+Q14/$Q$26*100</f>
        <v>0</v>
      </c>
      <c r="T14" t="s">
        <v>181</v>
      </c>
      <c r="U14" s="9" t="s">
        <v>125</v>
      </c>
      <c r="V14" s="14">
        <f>VLOOKUP(T14,$B$8:$D$25,3,0)</f>
        <v>1867142</v>
      </c>
      <c r="W14" s="14">
        <f>VLOOKUP(U14,$F$8:$G$25,2,0)</f>
        <v>2045252</v>
      </c>
      <c r="X14" s="14">
        <f>VLOOKUP(U14,$F$8:$I$25,4,0)</f>
        <v>2503628</v>
      </c>
      <c r="Y14" s="14">
        <f t="shared" si="7"/>
        <v>2490843.2409499995</v>
      </c>
      <c r="Z14" s="14">
        <f t="shared" si="8"/>
        <v>2456347.4955899999</v>
      </c>
      <c r="AA14" s="14">
        <f t="shared" si="9"/>
        <v>2143252.6117200004</v>
      </c>
      <c r="AB14" s="14">
        <f t="shared" si="10"/>
        <v>2428675.0567999999</v>
      </c>
      <c r="AD14" s="68" t="s">
        <v>381</v>
      </c>
      <c r="AF14" s="68" t="s">
        <v>381</v>
      </c>
      <c r="AG14" s="345"/>
      <c r="AH14" s="345"/>
      <c r="AI14" s="345">
        <f>100-(AI9+AI10+AI11+AI12+AI13)</f>
        <v>24.499887737925462</v>
      </c>
      <c r="AJ14" s="345">
        <f>100-(AJ9+AJ10+AJ11+AJ12+AJ13)</f>
        <v>25.647244611545986</v>
      </c>
      <c r="AK14" s="345">
        <f>100-(AK9+AK10+AK11+AK12+AK13)</f>
        <v>25.869778308349879</v>
      </c>
      <c r="AL14" s="345">
        <f>100-(AL9+AL10+AL11+AL12+AL13)</f>
        <v>27.96170554274606</v>
      </c>
      <c r="AM14" s="345">
        <f>100-(AM9+AM10+AM11+AM12+AM13)</f>
        <v>29.214781291787759</v>
      </c>
    </row>
    <row r="15" spans="1:40">
      <c r="A15" s="43">
        <v>8</v>
      </c>
      <c r="B15" s="1772" t="s">
        <v>184</v>
      </c>
      <c r="C15" s="1772"/>
      <c r="D15" s="2672">
        <v>0</v>
      </c>
      <c r="E15" s="2682">
        <f t="shared" si="0"/>
        <v>0</v>
      </c>
      <c r="F15" s="2673" t="s">
        <v>128</v>
      </c>
      <c r="G15" s="2672">
        <v>0</v>
      </c>
      <c r="H15" s="2682">
        <f t="shared" si="1"/>
        <v>0</v>
      </c>
      <c r="I15" s="2672">
        <v>0</v>
      </c>
      <c r="J15" s="2680">
        <f t="shared" si="2"/>
        <v>0</v>
      </c>
      <c r="K15" s="2672">
        <v>359104.92200000002</v>
      </c>
      <c r="L15" s="2682">
        <f t="shared" si="3"/>
        <v>1.0230487690101964</v>
      </c>
      <c r="M15" s="2676">
        <v>1149120.5833718772</v>
      </c>
      <c r="N15" s="2577">
        <f t="shared" si="4"/>
        <v>2.6520927301166948</v>
      </c>
      <c r="O15" s="2676">
        <f>+'[5]P &amp; L - GI - 2012 '!H239+'[5]P &amp; L - GI - 2012 '!H240+'[5]P &amp; L - GI - 2012 '!H241</f>
        <v>1545225.9615697723</v>
      </c>
      <c r="P15" s="2577">
        <f t="shared" si="5"/>
        <v>3.1094538754593248</v>
      </c>
      <c r="Q15" s="2676">
        <f>+'[5]P &amp; L - GI - 2013'!H239+'[5]P &amp; L - GI - 2013'!H240+'[5]P &amp; L - GI - 2013'!H241</f>
        <v>1330514.5467000725</v>
      </c>
      <c r="R15" s="2673">
        <f t="shared" si="6"/>
        <v>2.5020325021795076</v>
      </c>
      <c r="AN15" s="371"/>
    </row>
    <row r="16" spans="1:40">
      <c r="A16" s="43">
        <v>9</v>
      </c>
      <c r="B16" s="1772" t="s">
        <v>186</v>
      </c>
      <c r="C16" s="1772"/>
      <c r="D16" s="2672">
        <v>289691.04300000001</v>
      </c>
      <c r="E16" s="2673">
        <f t="shared" si="0"/>
        <v>0.92897248334879201</v>
      </c>
      <c r="F16" s="2673" t="s">
        <v>130</v>
      </c>
      <c r="G16" s="2672">
        <v>522448.71100000001</v>
      </c>
      <c r="H16" s="2673">
        <f t="shared" si="1"/>
        <v>1.5117909726195335</v>
      </c>
      <c r="I16" s="2672">
        <v>596182.65700000001</v>
      </c>
      <c r="J16" s="2674">
        <f t="shared" si="2"/>
        <v>1.7770893023020675</v>
      </c>
      <c r="K16" s="2675">
        <v>644813.60595</v>
      </c>
      <c r="L16" s="2673">
        <f t="shared" si="3"/>
        <v>1.8370000670950792</v>
      </c>
      <c r="M16" s="2676">
        <v>922858.52101999999</v>
      </c>
      <c r="N16" s="2673">
        <f t="shared" si="4"/>
        <v>2.1298951649979516</v>
      </c>
      <c r="O16" s="2676">
        <f>+'[5]P &amp; L - GI - 2012 '!H305+'[5]P &amp; L - GI - 2012 '!H306+'[5]P &amp; L - GI - 2012 '!H307</f>
        <v>1135011.1609100001</v>
      </c>
      <c r="P16" s="2673">
        <f t="shared" si="5"/>
        <v>2.2839797807926154</v>
      </c>
      <c r="Q16" s="2676">
        <f>+'[5]P &amp; L - GI - 2013'!H305+'[5]P &amp; L - GI - 2013'!H306+'[5]P &amp; L - GI - 2013'!H307</f>
        <v>1272941.2854599999</v>
      </c>
      <c r="R16" s="2673">
        <f t="shared" si="6"/>
        <v>2.3937659888697471</v>
      </c>
      <c r="T16" s="15" t="s">
        <v>705</v>
      </c>
      <c r="U16" s="15"/>
    </row>
    <row r="17" spans="1:34">
      <c r="A17" s="43">
        <v>10</v>
      </c>
      <c r="B17" s="1772" t="s">
        <v>188</v>
      </c>
      <c r="C17" s="1772"/>
      <c r="D17" s="2672">
        <v>704577</v>
      </c>
      <c r="E17" s="2673">
        <f t="shared" si="0"/>
        <v>2.2594162340063852</v>
      </c>
      <c r="F17" s="2673" t="s">
        <v>132</v>
      </c>
      <c r="G17" s="2672">
        <v>924709</v>
      </c>
      <c r="H17" s="2673">
        <f t="shared" si="1"/>
        <v>2.6757970477604189</v>
      </c>
      <c r="I17" s="2672">
        <v>1130781</v>
      </c>
      <c r="J17" s="2674">
        <f t="shared" si="2"/>
        <v>3.3706093170476681</v>
      </c>
      <c r="K17" s="2675">
        <v>1255190</v>
      </c>
      <c r="L17" s="2673">
        <f t="shared" si="3"/>
        <v>3.5758924640245064</v>
      </c>
      <c r="M17" s="2676">
        <v>1623830.11726</v>
      </c>
      <c r="N17" s="2673">
        <f t="shared" si="4"/>
        <v>3.7476902870306561</v>
      </c>
      <c r="O17" s="2676">
        <f>+'[5]P &amp; L - GI - 2012 '!H371+'[5]P &amp; L - GI - 2012 '!H372+'[5]P &amp; L - GI - 2012 '!H373</f>
        <v>1635305.00976</v>
      </c>
      <c r="P17" s="2673">
        <f t="shared" si="5"/>
        <v>3.2907196918893344</v>
      </c>
      <c r="Q17" s="2676">
        <f>+'[5]P &amp; L - GI - 2013'!H371+'[5]P &amp; L - GI - 2013'!H372+'[5]P &amp; L - GI - 2013'!H373</f>
        <v>1767360.9385200001</v>
      </c>
      <c r="R17" s="2673">
        <f t="shared" si="6"/>
        <v>3.3235221082151267</v>
      </c>
      <c r="T17" s="2594"/>
      <c r="U17" s="2594"/>
      <c r="V17" s="2595">
        <v>2009</v>
      </c>
      <c r="W17" s="2595">
        <v>2013</v>
      </c>
      <c r="X17" s="2543" t="s">
        <v>706</v>
      </c>
    </row>
    <row r="18" spans="1:34">
      <c r="A18" s="43">
        <v>11</v>
      </c>
      <c r="B18" s="1772" t="s">
        <v>189</v>
      </c>
      <c r="C18" s="1772"/>
      <c r="D18" s="2672">
        <v>3678224</v>
      </c>
      <c r="E18" s="2673">
        <f t="shared" si="0"/>
        <v>11.79521758148776</v>
      </c>
      <c r="F18" s="2673" t="s">
        <v>133</v>
      </c>
      <c r="G18" s="2672">
        <v>3937285</v>
      </c>
      <c r="H18" s="2673">
        <f t="shared" si="1"/>
        <v>11.39317945341873</v>
      </c>
      <c r="I18" s="2672">
        <v>4272926</v>
      </c>
      <c r="J18" s="2674">
        <f t="shared" si="2"/>
        <v>12.736652089710759</v>
      </c>
      <c r="K18" s="2675">
        <v>4324169.7151100002</v>
      </c>
      <c r="L18" s="2673">
        <f t="shared" si="3"/>
        <v>12.319063964359856</v>
      </c>
      <c r="M18" s="2676">
        <v>5086207.4053399796</v>
      </c>
      <c r="N18" s="2673">
        <f t="shared" si="4"/>
        <v>11.738623325314268</v>
      </c>
      <c r="O18" s="2676">
        <f>+'[5]P &amp; L - GI - 2012 '!H404+'[5]P &amp; L - GI - 2012 '!H405+'[5]P &amp; L - GI - 2012 '!H406</f>
        <v>5773429.4972300194</v>
      </c>
      <c r="P18" s="2673">
        <f t="shared" si="5"/>
        <v>11.617856010272879</v>
      </c>
      <c r="Q18" s="2676">
        <f>+'[5]P &amp; L - GI - 2013'!H404+'[5]P &amp; L - GI - 2013'!H405+'[5]P &amp; L - GI - 2013'!H406</f>
        <v>6342545.7904710202</v>
      </c>
      <c r="R18" s="2673">
        <f t="shared" si="6"/>
        <v>11.927156868505543</v>
      </c>
      <c r="T18" s="2594" t="s">
        <v>630</v>
      </c>
      <c r="U18" s="2594"/>
      <c r="V18" s="2596">
        <f>+J13+J8+J18+J24+J25</f>
        <v>82.962876372208513</v>
      </c>
      <c r="W18" s="2597">
        <f>+R24+R13+R18+R25+R22</f>
        <v>70.785218708212241</v>
      </c>
      <c r="X18" s="2683">
        <f>+W18-V18</f>
        <v>-12.177657663996271</v>
      </c>
      <c r="AG18" s="166" t="s">
        <v>707</v>
      </c>
      <c r="AH18" s="166"/>
    </row>
    <row r="19" spans="1:34">
      <c r="A19" s="43">
        <v>12</v>
      </c>
      <c r="B19" s="1772" t="s">
        <v>191</v>
      </c>
      <c r="C19" s="1772"/>
      <c r="D19" s="2672">
        <v>0</v>
      </c>
      <c r="E19" s="2679">
        <f t="shared" si="0"/>
        <v>0</v>
      </c>
      <c r="F19" s="2673" t="s">
        <v>134</v>
      </c>
      <c r="G19" s="2672">
        <v>0</v>
      </c>
      <c r="H19" s="2682">
        <f t="shared" si="1"/>
        <v>0</v>
      </c>
      <c r="I19" s="2672">
        <v>0</v>
      </c>
      <c r="J19" s="2680">
        <f t="shared" si="2"/>
        <v>0</v>
      </c>
      <c r="K19" s="2679">
        <v>0</v>
      </c>
      <c r="L19" s="2682">
        <f t="shared" si="3"/>
        <v>0</v>
      </c>
      <c r="M19" s="2676">
        <v>364735.08649000002</v>
      </c>
      <c r="N19" s="2682">
        <f t="shared" si="4"/>
        <v>0.84178395661508443</v>
      </c>
      <c r="O19" s="2676">
        <f>+'[5]P &amp; L - GI - 2012 '!H503+'[5]P &amp; L - GI - 2012 '!H504+'[5]P &amp; L - GI - 2012 '!H505</f>
        <v>1295132.62558</v>
      </c>
      <c r="P19" s="2682">
        <f t="shared" si="5"/>
        <v>2.6061917557691139</v>
      </c>
      <c r="Q19" s="2676">
        <f>+'[5]P &amp; L - GI - 2013'!H503+'[5]P &amp; L - GI - 2013'!H504+'[5]P &amp; L - GI - 2013'!H505</f>
        <v>1485520.8119999997</v>
      </c>
      <c r="R19" s="2673">
        <f t="shared" si="6"/>
        <v>2.7935217720892358</v>
      </c>
      <c r="T19" s="2594" t="s">
        <v>381</v>
      </c>
      <c r="U19" s="2594"/>
      <c r="V19" s="2599">
        <f>100-V18</f>
        <v>17.037123627791487</v>
      </c>
      <c r="W19" s="2597">
        <f>100-W18</f>
        <v>29.214781291787759</v>
      </c>
      <c r="X19" s="2683">
        <f>+W19-V19</f>
        <v>12.177657663996271</v>
      </c>
    </row>
    <row r="20" spans="1:34">
      <c r="A20" s="43">
        <v>13</v>
      </c>
      <c r="B20" s="1772" t="s">
        <v>192</v>
      </c>
      <c r="C20" s="1772"/>
      <c r="D20" s="2672">
        <v>230782</v>
      </c>
      <c r="E20" s="2673">
        <f t="shared" si="0"/>
        <v>0.7400647442599767</v>
      </c>
      <c r="F20" s="2673" t="s">
        <v>109</v>
      </c>
      <c r="G20" s="2672">
        <v>294317</v>
      </c>
      <c r="H20" s="2673">
        <f t="shared" si="1"/>
        <v>0.85165447692809648</v>
      </c>
      <c r="I20" s="2672">
        <v>271309</v>
      </c>
      <c r="J20" s="2674">
        <f t="shared" si="2"/>
        <v>0.80871242371324392</v>
      </c>
      <c r="K20" s="2675">
        <v>467605.90317000001</v>
      </c>
      <c r="L20" s="2673">
        <f t="shared" si="3"/>
        <v>1.3321556300472248</v>
      </c>
      <c r="M20" s="2676">
        <v>636737.86237999995</v>
      </c>
      <c r="N20" s="2673">
        <f t="shared" si="4"/>
        <v>1.4695480006570825</v>
      </c>
      <c r="O20" s="2676">
        <f>+'[5]P &amp; L - GI - 2012 '!H536+'[5]P &amp; L - GI - 2012 '!H537+'[5]P &amp; L - GI - 2012 '!H538</f>
        <v>1049146.7334</v>
      </c>
      <c r="P20" s="2673">
        <f t="shared" si="5"/>
        <v>2.1111950337554681</v>
      </c>
      <c r="Q20" s="2676">
        <f>+'[5]P &amp; L - GI - 2013'!H536+'[5]P &amp; L - GI - 2013'!H537+'[5]P &amp; L - GI - 2013'!H538</f>
        <v>1118982.9757699999</v>
      </c>
      <c r="R20" s="2673">
        <f t="shared" si="6"/>
        <v>2.1042473994034472</v>
      </c>
    </row>
    <row r="21" spans="1:34">
      <c r="A21" s="43">
        <v>14</v>
      </c>
      <c r="B21" s="1772" t="s">
        <v>193</v>
      </c>
      <c r="C21" s="3161"/>
      <c r="D21" s="3162">
        <v>0</v>
      </c>
      <c r="E21" s="2672">
        <f t="shared" si="0"/>
        <v>0</v>
      </c>
      <c r="F21" s="2673" t="s">
        <v>111</v>
      </c>
      <c r="G21" s="3162">
        <v>0</v>
      </c>
      <c r="H21" s="2672">
        <f t="shared" si="1"/>
        <v>0</v>
      </c>
      <c r="I21" s="3162">
        <v>0</v>
      </c>
      <c r="J21" s="2684">
        <f t="shared" si="2"/>
        <v>0</v>
      </c>
      <c r="K21" s="3162">
        <v>0</v>
      </c>
      <c r="L21" s="2672">
        <f t="shared" si="3"/>
        <v>0</v>
      </c>
      <c r="M21" s="3163">
        <v>1748.86556</v>
      </c>
      <c r="N21" s="2673">
        <f t="shared" si="4"/>
        <v>4.0362636478216037E-3</v>
      </c>
      <c r="O21" s="3163">
        <f>+'[5]P &amp; L - GI - 2012 '!H701+'[5]P &amp; L - GI - 2012 '!H702+'[5]P &amp; L - GI - 2012 '!H703</f>
        <v>308546.43002615747</v>
      </c>
      <c r="P21" s="2673">
        <f t="shared" si="5"/>
        <v>0.62088711713678646</v>
      </c>
      <c r="Q21" s="3163">
        <f>+'[5]P &amp; L - GI - 2013'!H701+'[5]P &amp; L - GI - 2013'!H702+'[5]P &amp; L - GI - 2013'!H703</f>
        <v>355001.40988561278</v>
      </c>
      <c r="R21" s="2673">
        <f t="shared" si="6"/>
        <v>0.66758012383729193</v>
      </c>
    </row>
    <row r="22" spans="1:34">
      <c r="A22" s="43">
        <v>15</v>
      </c>
      <c r="B22" s="1772" t="s">
        <v>194</v>
      </c>
      <c r="C22" s="1772"/>
      <c r="D22" s="2679">
        <v>0</v>
      </c>
      <c r="E22" s="2682">
        <f t="shared" si="0"/>
        <v>0</v>
      </c>
      <c r="F22" s="2673" t="s">
        <v>112</v>
      </c>
      <c r="G22" s="2679">
        <v>0</v>
      </c>
      <c r="H22" s="2682">
        <f t="shared" si="1"/>
        <v>0</v>
      </c>
      <c r="I22" s="2679">
        <v>0</v>
      </c>
      <c r="J22" s="2680">
        <f t="shared" si="2"/>
        <v>0</v>
      </c>
      <c r="K22" s="2685">
        <v>847064</v>
      </c>
      <c r="L22" s="2682">
        <f>(K22/K$26)*100+0.01</f>
        <v>2.4231882616547726</v>
      </c>
      <c r="M22" s="2676">
        <v>2284578</v>
      </c>
      <c r="N22" s="2673">
        <f t="shared" si="4"/>
        <v>5.2726517937793824</v>
      </c>
      <c r="O22" s="2676">
        <f>+'[5]P &amp; L - GI - 2012 '!H569+'[5]P &amp; L - GI - 2012 '!H570+'[5]P &amp; L - GI - 2012 '!H571</f>
        <v>2795447.79213</v>
      </c>
      <c r="P22" s="2673">
        <f t="shared" si="5"/>
        <v>5.6252717641712708</v>
      </c>
      <c r="Q22" s="2676">
        <f>+'[5]P &amp; L - GI - 2013'!H569+'[5]P &amp; L - GI - 2013'!H570+'[5]P &amp; L - GI - 2013'!H571</f>
        <v>3085041.1282100007</v>
      </c>
      <c r="R22" s="2673">
        <f t="shared" si="6"/>
        <v>5.8014196030296876</v>
      </c>
    </row>
    <row r="23" spans="1:34">
      <c r="A23" s="43">
        <v>16</v>
      </c>
      <c r="B23" s="1772" t="s">
        <v>196</v>
      </c>
      <c r="C23" s="1772"/>
      <c r="D23" s="2672">
        <f>+'[9]General Insurance'!$E$153</f>
        <v>186000</v>
      </c>
      <c r="E23" s="2673">
        <f t="shared" si="0"/>
        <v>0.5964591797989256</v>
      </c>
      <c r="F23" s="2673" t="s">
        <v>135</v>
      </c>
      <c r="G23" s="2672">
        <v>216412</v>
      </c>
      <c r="H23" s="2673">
        <f t="shared" si="1"/>
        <v>0.62622359109722925</v>
      </c>
      <c r="I23" s="2672">
        <v>184409</v>
      </c>
      <c r="J23" s="2674">
        <f t="shared" si="2"/>
        <v>0.54968264725658045</v>
      </c>
      <c r="K23" s="2675">
        <v>234914</v>
      </c>
      <c r="L23" s="2673">
        <f>(K23/K$26)*100</f>
        <v>0.66924306463073546</v>
      </c>
      <c r="M23" s="2676">
        <v>232374</v>
      </c>
      <c r="N23" s="2673">
        <f t="shared" si="4"/>
        <v>0.53630350459808773</v>
      </c>
      <c r="O23" s="2676">
        <f>+'[5]P &amp; L - GI - 2012 '!H635+'[5]P &amp; L - GI - 2012 '!H636+'[5]P &amp; L - GI - 2012 '!H637</f>
        <v>308142.49066000007</v>
      </c>
      <c r="P23" s="2673">
        <f t="shared" si="5"/>
        <v>0.62007427108139623</v>
      </c>
      <c r="Q23" s="2676">
        <f>+'[5]P &amp; L - GI - 2013'!H635+'[5]P &amp; L - GI - 2013'!H636+'[5]P &amp; L - GI - 2013'!H637</f>
        <v>322591.81438999996</v>
      </c>
      <c r="R23" s="2673">
        <f t="shared" si="6"/>
        <v>0.60663388201405732</v>
      </c>
    </row>
    <row r="24" spans="1:34">
      <c r="A24" s="43">
        <v>17</v>
      </c>
      <c r="B24" s="1772" t="s">
        <v>195</v>
      </c>
      <c r="C24" s="1772"/>
      <c r="D24" s="2672">
        <v>8845416.7142199986</v>
      </c>
      <c r="E24" s="2673">
        <f>(D24/D$26)*100-0.01</f>
        <v>28.355215044856816</v>
      </c>
      <c r="F24" s="2673" t="s">
        <v>115</v>
      </c>
      <c r="G24" s="2672">
        <v>9140845.4283200018</v>
      </c>
      <c r="H24" s="2673">
        <f t="shared" si="1"/>
        <v>26.450534396370077</v>
      </c>
      <c r="I24" s="2672">
        <v>8764538.8244118989</v>
      </c>
      <c r="J24" s="2674">
        <f t="shared" si="2"/>
        <v>26.125161477942022</v>
      </c>
      <c r="K24" s="2675">
        <v>8766026.9246178009</v>
      </c>
      <c r="L24" s="2673">
        <f>(K24/K$26)*100</f>
        <v>24.973406113159534</v>
      </c>
      <c r="M24" s="2676">
        <v>11134582.762270002</v>
      </c>
      <c r="N24" s="2673">
        <f t="shared" si="4"/>
        <v>25.697865327630709</v>
      </c>
      <c r="O24" s="2676">
        <f>+'[5]P &amp; L - GI - 2012 '!H602+'[5]P &amp; L - GI - 2012 '!H603+'[5]P &amp; L - GI - 2012 '!H604</f>
        <v>12359187.410689998</v>
      </c>
      <c r="P24" s="2673">
        <f t="shared" si="5"/>
        <v>24.870358217808686</v>
      </c>
      <c r="Q24" s="2676">
        <f>+'[5]P &amp; L - GI - 2013'!H602+'[5]P &amp; L - GI - 2013'!H603+'[5]P &amp; L - GI - 2013'!H604</f>
        <v>12785670.661330007</v>
      </c>
      <c r="R24" s="2673">
        <f t="shared" si="6"/>
        <v>24.043452689902782</v>
      </c>
    </row>
    <row r="25" spans="1:34">
      <c r="A25" s="43">
        <v>18</v>
      </c>
      <c r="B25" s="1772" t="s">
        <v>197</v>
      </c>
      <c r="C25" s="1772"/>
      <c r="D25" s="2672">
        <v>2814653.6389400014</v>
      </c>
      <c r="E25" s="2673">
        <f>(D25/D$26)*100</f>
        <v>9.0259462413990033</v>
      </c>
      <c r="F25" s="2673" t="s">
        <v>136</v>
      </c>
      <c r="G25" s="2672">
        <v>3182235.5665899995</v>
      </c>
      <c r="H25" s="2673">
        <f t="shared" si="1"/>
        <v>9.2083201681390836</v>
      </c>
      <c r="I25" s="2672">
        <v>3210217.1266700001</v>
      </c>
      <c r="J25" s="2674">
        <f t="shared" si="2"/>
        <v>9.568950802056186</v>
      </c>
      <c r="K25" s="2675">
        <v>3433830.28211</v>
      </c>
      <c r="L25" s="2673">
        <f>(K25/K$26)*100</f>
        <v>9.7825889534941268</v>
      </c>
      <c r="M25" s="2676">
        <v>4055442.8969999999</v>
      </c>
      <c r="N25" s="2673">
        <f t="shared" si="4"/>
        <v>9.3596884262375379</v>
      </c>
      <c r="O25" s="2676">
        <f>+'[5]P &amp; L - GI - 2012 '!H668+'[5]P &amp; L - GI - 2012 '!H669+'[5]P &amp; L - GI - 2012 '!H670</f>
        <v>4436051.5967899989</v>
      </c>
      <c r="P25" s="2673">
        <f t="shared" si="5"/>
        <v>8.9266542061999612</v>
      </c>
      <c r="Q25" s="2676">
        <f>+'[5]P &amp; L - GI - 2013'!H668+'[5]P &amp; L - GI - 2013'!H669+'[5]P &amp; L - GI - 2013'!H670</f>
        <v>5116965.9560599998</v>
      </c>
      <c r="R25" s="2673">
        <f t="shared" si="6"/>
        <v>9.6224540846708955</v>
      </c>
    </row>
    <row r="26" spans="1:34">
      <c r="B26" s="1777" t="s">
        <v>118</v>
      </c>
      <c r="C26" s="3164">
        <v>25930519</v>
      </c>
      <c r="D26" s="3164">
        <f>SUM(D8:D25)+1</f>
        <v>31184028.396159999</v>
      </c>
      <c r="E26" s="3164">
        <f>SUM(E8:E25)</f>
        <v>99.989996793230219</v>
      </c>
      <c r="F26" s="1777" t="s">
        <v>118</v>
      </c>
      <c r="G26" s="3164">
        <f t="shared" ref="G26:P26" si="11">SUM(G8:G25)</f>
        <v>34558263.705909997</v>
      </c>
      <c r="H26" s="3164">
        <f t="shared" si="11"/>
        <v>100</v>
      </c>
      <c r="I26" s="3164">
        <f t="shared" si="11"/>
        <v>33548266.608081896</v>
      </c>
      <c r="J26" s="3164">
        <f t="shared" si="11"/>
        <v>100</v>
      </c>
      <c r="K26" s="3164">
        <f t="shared" si="11"/>
        <v>35101447.054907799</v>
      </c>
      <c r="L26" s="3164">
        <f t="shared" si="11"/>
        <v>100.01000000000002</v>
      </c>
      <c r="M26" s="3164">
        <f t="shared" si="11"/>
        <v>43328823.699211858</v>
      </c>
      <c r="N26" s="3164">
        <f t="shared" si="11"/>
        <v>99.999999999999986</v>
      </c>
      <c r="O26" s="3164">
        <f>SUM(O8:O25)</f>
        <v>49694448.718635947</v>
      </c>
      <c r="P26" s="3164">
        <f t="shared" si="11"/>
        <v>100</v>
      </c>
      <c r="Q26" s="3164">
        <f>SUM(Q8:Q25)</f>
        <v>53177348.637200683</v>
      </c>
      <c r="R26" s="3164">
        <f>SUM(R8:R25)</f>
        <v>99.999999999999986</v>
      </c>
    </row>
    <row r="27" spans="1:34" ht="15" customHeight="1">
      <c r="B27" s="3592" t="s">
        <v>148</v>
      </c>
      <c r="C27" s="2686"/>
      <c r="D27" s="3593">
        <f>+((D26-C26)/C26)*100</f>
        <v>20.259946961184998</v>
      </c>
      <c r="E27" s="3593"/>
      <c r="F27" s="3592" t="s">
        <v>148</v>
      </c>
      <c r="G27" s="3594">
        <f>((G26-D26)/D26)*100</f>
        <v>10.820395834957299</v>
      </c>
      <c r="H27" s="3595"/>
      <c r="I27" s="3591">
        <f>((I26-G26)/G26)*100</f>
        <v>-2.9225921372183294</v>
      </c>
      <c r="J27" s="3591"/>
      <c r="K27" s="3591">
        <f>((K26-I26)/I26)*100</f>
        <v>4.6296891132125921</v>
      </c>
      <c r="L27" s="3591"/>
      <c r="M27" s="3591">
        <f>((M26-K26)/K26)*100</f>
        <v>23.438853194383412</v>
      </c>
      <c r="N27" s="3591"/>
      <c r="O27" s="3591">
        <f>((O26-M26)/M26)*100</f>
        <v>14.691432806055793</v>
      </c>
      <c r="P27" s="3591"/>
      <c r="Q27" s="3591">
        <f>((Q26-O26)/O26)*100</f>
        <v>7.0086297531631789</v>
      </c>
      <c r="R27" s="3591"/>
    </row>
    <row r="28" spans="1:34">
      <c r="B28" s="3743"/>
      <c r="C28" s="2543"/>
      <c r="D28" s="3593"/>
      <c r="E28" s="3593"/>
      <c r="F28" s="3743"/>
      <c r="G28" s="3596"/>
      <c r="H28" s="3597"/>
      <c r="I28" s="3591"/>
      <c r="J28" s="3591"/>
      <c r="K28" s="3591"/>
      <c r="L28" s="3591"/>
      <c r="M28" s="3591"/>
      <c r="N28" s="3591"/>
      <c r="O28" s="3591"/>
      <c r="P28" s="3591"/>
      <c r="Q28" s="3591"/>
      <c r="R28" s="3591"/>
    </row>
    <row r="29" spans="1:34" ht="25.5" customHeight="1">
      <c r="B29" s="2543"/>
      <c r="C29" s="2543"/>
      <c r="D29" s="2687"/>
      <c r="E29" s="2687"/>
      <c r="F29" s="3588" t="s">
        <v>708</v>
      </c>
      <c r="G29" s="3589"/>
      <c r="H29" s="3589"/>
      <c r="I29" s="3589"/>
      <c r="J29" s="3590"/>
      <c r="K29" s="1805">
        <f>+'[10]SRCC &amp; TC'!$H$55</f>
        <v>1926563.8965400003</v>
      </c>
      <c r="L29" s="2689"/>
      <c r="M29" s="2690">
        <f>+'[11]AR Table 4 &amp; Chart 4,5'!$M$29</f>
        <v>1949804.8214974001</v>
      </c>
      <c r="N29" s="2689"/>
      <c r="O29" s="1805">
        <f>-'[5]P &amp; L - GI - 2012 '!H9</f>
        <v>2238827.710423843</v>
      </c>
      <c r="P29" s="2688"/>
      <c r="Q29" s="1805">
        <f>-'[5]P &amp; L - GI - 2013'!H9</f>
        <v>3107389.6258930122</v>
      </c>
      <c r="R29" s="2688"/>
    </row>
    <row r="30" spans="1:34" ht="25.5" customHeight="1">
      <c r="B30" s="2543"/>
      <c r="C30" s="2543"/>
      <c r="D30" s="2687"/>
      <c r="E30" s="2687"/>
      <c r="F30" s="3588" t="s">
        <v>709</v>
      </c>
      <c r="G30" s="3589"/>
      <c r="H30" s="3589"/>
      <c r="I30" s="3589"/>
      <c r="J30" s="3590"/>
      <c r="K30" s="1809">
        <f>+K26+K29</f>
        <v>37028010.9514478</v>
      </c>
      <c r="L30" s="2688">
        <f>+(K30-I26)/I26*100</f>
        <v>10.372352121845905</v>
      </c>
      <c r="M30" s="1809">
        <f>+M26+M29</f>
        <v>45278628.520709261</v>
      </c>
      <c r="N30" s="2688">
        <f>+(M30-K30)/K30*100</f>
        <v>22.282097680266734</v>
      </c>
      <c r="O30" s="1809">
        <f>+O26+O29</f>
        <v>51933276.429059789</v>
      </c>
      <c r="P30" s="2688">
        <f>+(O30-M30)/M30*100</f>
        <v>14.697105733462898</v>
      </c>
      <c r="Q30" s="1809">
        <f>+Q26+Q29</f>
        <v>56284738.263093695</v>
      </c>
      <c r="R30" s="2688">
        <f>+(Q30-O30)/O30*100</f>
        <v>8.3789472439274064</v>
      </c>
    </row>
    <row r="31" spans="1:34">
      <c r="D31" s="246"/>
      <c r="E31" s="246"/>
      <c r="F31" s="248"/>
      <c r="G31" s="247"/>
      <c r="H31" s="247"/>
      <c r="I31" s="247"/>
      <c r="J31" s="247"/>
      <c r="K31" s="249"/>
      <c r="L31" s="247"/>
      <c r="M31" s="249"/>
      <c r="N31" s="247"/>
      <c r="O31" s="249"/>
      <c r="P31" s="247"/>
      <c r="Q31" s="247"/>
      <c r="R31" s="247"/>
    </row>
    <row r="32" spans="1:34">
      <c r="D32" s="246"/>
      <c r="E32" s="246"/>
      <c r="F32" s="248"/>
      <c r="G32" s="247"/>
      <c r="H32" s="247"/>
      <c r="I32" s="247"/>
      <c r="J32" s="247"/>
      <c r="K32" s="249"/>
      <c r="L32" s="247"/>
      <c r="M32" s="249"/>
      <c r="N32" s="247"/>
      <c r="O32" s="249"/>
      <c r="P32" s="247"/>
      <c r="Q32" s="247"/>
      <c r="R32" s="247"/>
    </row>
    <row r="33" spans="2:36">
      <c r="B33" s="6"/>
      <c r="C33" s="6"/>
      <c r="D33" s="7"/>
      <c r="E33" s="8"/>
      <c r="F33" s="204" t="s">
        <v>633</v>
      </c>
      <c r="G33" s="372"/>
      <c r="H33" s="8"/>
      <c r="I33" s="7"/>
      <c r="J33" s="8"/>
      <c r="K33" s="7"/>
      <c r="L33" s="8"/>
      <c r="M33" s="8"/>
      <c r="N33" s="8"/>
      <c r="O33" s="8"/>
      <c r="P33" s="8"/>
      <c r="Q33" s="8"/>
      <c r="R33" s="8"/>
    </row>
    <row r="34" spans="2:36">
      <c r="B34" s="204" t="s">
        <v>633</v>
      </c>
      <c r="F34" s="204" t="s">
        <v>634</v>
      </c>
    </row>
    <row r="35" spans="2:36" ht="21.75" customHeight="1">
      <c r="B35" s="204" t="s">
        <v>634</v>
      </c>
      <c r="C35" s="42"/>
    </row>
    <row r="36" spans="2:36" ht="21.75" customHeight="1">
      <c r="B36" s="200" t="s">
        <v>149</v>
      </c>
      <c r="C36" s="175"/>
      <c r="D36" s="175"/>
      <c r="E36" s="175"/>
      <c r="F36" s="175"/>
      <c r="G36" s="175"/>
      <c r="H36" s="175"/>
      <c r="I36" s="175"/>
      <c r="K36" s="14"/>
      <c r="M36" s="14"/>
    </row>
    <row r="37" spans="2:36" ht="7.5" customHeight="1">
      <c r="B37" s="208"/>
      <c r="C37" s="175"/>
      <c r="D37" s="175"/>
      <c r="E37" s="175"/>
      <c r="F37" s="175"/>
      <c r="G37" s="175"/>
      <c r="H37" s="175"/>
      <c r="I37" s="175"/>
      <c r="K37" s="14"/>
      <c r="M37" s="14"/>
    </row>
    <row r="38" spans="2:36" ht="21.75" customHeight="1">
      <c r="B38" s="3585" t="s">
        <v>710</v>
      </c>
      <c r="C38" s="3585"/>
      <c r="D38" s="3585"/>
      <c r="E38" s="3585"/>
      <c r="F38" s="3585"/>
      <c r="G38" s="3585"/>
      <c r="H38" s="3585"/>
      <c r="I38" s="3585"/>
      <c r="J38" s="3585"/>
      <c r="K38" s="3585"/>
      <c r="L38" s="3585"/>
      <c r="M38" s="3585"/>
      <c r="N38" s="3585"/>
      <c r="O38" s="211"/>
      <c r="P38" s="211"/>
      <c r="Q38" s="211"/>
      <c r="R38" s="211"/>
    </row>
    <row r="39" spans="2:36" ht="10.5" customHeight="1">
      <c r="B39" s="3585"/>
      <c r="C39" s="3585"/>
      <c r="D39" s="3585"/>
      <c r="E39" s="3585"/>
      <c r="F39" s="3585"/>
      <c r="G39" s="3585"/>
      <c r="H39" s="3585"/>
      <c r="I39" s="3585"/>
      <c r="J39" s="3585"/>
      <c r="K39" s="3585"/>
      <c r="L39" s="3585"/>
      <c r="M39" s="3585"/>
      <c r="N39" s="3585"/>
      <c r="O39" s="211"/>
      <c r="P39" s="211"/>
      <c r="Q39" s="211"/>
      <c r="R39" s="211"/>
    </row>
    <row r="40" spans="2:36" ht="15" customHeight="1">
      <c r="B40" s="3586" t="s">
        <v>151</v>
      </c>
      <c r="C40" s="3586"/>
      <c r="D40" s="3586"/>
      <c r="E40" s="3586"/>
      <c r="F40" s="3586"/>
      <c r="G40" s="3586"/>
      <c r="H40" s="3586"/>
      <c r="I40" s="3586"/>
      <c r="J40" s="3586"/>
      <c r="K40" s="3586"/>
      <c r="L40" s="3586"/>
      <c r="M40" s="3586"/>
      <c r="N40" s="3586"/>
      <c r="O40" s="212"/>
      <c r="P40" s="212"/>
      <c r="Q40" s="212"/>
      <c r="R40" s="212"/>
    </row>
    <row r="41" spans="2:36" ht="3.75" customHeight="1">
      <c r="B41" s="3586"/>
      <c r="C41" s="3586"/>
      <c r="D41" s="3586"/>
      <c r="E41" s="3586"/>
      <c r="F41" s="3586"/>
      <c r="G41" s="3586"/>
      <c r="H41" s="3586"/>
      <c r="I41" s="3586"/>
      <c r="J41" s="3586"/>
      <c r="K41" s="3586"/>
      <c r="L41" s="3586"/>
      <c r="M41" s="3586"/>
      <c r="N41" s="3586"/>
      <c r="O41" s="212"/>
      <c r="P41" s="212"/>
      <c r="Q41" s="212"/>
      <c r="R41" s="212"/>
    </row>
    <row r="42" spans="2:36" ht="34.5" customHeight="1">
      <c r="B42" s="3587" t="s">
        <v>711</v>
      </c>
      <c r="C42" s="3587"/>
      <c r="D42" s="3587"/>
      <c r="E42" s="3587"/>
      <c r="F42" s="3587"/>
      <c r="G42" s="3587"/>
      <c r="H42" s="3587"/>
      <c r="I42" s="3587"/>
      <c r="J42" s="3587"/>
      <c r="K42" s="3587"/>
      <c r="L42" s="3587"/>
      <c r="M42" s="3587"/>
      <c r="N42" s="3587"/>
      <c r="O42" s="213"/>
      <c r="P42" s="213"/>
      <c r="Q42" s="213"/>
      <c r="R42" s="213"/>
    </row>
    <row r="43" spans="2:36" ht="34.5" customHeight="1">
      <c r="B43" s="213"/>
      <c r="C43" s="213"/>
      <c r="D43" s="213"/>
      <c r="E43" s="213"/>
      <c r="F43" s="213"/>
      <c r="G43" s="213"/>
      <c r="H43" s="213"/>
      <c r="I43" s="213"/>
      <c r="J43" s="213"/>
      <c r="K43" s="213"/>
      <c r="L43" s="213"/>
      <c r="M43" s="213"/>
      <c r="N43" s="213"/>
      <c r="O43" s="213"/>
      <c r="P43" s="213"/>
      <c r="Q43" s="213"/>
      <c r="R43" s="213"/>
    </row>
    <row r="44" spans="2:36" ht="34.5" customHeight="1">
      <c r="B44" s="213"/>
      <c r="C44" s="213"/>
      <c r="D44" s="213"/>
      <c r="E44" s="213"/>
      <c r="F44" s="213"/>
      <c r="G44" s="213"/>
      <c r="H44" s="213"/>
      <c r="I44" s="213"/>
      <c r="J44" s="213"/>
      <c r="K44" s="213"/>
      <c r="L44" s="213"/>
      <c r="M44" s="213"/>
      <c r="N44" s="213"/>
      <c r="O44" s="213"/>
      <c r="P44" s="213"/>
      <c r="Q44" s="213"/>
      <c r="R44" s="213"/>
    </row>
    <row r="45" spans="2:36" ht="34.5" customHeight="1">
      <c r="B45" s="213"/>
      <c r="C45" s="213"/>
      <c r="D45" s="213"/>
      <c r="E45" s="213"/>
      <c r="F45" s="213"/>
      <c r="G45" s="213"/>
      <c r="H45" s="213"/>
      <c r="I45" s="213"/>
      <c r="J45" s="213"/>
      <c r="K45" s="213"/>
      <c r="L45" s="213"/>
      <c r="M45" s="213"/>
      <c r="N45" s="213"/>
      <c r="O45" s="213"/>
      <c r="P45" s="213"/>
      <c r="Q45" s="213"/>
      <c r="R45" s="213"/>
      <c r="AJ45" s="172" t="s">
        <v>633</v>
      </c>
    </row>
    <row r="46" spans="2:36" ht="34.5" customHeight="1">
      <c r="B46" s="213"/>
      <c r="C46" s="213"/>
      <c r="E46" s="213"/>
      <c r="F46" s="213"/>
      <c r="G46" s="213"/>
      <c r="H46" s="213"/>
      <c r="I46" s="213"/>
      <c r="J46" s="213"/>
      <c r="K46" s="213"/>
      <c r="L46" s="213"/>
      <c r="M46" s="213"/>
      <c r="N46" s="213"/>
      <c r="O46" s="213"/>
      <c r="P46" s="213"/>
      <c r="Q46" s="213"/>
      <c r="R46" s="213"/>
      <c r="AJ46" s="172" t="s">
        <v>634</v>
      </c>
    </row>
    <row r="48" spans="2:36">
      <c r="D48" s="14"/>
      <c r="E48" s="14"/>
      <c r="F48" s="14"/>
      <c r="G48" s="14"/>
      <c r="H48" s="14"/>
      <c r="I48" s="14"/>
    </row>
    <row r="49" spans="4:36">
      <c r="G49" s="10">
        <f>+G10+G14+G18+G23+G25</f>
        <v>8115769.5665899999</v>
      </c>
      <c r="K49" s="10">
        <f>+K10+K14+K18+K23+K25</f>
        <v>9349573.9972200003</v>
      </c>
    </row>
    <row r="50" spans="4:36">
      <c r="G50" s="9">
        <f>+G49/G26*100</f>
        <v>23.48430938445</v>
      </c>
      <c r="K50" s="9">
        <f>+K49/K26*100</f>
        <v>26.635864847950096</v>
      </c>
    </row>
    <row r="51" spans="4:36">
      <c r="G51" s="9">
        <f>100-G50</f>
        <v>76.51569061555</v>
      </c>
      <c r="K51" s="9">
        <f>100-K50</f>
        <v>73.364135152049897</v>
      </c>
    </row>
    <row r="52" spans="4:36">
      <c r="D52" s="213" t="s">
        <v>712</v>
      </c>
      <c r="K52" s="81">
        <f>+K26-K49</f>
        <v>25751873.057687797</v>
      </c>
    </row>
    <row r="53" spans="4:36">
      <c r="U53" s="14"/>
      <c r="V53" s="68"/>
      <c r="W53" s="108" t="e">
        <f>+M26+#REF!</f>
        <v>#REF!</v>
      </c>
    </row>
    <row r="54" spans="4:36">
      <c r="U54" s="14"/>
      <c r="W54" s="14" t="e">
        <f>+W53-M26</f>
        <v>#REF!</v>
      </c>
    </row>
    <row r="55" spans="4:36">
      <c r="U55" s="9"/>
      <c r="W55" s="9" t="e">
        <f>+W54/W53*100</f>
        <v>#REF!</v>
      </c>
    </row>
    <row r="56" spans="4:36">
      <c r="U56" s="9"/>
      <c r="W56" s="9" t="e">
        <f>+M26/W53*100</f>
        <v>#REF!</v>
      </c>
    </row>
    <row r="57" spans="4:36">
      <c r="S57" t="s">
        <v>118</v>
      </c>
      <c r="T57" s="14" t="e">
        <f>+K26+#REF!</f>
        <v>#REF!</v>
      </c>
    </row>
    <row r="58" spans="4:36">
      <c r="T58" s="14" t="e">
        <f>+T57-K26</f>
        <v>#REF!</v>
      </c>
      <c r="AJ58" s="175"/>
    </row>
    <row r="59" spans="4:36">
      <c r="S59" t="s">
        <v>713</v>
      </c>
      <c r="T59" s="9" t="e">
        <f>+T58/T57*100</f>
        <v>#REF!</v>
      </c>
    </row>
    <row r="60" spans="4:36">
      <c r="S60" t="s">
        <v>714</v>
      </c>
      <c r="T60" s="9" t="e">
        <f>+K26/T57*100</f>
        <v>#REF!</v>
      </c>
    </row>
    <row r="79" spans="6:13">
      <c r="F79" s="200" t="s">
        <v>149</v>
      </c>
      <c r="G79" s="175"/>
      <c r="H79" s="175"/>
      <c r="I79" s="175"/>
      <c r="J79" s="175"/>
      <c r="K79" s="175"/>
      <c r="L79" s="175"/>
      <c r="M79" s="175"/>
    </row>
    <row r="80" spans="6:13">
      <c r="F80" s="208"/>
      <c r="G80" s="175"/>
      <c r="H80" s="175"/>
      <c r="I80" s="175"/>
      <c r="J80" s="175"/>
      <c r="K80" s="175"/>
      <c r="L80" s="175"/>
      <c r="M80" s="175"/>
    </row>
    <row r="81" spans="1:22" ht="15" customHeight="1">
      <c r="F81" s="3225" t="s">
        <v>150</v>
      </c>
      <c r="G81" s="3225"/>
      <c r="H81" s="3225"/>
      <c r="I81" s="3225"/>
      <c r="J81" s="3225"/>
      <c r="K81" s="3225"/>
      <c r="L81" s="3225"/>
      <c r="M81" s="3225"/>
      <c r="N81" s="3225"/>
      <c r="O81" s="224"/>
      <c r="P81" s="224"/>
      <c r="Q81" s="224"/>
      <c r="R81" s="224"/>
      <c r="S81" s="224"/>
      <c r="T81" s="224"/>
      <c r="U81" s="224"/>
    </row>
    <row r="82" spans="1:22">
      <c r="F82" s="3225"/>
      <c r="G82" s="3225"/>
      <c r="H82" s="3225"/>
      <c r="I82" s="3225"/>
      <c r="J82" s="3225"/>
      <c r="K82" s="3225"/>
      <c r="L82" s="3225"/>
      <c r="M82" s="3225"/>
      <c r="N82" s="3225"/>
      <c r="O82" s="224"/>
      <c r="P82" s="224"/>
      <c r="Q82" s="224"/>
      <c r="R82" s="224"/>
      <c r="S82" s="224"/>
      <c r="T82" s="224"/>
      <c r="U82" s="224"/>
    </row>
    <row r="83" spans="1:22" ht="15" customHeight="1">
      <c r="F83" s="3226" t="s">
        <v>151</v>
      </c>
      <c r="G83" s="3226"/>
      <c r="H83" s="3226"/>
      <c r="I83" s="3226"/>
      <c r="J83" s="3226"/>
      <c r="K83" s="3226"/>
      <c r="L83" s="3226"/>
      <c r="M83" s="3226"/>
      <c r="N83" s="222"/>
      <c r="O83" s="222"/>
      <c r="P83" s="222"/>
      <c r="Q83" s="222"/>
      <c r="R83" s="222"/>
      <c r="S83" s="222"/>
      <c r="T83" s="222"/>
      <c r="U83" s="222"/>
    </row>
    <row r="84" spans="1:22" ht="14.25" customHeight="1">
      <c r="F84" s="3226"/>
      <c r="G84" s="3226"/>
      <c r="H84" s="3226"/>
      <c r="I84" s="3226"/>
      <c r="J84" s="3226"/>
      <c r="K84" s="3226"/>
      <c r="L84" s="3226"/>
      <c r="M84" s="3226"/>
      <c r="N84" s="222"/>
      <c r="O84" s="222"/>
      <c r="P84" s="222"/>
      <c r="Q84" s="222"/>
      <c r="R84" s="222"/>
      <c r="S84" s="222"/>
      <c r="T84" s="222"/>
      <c r="U84" s="222"/>
    </row>
    <row r="85" spans="1:22" ht="57.75" customHeight="1">
      <c r="F85" s="3587" t="s">
        <v>715</v>
      </c>
      <c r="G85" s="3587"/>
      <c r="H85" s="3587"/>
      <c r="I85" s="3587"/>
      <c r="J85" s="3587"/>
      <c r="K85" s="3587"/>
      <c r="L85" s="3587"/>
      <c r="M85" s="3587"/>
      <c r="N85" s="223"/>
      <c r="O85" s="223"/>
      <c r="P85" s="223"/>
      <c r="Q85" s="223"/>
      <c r="R85" s="223"/>
      <c r="S85" s="223"/>
      <c r="T85" s="223"/>
      <c r="U85" s="223"/>
    </row>
    <row r="88" spans="1:22">
      <c r="B88" s="30" t="s">
        <v>153</v>
      </c>
      <c r="C88" s="30"/>
      <c r="D88" s="31"/>
      <c r="E88" s="31"/>
      <c r="F88" s="30" t="s">
        <v>153</v>
      </c>
      <c r="G88" s="31"/>
      <c r="H88" s="31"/>
      <c r="I88" s="32"/>
      <c r="J88" s="32"/>
      <c r="K88" s="32"/>
      <c r="L88" s="32"/>
      <c r="M88" s="32"/>
      <c r="N88" s="32"/>
      <c r="O88" s="32"/>
      <c r="P88" s="32"/>
      <c r="Q88" s="32"/>
      <c r="R88" s="32"/>
    </row>
    <row r="89" spans="1:22">
      <c r="B89" s="3581" t="s">
        <v>84</v>
      </c>
      <c r="C89" s="3098">
        <v>2006</v>
      </c>
      <c r="D89" s="2670" t="s">
        <v>716</v>
      </c>
      <c r="F89" s="3581" t="s">
        <v>84</v>
      </c>
      <c r="G89" s="2670">
        <v>2008</v>
      </c>
      <c r="I89" s="2670">
        <v>2009</v>
      </c>
      <c r="J89" s="2670">
        <v>2010</v>
      </c>
      <c r="K89" s="2670">
        <v>2011</v>
      </c>
      <c r="L89" s="2670" t="s">
        <v>210</v>
      </c>
      <c r="M89" s="2670" t="s">
        <v>211</v>
      </c>
    </row>
    <row r="90" spans="1:22">
      <c r="B90" s="3582"/>
      <c r="C90" s="33"/>
      <c r="D90" s="3160" t="s">
        <v>140</v>
      </c>
      <c r="F90" s="3582"/>
      <c r="G90" s="3160" t="s">
        <v>140</v>
      </c>
      <c r="I90" s="3160" t="s">
        <v>140</v>
      </c>
      <c r="J90" s="3160" t="s">
        <v>140</v>
      </c>
      <c r="K90" s="3160" t="s">
        <v>140</v>
      </c>
      <c r="L90" s="3160" t="s">
        <v>140</v>
      </c>
      <c r="M90" s="3160" t="s">
        <v>140</v>
      </c>
    </row>
    <row r="91" spans="1:22">
      <c r="B91" s="3583"/>
      <c r="C91" s="34"/>
      <c r="D91" s="35" t="s">
        <v>142</v>
      </c>
      <c r="F91" s="3583"/>
      <c r="G91" s="35" t="s">
        <v>142</v>
      </c>
      <c r="I91" s="35" t="s">
        <v>142</v>
      </c>
      <c r="J91" s="35" t="s">
        <v>142</v>
      </c>
      <c r="K91" s="35" t="s">
        <v>142</v>
      </c>
      <c r="L91" s="35" t="s">
        <v>142</v>
      </c>
      <c r="M91" s="35" t="s">
        <v>142</v>
      </c>
      <c r="N91" s="101" t="s">
        <v>717</v>
      </c>
      <c r="O91" s="101" t="s">
        <v>718</v>
      </c>
      <c r="P91" s="101" t="s">
        <v>636</v>
      </c>
      <c r="Q91" s="101" t="s">
        <v>637</v>
      </c>
      <c r="R91" s="101" t="s">
        <v>638</v>
      </c>
      <c r="S91" s="101" t="s">
        <v>639</v>
      </c>
      <c r="T91" s="101" t="s">
        <v>719</v>
      </c>
    </row>
    <row r="92" spans="1:22">
      <c r="A92">
        <v>1</v>
      </c>
      <c r="B92" s="1772" t="s">
        <v>181</v>
      </c>
      <c r="C92" s="2691"/>
      <c r="D92" s="2692">
        <f>VLOOKUP(B92,$B$8:$D$25,3,0)</f>
        <v>1867142</v>
      </c>
      <c r="F92" s="2673" t="s">
        <v>125</v>
      </c>
      <c r="G92" s="2692">
        <f t="shared" ref="G92:G109" si="12">VLOOKUP(F92,$F$8:$G$25,2,0)</f>
        <v>2045252</v>
      </c>
      <c r="I92" s="2692">
        <f t="shared" ref="I92:I109" si="13">VLOOKUP(F92,$F$8:$I$25,4,0)</f>
        <v>2503628</v>
      </c>
      <c r="J92" s="2693">
        <f t="shared" ref="J92:J109" si="14">VLOOKUP(F92,$F$8:$K$25,6,0)</f>
        <v>2490843.2409499995</v>
      </c>
      <c r="K92" s="2692">
        <f t="shared" ref="K92:K109" si="15">VLOOKUP(F92,$F$8:$M$25,8,0)</f>
        <v>2456347.4955899999</v>
      </c>
      <c r="L92" s="2692">
        <f t="shared" ref="L92:L109" si="16">VLOOKUP(F92,$F$8:$O$25,10,0)</f>
        <v>2143252.6117200004</v>
      </c>
      <c r="M92" s="186">
        <f t="shared" ref="M92:M110" si="17">VLOOKUP(F92,F8:Q25,12,0)</f>
        <v>2428675.0567999999</v>
      </c>
      <c r="N92">
        <f t="shared" ref="N92:N109" si="18">RANK(D92,$D$92:$D$109,0)</f>
        <v>5</v>
      </c>
      <c r="O92">
        <f t="shared" ref="O92:O109" si="19">RANK(G92,$G$92:$G$109,0)</f>
        <v>5</v>
      </c>
      <c r="P92">
        <f t="shared" ref="P92:P109" si="20">RANK(I92,$I$92:$I$109,0)</f>
        <v>5</v>
      </c>
      <c r="Q92">
        <f t="shared" ref="Q92:Q109" si="21">RANK(J92,$J$92:$J$109,0)</f>
        <v>5</v>
      </c>
      <c r="R92">
        <f t="shared" ref="R92:R109" si="22">RANK(K92,$K$92:$K$109,0)</f>
        <v>5</v>
      </c>
      <c r="S92">
        <f t="shared" ref="S92:S109" si="23">RANK(L92,$L$92:$L$109)</f>
        <v>6</v>
      </c>
      <c r="T92">
        <f t="shared" ref="T92:T109" si="24">RANK(M92,$M$92:$M$110)</f>
        <v>7</v>
      </c>
      <c r="U92" s="58"/>
      <c r="V92" s="58"/>
    </row>
    <row r="93" spans="1:22">
      <c r="A93">
        <v>2</v>
      </c>
      <c r="B93" s="1772" t="s">
        <v>183</v>
      </c>
      <c r="C93" s="2691"/>
      <c r="D93" s="2692">
        <f t="shared" ref="D93:D109" si="25">VLOOKUP(B93,$B$8:$D$25,3,0)</f>
        <v>706293</v>
      </c>
      <c r="F93" s="2673" t="s">
        <v>127</v>
      </c>
      <c r="G93" s="2692">
        <f t="shared" si="12"/>
        <v>932730</v>
      </c>
      <c r="I93" s="2692">
        <f t="shared" si="13"/>
        <v>879285</v>
      </c>
      <c r="J93" s="2693">
        <f t="shared" si="14"/>
        <v>890387</v>
      </c>
      <c r="K93" s="2692">
        <f t="shared" si="15"/>
        <v>942900.64272999996</v>
      </c>
      <c r="L93" s="2692">
        <f t="shared" si="16"/>
        <v>819447.65761999995</v>
      </c>
      <c r="M93" s="186">
        <f t="shared" si="17"/>
        <v>880059.67078814725</v>
      </c>
      <c r="N93">
        <f t="shared" si="18"/>
        <v>6</v>
      </c>
      <c r="O93">
        <f t="shared" si="19"/>
        <v>6</v>
      </c>
      <c r="P93">
        <f t="shared" si="20"/>
        <v>9</v>
      </c>
      <c r="Q93">
        <f t="shared" si="21"/>
        <v>9</v>
      </c>
      <c r="R93">
        <f t="shared" si="22"/>
        <v>10</v>
      </c>
      <c r="S93">
        <f t="shared" si="23"/>
        <v>15</v>
      </c>
      <c r="T93">
        <f t="shared" si="24"/>
        <v>16</v>
      </c>
      <c r="U93" s="58"/>
      <c r="V93" s="58"/>
    </row>
    <row r="94" spans="1:22">
      <c r="A94">
        <v>3</v>
      </c>
      <c r="B94" s="1772" t="s">
        <v>179</v>
      </c>
      <c r="C94" s="2691"/>
      <c r="D94" s="2692">
        <f t="shared" si="25"/>
        <v>414017</v>
      </c>
      <c r="F94" s="2673" t="s">
        <v>91</v>
      </c>
      <c r="G94" s="2692">
        <f t="shared" si="12"/>
        <v>601103</v>
      </c>
      <c r="I94" s="2692">
        <f t="shared" si="13"/>
        <v>1174822</v>
      </c>
      <c r="J94" s="2693">
        <f t="shared" si="14"/>
        <v>1356660</v>
      </c>
      <c r="K94" s="2692">
        <f t="shared" si="15"/>
        <v>1379406</v>
      </c>
      <c r="L94" s="2692">
        <f t="shared" si="16"/>
        <v>1397127.38</v>
      </c>
      <c r="M94" s="186">
        <f t="shared" si="17"/>
        <v>1964907.3</v>
      </c>
      <c r="N94" s="68">
        <f t="shared" si="18"/>
        <v>9</v>
      </c>
      <c r="O94" s="68">
        <f t="shared" si="19"/>
        <v>9</v>
      </c>
      <c r="P94" s="68">
        <f t="shared" si="20"/>
        <v>6</v>
      </c>
      <c r="Q94" s="68">
        <f t="shared" si="21"/>
        <v>6</v>
      </c>
      <c r="R94" s="68">
        <f t="shared" si="22"/>
        <v>8</v>
      </c>
      <c r="S94">
        <f t="shared" si="23"/>
        <v>9</v>
      </c>
      <c r="T94">
        <f t="shared" si="24"/>
        <v>8</v>
      </c>
      <c r="U94" s="58"/>
      <c r="V94" s="58"/>
    </row>
    <row r="95" spans="1:22">
      <c r="A95">
        <v>4</v>
      </c>
      <c r="B95" s="1772" t="s">
        <v>182</v>
      </c>
      <c r="C95" s="2691"/>
      <c r="D95" s="2692">
        <f t="shared" si="25"/>
        <v>678012</v>
      </c>
      <c r="F95" s="2673" t="s">
        <v>126</v>
      </c>
      <c r="G95" s="2692">
        <f t="shared" si="12"/>
        <v>835188</v>
      </c>
      <c r="I95" s="2692">
        <f t="shared" si="13"/>
        <v>953798</v>
      </c>
      <c r="J95" s="2693">
        <f t="shared" si="14"/>
        <v>908756.46100000001</v>
      </c>
      <c r="K95" s="2692">
        <f t="shared" si="15"/>
        <v>916754.25</v>
      </c>
      <c r="L95" s="2692">
        <f t="shared" si="16"/>
        <v>1125837.3460000001</v>
      </c>
      <c r="M95" s="186">
        <f t="shared" si="17"/>
        <v>1232433.2908158177</v>
      </c>
      <c r="N95">
        <f t="shared" si="18"/>
        <v>8</v>
      </c>
      <c r="O95">
        <f t="shared" si="19"/>
        <v>8</v>
      </c>
      <c r="P95">
        <f t="shared" si="20"/>
        <v>8</v>
      </c>
      <c r="Q95">
        <f t="shared" si="21"/>
        <v>8</v>
      </c>
      <c r="R95">
        <f t="shared" si="22"/>
        <v>12</v>
      </c>
      <c r="S95">
        <f t="shared" si="23"/>
        <v>13</v>
      </c>
      <c r="T95">
        <f t="shared" si="24"/>
        <v>14</v>
      </c>
      <c r="U95" s="58"/>
      <c r="V95" s="58"/>
    </row>
    <row r="96" spans="1:22">
      <c r="A96">
        <v>5</v>
      </c>
      <c r="B96" s="1772" t="s">
        <v>177</v>
      </c>
      <c r="C96" s="2691"/>
      <c r="D96" s="2692">
        <f t="shared" si="25"/>
        <v>383590</v>
      </c>
      <c r="F96" s="2673" t="s">
        <v>124</v>
      </c>
      <c r="G96" s="2692">
        <f t="shared" si="12"/>
        <v>459771</v>
      </c>
      <c r="I96" s="2692">
        <f t="shared" si="13"/>
        <v>496749</v>
      </c>
      <c r="J96" s="2693">
        <f t="shared" si="14"/>
        <v>397789</v>
      </c>
      <c r="K96" s="2692">
        <f t="shared" si="15"/>
        <v>582257.21020000009</v>
      </c>
      <c r="L96" s="2692">
        <f t="shared" si="16"/>
        <v>1133240.01455</v>
      </c>
      <c r="M96" s="186">
        <f t="shared" si="17"/>
        <v>1376657</v>
      </c>
      <c r="N96">
        <f t="shared" si="18"/>
        <v>10</v>
      </c>
      <c r="O96">
        <f t="shared" si="19"/>
        <v>11</v>
      </c>
      <c r="P96">
        <f t="shared" si="20"/>
        <v>11</v>
      </c>
      <c r="Q96">
        <f t="shared" si="21"/>
        <v>13</v>
      </c>
      <c r="R96">
        <f t="shared" si="22"/>
        <v>14</v>
      </c>
      <c r="S96">
        <f t="shared" si="23"/>
        <v>12</v>
      </c>
      <c r="T96">
        <f t="shared" si="24"/>
        <v>11</v>
      </c>
      <c r="U96" s="58"/>
      <c r="V96" s="58"/>
    </row>
    <row r="97" spans="1:22">
      <c r="A97">
        <v>6</v>
      </c>
      <c r="B97" s="1772" t="s">
        <v>185</v>
      </c>
      <c r="C97" s="2691"/>
      <c r="D97" s="2692">
        <f t="shared" si="25"/>
        <v>10350684</v>
      </c>
      <c r="F97" s="2673" t="s">
        <v>129</v>
      </c>
      <c r="G97" s="2692">
        <f t="shared" si="12"/>
        <v>11287233</v>
      </c>
      <c r="I97" s="2692">
        <f t="shared" si="13"/>
        <v>9081297</v>
      </c>
      <c r="J97" s="2693">
        <f t="shared" si="14"/>
        <v>8724292</v>
      </c>
      <c r="K97" s="2692">
        <f t="shared" si="15"/>
        <v>9558942</v>
      </c>
      <c r="L97" s="2692">
        <f t="shared" si="16"/>
        <v>10434917</v>
      </c>
      <c r="M97" s="186">
        <f t="shared" si="17"/>
        <v>10311479</v>
      </c>
      <c r="N97">
        <f t="shared" si="18"/>
        <v>1</v>
      </c>
      <c r="O97">
        <f t="shared" si="19"/>
        <v>1</v>
      </c>
      <c r="P97">
        <f t="shared" si="20"/>
        <v>1</v>
      </c>
      <c r="Q97">
        <f t="shared" si="21"/>
        <v>2</v>
      </c>
      <c r="R97">
        <f t="shared" si="22"/>
        <v>2</v>
      </c>
      <c r="S97">
        <f t="shared" si="23"/>
        <v>2</v>
      </c>
      <c r="T97">
        <f t="shared" si="24"/>
        <v>3</v>
      </c>
      <c r="U97" s="58"/>
      <c r="V97" s="58"/>
    </row>
    <row r="98" spans="1:22">
      <c r="A98">
        <v>7</v>
      </c>
      <c r="B98" s="1772" t="s">
        <v>187</v>
      </c>
      <c r="C98" s="2691"/>
      <c r="D98" s="2692">
        <f t="shared" si="25"/>
        <v>34945</v>
      </c>
      <c r="F98" s="2673" t="s">
        <v>131</v>
      </c>
      <c r="G98" s="2692">
        <f t="shared" si="12"/>
        <v>178734</v>
      </c>
      <c r="I98" s="2692">
        <f t="shared" si="13"/>
        <v>28324</v>
      </c>
      <c r="J98" s="2693">
        <f t="shared" si="14"/>
        <v>0</v>
      </c>
      <c r="K98" s="2692">
        <f t="shared" si="15"/>
        <v>0</v>
      </c>
      <c r="L98" s="2692">
        <f t="shared" si="16"/>
        <v>0</v>
      </c>
      <c r="M98" s="186">
        <f t="shared" si="17"/>
        <v>0</v>
      </c>
      <c r="N98" s="68">
        <f t="shared" si="18"/>
        <v>14</v>
      </c>
      <c r="O98" s="68">
        <f t="shared" si="19"/>
        <v>14</v>
      </c>
      <c r="P98" s="68">
        <f t="shared" si="20"/>
        <v>14</v>
      </c>
      <c r="Q98" s="68">
        <f t="shared" si="21"/>
        <v>16</v>
      </c>
      <c r="R98" s="68">
        <f t="shared" si="22"/>
        <v>18</v>
      </c>
      <c r="S98">
        <f t="shared" si="23"/>
        <v>18</v>
      </c>
      <c r="T98">
        <f t="shared" si="24"/>
        <v>19</v>
      </c>
      <c r="U98" s="58"/>
      <c r="V98" s="58"/>
    </row>
    <row r="99" spans="1:22">
      <c r="A99">
        <v>8</v>
      </c>
      <c r="B99" s="1772" t="s">
        <v>184</v>
      </c>
      <c r="C99" s="2691"/>
      <c r="D99" s="2692">
        <f t="shared" si="25"/>
        <v>0</v>
      </c>
      <c r="F99" s="2673" t="s">
        <v>128</v>
      </c>
      <c r="G99" s="2692">
        <f t="shared" si="12"/>
        <v>0</v>
      </c>
      <c r="I99" s="2692">
        <f t="shared" si="13"/>
        <v>0</v>
      </c>
      <c r="J99" s="2693">
        <f t="shared" si="14"/>
        <v>359104.92200000002</v>
      </c>
      <c r="K99" s="2692">
        <f t="shared" si="15"/>
        <v>1149120.5833718772</v>
      </c>
      <c r="L99" s="2692">
        <f t="shared" si="16"/>
        <v>1545225.9615697723</v>
      </c>
      <c r="M99" s="186">
        <f t="shared" si="17"/>
        <v>1330514.5467000725</v>
      </c>
      <c r="N99">
        <f t="shared" si="18"/>
        <v>15</v>
      </c>
      <c r="O99">
        <f t="shared" si="19"/>
        <v>15</v>
      </c>
      <c r="P99">
        <f t="shared" si="20"/>
        <v>15</v>
      </c>
      <c r="Q99">
        <f t="shared" si="21"/>
        <v>14</v>
      </c>
      <c r="R99">
        <f t="shared" si="22"/>
        <v>9</v>
      </c>
      <c r="S99">
        <f t="shared" si="23"/>
        <v>8</v>
      </c>
      <c r="T99">
        <f t="shared" si="24"/>
        <v>12</v>
      </c>
      <c r="U99" s="58"/>
      <c r="V99" s="58"/>
    </row>
    <row r="100" spans="1:22">
      <c r="A100">
        <v>9</v>
      </c>
      <c r="B100" s="1772" t="s">
        <v>186</v>
      </c>
      <c r="C100" s="2691"/>
      <c r="D100" s="2692">
        <f t="shared" si="25"/>
        <v>289691.04300000001</v>
      </c>
      <c r="F100" s="2673" t="s">
        <v>130</v>
      </c>
      <c r="G100" s="2692">
        <f t="shared" si="12"/>
        <v>522448.71100000001</v>
      </c>
      <c r="I100" s="2692">
        <f t="shared" si="13"/>
        <v>596182.65700000001</v>
      </c>
      <c r="J100" s="2693">
        <f t="shared" si="14"/>
        <v>644813.60595</v>
      </c>
      <c r="K100" s="2692">
        <f t="shared" si="15"/>
        <v>922858.52101999999</v>
      </c>
      <c r="L100" s="2692">
        <f t="shared" si="16"/>
        <v>1135011.1609100001</v>
      </c>
      <c r="M100" s="186">
        <f t="shared" si="17"/>
        <v>1272941.2854599999</v>
      </c>
      <c r="N100">
        <f t="shared" si="18"/>
        <v>11</v>
      </c>
      <c r="O100">
        <f t="shared" si="19"/>
        <v>10</v>
      </c>
      <c r="P100">
        <f t="shared" si="20"/>
        <v>10</v>
      </c>
      <c r="Q100">
        <f t="shared" si="21"/>
        <v>11</v>
      </c>
      <c r="R100">
        <f t="shared" si="22"/>
        <v>11</v>
      </c>
      <c r="S100">
        <f t="shared" si="23"/>
        <v>11</v>
      </c>
      <c r="T100">
        <f t="shared" si="24"/>
        <v>13</v>
      </c>
      <c r="U100" s="71"/>
      <c r="V100" s="71"/>
    </row>
    <row r="101" spans="1:22">
      <c r="A101">
        <v>10</v>
      </c>
      <c r="B101" s="1772" t="s">
        <v>188</v>
      </c>
      <c r="C101" s="2691"/>
      <c r="D101" s="2692">
        <f t="shared" si="25"/>
        <v>704577</v>
      </c>
      <c r="F101" s="2673" t="s">
        <v>132</v>
      </c>
      <c r="G101" s="2692">
        <f t="shared" si="12"/>
        <v>924709</v>
      </c>
      <c r="I101" s="2692">
        <f t="shared" si="13"/>
        <v>1130781</v>
      </c>
      <c r="J101" s="2693">
        <f t="shared" si="14"/>
        <v>1255190</v>
      </c>
      <c r="K101" s="2692">
        <f t="shared" si="15"/>
        <v>1623830.11726</v>
      </c>
      <c r="L101" s="2692">
        <f t="shared" si="16"/>
        <v>1635305.00976</v>
      </c>
      <c r="M101" s="186">
        <f t="shared" si="17"/>
        <v>1767360.9385200001</v>
      </c>
      <c r="N101">
        <f t="shared" si="18"/>
        <v>7</v>
      </c>
      <c r="O101">
        <f t="shared" si="19"/>
        <v>7</v>
      </c>
      <c r="P101">
        <f t="shared" si="20"/>
        <v>7</v>
      </c>
      <c r="Q101">
        <f t="shared" si="21"/>
        <v>7</v>
      </c>
      <c r="R101">
        <f t="shared" si="22"/>
        <v>7</v>
      </c>
      <c r="S101">
        <f t="shared" si="23"/>
        <v>7</v>
      </c>
      <c r="T101">
        <f t="shared" si="24"/>
        <v>9</v>
      </c>
      <c r="U101" s="58"/>
      <c r="V101" s="58"/>
    </row>
    <row r="102" spans="1:22">
      <c r="A102">
        <v>11</v>
      </c>
      <c r="B102" s="1772" t="s">
        <v>189</v>
      </c>
      <c r="C102" s="2691"/>
      <c r="D102" s="2692">
        <f t="shared" si="25"/>
        <v>3678224</v>
      </c>
      <c r="F102" s="2673" t="s">
        <v>133</v>
      </c>
      <c r="G102" s="2692">
        <f t="shared" si="12"/>
        <v>3937285</v>
      </c>
      <c r="I102" s="2692">
        <f t="shared" si="13"/>
        <v>4272926</v>
      </c>
      <c r="J102" s="2693">
        <f t="shared" si="14"/>
        <v>4324169.7151100002</v>
      </c>
      <c r="K102" s="2692">
        <f t="shared" si="15"/>
        <v>5086207.4053399796</v>
      </c>
      <c r="L102" s="2692">
        <f t="shared" si="16"/>
        <v>5773429.4972300194</v>
      </c>
      <c r="M102" s="186">
        <f t="shared" si="17"/>
        <v>6342545.7904710202</v>
      </c>
      <c r="N102" s="68">
        <f t="shared" si="18"/>
        <v>3</v>
      </c>
      <c r="O102" s="68">
        <f t="shared" si="19"/>
        <v>3</v>
      </c>
      <c r="P102" s="68">
        <f t="shared" si="20"/>
        <v>3</v>
      </c>
      <c r="Q102" s="68">
        <f t="shared" si="21"/>
        <v>3</v>
      </c>
      <c r="R102" s="68">
        <f t="shared" si="22"/>
        <v>3</v>
      </c>
      <c r="S102">
        <f t="shared" si="23"/>
        <v>3</v>
      </c>
      <c r="T102">
        <f t="shared" si="24"/>
        <v>4</v>
      </c>
      <c r="U102" s="58"/>
      <c r="V102" s="58"/>
    </row>
    <row r="103" spans="1:22">
      <c r="A103">
        <v>12</v>
      </c>
      <c r="B103" s="1772" t="s">
        <v>191</v>
      </c>
      <c r="C103" s="2691"/>
      <c r="D103" s="2692">
        <f t="shared" si="25"/>
        <v>0</v>
      </c>
      <c r="F103" s="2673" t="s">
        <v>134</v>
      </c>
      <c r="G103" s="2692">
        <f t="shared" si="12"/>
        <v>0</v>
      </c>
      <c r="I103" s="2692">
        <f t="shared" si="13"/>
        <v>0</v>
      </c>
      <c r="J103" s="2693">
        <f t="shared" si="14"/>
        <v>0</v>
      </c>
      <c r="K103" s="2692">
        <f t="shared" si="15"/>
        <v>364735.08649000002</v>
      </c>
      <c r="L103" s="2692">
        <f t="shared" si="16"/>
        <v>1295132.62558</v>
      </c>
      <c r="M103" s="186">
        <f t="shared" si="17"/>
        <v>1485520.8119999997</v>
      </c>
      <c r="N103">
        <f t="shared" si="18"/>
        <v>15</v>
      </c>
      <c r="O103">
        <f t="shared" si="19"/>
        <v>15</v>
      </c>
      <c r="P103">
        <f t="shared" si="20"/>
        <v>15</v>
      </c>
      <c r="Q103">
        <f t="shared" si="21"/>
        <v>16</v>
      </c>
      <c r="R103">
        <f t="shared" si="22"/>
        <v>15</v>
      </c>
      <c r="S103">
        <f t="shared" si="23"/>
        <v>10</v>
      </c>
      <c r="T103">
        <f t="shared" si="24"/>
        <v>10</v>
      </c>
      <c r="U103" s="58"/>
      <c r="V103" s="58"/>
    </row>
    <row r="104" spans="1:22">
      <c r="A104">
        <v>13</v>
      </c>
      <c r="B104" s="1772" t="s">
        <v>192</v>
      </c>
      <c r="C104" s="2691"/>
      <c r="D104" s="2692">
        <f t="shared" si="25"/>
        <v>230782</v>
      </c>
      <c r="F104" s="2673" t="s">
        <v>109</v>
      </c>
      <c r="G104" s="2692">
        <f t="shared" si="12"/>
        <v>294317</v>
      </c>
      <c r="I104" s="2692">
        <f t="shared" si="13"/>
        <v>271309</v>
      </c>
      <c r="J104" s="2693">
        <f t="shared" si="14"/>
        <v>467605.90317000001</v>
      </c>
      <c r="K104" s="2692">
        <f t="shared" si="15"/>
        <v>636737.86237999995</v>
      </c>
      <c r="L104" s="2692">
        <f t="shared" si="16"/>
        <v>1049146.7334</v>
      </c>
      <c r="M104" s="186">
        <f t="shared" si="17"/>
        <v>1118982.9757699999</v>
      </c>
      <c r="N104">
        <f t="shared" si="18"/>
        <v>12</v>
      </c>
      <c r="O104">
        <f t="shared" si="19"/>
        <v>12</v>
      </c>
      <c r="P104">
        <f t="shared" si="20"/>
        <v>12</v>
      </c>
      <c r="Q104">
        <f t="shared" si="21"/>
        <v>12</v>
      </c>
      <c r="R104">
        <f t="shared" si="22"/>
        <v>13</v>
      </c>
      <c r="S104">
        <f t="shared" si="23"/>
        <v>14</v>
      </c>
      <c r="T104">
        <f t="shared" si="24"/>
        <v>15</v>
      </c>
      <c r="U104" s="58"/>
      <c r="V104" s="58"/>
    </row>
    <row r="105" spans="1:22">
      <c r="A105">
        <v>14</v>
      </c>
      <c r="B105" s="1772" t="s">
        <v>193</v>
      </c>
      <c r="C105" s="2691"/>
      <c r="D105" s="2692">
        <f t="shared" si="25"/>
        <v>0</v>
      </c>
      <c r="F105" s="2673" t="s">
        <v>111</v>
      </c>
      <c r="G105" s="2692">
        <f t="shared" si="12"/>
        <v>0</v>
      </c>
      <c r="I105" s="2692">
        <f t="shared" si="13"/>
        <v>0</v>
      </c>
      <c r="J105" s="2693">
        <f t="shared" si="14"/>
        <v>0</v>
      </c>
      <c r="K105" s="2692">
        <f t="shared" si="15"/>
        <v>1748.86556</v>
      </c>
      <c r="L105" s="2692">
        <f t="shared" si="16"/>
        <v>308546.43002615747</v>
      </c>
      <c r="M105" s="186">
        <f t="shared" si="17"/>
        <v>355001.40988561278</v>
      </c>
      <c r="N105">
        <f t="shared" si="18"/>
        <v>15</v>
      </c>
      <c r="O105">
        <f t="shared" si="19"/>
        <v>15</v>
      </c>
      <c r="P105">
        <f t="shared" si="20"/>
        <v>15</v>
      </c>
      <c r="Q105">
        <f t="shared" si="21"/>
        <v>16</v>
      </c>
      <c r="R105">
        <f t="shared" si="22"/>
        <v>17</v>
      </c>
      <c r="S105">
        <f t="shared" si="23"/>
        <v>16</v>
      </c>
      <c r="T105">
        <f t="shared" si="24"/>
        <v>17</v>
      </c>
      <c r="U105" s="58"/>
      <c r="V105" s="58"/>
    </row>
    <row r="106" spans="1:22">
      <c r="A106">
        <v>15</v>
      </c>
      <c r="B106" s="1772" t="s">
        <v>194</v>
      </c>
      <c r="C106" s="2691"/>
      <c r="D106" s="2692">
        <f t="shared" si="25"/>
        <v>0</v>
      </c>
      <c r="F106" s="2673" t="s">
        <v>112</v>
      </c>
      <c r="G106" s="2692">
        <f t="shared" si="12"/>
        <v>0</v>
      </c>
      <c r="I106" s="2692">
        <f t="shared" si="13"/>
        <v>0</v>
      </c>
      <c r="J106" s="2693">
        <f t="shared" si="14"/>
        <v>847064</v>
      </c>
      <c r="K106" s="2692">
        <f t="shared" si="15"/>
        <v>2284578</v>
      </c>
      <c r="L106" s="2692">
        <f t="shared" si="16"/>
        <v>2795447.79213</v>
      </c>
      <c r="M106" s="186">
        <f t="shared" si="17"/>
        <v>3085041.1282100007</v>
      </c>
      <c r="N106">
        <f t="shared" si="18"/>
        <v>15</v>
      </c>
      <c r="O106">
        <f t="shared" si="19"/>
        <v>15</v>
      </c>
      <c r="P106">
        <f t="shared" si="20"/>
        <v>15</v>
      </c>
      <c r="Q106">
        <f t="shared" si="21"/>
        <v>10</v>
      </c>
      <c r="R106">
        <f t="shared" si="22"/>
        <v>6</v>
      </c>
      <c r="S106">
        <f t="shared" si="23"/>
        <v>5</v>
      </c>
      <c r="T106">
        <f t="shared" si="24"/>
        <v>6</v>
      </c>
      <c r="U106" s="58"/>
      <c r="V106" s="58"/>
    </row>
    <row r="107" spans="1:22">
      <c r="A107">
        <v>16</v>
      </c>
      <c r="B107" s="1772" t="s">
        <v>196</v>
      </c>
      <c r="C107" s="2691"/>
      <c r="D107" s="2692">
        <f t="shared" si="25"/>
        <v>186000</v>
      </c>
      <c r="F107" s="2673" t="s">
        <v>135</v>
      </c>
      <c r="G107" s="2692">
        <f t="shared" si="12"/>
        <v>216412</v>
      </c>
      <c r="I107" s="2692">
        <f t="shared" si="13"/>
        <v>184409</v>
      </c>
      <c r="J107" s="2693">
        <f t="shared" si="14"/>
        <v>234914</v>
      </c>
      <c r="K107" s="2692">
        <f t="shared" si="15"/>
        <v>232374</v>
      </c>
      <c r="L107" s="2692">
        <f t="shared" si="16"/>
        <v>308142.49066000007</v>
      </c>
      <c r="M107" s="186">
        <f t="shared" si="17"/>
        <v>322591.81438999996</v>
      </c>
      <c r="N107" s="68">
        <f t="shared" si="18"/>
        <v>13</v>
      </c>
      <c r="O107" s="68">
        <f t="shared" si="19"/>
        <v>13</v>
      </c>
      <c r="P107" s="68">
        <f t="shared" si="20"/>
        <v>13</v>
      </c>
      <c r="Q107" s="68">
        <f t="shared" si="21"/>
        <v>15</v>
      </c>
      <c r="R107" s="68">
        <f t="shared" si="22"/>
        <v>16</v>
      </c>
      <c r="S107">
        <f t="shared" si="23"/>
        <v>17</v>
      </c>
      <c r="T107">
        <f t="shared" si="24"/>
        <v>18</v>
      </c>
      <c r="U107" s="58"/>
      <c r="V107" s="58"/>
    </row>
    <row r="108" spans="1:22">
      <c r="A108">
        <v>17</v>
      </c>
      <c r="B108" s="1772" t="s">
        <v>195</v>
      </c>
      <c r="C108" s="2691"/>
      <c r="D108" s="2692">
        <f t="shared" si="25"/>
        <v>8845416.7142199986</v>
      </c>
      <c r="F108" s="2673" t="s">
        <v>115</v>
      </c>
      <c r="G108" s="2692">
        <f t="shared" si="12"/>
        <v>9140845.4283200018</v>
      </c>
      <c r="I108" s="2692">
        <f t="shared" si="13"/>
        <v>8764538.8244118989</v>
      </c>
      <c r="J108" s="2693">
        <f t="shared" si="14"/>
        <v>8766026.9246178009</v>
      </c>
      <c r="K108" s="2692">
        <f t="shared" si="15"/>
        <v>11134582.762270002</v>
      </c>
      <c r="L108" s="2692">
        <f t="shared" si="16"/>
        <v>12359187.410689998</v>
      </c>
      <c r="M108" s="186">
        <f t="shared" si="17"/>
        <v>12785670.661330007</v>
      </c>
      <c r="N108">
        <f t="shared" si="18"/>
        <v>2</v>
      </c>
      <c r="O108">
        <f t="shared" si="19"/>
        <v>2</v>
      </c>
      <c r="P108">
        <f t="shared" si="20"/>
        <v>2</v>
      </c>
      <c r="Q108">
        <f t="shared" si="21"/>
        <v>1</v>
      </c>
      <c r="R108">
        <f t="shared" si="22"/>
        <v>1</v>
      </c>
      <c r="S108">
        <f t="shared" si="23"/>
        <v>1</v>
      </c>
      <c r="T108">
        <f t="shared" si="24"/>
        <v>2</v>
      </c>
      <c r="U108" s="58"/>
      <c r="V108" s="58"/>
    </row>
    <row r="109" spans="1:22">
      <c r="A109">
        <v>18</v>
      </c>
      <c r="B109" s="1772" t="s">
        <v>197</v>
      </c>
      <c r="C109" s="2691"/>
      <c r="D109" s="2692">
        <f t="shared" si="25"/>
        <v>2814653.6389400014</v>
      </c>
      <c r="F109" s="2673" t="s">
        <v>136</v>
      </c>
      <c r="G109" s="2692">
        <f t="shared" si="12"/>
        <v>3182235.5665899995</v>
      </c>
      <c r="I109" s="2692">
        <f t="shared" si="13"/>
        <v>3210217.1266700001</v>
      </c>
      <c r="J109" s="2693">
        <f t="shared" si="14"/>
        <v>3433830.28211</v>
      </c>
      <c r="K109" s="2692">
        <f t="shared" si="15"/>
        <v>4055442.8969999999</v>
      </c>
      <c r="L109" s="2692">
        <f t="shared" si="16"/>
        <v>4436051.5967899989</v>
      </c>
      <c r="M109" s="186">
        <f t="shared" si="17"/>
        <v>5116965.9560599998</v>
      </c>
      <c r="N109" s="68">
        <f t="shared" si="18"/>
        <v>4</v>
      </c>
      <c r="O109" s="68">
        <f t="shared" si="19"/>
        <v>4</v>
      </c>
      <c r="P109" s="68">
        <f t="shared" si="20"/>
        <v>4</v>
      </c>
      <c r="Q109" s="68">
        <f t="shared" si="21"/>
        <v>4</v>
      </c>
      <c r="R109" s="68">
        <f t="shared" si="22"/>
        <v>4</v>
      </c>
      <c r="S109">
        <f t="shared" si="23"/>
        <v>4</v>
      </c>
      <c r="T109">
        <f t="shared" si="24"/>
        <v>5</v>
      </c>
      <c r="U109" s="58"/>
      <c r="V109" s="58"/>
    </row>
    <row r="110" spans="1:22">
      <c r="B110" s="2694" t="s">
        <v>118</v>
      </c>
      <c r="C110" s="3165">
        <f>+C26</f>
        <v>25930519</v>
      </c>
      <c r="D110" s="3166">
        <f>SUM(D92:D109)</f>
        <v>31184027.396159999</v>
      </c>
      <c r="F110" s="2694" t="s">
        <v>118</v>
      </c>
      <c r="G110" s="3166">
        <f>SUM(G92:G109)</f>
        <v>34558263.705909997</v>
      </c>
      <c r="I110" s="3166">
        <f>SUM(I92:I109)</f>
        <v>33548266.608081896</v>
      </c>
      <c r="J110" s="3166">
        <f>SUM(J92:J109)</f>
        <v>35101447.054907799</v>
      </c>
      <c r="K110" s="3166">
        <f>SUM(K92:K109)</f>
        <v>43328823.699211858</v>
      </c>
      <c r="L110" s="3166">
        <f>SUM(L92:L109)</f>
        <v>49694448.718635947</v>
      </c>
      <c r="M110" s="186">
        <f t="shared" si="17"/>
        <v>53177348.637200683</v>
      </c>
    </row>
    <row r="111" spans="1:22">
      <c r="B111" s="3584" t="s">
        <v>148</v>
      </c>
      <c r="C111" s="3099"/>
      <c r="D111" s="3100">
        <f>+D27</f>
        <v>20.259946961184998</v>
      </c>
      <c r="F111" s="3584" t="s">
        <v>148</v>
      </c>
      <c r="G111" s="3101">
        <f>((G110-D110)/D110)*100</f>
        <v>10.820399388712381</v>
      </c>
      <c r="I111" s="3101">
        <f>((I110-G110)/G110)*100</f>
        <v>-2.9225921372183294</v>
      </c>
      <c r="J111" s="3101">
        <f>((J110-I110)/I110)*100</f>
        <v>4.6296891132125921</v>
      </c>
      <c r="K111" s="3101">
        <f>((K110-J110)/J110)*100</f>
        <v>23.438853194383412</v>
      </c>
      <c r="L111" s="3101">
        <f>((L110-K110)/K110)*100</f>
        <v>14.691432806055793</v>
      </c>
      <c r="M111" s="3102">
        <f>((M110-L110)/L110)*100</f>
        <v>7.0086297531631789</v>
      </c>
    </row>
    <row r="112" spans="1:22">
      <c r="B112" s="3740"/>
      <c r="C112" s="92"/>
      <c r="D112" s="87"/>
      <c r="F112" s="3740"/>
      <c r="G112" s="88"/>
      <c r="I112" s="88"/>
      <c r="J112" s="88"/>
      <c r="K112" s="88"/>
      <c r="L112" s="88"/>
      <c r="P112" s="14"/>
    </row>
  </sheetData>
  <customSheetViews>
    <customSheetView guid="{2ACFE167-4169-43A6-9AB2-59D5A2DA2DB4}" showPageBreaks="1" printArea="1" hiddenColumns="1" state="hidden">
      <pane xSplit="4" ySplit="7" topLeftCell="F21" activePane="bottomRight" state="frozen"/>
      <selection pane="bottomRight" activeCell="M35" sqref="M35"/>
      <rowBreaks count="2" manualBreakCount="2">
        <brk id="32" max="16383" man="1"/>
        <brk id="54" max="16383" man="1"/>
      </rowBreaks>
      <colBreaks count="1" manualBreakCount="1">
        <brk id="18" max="1048575" man="1"/>
      </colBreaks>
      <pageMargins left="0" right="0" top="0" bottom="0" header="0" footer="0"/>
      <pageSetup scale="80" orientation="landscape" r:id="rId1"/>
    </customSheetView>
    <customSheetView guid="{967E0446-E234-427F-8E57-7FE287052E2E}" showPageBreaks="1" printArea="1" hiddenColumns="1" state="hidden">
      <pane xSplit="4" ySplit="7" topLeftCell="F21" activePane="bottomRight" state="frozen"/>
      <selection pane="bottomRight" activeCell="M35" sqref="M35"/>
      <rowBreaks count="2" manualBreakCount="2">
        <brk id="32" max="16383" man="1"/>
        <brk id="54" max="16383" man="1"/>
      </rowBreaks>
      <colBreaks count="1" manualBreakCount="1">
        <brk id="18" max="1048575" man="1"/>
      </colBreaks>
      <pageMargins left="0" right="0" top="0" bottom="0" header="0" footer="0"/>
      <pageSetup scale="80" orientation="landscape" r:id="rId2"/>
    </customSheetView>
    <customSheetView guid="{B2E1A0C6-5BA1-4CF1-B412-16D81FCDF11F}" showPageBreaks="1" printArea="1" hiddenColumns="1" state="hidden">
      <pane xSplit="4" ySplit="7" topLeftCell="F21" activePane="bottomRight" state="frozen"/>
      <selection pane="bottomRight" activeCell="M35" sqref="M35"/>
      <rowBreaks count="2" manualBreakCount="2">
        <brk id="32" max="16383" man="1"/>
        <brk id="54" max="16383" man="1"/>
      </rowBreaks>
      <colBreaks count="1" manualBreakCount="1">
        <brk id="18" max="1048575" man="1"/>
      </colBreaks>
      <pageMargins left="0" right="0" top="0" bottom="0" header="0" footer="0"/>
      <pageSetup scale="80" orientation="landscape" r:id="rId3"/>
    </customSheetView>
    <customSheetView guid="{46F31544-8E6F-41C5-8628-1D6EE074AF15}" hiddenColumns="1" state="hidden">
      <pane xSplit="4" ySplit="7" topLeftCell="F21" activePane="bottomRight" state="frozen"/>
      <selection pane="bottomRight" activeCell="M35" sqref="M35"/>
      <rowBreaks count="2" manualBreakCount="2">
        <brk id="32" max="16383" man="1"/>
        <brk id="54" max="16383" man="1"/>
      </rowBreaks>
      <colBreaks count="1" manualBreakCount="1">
        <brk id="18" max="1048575" man="1"/>
      </colBreaks>
      <pageMargins left="0" right="0" top="0" bottom="0" header="0" footer="0"/>
      <pageSetup scale="80" orientation="landscape" r:id="rId4"/>
    </customSheetView>
    <customSheetView guid="{B1E1B596-A9A1-411D-A882-A48CB025B978}" showPageBreaks="1" printArea="1" hiddenColumns="1" state="hidden">
      <pane xSplit="4" ySplit="7" topLeftCell="F21" activePane="bottomRight" state="frozen"/>
      <selection pane="bottomRight" activeCell="M35" sqref="M35"/>
      <rowBreaks count="2" manualBreakCount="2">
        <brk id="32" max="16383" man="1"/>
        <brk id="54" max="16383" man="1"/>
      </rowBreaks>
      <colBreaks count="1" manualBreakCount="1">
        <brk id="18" max="1048575" man="1"/>
      </colBreaks>
      <pageMargins left="0" right="0" top="0" bottom="0" header="0" footer="0"/>
      <pageSetup scale="80" orientation="landscape" r:id="rId5"/>
    </customSheetView>
    <customSheetView guid="{5E394B0B-7867-4722-9497-A93AB2A9A773}" showPageBreaks="1" printArea="1" hiddenColumns="1" state="hidden">
      <pane xSplit="4" ySplit="7" topLeftCell="F21" activePane="bottomRight" state="frozen"/>
      <selection pane="bottomRight" activeCell="M35" sqref="M35"/>
      <rowBreaks count="2" manualBreakCount="2">
        <brk id="32" max="16383" man="1"/>
        <brk id="54" max="16383" man="1"/>
      </rowBreaks>
      <colBreaks count="1" manualBreakCount="1">
        <brk id="18" max="1048575" man="1"/>
      </colBreaks>
      <pageMargins left="0" right="0" top="0" bottom="0" header="0" footer="0"/>
      <pageSetup scale="80" orientation="landscape" r:id="rId6"/>
    </customSheetView>
  </customSheetViews>
  <mergeCells count="32">
    <mergeCell ref="U6:U8"/>
    <mergeCell ref="B27:B28"/>
    <mergeCell ref="D27:E28"/>
    <mergeCell ref="F27:F28"/>
    <mergeCell ref="G27:H28"/>
    <mergeCell ref="I27:J28"/>
    <mergeCell ref="B5:B7"/>
    <mergeCell ref="D5:E5"/>
    <mergeCell ref="F5:F7"/>
    <mergeCell ref="G5:H5"/>
    <mergeCell ref="I5:J5"/>
    <mergeCell ref="K5:L5"/>
    <mergeCell ref="F30:J30"/>
    <mergeCell ref="M5:N5"/>
    <mergeCell ref="O5:P5"/>
    <mergeCell ref="Q5:R5"/>
    <mergeCell ref="T6:T8"/>
    <mergeCell ref="K27:L28"/>
    <mergeCell ref="M27:N28"/>
    <mergeCell ref="O27:P28"/>
    <mergeCell ref="Q27:R28"/>
    <mergeCell ref="F29:J29"/>
    <mergeCell ref="B89:B91"/>
    <mergeCell ref="F89:F91"/>
    <mergeCell ref="B111:B112"/>
    <mergeCell ref="F111:F112"/>
    <mergeCell ref="B38:N39"/>
    <mergeCell ref="B40:N41"/>
    <mergeCell ref="B42:N42"/>
    <mergeCell ref="F81:N82"/>
    <mergeCell ref="F83:M84"/>
    <mergeCell ref="F85:M85"/>
  </mergeCells>
  <hyperlinks>
    <hyperlink ref="B1" location="'List of tables'!A1" display="'List of tables'!A1" xr:uid="{00000000-0004-0000-2C00-000000000000}"/>
  </hyperlinks>
  <pageMargins left="0.2" right="0.2" top="0.75" bottom="0.75" header="0.3" footer="0.3"/>
  <pageSetup scale="80" orientation="landscape" r:id="rId7"/>
  <rowBreaks count="2" manualBreakCount="2">
    <brk id="32" max="16383" man="1"/>
    <brk id="54" max="16383" man="1"/>
  </rowBreaks>
  <colBreaks count="1" manualBreakCount="1">
    <brk id="18" max="1048575" man="1"/>
  </colBreaks>
  <drawing r:id="rId8"/>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5">
    <tabColor rgb="FFFFC000"/>
  </sheetPr>
  <dimension ref="A2:N594"/>
  <sheetViews>
    <sheetView topLeftCell="C55" workbookViewId="0">
      <selection activeCell="H83" sqref="H83"/>
    </sheetView>
  </sheetViews>
  <sheetFormatPr defaultColWidth="9.140625" defaultRowHeight="13.15"/>
  <cols>
    <col min="1" max="1" width="5.85546875" style="291" customWidth="1"/>
    <col min="2" max="2" width="49.5703125" style="2" customWidth="1"/>
    <col min="3" max="3" width="21.42578125" style="2" customWidth="1"/>
    <col min="4" max="4" width="19.42578125" style="2" customWidth="1"/>
    <col min="5" max="5" width="19.28515625" style="2" customWidth="1"/>
    <col min="6" max="6" width="21.7109375" style="2" customWidth="1"/>
    <col min="7" max="7" width="17.7109375" style="2" customWidth="1"/>
    <col min="8" max="8" width="20.28515625" style="2" customWidth="1"/>
    <col min="9" max="9" width="21" style="291" customWidth="1"/>
    <col min="10" max="10" width="12.42578125" style="291" customWidth="1"/>
    <col min="11" max="16384" width="9.140625" style="2"/>
  </cols>
  <sheetData>
    <row r="2" spans="1:14" ht="21" customHeight="1">
      <c r="B2" s="62" t="s">
        <v>720</v>
      </c>
    </row>
    <row r="3" spans="1:14" s="54" customFormat="1" ht="16.5" customHeight="1">
      <c r="A3" s="3598"/>
      <c r="B3" s="3599" t="s">
        <v>721</v>
      </c>
      <c r="C3" s="3600">
        <v>2012</v>
      </c>
      <c r="D3" s="3600"/>
      <c r="E3" s="3600"/>
      <c r="F3" s="3600"/>
      <c r="G3" s="3600"/>
      <c r="H3" s="3600"/>
      <c r="I3" s="109"/>
      <c r="J3" s="109"/>
    </row>
    <row r="4" spans="1:14" s="52" customFormat="1" ht="18.75" customHeight="1">
      <c r="A4" s="3598"/>
      <c r="B4" s="3599"/>
      <c r="C4" s="2532" t="s">
        <v>436</v>
      </c>
      <c r="D4" s="2532" t="s">
        <v>437</v>
      </c>
      <c r="E4" s="2532" t="s">
        <v>438</v>
      </c>
      <c r="F4" s="2532" t="s">
        <v>722</v>
      </c>
      <c r="G4" s="2532" t="s">
        <v>723</v>
      </c>
      <c r="H4" s="2532" t="s">
        <v>118</v>
      </c>
      <c r="I4" s="3358"/>
      <c r="J4" s="264"/>
    </row>
    <row r="5" spans="1:14" s="54" customFormat="1" ht="12.75" customHeight="1">
      <c r="A5" s="3598"/>
      <c r="B5" s="3599"/>
      <c r="C5" s="2696" t="s">
        <v>142</v>
      </c>
      <c r="D5" s="2696" t="s">
        <v>142</v>
      </c>
      <c r="E5" s="2696" t="s">
        <v>142</v>
      </c>
      <c r="F5" s="2696" t="s">
        <v>142</v>
      </c>
      <c r="G5" s="2696" t="s">
        <v>142</v>
      </c>
      <c r="H5" s="2696" t="s">
        <v>142</v>
      </c>
      <c r="I5" s="3358"/>
      <c r="J5" s="109"/>
    </row>
    <row r="6" spans="1:14" s="52" customFormat="1" ht="24.95" customHeight="1">
      <c r="A6" s="285">
        <v>1</v>
      </c>
      <c r="B6" s="2697" t="s">
        <v>215</v>
      </c>
      <c r="C6" s="3601"/>
      <c r="D6" s="3601"/>
      <c r="E6" s="3601"/>
      <c r="F6" s="3601"/>
      <c r="G6" s="3601"/>
      <c r="H6" s="1678">
        <v>36430163.114323758</v>
      </c>
      <c r="I6" s="264"/>
      <c r="J6" s="278"/>
      <c r="K6" s="274"/>
      <c r="L6" s="274"/>
      <c r="M6" s="274"/>
      <c r="N6" s="274"/>
    </row>
    <row r="7" spans="1:14" s="52" customFormat="1" ht="11.25" customHeight="1">
      <c r="A7" s="285"/>
      <c r="B7" s="2697"/>
      <c r="C7" s="1789"/>
      <c r="D7" s="1789"/>
      <c r="E7" s="1789"/>
      <c r="F7" s="1789"/>
      <c r="G7" s="1789"/>
      <c r="H7" s="1789"/>
      <c r="I7" s="264"/>
      <c r="J7" s="278"/>
      <c r="K7" s="274"/>
      <c r="L7" s="274"/>
      <c r="M7" s="274"/>
      <c r="N7" s="274"/>
    </row>
    <row r="8" spans="1:14" s="52" customFormat="1" ht="24.95" customHeight="1">
      <c r="A8" s="285">
        <v>2</v>
      </c>
      <c r="B8" s="2699" t="s">
        <v>342</v>
      </c>
      <c r="C8" s="1678">
        <v>6965655.2528400002</v>
      </c>
      <c r="D8" s="1678">
        <v>1699417.5414</v>
      </c>
      <c r="E8" s="1678">
        <v>27431298.432409987</v>
      </c>
      <c r="F8" s="1678">
        <v>262085.19011999996</v>
      </c>
      <c r="G8" s="1678">
        <v>9136472.7236300018</v>
      </c>
      <c r="H8" s="1678">
        <f>SUM(C8:G8)</f>
        <v>45494929.140399985</v>
      </c>
      <c r="I8" s="286"/>
      <c r="J8" s="264"/>
    </row>
    <row r="9" spans="1:14" s="52" customFormat="1" ht="24.95" customHeight="1">
      <c r="A9" s="285">
        <v>3</v>
      </c>
      <c r="B9" s="2699" t="s">
        <v>724</v>
      </c>
      <c r="C9" s="1678">
        <v>-172424.28512726721</v>
      </c>
      <c r="D9" s="1678">
        <v>-227.12</v>
      </c>
      <c r="E9" s="1678">
        <v>-574.6</v>
      </c>
      <c r="F9" s="1678">
        <v>-1151.35132949335</v>
      </c>
      <c r="G9" s="1678">
        <v>-41923.263233966005</v>
      </c>
      <c r="H9" s="1678">
        <f>SUM(C9:G9)</f>
        <v>-216300.61969072657</v>
      </c>
      <c r="I9" s="286"/>
      <c r="J9" s="264"/>
    </row>
    <row r="10" spans="1:14" s="52" customFormat="1" ht="24.95" customHeight="1">
      <c r="A10" s="285">
        <v>4</v>
      </c>
      <c r="B10" s="2699" t="s">
        <v>725</v>
      </c>
      <c r="C10" s="1678">
        <v>-1417137.0874749999</v>
      </c>
      <c r="D10" s="1678">
        <v>-21163.787550000001</v>
      </c>
      <c r="E10" s="1678">
        <v>-289605.0560924001</v>
      </c>
      <c r="F10" s="1678">
        <v>-16787.002059999999</v>
      </c>
      <c r="G10" s="1678">
        <v>-205111.88832</v>
      </c>
      <c r="H10" s="1678">
        <f>SUM(C10:G10)</f>
        <v>-1949804.8214974001</v>
      </c>
      <c r="I10" s="286"/>
      <c r="J10" s="264"/>
    </row>
    <row r="11" spans="1:14" s="52" customFormat="1" ht="24.95" customHeight="1">
      <c r="A11" s="285">
        <v>5</v>
      </c>
      <c r="B11" s="2699" t="s">
        <v>726</v>
      </c>
      <c r="C11" s="1678">
        <v>-4090136.2933443608</v>
      </c>
      <c r="D11" s="1678">
        <v>-847391.90944199672</v>
      </c>
      <c r="E11" s="1678">
        <v>-387210.78660637117</v>
      </c>
      <c r="F11" s="1678">
        <v>-30099.068890365379</v>
      </c>
      <c r="G11" s="1678">
        <v>-2272842.7612575246</v>
      </c>
      <c r="H11" s="1678">
        <f>SUM(C11:G11)</f>
        <v>-7627680.8195406189</v>
      </c>
      <c r="I11" s="264"/>
      <c r="J11" s="264"/>
    </row>
    <row r="12" spans="1:14" s="52" customFormat="1" ht="24.95" customHeight="1">
      <c r="A12" s="285">
        <v>6</v>
      </c>
      <c r="B12" s="2699" t="s">
        <v>727</v>
      </c>
      <c r="C12" s="2700">
        <f t="shared" ref="C12:H12" si="0">SUM(C8:C11)</f>
        <v>1285957.5868933722</v>
      </c>
      <c r="D12" s="2700">
        <f t="shared" si="0"/>
        <v>830634.72440800315</v>
      </c>
      <c r="E12" s="2700">
        <f t="shared" si="0"/>
        <v>26753907.989711214</v>
      </c>
      <c r="F12" s="2700">
        <f t="shared" si="0"/>
        <v>214047.76784014126</v>
      </c>
      <c r="G12" s="2700">
        <f t="shared" si="0"/>
        <v>6616594.8108185111</v>
      </c>
      <c r="H12" s="2700">
        <f t="shared" si="0"/>
        <v>35701142.879671238</v>
      </c>
      <c r="I12" s="264"/>
      <c r="J12" s="264"/>
    </row>
    <row r="13" spans="1:14" s="52" customFormat="1" ht="24.95" customHeight="1">
      <c r="A13" s="285">
        <v>7</v>
      </c>
      <c r="B13" s="2699" t="s">
        <v>448</v>
      </c>
      <c r="C13" s="1678">
        <v>-144366.84814137794</v>
      </c>
      <c r="D13" s="1678">
        <v>-27957.592235117136</v>
      </c>
      <c r="E13" s="1678">
        <v>-3178837.432607566</v>
      </c>
      <c r="F13" s="1678">
        <v>-24065.221595338506</v>
      </c>
      <c r="G13" s="1678">
        <v>-508519.81994884851</v>
      </c>
      <c r="H13" s="1678">
        <v>-3883746.9145282484</v>
      </c>
      <c r="I13" s="264"/>
      <c r="J13" s="264"/>
    </row>
    <row r="14" spans="1:14" s="52" customFormat="1" ht="24.95" customHeight="1">
      <c r="A14" s="285">
        <v>8</v>
      </c>
      <c r="B14" s="2699" t="s">
        <v>728</v>
      </c>
      <c r="C14" s="2700">
        <f t="shared" ref="C14:H14" si="1">SUM(C12:C13)</f>
        <v>1141590.7387519942</v>
      </c>
      <c r="D14" s="2700">
        <f t="shared" si="1"/>
        <v>802677.13217288605</v>
      </c>
      <c r="E14" s="2700">
        <f t="shared" si="1"/>
        <v>23575070.557103649</v>
      </c>
      <c r="F14" s="2700">
        <f t="shared" si="1"/>
        <v>189982.54624480274</v>
      </c>
      <c r="G14" s="2700">
        <f t="shared" si="1"/>
        <v>6108074.9908696627</v>
      </c>
      <c r="H14" s="2700">
        <f t="shared" si="1"/>
        <v>31817395.965142991</v>
      </c>
      <c r="I14" s="264"/>
      <c r="J14" s="264"/>
    </row>
    <row r="15" spans="1:14" s="52" customFormat="1" ht="24.95" customHeight="1">
      <c r="A15" s="285"/>
      <c r="B15" s="2699"/>
      <c r="C15" s="2700"/>
      <c r="D15" s="2700"/>
      <c r="E15" s="2700"/>
      <c r="F15" s="2700"/>
      <c r="G15" s="2700"/>
      <c r="H15" s="2700">
        <v>0</v>
      </c>
      <c r="I15" s="264"/>
      <c r="J15" s="264"/>
    </row>
    <row r="16" spans="1:14" s="52" customFormat="1" ht="24.95" customHeight="1">
      <c r="A16" s="285"/>
      <c r="B16" s="2697" t="s">
        <v>450</v>
      </c>
      <c r="C16" s="2700"/>
      <c r="D16" s="2700"/>
      <c r="E16" s="2700"/>
      <c r="F16" s="2700"/>
      <c r="G16" s="2700"/>
      <c r="H16" s="2700">
        <v>0</v>
      </c>
      <c r="I16" s="264"/>
      <c r="J16" s="264"/>
    </row>
    <row r="17" spans="1:10" s="52" customFormat="1" ht="24.95" customHeight="1">
      <c r="A17" s="285">
        <v>9</v>
      </c>
      <c r="B17" s="2699" t="s">
        <v>451</v>
      </c>
      <c r="C17" s="1678">
        <v>-559737.38865494577</v>
      </c>
      <c r="D17" s="1678">
        <v>-239522.84962742106</v>
      </c>
      <c r="E17" s="1678">
        <v>-14812843.247700162</v>
      </c>
      <c r="F17" s="1678">
        <v>-59407.006960000006</v>
      </c>
      <c r="G17" s="1678">
        <v>-4003391.6438704114</v>
      </c>
      <c r="H17" s="1678">
        <f>SUM(C17:G17)</f>
        <v>-19674902.13681294</v>
      </c>
      <c r="I17" s="264"/>
      <c r="J17" s="264"/>
    </row>
    <row r="18" spans="1:10" s="52" customFormat="1" ht="24.95" customHeight="1">
      <c r="A18" s="285">
        <v>10</v>
      </c>
      <c r="B18" s="2699" t="s">
        <v>452</v>
      </c>
      <c r="C18" s="1678">
        <v>500445.5253288761</v>
      </c>
      <c r="D18" s="1678">
        <v>67239.928938439363</v>
      </c>
      <c r="E18" s="1678">
        <v>-2393174.7400133228</v>
      </c>
      <c r="F18" s="1678">
        <v>-23329.171879055237</v>
      </c>
      <c r="G18" s="1678">
        <v>-245222.55448994291</v>
      </c>
      <c r="H18" s="1678">
        <f>SUM(C18:G18)</f>
        <v>-2094041.0121150054</v>
      </c>
      <c r="I18" s="284"/>
      <c r="J18" s="264"/>
    </row>
    <row r="19" spans="1:10" s="52" customFormat="1" ht="24.95" customHeight="1">
      <c r="A19" s="285">
        <v>11</v>
      </c>
      <c r="B19" s="2699" t="s">
        <v>453</v>
      </c>
      <c r="C19" s="1678">
        <v>-621733.24227421638</v>
      </c>
      <c r="D19" s="1678">
        <v>-226137.85366833297</v>
      </c>
      <c r="E19" s="1678">
        <v>-1840630.6074507541</v>
      </c>
      <c r="F19" s="1678">
        <v>-26835.075539745256</v>
      </c>
      <c r="G19" s="1678">
        <v>-791771.18643271609</v>
      </c>
      <c r="H19" s="1678">
        <f>SUM(C19:G19)</f>
        <v>-3507107.9653657652</v>
      </c>
      <c r="I19" s="264"/>
      <c r="J19" s="264"/>
    </row>
    <row r="20" spans="1:10" s="236" customFormat="1" ht="24.95" customHeight="1">
      <c r="A20" s="287">
        <v>12</v>
      </c>
      <c r="B20" s="2701" t="s">
        <v>454</v>
      </c>
      <c r="C20" s="2552">
        <f t="shared" ref="C20:H20" si="2">SUM(C14:C19)</f>
        <v>460565.63315170817</v>
      </c>
      <c r="D20" s="2552">
        <f t="shared" si="2"/>
        <v>404256.35781557142</v>
      </c>
      <c r="E20" s="2552">
        <f t="shared" si="2"/>
        <v>4528421.9619394094</v>
      </c>
      <c r="F20" s="2552">
        <f t="shared" si="2"/>
        <v>80411.291866002241</v>
      </c>
      <c r="G20" s="2552">
        <f t="shared" si="2"/>
        <v>1067689.6060765921</v>
      </c>
      <c r="H20" s="2552">
        <f t="shared" si="2"/>
        <v>6541344.8508492801</v>
      </c>
      <c r="I20" s="288"/>
      <c r="J20" s="279"/>
    </row>
    <row r="21" spans="1:10" s="52" customFormat="1" ht="24.95" customHeight="1">
      <c r="A21" s="285"/>
      <c r="B21" s="2702"/>
      <c r="C21" s="2700"/>
      <c r="D21" s="2700"/>
      <c r="E21" s="2700"/>
      <c r="F21" s="2700"/>
      <c r="G21" s="2700"/>
      <c r="H21" s="2700">
        <v>0</v>
      </c>
      <c r="I21" s="264"/>
      <c r="J21" s="264"/>
    </row>
    <row r="22" spans="1:10" s="52" customFormat="1" ht="24.95" customHeight="1">
      <c r="A22" s="285"/>
      <c r="B22" s="2703" t="s">
        <v>455</v>
      </c>
      <c r="C22" s="2700"/>
      <c r="D22" s="2700"/>
      <c r="E22" s="2700"/>
      <c r="F22" s="2700"/>
      <c r="G22" s="2700"/>
      <c r="H22" s="2700">
        <v>0</v>
      </c>
      <c r="I22" s="264"/>
      <c r="J22" s="264"/>
    </row>
    <row r="23" spans="1:10" s="52" customFormat="1" ht="24.95" customHeight="1">
      <c r="A23" s="285">
        <v>13</v>
      </c>
      <c r="B23" s="2699" t="s">
        <v>456</v>
      </c>
      <c r="C23" s="2704"/>
      <c r="D23" s="2704"/>
      <c r="E23" s="2704"/>
      <c r="F23" s="2704"/>
      <c r="G23" s="2704"/>
      <c r="H23" s="1678">
        <v>275079.06624999997</v>
      </c>
      <c r="I23" s="264"/>
      <c r="J23" s="264"/>
    </row>
    <row r="24" spans="1:10" s="52" customFormat="1" ht="24.95" customHeight="1">
      <c r="A24" s="285">
        <v>14</v>
      </c>
      <c r="B24" s="2697" t="s">
        <v>457</v>
      </c>
      <c r="C24" s="2704"/>
      <c r="D24" s="2704"/>
      <c r="E24" s="2704"/>
      <c r="F24" s="2704"/>
      <c r="G24" s="2704"/>
      <c r="H24" s="1678">
        <v>3386939.522284647</v>
      </c>
      <c r="I24" s="264"/>
      <c r="J24" s="264"/>
    </row>
    <row r="25" spans="1:10" s="52" customFormat="1" ht="24.95" customHeight="1">
      <c r="A25" s="285">
        <v>15</v>
      </c>
      <c r="B25" s="2699" t="s">
        <v>460</v>
      </c>
      <c r="C25" s="2704"/>
      <c r="D25" s="2704"/>
      <c r="E25" s="2704"/>
      <c r="F25" s="2704"/>
      <c r="G25" s="2704"/>
      <c r="H25" s="1678">
        <v>950748.56064612162</v>
      </c>
      <c r="I25" s="264"/>
      <c r="J25" s="264"/>
    </row>
    <row r="26" spans="1:10" s="52" customFormat="1" ht="24.95" customHeight="1">
      <c r="A26" s="285"/>
      <c r="B26" s="2697" t="s">
        <v>461</v>
      </c>
      <c r="C26" s="2704"/>
      <c r="D26" s="2704"/>
      <c r="E26" s="2704"/>
      <c r="F26" s="2704"/>
      <c r="G26" s="2704"/>
      <c r="H26" s="1678">
        <v>0</v>
      </c>
      <c r="I26" s="264"/>
      <c r="J26" s="264"/>
    </row>
    <row r="27" spans="1:10" s="52" customFormat="1" ht="32.25" customHeight="1">
      <c r="A27" s="285">
        <v>16</v>
      </c>
      <c r="B27" s="2705" t="s">
        <v>462</v>
      </c>
      <c r="C27" s="2704"/>
      <c r="D27" s="2704"/>
      <c r="E27" s="2704"/>
      <c r="F27" s="2704"/>
      <c r="G27" s="2704"/>
      <c r="H27" s="1678">
        <v>-6014938.4026716743</v>
      </c>
      <c r="I27" s="264"/>
      <c r="J27" s="264"/>
    </row>
    <row r="28" spans="1:10" s="52" customFormat="1" ht="24.95" customHeight="1">
      <c r="A28" s="285">
        <v>17</v>
      </c>
      <c r="B28" s="2699" t="s">
        <v>463</v>
      </c>
      <c r="C28" s="2704"/>
      <c r="D28" s="2704"/>
      <c r="E28" s="2704"/>
      <c r="F28" s="2704"/>
      <c r="G28" s="2704"/>
      <c r="H28" s="1678">
        <v>-441831.37564000004</v>
      </c>
      <c r="I28" s="264"/>
      <c r="J28" s="264"/>
    </row>
    <row r="29" spans="1:10" s="52" customFormat="1" ht="24.95" customHeight="1">
      <c r="A29" s="285">
        <v>18</v>
      </c>
      <c r="B29" s="2697" t="s">
        <v>464</v>
      </c>
      <c r="C29" s="2706"/>
      <c r="D29" s="2706"/>
      <c r="E29" s="2706"/>
      <c r="F29" s="2706"/>
      <c r="G29" s="2706"/>
      <c r="H29" s="2700">
        <f>SUM(H20:H28)</f>
        <v>4697342.2217183756</v>
      </c>
      <c r="I29" s="264"/>
      <c r="J29" s="264"/>
    </row>
    <row r="30" spans="1:10" s="52" customFormat="1" ht="24.95" customHeight="1">
      <c r="A30" s="285">
        <v>19</v>
      </c>
      <c r="B30" s="2699" t="s">
        <v>465</v>
      </c>
      <c r="C30" s="2704"/>
      <c r="D30" s="2704"/>
      <c r="E30" s="2704"/>
      <c r="F30" s="2704"/>
      <c r="G30" s="2704"/>
      <c r="H30" s="1678">
        <v>-47183.611089999999</v>
      </c>
      <c r="I30" s="264"/>
      <c r="J30" s="264"/>
    </row>
    <row r="31" spans="1:10" s="52" customFormat="1" ht="24.95" customHeight="1">
      <c r="A31" s="285">
        <v>20</v>
      </c>
      <c r="B31" s="2707" t="s">
        <v>466</v>
      </c>
      <c r="C31" s="2706"/>
      <c r="D31" s="2706"/>
      <c r="E31" s="2706"/>
      <c r="F31" s="2706"/>
      <c r="G31" s="2706"/>
      <c r="H31" s="2700">
        <f>SUM(H29:H30)</f>
        <v>4650158.6106283758</v>
      </c>
      <c r="I31" s="264"/>
      <c r="J31" s="264"/>
    </row>
    <row r="32" spans="1:10" s="52" customFormat="1" ht="24.95" customHeight="1">
      <c r="A32" s="285">
        <v>21</v>
      </c>
      <c r="B32" s="2707" t="s">
        <v>467</v>
      </c>
      <c r="C32" s="2704"/>
      <c r="D32" s="2704"/>
      <c r="E32" s="2704"/>
      <c r="F32" s="2704"/>
      <c r="G32" s="2704"/>
      <c r="H32" s="1678">
        <v>-693097.53291000007</v>
      </c>
      <c r="I32" s="264"/>
      <c r="J32" s="264"/>
    </row>
    <row r="33" spans="1:14" s="52" customFormat="1" ht="24.95" customHeight="1">
      <c r="A33" s="285">
        <v>22</v>
      </c>
      <c r="B33" s="2707" t="s">
        <v>468</v>
      </c>
      <c r="C33" s="2706"/>
      <c r="D33" s="2706"/>
      <c r="E33" s="2706"/>
      <c r="F33" s="2706"/>
      <c r="G33" s="2706"/>
      <c r="H33" s="2700">
        <f>SUM(H31:H32)</f>
        <v>3957061.0777183757</v>
      </c>
      <c r="I33" s="264"/>
      <c r="J33" s="264"/>
    </row>
    <row r="34" spans="1:14" s="52" customFormat="1" ht="24.95" customHeight="1">
      <c r="A34" s="285"/>
      <c r="B34" s="290"/>
      <c r="C34" s="289"/>
      <c r="D34" s="289"/>
      <c r="E34" s="289"/>
      <c r="F34" s="289"/>
      <c r="G34" s="289"/>
      <c r="H34" s="289"/>
      <c r="I34" s="264"/>
      <c r="J34" s="264"/>
    </row>
    <row r="35" spans="1:14" s="52" customFormat="1" ht="24.95" customHeight="1">
      <c r="A35" s="285"/>
      <c r="B35" s="290"/>
      <c r="C35" s="289"/>
      <c r="D35" s="289"/>
      <c r="E35" s="289"/>
      <c r="F35" s="289"/>
      <c r="G35" s="289"/>
      <c r="H35" s="289"/>
      <c r="I35" s="264"/>
      <c r="J35" s="264"/>
    </row>
    <row r="36" spans="1:14" s="54" customFormat="1" ht="17.45" customHeight="1">
      <c r="A36" s="3598">
        <v>1</v>
      </c>
      <c r="B36" s="3599" t="s">
        <v>125</v>
      </c>
      <c r="C36" s="3600">
        <v>2012</v>
      </c>
      <c r="D36" s="3600"/>
      <c r="E36" s="3600"/>
      <c r="F36" s="3600"/>
      <c r="G36" s="3600"/>
      <c r="H36" s="3600"/>
      <c r="I36" s="109"/>
      <c r="J36" s="109"/>
    </row>
    <row r="37" spans="1:14" s="54" customFormat="1" ht="17.45" customHeight="1">
      <c r="A37" s="3598"/>
      <c r="B37" s="3599"/>
      <c r="C37" s="2532" t="s">
        <v>436</v>
      </c>
      <c r="D37" s="2532" t="s">
        <v>437</v>
      </c>
      <c r="E37" s="2532" t="s">
        <v>438</v>
      </c>
      <c r="F37" s="2532" t="s">
        <v>722</v>
      </c>
      <c r="G37" s="2532" t="s">
        <v>723</v>
      </c>
      <c r="H37" s="2532" t="s">
        <v>118</v>
      </c>
      <c r="I37" s="3358"/>
      <c r="J37" s="109"/>
    </row>
    <row r="38" spans="1:14" s="54" customFormat="1" ht="17.45" customHeight="1">
      <c r="A38" s="3598"/>
      <c r="B38" s="3599"/>
      <c r="C38" s="2696" t="s">
        <v>142</v>
      </c>
      <c r="D38" s="2696" t="s">
        <v>142</v>
      </c>
      <c r="E38" s="2696" t="s">
        <v>142</v>
      </c>
      <c r="F38" s="2696" t="s">
        <v>142</v>
      </c>
      <c r="G38" s="2696" t="s">
        <v>142</v>
      </c>
      <c r="H38" s="2696" t="s">
        <v>142</v>
      </c>
      <c r="I38" s="3358"/>
      <c r="J38" s="109"/>
    </row>
    <row r="39" spans="1:14" s="52" customFormat="1" ht="17.45" customHeight="1">
      <c r="A39" s="285">
        <v>1</v>
      </c>
      <c r="B39" s="2697" t="s">
        <v>215</v>
      </c>
      <c r="C39" s="3601"/>
      <c r="D39" s="3601"/>
      <c r="E39" s="3601"/>
      <c r="F39" s="3601"/>
      <c r="G39" s="3601"/>
      <c r="H39" s="1711">
        <f>+H47+H56+H57+H58</f>
        <v>2581749.87531</v>
      </c>
      <c r="I39" s="264"/>
      <c r="J39" s="278"/>
      <c r="K39" s="274"/>
      <c r="L39" s="274"/>
      <c r="M39" s="274"/>
      <c r="N39" s="274"/>
    </row>
    <row r="40" spans="1:14" s="52" customFormat="1" ht="5.25" customHeight="1">
      <c r="A40" s="285"/>
      <c r="B40" s="2697"/>
      <c r="C40" s="1789"/>
      <c r="D40" s="1789"/>
      <c r="E40" s="1789"/>
      <c r="F40" s="1789"/>
      <c r="G40" s="1789"/>
      <c r="H40" s="1789"/>
      <c r="I40" s="264"/>
      <c r="J40" s="278"/>
      <c r="K40" s="274"/>
      <c r="L40" s="274"/>
      <c r="M40" s="274"/>
      <c r="N40" s="274"/>
    </row>
    <row r="41" spans="1:14" s="52" customFormat="1" ht="20.100000000000001" customHeight="1">
      <c r="A41" s="285">
        <v>2</v>
      </c>
      <c r="B41" s="2699" t="s">
        <v>342</v>
      </c>
      <c r="C41" s="2708">
        <v>407127.02594999998</v>
      </c>
      <c r="D41" s="2708">
        <v>128949.56548</v>
      </c>
      <c r="E41" s="2708">
        <v>1773816.2413399999</v>
      </c>
      <c r="F41" s="2708">
        <v>16445</v>
      </c>
      <c r="G41" s="2708">
        <v>365555.86285999999</v>
      </c>
      <c r="H41" s="2709">
        <f>SUM(C41:G41)</f>
        <v>2691893.69563</v>
      </c>
      <c r="I41" s="286"/>
      <c r="J41" s="264"/>
    </row>
    <row r="42" spans="1:14" s="52" customFormat="1" ht="20.100000000000001" customHeight="1">
      <c r="A42" s="285">
        <v>3</v>
      </c>
      <c r="B42" s="2699" t="s">
        <v>444</v>
      </c>
      <c r="C42" s="2708">
        <v>-17205.777390000003</v>
      </c>
      <c r="D42" s="2708">
        <v>0</v>
      </c>
      <c r="E42" s="2708"/>
      <c r="F42" s="2708"/>
      <c r="G42" s="2708">
        <v>-15002.819690000006</v>
      </c>
      <c r="H42" s="2709">
        <f>SUM(C42:G42)</f>
        <v>-32208.597080000007</v>
      </c>
      <c r="I42" s="286"/>
      <c r="J42" s="264"/>
    </row>
    <row r="43" spans="1:14" s="52" customFormat="1" ht="20.100000000000001" customHeight="1">
      <c r="A43" s="285">
        <v>4</v>
      </c>
      <c r="B43" s="2699" t="s">
        <v>445</v>
      </c>
      <c r="C43" s="2708">
        <v>-137919.96430999995</v>
      </c>
      <c r="D43" s="2708">
        <v>-727.93295000000001</v>
      </c>
      <c r="E43" s="2708">
        <v>-36457</v>
      </c>
      <c r="F43" s="2708"/>
      <c r="G43" s="2708">
        <v>-28232.705699999991</v>
      </c>
      <c r="H43" s="2709">
        <f>SUM(C43:G43)</f>
        <v>-203337.60295999993</v>
      </c>
      <c r="I43" s="286"/>
      <c r="J43" s="264"/>
    </row>
    <row r="44" spans="1:14" s="52" customFormat="1" ht="20.100000000000001" customHeight="1">
      <c r="A44" s="285">
        <v>5</v>
      </c>
      <c r="B44" s="2699" t="s">
        <v>446</v>
      </c>
      <c r="C44" s="2708">
        <v>-149559.23387000005</v>
      </c>
      <c r="D44" s="2708">
        <v>-55260.55068</v>
      </c>
      <c r="E44" s="2708">
        <v>-0.49908000000141328</v>
      </c>
      <c r="F44" s="2708">
        <v>-2306</v>
      </c>
      <c r="G44" s="2708">
        <v>-34250.334060000008</v>
      </c>
      <c r="H44" s="2709">
        <f>SUM(C44:G44)</f>
        <v>-241376.61769000004</v>
      </c>
      <c r="I44" s="264"/>
      <c r="J44" s="264"/>
    </row>
    <row r="45" spans="1:14" s="52" customFormat="1" ht="20.100000000000001" customHeight="1">
      <c r="A45" s="285">
        <v>6</v>
      </c>
      <c r="B45" s="2699" t="s">
        <v>727</v>
      </c>
      <c r="C45" s="2709">
        <f t="shared" ref="C45:H45" si="3">SUM(C41:C44)</f>
        <v>102442.05037999997</v>
      </c>
      <c r="D45" s="2709">
        <f t="shared" si="3"/>
        <v>72961.081850000002</v>
      </c>
      <c r="E45" s="2709">
        <f t="shared" si="3"/>
        <v>1737358.74226</v>
      </c>
      <c r="F45" s="2709">
        <f t="shared" si="3"/>
        <v>14139</v>
      </c>
      <c r="G45" s="2709">
        <f t="shared" si="3"/>
        <v>288070.00340999995</v>
      </c>
      <c r="H45" s="2709">
        <f t="shared" si="3"/>
        <v>2214970.8778999997</v>
      </c>
      <c r="I45" s="264"/>
      <c r="J45" s="264"/>
    </row>
    <row r="46" spans="1:14" s="52" customFormat="1" ht="20.100000000000001" customHeight="1">
      <c r="A46" s="285">
        <v>7</v>
      </c>
      <c r="B46" s="2699" t="s">
        <v>448</v>
      </c>
      <c r="C46" s="2708">
        <v>8872.6935699999995</v>
      </c>
      <c r="D46" s="2708">
        <v>-3412.8976100000104</v>
      </c>
      <c r="E46" s="2708">
        <v>6901.1340100002699</v>
      </c>
      <c r="F46" s="2708">
        <v>-828.31603533850193</v>
      </c>
      <c r="G46" s="2708">
        <v>19227.383475338502</v>
      </c>
      <c r="H46" s="2709">
        <f t="shared" ref="H46:H52" si="4">SUM(C46:G46)</f>
        <v>30759.997410000258</v>
      </c>
      <c r="I46" s="264"/>
      <c r="J46" s="264"/>
    </row>
    <row r="47" spans="1:14" s="52" customFormat="1" ht="20.100000000000001" customHeight="1">
      <c r="A47" s="285">
        <v>8</v>
      </c>
      <c r="B47" s="2699" t="s">
        <v>728</v>
      </c>
      <c r="C47" s="2709">
        <f t="shared" ref="C47:H47" si="5">SUM(C45:C46)</f>
        <v>111314.74394999997</v>
      </c>
      <c r="D47" s="2709">
        <f t="shared" si="5"/>
        <v>69548.184239999988</v>
      </c>
      <c r="E47" s="2709">
        <f t="shared" si="5"/>
        <v>1744259.8762700001</v>
      </c>
      <c r="F47" s="2709">
        <f t="shared" si="5"/>
        <v>13310.683964661497</v>
      </c>
      <c r="G47" s="2709">
        <f t="shared" si="5"/>
        <v>307297.38688533846</v>
      </c>
      <c r="H47" s="2709">
        <f t="shared" si="5"/>
        <v>2245730.87531</v>
      </c>
      <c r="I47" s="264"/>
      <c r="J47" s="264"/>
    </row>
    <row r="48" spans="1:14" s="52" customFormat="1" ht="20.100000000000001" customHeight="1">
      <c r="A48" s="285"/>
      <c r="B48" s="2699"/>
      <c r="C48" s="2700"/>
      <c r="D48" s="2700"/>
      <c r="E48" s="2700"/>
      <c r="F48" s="2700"/>
      <c r="G48" s="2700"/>
      <c r="H48" s="2700">
        <f t="shared" si="4"/>
        <v>0</v>
      </c>
      <c r="I48" s="264"/>
      <c r="J48" s="264"/>
    </row>
    <row r="49" spans="1:10" s="52" customFormat="1" ht="20.100000000000001" customHeight="1">
      <c r="A49" s="285"/>
      <c r="B49" s="2697" t="s">
        <v>450</v>
      </c>
      <c r="C49" s="2700"/>
      <c r="D49" s="2700"/>
      <c r="E49" s="2700"/>
      <c r="F49" s="2700"/>
      <c r="G49" s="2700"/>
      <c r="H49" s="2700">
        <f t="shared" si="4"/>
        <v>0</v>
      </c>
      <c r="I49" s="264"/>
      <c r="J49" s="264"/>
    </row>
    <row r="50" spans="1:10" s="52" customFormat="1" ht="20.100000000000001" customHeight="1">
      <c r="A50" s="285">
        <v>9</v>
      </c>
      <c r="B50" s="2699" t="s">
        <v>451</v>
      </c>
      <c r="C50" s="2708">
        <v>-33518.710030000002</v>
      </c>
      <c r="D50" s="2708">
        <v>-16566.787990000001</v>
      </c>
      <c r="E50" s="2708">
        <v>-1219697.57427</v>
      </c>
      <c r="F50" s="2708">
        <v>-4000.6</v>
      </c>
      <c r="G50" s="2708">
        <v>-181198.95827999999</v>
      </c>
      <c r="H50" s="2709">
        <f t="shared" si="4"/>
        <v>-1454982.63057</v>
      </c>
      <c r="I50" s="264"/>
      <c r="J50" s="264"/>
    </row>
    <row r="51" spans="1:10" s="52" customFormat="1" ht="20.100000000000001" customHeight="1">
      <c r="A51" s="285">
        <v>10</v>
      </c>
      <c r="B51" s="2699" t="s">
        <v>452</v>
      </c>
      <c r="C51" s="2708">
        <v>27646.801758087699</v>
      </c>
      <c r="D51" s="2708">
        <v>753.23666801108197</v>
      </c>
      <c r="E51" s="2708">
        <v>-178612.93827582299</v>
      </c>
      <c r="F51" s="2708">
        <v>-1157.6708590552373</v>
      </c>
      <c r="G51" s="2708">
        <v>1651.9057060435407</v>
      </c>
      <c r="H51" s="2709">
        <f t="shared" si="4"/>
        <v>-149718.66500273591</v>
      </c>
      <c r="I51" s="264"/>
      <c r="J51" s="264"/>
    </row>
    <row r="52" spans="1:10" s="52" customFormat="1" ht="20.100000000000001" customHeight="1">
      <c r="A52" s="285">
        <v>11</v>
      </c>
      <c r="B52" s="2699" t="s">
        <v>453</v>
      </c>
      <c r="C52" s="2708">
        <v>-155638.19656645774</v>
      </c>
      <c r="D52" s="2708">
        <v>-37003.155871704541</v>
      </c>
      <c r="E52" s="2708">
        <v>-346856.96002861601</v>
      </c>
      <c r="F52" s="2708">
        <v>-6037.5245450169232</v>
      </c>
      <c r="G52" s="2708">
        <v>-181801.86543896963</v>
      </c>
      <c r="H52" s="2709">
        <f t="shared" si="4"/>
        <v>-727337.70245076483</v>
      </c>
      <c r="I52" s="264"/>
      <c r="J52" s="264"/>
    </row>
    <row r="53" spans="1:10" s="52" customFormat="1" ht="20.100000000000001" customHeight="1">
      <c r="A53" s="287">
        <v>12</v>
      </c>
      <c r="B53" s="2701" t="s">
        <v>454</v>
      </c>
      <c r="C53" s="2710">
        <f t="shared" ref="C53:H53" si="6">SUM(C47:C52)</f>
        <v>-50195.36088837008</v>
      </c>
      <c r="D53" s="2710">
        <f t="shared" si="6"/>
        <v>16731.477046306529</v>
      </c>
      <c r="E53" s="2710">
        <f t="shared" si="6"/>
        <v>-907.59630443889182</v>
      </c>
      <c r="F53" s="2710">
        <f t="shared" si="6"/>
        <v>2114.8885605893365</v>
      </c>
      <c r="G53" s="2710">
        <f t="shared" si="6"/>
        <v>-54051.531127587616</v>
      </c>
      <c r="H53" s="2710">
        <f t="shared" si="6"/>
        <v>-86308.12271350075</v>
      </c>
      <c r="I53" s="288"/>
      <c r="J53" s="264"/>
    </row>
    <row r="54" spans="1:10" s="52" customFormat="1" ht="20.100000000000001" customHeight="1">
      <c r="A54" s="285"/>
      <c r="B54" s="2702"/>
      <c r="C54" s="2700"/>
      <c r="D54" s="2700"/>
      <c r="E54" s="2700"/>
      <c r="F54" s="2700"/>
      <c r="G54" s="2700"/>
      <c r="H54" s="2700">
        <f>SUM(C54:G54)</f>
        <v>0</v>
      </c>
      <c r="I54" s="264"/>
      <c r="J54" s="264"/>
    </row>
    <row r="55" spans="1:10" s="52" customFormat="1" ht="20.100000000000001" customHeight="1">
      <c r="A55" s="285"/>
      <c r="B55" s="2703" t="s">
        <v>455</v>
      </c>
      <c r="C55" s="2700"/>
      <c r="D55" s="2700"/>
      <c r="E55" s="2700"/>
      <c r="F55" s="2700"/>
      <c r="G55" s="2700"/>
      <c r="H55" s="2700">
        <f>SUM(C55:G55)</f>
        <v>0</v>
      </c>
      <c r="I55" s="264"/>
      <c r="J55" s="264"/>
    </row>
    <row r="56" spans="1:10" s="52" customFormat="1" ht="20.100000000000001" customHeight="1">
      <c r="A56" s="285">
        <v>13</v>
      </c>
      <c r="B56" s="2699" t="s">
        <v>456</v>
      </c>
      <c r="C56" s="2700"/>
      <c r="D56" s="2700"/>
      <c r="E56" s="2700"/>
      <c r="F56" s="2700"/>
      <c r="G56" s="2700"/>
      <c r="H56" s="2700">
        <f>SUM(C56:G56)</f>
        <v>0</v>
      </c>
      <c r="I56" s="264"/>
      <c r="J56" s="264"/>
    </row>
    <row r="57" spans="1:10" s="52" customFormat="1" ht="20.100000000000001" customHeight="1">
      <c r="A57" s="285">
        <v>14</v>
      </c>
      <c r="B57" s="2697" t="s">
        <v>457</v>
      </c>
      <c r="C57" s="2700"/>
      <c r="D57" s="2700"/>
      <c r="E57" s="2700"/>
      <c r="F57" s="2700"/>
      <c r="G57" s="2700"/>
      <c r="H57" s="2709">
        <v>317762</v>
      </c>
      <c r="I57" s="264"/>
      <c r="J57" s="264"/>
    </row>
    <row r="58" spans="1:10" s="52" customFormat="1" ht="20.100000000000001" customHeight="1">
      <c r="A58" s="285">
        <v>15</v>
      </c>
      <c r="B58" s="2699" t="s">
        <v>460</v>
      </c>
      <c r="C58" s="2700"/>
      <c r="D58" s="2700"/>
      <c r="E58" s="2700"/>
      <c r="F58" s="2700"/>
      <c r="G58" s="2700"/>
      <c r="H58" s="2709">
        <f>38570-20313</f>
        <v>18257</v>
      </c>
      <c r="I58" s="264"/>
      <c r="J58" s="264"/>
    </row>
    <row r="59" spans="1:10" s="52" customFormat="1" ht="20.100000000000001" customHeight="1">
      <c r="A59" s="285"/>
      <c r="B59" s="2697" t="s">
        <v>461</v>
      </c>
      <c r="C59" s="2700"/>
      <c r="D59" s="2700"/>
      <c r="E59" s="2700"/>
      <c r="F59" s="2700"/>
      <c r="G59" s="2700"/>
      <c r="H59" s="2700">
        <f>SUM(C59:G59)</f>
        <v>0</v>
      </c>
      <c r="I59" s="264"/>
      <c r="J59" s="264"/>
    </row>
    <row r="60" spans="1:10" s="52" customFormat="1" ht="27" customHeight="1">
      <c r="A60" s="285">
        <v>16</v>
      </c>
      <c r="B60" s="2705" t="s">
        <v>462</v>
      </c>
      <c r="C60" s="2700"/>
      <c r="D60" s="2700"/>
      <c r="E60" s="2700"/>
      <c r="F60" s="2700"/>
      <c r="G60" s="2700"/>
      <c r="H60" s="2700">
        <f>SUM(C60:G60)</f>
        <v>0</v>
      </c>
      <c r="I60" s="264"/>
      <c r="J60" s="264"/>
    </row>
    <row r="61" spans="1:10" s="52" customFormat="1" ht="20.100000000000001" customHeight="1">
      <c r="A61" s="285">
        <v>17</v>
      </c>
      <c r="B61" s="2699" t="s">
        <v>463</v>
      </c>
      <c r="C61" s="2700"/>
      <c r="D61" s="2700"/>
      <c r="E61" s="2700"/>
      <c r="F61" s="2700"/>
      <c r="G61" s="2700"/>
      <c r="H61" s="2711">
        <f>-29500+20313-4</f>
        <v>-9191</v>
      </c>
      <c r="I61" s="264"/>
      <c r="J61" s="264"/>
    </row>
    <row r="62" spans="1:10" s="52" customFormat="1" ht="20.100000000000001" customHeight="1">
      <c r="A62" s="285">
        <v>18</v>
      </c>
      <c r="B62" s="2697" t="s">
        <v>464</v>
      </c>
      <c r="C62" s="2709">
        <f t="shared" ref="C62:H62" si="7">SUM(C53:C61)</f>
        <v>-50195.36088837008</v>
      </c>
      <c r="D62" s="2709">
        <f t="shared" si="7"/>
        <v>16731.477046306529</v>
      </c>
      <c r="E62" s="2709">
        <f t="shared" si="7"/>
        <v>-907.59630443889182</v>
      </c>
      <c r="F62" s="2709">
        <f t="shared" si="7"/>
        <v>2114.8885605893365</v>
      </c>
      <c r="G62" s="2709">
        <f t="shared" si="7"/>
        <v>-54051.531127587616</v>
      </c>
      <c r="H62" s="2709">
        <f t="shared" si="7"/>
        <v>240519.87728649925</v>
      </c>
      <c r="I62" s="264"/>
      <c r="J62" s="264"/>
    </row>
    <row r="63" spans="1:10" s="52" customFormat="1" ht="20.100000000000001" customHeight="1">
      <c r="A63" s="285">
        <v>19</v>
      </c>
      <c r="B63" s="2699" t="s">
        <v>465</v>
      </c>
      <c r="C63" s="2700"/>
      <c r="D63" s="2700"/>
      <c r="E63" s="2700"/>
      <c r="F63" s="2700"/>
      <c r="G63" s="2700"/>
      <c r="H63" s="2700">
        <f>SUM(C63:G63)</f>
        <v>0</v>
      </c>
      <c r="I63" s="264"/>
      <c r="J63" s="264"/>
    </row>
    <row r="64" spans="1:10" s="52" customFormat="1" ht="20.100000000000001" customHeight="1">
      <c r="A64" s="285">
        <v>20</v>
      </c>
      <c r="B64" s="2707" t="s">
        <v>466</v>
      </c>
      <c r="C64" s="2700">
        <f t="shared" ref="C64:H64" si="8">SUM(C62:C63)</f>
        <v>-50195.36088837008</v>
      </c>
      <c r="D64" s="2700">
        <f t="shared" si="8"/>
        <v>16731.477046306529</v>
      </c>
      <c r="E64" s="2700">
        <f t="shared" si="8"/>
        <v>-907.59630443889182</v>
      </c>
      <c r="F64" s="2700">
        <f t="shared" si="8"/>
        <v>2114.8885605893365</v>
      </c>
      <c r="G64" s="2700">
        <f t="shared" si="8"/>
        <v>-54051.531127587616</v>
      </c>
      <c r="H64" s="2709">
        <f t="shared" si="8"/>
        <v>240519.87728649925</v>
      </c>
      <c r="I64" s="264"/>
      <c r="J64" s="264"/>
    </row>
    <row r="65" spans="1:14" s="52" customFormat="1" ht="20.100000000000001" customHeight="1">
      <c r="A65" s="285">
        <v>21</v>
      </c>
      <c r="B65" s="2707" t="s">
        <v>467</v>
      </c>
      <c r="C65" s="2700"/>
      <c r="D65" s="2700"/>
      <c r="E65" s="2700"/>
      <c r="F65" s="2700"/>
      <c r="G65" s="2700"/>
      <c r="H65" s="2709">
        <f>+'[12]Sheet 2 - General Insurance'!$H$142</f>
        <v>-68208</v>
      </c>
      <c r="I65" s="264"/>
      <c r="J65" s="264"/>
    </row>
    <row r="66" spans="1:14" s="52" customFormat="1" ht="20.100000000000001" customHeight="1">
      <c r="A66" s="285">
        <v>22</v>
      </c>
      <c r="B66" s="2707" t="s">
        <v>468</v>
      </c>
      <c r="C66" s="2700">
        <f t="shared" ref="C66:H66" si="9">SUM(C64:C65)</f>
        <v>-50195.36088837008</v>
      </c>
      <c r="D66" s="2700">
        <f t="shared" si="9"/>
        <v>16731.477046306529</v>
      </c>
      <c r="E66" s="2700">
        <f t="shared" si="9"/>
        <v>-907.59630443889182</v>
      </c>
      <c r="F66" s="2700">
        <f t="shared" si="9"/>
        <v>2114.8885605893365</v>
      </c>
      <c r="G66" s="2700">
        <f t="shared" si="9"/>
        <v>-54051.531127587616</v>
      </c>
      <c r="H66" s="2709">
        <f t="shared" si="9"/>
        <v>172311.87728649925</v>
      </c>
      <c r="I66" s="284"/>
      <c r="J66" s="264"/>
    </row>
    <row r="67" spans="1:14" s="52" customFormat="1" ht="17.45" customHeight="1">
      <c r="A67" s="285"/>
      <c r="B67" s="290"/>
      <c r="C67" s="289"/>
      <c r="D67" s="289"/>
      <c r="E67" s="289"/>
      <c r="F67" s="289"/>
      <c r="G67" s="289"/>
      <c r="H67" s="289"/>
      <c r="I67" s="284"/>
      <c r="J67" s="264"/>
    </row>
    <row r="68" spans="1:14" s="52" customFormat="1" ht="17.45" customHeight="1">
      <c r="A68" s="285"/>
      <c r="B68" s="290"/>
      <c r="C68" s="289"/>
      <c r="D68" s="289"/>
      <c r="E68" s="289"/>
      <c r="F68" s="289"/>
      <c r="G68" s="289"/>
      <c r="H68" s="289"/>
      <c r="I68" s="284"/>
      <c r="J68" s="264"/>
    </row>
    <row r="69" spans="1:14" s="54" customFormat="1" ht="17.45" customHeight="1">
      <c r="A69" s="3598">
        <v>2</v>
      </c>
      <c r="B69" s="3599" t="s">
        <v>127</v>
      </c>
      <c r="C69" s="3600">
        <v>2012</v>
      </c>
      <c r="D69" s="3600"/>
      <c r="E69" s="3600"/>
      <c r="F69" s="3600"/>
      <c r="G69" s="3600"/>
      <c r="H69" s="3600"/>
      <c r="I69" s="109"/>
      <c r="J69" s="109"/>
    </row>
    <row r="70" spans="1:14" s="54" customFormat="1" ht="17.45" customHeight="1">
      <c r="A70" s="3598"/>
      <c r="B70" s="3599"/>
      <c r="C70" s="2532" t="s">
        <v>436</v>
      </c>
      <c r="D70" s="2532" t="s">
        <v>437</v>
      </c>
      <c r="E70" s="2532" t="s">
        <v>438</v>
      </c>
      <c r="F70" s="2532" t="s">
        <v>722</v>
      </c>
      <c r="G70" s="2532" t="s">
        <v>723</v>
      </c>
      <c r="H70" s="2532" t="s">
        <v>118</v>
      </c>
      <c r="I70" s="3358"/>
      <c r="J70" s="109"/>
    </row>
    <row r="71" spans="1:14" s="54" customFormat="1" ht="17.45" customHeight="1">
      <c r="A71" s="3598"/>
      <c r="B71" s="3599"/>
      <c r="C71" s="2696" t="s">
        <v>142</v>
      </c>
      <c r="D71" s="2696" t="s">
        <v>142</v>
      </c>
      <c r="E71" s="2696" t="s">
        <v>142</v>
      </c>
      <c r="F71" s="2696" t="s">
        <v>142</v>
      </c>
      <c r="G71" s="2696" t="s">
        <v>142</v>
      </c>
      <c r="H71" s="2696" t="s">
        <v>142</v>
      </c>
      <c r="I71" s="3358"/>
      <c r="J71" s="109"/>
    </row>
    <row r="72" spans="1:14" s="52" customFormat="1" ht="17.45" customHeight="1">
      <c r="A72" s="285">
        <v>1</v>
      </c>
      <c r="B72" s="2697" t="s">
        <v>215</v>
      </c>
      <c r="C72" s="3601"/>
      <c r="D72" s="3601"/>
      <c r="E72" s="3601"/>
      <c r="F72" s="3601"/>
      <c r="G72" s="3601"/>
      <c r="H72" s="1711">
        <f>+H80+H89+H90+H91</f>
        <v>397204</v>
      </c>
      <c r="I72" s="264"/>
      <c r="J72" s="278"/>
      <c r="K72" s="274"/>
      <c r="L72" s="274"/>
      <c r="M72" s="274"/>
      <c r="N72" s="274"/>
    </row>
    <row r="73" spans="1:14" s="52" customFormat="1" ht="6.75" customHeight="1">
      <c r="A73" s="285"/>
      <c r="B73" s="2697"/>
      <c r="C73" s="1789"/>
      <c r="D73" s="1789"/>
      <c r="E73" s="1789"/>
      <c r="F73" s="1789"/>
      <c r="G73" s="1789"/>
      <c r="H73" s="1789"/>
      <c r="I73" s="264"/>
      <c r="J73" s="278"/>
      <c r="K73" s="274"/>
      <c r="L73" s="274"/>
      <c r="M73" s="274"/>
      <c r="N73" s="274"/>
    </row>
    <row r="74" spans="1:14" s="52" customFormat="1" ht="20.100000000000001" customHeight="1">
      <c r="A74" s="285">
        <v>2</v>
      </c>
      <c r="B74" s="2699" t="s">
        <v>342</v>
      </c>
      <c r="C74" s="2712">
        <v>131662</v>
      </c>
      <c r="D74" s="2712">
        <v>94804</v>
      </c>
      <c r="E74" s="2712">
        <v>62739</v>
      </c>
      <c r="F74" s="2712">
        <v>2228</v>
      </c>
      <c r="G74" s="2712">
        <v>684356</v>
      </c>
      <c r="H74" s="2709">
        <f>SUM(C74:G74)</f>
        <v>975789</v>
      </c>
      <c r="I74" s="286"/>
      <c r="J74" s="264"/>
    </row>
    <row r="75" spans="1:14" s="52" customFormat="1" ht="20.100000000000001" customHeight="1">
      <c r="A75" s="285">
        <v>3</v>
      </c>
      <c r="B75" s="2699" t="s">
        <v>444</v>
      </c>
      <c r="C75" s="2709">
        <v>0</v>
      </c>
      <c r="D75" s="2709">
        <v>0</v>
      </c>
      <c r="E75" s="2709">
        <v>0</v>
      </c>
      <c r="F75" s="2709">
        <v>0</v>
      </c>
      <c r="G75" s="2709">
        <v>0</v>
      </c>
      <c r="H75" s="2709">
        <f>SUM(C75:G75)</f>
        <v>0</v>
      </c>
      <c r="I75" s="286"/>
      <c r="J75" s="264"/>
    </row>
    <row r="76" spans="1:14" s="52" customFormat="1" ht="20.100000000000001" customHeight="1">
      <c r="A76" s="285">
        <v>4</v>
      </c>
      <c r="B76" s="2699" t="s">
        <v>445</v>
      </c>
      <c r="C76" s="2709">
        <v>-24808.403190000001</v>
      </c>
      <c r="D76" s="2709">
        <v>0</v>
      </c>
      <c r="E76" s="2709">
        <v>-1070.6167800000001</v>
      </c>
      <c r="F76" s="2709">
        <v>0</v>
      </c>
      <c r="G76" s="2709">
        <v>-7009.3373000000001</v>
      </c>
      <c r="H76" s="2709">
        <f>SUM(C76:G76)</f>
        <v>-32888.35727</v>
      </c>
      <c r="I76" s="286"/>
      <c r="J76" s="264"/>
    </row>
    <row r="77" spans="1:14" s="52" customFormat="1" ht="20.100000000000001" customHeight="1">
      <c r="A77" s="285">
        <v>5</v>
      </c>
      <c r="B77" s="2699" t="s">
        <v>446</v>
      </c>
      <c r="C77" s="2709">
        <v>-103607.59681</v>
      </c>
      <c r="D77" s="2709">
        <v>-3682</v>
      </c>
      <c r="E77" s="2709">
        <v>-1344.3832199999999</v>
      </c>
      <c r="F77" s="2709">
        <v>-1970</v>
      </c>
      <c r="G77" s="2709">
        <v>-425317.66269999999</v>
      </c>
      <c r="H77" s="2709">
        <f>SUM(C77:G77)</f>
        <v>-535921.64272999996</v>
      </c>
      <c r="I77" s="264"/>
      <c r="J77" s="264"/>
    </row>
    <row r="78" spans="1:14" s="52" customFormat="1" ht="20.100000000000001" customHeight="1">
      <c r="A78" s="285">
        <v>6</v>
      </c>
      <c r="B78" s="2699" t="s">
        <v>727</v>
      </c>
      <c r="C78" s="2709">
        <f>SUM(C74:C77)</f>
        <v>3246</v>
      </c>
      <c r="D78" s="2709">
        <f>SUM(D74:D77)</f>
        <v>91122</v>
      </c>
      <c r="E78" s="2709">
        <f>SUM(E74:E77)</f>
        <v>60324</v>
      </c>
      <c r="F78" s="2709">
        <f>SUM(F74:F77)</f>
        <v>258</v>
      </c>
      <c r="G78" s="2709">
        <f>SUM(G74:G77)</f>
        <v>252029</v>
      </c>
      <c r="H78" s="2709">
        <f>SUM(C78:G78)</f>
        <v>406979</v>
      </c>
      <c r="I78" s="264"/>
      <c r="J78" s="264"/>
    </row>
    <row r="79" spans="1:14" s="52" customFormat="1" ht="20.100000000000001" customHeight="1">
      <c r="A79" s="285">
        <v>7</v>
      </c>
      <c r="B79" s="2699" t="s">
        <v>448</v>
      </c>
      <c r="C79" s="2709">
        <v>752</v>
      </c>
      <c r="D79" s="2709">
        <v>1519</v>
      </c>
      <c r="E79" s="2709">
        <v>-26791</v>
      </c>
      <c r="F79" s="2709">
        <v>-376</v>
      </c>
      <c r="G79" s="2709">
        <v>-27032</v>
      </c>
      <c r="H79" s="2709">
        <f t="shared" ref="H79:H85" si="10">SUM(C79:G79)</f>
        <v>-51928</v>
      </c>
      <c r="I79" s="264"/>
      <c r="J79" s="264"/>
    </row>
    <row r="80" spans="1:14" s="52" customFormat="1" ht="20.100000000000001" customHeight="1">
      <c r="A80" s="285">
        <v>8</v>
      </c>
      <c r="B80" s="2699" t="s">
        <v>728</v>
      </c>
      <c r="C80" s="2709">
        <f>SUM(C78:C79)</f>
        <v>3998</v>
      </c>
      <c r="D80" s="2709">
        <f>SUM(D78:D79)</f>
        <v>92641</v>
      </c>
      <c r="E80" s="2709">
        <f>SUM(E78:E79)</f>
        <v>33533</v>
      </c>
      <c r="F80" s="2709">
        <f>SUM(F78:F79)</f>
        <v>-118</v>
      </c>
      <c r="G80" s="2709">
        <f>SUM(G78:G79)</f>
        <v>224997</v>
      </c>
      <c r="H80" s="2709">
        <f t="shared" si="10"/>
        <v>355051</v>
      </c>
      <c r="I80" s="264"/>
      <c r="J80" s="264"/>
    </row>
    <row r="81" spans="1:10" s="52" customFormat="1" ht="20.100000000000001" customHeight="1">
      <c r="A81" s="285"/>
      <c r="B81" s="2699"/>
      <c r="C81" s="2709"/>
      <c r="D81" s="2709"/>
      <c r="E81" s="2709"/>
      <c r="F81" s="2709"/>
      <c r="G81" s="2709"/>
      <c r="H81" s="2709">
        <f t="shared" si="10"/>
        <v>0</v>
      </c>
      <c r="I81" s="264"/>
      <c r="J81" s="264"/>
    </row>
    <row r="82" spans="1:10" s="52" customFormat="1" ht="20.100000000000001" customHeight="1">
      <c r="A82" s="285"/>
      <c r="B82" s="2697" t="s">
        <v>450</v>
      </c>
      <c r="C82" s="2709"/>
      <c r="D82" s="2709"/>
      <c r="E82" s="2709"/>
      <c r="F82" s="2709"/>
      <c r="G82" s="2709"/>
      <c r="H82" s="2709">
        <f t="shared" si="10"/>
        <v>0</v>
      </c>
      <c r="I82" s="264"/>
      <c r="J82" s="264"/>
    </row>
    <row r="83" spans="1:10" s="52" customFormat="1" ht="20.100000000000001" customHeight="1">
      <c r="A83" s="285">
        <v>9</v>
      </c>
      <c r="B83" s="2699" t="s">
        <v>451</v>
      </c>
      <c r="C83" s="2709">
        <v>3081</v>
      </c>
      <c r="D83" s="2709">
        <v>-13478</v>
      </c>
      <c r="E83" s="2709">
        <v>-49762</v>
      </c>
      <c r="F83" s="2709">
        <v>-1008</v>
      </c>
      <c r="G83" s="2709">
        <v>-65088</v>
      </c>
      <c r="H83" s="2709">
        <f t="shared" si="10"/>
        <v>-126255</v>
      </c>
      <c r="I83" s="264"/>
      <c r="J83" s="264"/>
    </row>
    <row r="84" spans="1:10" s="52" customFormat="1" ht="20.100000000000001" customHeight="1">
      <c r="A84" s="285">
        <v>10</v>
      </c>
      <c r="B84" s="2699" t="s">
        <v>452</v>
      </c>
      <c r="C84" s="2709">
        <v>17983</v>
      </c>
      <c r="D84" s="2709">
        <v>-4928</v>
      </c>
      <c r="E84" s="2709">
        <v>-6140</v>
      </c>
      <c r="F84" s="2709">
        <v>-141</v>
      </c>
      <c r="G84" s="2709">
        <v>22204</v>
      </c>
      <c r="H84" s="2709">
        <f t="shared" si="10"/>
        <v>28978</v>
      </c>
      <c r="I84" s="264"/>
      <c r="J84" s="264"/>
    </row>
    <row r="85" spans="1:10" s="52" customFormat="1" ht="20.100000000000001" customHeight="1">
      <c r="A85" s="285">
        <v>11</v>
      </c>
      <c r="B85" s="2699" t="s">
        <v>453</v>
      </c>
      <c r="C85" s="2709">
        <v>0</v>
      </c>
      <c r="D85" s="2709">
        <v>0</v>
      </c>
      <c r="E85" s="2709">
        <v>0</v>
      </c>
      <c r="F85" s="2709">
        <v>0</v>
      </c>
      <c r="G85" s="2709">
        <v>0</v>
      </c>
      <c r="H85" s="2709">
        <f t="shared" si="10"/>
        <v>0</v>
      </c>
      <c r="I85" s="264"/>
      <c r="J85" s="264"/>
    </row>
    <row r="86" spans="1:10" s="52" customFormat="1" ht="20.100000000000001" customHeight="1">
      <c r="A86" s="287">
        <v>12</v>
      </c>
      <c r="B86" s="2701" t="s">
        <v>454</v>
      </c>
      <c r="C86" s="2710">
        <f>SUM(C80:C85)</f>
        <v>25062</v>
      </c>
      <c r="D86" s="2710">
        <f>SUM(D80:D85)</f>
        <v>74235</v>
      </c>
      <c r="E86" s="2710">
        <f>SUM(E80:E85)</f>
        <v>-22369</v>
      </c>
      <c r="F86" s="2710">
        <f>SUM(F80:F85)</f>
        <v>-1267</v>
      </c>
      <c r="G86" s="2710">
        <f>SUM(G80:G85)</f>
        <v>182113</v>
      </c>
      <c r="H86" s="2709">
        <f>SUM(C86:G86)</f>
        <v>257774</v>
      </c>
      <c r="I86" s="288"/>
      <c r="J86" s="264"/>
    </row>
    <row r="87" spans="1:10" s="52" customFormat="1" ht="20.100000000000001" customHeight="1">
      <c r="A87" s="285"/>
      <c r="B87" s="2702"/>
      <c r="C87" s="2709"/>
      <c r="D87" s="2709"/>
      <c r="E87" s="2709"/>
      <c r="F87" s="2709"/>
      <c r="G87" s="2709"/>
      <c r="H87" s="2709">
        <f t="shared" ref="H87:H94" si="11">SUM(C87:G87)</f>
        <v>0</v>
      </c>
      <c r="I87" s="264"/>
      <c r="J87" s="264"/>
    </row>
    <row r="88" spans="1:10" s="52" customFormat="1" ht="20.100000000000001" customHeight="1">
      <c r="A88" s="285"/>
      <c r="B88" s="2703" t="s">
        <v>455</v>
      </c>
      <c r="C88" s="2709"/>
      <c r="D88" s="2709"/>
      <c r="E88" s="2709"/>
      <c r="F88" s="2709"/>
      <c r="G88" s="2709"/>
      <c r="H88" s="2709">
        <f t="shared" si="11"/>
        <v>0</v>
      </c>
      <c r="I88" s="264"/>
      <c r="J88" s="264"/>
    </row>
    <row r="89" spans="1:10" s="52" customFormat="1" ht="20.100000000000001" customHeight="1">
      <c r="A89" s="285">
        <v>13</v>
      </c>
      <c r="B89" s="2699" t="s">
        <v>456</v>
      </c>
      <c r="C89" s="2709">
        <v>0</v>
      </c>
      <c r="D89" s="2709">
        <v>954.24000000000012</v>
      </c>
      <c r="E89" s="2709">
        <v>1090.56</v>
      </c>
      <c r="F89" s="2709">
        <v>0</v>
      </c>
      <c r="G89" s="2709">
        <v>1363.2</v>
      </c>
      <c r="H89" s="2709">
        <f t="shared" si="11"/>
        <v>3408</v>
      </c>
      <c r="I89" s="264"/>
      <c r="J89" s="264"/>
    </row>
    <row r="90" spans="1:10" s="52" customFormat="1" ht="20.100000000000001" customHeight="1">
      <c r="A90" s="285">
        <v>14</v>
      </c>
      <c r="B90" s="2697" t="s">
        <v>457</v>
      </c>
      <c r="C90" s="2709">
        <v>4836.6563386141879</v>
      </c>
      <c r="D90" s="2709">
        <v>3482.6629363520187</v>
      </c>
      <c r="E90" s="2709">
        <v>2304.7423100690826</v>
      </c>
      <c r="F90" s="2709">
        <v>81.846472956756017</v>
      </c>
      <c r="G90" s="2709">
        <v>25140.091942007955</v>
      </c>
      <c r="H90" s="2709">
        <f t="shared" si="11"/>
        <v>35846</v>
      </c>
      <c r="I90" s="264"/>
      <c r="J90" s="264"/>
    </row>
    <row r="91" spans="1:10" s="52" customFormat="1" ht="20.100000000000001" customHeight="1">
      <c r="A91" s="285">
        <v>15</v>
      </c>
      <c r="B91" s="2699" t="s">
        <v>460</v>
      </c>
      <c r="C91" s="2709">
        <v>391.15847585902281</v>
      </c>
      <c r="D91" s="2709">
        <v>281.65596865715844</v>
      </c>
      <c r="E91" s="2709">
        <v>186.3931249481189</v>
      </c>
      <c r="F91" s="2709">
        <v>6.6192301819348236</v>
      </c>
      <c r="G91" s="2709">
        <v>2033.173200353765</v>
      </c>
      <c r="H91" s="2709">
        <f t="shared" si="11"/>
        <v>2899</v>
      </c>
      <c r="I91" s="264"/>
      <c r="J91" s="264"/>
    </row>
    <row r="92" spans="1:10" s="52" customFormat="1" ht="20.100000000000001" customHeight="1">
      <c r="A92" s="285"/>
      <c r="B92" s="2697" t="s">
        <v>461</v>
      </c>
      <c r="C92" s="2709"/>
      <c r="D92" s="2709"/>
      <c r="E92" s="2709"/>
      <c r="F92" s="2709"/>
      <c r="G92" s="2709"/>
      <c r="H92" s="2709">
        <f t="shared" si="11"/>
        <v>0</v>
      </c>
      <c r="I92" s="264"/>
      <c r="J92" s="264"/>
    </row>
    <row r="93" spans="1:10" s="52" customFormat="1" ht="30" customHeight="1">
      <c r="A93" s="285">
        <v>16</v>
      </c>
      <c r="B93" s="2705" t="s">
        <v>462</v>
      </c>
      <c r="C93" s="2709">
        <v>-37850.620601380011</v>
      </c>
      <c r="D93" s="2709">
        <v>-27254.562709766149</v>
      </c>
      <c r="E93" s="2709">
        <v>-18036.412069617509</v>
      </c>
      <c r="F93" s="2709">
        <v>-640.51269690476124</v>
      </c>
      <c r="G93" s="2709">
        <v>-196740.89192233156</v>
      </c>
      <c r="H93" s="2709">
        <f t="shared" si="11"/>
        <v>-280523</v>
      </c>
      <c r="I93" s="264"/>
      <c r="J93" s="264"/>
    </row>
    <row r="94" spans="1:10" s="52" customFormat="1" ht="20.100000000000001" customHeight="1">
      <c r="A94" s="285">
        <v>17</v>
      </c>
      <c r="B94" s="2699" t="s">
        <v>463</v>
      </c>
      <c r="C94" s="2709">
        <v>-231.94253880705767</v>
      </c>
      <c r="D94" s="2709">
        <v>-167.0115936949484</v>
      </c>
      <c r="E94" s="2709">
        <v>-110.52424345837061</v>
      </c>
      <c r="F94" s="2709">
        <v>-3.9249591868733917</v>
      </c>
      <c r="G94" s="2709">
        <v>-1205.5966648527499</v>
      </c>
      <c r="H94" s="2709">
        <f t="shared" si="11"/>
        <v>-1719</v>
      </c>
      <c r="I94" s="264"/>
      <c r="J94" s="264"/>
    </row>
    <row r="95" spans="1:10" s="52" customFormat="1" ht="20.100000000000001" customHeight="1">
      <c r="A95" s="285">
        <v>18</v>
      </c>
      <c r="B95" s="2697" t="s">
        <v>464</v>
      </c>
      <c r="C95" s="2709">
        <f t="shared" ref="C95:H95" si="12">SUM(C86:C94)</f>
        <v>-7792.748325713861</v>
      </c>
      <c r="D95" s="2709">
        <f t="shared" si="12"/>
        <v>51531.98460154808</v>
      </c>
      <c r="E95" s="2709">
        <f t="shared" si="12"/>
        <v>-36934.240878058677</v>
      </c>
      <c r="F95" s="2709">
        <f t="shared" si="12"/>
        <v>-1822.9719529529436</v>
      </c>
      <c r="G95" s="2709">
        <f t="shared" si="12"/>
        <v>12702.976555177422</v>
      </c>
      <c r="H95" s="2709">
        <f t="shared" si="12"/>
        <v>17685</v>
      </c>
      <c r="I95" s="264"/>
      <c r="J95" s="264"/>
    </row>
    <row r="96" spans="1:10" s="52" customFormat="1" ht="20.100000000000001" customHeight="1">
      <c r="A96" s="285">
        <v>19</v>
      </c>
      <c r="B96" s="2699" t="s">
        <v>465</v>
      </c>
      <c r="C96" s="2709"/>
      <c r="D96" s="2709"/>
      <c r="E96" s="2709"/>
      <c r="F96" s="2709"/>
      <c r="G96" s="2709"/>
      <c r="H96" s="2709">
        <f>SUM(C96:G96)</f>
        <v>0</v>
      </c>
      <c r="I96" s="264"/>
      <c r="J96" s="264"/>
    </row>
    <row r="97" spans="1:14" s="52" customFormat="1" ht="20.100000000000001" customHeight="1">
      <c r="A97" s="285">
        <v>20</v>
      </c>
      <c r="B97" s="2707" t="s">
        <v>466</v>
      </c>
      <c r="C97" s="2709">
        <f>SUM(C95:C96)</f>
        <v>-7792.748325713861</v>
      </c>
      <c r="D97" s="2709">
        <f>SUM(D95:D96)</f>
        <v>51531.98460154808</v>
      </c>
      <c r="E97" s="2709">
        <f>SUM(E95:E96)</f>
        <v>-36934.240878058677</v>
      </c>
      <c r="F97" s="2709">
        <f>SUM(F95:F96)</f>
        <v>-1822.9719529529436</v>
      </c>
      <c r="G97" s="2709">
        <f>SUM(G95:G96)</f>
        <v>12702.976555177422</v>
      </c>
      <c r="H97" s="2709">
        <f>SUM(C97:G97)</f>
        <v>17685.000000000022</v>
      </c>
      <c r="I97" s="264"/>
      <c r="J97" s="264"/>
    </row>
    <row r="98" spans="1:14" s="52" customFormat="1" ht="20.100000000000001" customHeight="1">
      <c r="A98" s="285">
        <v>21</v>
      </c>
      <c r="B98" s="2707" t="s">
        <v>467</v>
      </c>
      <c r="C98" s="2709">
        <v>2715.1714417768594</v>
      </c>
      <c r="D98" s="2709">
        <v>1955.0752181055536</v>
      </c>
      <c r="E98" s="2709">
        <v>1293.8216120493262</v>
      </c>
      <c r="F98" s="2709">
        <v>45.946453587814581</v>
      </c>
      <c r="G98" s="2709">
        <v>14112.985274480447</v>
      </c>
      <c r="H98" s="2709">
        <f>SUM(C98:G98)</f>
        <v>20123</v>
      </c>
      <c r="I98" s="264"/>
      <c r="J98" s="264"/>
    </row>
    <row r="99" spans="1:14" s="52" customFormat="1" ht="20.100000000000001" customHeight="1">
      <c r="A99" s="285">
        <v>22</v>
      </c>
      <c r="B99" s="2707" t="s">
        <v>468</v>
      </c>
      <c r="C99" s="2709">
        <f t="shared" ref="C99:H99" si="13">SUM(C97:C98)</f>
        <v>-5077.5768839370012</v>
      </c>
      <c r="D99" s="2709">
        <f t="shared" si="13"/>
        <v>53487.05981965363</v>
      </c>
      <c r="E99" s="2709">
        <f t="shared" si="13"/>
        <v>-35640.419266009354</v>
      </c>
      <c r="F99" s="2709">
        <f t="shared" si="13"/>
        <v>-1777.025499365129</v>
      </c>
      <c r="G99" s="2709">
        <f t="shared" si="13"/>
        <v>26815.96182965787</v>
      </c>
      <c r="H99" s="2709">
        <f t="shared" si="13"/>
        <v>37808.000000000022</v>
      </c>
      <c r="I99" s="284"/>
      <c r="J99" s="264"/>
    </row>
    <row r="100" spans="1:14" s="52" customFormat="1" ht="17.45" customHeight="1">
      <c r="A100" s="285"/>
      <c r="B100" s="290"/>
      <c r="C100" s="289"/>
      <c r="D100" s="289"/>
      <c r="E100" s="289"/>
      <c r="F100" s="289"/>
      <c r="G100" s="289"/>
      <c r="H100" s="289"/>
      <c r="I100" s="284"/>
      <c r="J100" s="264"/>
    </row>
    <row r="101" spans="1:14" s="52" customFormat="1" ht="17.45" customHeight="1">
      <c r="A101" s="285"/>
      <c r="B101" s="290"/>
      <c r="C101" s="289"/>
      <c r="D101" s="289"/>
      <c r="E101" s="289"/>
      <c r="F101" s="289"/>
      <c r="G101" s="289"/>
      <c r="H101" s="289"/>
      <c r="I101" s="284"/>
      <c r="J101" s="264"/>
    </row>
    <row r="102" spans="1:14" s="54" customFormat="1" ht="17.45" customHeight="1">
      <c r="A102" s="3598">
        <v>3</v>
      </c>
      <c r="B102" s="3603" t="s">
        <v>91</v>
      </c>
      <c r="C102" s="3600">
        <v>2012</v>
      </c>
      <c r="D102" s="3600"/>
      <c r="E102" s="3600"/>
      <c r="F102" s="3600"/>
      <c r="G102" s="3600"/>
      <c r="H102" s="3600"/>
      <c r="I102" s="109"/>
      <c r="J102" s="109"/>
    </row>
    <row r="103" spans="1:14" s="54" customFormat="1" ht="17.45" customHeight="1">
      <c r="A103" s="3598"/>
      <c r="B103" s="3603"/>
      <c r="C103" s="2532" t="s">
        <v>436</v>
      </c>
      <c r="D103" s="2532" t="s">
        <v>437</v>
      </c>
      <c r="E103" s="2532" t="s">
        <v>438</v>
      </c>
      <c r="F103" s="2532" t="s">
        <v>722</v>
      </c>
      <c r="G103" s="2532" t="s">
        <v>723</v>
      </c>
      <c r="H103" s="2713" t="s">
        <v>118</v>
      </c>
      <c r="I103" s="3358"/>
      <c r="J103" s="109"/>
    </row>
    <row r="104" spans="1:14" s="54" customFormat="1" ht="17.45" customHeight="1">
      <c r="A104" s="3598"/>
      <c r="B104" s="3603"/>
      <c r="C104" s="2696" t="s">
        <v>142</v>
      </c>
      <c r="D104" s="2696" t="s">
        <v>142</v>
      </c>
      <c r="E104" s="2696" t="s">
        <v>142</v>
      </c>
      <c r="F104" s="2696" t="s">
        <v>142</v>
      </c>
      <c r="G104" s="2696" t="s">
        <v>142</v>
      </c>
      <c r="H104" s="2696" t="s">
        <v>142</v>
      </c>
      <c r="I104" s="3358"/>
      <c r="J104" s="109"/>
    </row>
    <row r="105" spans="1:14" s="52" customFormat="1" ht="17.45" customHeight="1">
      <c r="A105" s="285">
        <v>1</v>
      </c>
      <c r="B105" s="2697" t="s">
        <v>215</v>
      </c>
      <c r="C105" s="3601"/>
      <c r="D105" s="3601"/>
      <c r="E105" s="3601"/>
      <c r="F105" s="3601"/>
      <c r="G105" s="3601"/>
      <c r="H105" s="1711">
        <f>+H113+H122+H123+H124</f>
        <v>442799</v>
      </c>
      <c r="I105" s="264"/>
      <c r="J105" s="278"/>
      <c r="K105" s="274"/>
      <c r="L105" s="274"/>
      <c r="M105" s="274"/>
      <c r="N105" s="274"/>
    </row>
    <row r="106" spans="1:14" s="52" customFormat="1" ht="6" customHeight="1">
      <c r="A106" s="285"/>
      <c r="B106" s="2697"/>
      <c r="C106" s="1789"/>
      <c r="D106" s="1789"/>
      <c r="E106" s="1789"/>
      <c r="F106" s="1789"/>
      <c r="G106" s="1789"/>
      <c r="H106" s="1789"/>
      <c r="I106" s="264"/>
      <c r="J106" s="278"/>
      <c r="K106" s="274"/>
      <c r="L106" s="274"/>
      <c r="M106" s="274"/>
      <c r="N106" s="274"/>
    </row>
    <row r="107" spans="1:14" s="52" customFormat="1" ht="20.100000000000001" customHeight="1">
      <c r="A107" s="285">
        <v>2</v>
      </c>
      <c r="B107" s="2699" t="s">
        <v>342</v>
      </c>
      <c r="C107" s="2709">
        <v>768188</v>
      </c>
      <c r="D107" s="2709">
        <v>31860</v>
      </c>
      <c r="E107" s="2709">
        <v>132429</v>
      </c>
      <c r="F107" s="2709">
        <v>12903</v>
      </c>
      <c r="G107" s="2709">
        <v>555920</v>
      </c>
      <c r="H107" s="2709">
        <f t="shared" ref="H107:H113" si="14">SUM(C107:G107)</f>
        <v>1501300</v>
      </c>
      <c r="I107" s="286"/>
      <c r="J107" s="264"/>
    </row>
    <row r="108" spans="1:14" s="52" customFormat="1" ht="20.100000000000001" customHeight="1">
      <c r="A108" s="285">
        <v>3</v>
      </c>
      <c r="B108" s="2699" t="s">
        <v>444</v>
      </c>
      <c r="C108" s="2709">
        <v>-9781</v>
      </c>
      <c r="D108" s="2709"/>
      <c r="E108" s="2709"/>
      <c r="F108" s="2709"/>
      <c r="G108" s="2709">
        <v>-1056</v>
      </c>
      <c r="H108" s="2709">
        <f t="shared" si="14"/>
        <v>-10837</v>
      </c>
      <c r="I108" s="286"/>
      <c r="J108" s="264"/>
    </row>
    <row r="109" spans="1:14" s="52" customFormat="1" ht="20.100000000000001" customHeight="1">
      <c r="A109" s="285">
        <v>4</v>
      </c>
      <c r="B109" s="2699" t="s">
        <v>445</v>
      </c>
      <c r="C109" s="2709">
        <v>-100437</v>
      </c>
      <c r="D109" s="2709">
        <v>-296</v>
      </c>
      <c r="E109" s="2709"/>
      <c r="F109" s="2709">
        <v>-3583</v>
      </c>
      <c r="G109" s="2709">
        <v>-6741</v>
      </c>
      <c r="H109" s="2709">
        <f t="shared" si="14"/>
        <v>-111057</v>
      </c>
      <c r="I109" s="286"/>
      <c r="J109" s="264"/>
    </row>
    <row r="110" spans="1:14" s="52" customFormat="1" ht="20.100000000000001" customHeight="1">
      <c r="A110" s="285">
        <v>5</v>
      </c>
      <c r="B110" s="2699" t="s">
        <v>446</v>
      </c>
      <c r="C110" s="2709">
        <v>-588818</v>
      </c>
      <c r="D110" s="2709">
        <v>-21947</v>
      </c>
      <c r="E110" s="2709">
        <v>-4641</v>
      </c>
      <c r="F110" s="2709"/>
      <c r="G110" s="2709">
        <v>-343619</v>
      </c>
      <c r="H110" s="2709">
        <f t="shared" si="14"/>
        <v>-959025</v>
      </c>
      <c r="I110" s="264"/>
      <c r="J110" s="264"/>
    </row>
    <row r="111" spans="1:14" s="52" customFormat="1" ht="20.100000000000001" customHeight="1">
      <c r="A111" s="285">
        <v>6</v>
      </c>
      <c r="B111" s="2699" t="s">
        <v>727</v>
      </c>
      <c r="C111" s="2709">
        <f>SUM(C107:C110)</f>
        <v>69152</v>
      </c>
      <c r="D111" s="2709">
        <f>SUM(D107:D110)</f>
        <v>9617</v>
      </c>
      <c r="E111" s="2709">
        <f>SUM(E107:E110)</f>
        <v>127788</v>
      </c>
      <c r="F111" s="2709">
        <f>SUM(F107:F110)</f>
        <v>9320</v>
      </c>
      <c r="G111" s="2709">
        <f>SUM(G107:G110)</f>
        <v>204504</v>
      </c>
      <c r="H111" s="2709">
        <f t="shared" si="14"/>
        <v>420381</v>
      </c>
      <c r="I111" s="264"/>
      <c r="J111" s="264"/>
    </row>
    <row r="112" spans="1:14" s="52" customFormat="1" ht="20.100000000000001" customHeight="1">
      <c r="A112" s="285">
        <v>7</v>
      </c>
      <c r="B112" s="2699" t="s">
        <v>448</v>
      </c>
      <c r="C112" s="2709">
        <v>2439</v>
      </c>
      <c r="D112" s="2709">
        <v>-380</v>
      </c>
      <c r="E112" s="2709">
        <v>-26856</v>
      </c>
      <c r="F112" s="2709">
        <v>-1697</v>
      </c>
      <c r="G112" s="2709">
        <v>-57140</v>
      </c>
      <c r="H112" s="2709">
        <f t="shared" si="14"/>
        <v>-83634</v>
      </c>
      <c r="I112" s="264"/>
      <c r="J112" s="264"/>
    </row>
    <row r="113" spans="1:10" s="52" customFormat="1" ht="20.100000000000001" customHeight="1">
      <c r="A113" s="285">
        <v>8</v>
      </c>
      <c r="B113" s="2699" t="s">
        <v>728</v>
      </c>
      <c r="C113" s="2709">
        <f>SUM(C111:C112)</f>
        <v>71591</v>
      </c>
      <c r="D113" s="2709">
        <f>SUM(D111:D112)</f>
        <v>9237</v>
      </c>
      <c r="E113" s="2709">
        <f>SUM(E111:E112)</f>
        <v>100932</v>
      </c>
      <c r="F113" s="2709">
        <f>SUM(F111:F112)</f>
        <v>7623</v>
      </c>
      <c r="G113" s="2709">
        <f>SUM(G111:G112)</f>
        <v>147364</v>
      </c>
      <c r="H113" s="2709">
        <f t="shared" si="14"/>
        <v>336747</v>
      </c>
      <c r="I113" s="264"/>
      <c r="J113" s="264"/>
    </row>
    <row r="114" spans="1:10" s="52" customFormat="1" ht="20.100000000000001" customHeight="1">
      <c r="A114" s="285"/>
      <c r="B114" s="2699"/>
      <c r="C114" s="2709"/>
      <c r="D114" s="2709"/>
      <c r="E114" s="2709"/>
      <c r="F114" s="2709"/>
      <c r="G114" s="2709"/>
      <c r="H114" s="2709">
        <f>SUM(C114:G114)</f>
        <v>0</v>
      </c>
      <c r="I114" s="264"/>
      <c r="J114" s="264"/>
    </row>
    <row r="115" spans="1:10" s="52" customFormat="1" ht="20.100000000000001" customHeight="1">
      <c r="A115" s="285"/>
      <c r="B115" s="2697" t="s">
        <v>450</v>
      </c>
      <c r="C115" s="2709"/>
      <c r="D115" s="2709"/>
      <c r="E115" s="2709"/>
      <c r="F115" s="2709"/>
      <c r="G115" s="2709"/>
      <c r="H115" s="2709">
        <f>SUM(C115:G115)</f>
        <v>0</v>
      </c>
      <c r="I115" s="264"/>
      <c r="J115" s="264"/>
    </row>
    <row r="116" spans="1:10" s="52" customFormat="1" ht="20.100000000000001" customHeight="1">
      <c r="A116" s="285">
        <v>9</v>
      </c>
      <c r="B116" s="2699" t="s">
        <v>451</v>
      </c>
      <c r="C116" s="2709">
        <v>-353</v>
      </c>
      <c r="D116" s="2709">
        <v>1892</v>
      </c>
      <c r="E116" s="2709">
        <v>-77391</v>
      </c>
      <c r="F116" s="2709">
        <v>-3733</v>
      </c>
      <c r="G116" s="2709">
        <v>-59582</v>
      </c>
      <c r="H116" s="2709">
        <f>SUM(C116:G116)</f>
        <v>-139167</v>
      </c>
      <c r="I116" s="264"/>
      <c r="J116" s="264"/>
    </row>
    <row r="117" spans="1:10" s="52" customFormat="1" ht="20.100000000000001" customHeight="1">
      <c r="A117" s="285">
        <v>10</v>
      </c>
      <c r="B117" s="2699" t="s">
        <v>452</v>
      </c>
      <c r="C117" s="2709">
        <v>148582</v>
      </c>
      <c r="D117" s="2709">
        <v>5210</v>
      </c>
      <c r="E117" s="2709">
        <v>-10090</v>
      </c>
      <c r="F117" s="2709">
        <v>140</v>
      </c>
      <c r="G117" s="2709">
        <v>7767</v>
      </c>
      <c r="H117" s="2709">
        <f>SUM(C117:G117)</f>
        <v>151609</v>
      </c>
      <c r="I117" s="264"/>
      <c r="J117" s="264"/>
    </row>
    <row r="118" spans="1:10" s="52" customFormat="1" ht="20.100000000000001" customHeight="1">
      <c r="A118" s="285">
        <v>11</v>
      </c>
      <c r="B118" s="2699" t="s">
        <v>453</v>
      </c>
      <c r="C118" s="2709"/>
      <c r="D118" s="2709"/>
      <c r="E118" s="2709"/>
      <c r="F118" s="2709"/>
      <c r="G118" s="2709"/>
      <c r="H118" s="2709">
        <f>SUM(C118:G118)</f>
        <v>0</v>
      </c>
      <c r="I118" s="264"/>
      <c r="J118" s="264"/>
    </row>
    <row r="119" spans="1:10" s="52" customFormat="1" ht="20.100000000000001" customHeight="1">
      <c r="A119" s="287">
        <v>12</v>
      </c>
      <c r="B119" s="2701" t="s">
        <v>454</v>
      </c>
      <c r="C119" s="2710">
        <f t="shared" ref="C119:H119" si="15">SUM(C113:C118)</f>
        <v>219820</v>
      </c>
      <c r="D119" s="2710">
        <f t="shared" si="15"/>
        <v>16339</v>
      </c>
      <c r="E119" s="2710">
        <f t="shared" si="15"/>
        <v>13451</v>
      </c>
      <c r="F119" s="2710">
        <f t="shared" si="15"/>
        <v>4030</v>
      </c>
      <c r="G119" s="2710">
        <f t="shared" si="15"/>
        <v>95549</v>
      </c>
      <c r="H119" s="2710">
        <f t="shared" si="15"/>
        <v>349189</v>
      </c>
      <c r="I119" s="288"/>
      <c r="J119" s="264"/>
    </row>
    <row r="120" spans="1:10" s="52" customFormat="1" ht="20.100000000000001" customHeight="1">
      <c r="A120" s="285"/>
      <c r="B120" s="2702"/>
      <c r="C120" s="2709"/>
      <c r="D120" s="2709"/>
      <c r="E120" s="2709"/>
      <c r="F120" s="2709"/>
      <c r="G120" s="2709"/>
      <c r="H120" s="2709">
        <f t="shared" ref="H120:H127" si="16">SUM(C120:G120)</f>
        <v>0</v>
      </c>
      <c r="I120" s="264"/>
      <c r="J120" s="264"/>
    </row>
    <row r="121" spans="1:10" s="52" customFormat="1" ht="20.100000000000001" customHeight="1">
      <c r="A121" s="285"/>
      <c r="B121" s="2703" t="s">
        <v>455</v>
      </c>
      <c r="C121" s="2709"/>
      <c r="D121" s="2709"/>
      <c r="E121" s="2709"/>
      <c r="F121" s="2709"/>
      <c r="G121" s="2709"/>
      <c r="H121" s="2709">
        <f t="shared" si="16"/>
        <v>0</v>
      </c>
      <c r="I121" s="264"/>
      <c r="J121" s="264"/>
    </row>
    <row r="122" spans="1:10" s="52" customFormat="1" ht="20.100000000000001" customHeight="1">
      <c r="A122" s="285">
        <v>13</v>
      </c>
      <c r="B122" s="2699" t="s">
        <v>456</v>
      </c>
      <c r="C122" s="2709"/>
      <c r="D122" s="2709"/>
      <c r="E122" s="2709"/>
      <c r="F122" s="2709"/>
      <c r="G122" s="2709"/>
      <c r="H122" s="2709">
        <f t="shared" si="16"/>
        <v>0</v>
      </c>
      <c r="I122" s="264"/>
      <c r="J122" s="264"/>
    </row>
    <row r="123" spans="1:10" s="52" customFormat="1" ht="20.100000000000001" customHeight="1">
      <c r="A123" s="285">
        <v>14</v>
      </c>
      <c r="B123" s="2697" t="s">
        <v>457</v>
      </c>
      <c r="C123" s="2709">
        <v>64299</v>
      </c>
      <c r="D123" s="2709">
        <v>4127</v>
      </c>
      <c r="E123" s="2709">
        <v>10583</v>
      </c>
      <c r="F123" s="2709">
        <v>578</v>
      </c>
      <c r="G123" s="2709">
        <v>26181</v>
      </c>
      <c r="H123" s="2709">
        <f t="shared" si="16"/>
        <v>105768</v>
      </c>
      <c r="I123" s="264"/>
      <c r="J123" s="264"/>
    </row>
    <row r="124" spans="1:10" s="52" customFormat="1" ht="20.100000000000001" customHeight="1">
      <c r="A124" s="285">
        <v>15</v>
      </c>
      <c r="B124" s="2699" t="s">
        <v>460</v>
      </c>
      <c r="C124" s="2709">
        <v>4199</v>
      </c>
      <c r="D124" s="2709">
        <v>504</v>
      </c>
      <c r="E124" s="2709">
        <v>-108</v>
      </c>
      <c r="F124" s="2709">
        <v>-68</v>
      </c>
      <c r="G124" s="2709">
        <v>-4243</v>
      </c>
      <c r="H124" s="2709">
        <f t="shared" si="16"/>
        <v>284</v>
      </c>
      <c r="I124" s="264"/>
      <c r="J124" s="264"/>
    </row>
    <row r="125" spans="1:10" s="52" customFormat="1" ht="20.100000000000001" customHeight="1">
      <c r="A125" s="285"/>
      <c r="B125" s="2697" t="s">
        <v>461</v>
      </c>
      <c r="C125" s="2709"/>
      <c r="D125" s="2709"/>
      <c r="E125" s="2709"/>
      <c r="F125" s="2709"/>
      <c r="G125" s="2709"/>
      <c r="H125" s="2709">
        <f t="shared" si="16"/>
        <v>0</v>
      </c>
      <c r="I125" s="264"/>
      <c r="J125" s="264"/>
    </row>
    <row r="126" spans="1:10" s="52" customFormat="1" ht="25.5" customHeight="1">
      <c r="A126" s="285">
        <v>16</v>
      </c>
      <c r="B126" s="2705" t="s">
        <v>462</v>
      </c>
      <c r="C126" s="2709"/>
      <c r="D126" s="2709"/>
      <c r="E126" s="2709"/>
      <c r="F126" s="2709"/>
      <c r="G126" s="2709"/>
      <c r="H126" s="2709">
        <f t="shared" si="16"/>
        <v>0</v>
      </c>
      <c r="I126" s="264"/>
      <c r="J126" s="264"/>
    </row>
    <row r="127" spans="1:10" s="52" customFormat="1" ht="20.100000000000001" customHeight="1">
      <c r="A127" s="285">
        <v>17</v>
      </c>
      <c r="B127" s="2699" t="s">
        <v>463</v>
      </c>
      <c r="C127" s="2709">
        <v>-100469</v>
      </c>
      <c r="D127" s="2709">
        <v>-6771</v>
      </c>
      <c r="E127" s="2709">
        <v>-19590</v>
      </c>
      <c r="F127" s="2709">
        <v>-952</v>
      </c>
      <c r="G127" s="2709">
        <v>-41007</v>
      </c>
      <c r="H127" s="2709">
        <f t="shared" si="16"/>
        <v>-168789</v>
      </c>
      <c r="I127" s="264"/>
      <c r="J127" s="264"/>
    </row>
    <row r="128" spans="1:10" s="52" customFormat="1" ht="20.100000000000001" customHeight="1">
      <c r="A128" s="285">
        <v>18</v>
      </c>
      <c r="B128" s="2697" t="s">
        <v>464</v>
      </c>
      <c r="C128" s="2709">
        <f t="shared" ref="C128:H128" si="17">SUM(C119:C127)</f>
        <v>187849</v>
      </c>
      <c r="D128" s="2709">
        <f t="shared" si="17"/>
        <v>14199</v>
      </c>
      <c r="E128" s="2709">
        <f t="shared" si="17"/>
        <v>4336</v>
      </c>
      <c r="F128" s="2709">
        <f t="shared" si="17"/>
        <v>3588</v>
      </c>
      <c r="G128" s="2709">
        <f t="shared" si="17"/>
        <v>76480</v>
      </c>
      <c r="H128" s="2709">
        <f t="shared" si="17"/>
        <v>286452</v>
      </c>
      <c r="I128" s="264"/>
      <c r="J128" s="264"/>
    </row>
    <row r="129" spans="1:14" s="52" customFormat="1" ht="20.100000000000001" customHeight="1">
      <c r="A129" s="285">
        <v>19</v>
      </c>
      <c r="B129" s="2699" t="s">
        <v>465</v>
      </c>
      <c r="C129" s="2709"/>
      <c r="D129" s="2709"/>
      <c r="E129" s="2709"/>
      <c r="F129" s="2709"/>
      <c r="G129" s="2709"/>
      <c r="H129" s="2709">
        <f>SUM(C129:G129)</f>
        <v>0</v>
      </c>
      <c r="I129" s="264"/>
      <c r="J129" s="264"/>
    </row>
    <row r="130" spans="1:14" s="52" customFormat="1" ht="20.100000000000001" customHeight="1">
      <c r="A130" s="285">
        <v>20</v>
      </c>
      <c r="B130" s="2707" t="s">
        <v>466</v>
      </c>
      <c r="C130" s="2709">
        <f t="shared" ref="C130:H130" si="18">SUM(C128:C129)</f>
        <v>187849</v>
      </c>
      <c r="D130" s="2709">
        <f t="shared" si="18"/>
        <v>14199</v>
      </c>
      <c r="E130" s="2709">
        <f t="shared" si="18"/>
        <v>4336</v>
      </c>
      <c r="F130" s="2709">
        <f t="shared" si="18"/>
        <v>3588</v>
      </c>
      <c r="G130" s="2709">
        <f t="shared" si="18"/>
        <v>76480</v>
      </c>
      <c r="H130" s="2709">
        <f t="shared" si="18"/>
        <v>286452</v>
      </c>
      <c r="I130" s="264"/>
      <c r="J130" s="264"/>
    </row>
    <row r="131" spans="1:14" s="52" customFormat="1" ht="20.100000000000001" customHeight="1">
      <c r="A131" s="285">
        <v>21</v>
      </c>
      <c r="B131" s="2707" t="s">
        <v>467</v>
      </c>
      <c r="C131" s="2709"/>
      <c r="D131" s="2709"/>
      <c r="E131" s="2709"/>
      <c r="F131" s="2709"/>
      <c r="G131" s="2709"/>
      <c r="H131" s="2709">
        <f>+'[13]Sheet 2 - General Insurance'!$H$141</f>
        <v>-46594</v>
      </c>
      <c r="I131" s="264"/>
      <c r="J131" s="264"/>
    </row>
    <row r="132" spans="1:14" s="52" customFormat="1" ht="20.100000000000001" customHeight="1">
      <c r="A132" s="285">
        <v>22</v>
      </c>
      <c r="B132" s="2707" t="s">
        <v>468</v>
      </c>
      <c r="C132" s="2709">
        <f t="shared" ref="C132:H132" si="19">SUM(C130:C131)</f>
        <v>187849</v>
      </c>
      <c r="D132" s="2709">
        <f t="shared" si="19"/>
        <v>14199</v>
      </c>
      <c r="E132" s="2709">
        <f t="shared" si="19"/>
        <v>4336</v>
      </c>
      <c r="F132" s="2709">
        <f t="shared" si="19"/>
        <v>3588</v>
      </c>
      <c r="G132" s="2709">
        <f t="shared" si="19"/>
        <v>76480</v>
      </c>
      <c r="H132" s="2709">
        <f t="shared" si="19"/>
        <v>239858</v>
      </c>
      <c r="I132" s="284"/>
      <c r="J132" s="264"/>
    </row>
    <row r="133" spans="1:14" s="52" customFormat="1" ht="17.45" customHeight="1">
      <c r="A133" s="285"/>
      <c r="B133" s="290"/>
      <c r="C133" s="289"/>
      <c r="D133" s="289"/>
      <c r="E133" s="289"/>
      <c r="F133" s="289"/>
      <c r="G133" s="289"/>
      <c r="H133" s="289"/>
      <c r="I133" s="284"/>
      <c r="J133" s="264"/>
    </row>
    <row r="134" spans="1:14" s="52" customFormat="1" ht="17.45" customHeight="1">
      <c r="A134" s="285"/>
      <c r="B134" s="290"/>
      <c r="C134" s="289"/>
      <c r="D134" s="289"/>
      <c r="E134" s="289"/>
      <c r="F134" s="289"/>
      <c r="G134" s="289"/>
      <c r="H134" s="289"/>
      <c r="I134" s="284"/>
      <c r="J134" s="264"/>
    </row>
    <row r="135" spans="1:14" s="54" customFormat="1" ht="17.45" customHeight="1">
      <c r="A135" s="3598">
        <v>4</v>
      </c>
      <c r="B135" s="3599" t="s">
        <v>126</v>
      </c>
      <c r="C135" s="3600">
        <v>2012</v>
      </c>
      <c r="D135" s="3600"/>
      <c r="E135" s="3600"/>
      <c r="F135" s="3600"/>
      <c r="G135" s="3600"/>
      <c r="H135" s="3600"/>
      <c r="I135" s="109"/>
      <c r="J135" s="109"/>
    </row>
    <row r="136" spans="1:14" s="54" customFormat="1" ht="17.45" customHeight="1">
      <c r="A136" s="3598"/>
      <c r="B136" s="3599"/>
      <c r="C136" s="2532" t="s">
        <v>436</v>
      </c>
      <c r="D136" s="2532" t="s">
        <v>437</v>
      </c>
      <c r="E136" s="2532" t="s">
        <v>438</v>
      </c>
      <c r="F136" s="2532" t="s">
        <v>722</v>
      </c>
      <c r="G136" s="2532" t="s">
        <v>723</v>
      </c>
      <c r="H136" s="2532" t="s">
        <v>118</v>
      </c>
      <c r="I136" s="3358"/>
      <c r="J136" s="109"/>
    </row>
    <row r="137" spans="1:14" s="54" customFormat="1" ht="17.45" customHeight="1">
      <c r="A137" s="3598"/>
      <c r="B137" s="3599"/>
      <c r="C137" s="2696" t="s">
        <v>142</v>
      </c>
      <c r="D137" s="2696" t="s">
        <v>142</v>
      </c>
      <c r="E137" s="2696" t="s">
        <v>142</v>
      </c>
      <c r="F137" s="2696" t="s">
        <v>142</v>
      </c>
      <c r="G137" s="2696" t="s">
        <v>142</v>
      </c>
      <c r="H137" s="2696" t="s">
        <v>142</v>
      </c>
      <c r="I137" s="3358"/>
      <c r="J137" s="109"/>
    </row>
    <row r="138" spans="1:14" s="52" customFormat="1" ht="17.45" customHeight="1">
      <c r="A138" s="285">
        <v>1</v>
      </c>
      <c r="B138" s="2697" t="s">
        <v>215</v>
      </c>
      <c r="C138" s="3601"/>
      <c r="D138" s="3601"/>
      <c r="E138" s="3601"/>
      <c r="F138" s="3601"/>
      <c r="G138" s="3601"/>
      <c r="H138" s="1711">
        <f>+H146+H155+H156+H157</f>
        <v>882378.74999999988</v>
      </c>
      <c r="I138" s="264"/>
      <c r="J138" s="278"/>
      <c r="K138" s="274"/>
      <c r="L138" s="274"/>
      <c r="M138" s="274"/>
      <c r="N138" s="274"/>
    </row>
    <row r="139" spans="1:14" s="52" customFormat="1" ht="5.25" customHeight="1">
      <c r="A139" s="285"/>
      <c r="B139" s="2697"/>
      <c r="C139" s="1789"/>
      <c r="D139" s="1789"/>
      <c r="E139" s="1789"/>
      <c r="F139" s="1789"/>
      <c r="G139" s="1789"/>
      <c r="H139" s="1789"/>
      <c r="I139" s="264"/>
      <c r="J139" s="278"/>
      <c r="K139" s="274"/>
      <c r="L139" s="274"/>
      <c r="M139" s="274"/>
      <c r="N139" s="274"/>
    </row>
    <row r="140" spans="1:14" s="52" customFormat="1" ht="20.100000000000001" customHeight="1">
      <c r="A140" s="285">
        <v>2</v>
      </c>
      <c r="B140" s="2699" t="s">
        <v>342</v>
      </c>
      <c r="C140" s="2709">
        <v>72011.714999999997</v>
      </c>
      <c r="D140" s="2709">
        <v>34120.257999999994</v>
      </c>
      <c r="E140" s="2709">
        <v>710557.69499999995</v>
      </c>
      <c r="F140" s="2709">
        <v>5233.7700000000004</v>
      </c>
      <c r="G140" s="2709">
        <v>143377.01200000002</v>
      </c>
      <c r="H140" s="2709">
        <f t="shared" ref="H140:H146" si="20">SUM(C140:G140)</f>
        <v>965300.45</v>
      </c>
      <c r="I140" s="286"/>
      <c r="J140" s="264"/>
    </row>
    <row r="141" spans="1:14" s="52" customFormat="1" ht="20.100000000000001" customHeight="1">
      <c r="A141" s="285">
        <v>3</v>
      </c>
      <c r="B141" s="2699" t="s">
        <v>444</v>
      </c>
      <c r="C141" s="2709">
        <v>-404.3</v>
      </c>
      <c r="D141" s="2709">
        <v>-94.7</v>
      </c>
      <c r="E141" s="2709">
        <v>-456.6</v>
      </c>
      <c r="F141" s="2709">
        <v>0</v>
      </c>
      <c r="G141" s="2709">
        <v>-1867.1000000000001</v>
      </c>
      <c r="H141" s="2709">
        <f t="shared" si="20"/>
        <v>-2822.7000000000003</v>
      </c>
      <c r="I141" s="286"/>
      <c r="J141" s="264"/>
    </row>
    <row r="142" spans="1:14" s="52" customFormat="1" ht="20.100000000000001" customHeight="1">
      <c r="A142" s="285">
        <v>4</v>
      </c>
      <c r="B142" s="2699" t="s">
        <v>445</v>
      </c>
      <c r="C142" s="2709">
        <v>-23488</v>
      </c>
      <c r="D142" s="2709">
        <v>-4.8</v>
      </c>
      <c r="E142" s="2709">
        <v>-16885</v>
      </c>
      <c r="F142" s="2709">
        <v>-813.4</v>
      </c>
      <c r="G142" s="2709">
        <v>-4532.3</v>
      </c>
      <c r="H142" s="2709">
        <f t="shared" si="20"/>
        <v>-45723.500000000007</v>
      </c>
      <c r="I142" s="286"/>
      <c r="J142" s="264"/>
    </row>
    <row r="143" spans="1:14" s="52" customFormat="1" ht="20.100000000000001" customHeight="1">
      <c r="A143" s="285">
        <v>5</v>
      </c>
      <c r="B143" s="2699" t="s">
        <v>446</v>
      </c>
      <c r="C143" s="2709">
        <v>-39208.227999999996</v>
      </c>
      <c r="D143" s="2709">
        <v>-19183.787</v>
      </c>
      <c r="E143" s="2709">
        <v>-0.77700000000186265</v>
      </c>
      <c r="F143" s="2709">
        <v>-80</v>
      </c>
      <c r="G143" s="2709">
        <v>-20779.353999999999</v>
      </c>
      <c r="H143" s="2709">
        <f t="shared" si="20"/>
        <v>-79252.146000000008</v>
      </c>
      <c r="I143" s="264"/>
      <c r="J143" s="264"/>
    </row>
    <row r="144" spans="1:14" s="52" customFormat="1" ht="20.100000000000001" customHeight="1">
      <c r="A144" s="285">
        <v>6</v>
      </c>
      <c r="B144" s="2699" t="s">
        <v>727</v>
      </c>
      <c r="C144" s="2709">
        <f>SUM(C140:C143)</f>
        <v>8911.1869999999981</v>
      </c>
      <c r="D144" s="2709">
        <f>SUM(D140:D143)</f>
        <v>14836.970999999994</v>
      </c>
      <c r="E144" s="2709">
        <f>SUM(E140:E143)</f>
        <v>693215.31799999997</v>
      </c>
      <c r="F144" s="2709">
        <f>SUM(F140:F143)</f>
        <v>4340.3700000000008</v>
      </c>
      <c r="G144" s="2709">
        <f>SUM(G140:G143)</f>
        <v>116198.25800000003</v>
      </c>
      <c r="H144" s="2709">
        <f t="shared" si="20"/>
        <v>837502.10399999993</v>
      </c>
      <c r="I144" s="264"/>
      <c r="J144" s="264"/>
    </row>
    <row r="145" spans="1:10" s="52" customFormat="1" ht="20.100000000000001" customHeight="1">
      <c r="A145" s="285">
        <v>7</v>
      </c>
      <c r="B145" s="2699" t="s">
        <v>448</v>
      </c>
      <c r="C145" s="2709">
        <v>324.80200000000002</v>
      </c>
      <c r="D145" s="2709">
        <v>901.12400000000002</v>
      </c>
      <c r="E145" s="2709">
        <v>-83802.634999999995</v>
      </c>
      <c r="F145" s="2709">
        <v>-163</v>
      </c>
      <c r="G145" s="2709">
        <v>24234.255000000001</v>
      </c>
      <c r="H145" s="2709">
        <f t="shared" si="20"/>
        <v>-58505.453999999983</v>
      </c>
      <c r="I145" s="264"/>
      <c r="J145" s="264"/>
    </row>
    <row r="146" spans="1:10" s="52" customFormat="1" ht="20.100000000000001" customHeight="1">
      <c r="A146" s="285">
        <v>8</v>
      </c>
      <c r="B146" s="2699" t="s">
        <v>728</v>
      </c>
      <c r="C146" s="2709">
        <f>SUM(C144:C145)</f>
        <v>9235.9889999999978</v>
      </c>
      <c r="D146" s="2709">
        <f>SUM(D144:D145)</f>
        <v>15738.094999999994</v>
      </c>
      <c r="E146" s="2709">
        <f>SUM(E144:E145)</f>
        <v>609412.68299999996</v>
      </c>
      <c r="F146" s="2709">
        <f>SUM(F144:F145)</f>
        <v>4177.3700000000008</v>
      </c>
      <c r="G146" s="2709">
        <f>SUM(G144:G145)</f>
        <v>140432.51300000004</v>
      </c>
      <c r="H146" s="2709">
        <f t="shared" si="20"/>
        <v>778996.65</v>
      </c>
      <c r="I146" s="264"/>
      <c r="J146" s="264"/>
    </row>
    <row r="147" spans="1:10" s="52" customFormat="1" ht="20.100000000000001" customHeight="1">
      <c r="A147" s="285"/>
      <c r="B147" s="2699"/>
      <c r="C147" s="2709"/>
      <c r="D147" s="2709"/>
      <c r="E147" s="2709"/>
      <c r="F147" s="2709"/>
      <c r="G147" s="2709"/>
      <c r="H147" s="2709">
        <f>SUM(C147:G147)</f>
        <v>0</v>
      </c>
      <c r="I147" s="264"/>
      <c r="J147" s="264"/>
    </row>
    <row r="148" spans="1:10" s="52" customFormat="1" ht="20.100000000000001" customHeight="1">
      <c r="A148" s="285"/>
      <c r="B148" s="2697" t="s">
        <v>450</v>
      </c>
      <c r="C148" s="2709"/>
      <c r="D148" s="2709"/>
      <c r="E148" s="2709"/>
      <c r="F148" s="2709"/>
      <c r="G148" s="2709"/>
      <c r="H148" s="2709">
        <f>SUM(C148:G148)</f>
        <v>0</v>
      </c>
      <c r="I148" s="264"/>
      <c r="J148" s="264"/>
    </row>
    <row r="149" spans="1:10" s="52" customFormat="1" ht="20.100000000000001" customHeight="1">
      <c r="A149" s="285">
        <v>9</v>
      </c>
      <c r="B149" s="2699" t="s">
        <v>451</v>
      </c>
      <c r="C149" s="2709">
        <v>-52</v>
      </c>
      <c r="D149" s="2709">
        <v>-5020.4650000000001</v>
      </c>
      <c r="E149" s="2709">
        <v>-387075.54</v>
      </c>
      <c r="F149" s="2709">
        <v>-1440.2</v>
      </c>
      <c r="G149" s="2709">
        <v>-110186.31700000001</v>
      </c>
      <c r="H149" s="2709">
        <f>SUM(C149:G149)</f>
        <v>-503774.522</v>
      </c>
      <c r="I149" s="264"/>
      <c r="J149" s="264"/>
    </row>
    <row r="150" spans="1:10" s="52" customFormat="1" ht="20.100000000000001" customHeight="1">
      <c r="A150" s="285">
        <v>10</v>
      </c>
      <c r="B150" s="2699" t="s">
        <v>452</v>
      </c>
      <c r="C150" s="2709">
        <v>11253</v>
      </c>
      <c r="D150" s="2709">
        <v>3885.8999999999996</v>
      </c>
      <c r="E150" s="2709">
        <v>-51271</v>
      </c>
      <c r="F150" s="2709">
        <v>-216</v>
      </c>
      <c r="G150" s="2709">
        <v>-2719</v>
      </c>
      <c r="H150" s="2709">
        <f>SUM(C150:G150)</f>
        <v>-39067.1</v>
      </c>
      <c r="I150" s="264"/>
      <c r="J150" s="264"/>
    </row>
    <row r="151" spans="1:10" s="52" customFormat="1" ht="20.100000000000001" customHeight="1">
      <c r="A151" s="285">
        <v>11</v>
      </c>
      <c r="B151" s="2699" t="s">
        <v>453</v>
      </c>
      <c r="C151" s="2709"/>
      <c r="D151" s="2709"/>
      <c r="E151" s="2709"/>
      <c r="F151" s="2709"/>
      <c r="G151" s="2709"/>
      <c r="H151" s="2709">
        <f>SUM(C151:G151)</f>
        <v>0</v>
      </c>
      <c r="I151" s="264"/>
      <c r="J151" s="264"/>
    </row>
    <row r="152" spans="1:10" s="52" customFormat="1" ht="20.100000000000001" customHeight="1">
      <c r="A152" s="287">
        <v>12</v>
      </c>
      <c r="B152" s="2701" t="s">
        <v>454</v>
      </c>
      <c r="C152" s="2710">
        <f t="shared" ref="C152:H152" si="21">SUM(C146:C151)</f>
        <v>20436.988999999998</v>
      </c>
      <c r="D152" s="2710">
        <f t="shared" si="21"/>
        <v>14603.529999999993</v>
      </c>
      <c r="E152" s="2710">
        <f t="shared" si="21"/>
        <v>171066.14299999998</v>
      </c>
      <c r="F152" s="2710">
        <f t="shared" si="21"/>
        <v>2521.170000000001</v>
      </c>
      <c r="G152" s="2710">
        <f t="shared" si="21"/>
        <v>27527.196000000025</v>
      </c>
      <c r="H152" s="2710">
        <f t="shared" si="21"/>
        <v>236155.02800000002</v>
      </c>
      <c r="I152" s="288"/>
      <c r="J152" s="264"/>
    </row>
    <row r="153" spans="1:10" s="52" customFormat="1" ht="20.100000000000001" customHeight="1">
      <c r="A153" s="285"/>
      <c r="B153" s="2702"/>
      <c r="C153" s="2709"/>
      <c r="D153" s="2709"/>
      <c r="E153" s="2709"/>
      <c r="F153" s="2709"/>
      <c r="G153" s="2709"/>
      <c r="H153" s="2709">
        <f>SUM(C153:G153)</f>
        <v>0</v>
      </c>
      <c r="I153" s="264"/>
      <c r="J153" s="264"/>
    </row>
    <row r="154" spans="1:10" s="52" customFormat="1" ht="20.100000000000001" customHeight="1">
      <c r="A154" s="285"/>
      <c r="B154" s="2703" t="s">
        <v>455</v>
      </c>
      <c r="C154" s="2709"/>
      <c r="D154" s="2709"/>
      <c r="E154" s="2709"/>
      <c r="F154" s="2709"/>
      <c r="G154" s="2709"/>
      <c r="H154" s="2709">
        <f>SUM(C154:G154)</f>
        <v>0</v>
      </c>
      <c r="I154" s="264"/>
      <c r="J154" s="264"/>
    </row>
    <row r="155" spans="1:10" s="52" customFormat="1" ht="20.100000000000001" customHeight="1">
      <c r="A155" s="285">
        <v>13</v>
      </c>
      <c r="B155" s="2699" t="s">
        <v>456</v>
      </c>
      <c r="C155" s="2709"/>
      <c r="D155" s="2709"/>
      <c r="E155" s="2709"/>
      <c r="F155" s="2709"/>
      <c r="G155" s="2709"/>
      <c r="H155" s="2709">
        <v>70251.459999999992</v>
      </c>
      <c r="I155" s="264"/>
      <c r="J155" s="264"/>
    </row>
    <row r="156" spans="1:10" s="52" customFormat="1" ht="20.100000000000001" customHeight="1">
      <c r="A156" s="285">
        <v>14</v>
      </c>
      <c r="B156" s="2697" t="s">
        <v>457</v>
      </c>
      <c r="C156" s="2709"/>
      <c r="D156" s="2709"/>
      <c r="E156" s="2709"/>
      <c r="F156" s="2709"/>
      <c r="G156" s="2709"/>
      <c r="H156" s="2709">
        <v>24682.94</v>
      </c>
      <c r="I156" s="264"/>
      <c r="J156" s="264"/>
    </row>
    <row r="157" spans="1:10" s="52" customFormat="1" ht="20.100000000000001" customHeight="1">
      <c r="A157" s="285">
        <v>15</v>
      </c>
      <c r="B157" s="2699" t="s">
        <v>460</v>
      </c>
      <c r="C157" s="2709"/>
      <c r="D157" s="2709"/>
      <c r="E157" s="2709"/>
      <c r="F157" s="2709"/>
      <c r="G157" s="2709"/>
      <c r="H157" s="2709">
        <v>8447.7000000000007</v>
      </c>
      <c r="I157" s="264"/>
      <c r="J157" s="264"/>
    </row>
    <row r="158" spans="1:10" s="52" customFormat="1" ht="20.100000000000001" customHeight="1">
      <c r="A158" s="285"/>
      <c r="B158" s="2697" t="s">
        <v>461</v>
      </c>
      <c r="C158" s="2709"/>
      <c r="D158" s="2709"/>
      <c r="E158" s="2709"/>
      <c r="F158" s="2709"/>
      <c r="G158" s="2709"/>
      <c r="H158" s="2709">
        <f>SUM(C158:G158)</f>
        <v>0</v>
      </c>
      <c r="I158" s="264"/>
      <c r="J158" s="264"/>
    </row>
    <row r="159" spans="1:10" s="52" customFormat="1" ht="30.75" customHeight="1">
      <c r="A159" s="285">
        <v>16</v>
      </c>
      <c r="B159" s="2705" t="s">
        <v>462</v>
      </c>
      <c r="C159" s="2709"/>
      <c r="D159" s="2709"/>
      <c r="E159" s="2709"/>
      <c r="F159" s="2709"/>
      <c r="G159" s="2709"/>
      <c r="H159" s="2709">
        <v>-426666.89999999997</v>
      </c>
      <c r="I159" s="264"/>
      <c r="J159" s="264"/>
    </row>
    <row r="160" spans="1:10" s="52" customFormat="1" ht="20.100000000000001" customHeight="1">
      <c r="A160" s="285">
        <v>17</v>
      </c>
      <c r="B160" s="2699" t="s">
        <v>463</v>
      </c>
      <c r="C160" s="2709"/>
      <c r="D160" s="2709"/>
      <c r="E160" s="2709"/>
      <c r="F160" s="2709"/>
      <c r="G160" s="2709"/>
      <c r="H160" s="2709">
        <v>-6630.7000000000007</v>
      </c>
      <c r="I160" s="264"/>
      <c r="J160" s="264"/>
    </row>
    <row r="161" spans="1:14" s="52" customFormat="1" ht="20.100000000000001" customHeight="1">
      <c r="A161" s="285">
        <v>18</v>
      </c>
      <c r="B161" s="2697" t="s">
        <v>464</v>
      </c>
      <c r="C161" s="2709">
        <f t="shared" ref="C161:H161" si="22">SUM(C152:C160)</f>
        <v>20436.988999999998</v>
      </c>
      <c r="D161" s="2709">
        <f t="shared" si="22"/>
        <v>14603.529999999993</v>
      </c>
      <c r="E161" s="2709">
        <f t="shared" si="22"/>
        <v>171066.14299999998</v>
      </c>
      <c r="F161" s="2709">
        <f t="shared" si="22"/>
        <v>2521.170000000001</v>
      </c>
      <c r="G161" s="2709">
        <f t="shared" si="22"/>
        <v>27527.196000000025</v>
      </c>
      <c r="H161" s="2709">
        <f t="shared" si="22"/>
        <v>-93760.471999999936</v>
      </c>
      <c r="I161" s="264"/>
      <c r="J161" s="264"/>
    </row>
    <row r="162" spans="1:14" s="52" customFormat="1" ht="20.100000000000001" customHeight="1">
      <c r="A162" s="285">
        <v>19</v>
      </c>
      <c r="B162" s="2699" t="s">
        <v>465</v>
      </c>
      <c r="C162" s="2709"/>
      <c r="D162" s="2709"/>
      <c r="E162" s="2709"/>
      <c r="F162" s="2709"/>
      <c r="G162" s="2709"/>
      <c r="H162" s="2709">
        <f>+'[14]Sheet 2 - General Insurance'!$H$139</f>
        <v>-15604.4</v>
      </c>
      <c r="I162" s="264"/>
      <c r="J162" s="264"/>
    </row>
    <row r="163" spans="1:14" s="52" customFormat="1" ht="20.100000000000001" customHeight="1">
      <c r="A163" s="285">
        <v>20</v>
      </c>
      <c r="B163" s="2707" t="s">
        <v>466</v>
      </c>
      <c r="C163" s="2709">
        <f t="shared" ref="C163:H163" si="23">SUM(C161:C162)</f>
        <v>20436.988999999998</v>
      </c>
      <c r="D163" s="2709">
        <f t="shared" si="23"/>
        <v>14603.529999999993</v>
      </c>
      <c r="E163" s="2709">
        <f t="shared" si="23"/>
        <v>171066.14299999998</v>
      </c>
      <c r="F163" s="2709">
        <f t="shared" si="23"/>
        <v>2521.170000000001</v>
      </c>
      <c r="G163" s="2709">
        <f t="shared" si="23"/>
        <v>27527.196000000025</v>
      </c>
      <c r="H163" s="2709">
        <f t="shared" si="23"/>
        <v>-109364.87199999993</v>
      </c>
      <c r="I163" s="264"/>
      <c r="J163" s="264"/>
    </row>
    <row r="164" spans="1:14" s="52" customFormat="1" ht="20.100000000000001" customHeight="1">
      <c r="A164" s="285">
        <v>21</v>
      </c>
      <c r="B164" s="2707" t="s">
        <v>467</v>
      </c>
      <c r="C164" s="2709"/>
      <c r="D164" s="2709"/>
      <c r="E164" s="2709"/>
      <c r="F164" s="2709"/>
      <c r="G164" s="2709"/>
      <c r="H164" s="2709">
        <f>SUM(C164:G164)</f>
        <v>0</v>
      </c>
      <c r="I164" s="264"/>
      <c r="J164" s="264"/>
    </row>
    <row r="165" spans="1:14" s="52" customFormat="1" ht="20.100000000000001" customHeight="1">
      <c r="A165" s="285">
        <v>22</v>
      </c>
      <c r="B165" s="2707" t="s">
        <v>468</v>
      </c>
      <c r="C165" s="2709">
        <f t="shared" ref="C165:H165" si="24">SUM(C163:C164)</f>
        <v>20436.988999999998</v>
      </c>
      <c r="D165" s="2709">
        <f t="shared" si="24"/>
        <v>14603.529999999993</v>
      </c>
      <c r="E165" s="2709">
        <f t="shared" si="24"/>
        <v>171066.14299999998</v>
      </c>
      <c r="F165" s="2709">
        <f t="shared" si="24"/>
        <v>2521.170000000001</v>
      </c>
      <c r="G165" s="2709">
        <f t="shared" si="24"/>
        <v>27527.196000000025</v>
      </c>
      <c r="H165" s="2709">
        <f t="shared" si="24"/>
        <v>-109364.87199999993</v>
      </c>
      <c r="I165" s="284"/>
      <c r="J165" s="264"/>
    </row>
    <row r="166" spans="1:14" s="292" customFormat="1" ht="24.95" customHeight="1">
      <c r="A166" s="285"/>
      <c r="I166" s="293"/>
      <c r="J166" s="293"/>
    </row>
    <row r="168" spans="1:14" s="54" customFormat="1" ht="17.45" customHeight="1">
      <c r="A168" s="3598">
        <v>5</v>
      </c>
      <c r="B168" s="3603" t="s">
        <v>124</v>
      </c>
      <c r="C168" s="3600">
        <v>2012</v>
      </c>
      <c r="D168" s="3600"/>
      <c r="E168" s="3600"/>
      <c r="F168" s="3600"/>
      <c r="G168" s="3600"/>
      <c r="H168" s="3600"/>
      <c r="I168" s="109"/>
      <c r="J168" s="109"/>
    </row>
    <row r="169" spans="1:14" s="54" customFormat="1" ht="17.45" customHeight="1">
      <c r="A169" s="3598"/>
      <c r="B169" s="3603"/>
      <c r="C169" s="2532" t="s">
        <v>436</v>
      </c>
      <c r="D169" s="2532" t="s">
        <v>437</v>
      </c>
      <c r="E169" s="2532" t="s">
        <v>438</v>
      </c>
      <c r="F169" s="2532" t="s">
        <v>722</v>
      </c>
      <c r="G169" s="2532" t="s">
        <v>723</v>
      </c>
      <c r="H169" s="2713" t="s">
        <v>118</v>
      </c>
      <c r="I169" s="3358"/>
      <c r="J169" s="109"/>
    </row>
    <row r="170" spans="1:14" s="54" customFormat="1" ht="17.45" customHeight="1">
      <c r="A170" s="3598"/>
      <c r="B170" s="3603"/>
      <c r="C170" s="2696" t="s">
        <v>142</v>
      </c>
      <c r="D170" s="2696" t="s">
        <v>142</v>
      </c>
      <c r="E170" s="2696" t="s">
        <v>142</v>
      </c>
      <c r="F170" s="2696" t="s">
        <v>142</v>
      </c>
      <c r="G170" s="2696" t="s">
        <v>142</v>
      </c>
      <c r="H170" s="2696" t="s">
        <v>142</v>
      </c>
      <c r="I170" s="3358"/>
      <c r="J170" s="109"/>
    </row>
    <row r="171" spans="1:14" s="52" customFormat="1" ht="17.45" customHeight="1">
      <c r="A171" s="285">
        <v>1</v>
      </c>
      <c r="B171" s="2697" t="s">
        <v>215</v>
      </c>
      <c r="C171" s="3601"/>
      <c r="D171" s="3601"/>
      <c r="E171" s="3601"/>
      <c r="F171" s="3601"/>
      <c r="G171" s="3601"/>
      <c r="H171" s="1711">
        <f>+H179+H188+H189+H190</f>
        <v>151944.65289000008</v>
      </c>
      <c r="I171" s="264"/>
      <c r="J171" s="278"/>
      <c r="K171" s="274"/>
      <c r="L171" s="274"/>
      <c r="M171" s="274"/>
      <c r="N171" s="274"/>
    </row>
    <row r="172" spans="1:14" s="52" customFormat="1" ht="6" customHeight="1">
      <c r="A172" s="285"/>
      <c r="B172" s="2697"/>
      <c r="C172" s="1789"/>
      <c r="D172" s="1789"/>
      <c r="E172" s="1789"/>
      <c r="F172" s="1789"/>
      <c r="G172" s="1789"/>
      <c r="H172" s="1789"/>
      <c r="I172" s="264"/>
      <c r="J172" s="278"/>
      <c r="K172" s="274"/>
      <c r="L172" s="274"/>
      <c r="M172" s="274"/>
      <c r="N172" s="274"/>
    </row>
    <row r="173" spans="1:14" s="52" customFormat="1" ht="20.100000000000001" customHeight="1">
      <c r="A173" s="285">
        <v>2</v>
      </c>
      <c r="B173" s="2699" t="s">
        <v>342</v>
      </c>
      <c r="C173" s="2709">
        <v>94709</v>
      </c>
      <c r="D173" s="2709">
        <v>41011</v>
      </c>
      <c r="E173" s="2709">
        <v>329440</v>
      </c>
      <c r="F173" s="2709">
        <v>6139</v>
      </c>
      <c r="G173" s="2709">
        <v>156864</v>
      </c>
      <c r="H173" s="2709">
        <f>SUM(C173:G173)</f>
        <v>628163</v>
      </c>
      <c r="I173" s="286"/>
      <c r="J173" s="264"/>
    </row>
    <row r="174" spans="1:14" s="52" customFormat="1" ht="20.100000000000001" customHeight="1">
      <c r="A174" s="285">
        <v>3</v>
      </c>
      <c r="B174" s="2699" t="s">
        <v>724</v>
      </c>
      <c r="C174" s="2709">
        <v>-5893.5947500000002</v>
      </c>
      <c r="D174" s="2709">
        <v>-44.42</v>
      </c>
      <c r="E174" s="2709">
        <v>0</v>
      </c>
      <c r="F174" s="2709">
        <v>0</v>
      </c>
      <c r="G174" s="2709">
        <v>-1338.64975</v>
      </c>
      <c r="H174" s="2709">
        <f>SUM(C174:G174)</f>
        <v>-7276.6645000000008</v>
      </c>
      <c r="I174" s="286"/>
      <c r="J174" s="264"/>
    </row>
    <row r="175" spans="1:14" s="52" customFormat="1" ht="20.100000000000001" customHeight="1">
      <c r="A175" s="285">
        <v>4</v>
      </c>
      <c r="B175" s="2699" t="s">
        <v>725</v>
      </c>
      <c r="C175" s="2709">
        <v>-31030.158800000001</v>
      </c>
      <c r="D175" s="2709">
        <v>-317.35131000000001</v>
      </c>
      <c r="E175" s="2709">
        <v>0</v>
      </c>
      <c r="F175" s="2709">
        <v>0</v>
      </c>
      <c r="G175" s="2709">
        <v>-7281.6151899999995</v>
      </c>
      <c r="H175" s="2709">
        <f>SUM(C175:G175)</f>
        <v>-38629.1253</v>
      </c>
      <c r="I175" s="286"/>
      <c r="J175" s="264"/>
    </row>
    <row r="176" spans="1:14" s="52" customFormat="1" ht="20.100000000000001" customHeight="1">
      <c r="A176" s="285">
        <v>5</v>
      </c>
      <c r="B176" s="2699" t="s">
        <v>726</v>
      </c>
      <c r="C176" s="2709">
        <v>-54506.029209999993</v>
      </c>
      <c r="D176" s="2709">
        <v>-27890.197440000004</v>
      </c>
      <c r="E176" s="2709">
        <v>-17865.76772</v>
      </c>
      <c r="F176" s="2709">
        <v>-1557</v>
      </c>
      <c r="G176" s="2709">
        <v>-19032.56294</v>
      </c>
      <c r="H176" s="2709">
        <f>SUM(C176:G176)</f>
        <v>-120851.55731</v>
      </c>
      <c r="I176" s="264"/>
      <c r="J176" s="264"/>
    </row>
    <row r="177" spans="1:10" s="52" customFormat="1" ht="20.100000000000001" customHeight="1">
      <c r="A177" s="285">
        <v>6</v>
      </c>
      <c r="B177" s="2699" t="s">
        <v>727</v>
      </c>
      <c r="C177" s="2709">
        <f t="shared" ref="C177:H177" si="25">SUM(C173:C176)</f>
        <v>3279.2172399999981</v>
      </c>
      <c r="D177" s="2709">
        <f t="shared" si="25"/>
        <v>12759.03125</v>
      </c>
      <c r="E177" s="2709">
        <f t="shared" si="25"/>
        <v>311574.23228</v>
      </c>
      <c r="F177" s="2709">
        <f t="shared" si="25"/>
        <v>4582</v>
      </c>
      <c r="G177" s="2709">
        <f t="shared" si="25"/>
        <v>129211.17211999997</v>
      </c>
      <c r="H177" s="2709">
        <f t="shared" si="25"/>
        <v>461405.65289000008</v>
      </c>
      <c r="I177" s="264"/>
      <c r="J177" s="264"/>
    </row>
    <row r="178" spans="1:10" s="52" customFormat="1" ht="20.100000000000001" customHeight="1">
      <c r="A178" s="285">
        <v>7</v>
      </c>
      <c r="B178" s="2699" t="s">
        <v>448</v>
      </c>
      <c r="C178" s="2709">
        <v>1297</v>
      </c>
      <c r="D178" s="2709">
        <v>-3537</v>
      </c>
      <c r="E178" s="2709">
        <v>-70905</v>
      </c>
      <c r="F178" s="2709">
        <v>-133</v>
      </c>
      <c r="G178" s="2709">
        <v>-40550</v>
      </c>
      <c r="H178" s="2709">
        <f t="shared" ref="H178:H184" si="26">SUM(C178:G178)</f>
        <v>-113828</v>
      </c>
      <c r="I178" s="264"/>
      <c r="J178" s="264"/>
    </row>
    <row r="179" spans="1:10" s="52" customFormat="1" ht="20.100000000000001" customHeight="1">
      <c r="A179" s="285">
        <v>8</v>
      </c>
      <c r="B179" s="2699" t="s">
        <v>728</v>
      </c>
      <c r="C179" s="2709">
        <f t="shared" ref="C179:H179" si="27">SUM(C177:C178)</f>
        <v>4576.2172399999981</v>
      </c>
      <c r="D179" s="2709">
        <f t="shared" si="27"/>
        <v>9222.03125</v>
      </c>
      <c r="E179" s="2709">
        <f t="shared" si="27"/>
        <v>240669.23228</v>
      </c>
      <c r="F179" s="2709">
        <f t="shared" si="27"/>
        <v>4449</v>
      </c>
      <c r="G179" s="2709">
        <f t="shared" si="27"/>
        <v>88661.172119999974</v>
      </c>
      <c r="H179" s="2709">
        <f t="shared" si="27"/>
        <v>347577.65289000008</v>
      </c>
      <c r="I179" s="264"/>
      <c r="J179" s="264"/>
    </row>
    <row r="180" spans="1:10" s="52" customFormat="1" ht="20.100000000000001" customHeight="1">
      <c r="A180" s="285"/>
      <c r="B180" s="2699"/>
      <c r="C180" s="2709"/>
      <c r="D180" s="2709"/>
      <c r="E180" s="2709"/>
      <c r="F180" s="2709"/>
      <c r="G180" s="2709"/>
      <c r="H180" s="2709">
        <f t="shared" si="26"/>
        <v>0</v>
      </c>
      <c r="I180" s="264"/>
      <c r="J180" s="264"/>
    </row>
    <row r="181" spans="1:10" s="52" customFormat="1" ht="20.100000000000001" customHeight="1">
      <c r="A181" s="285"/>
      <c r="B181" s="2697" t="s">
        <v>450</v>
      </c>
      <c r="C181" s="2709"/>
      <c r="D181" s="2709"/>
      <c r="E181" s="2709"/>
      <c r="F181" s="2709"/>
      <c r="G181" s="2709"/>
      <c r="H181" s="2709">
        <f t="shared" si="26"/>
        <v>0</v>
      </c>
      <c r="I181" s="264"/>
      <c r="J181" s="264"/>
    </row>
    <row r="182" spans="1:10" s="52" customFormat="1" ht="20.100000000000001" customHeight="1">
      <c r="A182" s="285">
        <v>9</v>
      </c>
      <c r="B182" s="2699" t="s">
        <v>451</v>
      </c>
      <c r="C182" s="2709">
        <v>-2709</v>
      </c>
      <c r="D182" s="2709">
        <v>-3646</v>
      </c>
      <c r="E182" s="2709">
        <v>-196072</v>
      </c>
      <c r="F182" s="2709">
        <v>-809</v>
      </c>
      <c r="G182" s="2709">
        <v>-68064</v>
      </c>
      <c r="H182" s="2709">
        <f t="shared" si="26"/>
        <v>-271300</v>
      </c>
      <c r="I182" s="264"/>
      <c r="J182" s="264"/>
    </row>
    <row r="183" spans="1:10" s="52" customFormat="1" ht="20.100000000000001" customHeight="1">
      <c r="A183" s="285">
        <v>10</v>
      </c>
      <c r="B183" s="2699" t="s">
        <v>452</v>
      </c>
      <c r="C183" s="2709">
        <v>8045</v>
      </c>
      <c r="D183" s="2709">
        <v>5564</v>
      </c>
      <c r="E183" s="2709">
        <v>-28250</v>
      </c>
      <c r="F183" s="2709">
        <v>-492</v>
      </c>
      <c r="G183" s="2709">
        <v>-10825</v>
      </c>
      <c r="H183" s="2709">
        <f t="shared" si="26"/>
        <v>-25958</v>
      </c>
      <c r="I183" s="264"/>
      <c r="J183" s="264"/>
    </row>
    <row r="184" spans="1:10" s="52" customFormat="1" ht="20.100000000000001" customHeight="1">
      <c r="A184" s="285">
        <v>11</v>
      </c>
      <c r="B184" s="2699" t="s">
        <v>453</v>
      </c>
      <c r="C184" s="2709"/>
      <c r="D184" s="2709"/>
      <c r="E184" s="2709"/>
      <c r="F184" s="2709"/>
      <c r="G184" s="2709"/>
      <c r="H184" s="2709">
        <f t="shared" si="26"/>
        <v>0</v>
      </c>
      <c r="I184" s="264"/>
      <c r="J184" s="264"/>
    </row>
    <row r="185" spans="1:10" s="52" customFormat="1" ht="20.100000000000001" customHeight="1">
      <c r="A185" s="287">
        <v>12</v>
      </c>
      <c r="B185" s="2701" t="s">
        <v>454</v>
      </c>
      <c r="C185" s="2710">
        <f t="shared" ref="C185:H185" si="28">SUM(C179:C184)</f>
        <v>9912.2172399999981</v>
      </c>
      <c r="D185" s="2710">
        <f t="shared" si="28"/>
        <v>11140.03125</v>
      </c>
      <c r="E185" s="2710">
        <f t="shared" si="28"/>
        <v>16347.232279999997</v>
      </c>
      <c r="F185" s="2710">
        <f t="shared" si="28"/>
        <v>3148</v>
      </c>
      <c r="G185" s="2710">
        <f t="shared" si="28"/>
        <v>9772.1721199999738</v>
      </c>
      <c r="H185" s="2710">
        <f t="shared" si="28"/>
        <v>50319.652890000085</v>
      </c>
      <c r="I185" s="288"/>
      <c r="J185" s="264"/>
    </row>
    <row r="186" spans="1:10" s="52" customFormat="1" ht="20.100000000000001" customHeight="1">
      <c r="A186" s="285"/>
      <c r="B186" s="2702"/>
      <c r="C186" s="2709"/>
      <c r="D186" s="2709"/>
      <c r="E186" s="2709"/>
      <c r="F186" s="2709"/>
      <c r="G186" s="2709"/>
      <c r="H186" s="2709">
        <f t="shared" ref="H186:H193" si="29">SUM(C186:G186)</f>
        <v>0</v>
      </c>
      <c r="I186" s="264"/>
      <c r="J186" s="264"/>
    </row>
    <row r="187" spans="1:10" s="52" customFormat="1" ht="20.100000000000001" customHeight="1">
      <c r="A187" s="285"/>
      <c r="B187" s="2703" t="s">
        <v>455</v>
      </c>
      <c r="C187" s="2709"/>
      <c r="D187" s="2709"/>
      <c r="E187" s="2709"/>
      <c r="F187" s="2709"/>
      <c r="G187" s="2709"/>
      <c r="H187" s="2709">
        <f t="shared" si="29"/>
        <v>0</v>
      </c>
      <c r="I187" s="264"/>
      <c r="J187" s="264"/>
    </row>
    <row r="188" spans="1:10" s="52" customFormat="1" ht="20.100000000000001" customHeight="1">
      <c r="A188" s="285">
        <v>13</v>
      </c>
      <c r="B188" s="2699" t="s">
        <v>456</v>
      </c>
      <c r="C188" s="2709"/>
      <c r="D188" s="2709"/>
      <c r="E188" s="2709"/>
      <c r="F188" s="2709"/>
      <c r="G188" s="2709"/>
      <c r="H188" s="2709">
        <f t="shared" si="29"/>
        <v>0</v>
      </c>
      <c r="I188" s="264"/>
      <c r="J188" s="264"/>
    </row>
    <row r="189" spans="1:10" s="52" customFormat="1" ht="20.100000000000001" customHeight="1">
      <c r="A189" s="285">
        <v>14</v>
      </c>
      <c r="B189" s="2697" t="s">
        <v>457</v>
      </c>
      <c r="C189" s="2709"/>
      <c r="D189" s="2709"/>
      <c r="E189" s="2709"/>
      <c r="F189" s="2709"/>
      <c r="G189" s="2709"/>
      <c r="H189" s="2709">
        <f>+'[15]Sheet 2 - General Insurance'!$H$133</f>
        <v>-195633</v>
      </c>
      <c r="I189" s="264"/>
      <c r="J189" s="264"/>
    </row>
    <row r="190" spans="1:10" s="52" customFormat="1" ht="20.100000000000001" customHeight="1">
      <c r="A190" s="285">
        <v>15</v>
      </c>
      <c r="B190" s="2699" t="s">
        <v>460</v>
      </c>
      <c r="C190" s="2709"/>
      <c r="D190" s="2709"/>
      <c r="E190" s="2709"/>
      <c r="F190" s="2709"/>
      <c r="G190" s="2709"/>
      <c r="H190" s="2709">
        <f t="shared" si="29"/>
        <v>0</v>
      </c>
      <c r="I190" s="264"/>
      <c r="J190" s="264"/>
    </row>
    <row r="191" spans="1:10" s="52" customFormat="1" ht="20.100000000000001" customHeight="1">
      <c r="A191" s="285"/>
      <c r="B191" s="2697" t="s">
        <v>461</v>
      </c>
      <c r="C191" s="2709"/>
      <c r="D191" s="2709"/>
      <c r="E191" s="2709"/>
      <c r="F191" s="2709"/>
      <c r="G191" s="2709"/>
      <c r="H191" s="2709">
        <f t="shared" si="29"/>
        <v>0</v>
      </c>
      <c r="I191" s="264"/>
      <c r="J191" s="264"/>
    </row>
    <row r="192" spans="1:10" s="52" customFormat="1" ht="30" customHeight="1">
      <c r="A192" s="285">
        <v>16</v>
      </c>
      <c r="B192" s="2705" t="s">
        <v>462</v>
      </c>
      <c r="C192" s="2709"/>
      <c r="D192" s="2709"/>
      <c r="E192" s="2709"/>
      <c r="F192" s="2709"/>
      <c r="G192" s="2709"/>
      <c r="H192" s="2709">
        <f>+'[15]Sheet 2 - General Insurance'!$H$137</f>
        <v>-176442</v>
      </c>
      <c r="I192" s="264"/>
      <c r="J192" s="264"/>
    </row>
    <row r="193" spans="1:14" s="52" customFormat="1" ht="20.100000000000001" customHeight="1">
      <c r="A193" s="285">
        <v>17</v>
      </c>
      <c r="B193" s="2699" t="s">
        <v>463</v>
      </c>
      <c r="C193" s="2709"/>
      <c r="D193" s="2709"/>
      <c r="E193" s="2709"/>
      <c r="F193" s="2709"/>
      <c r="G193" s="2709"/>
      <c r="H193" s="2709">
        <f t="shared" si="29"/>
        <v>0</v>
      </c>
      <c r="I193" s="264"/>
      <c r="J193" s="264"/>
    </row>
    <row r="194" spans="1:14" s="52" customFormat="1" ht="20.100000000000001" customHeight="1">
      <c r="A194" s="285">
        <v>18</v>
      </c>
      <c r="B194" s="2697" t="s">
        <v>464</v>
      </c>
      <c r="C194" s="2709">
        <f t="shared" ref="C194:H194" si="30">SUM(C185:C193)</f>
        <v>9912.2172399999981</v>
      </c>
      <c r="D194" s="2709">
        <f t="shared" si="30"/>
        <v>11140.03125</v>
      </c>
      <c r="E194" s="2709">
        <f t="shared" si="30"/>
        <v>16347.232279999997</v>
      </c>
      <c r="F194" s="2709">
        <f t="shared" si="30"/>
        <v>3148</v>
      </c>
      <c r="G194" s="2709">
        <f t="shared" si="30"/>
        <v>9772.1721199999738</v>
      </c>
      <c r="H194" s="2709">
        <f t="shared" si="30"/>
        <v>-321755.34710999992</v>
      </c>
      <c r="I194" s="264"/>
      <c r="J194" s="264"/>
    </row>
    <row r="195" spans="1:14" s="52" customFormat="1" ht="20.100000000000001" customHeight="1">
      <c r="A195" s="285">
        <v>19</v>
      </c>
      <c r="B195" s="2699" t="s">
        <v>465</v>
      </c>
      <c r="C195" s="2709"/>
      <c r="D195" s="2709"/>
      <c r="E195" s="2709"/>
      <c r="F195" s="2709"/>
      <c r="G195" s="2709"/>
      <c r="H195" s="2709">
        <f>+'[15]Sheet 2 - General Insurance'!$H$140</f>
        <v>-2253</v>
      </c>
      <c r="I195" s="264"/>
      <c r="J195" s="264"/>
    </row>
    <row r="196" spans="1:14" s="52" customFormat="1" ht="20.100000000000001" customHeight="1">
      <c r="A196" s="285">
        <v>20</v>
      </c>
      <c r="B196" s="2707" t="s">
        <v>466</v>
      </c>
      <c r="C196" s="2709">
        <f t="shared" ref="C196:H196" si="31">SUM(C194:C195)</f>
        <v>9912.2172399999981</v>
      </c>
      <c r="D196" s="2709">
        <f t="shared" si="31"/>
        <v>11140.03125</v>
      </c>
      <c r="E196" s="2709">
        <f t="shared" si="31"/>
        <v>16347.232279999997</v>
      </c>
      <c r="F196" s="2709">
        <f t="shared" si="31"/>
        <v>3148</v>
      </c>
      <c r="G196" s="2709">
        <f t="shared" si="31"/>
        <v>9772.1721199999738</v>
      </c>
      <c r="H196" s="2709">
        <f t="shared" si="31"/>
        <v>-324008.34710999992</v>
      </c>
      <c r="I196" s="264"/>
      <c r="J196" s="264"/>
    </row>
    <row r="197" spans="1:14" s="52" customFormat="1" ht="20.100000000000001" customHeight="1">
      <c r="A197" s="285">
        <v>21</v>
      </c>
      <c r="B197" s="2707" t="s">
        <v>467</v>
      </c>
      <c r="C197" s="2709"/>
      <c r="D197" s="2709"/>
      <c r="E197" s="2709"/>
      <c r="F197" s="2709"/>
      <c r="G197" s="2709"/>
      <c r="H197" s="2709">
        <f>+'[15]Sheet 2 - General Insurance'!$H$142</f>
        <v>-3721</v>
      </c>
      <c r="I197" s="264"/>
      <c r="J197" s="264"/>
    </row>
    <row r="198" spans="1:14" s="52" customFormat="1" ht="20.100000000000001" customHeight="1">
      <c r="A198" s="285">
        <v>22</v>
      </c>
      <c r="B198" s="2707" t="s">
        <v>468</v>
      </c>
      <c r="C198" s="2709">
        <f t="shared" ref="C198:H198" si="32">SUM(C196:C197)</f>
        <v>9912.2172399999981</v>
      </c>
      <c r="D198" s="2709">
        <f t="shared" si="32"/>
        <v>11140.03125</v>
      </c>
      <c r="E198" s="2709">
        <f t="shared" si="32"/>
        <v>16347.232279999997</v>
      </c>
      <c r="F198" s="2709">
        <f t="shared" si="32"/>
        <v>3148</v>
      </c>
      <c r="G198" s="2709">
        <f t="shared" si="32"/>
        <v>9772.1721199999738</v>
      </c>
      <c r="H198" s="2709">
        <f t="shared" si="32"/>
        <v>-327729.34710999992</v>
      </c>
      <c r="I198" s="284"/>
      <c r="J198" s="264"/>
    </row>
    <row r="199" spans="1:14" s="52" customFormat="1" ht="17.45" customHeight="1">
      <c r="A199" s="285"/>
      <c r="B199" s="290"/>
      <c r="C199" s="289"/>
      <c r="D199" s="289"/>
      <c r="E199" s="289"/>
      <c r="F199" s="289"/>
      <c r="G199" s="289"/>
      <c r="H199" s="289"/>
      <c r="I199" s="284"/>
      <c r="J199" s="264"/>
    </row>
    <row r="201" spans="1:14" s="54" customFormat="1" ht="17.45" customHeight="1">
      <c r="A201" s="3598">
        <v>6</v>
      </c>
      <c r="B201" s="3599" t="s">
        <v>129</v>
      </c>
      <c r="C201" s="3600">
        <v>2012</v>
      </c>
      <c r="D201" s="3600"/>
      <c r="E201" s="3600"/>
      <c r="F201" s="3600"/>
      <c r="G201" s="3600"/>
      <c r="H201" s="3600"/>
      <c r="I201" s="109"/>
      <c r="J201" s="109"/>
    </row>
    <row r="202" spans="1:14" s="54" customFormat="1" ht="17.45" customHeight="1">
      <c r="A202" s="3598"/>
      <c r="B202" s="3599"/>
      <c r="C202" s="2532" t="s">
        <v>436</v>
      </c>
      <c r="D202" s="2532" t="s">
        <v>437</v>
      </c>
      <c r="E202" s="2532" t="s">
        <v>438</v>
      </c>
      <c r="F202" s="2532" t="s">
        <v>722</v>
      </c>
      <c r="G202" s="2532" t="s">
        <v>723</v>
      </c>
      <c r="H202" s="2532" t="s">
        <v>118</v>
      </c>
      <c r="I202" s="3358"/>
      <c r="J202" s="109"/>
    </row>
    <row r="203" spans="1:14" s="54" customFormat="1" ht="17.45" customHeight="1">
      <c r="A203" s="3598"/>
      <c r="B203" s="3599"/>
      <c r="C203" s="2696" t="s">
        <v>142</v>
      </c>
      <c r="D203" s="2696" t="s">
        <v>142</v>
      </c>
      <c r="E203" s="2696" t="s">
        <v>142</v>
      </c>
      <c r="F203" s="2696" t="s">
        <v>142</v>
      </c>
      <c r="G203" s="2696" t="s">
        <v>142</v>
      </c>
      <c r="H203" s="2696" t="s">
        <v>142</v>
      </c>
      <c r="I203" s="3358"/>
      <c r="J203" s="109"/>
    </row>
    <row r="204" spans="1:14" s="52" customFormat="1" ht="17.45" customHeight="1">
      <c r="A204" s="285">
        <v>1</v>
      </c>
      <c r="B204" s="2697" t="s">
        <v>215</v>
      </c>
      <c r="C204" s="3601"/>
      <c r="D204" s="3601"/>
      <c r="E204" s="3601"/>
      <c r="F204" s="3601"/>
      <c r="G204" s="3601"/>
      <c r="H204" s="1711">
        <f>+H212+H221+H222+H223</f>
        <v>8446647</v>
      </c>
      <c r="I204" s="264"/>
      <c r="J204" s="278"/>
      <c r="K204" s="274"/>
      <c r="L204" s="274"/>
      <c r="M204" s="274"/>
      <c r="N204" s="274"/>
    </row>
    <row r="205" spans="1:14" s="52" customFormat="1" ht="6.75" customHeight="1">
      <c r="A205" s="285"/>
      <c r="B205" s="2697"/>
      <c r="C205" s="1789"/>
      <c r="D205" s="1789"/>
      <c r="E205" s="1789"/>
      <c r="F205" s="1789"/>
      <c r="G205" s="1789"/>
      <c r="H205" s="1789"/>
      <c r="I205" s="264"/>
      <c r="J205" s="278"/>
      <c r="K205" s="274"/>
      <c r="L205" s="274"/>
      <c r="M205" s="274"/>
      <c r="N205" s="274"/>
    </row>
    <row r="206" spans="1:14" s="52" customFormat="1" ht="20.100000000000001" customHeight="1">
      <c r="A206" s="285">
        <v>2</v>
      </c>
      <c r="B206" s="2699" t="s">
        <v>342</v>
      </c>
      <c r="C206" s="2709">
        <v>1653541</v>
      </c>
      <c r="D206" s="2709">
        <v>385990</v>
      </c>
      <c r="E206" s="2709">
        <v>6030572</v>
      </c>
      <c r="F206" s="2709">
        <v>83042</v>
      </c>
      <c r="G206" s="2709">
        <v>1888067</v>
      </c>
      <c r="H206" s="2709">
        <f t="shared" ref="H206:H212" si="33">SUM(C206:G206)</f>
        <v>10041212</v>
      </c>
      <c r="I206" s="286"/>
      <c r="J206" s="264"/>
    </row>
    <row r="207" spans="1:14" s="52" customFormat="1" ht="20.100000000000001" customHeight="1">
      <c r="A207" s="285">
        <v>3</v>
      </c>
      <c r="B207" s="2699" t="s">
        <v>444</v>
      </c>
      <c r="C207" s="2709">
        <v>-15485</v>
      </c>
      <c r="D207" s="2709">
        <v>-88</v>
      </c>
      <c r="E207" s="2709">
        <v>-118</v>
      </c>
      <c r="F207" s="2709"/>
      <c r="G207" s="2709">
        <v>-1887</v>
      </c>
      <c r="H207" s="2709">
        <f t="shared" si="33"/>
        <v>-17578</v>
      </c>
      <c r="I207" s="286"/>
      <c r="J207" s="264"/>
    </row>
    <row r="208" spans="1:14" s="52" customFormat="1" ht="20.100000000000001" customHeight="1">
      <c r="A208" s="285">
        <v>4</v>
      </c>
      <c r="B208" s="2699" t="s">
        <v>445</v>
      </c>
      <c r="C208" s="2709">
        <v>-318121</v>
      </c>
      <c r="D208" s="2709">
        <v>-530</v>
      </c>
      <c r="E208" s="2709">
        <v>-102277</v>
      </c>
      <c r="F208" s="2709"/>
      <c r="G208" s="2709">
        <v>-43764</v>
      </c>
      <c r="H208" s="2709">
        <f t="shared" si="33"/>
        <v>-464692</v>
      </c>
      <c r="I208" s="286"/>
      <c r="J208" s="264"/>
    </row>
    <row r="209" spans="1:10" s="52" customFormat="1" ht="20.100000000000001" customHeight="1">
      <c r="A209" s="285">
        <v>5</v>
      </c>
      <c r="B209" s="2699" t="s">
        <v>446</v>
      </c>
      <c r="C209" s="2709">
        <f>+'[16]Sheet 2 - General Insurance'!$C$130+'[16]Sheet 2 - General Insurance'!$C$156+'[16]Sheet 2 - General Insurance'!$C$157</f>
        <v>-807067</v>
      </c>
      <c r="D209" s="2709">
        <f>+'[16]Sheet 2 - General Insurance'!$D$130+'[16]Sheet 2 - General Insurance'!$D$156+'[16]Sheet 2 - General Insurance'!$D$157</f>
        <v>-114505</v>
      </c>
      <c r="E209" s="2709">
        <f>+'[16]Sheet 2 - General Insurance'!$E$130+'[16]Sheet 2 - General Insurance'!$E$156+'[16]Sheet 2 - General Insurance'!$E$157</f>
        <v>-87868</v>
      </c>
      <c r="F209" s="2709">
        <f>+'[16]Sheet 2 - General Insurance'!$F$130</f>
        <v>-13620</v>
      </c>
      <c r="G209" s="2709">
        <f>+'[16]Sheet 2 - General Insurance'!$G$130+'[16]Sheet 2 - General Insurance'!$G$156+'[16]Sheet 2 - General Insurance'!$G$157</f>
        <v>-329990</v>
      </c>
      <c r="H209" s="2709">
        <f t="shared" si="33"/>
        <v>-1353050</v>
      </c>
      <c r="I209" s="264"/>
      <c r="J209" s="264"/>
    </row>
    <row r="210" spans="1:10" s="52" customFormat="1" ht="20.100000000000001" customHeight="1">
      <c r="A210" s="285">
        <v>6</v>
      </c>
      <c r="B210" s="2699" t="s">
        <v>727</v>
      </c>
      <c r="C210" s="2709">
        <f>SUM(C206:C209)</f>
        <v>512868</v>
      </c>
      <c r="D210" s="2709">
        <f>SUM(D206:D209)</f>
        <v>270867</v>
      </c>
      <c r="E210" s="2709">
        <f>SUM(E206:E209)</f>
        <v>5840309</v>
      </c>
      <c r="F210" s="2709">
        <f>SUM(F206:F209)</f>
        <v>69422</v>
      </c>
      <c r="G210" s="2709">
        <f>SUM(G206:G209)</f>
        <v>1512426</v>
      </c>
      <c r="H210" s="2709">
        <f t="shared" si="33"/>
        <v>8205892</v>
      </c>
      <c r="I210" s="264"/>
      <c r="J210" s="264"/>
    </row>
    <row r="211" spans="1:10" s="52" customFormat="1" ht="20.100000000000001" customHeight="1">
      <c r="A211" s="285">
        <v>7</v>
      </c>
      <c r="B211" s="2699" t="s">
        <v>448</v>
      </c>
      <c r="C211" s="2709">
        <v>-69938</v>
      </c>
      <c r="D211" s="2709">
        <v>-3968</v>
      </c>
      <c r="E211" s="2709">
        <v>-227149</v>
      </c>
      <c r="F211" s="2709">
        <v>-14501</v>
      </c>
      <c r="G211" s="2709">
        <v>-107429</v>
      </c>
      <c r="H211" s="2709">
        <f t="shared" si="33"/>
        <v>-422985</v>
      </c>
      <c r="I211" s="264"/>
      <c r="J211" s="264"/>
    </row>
    <row r="212" spans="1:10" s="52" customFormat="1" ht="20.100000000000001" customHeight="1">
      <c r="A212" s="285">
        <v>8</v>
      </c>
      <c r="B212" s="2699" t="s">
        <v>728</v>
      </c>
      <c r="C212" s="2709">
        <f>SUM(C210:C211)</f>
        <v>442930</v>
      </c>
      <c r="D212" s="2709">
        <f>SUM(D210:D211)</f>
        <v>266899</v>
      </c>
      <c r="E212" s="2709">
        <f>SUM(E210:E211)</f>
        <v>5613160</v>
      </c>
      <c r="F212" s="2709">
        <f>SUM(F210:F211)</f>
        <v>54921</v>
      </c>
      <c r="G212" s="2709">
        <f>SUM(G210:G211)</f>
        <v>1404997</v>
      </c>
      <c r="H212" s="2709">
        <f t="shared" si="33"/>
        <v>7782907</v>
      </c>
      <c r="I212" s="264"/>
      <c r="J212" s="264"/>
    </row>
    <row r="213" spans="1:10" s="52" customFormat="1" ht="20.100000000000001" customHeight="1">
      <c r="A213" s="285"/>
      <c r="B213" s="2699"/>
      <c r="C213" s="2709"/>
      <c r="D213" s="2709"/>
      <c r="E213" s="2709"/>
      <c r="F213" s="2709"/>
      <c r="G213" s="2709"/>
      <c r="H213" s="2709">
        <f>SUM(C213:G213)</f>
        <v>0</v>
      </c>
      <c r="I213" s="264"/>
      <c r="J213" s="264"/>
    </row>
    <row r="214" spans="1:10" s="52" customFormat="1" ht="20.100000000000001" customHeight="1">
      <c r="A214" s="285"/>
      <c r="B214" s="2697" t="s">
        <v>450</v>
      </c>
      <c r="C214" s="2709"/>
      <c r="D214" s="2709"/>
      <c r="E214" s="2709"/>
      <c r="F214" s="2709"/>
      <c r="G214" s="2709"/>
      <c r="H214" s="2709">
        <f>SUM(C214:G214)</f>
        <v>0</v>
      </c>
      <c r="I214" s="264"/>
      <c r="J214" s="264"/>
    </row>
    <row r="215" spans="1:10" s="52" customFormat="1" ht="20.100000000000001" customHeight="1">
      <c r="A215" s="285">
        <v>9</v>
      </c>
      <c r="B215" s="2699" t="s">
        <v>451</v>
      </c>
      <c r="C215" s="2709">
        <v>-374062</v>
      </c>
      <c r="D215" s="2709">
        <v>-95435</v>
      </c>
      <c r="E215" s="2709">
        <v>-3246793</v>
      </c>
      <c r="F215" s="2709">
        <v>-38020</v>
      </c>
      <c r="G215" s="2709">
        <v>-721435</v>
      </c>
      <c r="H215" s="2709">
        <f>SUM(C215:G215)</f>
        <v>-4475745</v>
      </c>
      <c r="I215" s="264"/>
      <c r="J215" s="264"/>
    </row>
    <row r="216" spans="1:10" s="52" customFormat="1" ht="20.100000000000001" customHeight="1">
      <c r="A216" s="285">
        <v>10</v>
      </c>
      <c r="B216" s="2699" t="s">
        <v>452</v>
      </c>
      <c r="C216" s="2709">
        <v>62918</v>
      </c>
      <c r="D216" s="2709">
        <v>-9874</v>
      </c>
      <c r="E216" s="2709">
        <v>-507330</v>
      </c>
      <c r="F216" s="2709">
        <v>-10975</v>
      </c>
      <c r="G216" s="2709">
        <v>-124271</v>
      </c>
      <c r="H216" s="2709">
        <f>SUM(C216:G216)</f>
        <v>-589532</v>
      </c>
      <c r="I216" s="264"/>
      <c r="J216" s="264"/>
    </row>
    <row r="217" spans="1:10" s="52" customFormat="1" ht="20.100000000000001" customHeight="1">
      <c r="A217" s="285">
        <v>11</v>
      </c>
      <c r="B217" s="2699" t="s">
        <v>453</v>
      </c>
      <c r="C217" s="2709"/>
      <c r="D217" s="2709"/>
      <c r="E217" s="2709"/>
      <c r="F217" s="2709"/>
      <c r="G217" s="2709"/>
      <c r="H217" s="2709">
        <f>SUM(C217:G217)</f>
        <v>0</v>
      </c>
      <c r="I217" s="264"/>
      <c r="J217" s="264"/>
    </row>
    <row r="218" spans="1:10" s="52" customFormat="1" ht="20.100000000000001" customHeight="1">
      <c r="A218" s="287">
        <v>12</v>
      </c>
      <c r="B218" s="2701" t="s">
        <v>454</v>
      </c>
      <c r="C218" s="2710">
        <f t="shared" ref="C218:H218" si="34">SUM(C212:C217)</f>
        <v>131786</v>
      </c>
      <c r="D218" s="2710">
        <f t="shared" si="34"/>
        <v>161590</v>
      </c>
      <c r="E218" s="2710">
        <f t="shared" si="34"/>
        <v>1859037</v>
      </c>
      <c r="F218" s="2710">
        <f t="shared" si="34"/>
        <v>5926</v>
      </c>
      <c r="G218" s="2710">
        <f t="shared" si="34"/>
        <v>559291</v>
      </c>
      <c r="H218" s="2709">
        <f t="shared" si="34"/>
        <v>2717630</v>
      </c>
      <c r="I218" s="288"/>
      <c r="J218" s="264"/>
    </row>
    <row r="219" spans="1:10" s="52" customFormat="1" ht="20.100000000000001" customHeight="1">
      <c r="A219" s="285"/>
      <c r="B219" s="2702"/>
      <c r="C219" s="2700"/>
      <c r="D219" s="2700"/>
      <c r="E219" s="2700"/>
      <c r="F219" s="2700"/>
      <c r="G219" s="2700"/>
      <c r="H219" s="2709">
        <f>SUM(C219:G219)</f>
        <v>0</v>
      </c>
      <c r="I219" s="264"/>
      <c r="J219" s="264"/>
    </row>
    <row r="220" spans="1:10" s="52" customFormat="1" ht="20.100000000000001" customHeight="1">
      <c r="A220" s="285"/>
      <c r="B220" s="2703" t="s">
        <v>455</v>
      </c>
      <c r="C220" s="2700"/>
      <c r="D220" s="2700"/>
      <c r="E220" s="2700"/>
      <c r="F220" s="2700"/>
      <c r="G220" s="2700"/>
      <c r="H220" s="2709">
        <v>0</v>
      </c>
      <c r="I220" s="264"/>
      <c r="J220" s="264"/>
    </row>
    <row r="221" spans="1:10" s="52" customFormat="1" ht="20.100000000000001" customHeight="1">
      <c r="A221" s="285">
        <v>13</v>
      </c>
      <c r="B221" s="2699" t="s">
        <v>456</v>
      </c>
      <c r="C221" s="2706"/>
      <c r="D221" s="2706"/>
      <c r="E221" s="2706"/>
      <c r="F221" s="2706"/>
      <c r="G221" s="2706"/>
      <c r="H221" s="2709">
        <v>0</v>
      </c>
      <c r="I221" s="264"/>
      <c r="J221" s="264"/>
    </row>
    <row r="222" spans="1:10" s="52" customFormat="1" ht="20.100000000000001" customHeight="1">
      <c r="A222" s="285">
        <v>14</v>
      </c>
      <c r="B222" s="2697" t="s">
        <v>457</v>
      </c>
      <c r="C222" s="2706"/>
      <c r="D222" s="2706"/>
      <c r="E222" s="2706"/>
      <c r="F222" s="2706"/>
      <c r="G222" s="2706"/>
      <c r="H222" s="2709">
        <v>257802</v>
      </c>
      <c r="I222" s="264"/>
      <c r="J222" s="264"/>
    </row>
    <row r="223" spans="1:10" s="52" customFormat="1" ht="20.100000000000001" customHeight="1">
      <c r="A223" s="285">
        <v>15</v>
      </c>
      <c r="B223" s="2699" t="s">
        <v>460</v>
      </c>
      <c r="C223" s="2706"/>
      <c r="D223" s="2706"/>
      <c r="E223" s="2706"/>
      <c r="F223" s="2706"/>
      <c r="G223" s="2706"/>
      <c r="H223" s="2709">
        <v>405938</v>
      </c>
      <c r="I223" s="264"/>
      <c r="J223" s="264"/>
    </row>
    <row r="224" spans="1:10" s="52" customFormat="1" ht="20.100000000000001" customHeight="1">
      <c r="A224" s="285"/>
      <c r="B224" s="2697" t="s">
        <v>461</v>
      </c>
      <c r="C224" s="2700"/>
      <c r="D224" s="2700"/>
      <c r="E224" s="2700"/>
      <c r="F224" s="2700"/>
      <c r="G224" s="2700"/>
      <c r="H224" s="2709">
        <f>SUM(C224:G224)</f>
        <v>0</v>
      </c>
      <c r="I224" s="264"/>
      <c r="J224" s="264"/>
    </row>
    <row r="225" spans="1:14" s="52" customFormat="1" ht="27.75" customHeight="1">
      <c r="A225" s="285">
        <v>16</v>
      </c>
      <c r="B225" s="2705" t="s">
        <v>462</v>
      </c>
      <c r="C225" s="2700"/>
      <c r="D225" s="2700"/>
      <c r="E225" s="2700"/>
      <c r="F225" s="2700"/>
      <c r="G225" s="2700"/>
      <c r="H225" s="2709">
        <v>-2784416</v>
      </c>
      <c r="I225" s="264"/>
      <c r="J225" s="264"/>
    </row>
    <row r="226" spans="1:14" s="52" customFormat="1" ht="20.100000000000001" customHeight="1">
      <c r="A226" s="285">
        <v>17</v>
      </c>
      <c r="B226" s="2699" t="s">
        <v>463</v>
      </c>
      <c r="C226" s="2700"/>
      <c r="D226" s="2700"/>
      <c r="E226" s="2700"/>
      <c r="F226" s="2700"/>
      <c r="G226" s="2700"/>
      <c r="H226" s="2709">
        <v>0</v>
      </c>
      <c r="I226" s="264"/>
      <c r="J226" s="264"/>
    </row>
    <row r="227" spans="1:14" s="52" customFormat="1" ht="20.100000000000001" customHeight="1">
      <c r="A227" s="285">
        <v>18</v>
      </c>
      <c r="B227" s="2697" t="s">
        <v>464</v>
      </c>
      <c r="C227" s="2700">
        <f>SUM(C218:C226)</f>
        <v>131786</v>
      </c>
      <c r="D227" s="2700">
        <f>SUM(D218:D226)</f>
        <v>161590</v>
      </c>
      <c r="E227" s="2700">
        <f>SUM(E218:E226)</f>
        <v>1859037</v>
      </c>
      <c r="F227" s="2700">
        <f>SUM(F218:F226)</f>
        <v>5926</v>
      </c>
      <c r="G227" s="2700">
        <f>SUM(G218:G226)</f>
        <v>559291</v>
      </c>
      <c r="H227" s="2709">
        <f>SUM(H217:H226)</f>
        <v>596954</v>
      </c>
      <c r="I227" s="264"/>
      <c r="J227" s="264"/>
    </row>
    <row r="228" spans="1:14" s="52" customFormat="1" ht="20.100000000000001" customHeight="1">
      <c r="A228" s="285">
        <v>19</v>
      </c>
      <c r="B228" s="2699" t="s">
        <v>465</v>
      </c>
      <c r="C228" s="2700"/>
      <c r="D228" s="2700"/>
      <c r="E228" s="2700"/>
      <c r="F228" s="2700"/>
      <c r="G228" s="2700"/>
      <c r="H228" s="2709">
        <f>+'[16]Sheet 2 - General Insurance'!$H$150</f>
        <v>-22001</v>
      </c>
      <c r="I228" s="264"/>
      <c r="J228" s="264"/>
    </row>
    <row r="229" spans="1:14" s="52" customFormat="1" ht="20.100000000000001" customHeight="1">
      <c r="A229" s="285">
        <v>20</v>
      </c>
      <c r="B229" s="2707" t="s">
        <v>466</v>
      </c>
      <c r="C229" s="2700">
        <f t="shared" ref="C229:H229" si="35">SUM(C227:C228)</f>
        <v>131786</v>
      </c>
      <c r="D229" s="2700">
        <f t="shared" si="35"/>
        <v>161590</v>
      </c>
      <c r="E229" s="2700">
        <f t="shared" si="35"/>
        <v>1859037</v>
      </c>
      <c r="F229" s="2700">
        <f t="shared" si="35"/>
        <v>5926</v>
      </c>
      <c r="G229" s="2700">
        <f t="shared" si="35"/>
        <v>559291</v>
      </c>
      <c r="H229" s="2709">
        <f t="shared" si="35"/>
        <v>574953</v>
      </c>
      <c r="I229" s="264"/>
      <c r="J229" s="264"/>
    </row>
    <row r="230" spans="1:14" s="52" customFormat="1" ht="20.100000000000001" customHeight="1">
      <c r="A230" s="285">
        <v>21</v>
      </c>
      <c r="B230" s="2707" t="s">
        <v>467</v>
      </c>
      <c r="C230" s="2700"/>
      <c r="D230" s="2700"/>
      <c r="E230" s="2700"/>
      <c r="F230" s="2700"/>
      <c r="G230" s="2700"/>
      <c r="H230" s="2709">
        <f>+'[16]Sheet 2 - General Insurance'!$H$152</f>
        <v>-141727</v>
      </c>
      <c r="I230" s="264"/>
      <c r="J230" s="264"/>
    </row>
    <row r="231" spans="1:14" s="52" customFormat="1" ht="20.100000000000001" customHeight="1">
      <c r="A231" s="285">
        <v>22</v>
      </c>
      <c r="B231" s="2707" t="s">
        <v>468</v>
      </c>
      <c r="C231" s="2700">
        <f t="shared" ref="C231:H231" si="36">SUM(C229:C230)</f>
        <v>131786</v>
      </c>
      <c r="D231" s="2700">
        <f t="shared" si="36"/>
        <v>161590</v>
      </c>
      <c r="E231" s="2700">
        <f t="shared" si="36"/>
        <v>1859037</v>
      </c>
      <c r="F231" s="2700">
        <f t="shared" si="36"/>
        <v>5926</v>
      </c>
      <c r="G231" s="2700">
        <f t="shared" si="36"/>
        <v>559291</v>
      </c>
      <c r="H231" s="2709">
        <f t="shared" si="36"/>
        <v>433226</v>
      </c>
      <c r="I231" s="284"/>
      <c r="J231" s="264"/>
    </row>
    <row r="232" spans="1:14" s="52" customFormat="1" ht="17.45" customHeight="1">
      <c r="A232" s="285"/>
      <c r="B232" s="290"/>
      <c r="C232" s="289"/>
      <c r="D232" s="289"/>
      <c r="E232" s="289"/>
      <c r="F232" s="289"/>
      <c r="G232" s="289"/>
      <c r="H232" s="289"/>
      <c r="I232" s="284"/>
      <c r="J232" s="264"/>
    </row>
    <row r="233" spans="1:14" s="52" customFormat="1" ht="17.45" customHeight="1">
      <c r="A233" s="285"/>
      <c r="B233" s="290"/>
      <c r="C233" s="289"/>
      <c r="D233" s="289"/>
      <c r="E233" s="289"/>
      <c r="F233" s="289"/>
      <c r="G233" s="289"/>
      <c r="H233" s="289"/>
      <c r="I233" s="284"/>
      <c r="J233" s="264"/>
    </row>
    <row r="234" spans="1:14" s="54" customFormat="1" ht="17.45" customHeight="1">
      <c r="A234" s="3598">
        <v>7</v>
      </c>
      <c r="B234" s="3599" t="s">
        <v>128</v>
      </c>
      <c r="C234" s="3600">
        <v>2012</v>
      </c>
      <c r="D234" s="3600"/>
      <c r="E234" s="3600"/>
      <c r="F234" s="3600"/>
      <c r="G234" s="3600"/>
      <c r="H234" s="3600"/>
      <c r="I234" s="109"/>
      <c r="J234" s="109"/>
    </row>
    <row r="235" spans="1:14" s="54" customFormat="1" ht="17.45" customHeight="1">
      <c r="A235" s="3598"/>
      <c r="B235" s="3599"/>
      <c r="C235" s="2532" t="s">
        <v>436</v>
      </c>
      <c r="D235" s="2532" t="s">
        <v>437</v>
      </c>
      <c r="E235" s="2532" t="s">
        <v>438</v>
      </c>
      <c r="F235" s="2532" t="s">
        <v>722</v>
      </c>
      <c r="G235" s="2532" t="s">
        <v>723</v>
      </c>
      <c r="H235" s="2532" t="s">
        <v>118</v>
      </c>
      <c r="I235" s="3602"/>
      <c r="J235" s="109"/>
    </row>
    <row r="236" spans="1:14" s="54" customFormat="1" ht="17.45" customHeight="1">
      <c r="A236" s="3598"/>
      <c r="B236" s="3599"/>
      <c r="C236" s="2696" t="s">
        <v>142</v>
      </c>
      <c r="D236" s="2696" t="s">
        <v>142</v>
      </c>
      <c r="E236" s="2696" t="s">
        <v>142</v>
      </c>
      <c r="F236" s="2696" t="s">
        <v>142</v>
      </c>
      <c r="G236" s="2696" t="s">
        <v>142</v>
      </c>
      <c r="H236" s="2696" t="s">
        <v>142</v>
      </c>
      <c r="I236" s="3602"/>
      <c r="J236" s="109"/>
    </row>
    <row r="237" spans="1:14" s="52" customFormat="1" ht="17.45" customHeight="1">
      <c r="A237" s="285">
        <v>1</v>
      </c>
      <c r="B237" s="2697" t="s">
        <v>215</v>
      </c>
      <c r="C237" s="3601"/>
      <c r="D237" s="3601"/>
      <c r="E237" s="3601"/>
      <c r="F237" s="3601"/>
      <c r="G237" s="3601"/>
      <c r="H237" s="1711">
        <f>+H245+H254+H255+H256</f>
        <v>669451.0734476574</v>
      </c>
      <c r="I237" s="264"/>
      <c r="J237" s="278"/>
      <c r="K237" s="274"/>
      <c r="L237" s="274"/>
      <c r="M237" s="274"/>
      <c r="N237" s="274"/>
    </row>
    <row r="238" spans="1:14" s="52" customFormat="1" ht="6" customHeight="1">
      <c r="A238" s="285"/>
      <c r="B238" s="2697"/>
      <c r="C238" s="1789"/>
      <c r="D238" s="1789"/>
      <c r="E238" s="1789"/>
      <c r="F238" s="1789"/>
      <c r="G238" s="1789"/>
      <c r="H238" s="1789"/>
      <c r="I238" s="264"/>
      <c r="J238" s="278"/>
      <c r="K238" s="274"/>
      <c r="L238" s="274"/>
      <c r="M238" s="274"/>
      <c r="N238" s="274"/>
    </row>
    <row r="239" spans="1:14" s="52" customFormat="1" ht="20.100000000000001" customHeight="1">
      <c r="A239" s="285">
        <v>2</v>
      </c>
      <c r="B239" s="2699" t="s">
        <v>342</v>
      </c>
      <c r="C239" s="2714">
        <v>264888.01115000027</v>
      </c>
      <c r="D239" s="2714">
        <v>9493.4826899999971</v>
      </c>
      <c r="E239" s="2714">
        <v>850891.92295000353</v>
      </c>
      <c r="F239" s="2714">
        <v>4630.7926000000016</v>
      </c>
      <c r="G239" s="2714">
        <v>96140.731419999996</v>
      </c>
      <c r="H239" s="2715">
        <f>SUM(C239:G239)</f>
        <v>1226044.940810004</v>
      </c>
      <c r="I239" s="286"/>
      <c r="J239" s="264"/>
    </row>
    <row r="240" spans="1:14" s="52" customFormat="1" ht="20.100000000000001" customHeight="1">
      <c r="A240" s="285">
        <v>3</v>
      </c>
      <c r="B240" s="2699" t="s">
        <v>444</v>
      </c>
      <c r="C240" s="2714">
        <v>-31660.612987267199</v>
      </c>
      <c r="D240" s="2714">
        <v>0</v>
      </c>
      <c r="E240" s="2714">
        <v>0</v>
      </c>
      <c r="F240" s="2714">
        <v>-1151.35132949335</v>
      </c>
      <c r="G240" s="2714">
        <v>-4245.6937939660002</v>
      </c>
      <c r="H240" s="2715">
        <f>SUM(C240:G240)</f>
        <v>-37057.658110726545</v>
      </c>
      <c r="I240" s="286"/>
      <c r="J240" s="264"/>
    </row>
    <row r="241" spans="1:10" s="52" customFormat="1" ht="20.100000000000001" customHeight="1">
      <c r="A241" s="285">
        <v>4</v>
      </c>
      <c r="B241" s="2699" t="s">
        <v>445</v>
      </c>
      <c r="C241" s="2714">
        <v>-22672.940975000001</v>
      </c>
      <c r="D241" s="2714">
        <v>0</v>
      </c>
      <c r="E241" s="2714">
        <v>-14446.436762400101</v>
      </c>
      <c r="F241" s="2714">
        <v>-482.62752999999998</v>
      </c>
      <c r="G241" s="2714">
        <v>-2264.6940599999998</v>
      </c>
      <c r="H241" s="2715">
        <f>SUM(C241:G241)</f>
        <v>-39866.6993274001</v>
      </c>
      <c r="I241" s="286"/>
      <c r="J241" s="264"/>
    </row>
    <row r="242" spans="1:10" s="52" customFormat="1" ht="20.100000000000001" customHeight="1">
      <c r="A242" s="285">
        <v>5</v>
      </c>
      <c r="B242" s="2699" t="s">
        <v>446</v>
      </c>
      <c r="C242" s="2714">
        <v>-164462.350752061</v>
      </c>
      <c r="D242" s="2714">
        <v>-7630.0935519967998</v>
      </c>
      <c r="E242" s="2714">
        <v>-9449.6262563711898</v>
      </c>
      <c r="F242" s="2714">
        <v>-2611.3111503653799</v>
      </c>
      <c r="G242" s="2714">
        <v>-71799.099139824495</v>
      </c>
      <c r="H242" s="2715">
        <f>SUM(C242:G242)</f>
        <v>-255952.48085061886</v>
      </c>
      <c r="I242" s="264"/>
      <c r="J242" s="264"/>
    </row>
    <row r="243" spans="1:10" s="52" customFormat="1" ht="20.100000000000001" customHeight="1">
      <c r="A243" s="285">
        <v>6</v>
      </c>
      <c r="B243" s="2699" t="s">
        <v>727</v>
      </c>
      <c r="C243" s="2715">
        <f>SUM(C239:C242)</f>
        <v>46092.10643567206</v>
      </c>
      <c r="D243" s="2715">
        <f>SUM(D239:D242)</f>
        <v>1863.3891380031973</v>
      </c>
      <c r="E243" s="2715">
        <f>SUM(E239:E242)</f>
        <v>826995.85993123229</v>
      </c>
      <c r="F243" s="2715">
        <f>SUM(F239:F242)</f>
        <v>385.50259014127187</v>
      </c>
      <c r="G243" s="2715">
        <f>SUM(G239:G242)</f>
        <v>17831.244426209509</v>
      </c>
      <c r="H243" s="2715">
        <f>SUM(C243:G243)</f>
        <v>893168.10252125829</v>
      </c>
      <c r="I243" s="264"/>
      <c r="J243" s="264"/>
    </row>
    <row r="244" spans="1:10" s="52" customFormat="1" ht="20.100000000000001" customHeight="1">
      <c r="A244" s="285">
        <v>7</v>
      </c>
      <c r="B244" s="2699" t="s">
        <v>448</v>
      </c>
      <c r="C244" s="2714">
        <v>-10621.233511377961</v>
      </c>
      <c r="D244" s="2714">
        <v>-350.28544511712585</v>
      </c>
      <c r="E244" s="2714">
        <v>-309353.85814756626</v>
      </c>
      <c r="F244" s="2714">
        <v>0</v>
      </c>
      <c r="G244" s="2714">
        <v>-1601.9186341870156</v>
      </c>
      <c r="H244" s="2715">
        <f t="shared" ref="H244:H250" si="37">SUM(C244:G244)</f>
        <v>-321927.29573824839</v>
      </c>
      <c r="I244" s="264"/>
      <c r="J244" s="264"/>
    </row>
    <row r="245" spans="1:10" s="52" customFormat="1" ht="20.100000000000001" customHeight="1">
      <c r="A245" s="285">
        <v>8</v>
      </c>
      <c r="B245" s="2699" t="s">
        <v>728</v>
      </c>
      <c r="C245" s="2715">
        <f>SUM(C243:C244)</f>
        <v>35470.872924294097</v>
      </c>
      <c r="D245" s="2715">
        <f>SUM(D243:D244)</f>
        <v>1513.1036928860715</v>
      </c>
      <c r="E245" s="2715">
        <f>SUM(E243:E244)</f>
        <v>517642.00178366603</v>
      </c>
      <c r="F245" s="2715">
        <f>SUM(F243:F244)</f>
        <v>385.50259014127187</v>
      </c>
      <c r="G245" s="2715">
        <f>SUM(G243:G244)</f>
        <v>16229.325792022493</v>
      </c>
      <c r="H245" s="2715">
        <f>SUM(C245:G245)</f>
        <v>571240.80678301002</v>
      </c>
      <c r="I245" s="264"/>
      <c r="J245" s="264"/>
    </row>
    <row r="246" spans="1:10" s="52" customFormat="1" ht="20.100000000000001" customHeight="1">
      <c r="A246" s="285"/>
      <c r="B246" s="2699"/>
      <c r="C246" s="2700"/>
      <c r="D246" s="2700"/>
      <c r="E246" s="2700"/>
      <c r="F246" s="2700"/>
      <c r="G246" s="2700"/>
      <c r="H246" s="2700">
        <f t="shared" si="37"/>
        <v>0</v>
      </c>
      <c r="I246" s="264"/>
      <c r="J246" s="264"/>
    </row>
    <row r="247" spans="1:10" s="52" customFormat="1" ht="20.100000000000001" customHeight="1">
      <c r="A247" s="285"/>
      <c r="B247" s="2697" t="s">
        <v>450</v>
      </c>
      <c r="C247" s="2700"/>
      <c r="D247" s="2700"/>
      <c r="E247" s="2700"/>
      <c r="F247" s="2700"/>
      <c r="G247" s="2700"/>
      <c r="H247" s="2700">
        <f t="shared" si="37"/>
        <v>0</v>
      </c>
      <c r="I247" s="264"/>
      <c r="J247" s="264"/>
    </row>
    <row r="248" spans="1:10" s="52" customFormat="1" ht="20.100000000000001" customHeight="1">
      <c r="A248" s="285">
        <v>9</v>
      </c>
      <c r="B248" s="2699" t="s">
        <v>451</v>
      </c>
      <c r="C248" s="2714">
        <v>-4198.0330149453894</v>
      </c>
      <c r="D248" s="2714">
        <v>-1576.9208974210201</v>
      </c>
      <c r="E248" s="2714">
        <v>-5835.90788037121</v>
      </c>
      <c r="F248" s="2714">
        <v>0</v>
      </c>
      <c r="G248" s="2714">
        <v>-407348.55569041404</v>
      </c>
      <c r="H248" s="2715">
        <f t="shared" si="37"/>
        <v>-418959.41748315166</v>
      </c>
      <c r="I248" s="264"/>
      <c r="J248" s="264"/>
    </row>
    <row r="249" spans="1:10" s="52" customFormat="1" ht="20.100000000000001" customHeight="1">
      <c r="A249" s="285">
        <v>10</v>
      </c>
      <c r="B249" s="2699" t="s">
        <v>452</v>
      </c>
      <c r="C249" s="2714">
        <v>7662.5179907884803</v>
      </c>
      <c r="D249" s="2714">
        <v>1474.00413042829</v>
      </c>
      <c r="E249" s="2714">
        <v>-44527.101357499894</v>
      </c>
      <c r="F249" s="2714">
        <v>0</v>
      </c>
      <c r="G249" s="2714">
        <v>19514.2678540136</v>
      </c>
      <c r="H249" s="2715">
        <f t="shared" si="37"/>
        <v>-15876.311382269527</v>
      </c>
      <c r="I249" s="264"/>
      <c r="J249" s="264"/>
    </row>
    <row r="250" spans="1:10" s="52" customFormat="1" ht="20.100000000000001" customHeight="1">
      <c r="A250" s="285">
        <v>11</v>
      </c>
      <c r="B250" s="2699" t="s">
        <v>453</v>
      </c>
      <c r="C250" s="2715">
        <v>0</v>
      </c>
      <c r="D250" s="2715">
        <v>0</v>
      </c>
      <c r="E250" s="2715">
        <v>0</v>
      </c>
      <c r="F250" s="2715">
        <v>0</v>
      </c>
      <c r="G250" s="2715">
        <v>0</v>
      </c>
      <c r="H250" s="2715">
        <f t="shared" si="37"/>
        <v>0</v>
      </c>
      <c r="I250" s="264"/>
      <c r="J250" s="264"/>
    </row>
    <row r="251" spans="1:10" s="52" customFormat="1" ht="20.100000000000001" customHeight="1">
      <c r="A251" s="287">
        <v>12</v>
      </c>
      <c r="B251" s="2701" t="s">
        <v>454</v>
      </c>
      <c r="C251" s="2716">
        <f>SUM(C245:C250)</f>
        <v>38935.357900137191</v>
      </c>
      <c r="D251" s="2716">
        <f>SUM(D245:D250)</f>
        <v>1410.1869258933414</v>
      </c>
      <c r="E251" s="2716">
        <f>SUM(E245:E250)</f>
        <v>467278.99254579493</v>
      </c>
      <c r="F251" s="2716">
        <f>SUM(F245:F250)</f>
        <v>385.50259014127187</v>
      </c>
      <c r="G251" s="2716">
        <f>SUM(G245:G250)</f>
        <v>-371604.96204437793</v>
      </c>
      <c r="H251" s="2715">
        <f>SUM(C251:G251)</f>
        <v>136405.07791758882</v>
      </c>
      <c r="I251" s="288"/>
      <c r="J251" s="264"/>
    </row>
    <row r="252" spans="1:10" s="52" customFormat="1" ht="20.100000000000001" customHeight="1">
      <c r="A252" s="285"/>
      <c r="B252" s="2702"/>
      <c r="C252" s="2700"/>
      <c r="D252" s="2700"/>
      <c r="E252" s="2700"/>
      <c r="F252" s="2700"/>
      <c r="G252" s="2700"/>
      <c r="H252" s="2700">
        <f t="shared" ref="H252:H264" si="38">SUM(C252:G252)</f>
        <v>0</v>
      </c>
      <c r="I252" s="264"/>
      <c r="J252" s="264"/>
    </row>
    <row r="253" spans="1:10" s="52" customFormat="1" ht="20.100000000000001" customHeight="1">
      <c r="A253" s="285"/>
      <c r="B253" s="2703" t="s">
        <v>455</v>
      </c>
      <c r="C253" s="2700"/>
      <c r="D253" s="2700"/>
      <c r="E253" s="2700"/>
      <c r="F253" s="2700"/>
      <c r="G253" s="2700"/>
      <c r="H253" s="2700">
        <f t="shared" si="38"/>
        <v>0</v>
      </c>
      <c r="I253" s="264"/>
      <c r="J253" s="264"/>
    </row>
    <row r="254" spans="1:10" s="52" customFormat="1" ht="20.100000000000001" customHeight="1">
      <c r="A254" s="285">
        <v>13</v>
      </c>
      <c r="B254" s="2699" t="s">
        <v>456</v>
      </c>
      <c r="C254" s="2714">
        <v>15.200290000000001</v>
      </c>
      <c r="D254" s="2714">
        <v>91.900390000000002</v>
      </c>
      <c r="E254" s="2714">
        <v>7368.6677900000004</v>
      </c>
      <c r="F254" s="2714">
        <v>2.4</v>
      </c>
      <c r="G254" s="2714">
        <v>23.473759999999999</v>
      </c>
      <c r="H254" s="2715">
        <f t="shared" si="38"/>
        <v>7501.6422299999995</v>
      </c>
      <c r="I254" s="264"/>
      <c r="J254" s="264"/>
    </row>
    <row r="255" spans="1:10" s="52" customFormat="1" ht="20.100000000000001" customHeight="1">
      <c r="A255" s="285">
        <v>14</v>
      </c>
      <c r="B255" s="2697" t="s">
        <v>457</v>
      </c>
      <c r="C255" s="2714">
        <v>18683.48604265193</v>
      </c>
      <c r="D255" s="2714">
        <v>669.60883040618728</v>
      </c>
      <c r="E255" s="2714">
        <v>60016.409565773771</v>
      </c>
      <c r="F255" s="2714">
        <v>326.62614111108974</v>
      </c>
      <c r="G255" s="2714">
        <v>6781.1450047044464</v>
      </c>
      <c r="H255" s="2715">
        <f t="shared" si="38"/>
        <v>86477.275584647432</v>
      </c>
      <c r="I255" s="264"/>
      <c r="J255" s="264"/>
    </row>
    <row r="256" spans="1:10" s="52" customFormat="1" ht="20.100000000000001" customHeight="1">
      <c r="A256" s="285">
        <v>15</v>
      </c>
      <c r="B256" s="2699" t="s">
        <v>460</v>
      </c>
      <c r="C256" s="2714">
        <v>914.1863760865449</v>
      </c>
      <c r="D256" s="2714">
        <v>32.764082070504998</v>
      </c>
      <c r="E256" s="2714">
        <v>2936.6138546847378</v>
      </c>
      <c r="F256" s="2714">
        <v>15.981876593898043</v>
      </c>
      <c r="G256" s="2714">
        <v>331.80266056431395</v>
      </c>
      <c r="H256" s="2715">
        <f t="shared" si="38"/>
        <v>4231.3488499999994</v>
      </c>
      <c r="I256" s="264"/>
      <c r="J256" s="264"/>
    </row>
    <row r="257" spans="1:14" s="52" customFormat="1" ht="20.100000000000001" customHeight="1">
      <c r="A257" s="285"/>
      <c r="B257" s="2697" t="s">
        <v>461</v>
      </c>
      <c r="C257" s="2700"/>
      <c r="D257" s="2700"/>
      <c r="E257" s="2700"/>
      <c r="F257" s="2700"/>
      <c r="G257" s="2700"/>
      <c r="H257" s="2700">
        <f t="shared" si="38"/>
        <v>0</v>
      </c>
      <c r="I257" s="264"/>
      <c r="J257" s="264"/>
    </row>
    <row r="258" spans="1:14" s="52" customFormat="1" ht="27.75" customHeight="1">
      <c r="A258" s="285">
        <v>16</v>
      </c>
      <c r="B258" s="2705" t="s">
        <v>462</v>
      </c>
      <c r="C258" s="2714">
        <v>-49303.966087558802</v>
      </c>
      <c r="D258" s="2714">
        <v>-5686.6986646657397</v>
      </c>
      <c r="E258" s="2714">
        <v>-144856.90812491599</v>
      </c>
      <c r="F258" s="2714">
        <v>-390.43697782107699</v>
      </c>
      <c r="G258" s="2714">
        <v>-8105.9334467133494</v>
      </c>
      <c r="H258" s="2715">
        <f t="shared" si="38"/>
        <v>-208343.94330167497</v>
      </c>
      <c r="I258" s="264"/>
      <c r="J258" s="264"/>
    </row>
    <row r="259" spans="1:14" s="52" customFormat="1" ht="20.100000000000001" customHeight="1">
      <c r="A259" s="285">
        <v>17</v>
      </c>
      <c r="B259" s="2699" t="s">
        <v>463</v>
      </c>
      <c r="C259" s="2700"/>
      <c r="D259" s="2700"/>
      <c r="E259" s="2700"/>
      <c r="F259" s="2700"/>
      <c r="G259" s="2700"/>
      <c r="H259" s="2700">
        <f t="shared" si="38"/>
        <v>0</v>
      </c>
      <c r="I259" s="264"/>
      <c r="J259" s="264"/>
    </row>
    <row r="260" spans="1:14" s="52" customFormat="1" ht="20.100000000000001" customHeight="1">
      <c r="A260" s="285">
        <v>18</v>
      </c>
      <c r="B260" s="2697" t="s">
        <v>464</v>
      </c>
      <c r="C260" s="2715">
        <f>SUM(C251:C259)</f>
        <v>9244.2645213168653</v>
      </c>
      <c r="D260" s="2715">
        <f>SUM(D251:D259)</f>
        <v>-3482.2384362957059</v>
      </c>
      <c r="E260" s="2715">
        <f>SUM(E251:E259)</f>
        <v>392743.77563133743</v>
      </c>
      <c r="F260" s="2715">
        <f>SUM(F251:F259)</f>
        <v>340.07363002518264</v>
      </c>
      <c r="G260" s="2715">
        <f>SUM(G251:G259)</f>
        <v>-372574.47406582255</v>
      </c>
      <c r="H260" s="2715">
        <f t="shared" si="38"/>
        <v>26271.401280561229</v>
      </c>
      <c r="I260" s="264"/>
      <c r="J260" s="264"/>
    </row>
    <row r="261" spans="1:14" s="52" customFormat="1" ht="20.100000000000001" customHeight="1">
      <c r="A261" s="285">
        <v>19</v>
      </c>
      <c r="B261" s="2699" t="s">
        <v>465</v>
      </c>
      <c r="C261" s="2700"/>
      <c r="D261" s="2700"/>
      <c r="E261" s="2700"/>
      <c r="F261" s="2700"/>
      <c r="G261" s="2700"/>
      <c r="H261" s="2700">
        <f t="shared" si="38"/>
        <v>0</v>
      </c>
      <c r="I261" s="264"/>
      <c r="J261" s="264"/>
    </row>
    <row r="262" spans="1:14" s="52" customFormat="1" ht="20.100000000000001" customHeight="1">
      <c r="A262" s="285">
        <v>20</v>
      </c>
      <c r="B262" s="2707" t="s">
        <v>466</v>
      </c>
      <c r="C262" s="2715">
        <f>SUM(C260:C261)</f>
        <v>9244.2645213168653</v>
      </c>
      <c r="D262" s="2715">
        <f>SUM(D260:D261)</f>
        <v>-3482.2384362957059</v>
      </c>
      <c r="E262" s="2715">
        <f>SUM(E260:E261)</f>
        <v>392743.77563133743</v>
      </c>
      <c r="F262" s="2715">
        <f>SUM(F260:F261)</f>
        <v>340.07363002518264</v>
      </c>
      <c r="G262" s="2715">
        <f>SUM(G260:G261)</f>
        <v>-372574.47406582255</v>
      </c>
      <c r="H262" s="2715">
        <f t="shared" si="38"/>
        <v>26271.401280561229</v>
      </c>
      <c r="I262" s="264"/>
      <c r="J262" s="264"/>
    </row>
    <row r="263" spans="1:14" s="52" customFormat="1" ht="20.100000000000001" customHeight="1">
      <c r="A263" s="285">
        <v>21</v>
      </c>
      <c r="B263" s="2707" t="s">
        <v>467</v>
      </c>
      <c r="C263" s="2700"/>
      <c r="D263" s="2700"/>
      <c r="E263" s="2700"/>
      <c r="F263" s="2700"/>
      <c r="G263" s="2700"/>
      <c r="H263" s="2700">
        <f t="shared" si="38"/>
        <v>0</v>
      </c>
      <c r="I263" s="264"/>
      <c r="J263" s="264"/>
    </row>
    <row r="264" spans="1:14" s="52" customFormat="1" ht="20.100000000000001" customHeight="1">
      <c r="A264" s="285">
        <v>22</v>
      </c>
      <c r="B264" s="2707" t="s">
        <v>468</v>
      </c>
      <c r="C264" s="2715">
        <f>SUM(C262:C263)</f>
        <v>9244.2645213168653</v>
      </c>
      <c r="D264" s="2715">
        <f>SUM(D262:D263)</f>
        <v>-3482.2384362957059</v>
      </c>
      <c r="E264" s="2715">
        <f>SUM(E262:E263)</f>
        <v>392743.77563133743</v>
      </c>
      <c r="F264" s="2715">
        <f>SUM(F262:F263)</f>
        <v>340.07363002518264</v>
      </c>
      <c r="G264" s="2715">
        <f>SUM(G262:G263)</f>
        <v>-372574.47406582255</v>
      </c>
      <c r="H264" s="2715">
        <f t="shared" si="38"/>
        <v>26271.401280561229</v>
      </c>
      <c r="I264" s="284"/>
      <c r="J264" s="264"/>
    </row>
    <row r="265" spans="1:14">
      <c r="C265" s="292"/>
      <c r="D265" s="292"/>
      <c r="E265" s="292"/>
      <c r="F265" s="292"/>
      <c r="G265" s="292"/>
      <c r="H265" s="292"/>
    </row>
    <row r="266" spans="1:14">
      <c r="C266" s="292"/>
      <c r="D266" s="292"/>
      <c r="E266" s="292"/>
      <c r="F266" s="292"/>
      <c r="G266" s="292"/>
      <c r="H266" s="292"/>
    </row>
    <row r="267" spans="1:14" s="54" customFormat="1" ht="17.45" customHeight="1">
      <c r="A267" s="3598">
        <v>8</v>
      </c>
      <c r="B267" s="3599" t="s">
        <v>130</v>
      </c>
      <c r="C267" s="3600">
        <v>2012</v>
      </c>
      <c r="D267" s="3600"/>
      <c r="E267" s="3600"/>
      <c r="F267" s="3600"/>
      <c r="G267" s="3600"/>
      <c r="H267" s="3600"/>
      <c r="I267" s="109"/>
      <c r="J267" s="109"/>
    </row>
    <row r="268" spans="1:14" s="54" customFormat="1" ht="17.45" customHeight="1">
      <c r="A268" s="3598"/>
      <c r="B268" s="3599"/>
      <c r="C268" s="2532" t="s">
        <v>436</v>
      </c>
      <c r="D268" s="2532" t="s">
        <v>437</v>
      </c>
      <c r="E268" s="2532" t="s">
        <v>438</v>
      </c>
      <c r="F268" s="2532" t="s">
        <v>722</v>
      </c>
      <c r="G268" s="2532" t="s">
        <v>723</v>
      </c>
      <c r="H268" s="2532" t="s">
        <v>118</v>
      </c>
      <c r="I268" s="3358"/>
      <c r="J268" s="109"/>
    </row>
    <row r="269" spans="1:14" s="54" customFormat="1" ht="17.45" customHeight="1">
      <c r="A269" s="3598"/>
      <c r="B269" s="3599"/>
      <c r="C269" s="2696" t="s">
        <v>142</v>
      </c>
      <c r="D269" s="2696" t="s">
        <v>142</v>
      </c>
      <c r="E269" s="2696" t="s">
        <v>142</v>
      </c>
      <c r="F269" s="2696" t="s">
        <v>142</v>
      </c>
      <c r="G269" s="2696" t="s">
        <v>142</v>
      </c>
      <c r="H269" s="2696" t="s">
        <v>142</v>
      </c>
      <c r="I269" s="3358"/>
      <c r="J269" s="109"/>
    </row>
    <row r="270" spans="1:14" s="52" customFormat="1" ht="17.45" customHeight="1">
      <c r="A270" s="285">
        <v>1</v>
      </c>
      <c r="B270" s="2697" t="s">
        <v>215</v>
      </c>
      <c r="C270" s="3601"/>
      <c r="D270" s="3601"/>
      <c r="E270" s="3601"/>
      <c r="F270" s="3601"/>
      <c r="G270" s="3601"/>
      <c r="H270" s="1711">
        <f>+H278+H287+H288+H289</f>
        <v>805327.55298612127</v>
      </c>
      <c r="I270" s="264"/>
      <c r="J270" s="278"/>
      <c r="K270" s="274"/>
      <c r="L270" s="274"/>
      <c r="M270" s="274"/>
      <c r="N270" s="274"/>
    </row>
    <row r="271" spans="1:14" s="52" customFormat="1" ht="6" customHeight="1">
      <c r="A271" s="285"/>
      <c r="B271" s="2697"/>
      <c r="C271" s="1789"/>
      <c r="D271" s="1789"/>
      <c r="E271" s="1789"/>
      <c r="F271" s="1789"/>
      <c r="G271" s="1789"/>
      <c r="H271" s="1789"/>
      <c r="I271" s="264"/>
      <c r="J271" s="278"/>
      <c r="K271" s="274"/>
      <c r="L271" s="274"/>
      <c r="M271" s="274"/>
      <c r="N271" s="274"/>
    </row>
    <row r="272" spans="1:14" s="52" customFormat="1" ht="20.100000000000001" customHeight="1">
      <c r="A272" s="285">
        <v>2</v>
      </c>
      <c r="B272" s="2699" t="s">
        <v>342</v>
      </c>
      <c r="C272" s="2715">
        <v>58535.475069999993</v>
      </c>
      <c r="D272" s="2715">
        <v>18335.926099999997</v>
      </c>
      <c r="E272" s="2715">
        <v>720114.45716999995</v>
      </c>
      <c r="F272" s="2715">
        <v>0</v>
      </c>
      <c r="G272" s="2715">
        <v>141128.88733000003</v>
      </c>
      <c r="H272" s="2715">
        <f>SUM(C272:G272)</f>
        <v>938114.74566999997</v>
      </c>
      <c r="I272" s="286"/>
      <c r="J272" s="264"/>
    </row>
    <row r="273" spans="1:10" s="52" customFormat="1" ht="20.100000000000001" customHeight="1">
      <c r="A273" s="285">
        <v>3</v>
      </c>
      <c r="B273" s="2699" t="s">
        <v>444</v>
      </c>
      <c r="C273" s="2715">
        <v>0</v>
      </c>
      <c r="D273" s="2715">
        <v>0</v>
      </c>
      <c r="E273" s="2715">
        <v>0</v>
      </c>
      <c r="F273" s="2715">
        <v>0</v>
      </c>
      <c r="G273" s="2715">
        <v>0</v>
      </c>
      <c r="H273" s="2715">
        <f>SUM(C273:G273)</f>
        <v>0</v>
      </c>
      <c r="I273" s="286"/>
      <c r="J273" s="264"/>
    </row>
    <row r="274" spans="1:10" s="52" customFormat="1" ht="20.100000000000001" customHeight="1">
      <c r="A274" s="285">
        <v>4</v>
      </c>
      <c r="B274" s="2699" t="s">
        <v>445</v>
      </c>
      <c r="C274" s="2715">
        <v>-7454.15164</v>
      </c>
      <c r="D274" s="2715">
        <v>-71.406000000000006</v>
      </c>
      <c r="E274" s="2715">
        <v>-6670.3840399999999</v>
      </c>
      <c r="F274" s="2715">
        <v>0</v>
      </c>
      <c r="G274" s="2715">
        <v>-1060.28297</v>
      </c>
      <c r="H274" s="2715">
        <f>SUM(C274:G274)</f>
        <v>-15256.22465</v>
      </c>
      <c r="I274" s="286"/>
      <c r="J274" s="264"/>
    </row>
    <row r="275" spans="1:10" s="52" customFormat="1" ht="20.100000000000001" customHeight="1">
      <c r="A275" s="285">
        <v>5</v>
      </c>
      <c r="B275" s="2699" t="s">
        <v>446</v>
      </c>
      <c r="C275" s="2715">
        <v>-16297.667609999999</v>
      </c>
      <c r="D275" s="2715">
        <v>-8106.4849400000003</v>
      </c>
      <c r="E275" s="2715">
        <v>-12417.44152</v>
      </c>
      <c r="F275" s="2715">
        <v>0</v>
      </c>
      <c r="G275" s="2715">
        <v>-4251.1868400000003</v>
      </c>
      <c r="H275" s="2715">
        <f>SUM(C275:G275)</f>
        <v>-41072.780910000001</v>
      </c>
      <c r="I275" s="264"/>
      <c r="J275" s="264"/>
    </row>
    <row r="276" spans="1:10" s="52" customFormat="1" ht="20.100000000000001" customHeight="1">
      <c r="A276" s="285">
        <v>6</v>
      </c>
      <c r="B276" s="2699" t="s">
        <v>727</v>
      </c>
      <c r="C276" s="2715">
        <f>SUM(C272:C275)</f>
        <v>34783.655819999993</v>
      </c>
      <c r="D276" s="2715">
        <f>SUM(D272:D275)</f>
        <v>10158.035159999998</v>
      </c>
      <c r="E276" s="2715">
        <f>SUM(E272:E275)</f>
        <v>701026.63160999992</v>
      </c>
      <c r="F276" s="2715">
        <f>SUM(F272:F275)</f>
        <v>0</v>
      </c>
      <c r="G276" s="2715">
        <f>SUM(G272:G275)</f>
        <v>135817.41752000002</v>
      </c>
      <c r="H276" s="2715">
        <f>SUM(C276:G276)</f>
        <v>881785.7401099999</v>
      </c>
      <c r="I276" s="264"/>
      <c r="J276" s="264"/>
    </row>
    <row r="277" spans="1:10" s="52" customFormat="1" ht="20.100000000000001" customHeight="1">
      <c r="A277" s="285">
        <v>7</v>
      </c>
      <c r="B277" s="2699" t="s">
        <v>448</v>
      </c>
      <c r="C277" s="2715">
        <v>-3874.5827899999999</v>
      </c>
      <c r="D277" s="2715">
        <v>365.68463000000003</v>
      </c>
      <c r="E277" s="2715">
        <v>-119318.43920000001</v>
      </c>
      <c r="F277" s="2715">
        <v>0</v>
      </c>
      <c r="G277" s="2715">
        <v>-30365.76266</v>
      </c>
      <c r="H277" s="2715">
        <f t="shared" ref="H277:H283" si="39">SUM(C277:G277)</f>
        <v>-153193.10002000001</v>
      </c>
      <c r="I277" s="264"/>
      <c r="J277" s="264"/>
    </row>
    <row r="278" spans="1:10" s="52" customFormat="1" ht="20.100000000000001" customHeight="1">
      <c r="A278" s="285">
        <v>8</v>
      </c>
      <c r="B278" s="2699" t="s">
        <v>728</v>
      </c>
      <c r="C278" s="2715">
        <f>SUM(C276:C277)</f>
        <v>30909.073029999992</v>
      </c>
      <c r="D278" s="2715">
        <f>SUM(D276:D277)</f>
        <v>10523.719789999997</v>
      </c>
      <c r="E278" s="2715">
        <f>SUM(E276:E277)</f>
        <v>581708.1924099999</v>
      </c>
      <c r="F278" s="2715">
        <f>SUM(F276:F277)</f>
        <v>0</v>
      </c>
      <c r="G278" s="2715">
        <f>SUM(G276:G277)</f>
        <v>105451.65486000001</v>
      </c>
      <c r="H278" s="2715">
        <f t="shared" si="39"/>
        <v>728592.64008999988</v>
      </c>
      <c r="I278" s="264"/>
      <c r="J278" s="264"/>
    </row>
    <row r="279" spans="1:10" s="52" customFormat="1" ht="20.100000000000001" customHeight="1">
      <c r="A279" s="285"/>
      <c r="B279" s="2699"/>
      <c r="C279" s="2700"/>
      <c r="D279" s="2700"/>
      <c r="E279" s="2700"/>
      <c r="F279" s="2700"/>
      <c r="G279" s="2700"/>
      <c r="H279" s="2700">
        <f t="shared" si="39"/>
        <v>0</v>
      </c>
      <c r="I279" s="264"/>
      <c r="J279" s="264"/>
    </row>
    <row r="280" spans="1:10" s="52" customFormat="1" ht="20.100000000000001" customHeight="1">
      <c r="A280" s="285"/>
      <c r="B280" s="2697" t="s">
        <v>450</v>
      </c>
      <c r="C280" s="2700"/>
      <c r="D280" s="2700"/>
      <c r="E280" s="2700"/>
      <c r="F280" s="2700"/>
      <c r="G280" s="2700"/>
      <c r="H280" s="2700">
        <f t="shared" si="39"/>
        <v>0</v>
      </c>
      <c r="I280" s="264"/>
      <c r="J280" s="264"/>
    </row>
    <row r="281" spans="1:10" s="52" customFormat="1" ht="20.100000000000001" customHeight="1">
      <c r="A281" s="285">
        <v>9</v>
      </c>
      <c r="B281" s="2699" t="s">
        <v>451</v>
      </c>
      <c r="C281" s="2715">
        <v>-12294.173419999999</v>
      </c>
      <c r="D281" s="2715">
        <v>-9802.8914600000007</v>
      </c>
      <c r="E281" s="2715">
        <v>-319820.20795000001</v>
      </c>
      <c r="F281" s="2715">
        <v>0</v>
      </c>
      <c r="G281" s="2715">
        <v>-17483.691890000002</v>
      </c>
      <c r="H281" s="2715">
        <f t="shared" si="39"/>
        <v>-359400.96472000005</v>
      </c>
      <c r="I281" s="264"/>
      <c r="J281" s="264"/>
    </row>
    <row r="282" spans="1:10" s="52" customFormat="1" ht="20.100000000000001" customHeight="1">
      <c r="A282" s="285">
        <v>10</v>
      </c>
      <c r="B282" s="2699" t="s">
        <v>452</v>
      </c>
      <c r="C282" s="2715">
        <v>-1253.6246899999999</v>
      </c>
      <c r="D282" s="2715">
        <v>-63.537820000000202</v>
      </c>
      <c r="E282" s="2715">
        <v>10464.858400000001</v>
      </c>
      <c r="F282" s="2715">
        <v>0</v>
      </c>
      <c r="G282" s="2715">
        <v>-6428.91842</v>
      </c>
      <c r="H282" s="2715">
        <f t="shared" si="39"/>
        <v>2718.7774700000009</v>
      </c>
      <c r="I282" s="264"/>
      <c r="J282" s="264"/>
    </row>
    <row r="283" spans="1:10" s="52" customFormat="1" ht="20.100000000000001" customHeight="1">
      <c r="A283" s="285">
        <v>11</v>
      </c>
      <c r="B283" s="2699" t="s">
        <v>453</v>
      </c>
      <c r="C283" s="2700"/>
      <c r="D283" s="2700"/>
      <c r="E283" s="2700"/>
      <c r="F283" s="2700"/>
      <c r="G283" s="2700"/>
      <c r="H283" s="2700">
        <f t="shared" si="39"/>
        <v>0</v>
      </c>
      <c r="I283" s="264"/>
      <c r="J283" s="264"/>
    </row>
    <row r="284" spans="1:10" s="52" customFormat="1" ht="20.100000000000001" customHeight="1">
      <c r="A284" s="287">
        <v>12</v>
      </c>
      <c r="B284" s="2701" t="s">
        <v>454</v>
      </c>
      <c r="C284" s="2716">
        <f>SUM(C278:C283)</f>
        <v>17361.274919999993</v>
      </c>
      <c r="D284" s="2716">
        <f>SUM(D278:D283)</f>
        <v>657.2905099999964</v>
      </c>
      <c r="E284" s="2716">
        <f>SUM(E278:E283)</f>
        <v>272352.84285999992</v>
      </c>
      <c r="F284" s="2716">
        <f>SUM(F278:F283)</f>
        <v>0</v>
      </c>
      <c r="G284" s="2716">
        <f>SUM(G278:G283)</f>
        <v>81539.044550000006</v>
      </c>
      <c r="H284" s="2715">
        <f>SUM(C284:G284)</f>
        <v>371910.45283999993</v>
      </c>
      <c r="I284" s="288"/>
      <c r="J284" s="264"/>
    </row>
    <row r="285" spans="1:10" s="52" customFormat="1" ht="20.100000000000001" customHeight="1">
      <c r="A285" s="285"/>
      <c r="B285" s="2702"/>
      <c r="C285" s="2700"/>
      <c r="D285" s="2700"/>
      <c r="E285" s="2700"/>
      <c r="F285" s="2700"/>
      <c r="G285" s="2700"/>
      <c r="H285" s="2700">
        <f t="shared" ref="H285:H297" si="40">SUM(C285:G285)</f>
        <v>0</v>
      </c>
      <c r="I285" s="264"/>
      <c r="J285" s="264"/>
    </row>
    <row r="286" spans="1:10" s="52" customFormat="1" ht="20.100000000000001" customHeight="1">
      <c r="A286" s="285"/>
      <c r="B286" s="2703" t="s">
        <v>455</v>
      </c>
      <c r="C286" s="2700"/>
      <c r="D286" s="2700"/>
      <c r="E286" s="2700"/>
      <c r="F286" s="2700"/>
      <c r="G286" s="2700"/>
      <c r="H286" s="2700">
        <f t="shared" si="40"/>
        <v>0</v>
      </c>
      <c r="I286" s="264"/>
      <c r="J286" s="264"/>
    </row>
    <row r="287" spans="1:10" s="52" customFormat="1" ht="20.100000000000001" customHeight="1">
      <c r="A287" s="285">
        <v>13</v>
      </c>
      <c r="B287" s="2699" t="s">
        <v>456</v>
      </c>
      <c r="C287" s="2700"/>
      <c r="D287" s="2700"/>
      <c r="E287" s="2700"/>
      <c r="F287" s="2700"/>
      <c r="G287" s="2700"/>
      <c r="H287" s="2700">
        <f t="shared" si="40"/>
        <v>0</v>
      </c>
      <c r="I287" s="264"/>
      <c r="J287" s="264"/>
    </row>
    <row r="288" spans="1:10" s="52" customFormat="1" ht="20.100000000000001" customHeight="1">
      <c r="A288" s="285">
        <v>14</v>
      </c>
      <c r="B288" s="2697" t="s">
        <v>457</v>
      </c>
      <c r="C288" s="2715">
        <v>4445.8571943210572</v>
      </c>
      <c r="D288" s="2715">
        <v>1392.6411098353497</v>
      </c>
      <c r="E288" s="2715">
        <v>54693.773926243586</v>
      </c>
      <c r="F288" s="2715">
        <v>0</v>
      </c>
      <c r="G288" s="2715">
        <v>10718.950829599999</v>
      </c>
      <c r="H288" s="2715">
        <f t="shared" si="40"/>
        <v>71251.223059999989</v>
      </c>
      <c r="I288" s="264"/>
      <c r="J288" s="264"/>
    </row>
    <row r="289" spans="1:14" s="52" customFormat="1" ht="20.100000000000001" customHeight="1">
      <c r="A289" s="285">
        <v>15</v>
      </c>
      <c r="B289" s="2699" t="s">
        <v>460</v>
      </c>
      <c r="C289" s="2715">
        <v>644.03753467908757</v>
      </c>
      <c r="D289" s="2715">
        <v>98.182000000000002</v>
      </c>
      <c r="E289" s="2715">
        <v>3941.2860000000001</v>
      </c>
      <c r="F289" s="2715">
        <v>0</v>
      </c>
      <c r="G289" s="2715">
        <v>800.1843014423149</v>
      </c>
      <c r="H289" s="2715">
        <f t="shared" si="40"/>
        <v>5483.6898361214025</v>
      </c>
      <c r="I289" s="264"/>
      <c r="J289" s="264"/>
    </row>
    <row r="290" spans="1:14" s="52" customFormat="1" ht="20.100000000000001" customHeight="1">
      <c r="A290" s="285"/>
      <c r="B290" s="2697" t="s">
        <v>461</v>
      </c>
      <c r="C290" s="2700"/>
      <c r="D290" s="2700"/>
      <c r="E290" s="2700"/>
      <c r="F290" s="2700"/>
      <c r="G290" s="2700"/>
      <c r="H290" s="2700">
        <f t="shared" si="40"/>
        <v>0</v>
      </c>
      <c r="I290" s="264"/>
      <c r="J290" s="264"/>
    </row>
    <row r="291" spans="1:14" s="52" customFormat="1" ht="30" customHeight="1">
      <c r="A291" s="285">
        <v>16</v>
      </c>
      <c r="B291" s="2705" t="s">
        <v>462</v>
      </c>
      <c r="C291" s="2715">
        <v>-19524.583999999999</v>
      </c>
      <c r="D291" s="2715">
        <v>-6580.6157499999999</v>
      </c>
      <c r="E291" s="2715">
        <v>-187116.31762000002</v>
      </c>
      <c r="F291" s="2715">
        <v>0</v>
      </c>
      <c r="G291" s="2715">
        <v>-38322.042000000001</v>
      </c>
      <c r="H291" s="2715">
        <f t="shared" si="40"/>
        <v>-251543.55937000003</v>
      </c>
      <c r="I291" s="264"/>
      <c r="J291" s="264"/>
    </row>
    <row r="292" spans="1:14" s="52" customFormat="1" ht="20.100000000000001" customHeight="1">
      <c r="A292" s="285">
        <v>17</v>
      </c>
      <c r="B292" s="2699" t="s">
        <v>463</v>
      </c>
      <c r="C292" s="2700"/>
      <c r="D292" s="2700"/>
      <c r="E292" s="2700"/>
      <c r="F292" s="2700"/>
      <c r="G292" s="2700"/>
      <c r="H292" s="2700">
        <f t="shared" si="40"/>
        <v>0</v>
      </c>
      <c r="I292" s="264"/>
      <c r="J292" s="264"/>
    </row>
    <row r="293" spans="1:14" s="52" customFormat="1" ht="20.100000000000001" customHeight="1">
      <c r="A293" s="285">
        <v>18</v>
      </c>
      <c r="B293" s="2697" t="s">
        <v>464</v>
      </c>
      <c r="C293" s="2715">
        <f>SUM(C284:C292)</f>
        <v>2926.5856490001388</v>
      </c>
      <c r="D293" s="2715">
        <f>SUM(D284:D292)</f>
        <v>-4432.5021301646539</v>
      </c>
      <c r="E293" s="2715">
        <f>SUM(E284:E292)</f>
        <v>143871.58516624352</v>
      </c>
      <c r="F293" s="2715">
        <f>SUM(F284:F292)</f>
        <v>0</v>
      </c>
      <c r="G293" s="2715">
        <f>SUM(G284:G292)</f>
        <v>54736.137681042324</v>
      </c>
      <c r="H293" s="2715">
        <f>SUM(C293:G293)</f>
        <v>197101.80636612134</v>
      </c>
      <c r="I293" s="264"/>
      <c r="J293" s="264"/>
    </row>
    <row r="294" spans="1:14" s="52" customFormat="1" ht="20.100000000000001" customHeight="1">
      <c r="A294" s="285">
        <v>19</v>
      </c>
      <c r="B294" s="2699" t="s">
        <v>465</v>
      </c>
      <c r="C294" s="2715"/>
      <c r="D294" s="2715"/>
      <c r="E294" s="2715"/>
      <c r="F294" s="2715"/>
      <c r="G294" s="2715"/>
      <c r="H294" s="2715">
        <f t="shared" si="40"/>
        <v>0</v>
      </c>
      <c r="I294" s="264"/>
      <c r="J294" s="264"/>
    </row>
    <row r="295" spans="1:14" s="52" customFormat="1" ht="20.100000000000001" customHeight="1">
      <c r="A295" s="285">
        <v>20</v>
      </c>
      <c r="B295" s="2707" t="s">
        <v>466</v>
      </c>
      <c r="C295" s="2715">
        <f>SUM(C293:C294)</f>
        <v>2926.5856490001388</v>
      </c>
      <c r="D295" s="2715">
        <f>SUM(D293:D294)</f>
        <v>-4432.5021301646539</v>
      </c>
      <c r="E295" s="2715">
        <f>SUM(E293:E294)</f>
        <v>143871.58516624352</v>
      </c>
      <c r="F295" s="2715">
        <f>SUM(F293:F294)</f>
        <v>0</v>
      </c>
      <c r="G295" s="2715">
        <f>SUM(G293:G294)</f>
        <v>54736.137681042324</v>
      </c>
      <c r="H295" s="2715">
        <f t="shared" si="40"/>
        <v>197101.80636612134</v>
      </c>
      <c r="I295" s="264"/>
      <c r="J295" s="264"/>
    </row>
    <row r="296" spans="1:14" s="52" customFormat="1" ht="20.100000000000001" customHeight="1">
      <c r="A296" s="285">
        <v>21</v>
      </c>
      <c r="B296" s="2707" t="s">
        <v>467</v>
      </c>
      <c r="C296" s="2715"/>
      <c r="D296" s="2715"/>
      <c r="E296" s="2715"/>
      <c r="F296" s="2715"/>
      <c r="G296" s="2715"/>
      <c r="H296" s="2715">
        <f t="shared" si="40"/>
        <v>0</v>
      </c>
      <c r="I296" s="264"/>
      <c r="J296" s="264"/>
    </row>
    <row r="297" spans="1:14" s="52" customFormat="1" ht="20.100000000000001" customHeight="1">
      <c r="A297" s="285">
        <v>22</v>
      </c>
      <c r="B297" s="2707" t="s">
        <v>468</v>
      </c>
      <c r="C297" s="2715">
        <f>SUM(C295:C296)</f>
        <v>2926.5856490001388</v>
      </c>
      <c r="D297" s="2715">
        <f>SUM(D295:D296)</f>
        <v>-4432.5021301646539</v>
      </c>
      <c r="E297" s="2715">
        <f>SUM(E295:E296)</f>
        <v>143871.58516624352</v>
      </c>
      <c r="F297" s="2715">
        <f>SUM(F295:F296)</f>
        <v>0</v>
      </c>
      <c r="G297" s="2715">
        <f>SUM(G295:G296)</f>
        <v>54736.137681042324</v>
      </c>
      <c r="H297" s="2715">
        <f t="shared" si="40"/>
        <v>197101.80636612134</v>
      </c>
      <c r="I297" s="284"/>
      <c r="J297" s="264"/>
    </row>
    <row r="298" spans="1:14" s="52" customFormat="1" ht="17.45" customHeight="1">
      <c r="A298" s="285"/>
      <c r="B298" s="290"/>
      <c r="C298" s="289"/>
      <c r="D298" s="289"/>
      <c r="E298" s="289"/>
      <c r="F298" s="289"/>
      <c r="G298" s="289"/>
      <c r="H298" s="289"/>
      <c r="I298" s="284"/>
      <c r="J298" s="264"/>
    </row>
    <row r="299" spans="1:14">
      <c r="C299" s="292"/>
      <c r="D299" s="292"/>
      <c r="E299" s="292"/>
      <c r="F299" s="292"/>
      <c r="G299" s="292"/>
      <c r="H299" s="292"/>
    </row>
    <row r="300" spans="1:14" s="54" customFormat="1" ht="17.45" customHeight="1">
      <c r="A300" s="3598">
        <v>9</v>
      </c>
      <c r="B300" s="3599" t="s">
        <v>132</v>
      </c>
      <c r="C300" s="3600">
        <v>2012</v>
      </c>
      <c r="D300" s="3600"/>
      <c r="E300" s="3600"/>
      <c r="F300" s="3600"/>
      <c r="G300" s="3600"/>
      <c r="H300" s="3600"/>
      <c r="I300" s="109"/>
      <c r="J300" s="109"/>
    </row>
    <row r="301" spans="1:14" s="54" customFormat="1" ht="17.45" customHeight="1">
      <c r="A301" s="3598"/>
      <c r="B301" s="3599"/>
      <c r="C301" s="2532" t="s">
        <v>436</v>
      </c>
      <c r="D301" s="2532" t="s">
        <v>437</v>
      </c>
      <c r="E301" s="2532" t="s">
        <v>438</v>
      </c>
      <c r="F301" s="2532" t="s">
        <v>722</v>
      </c>
      <c r="G301" s="2532" t="s">
        <v>723</v>
      </c>
      <c r="H301" s="2532" t="s">
        <v>118</v>
      </c>
      <c r="I301" s="3358"/>
      <c r="J301" s="109"/>
    </row>
    <row r="302" spans="1:14" s="54" customFormat="1" ht="17.45" customHeight="1">
      <c r="A302" s="3598"/>
      <c r="B302" s="3599"/>
      <c r="C302" s="2696" t="s">
        <v>142</v>
      </c>
      <c r="D302" s="2696" t="s">
        <v>142</v>
      </c>
      <c r="E302" s="2696" t="s">
        <v>142</v>
      </c>
      <c r="F302" s="2696" t="s">
        <v>142</v>
      </c>
      <c r="G302" s="2696" t="s">
        <v>142</v>
      </c>
      <c r="H302" s="2696" t="s">
        <v>142</v>
      </c>
      <c r="I302" s="3358"/>
      <c r="J302" s="109"/>
    </row>
    <row r="303" spans="1:14" s="52" customFormat="1" ht="17.45" customHeight="1">
      <c r="A303" s="285">
        <v>1</v>
      </c>
      <c r="B303" s="2697" t="s">
        <v>215</v>
      </c>
      <c r="C303" s="3601"/>
      <c r="D303" s="3601"/>
      <c r="E303" s="3601"/>
      <c r="F303" s="3601"/>
      <c r="G303" s="3601"/>
      <c r="H303" s="1711">
        <f>+H311+H320+H321+H322</f>
        <v>1295136.7492199999</v>
      </c>
      <c r="I303" s="264"/>
      <c r="J303" s="278"/>
      <c r="K303" s="274"/>
      <c r="L303" s="274"/>
      <c r="M303" s="274"/>
      <c r="N303" s="274"/>
    </row>
    <row r="304" spans="1:14" s="52" customFormat="1" ht="5.25" customHeight="1">
      <c r="A304" s="285"/>
      <c r="B304" s="2697"/>
      <c r="C304" s="1789"/>
      <c r="D304" s="1789"/>
      <c r="E304" s="1789"/>
      <c r="F304" s="1789"/>
      <c r="G304" s="1789"/>
      <c r="H304" s="1789"/>
      <c r="I304" s="264"/>
      <c r="J304" s="278"/>
      <c r="K304" s="274"/>
      <c r="L304" s="274"/>
      <c r="M304" s="274"/>
      <c r="N304" s="274"/>
    </row>
    <row r="305" spans="1:10" s="52" customFormat="1" ht="20.100000000000001" customHeight="1">
      <c r="A305" s="285">
        <v>2</v>
      </c>
      <c r="B305" s="2699" t="s">
        <v>342</v>
      </c>
      <c r="C305" s="2715">
        <v>303185.35358</v>
      </c>
      <c r="D305" s="2715">
        <v>25334.732419999997</v>
      </c>
      <c r="E305" s="2715">
        <v>1188867.38537</v>
      </c>
      <c r="F305" s="2715">
        <v>4408.5809300000001</v>
      </c>
      <c r="G305" s="2715">
        <v>172547.89234999998</v>
      </c>
      <c r="H305" s="2715">
        <f>SUM(C305:G305)</f>
        <v>1694343.94465</v>
      </c>
      <c r="I305" s="286"/>
      <c r="J305" s="264"/>
    </row>
    <row r="306" spans="1:10" s="52" customFormat="1" ht="20.100000000000001" customHeight="1">
      <c r="A306" s="285">
        <v>3</v>
      </c>
      <c r="B306" s="2699" t="s">
        <v>444</v>
      </c>
      <c r="C306" s="2715"/>
      <c r="D306" s="2715"/>
      <c r="E306" s="2700"/>
      <c r="F306" s="2700"/>
      <c r="G306" s="2700"/>
      <c r="H306" s="2715">
        <f>SUM(C306:G306)</f>
        <v>0</v>
      </c>
      <c r="I306" s="286"/>
      <c r="J306" s="264"/>
    </row>
    <row r="307" spans="1:10" s="52" customFormat="1" ht="20.100000000000001" customHeight="1">
      <c r="A307" s="285">
        <v>4</v>
      </c>
      <c r="B307" s="2699" t="s">
        <v>445</v>
      </c>
      <c r="C307" s="2715">
        <v>-62030.205950000003</v>
      </c>
      <c r="D307" s="2715">
        <v>-44.105839999999993</v>
      </c>
      <c r="E307" s="2700">
        <v>0</v>
      </c>
      <c r="F307" s="2715">
        <v>-414.97453000000002</v>
      </c>
      <c r="G307" s="2715">
        <v>-8024.5410700000002</v>
      </c>
      <c r="H307" s="2715">
        <f>SUM(C307:G307)</f>
        <v>-70513.827390000006</v>
      </c>
      <c r="I307" s="286"/>
      <c r="J307" s="264"/>
    </row>
    <row r="308" spans="1:10" s="52" customFormat="1" ht="20.100000000000001" customHeight="1">
      <c r="A308" s="285">
        <v>5</v>
      </c>
      <c r="B308" s="2699" t="s">
        <v>446</v>
      </c>
      <c r="C308" s="2715">
        <v>-208036.72594999999</v>
      </c>
      <c r="D308" s="2715">
        <v>-20181.906709999999</v>
      </c>
      <c r="E308" s="2715">
        <v>-32567.107329999999</v>
      </c>
      <c r="F308" s="2715">
        <v>-81.653729999999996</v>
      </c>
      <c r="G308" s="2715">
        <v>-58743.803409999993</v>
      </c>
      <c r="H308" s="2715">
        <f>SUM(C308:G308)</f>
        <v>-319611.19712999999</v>
      </c>
      <c r="I308" s="264"/>
      <c r="J308" s="264"/>
    </row>
    <row r="309" spans="1:10" s="52" customFormat="1" ht="20.100000000000001" customHeight="1">
      <c r="A309" s="285">
        <v>6</v>
      </c>
      <c r="B309" s="2699" t="s">
        <v>727</v>
      </c>
      <c r="C309" s="2715">
        <f>SUM(C305:C308)</f>
        <v>33118.421679999999</v>
      </c>
      <c r="D309" s="2715">
        <f>SUM(D305:D308)</f>
        <v>5108.7198699999972</v>
      </c>
      <c r="E309" s="2715">
        <f>SUM(E305:E308)</f>
        <v>1156300.27804</v>
      </c>
      <c r="F309" s="2715">
        <f>SUM(F305:F308)</f>
        <v>3911.9526700000001</v>
      </c>
      <c r="G309" s="2715">
        <f>SUM(G305:G308)</f>
        <v>105779.54786999998</v>
      </c>
      <c r="H309" s="2715">
        <f>SUM(C309:G309)</f>
        <v>1304218.92013</v>
      </c>
      <c r="I309" s="264"/>
      <c r="J309" s="264"/>
    </row>
    <row r="310" spans="1:10" s="52" customFormat="1" ht="20.100000000000001" customHeight="1">
      <c r="A310" s="285">
        <v>7</v>
      </c>
      <c r="B310" s="2699" t="s">
        <v>448</v>
      </c>
      <c r="C310" s="2715">
        <v>-1256.182</v>
      </c>
      <c r="D310" s="2715">
        <v>37.149000000000001</v>
      </c>
      <c r="E310" s="2715">
        <v>-121210.13800000001</v>
      </c>
      <c r="F310" s="2715">
        <v>777.08100000000002</v>
      </c>
      <c r="G310" s="2715">
        <v>-20617.780910000001</v>
      </c>
      <c r="H310" s="2715">
        <f t="shared" ref="H310:H316" si="41">SUM(C310:G310)</f>
        <v>-142269.87091</v>
      </c>
      <c r="I310" s="264"/>
      <c r="J310" s="264"/>
    </row>
    <row r="311" spans="1:10" s="52" customFormat="1" ht="20.100000000000001" customHeight="1">
      <c r="A311" s="285">
        <v>8</v>
      </c>
      <c r="B311" s="2699" t="s">
        <v>728</v>
      </c>
      <c r="C311" s="2715">
        <f>SUM(C309:C310)</f>
        <v>31862.239679999999</v>
      </c>
      <c r="D311" s="2715">
        <f>SUM(D309:D310)</f>
        <v>5145.8688699999975</v>
      </c>
      <c r="E311" s="2715">
        <f>SUM(E309:E310)</f>
        <v>1035090.14004</v>
      </c>
      <c r="F311" s="2715">
        <f>SUM(F309:F310)</f>
        <v>4689.0336699999998</v>
      </c>
      <c r="G311" s="2715">
        <f>SUM(G309:G310)</f>
        <v>85161.766959999979</v>
      </c>
      <c r="H311" s="2715">
        <f t="shared" si="41"/>
        <v>1161949.0492199999</v>
      </c>
      <c r="I311" s="264"/>
      <c r="J311" s="264"/>
    </row>
    <row r="312" spans="1:10" s="52" customFormat="1" ht="20.100000000000001" customHeight="1">
      <c r="A312" s="285"/>
      <c r="B312" s="2699"/>
      <c r="C312" s="2700"/>
      <c r="D312" s="2700"/>
      <c r="E312" s="2700"/>
      <c r="F312" s="2700"/>
      <c r="G312" s="2700"/>
      <c r="H312" s="2715">
        <f t="shared" si="41"/>
        <v>0</v>
      </c>
      <c r="I312" s="264"/>
      <c r="J312" s="264"/>
    </row>
    <row r="313" spans="1:10" s="52" customFormat="1" ht="20.100000000000001" customHeight="1">
      <c r="A313" s="285"/>
      <c r="B313" s="2697" t="s">
        <v>450</v>
      </c>
      <c r="C313" s="2700"/>
      <c r="D313" s="2700"/>
      <c r="E313" s="2700"/>
      <c r="F313" s="2700"/>
      <c r="G313" s="2700"/>
      <c r="H313" s="2715">
        <f t="shared" si="41"/>
        <v>0</v>
      </c>
      <c r="I313" s="264"/>
      <c r="J313" s="264"/>
    </row>
    <row r="314" spans="1:10" s="52" customFormat="1" ht="20.100000000000001" customHeight="1">
      <c r="A314" s="285">
        <v>9</v>
      </c>
      <c r="B314" s="2699" t="s">
        <v>451</v>
      </c>
      <c r="C314" s="2715">
        <v>-10654</v>
      </c>
      <c r="D314" s="2715">
        <v>-2109</v>
      </c>
      <c r="E314" s="2715">
        <v>-695731</v>
      </c>
      <c r="F314" s="2715">
        <v>-3638</v>
      </c>
      <c r="G314" s="2715">
        <v>-90240</v>
      </c>
      <c r="H314" s="2715">
        <f t="shared" si="41"/>
        <v>-802372</v>
      </c>
      <c r="I314" s="264"/>
      <c r="J314" s="264"/>
    </row>
    <row r="315" spans="1:10" s="52" customFormat="1" ht="20.100000000000001" customHeight="1">
      <c r="A315" s="285">
        <v>10</v>
      </c>
      <c r="B315" s="2699" t="s">
        <v>452</v>
      </c>
      <c r="C315" s="2715">
        <v>50367</v>
      </c>
      <c r="D315" s="2715">
        <v>5718</v>
      </c>
      <c r="E315" s="2715">
        <v>-71222</v>
      </c>
      <c r="F315" s="2715">
        <v>-237</v>
      </c>
      <c r="G315" s="2715">
        <v>5562</v>
      </c>
      <c r="H315" s="2715">
        <f t="shared" si="41"/>
        <v>-9812</v>
      </c>
      <c r="I315" s="264"/>
      <c r="J315" s="264"/>
    </row>
    <row r="316" spans="1:10" s="52" customFormat="1" ht="20.100000000000001" customHeight="1">
      <c r="A316" s="285">
        <v>11</v>
      </c>
      <c r="B316" s="2699" t="s">
        <v>453</v>
      </c>
      <c r="C316" s="2715">
        <v>-1171</v>
      </c>
      <c r="D316" s="2715">
        <v>23</v>
      </c>
      <c r="E316" s="2715">
        <v>-6934</v>
      </c>
      <c r="F316" s="2715">
        <v>-4</v>
      </c>
      <c r="G316" s="2715">
        <v>-23</v>
      </c>
      <c r="H316" s="2715">
        <f t="shared" si="41"/>
        <v>-8109</v>
      </c>
      <c r="I316" s="264"/>
      <c r="J316" s="264"/>
    </row>
    <row r="317" spans="1:10" s="52" customFormat="1" ht="20.100000000000001" customHeight="1">
      <c r="A317" s="287">
        <v>12</v>
      </c>
      <c r="B317" s="2701" t="s">
        <v>454</v>
      </c>
      <c r="C317" s="2716">
        <f>SUM(C311:C316)</f>
        <v>70404.239679999999</v>
      </c>
      <c r="D317" s="2716">
        <f>SUM(D311:D316)</f>
        <v>8777.8688699999984</v>
      </c>
      <c r="E317" s="2716">
        <f>SUM(E311:E316)</f>
        <v>261203.14003999997</v>
      </c>
      <c r="F317" s="2716">
        <f>SUM(F311:F316)</f>
        <v>810.0336699999998</v>
      </c>
      <c r="G317" s="2716">
        <f>SUM(G311:G316)</f>
        <v>460.76695999997901</v>
      </c>
      <c r="H317" s="2715">
        <f>SUM(C317:G317)</f>
        <v>341656.04921999993</v>
      </c>
      <c r="I317" s="288"/>
      <c r="J317" s="264"/>
    </row>
    <row r="318" spans="1:10" s="52" customFormat="1" ht="20.100000000000001" customHeight="1">
      <c r="A318" s="285"/>
      <c r="B318" s="2702"/>
      <c r="C318" s="2700"/>
      <c r="D318" s="2700"/>
      <c r="E318" s="2700"/>
      <c r="F318" s="2700"/>
      <c r="G318" s="2700"/>
      <c r="H318" s="2715">
        <f>SUM(C318:G318)</f>
        <v>0</v>
      </c>
      <c r="I318" s="264"/>
      <c r="J318" s="264"/>
    </row>
    <row r="319" spans="1:10" s="52" customFormat="1" ht="20.100000000000001" customHeight="1">
      <c r="A319" s="285"/>
      <c r="B319" s="2703" t="s">
        <v>455</v>
      </c>
      <c r="C319" s="2700"/>
      <c r="D319" s="2700"/>
      <c r="E319" s="2700"/>
      <c r="F319" s="2700"/>
      <c r="G319" s="2700"/>
      <c r="H319" s="2715">
        <f>SUM(C319:G319)</f>
        <v>0</v>
      </c>
      <c r="I319" s="264"/>
      <c r="J319" s="264"/>
    </row>
    <row r="320" spans="1:10" s="52" customFormat="1" ht="20.100000000000001" customHeight="1">
      <c r="A320" s="285">
        <v>13</v>
      </c>
      <c r="B320" s="2699" t="s">
        <v>456</v>
      </c>
      <c r="C320" s="2706"/>
      <c r="D320" s="2706"/>
      <c r="E320" s="2706"/>
      <c r="F320" s="2706"/>
      <c r="G320" s="2706"/>
      <c r="H320" s="2715">
        <v>0</v>
      </c>
      <c r="I320" s="264"/>
      <c r="J320" s="264"/>
    </row>
    <row r="321" spans="1:14" s="52" customFormat="1" ht="20.100000000000001" customHeight="1">
      <c r="A321" s="285">
        <v>14</v>
      </c>
      <c r="B321" s="2697" t="s">
        <v>457</v>
      </c>
      <c r="C321" s="2706"/>
      <c r="D321" s="2706"/>
      <c r="E321" s="2706"/>
      <c r="F321" s="2706"/>
      <c r="G321" s="2706"/>
      <c r="H321" s="2715">
        <v>130481</v>
      </c>
      <c r="I321" s="264"/>
      <c r="J321" s="264"/>
    </row>
    <row r="322" spans="1:14" s="52" customFormat="1" ht="20.100000000000001" customHeight="1">
      <c r="A322" s="285">
        <v>15</v>
      </c>
      <c r="B322" s="2699" t="s">
        <v>460</v>
      </c>
      <c r="C322" s="2706"/>
      <c r="D322" s="2706"/>
      <c r="E322" s="2706"/>
      <c r="F322" s="2706"/>
      <c r="G322" s="2706"/>
      <c r="H322" s="2715">
        <v>2706.7</v>
      </c>
      <c r="I322" s="264"/>
      <c r="J322" s="264"/>
    </row>
    <row r="323" spans="1:14" s="52" customFormat="1" ht="20.100000000000001" customHeight="1">
      <c r="A323" s="285"/>
      <c r="B323" s="2697" t="s">
        <v>461</v>
      </c>
      <c r="C323" s="2700"/>
      <c r="D323" s="2700"/>
      <c r="E323" s="2700"/>
      <c r="F323" s="2700"/>
      <c r="G323" s="2700"/>
      <c r="H323" s="2715">
        <v>0</v>
      </c>
      <c r="I323" s="264"/>
      <c r="J323" s="264"/>
    </row>
    <row r="324" spans="1:14" s="52" customFormat="1" ht="31.5" customHeight="1">
      <c r="A324" s="285">
        <v>16</v>
      </c>
      <c r="B324" s="2705" t="s">
        <v>462</v>
      </c>
      <c r="C324" s="2700"/>
      <c r="D324" s="2700"/>
      <c r="E324" s="2700"/>
      <c r="F324" s="2700"/>
      <c r="G324" s="2700"/>
      <c r="H324" s="2715">
        <v>-367155</v>
      </c>
      <c r="I324" s="264"/>
      <c r="J324" s="264"/>
    </row>
    <row r="325" spans="1:14" s="52" customFormat="1" ht="20.100000000000001" customHeight="1">
      <c r="A325" s="285">
        <v>17</v>
      </c>
      <c r="B325" s="2699" t="s">
        <v>463</v>
      </c>
      <c r="C325" s="2700"/>
      <c r="D325" s="2700"/>
      <c r="E325" s="2700"/>
      <c r="F325" s="2700"/>
      <c r="G325" s="2700"/>
      <c r="H325" s="2715">
        <v>-7373</v>
      </c>
      <c r="I325" s="264"/>
      <c r="J325" s="264"/>
    </row>
    <row r="326" spans="1:14" s="52" customFormat="1" ht="20.100000000000001" customHeight="1">
      <c r="A326" s="285">
        <v>18</v>
      </c>
      <c r="B326" s="2697" t="s">
        <v>464</v>
      </c>
      <c r="C326" s="2715">
        <f t="shared" ref="C326:H326" si="42">SUM(C317:C325)</f>
        <v>70404.239679999999</v>
      </c>
      <c r="D326" s="2715">
        <f t="shared" si="42"/>
        <v>8777.8688699999984</v>
      </c>
      <c r="E326" s="2715">
        <f t="shared" si="42"/>
        <v>261203.14003999997</v>
      </c>
      <c r="F326" s="2715">
        <f t="shared" si="42"/>
        <v>810.0336699999998</v>
      </c>
      <c r="G326" s="2715">
        <f t="shared" si="42"/>
        <v>460.76695999997901</v>
      </c>
      <c r="H326" s="2715">
        <f t="shared" si="42"/>
        <v>100315.74921999994</v>
      </c>
      <c r="I326" s="264"/>
      <c r="J326" s="264"/>
    </row>
    <row r="327" spans="1:14" s="52" customFormat="1" ht="20.100000000000001" customHeight="1">
      <c r="A327" s="285">
        <v>19</v>
      </c>
      <c r="B327" s="2699" t="s">
        <v>465</v>
      </c>
      <c r="C327" s="2700"/>
      <c r="D327" s="2700"/>
      <c r="E327" s="2700"/>
      <c r="F327" s="2700"/>
      <c r="G327" s="2700"/>
      <c r="H327" s="2715">
        <f>SUM(C327:G327)</f>
        <v>0</v>
      </c>
      <c r="I327" s="264"/>
      <c r="J327" s="264"/>
    </row>
    <row r="328" spans="1:14" s="52" customFormat="1" ht="20.100000000000001" customHeight="1">
      <c r="A328" s="285">
        <v>20</v>
      </c>
      <c r="B328" s="2707" t="s">
        <v>466</v>
      </c>
      <c r="C328" s="2715">
        <f t="shared" ref="C328:H328" si="43">SUM(C326:C327)</f>
        <v>70404.239679999999</v>
      </c>
      <c r="D328" s="2715">
        <f t="shared" si="43"/>
        <v>8777.8688699999984</v>
      </c>
      <c r="E328" s="2715">
        <f t="shared" si="43"/>
        <v>261203.14003999997</v>
      </c>
      <c r="F328" s="2715">
        <f t="shared" si="43"/>
        <v>810.0336699999998</v>
      </c>
      <c r="G328" s="2715">
        <f t="shared" si="43"/>
        <v>460.76695999997901</v>
      </c>
      <c r="H328" s="2715">
        <f t="shared" si="43"/>
        <v>100315.74921999994</v>
      </c>
      <c r="I328" s="264"/>
      <c r="J328" s="264"/>
    </row>
    <row r="329" spans="1:14" s="52" customFormat="1" ht="20.100000000000001" customHeight="1">
      <c r="A329" s="285">
        <v>21</v>
      </c>
      <c r="B329" s="2707" t="s">
        <v>467</v>
      </c>
      <c r="C329" s="2700"/>
      <c r="D329" s="2700"/>
      <c r="E329" s="2700"/>
      <c r="F329" s="2700"/>
      <c r="G329" s="2700"/>
      <c r="H329" s="2715">
        <f>+'[17]Sheet 2 - General Insurance'!$H$154</f>
        <v>-25772.100600000002</v>
      </c>
      <c r="I329" s="264"/>
      <c r="J329" s="264"/>
    </row>
    <row r="330" spans="1:14" s="52" customFormat="1" ht="20.100000000000001" customHeight="1">
      <c r="A330" s="285">
        <v>22</v>
      </c>
      <c r="B330" s="2707" t="s">
        <v>468</v>
      </c>
      <c r="C330" s="2715">
        <f t="shared" ref="C330:H330" si="44">SUM(C328:C329)</f>
        <v>70404.239679999999</v>
      </c>
      <c r="D330" s="2715">
        <f t="shared" si="44"/>
        <v>8777.8688699999984</v>
      </c>
      <c r="E330" s="2715">
        <f t="shared" si="44"/>
        <v>261203.14003999997</v>
      </c>
      <c r="F330" s="2715">
        <f t="shared" si="44"/>
        <v>810.0336699999998</v>
      </c>
      <c r="G330" s="2715">
        <f t="shared" si="44"/>
        <v>460.76695999997901</v>
      </c>
      <c r="H330" s="2715">
        <f t="shared" si="44"/>
        <v>74543.648619999934</v>
      </c>
      <c r="I330" s="284"/>
      <c r="J330" s="264"/>
    </row>
    <row r="331" spans="1:14" s="52" customFormat="1" ht="17.45" customHeight="1">
      <c r="A331" s="285"/>
      <c r="B331" s="290"/>
      <c r="C331" s="289"/>
      <c r="D331" s="289"/>
      <c r="E331" s="289"/>
      <c r="F331" s="289"/>
      <c r="G331" s="289"/>
      <c r="H331" s="289"/>
      <c r="I331" s="284"/>
      <c r="J331" s="264"/>
    </row>
    <row r="332" spans="1:14">
      <c r="C332" s="292"/>
      <c r="D332" s="292"/>
      <c r="E332" s="292"/>
      <c r="F332" s="292"/>
      <c r="G332" s="292"/>
      <c r="H332" s="292"/>
    </row>
    <row r="333" spans="1:14" s="54" customFormat="1" ht="17.45" customHeight="1">
      <c r="A333" s="3598">
        <v>10</v>
      </c>
      <c r="B333" s="3599" t="s">
        <v>133</v>
      </c>
      <c r="C333" s="3600">
        <v>2012</v>
      </c>
      <c r="D333" s="3600"/>
      <c r="E333" s="3600"/>
      <c r="F333" s="3600"/>
      <c r="G333" s="3600"/>
      <c r="H333" s="3600"/>
      <c r="I333" s="109"/>
      <c r="J333" s="109"/>
    </row>
    <row r="334" spans="1:14" s="54" customFormat="1" ht="21.75" customHeight="1">
      <c r="A334" s="3598"/>
      <c r="B334" s="3599"/>
      <c r="C334" s="2532" t="s">
        <v>436</v>
      </c>
      <c r="D334" s="2532" t="s">
        <v>437</v>
      </c>
      <c r="E334" s="2532" t="s">
        <v>438</v>
      </c>
      <c r="F334" s="2532" t="s">
        <v>722</v>
      </c>
      <c r="G334" s="2532" t="s">
        <v>723</v>
      </c>
      <c r="H334" s="2532" t="s">
        <v>118</v>
      </c>
      <c r="I334" s="3358"/>
      <c r="J334" s="109"/>
    </row>
    <row r="335" spans="1:14" s="54" customFormat="1" ht="17.45" customHeight="1">
      <c r="A335" s="3598"/>
      <c r="B335" s="3599"/>
      <c r="C335" s="2696" t="s">
        <v>142</v>
      </c>
      <c r="D335" s="2696" t="s">
        <v>142</v>
      </c>
      <c r="E335" s="2696" t="s">
        <v>142</v>
      </c>
      <c r="F335" s="2696" t="s">
        <v>142</v>
      </c>
      <c r="G335" s="2696" t="s">
        <v>142</v>
      </c>
      <c r="H335" s="2696" t="s">
        <v>142</v>
      </c>
      <c r="I335" s="3358"/>
      <c r="J335" s="109"/>
    </row>
    <row r="336" spans="1:14" s="52" customFormat="1" ht="17.45" customHeight="1">
      <c r="A336" s="285">
        <v>1</v>
      </c>
      <c r="B336" s="2697" t="s">
        <v>215</v>
      </c>
      <c r="C336" s="3601"/>
      <c r="D336" s="3601"/>
      <c r="E336" s="3601"/>
      <c r="F336" s="3601"/>
      <c r="G336" s="3601"/>
      <c r="H336" s="2717">
        <f>+H344+H353+H354+H355</f>
        <v>5079536.0643999791</v>
      </c>
      <c r="I336" s="264"/>
      <c r="J336" s="278"/>
      <c r="K336" s="274"/>
      <c r="L336" s="274"/>
      <c r="M336" s="274"/>
      <c r="N336" s="274"/>
    </row>
    <row r="337" spans="1:14" s="52" customFormat="1" ht="6" customHeight="1">
      <c r="A337" s="285"/>
      <c r="B337" s="2697"/>
      <c r="C337" s="1789"/>
      <c r="D337" s="1789"/>
      <c r="E337" s="1789"/>
      <c r="F337" s="1789"/>
      <c r="G337" s="1789"/>
      <c r="H337" s="1789"/>
      <c r="I337" s="264"/>
      <c r="J337" s="278"/>
      <c r="K337" s="274"/>
      <c r="L337" s="274"/>
      <c r="M337" s="274"/>
      <c r="N337" s="274"/>
    </row>
    <row r="338" spans="1:14" s="52" customFormat="1" ht="20.100000000000001" customHeight="1">
      <c r="A338" s="285">
        <v>2</v>
      </c>
      <c r="B338" s="2699" t="s">
        <v>342</v>
      </c>
      <c r="C338" s="2715">
        <v>530453.48548999894</v>
      </c>
      <c r="D338" s="2715">
        <v>133540.77963</v>
      </c>
      <c r="E338" s="2715">
        <v>3838492.3373499797</v>
      </c>
      <c r="F338" s="2700">
        <v>0</v>
      </c>
      <c r="G338" s="2715">
        <v>753924.01540999999</v>
      </c>
      <c r="H338" s="2715">
        <f>SUM(C338:G338)</f>
        <v>5256410.6178799793</v>
      </c>
      <c r="I338" s="286"/>
      <c r="J338" s="264"/>
    </row>
    <row r="339" spans="1:14" s="52" customFormat="1" ht="20.100000000000001" customHeight="1">
      <c r="A339" s="285">
        <v>3</v>
      </c>
      <c r="B339" s="2699" t="s">
        <v>444</v>
      </c>
      <c r="C339" s="2700"/>
      <c r="D339" s="2700"/>
      <c r="E339" s="2700"/>
      <c r="F339" s="2700"/>
      <c r="G339" s="2700"/>
      <c r="H339" s="2700">
        <f>SUM(C339:G339)</f>
        <v>0</v>
      </c>
      <c r="I339" s="286"/>
      <c r="J339" s="264"/>
    </row>
    <row r="340" spans="1:14" s="52" customFormat="1" ht="20.100000000000001" customHeight="1">
      <c r="A340" s="285">
        <v>4</v>
      </c>
      <c r="B340" s="2699" t="s">
        <v>445</v>
      </c>
      <c r="C340" s="2718">
        <v>-134296.63466000001</v>
      </c>
      <c r="D340" s="2718">
        <v>-3314.44794</v>
      </c>
      <c r="E340" s="2700">
        <v>0</v>
      </c>
      <c r="F340" s="2700">
        <v>0</v>
      </c>
      <c r="G340" s="2718">
        <v>-32592.129940000003</v>
      </c>
      <c r="H340" s="2715">
        <f>SUM(C340:G340)</f>
        <v>-170203.21254000004</v>
      </c>
      <c r="I340" s="286"/>
      <c r="J340" s="264"/>
    </row>
    <row r="341" spans="1:14" s="52" customFormat="1" ht="20.100000000000001" customHeight="1">
      <c r="A341" s="285">
        <v>5</v>
      </c>
      <c r="B341" s="2699" t="s">
        <v>446</v>
      </c>
      <c r="C341" s="2718">
        <v>-284428.36534229998</v>
      </c>
      <c r="D341" s="2718">
        <v>-57352.552060000002</v>
      </c>
      <c r="E341" s="2715">
        <v>-83286</v>
      </c>
      <c r="F341" s="2700"/>
      <c r="G341" s="2718">
        <v>-99213.870057700013</v>
      </c>
      <c r="H341" s="2715">
        <f>SUM(C341:G341)</f>
        <v>-524280.78746000002</v>
      </c>
      <c r="I341" s="264"/>
      <c r="J341" s="264"/>
    </row>
    <row r="342" spans="1:14" s="52" customFormat="1" ht="20.100000000000001" customHeight="1">
      <c r="A342" s="285">
        <v>6</v>
      </c>
      <c r="B342" s="2699" t="s">
        <v>727</v>
      </c>
      <c r="C342" s="2715">
        <f>SUM(C338:C341)</f>
        <v>111728.48548769898</v>
      </c>
      <c r="D342" s="2715">
        <f>SUM(D338:D341)</f>
        <v>72873.779630000005</v>
      </c>
      <c r="E342" s="2715">
        <f>SUM(E338:E341)</f>
        <v>3755206.3373499797</v>
      </c>
      <c r="F342" s="2700">
        <f>SUM(F338:F341)</f>
        <v>0</v>
      </c>
      <c r="G342" s="2715">
        <f>SUM(G338:G341)</f>
        <v>622118.01541230001</v>
      </c>
      <c r="H342" s="2715">
        <f>SUM(C342:G342)</f>
        <v>4561926.6178799784</v>
      </c>
      <c r="I342" s="264"/>
      <c r="J342" s="264"/>
    </row>
    <row r="343" spans="1:14" s="52" customFormat="1" ht="20.100000000000001" customHeight="1">
      <c r="A343" s="285">
        <v>7</v>
      </c>
      <c r="B343" s="2699" t="s">
        <v>448</v>
      </c>
      <c r="C343" s="2715">
        <v>-19117.83221</v>
      </c>
      <c r="D343" s="2715">
        <v>-2648.6841400000003</v>
      </c>
      <c r="E343" s="2715">
        <v>-209372.06541000001</v>
      </c>
      <c r="F343" s="2700"/>
      <c r="G343" s="2715">
        <v>-97518.971720000001</v>
      </c>
      <c r="H343" s="2715">
        <f t="shared" ref="H343:H349" si="45">SUM(C343:G343)</f>
        <v>-328657.55348</v>
      </c>
      <c r="I343" s="264"/>
      <c r="J343" s="264"/>
    </row>
    <row r="344" spans="1:14" s="52" customFormat="1" ht="20.100000000000001" customHeight="1">
      <c r="A344" s="285">
        <v>8</v>
      </c>
      <c r="B344" s="2699" t="s">
        <v>728</v>
      </c>
      <c r="C344" s="2715">
        <f>SUM(C342:C343)</f>
        <v>92610.653277698992</v>
      </c>
      <c r="D344" s="2715">
        <f>SUM(D342:D343)</f>
        <v>70225.095490000007</v>
      </c>
      <c r="E344" s="2715">
        <f>SUM(E342:E343)</f>
        <v>3545834.2719399799</v>
      </c>
      <c r="F344" s="2700">
        <f>SUM(F342:F343)</f>
        <v>0</v>
      </c>
      <c r="G344" s="2715">
        <f>SUM(G342:G343)</f>
        <v>524599.04369229998</v>
      </c>
      <c r="H344" s="2715">
        <f t="shared" si="45"/>
        <v>4233269.0643999791</v>
      </c>
      <c r="I344" s="264"/>
      <c r="J344" s="264"/>
    </row>
    <row r="345" spans="1:14" s="52" customFormat="1" ht="20.100000000000001" customHeight="1">
      <c r="A345" s="285"/>
      <c r="B345" s="2699"/>
      <c r="C345" s="2700"/>
      <c r="D345" s="2700"/>
      <c r="E345" s="2700"/>
      <c r="F345" s="2700"/>
      <c r="G345" s="2700"/>
      <c r="H345" s="2700">
        <f t="shared" si="45"/>
        <v>0</v>
      </c>
      <c r="I345" s="264"/>
      <c r="J345" s="264"/>
    </row>
    <row r="346" spans="1:14" s="52" customFormat="1" ht="20.100000000000001" customHeight="1">
      <c r="A346" s="285"/>
      <c r="B346" s="2697" t="s">
        <v>450</v>
      </c>
      <c r="C346" s="2700"/>
      <c r="D346" s="2700"/>
      <c r="E346" s="2700"/>
      <c r="F346" s="2700"/>
      <c r="G346" s="2700"/>
      <c r="H346" s="2700">
        <f t="shared" si="45"/>
        <v>0</v>
      </c>
      <c r="I346" s="264"/>
      <c r="J346" s="264"/>
    </row>
    <row r="347" spans="1:14" s="52" customFormat="1" ht="20.100000000000001" customHeight="1">
      <c r="A347" s="285">
        <v>9</v>
      </c>
      <c r="B347" s="2699" t="s">
        <v>451</v>
      </c>
      <c r="C347" s="2715">
        <v>-19613.148400000278</v>
      </c>
      <c r="D347" s="2715">
        <v>-20568.216840000008</v>
      </c>
      <c r="E347" s="2715">
        <v>-2199949.53246979</v>
      </c>
      <c r="F347" s="2700"/>
      <c r="G347" s="2715">
        <v>-415660.97957999789</v>
      </c>
      <c r="H347" s="2715">
        <f t="shared" si="45"/>
        <v>-2655791.8772897879</v>
      </c>
      <c r="I347" s="264"/>
      <c r="J347" s="264"/>
    </row>
    <row r="348" spans="1:14" s="52" customFormat="1" ht="20.100000000000001" customHeight="1">
      <c r="A348" s="285">
        <v>10</v>
      </c>
      <c r="B348" s="2699" t="s">
        <v>452</v>
      </c>
      <c r="C348" s="2715">
        <v>11630</v>
      </c>
      <c r="D348" s="2715">
        <v>-9230</v>
      </c>
      <c r="E348" s="2715">
        <v>-608173</v>
      </c>
      <c r="F348" s="2700">
        <v>0</v>
      </c>
      <c r="G348" s="2715">
        <v>-63538</v>
      </c>
      <c r="H348" s="2715">
        <f t="shared" si="45"/>
        <v>-669311</v>
      </c>
      <c r="I348" s="264"/>
      <c r="J348" s="264"/>
    </row>
    <row r="349" spans="1:14" s="52" customFormat="1" ht="20.100000000000001" customHeight="1">
      <c r="A349" s="285">
        <v>11</v>
      </c>
      <c r="B349" s="2699" t="s">
        <v>453</v>
      </c>
      <c r="C349" s="2700"/>
      <c r="D349" s="2700"/>
      <c r="E349" s="2700"/>
      <c r="F349" s="2700"/>
      <c r="G349" s="2700"/>
      <c r="H349" s="2700">
        <f t="shared" si="45"/>
        <v>0</v>
      </c>
      <c r="I349" s="264"/>
      <c r="J349" s="264"/>
    </row>
    <row r="350" spans="1:14" s="52" customFormat="1" ht="20.100000000000001" customHeight="1">
      <c r="A350" s="287">
        <v>12</v>
      </c>
      <c r="B350" s="2701" t="s">
        <v>454</v>
      </c>
      <c r="C350" s="2126">
        <f>SUM(C344:C349)</f>
        <v>84627.50487769871</v>
      </c>
      <c r="D350" s="2716">
        <f>SUM(D344:D349)</f>
        <v>40426.878649999999</v>
      </c>
      <c r="E350" s="2716">
        <f>SUM(E344:E349)</f>
        <v>737711.7394701899</v>
      </c>
      <c r="F350" s="2126">
        <f>SUM(F344:F349)</f>
        <v>0</v>
      </c>
      <c r="G350" s="2716">
        <f>SUM(G344:G349)</f>
        <v>45400.064112302091</v>
      </c>
      <c r="H350" s="2715">
        <f>SUM(C350:G350)</f>
        <v>908166.18711019075</v>
      </c>
      <c r="I350" s="288"/>
      <c r="J350" s="264"/>
    </row>
    <row r="351" spans="1:14" s="52" customFormat="1" ht="20.100000000000001" customHeight="1">
      <c r="A351" s="285"/>
      <c r="B351" s="2702"/>
      <c r="C351" s="2700"/>
      <c r="D351" s="2700"/>
      <c r="E351" s="2700"/>
      <c r="F351" s="2700"/>
      <c r="G351" s="2700"/>
      <c r="H351" s="2700">
        <f t="shared" ref="H351:H358" si="46">SUM(C351:G351)</f>
        <v>0</v>
      </c>
      <c r="I351" s="264"/>
      <c r="J351" s="264"/>
    </row>
    <row r="352" spans="1:14" s="52" customFormat="1" ht="20.100000000000001" customHeight="1">
      <c r="A352" s="285"/>
      <c r="B352" s="2703" t="s">
        <v>455</v>
      </c>
      <c r="C352" s="2700"/>
      <c r="D352" s="2700"/>
      <c r="E352" s="2700"/>
      <c r="F352" s="2700"/>
      <c r="G352" s="2700"/>
      <c r="H352" s="2700">
        <f t="shared" si="46"/>
        <v>0</v>
      </c>
      <c r="I352" s="264"/>
      <c r="J352" s="264"/>
    </row>
    <row r="353" spans="1:10" s="52" customFormat="1" ht="20.100000000000001" customHeight="1">
      <c r="A353" s="285">
        <v>13</v>
      </c>
      <c r="B353" s="2699" t="s">
        <v>456</v>
      </c>
      <c r="C353" s="2706"/>
      <c r="D353" s="2706"/>
      <c r="E353" s="2706"/>
      <c r="F353" s="2706"/>
      <c r="G353" s="2706"/>
      <c r="H353" s="2715">
        <v>155543</v>
      </c>
      <c r="I353" s="264"/>
      <c r="J353" s="264"/>
    </row>
    <row r="354" spans="1:10" s="52" customFormat="1" ht="20.100000000000001" customHeight="1">
      <c r="A354" s="285">
        <v>14</v>
      </c>
      <c r="B354" s="2697" t="s">
        <v>457</v>
      </c>
      <c r="C354" s="2706"/>
      <c r="D354" s="2706"/>
      <c r="E354" s="2706"/>
      <c r="F354" s="2706"/>
      <c r="G354" s="2706"/>
      <c r="H354" s="2715">
        <v>572593</v>
      </c>
      <c r="I354" s="264"/>
      <c r="J354" s="264"/>
    </row>
    <row r="355" spans="1:10" s="52" customFormat="1" ht="20.100000000000001" customHeight="1">
      <c r="A355" s="285">
        <v>15</v>
      </c>
      <c r="B355" s="2699" t="s">
        <v>460</v>
      </c>
      <c r="C355" s="2706"/>
      <c r="D355" s="2706"/>
      <c r="E355" s="2706"/>
      <c r="F355" s="2706"/>
      <c r="G355" s="2706"/>
      <c r="H355" s="2715">
        <v>118131</v>
      </c>
      <c r="I355" s="264"/>
      <c r="J355" s="264"/>
    </row>
    <row r="356" spans="1:10" s="52" customFormat="1" ht="20.100000000000001" customHeight="1">
      <c r="A356" s="285"/>
      <c r="B356" s="2697" t="s">
        <v>461</v>
      </c>
      <c r="C356" s="2700"/>
      <c r="D356" s="2700"/>
      <c r="E356" s="2700"/>
      <c r="F356" s="2700"/>
      <c r="G356" s="2700"/>
      <c r="H356" s="2700">
        <f t="shared" si="46"/>
        <v>0</v>
      </c>
      <c r="I356" s="264"/>
      <c r="J356" s="264"/>
    </row>
    <row r="357" spans="1:10" s="52" customFormat="1" ht="29.25" customHeight="1">
      <c r="A357" s="285">
        <v>16</v>
      </c>
      <c r="B357" s="2705" t="s">
        <v>462</v>
      </c>
      <c r="C357" s="2700"/>
      <c r="D357" s="2700"/>
      <c r="E357" s="2700"/>
      <c r="F357" s="2700"/>
      <c r="G357" s="2700"/>
      <c r="H357" s="2715">
        <v>-1071600</v>
      </c>
      <c r="I357" s="264"/>
      <c r="J357" s="264"/>
    </row>
    <row r="358" spans="1:10" s="52" customFormat="1" ht="20.100000000000001" customHeight="1">
      <c r="A358" s="285">
        <v>17</v>
      </c>
      <c r="B358" s="2699" t="s">
        <v>463</v>
      </c>
      <c r="C358" s="2700"/>
      <c r="D358" s="2700"/>
      <c r="E358" s="2700"/>
      <c r="F358" s="2700"/>
      <c r="G358" s="2700"/>
      <c r="H358" s="2700">
        <f t="shared" si="46"/>
        <v>0</v>
      </c>
      <c r="I358" s="264"/>
      <c r="J358" s="264"/>
    </row>
    <row r="359" spans="1:10" s="52" customFormat="1" ht="20.100000000000001" customHeight="1">
      <c r="A359" s="285">
        <v>18</v>
      </c>
      <c r="B359" s="2697" t="s">
        <v>464</v>
      </c>
      <c r="C359" s="2700">
        <f t="shared" ref="C359:H359" si="47">SUM(C350:C358)</f>
        <v>84627.50487769871</v>
      </c>
      <c r="D359" s="2715">
        <f t="shared" si="47"/>
        <v>40426.878649999999</v>
      </c>
      <c r="E359" s="2715">
        <f t="shared" si="47"/>
        <v>737711.7394701899</v>
      </c>
      <c r="F359" s="2700">
        <f t="shared" si="47"/>
        <v>0</v>
      </c>
      <c r="G359" s="2715">
        <f t="shared" si="47"/>
        <v>45400.064112302091</v>
      </c>
      <c r="H359" s="2715">
        <f t="shared" si="47"/>
        <v>682833.18711019075</v>
      </c>
      <c r="I359" s="264"/>
      <c r="J359" s="264"/>
    </row>
    <row r="360" spans="1:10" s="52" customFormat="1" ht="20.100000000000001" customHeight="1">
      <c r="A360" s="285">
        <v>19</v>
      </c>
      <c r="B360" s="2699" t="s">
        <v>465</v>
      </c>
      <c r="C360" s="2700"/>
      <c r="D360" s="2700"/>
      <c r="E360" s="2700"/>
      <c r="F360" s="2700"/>
      <c r="G360" s="2700"/>
      <c r="H360" s="2715">
        <f>+'[18]Sheet 2 - General Insurance'!$H$143</f>
        <v>-7313</v>
      </c>
      <c r="I360" s="264"/>
      <c r="J360" s="264"/>
    </row>
    <row r="361" spans="1:10" s="52" customFormat="1" ht="20.100000000000001" customHeight="1">
      <c r="A361" s="285">
        <v>20</v>
      </c>
      <c r="B361" s="2707" t="s">
        <v>466</v>
      </c>
      <c r="C361" s="2700">
        <f t="shared" ref="C361:H361" si="48">SUM(C359:C360)</f>
        <v>84627.50487769871</v>
      </c>
      <c r="D361" s="2715">
        <f t="shared" si="48"/>
        <v>40426.878649999999</v>
      </c>
      <c r="E361" s="2715">
        <f t="shared" si="48"/>
        <v>737711.7394701899</v>
      </c>
      <c r="F361" s="2700">
        <f t="shared" si="48"/>
        <v>0</v>
      </c>
      <c r="G361" s="2700">
        <f t="shared" si="48"/>
        <v>45400.064112302091</v>
      </c>
      <c r="H361" s="2715">
        <f t="shared" si="48"/>
        <v>675520.18711019075</v>
      </c>
      <c r="I361" s="264"/>
      <c r="J361" s="264"/>
    </row>
    <row r="362" spans="1:10" s="52" customFormat="1" ht="20.100000000000001" customHeight="1">
      <c r="A362" s="285">
        <v>21</v>
      </c>
      <c r="B362" s="2707" t="s">
        <v>467</v>
      </c>
      <c r="C362" s="2700"/>
      <c r="D362" s="2700"/>
      <c r="E362" s="2700"/>
      <c r="F362" s="2700"/>
      <c r="G362" s="2700"/>
      <c r="H362" s="2700">
        <f>SUM(C362:G362)</f>
        <v>0</v>
      </c>
      <c r="I362" s="264"/>
      <c r="J362" s="264"/>
    </row>
    <row r="363" spans="1:10" s="52" customFormat="1" ht="20.100000000000001" customHeight="1">
      <c r="A363" s="285">
        <v>22</v>
      </c>
      <c r="B363" s="2707" t="s">
        <v>468</v>
      </c>
      <c r="C363" s="2700">
        <f t="shared" ref="C363:H363" si="49">SUM(C361:C362)</f>
        <v>84627.50487769871</v>
      </c>
      <c r="D363" s="2700">
        <f t="shared" si="49"/>
        <v>40426.878649999999</v>
      </c>
      <c r="E363" s="2700">
        <f t="shared" si="49"/>
        <v>737711.7394701899</v>
      </c>
      <c r="F363" s="2700">
        <f t="shared" si="49"/>
        <v>0</v>
      </c>
      <c r="G363" s="2700">
        <f t="shared" si="49"/>
        <v>45400.064112302091</v>
      </c>
      <c r="H363" s="2715">
        <f t="shared" si="49"/>
        <v>675520.18711019075</v>
      </c>
      <c r="I363" s="284"/>
      <c r="J363" s="264"/>
    </row>
    <row r="364" spans="1:10" s="52" customFormat="1" ht="17.45" customHeight="1">
      <c r="A364" s="285"/>
      <c r="B364" s="290"/>
      <c r="C364" s="289"/>
      <c r="D364" s="289"/>
      <c r="E364" s="289"/>
      <c r="F364" s="289"/>
      <c r="G364" s="289"/>
      <c r="H364" s="289"/>
      <c r="I364" s="284"/>
      <c r="J364" s="264"/>
    </row>
    <row r="365" spans="1:10">
      <c r="C365" s="292"/>
      <c r="D365" s="292"/>
      <c r="E365" s="292"/>
      <c r="F365" s="292"/>
      <c r="G365" s="292"/>
      <c r="H365" s="292"/>
    </row>
    <row r="366" spans="1:10" s="54" customFormat="1" ht="17.45" customHeight="1">
      <c r="A366" s="3598">
        <v>11</v>
      </c>
      <c r="B366" s="3599" t="s">
        <v>134</v>
      </c>
      <c r="C366" s="3600">
        <v>2012</v>
      </c>
      <c r="D366" s="3600"/>
      <c r="E366" s="3600"/>
      <c r="F366" s="3600"/>
      <c r="G366" s="3600"/>
      <c r="H366" s="3600"/>
      <c r="I366" s="109"/>
      <c r="J366" s="109"/>
    </row>
    <row r="367" spans="1:10" s="54" customFormat="1" ht="17.45" customHeight="1">
      <c r="A367" s="3598"/>
      <c r="B367" s="3599"/>
      <c r="C367" s="2532" t="s">
        <v>436</v>
      </c>
      <c r="D367" s="2532" t="s">
        <v>437</v>
      </c>
      <c r="E367" s="2532" t="s">
        <v>438</v>
      </c>
      <c r="F367" s="2532" t="s">
        <v>722</v>
      </c>
      <c r="G367" s="2532" t="s">
        <v>723</v>
      </c>
      <c r="H367" s="2532" t="s">
        <v>118</v>
      </c>
      <c r="I367" s="3358"/>
      <c r="J367" s="109"/>
    </row>
    <row r="368" spans="1:10" s="54" customFormat="1" ht="17.45" customHeight="1">
      <c r="A368" s="3598"/>
      <c r="B368" s="3599"/>
      <c r="C368" s="2696" t="s">
        <v>142</v>
      </c>
      <c r="D368" s="2696" t="s">
        <v>142</v>
      </c>
      <c r="E368" s="2696" t="s">
        <v>142</v>
      </c>
      <c r="F368" s="2696" t="s">
        <v>142</v>
      </c>
      <c r="G368" s="2696" t="s">
        <v>142</v>
      </c>
      <c r="H368" s="2696" t="s">
        <v>142</v>
      </c>
      <c r="I368" s="3358"/>
      <c r="J368" s="109"/>
    </row>
    <row r="369" spans="1:14" s="52" customFormat="1" ht="17.45" customHeight="1">
      <c r="A369" s="285">
        <v>1</v>
      </c>
      <c r="B369" s="2697" t="s">
        <v>215</v>
      </c>
      <c r="C369" s="3601"/>
      <c r="D369" s="3601"/>
      <c r="E369" s="3601"/>
      <c r="F369" s="3601"/>
      <c r="G369" s="3601"/>
      <c r="H369" s="1711">
        <f>+H377+H386+H387+H388</f>
        <v>70118.311470000001</v>
      </c>
      <c r="I369" s="264"/>
      <c r="J369" s="278"/>
      <c r="K369" s="274"/>
      <c r="L369" s="274"/>
      <c r="M369" s="274"/>
      <c r="N369" s="274"/>
    </row>
    <row r="370" spans="1:14" s="52" customFormat="1" ht="5.25" customHeight="1">
      <c r="A370" s="285"/>
      <c r="B370" s="2697"/>
      <c r="C370" s="1789"/>
      <c r="D370" s="1789"/>
      <c r="E370" s="1789"/>
      <c r="F370" s="1789"/>
      <c r="G370" s="1789"/>
      <c r="H370" s="1789"/>
      <c r="I370" s="264"/>
      <c r="J370" s="278"/>
      <c r="K370" s="274"/>
      <c r="L370" s="274"/>
      <c r="M370" s="274"/>
      <c r="N370" s="274"/>
    </row>
    <row r="371" spans="1:14" s="52" customFormat="1" ht="20.100000000000001" customHeight="1">
      <c r="A371" s="285">
        <v>2</v>
      </c>
      <c r="B371" s="2699" t="s">
        <v>342</v>
      </c>
      <c r="C371" s="2700"/>
      <c r="D371" s="2700"/>
      <c r="E371" s="2715">
        <v>364735.08649000002</v>
      </c>
      <c r="F371" s="2700"/>
      <c r="G371" s="2700"/>
      <c r="H371" s="2715">
        <f>SUM(C371:G371)</f>
        <v>364735.08649000002</v>
      </c>
      <c r="I371" s="286"/>
      <c r="J371" s="264"/>
    </row>
    <row r="372" spans="1:14" s="52" customFormat="1" ht="20.100000000000001" customHeight="1">
      <c r="A372" s="285">
        <v>3</v>
      </c>
      <c r="B372" s="2699" t="s">
        <v>444</v>
      </c>
      <c r="C372" s="2700"/>
      <c r="D372" s="2700"/>
      <c r="E372" s="2715">
        <v>0</v>
      </c>
      <c r="F372" s="2700"/>
      <c r="G372" s="2700"/>
      <c r="H372" s="2700">
        <f>SUM(C372:G372)</f>
        <v>0</v>
      </c>
      <c r="I372" s="286"/>
      <c r="J372" s="264"/>
    </row>
    <row r="373" spans="1:14" s="52" customFormat="1" ht="20.100000000000001" customHeight="1">
      <c r="A373" s="285">
        <v>4</v>
      </c>
      <c r="B373" s="2699" t="s">
        <v>445</v>
      </c>
      <c r="C373" s="2700"/>
      <c r="D373" s="2700"/>
      <c r="E373" s="2715">
        <v>0</v>
      </c>
      <c r="F373" s="2700"/>
      <c r="G373" s="2700"/>
      <c r="H373" s="2700">
        <f>SUM(C373:G373)</f>
        <v>0</v>
      </c>
      <c r="I373" s="286"/>
      <c r="J373" s="264"/>
    </row>
    <row r="374" spans="1:14" s="52" customFormat="1" ht="20.100000000000001" customHeight="1">
      <c r="A374" s="285">
        <v>5</v>
      </c>
      <c r="B374" s="2699" t="s">
        <v>446</v>
      </c>
      <c r="C374" s="2700"/>
      <c r="D374" s="2700"/>
      <c r="E374" s="2715">
        <v>-13771.244939999999</v>
      </c>
      <c r="F374" s="2700"/>
      <c r="G374" s="2700"/>
      <c r="H374" s="2715">
        <f>SUM(C374:G374)</f>
        <v>-13771.244939999999</v>
      </c>
      <c r="I374" s="264"/>
      <c r="J374" s="264"/>
    </row>
    <row r="375" spans="1:14" s="52" customFormat="1" ht="20.100000000000001" customHeight="1">
      <c r="A375" s="285">
        <v>6</v>
      </c>
      <c r="B375" s="2699" t="s">
        <v>727</v>
      </c>
      <c r="C375" s="2700">
        <f>SUM(C371:C374)</f>
        <v>0</v>
      </c>
      <c r="D375" s="2700">
        <f>SUM(D371:D374)</f>
        <v>0</v>
      </c>
      <c r="E375" s="2715">
        <f>SUM(E371:E374)</f>
        <v>350963.84155000001</v>
      </c>
      <c r="F375" s="2700">
        <f>SUM(F371:F374)</f>
        <v>0</v>
      </c>
      <c r="G375" s="2700">
        <f>SUM(G371:G374)</f>
        <v>0</v>
      </c>
      <c r="H375" s="2715">
        <f>SUM(C375:G375)</f>
        <v>350963.84155000001</v>
      </c>
      <c r="I375" s="264"/>
      <c r="J375" s="264"/>
    </row>
    <row r="376" spans="1:14" s="52" customFormat="1" ht="20.100000000000001" customHeight="1">
      <c r="A376" s="285">
        <v>7</v>
      </c>
      <c r="B376" s="2699" t="s">
        <v>448</v>
      </c>
      <c r="C376" s="2700"/>
      <c r="D376" s="2700"/>
      <c r="E376" s="2715">
        <v>-300369.62348000001</v>
      </c>
      <c r="F376" s="2700"/>
      <c r="G376" s="2700"/>
      <c r="H376" s="2715">
        <f t="shared" ref="H376:H382" si="50">SUM(C376:G376)</f>
        <v>-300369.62348000001</v>
      </c>
      <c r="I376" s="264"/>
      <c r="J376" s="264"/>
    </row>
    <row r="377" spans="1:14" s="52" customFormat="1" ht="20.100000000000001" customHeight="1">
      <c r="A377" s="285">
        <v>8</v>
      </c>
      <c r="B377" s="2699" t="s">
        <v>728</v>
      </c>
      <c r="C377" s="2700">
        <f>SUM(C375:C376)</f>
        <v>0</v>
      </c>
      <c r="D377" s="2700">
        <f>SUM(D375:D376)</f>
        <v>0</v>
      </c>
      <c r="E377" s="2715">
        <f>SUM(E375:E376)</f>
        <v>50594.218070000003</v>
      </c>
      <c r="F377" s="2700">
        <f>SUM(F375:F376)</f>
        <v>0</v>
      </c>
      <c r="G377" s="2700">
        <f>SUM(G375:G376)</f>
        <v>0</v>
      </c>
      <c r="H377" s="2715">
        <f t="shared" si="50"/>
        <v>50594.218070000003</v>
      </c>
      <c r="I377" s="264"/>
      <c r="J377" s="264"/>
    </row>
    <row r="378" spans="1:14" s="52" customFormat="1" ht="20.100000000000001" customHeight="1">
      <c r="A378" s="285"/>
      <c r="B378" s="2699"/>
      <c r="C378" s="2700"/>
      <c r="D378" s="2700"/>
      <c r="E378" s="2700"/>
      <c r="F378" s="2700"/>
      <c r="G378" s="2700"/>
      <c r="H378" s="2700">
        <f t="shared" si="50"/>
        <v>0</v>
      </c>
      <c r="I378" s="264"/>
      <c r="J378" s="264"/>
    </row>
    <row r="379" spans="1:14" s="52" customFormat="1" ht="20.100000000000001" customHeight="1">
      <c r="A379" s="285"/>
      <c r="B379" s="2697" t="s">
        <v>450</v>
      </c>
      <c r="C379" s="2700"/>
      <c r="D379" s="2700"/>
      <c r="E379" s="2700"/>
      <c r="F379" s="2700"/>
      <c r="G379" s="2700"/>
      <c r="H379" s="2700">
        <f t="shared" si="50"/>
        <v>0</v>
      </c>
      <c r="I379" s="264"/>
      <c r="J379" s="264"/>
    </row>
    <row r="380" spans="1:14" s="52" customFormat="1" ht="20.100000000000001" customHeight="1">
      <c r="A380" s="285">
        <v>9</v>
      </c>
      <c r="B380" s="2699" t="s">
        <v>451</v>
      </c>
      <c r="C380" s="2700"/>
      <c r="D380" s="2700"/>
      <c r="E380" s="2715">
        <v>-1082.9961700000003</v>
      </c>
      <c r="F380" s="2700"/>
      <c r="G380" s="2700"/>
      <c r="H380" s="2715">
        <f t="shared" si="50"/>
        <v>-1082.9961700000003</v>
      </c>
      <c r="I380" s="264"/>
      <c r="J380" s="264"/>
    </row>
    <row r="381" spans="1:14" s="52" customFormat="1" ht="20.100000000000001" customHeight="1">
      <c r="A381" s="285">
        <v>10</v>
      </c>
      <c r="B381" s="2699" t="s">
        <v>452</v>
      </c>
      <c r="C381" s="2700"/>
      <c r="D381" s="2700"/>
      <c r="E381" s="2715">
        <v>-49165.581109999992</v>
      </c>
      <c r="F381" s="2700"/>
      <c r="G381" s="2700"/>
      <c r="H381" s="2715">
        <f t="shared" si="50"/>
        <v>-49165.581109999992</v>
      </c>
      <c r="I381" s="264"/>
      <c r="J381" s="264"/>
    </row>
    <row r="382" spans="1:14" s="52" customFormat="1" ht="20.100000000000001" customHeight="1">
      <c r="A382" s="285">
        <v>11</v>
      </c>
      <c r="B382" s="2699" t="s">
        <v>453</v>
      </c>
      <c r="C382" s="2700"/>
      <c r="D382" s="2700"/>
      <c r="E382" s="2700"/>
      <c r="F382" s="2700"/>
      <c r="G382" s="2700"/>
      <c r="H382" s="2700">
        <f t="shared" si="50"/>
        <v>0</v>
      </c>
      <c r="I382" s="264"/>
      <c r="J382" s="264"/>
    </row>
    <row r="383" spans="1:14" s="52" customFormat="1" ht="20.100000000000001" customHeight="1">
      <c r="A383" s="287">
        <v>12</v>
      </c>
      <c r="B383" s="2701" t="s">
        <v>454</v>
      </c>
      <c r="C383" s="2126">
        <f>SUM(C377:C382)</f>
        <v>0</v>
      </c>
      <c r="D383" s="2126">
        <f>SUM(D377:D382)</f>
        <v>0</v>
      </c>
      <c r="E383" s="2716">
        <f>SUM(E377:E382)</f>
        <v>345.6407900000122</v>
      </c>
      <c r="F383" s="2126">
        <f>SUM(F377:F382)</f>
        <v>0</v>
      </c>
      <c r="G383" s="2126">
        <f>SUM(G377:G382)</f>
        <v>0</v>
      </c>
      <c r="H383" s="2715">
        <f>SUM(C383:G383)</f>
        <v>345.6407900000122</v>
      </c>
      <c r="I383" s="288"/>
      <c r="J383" s="264"/>
    </row>
    <row r="384" spans="1:14" s="52" customFormat="1" ht="20.100000000000001" customHeight="1">
      <c r="A384" s="285"/>
      <c r="B384" s="2702"/>
      <c r="C384" s="2700"/>
      <c r="D384" s="2700"/>
      <c r="E384" s="2700"/>
      <c r="F384" s="2700"/>
      <c r="G384" s="2700"/>
      <c r="H384" s="2715">
        <f t="shared" ref="H384:H396" si="51">SUM(C384:G384)</f>
        <v>0</v>
      </c>
      <c r="I384" s="264"/>
      <c r="J384" s="264"/>
    </row>
    <row r="385" spans="1:10" s="52" customFormat="1" ht="20.100000000000001" customHeight="1">
      <c r="A385" s="285"/>
      <c r="B385" s="2703" t="s">
        <v>455</v>
      </c>
      <c r="C385" s="2700"/>
      <c r="D385" s="2700"/>
      <c r="E385" s="2700"/>
      <c r="F385" s="2700"/>
      <c r="G385" s="2700"/>
      <c r="H385" s="2715">
        <f t="shared" si="51"/>
        <v>0</v>
      </c>
      <c r="I385" s="264"/>
      <c r="J385" s="264"/>
    </row>
    <row r="386" spans="1:10" s="52" customFormat="1" ht="20.100000000000001" customHeight="1">
      <c r="A386" s="285">
        <v>13</v>
      </c>
      <c r="B386" s="2699" t="s">
        <v>456</v>
      </c>
      <c r="C386" s="2700"/>
      <c r="D386" s="2700"/>
      <c r="E386" s="2700"/>
      <c r="F386" s="2700"/>
      <c r="G386" s="2700"/>
      <c r="H386" s="2715">
        <f t="shared" si="51"/>
        <v>0</v>
      </c>
      <c r="I386" s="264"/>
      <c r="J386" s="264"/>
    </row>
    <row r="387" spans="1:10" s="52" customFormat="1" ht="20.100000000000001" customHeight="1">
      <c r="A387" s="285">
        <v>14</v>
      </c>
      <c r="B387" s="2697" t="s">
        <v>457</v>
      </c>
      <c r="C387" s="2700"/>
      <c r="D387" s="2700"/>
      <c r="E387" s="2715">
        <v>12166.593399999998</v>
      </c>
      <c r="F387" s="2700"/>
      <c r="G387" s="2700"/>
      <c r="H387" s="2715">
        <f t="shared" si="51"/>
        <v>12166.593399999998</v>
      </c>
      <c r="I387" s="264"/>
      <c r="J387" s="264"/>
    </row>
    <row r="388" spans="1:10" s="52" customFormat="1" ht="20.100000000000001" customHeight="1">
      <c r="A388" s="285">
        <v>15</v>
      </c>
      <c r="B388" s="2699" t="s">
        <v>460</v>
      </c>
      <c r="C388" s="2700"/>
      <c r="D388" s="2700"/>
      <c r="E388" s="2715">
        <v>7357.5</v>
      </c>
      <c r="F388" s="2700"/>
      <c r="G388" s="2700"/>
      <c r="H388" s="2715">
        <f t="shared" si="51"/>
        <v>7357.5</v>
      </c>
      <c r="I388" s="264"/>
      <c r="J388" s="264"/>
    </row>
    <row r="389" spans="1:10" s="52" customFormat="1" ht="20.100000000000001" customHeight="1">
      <c r="A389" s="285"/>
      <c r="B389" s="2697" t="s">
        <v>461</v>
      </c>
      <c r="C389" s="2700"/>
      <c r="D389" s="2700"/>
      <c r="E389" s="2700"/>
      <c r="F389" s="2700"/>
      <c r="G389" s="2700"/>
      <c r="H389" s="2715">
        <f t="shared" si="51"/>
        <v>0</v>
      </c>
      <c r="I389" s="264"/>
      <c r="J389" s="264"/>
    </row>
    <row r="390" spans="1:10" s="52" customFormat="1" ht="30.75" customHeight="1">
      <c r="A390" s="285">
        <v>16</v>
      </c>
      <c r="B390" s="2705" t="s">
        <v>462</v>
      </c>
      <c r="C390" s="2700"/>
      <c r="D390" s="2700"/>
      <c r="E390" s="2700"/>
      <c r="F390" s="2700"/>
      <c r="G390" s="2700"/>
      <c r="H390" s="2715">
        <f t="shared" si="51"/>
        <v>0</v>
      </c>
      <c r="I390" s="264"/>
      <c r="J390" s="264"/>
    </row>
    <row r="391" spans="1:10" s="52" customFormat="1" ht="20.100000000000001" customHeight="1">
      <c r="A391" s="285">
        <v>17</v>
      </c>
      <c r="B391" s="2699" t="s">
        <v>463</v>
      </c>
      <c r="C391" s="2700"/>
      <c r="D391" s="2700"/>
      <c r="E391" s="2715">
        <v>-85526.43885999998</v>
      </c>
      <c r="F391" s="2700"/>
      <c r="G391" s="2700"/>
      <c r="H391" s="2715">
        <f t="shared" si="51"/>
        <v>-85526.43885999998</v>
      </c>
      <c r="I391" s="264"/>
      <c r="J391" s="264"/>
    </row>
    <row r="392" spans="1:10" s="52" customFormat="1" ht="20.100000000000001" customHeight="1">
      <c r="A392" s="285">
        <v>18</v>
      </c>
      <c r="B392" s="2697" t="s">
        <v>464</v>
      </c>
      <c r="C392" s="2700">
        <f>SUM(C383:C391)</f>
        <v>0</v>
      </c>
      <c r="D392" s="2700">
        <f>SUM(D383:D391)</f>
        <v>0</v>
      </c>
      <c r="E392" s="2715">
        <f>SUM(E383:E391)</f>
        <v>-65656.704669999977</v>
      </c>
      <c r="F392" s="2700">
        <f>SUM(F383:F391)</f>
        <v>0</v>
      </c>
      <c r="G392" s="2700">
        <f>SUM(G383:G391)</f>
        <v>0</v>
      </c>
      <c r="H392" s="2715">
        <f t="shared" si="51"/>
        <v>-65656.704669999977</v>
      </c>
      <c r="I392" s="264"/>
      <c r="J392" s="264"/>
    </row>
    <row r="393" spans="1:10" s="52" customFormat="1" ht="20.100000000000001" customHeight="1">
      <c r="A393" s="285">
        <v>19</v>
      </c>
      <c r="B393" s="2699" t="s">
        <v>465</v>
      </c>
      <c r="C393" s="2700"/>
      <c r="D393" s="2700"/>
      <c r="E393" s="2700"/>
      <c r="F393" s="2700"/>
      <c r="G393" s="2700"/>
      <c r="H393" s="2700">
        <f t="shared" si="51"/>
        <v>0</v>
      </c>
      <c r="I393" s="264"/>
      <c r="J393" s="264"/>
    </row>
    <row r="394" spans="1:10" s="52" customFormat="1" ht="20.100000000000001" customHeight="1">
      <c r="A394" s="285">
        <v>20</v>
      </c>
      <c r="B394" s="2707" t="s">
        <v>466</v>
      </c>
      <c r="C394" s="2700">
        <f>SUM(C392:C393)</f>
        <v>0</v>
      </c>
      <c r="D394" s="2700">
        <f>SUM(D392:D393)</f>
        <v>0</v>
      </c>
      <c r="E394" s="2715">
        <f>SUM(E392:E393)</f>
        <v>-65656.704669999977</v>
      </c>
      <c r="F394" s="2700">
        <f>SUM(F392:F393)</f>
        <v>0</v>
      </c>
      <c r="G394" s="2700">
        <f>SUM(G392:G393)</f>
        <v>0</v>
      </c>
      <c r="H394" s="2715">
        <f t="shared" si="51"/>
        <v>-65656.704669999977</v>
      </c>
      <c r="I394" s="264"/>
      <c r="J394" s="264"/>
    </row>
    <row r="395" spans="1:10" s="52" customFormat="1" ht="20.100000000000001" customHeight="1">
      <c r="A395" s="285">
        <v>21</v>
      </c>
      <c r="B395" s="2707" t="s">
        <v>467</v>
      </c>
      <c r="C395" s="2700"/>
      <c r="D395" s="2700"/>
      <c r="E395" s="2700"/>
      <c r="F395" s="2700"/>
      <c r="G395" s="2700"/>
      <c r="H395" s="2700">
        <f t="shared" si="51"/>
        <v>0</v>
      </c>
      <c r="I395" s="264"/>
      <c r="J395" s="264"/>
    </row>
    <row r="396" spans="1:10" s="52" customFormat="1" ht="20.100000000000001" customHeight="1">
      <c r="A396" s="285">
        <v>22</v>
      </c>
      <c r="B396" s="2707" t="s">
        <v>468</v>
      </c>
      <c r="C396" s="2700">
        <f>SUM(C394:C395)</f>
        <v>0</v>
      </c>
      <c r="D396" s="2700">
        <f>SUM(D394:D395)</f>
        <v>0</v>
      </c>
      <c r="E396" s="2715">
        <f>SUM(E394:E395)</f>
        <v>-65656.704669999977</v>
      </c>
      <c r="F396" s="2700">
        <f>SUM(F394:F395)</f>
        <v>0</v>
      </c>
      <c r="G396" s="2700">
        <f>SUM(G394:G395)</f>
        <v>0</v>
      </c>
      <c r="H396" s="2715">
        <f t="shared" si="51"/>
        <v>-65656.704669999977</v>
      </c>
      <c r="I396" s="284"/>
      <c r="J396" s="264"/>
    </row>
    <row r="397" spans="1:10" s="52" customFormat="1" ht="17.45" customHeight="1">
      <c r="A397" s="285"/>
      <c r="B397" s="290"/>
      <c r="C397" s="289"/>
      <c r="D397" s="289"/>
      <c r="E397" s="289"/>
      <c r="F397" s="289"/>
      <c r="G397" s="289"/>
      <c r="H397" s="289"/>
      <c r="I397" s="284"/>
      <c r="J397" s="264"/>
    </row>
    <row r="398" spans="1:10">
      <c r="C398" s="292"/>
      <c r="D398" s="292"/>
      <c r="E398" s="292"/>
      <c r="F398" s="292"/>
      <c r="G398" s="292"/>
      <c r="H398" s="292"/>
    </row>
    <row r="399" spans="1:10" s="54" customFormat="1" ht="17.45" customHeight="1">
      <c r="A399" s="3598">
        <v>12</v>
      </c>
      <c r="B399" s="3599" t="s">
        <v>109</v>
      </c>
      <c r="C399" s="3600">
        <v>2012</v>
      </c>
      <c r="D399" s="3600"/>
      <c r="E399" s="3600"/>
      <c r="F399" s="3600"/>
      <c r="G399" s="3600"/>
      <c r="H399" s="3600"/>
      <c r="I399" s="109"/>
      <c r="J399" s="109"/>
    </row>
    <row r="400" spans="1:10" s="54" customFormat="1" ht="17.45" customHeight="1">
      <c r="A400" s="3598"/>
      <c r="B400" s="3599"/>
      <c r="C400" s="2532" t="s">
        <v>436</v>
      </c>
      <c r="D400" s="2532" t="s">
        <v>437</v>
      </c>
      <c r="E400" s="2532" t="s">
        <v>438</v>
      </c>
      <c r="F400" s="2532" t="s">
        <v>722</v>
      </c>
      <c r="G400" s="2532" t="s">
        <v>723</v>
      </c>
      <c r="H400" s="2532" t="s">
        <v>118</v>
      </c>
      <c r="I400" s="3358"/>
      <c r="J400" s="109"/>
    </row>
    <row r="401" spans="1:14" s="54" customFormat="1" ht="17.45" customHeight="1">
      <c r="A401" s="3598"/>
      <c r="B401" s="3599"/>
      <c r="C401" s="2696" t="s">
        <v>142</v>
      </c>
      <c r="D401" s="2696" t="s">
        <v>142</v>
      </c>
      <c r="E401" s="2696" t="s">
        <v>142</v>
      </c>
      <c r="F401" s="2696" t="s">
        <v>142</v>
      </c>
      <c r="G401" s="2696" t="s">
        <v>142</v>
      </c>
      <c r="H401" s="2696" t="s">
        <v>142</v>
      </c>
      <c r="I401" s="3358"/>
      <c r="J401" s="109"/>
    </row>
    <row r="402" spans="1:14" s="52" customFormat="1" ht="17.45" customHeight="1">
      <c r="A402" s="285">
        <v>1</v>
      </c>
      <c r="B402" s="2697" t="s">
        <v>215</v>
      </c>
      <c r="C402" s="3601"/>
      <c r="D402" s="3601"/>
      <c r="E402" s="3601"/>
      <c r="F402" s="3601"/>
      <c r="G402" s="3601"/>
      <c r="H402" s="1711">
        <f>+H410+H419+H420+H421</f>
        <v>445986.25262000004</v>
      </c>
      <c r="I402" s="264"/>
      <c r="J402" s="278"/>
      <c r="K402" s="274"/>
      <c r="L402" s="274"/>
      <c r="M402" s="274"/>
      <c r="N402" s="274"/>
    </row>
    <row r="403" spans="1:14" s="52" customFormat="1" ht="6" customHeight="1">
      <c r="A403" s="285"/>
      <c r="B403" s="2697"/>
      <c r="C403" s="1789"/>
      <c r="D403" s="1789"/>
      <c r="E403" s="1789"/>
      <c r="F403" s="1789"/>
      <c r="G403" s="1789"/>
      <c r="H403" s="1789"/>
      <c r="I403" s="264"/>
      <c r="J403" s="278"/>
      <c r="K403" s="274"/>
      <c r="L403" s="274"/>
      <c r="M403" s="274"/>
      <c r="N403" s="274"/>
    </row>
    <row r="404" spans="1:14" s="52" customFormat="1" ht="20.100000000000001" customHeight="1">
      <c r="A404" s="285">
        <v>2</v>
      </c>
      <c r="B404" s="2699" t="s">
        <v>342</v>
      </c>
      <c r="C404" s="2715">
        <v>57934</v>
      </c>
      <c r="D404" s="2715">
        <v>20315</v>
      </c>
      <c r="E404" s="2715">
        <v>462941</v>
      </c>
      <c r="F404" s="2700"/>
      <c r="G404" s="2715">
        <v>138781</v>
      </c>
      <c r="H404" s="2715">
        <f>SUM(C404:G404)</f>
        <v>679971</v>
      </c>
      <c r="I404" s="286"/>
      <c r="J404" s="264"/>
    </row>
    <row r="405" spans="1:14" s="52" customFormat="1" ht="20.100000000000001" customHeight="1">
      <c r="A405" s="285">
        <v>3</v>
      </c>
      <c r="B405" s="2699" t="s">
        <v>444</v>
      </c>
      <c r="C405" s="2700"/>
      <c r="D405" s="2700"/>
      <c r="E405" s="2700"/>
      <c r="F405" s="2700"/>
      <c r="G405" s="2700"/>
      <c r="H405" s="2700">
        <f>SUM(C405:G405)</f>
        <v>0</v>
      </c>
      <c r="I405" s="286"/>
      <c r="J405" s="264"/>
    </row>
    <row r="406" spans="1:14" s="52" customFormat="1" ht="20.100000000000001" customHeight="1">
      <c r="A406" s="285">
        <v>4</v>
      </c>
      <c r="B406" s="2699" t="s">
        <v>445</v>
      </c>
      <c r="C406" s="2715">
        <v>-13867.61851</v>
      </c>
      <c r="D406" s="2715">
        <v>-13868.61851</v>
      </c>
      <c r="E406" s="2715">
        <v>-13869.61851</v>
      </c>
      <c r="F406" s="2700">
        <v>0</v>
      </c>
      <c r="G406" s="2715">
        <v>-1627.2820899999999</v>
      </c>
      <c r="H406" s="2715">
        <f>SUM(C406:G406)</f>
        <v>-43233.137620000001</v>
      </c>
      <c r="I406" s="286"/>
      <c r="J406" s="264"/>
    </row>
    <row r="407" spans="1:14" s="52" customFormat="1" ht="20.100000000000001" customHeight="1">
      <c r="A407" s="285">
        <v>5</v>
      </c>
      <c r="B407" s="2699" t="s">
        <v>446</v>
      </c>
      <c r="C407" s="2715">
        <v>-42490.38149</v>
      </c>
      <c r="D407" s="2715">
        <v>-1774.3814899999998</v>
      </c>
      <c r="E407" s="2715">
        <v>-6731.3814899999998</v>
      </c>
      <c r="F407" s="2700">
        <v>0</v>
      </c>
      <c r="G407" s="2715">
        <v>-92786.465289999993</v>
      </c>
      <c r="H407" s="2715">
        <f>SUM(C407:G407)</f>
        <v>-143782.60975999999</v>
      </c>
      <c r="I407" s="264"/>
      <c r="J407" s="264"/>
    </row>
    <row r="408" spans="1:14" s="52" customFormat="1" ht="20.100000000000001" customHeight="1">
      <c r="A408" s="285">
        <v>6</v>
      </c>
      <c r="B408" s="2699" t="s">
        <v>727</v>
      </c>
      <c r="C408" s="2715">
        <f>SUM(C404:C407)</f>
        <v>1576</v>
      </c>
      <c r="D408" s="2715">
        <f>SUM(D404:D407)</f>
        <v>4672</v>
      </c>
      <c r="E408" s="2715">
        <f>SUM(E404:E407)</f>
        <v>442340</v>
      </c>
      <c r="F408" s="2700">
        <f>SUM(F404:F407)</f>
        <v>0</v>
      </c>
      <c r="G408" s="2715">
        <f>SUM(G404:G407)</f>
        <v>44367.252620000014</v>
      </c>
      <c r="H408" s="2715">
        <f>SUM(C408:G408)</f>
        <v>492955.25262000004</v>
      </c>
      <c r="I408" s="264"/>
      <c r="J408" s="264"/>
    </row>
    <row r="409" spans="1:14" s="52" customFormat="1" ht="20.100000000000001" customHeight="1">
      <c r="A409" s="285">
        <v>7</v>
      </c>
      <c r="B409" s="2699" t="s">
        <v>448</v>
      </c>
      <c r="C409" s="2715">
        <v>-518</v>
      </c>
      <c r="D409" s="2715">
        <v>-2016</v>
      </c>
      <c r="E409" s="2715">
        <v>-92438</v>
      </c>
      <c r="F409" s="2700"/>
      <c r="G409" s="2715">
        <v>-9665</v>
      </c>
      <c r="H409" s="2715">
        <f t="shared" ref="H409:H415" si="52">SUM(C409:G409)</f>
        <v>-104637</v>
      </c>
      <c r="I409" s="264"/>
      <c r="J409" s="264"/>
    </row>
    <row r="410" spans="1:14" s="52" customFormat="1" ht="20.100000000000001" customHeight="1">
      <c r="A410" s="285">
        <v>8</v>
      </c>
      <c r="B410" s="2699" t="s">
        <v>728</v>
      </c>
      <c r="C410" s="2715">
        <f>SUM(C408:C409)</f>
        <v>1058</v>
      </c>
      <c r="D410" s="2715">
        <f>SUM(D408:D409)</f>
        <v>2656</v>
      </c>
      <c r="E410" s="2715">
        <f>SUM(E408:E409)</f>
        <v>349902</v>
      </c>
      <c r="F410" s="2700">
        <f>SUM(F408:F409)</f>
        <v>0</v>
      </c>
      <c r="G410" s="2715">
        <f>SUM(G408:G409)</f>
        <v>34702.252620000014</v>
      </c>
      <c r="H410" s="2715">
        <f t="shared" si="52"/>
        <v>388318.25262000004</v>
      </c>
      <c r="I410" s="264"/>
      <c r="J410" s="264"/>
    </row>
    <row r="411" spans="1:14" s="52" customFormat="1" ht="20.100000000000001" customHeight="1">
      <c r="A411" s="285"/>
      <c r="B411" s="2699"/>
      <c r="C411" s="2700"/>
      <c r="D411" s="2700"/>
      <c r="E411" s="2700"/>
      <c r="F411" s="2700"/>
      <c r="G411" s="2700"/>
      <c r="H411" s="2700">
        <f t="shared" si="52"/>
        <v>0</v>
      </c>
      <c r="I411" s="264"/>
      <c r="J411" s="264"/>
    </row>
    <row r="412" spans="1:14" s="52" customFormat="1" ht="20.100000000000001" customHeight="1">
      <c r="A412" s="285"/>
      <c r="B412" s="2697" t="s">
        <v>450</v>
      </c>
      <c r="C412" s="2700"/>
      <c r="D412" s="2700"/>
      <c r="E412" s="2700"/>
      <c r="F412" s="2700"/>
      <c r="G412" s="2700"/>
      <c r="H412" s="2700">
        <f t="shared" si="52"/>
        <v>0</v>
      </c>
      <c r="I412" s="264"/>
      <c r="J412" s="264"/>
    </row>
    <row r="413" spans="1:14" s="52" customFormat="1" ht="20.100000000000001" customHeight="1">
      <c r="A413" s="285">
        <v>9</v>
      </c>
      <c r="B413" s="2699" t="s">
        <v>451</v>
      </c>
      <c r="C413" s="2715">
        <v>-2021.6802299999999</v>
      </c>
      <c r="D413" s="2715">
        <v>-1473.5658900000001</v>
      </c>
      <c r="E413" s="2715">
        <v>-211604.98547000001</v>
      </c>
      <c r="F413" s="2700"/>
      <c r="G413" s="2715">
        <v>-29059.499680000001</v>
      </c>
      <c r="H413" s="2715">
        <f t="shared" si="52"/>
        <v>-244159.73127000002</v>
      </c>
      <c r="I413" s="264"/>
      <c r="J413" s="264"/>
    </row>
    <row r="414" spans="1:14" s="52" customFormat="1" ht="20.100000000000001" customHeight="1">
      <c r="A414" s="285">
        <v>10</v>
      </c>
      <c r="B414" s="2699" t="s">
        <v>452</v>
      </c>
      <c r="C414" s="2715">
        <v>10716.23496</v>
      </c>
      <c r="D414" s="2715">
        <v>1486.3588</v>
      </c>
      <c r="E414" s="2715">
        <v>-22207.70377</v>
      </c>
      <c r="F414" s="2700"/>
      <c r="G414" s="2715">
        <f>--19337.93012</f>
        <v>19337.930120000001</v>
      </c>
      <c r="H414" s="2715">
        <f t="shared" si="52"/>
        <v>9332.8201100000006</v>
      </c>
      <c r="I414" s="264"/>
      <c r="J414" s="264"/>
    </row>
    <row r="415" spans="1:14" s="52" customFormat="1" ht="20.100000000000001" customHeight="1">
      <c r="A415" s="285">
        <v>11</v>
      </c>
      <c r="B415" s="2699" t="s">
        <v>453</v>
      </c>
      <c r="C415" s="2715">
        <v>-2283.7027499999999</v>
      </c>
      <c r="D415" s="2715">
        <v>-154.48317</v>
      </c>
      <c r="E415" s="2715">
        <f>--6773.65348</f>
        <v>6773.6534799999999</v>
      </c>
      <c r="F415" s="2700"/>
      <c r="G415" s="2715">
        <f>-6317.3133-3</f>
        <v>-6320.3132999999998</v>
      </c>
      <c r="H415" s="2715">
        <f t="shared" si="52"/>
        <v>-1984.8457399999998</v>
      </c>
      <c r="I415" s="264"/>
      <c r="J415" s="264"/>
    </row>
    <row r="416" spans="1:14" s="52" customFormat="1" ht="20.100000000000001" customHeight="1">
      <c r="A416" s="287">
        <v>12</v>
      </c>
      <c r="B416" s="2701" t="s">
        <v>454</v>
      </c>
      <c r="C416" s="2716">
        <f>SUM(C410:C415)</f>
        <v>7468.8519799999995</v>
      </c>
      <c r="D416" s="2716">
        <f>SUM(D410:D415)</f>
        <v>2514.3097400000001</v>
      </c>
      <c r="E416" s="2716">
        <f>SUM(E410:E415)</f>
        <v>122862.96423999999</v>
      </c>
      <c r="F416" s="2126">
        <f>SUM(F410:F415)</f>
        <v>0</v>
      </c>
      <c r="G416" s="2716">
        <f>SUM(G410:G415)</f>
        <v>18660.369760000016</v>
      </c>
      <c r="H416" s="2715">
        <f>SUM(C416:G416)</f>
        <v>151506.49572000001</v>
      </c>
      <c r="I416" s="288"/>
      <c r="J416" s="264"/>
    </row>
    <row r="417" spans="1:10" s="52" customFormat="1" ht="20.100000000000001" customHeight="1">
      <c r="A417" s="285"/>
      <c r="B417" s="2702"/>
      <c r="C417" s="2700"/>
      <c r="D417" s="2700"/>
      <c r="E417" s="2700"/>
      <c r="F417" s="2700"/>
      <c r="G417" s="2700"/>
      <c r="H417" s="2700">
        <f t="shared" ref="H417:H429" si="53">SUM(C417:G417)</f>
        <v>0</v>
      </c>
      <c r="I417" s="264"/>
      <c r="J417" s="264"/>
    </row>
    <row r="418" spans="1:10" s="52" customFormat="1" ht="20.100000000000001" customHeight="1">
      <c r="A418" s="285"/>
      <c r="B418" s="2703" t="s">
        <v>455</v>
      </c>
      <c r="C418" s="2700"/>
      <c r="D418" s="2700"/>
      <c r="E418" s="2700"/>
      <c r="F418" s="2700"/>
      <c r="G418" s="2700"/>
      <c r="H418" s="2700">
        <f t="shared" si="53"/>
        <v>0</v>
      </c>
      <c r="I418" s="264"/>
      <c r="J418" s="264"/>
    </row>
    <row r="419" spans="1:10" s="52" customFormat="1" ht="20.100000000000001" customHeight="1">
      <c r="A419" s="285">
        <v>13</v>
      </c>
      <c r="B419" s="2699" t="s">
        <v>456</v>
      </c>
      <c r="C419" s="2715">
        <v>742.26843203607223</v>
      </c>
      <c r="D419" s="2715">
        <v>260.28210026604074</v>
      </c>
      <c r="E419" s="2715">
        <v>5931.3441190874319</v>
      </c>
      <c r="F419" s="2700">
        <v>0</v>
      </c>
      <c r="G419" s="2715">
        <v>1778.1053486104556</v>
      </c>
      <c r="H419" s="2715">
        <f t="shared" si="53"/>
        <v>8712</v>
      </c>
      <c r="I419" s="264"/>
      <c r="J419" s="264"/>
    </row>
    <row r="420" spans="1:10" s="52" customFormat="1" ht="20.100000000000001" customHeight="1">
      <c r="A420" s="285">
        <v>14</v>
      </c>
      <c r="B420" s="2697" t="s">
        <v>457</v>
      </c>
      <c r="C420" s="2715">
        <v>3183.9498743328763</v>
      </c>
      <c r="D420" s="2715">
        <v>1116.476364433189</v>
      </c>
      <c r="E420" s="2715">
        <v>25442.416176572238</v>
      </c>
      <c r="F420" s="2700">
        <v>0</v>
      </c>
      <c r="G420" s="2715">
        <v>7627.1575846616988</v>
      </c>
      <c r="H420" s="2715">
        <f t="shared" si="53"/>
        <v>37370</v>
      </c>
      <c r="I420" s="264"/>
      <c r="J420" s="264"/>
    </row>
    <row r="421" spans="1:10" s="52" customFormat="1" ht="20.100000000000001" customHeight="1">
      <c r="A421" s="285">
        <v>15</v>
      </c>
      <c r="B421" s="2699" t="s">
        <v>460</v>
      </c>
      <c r="C421" s="2715">
        <v>987.1352219432888</v>
      </c>
      <c r="D421" s="2715">
        <v>346.14651213066441</v>
      </c>
      <c r="E421" s="2715">
        <v>7888.034086747818</v>
      </c>
      <c r="F421" s="2700">
        <v>0</v>
      </c>
      <c r="G421" s="2715">
        <v>2364.6841791782299</v>
      </c>
      <c r="H421" s="2715">
        <f t="shared" si="53"/>
        <v>11586.000000000002</v>
      </c>
      <c r="I421" s="264"/>
      <c r="J421" s="264"/>
    </row>
    <row r="422" spans="1:10" s="52" customFormat="1" ht="20.100000000000001" customHeight="1">
      <c r="A422" s="285"/>
      <c r="B422" s="2697" t="s">
        <v>461</v>
      </c>
      <c r="C422" s="2700"/>
      <c r="D422" s="2700"/>
      <c r="E422" s="2700"/>
      <c r="F422" s="2700"/>
      <c r="G422" s="2700"/>
      <c r="H422" s="2715">
        <f t="shared" si="53"/>
        <v>0</v>
      </c>
      <c r="I422" s="264"/>
      <c r="J422" s="264"/>
    </row>
    <row r="423" spans="1:10" s="52" customFormat="1" ht="29.25" customHeight="1">
      <c r="A423" s="285">
        <v>16</v>
      </c>
      <c r="B423" s="2705" t="s">
        <v>462</v>
      </c>
      <c r="C423" s="2715">
        <v>-17212.329075798822</v>
      </c>
      <c r="D423" s="2715">
        <v>-6035.6347770713746</v>
      </c>
      <c r="E423" s="2715">
        <v>-137540.87124450898</v>
      </c>
      <c r="F423" s="2700">
        <v>0</v>
      </c>
      <c r="G423" s="2715">
        <v>-41232.164902620847</v>
      </c>
      <c r="H423" s="2715">
        <f t="shared" si="53"/>
        <v>-202021</v>
      </c>
      <c r="I423" s="264"/>
      <c r="J423" s="264"/>
    </row>
    <row r="424" spans="1:10" s="52" customFormat="1" ht="20.100000000000001" customHeight="1">
      <c r="A424" s="285">
        <v>17</v>
      </c>
      <c r="B424" s="2699" t="s">
        <v>463</v>
      </c>
      <c r="C424" s="2700"/>
      <c r="D424" s="2700"/>
      <c r="E424" s="2700"/>
      <c r="F424" s="2700"/>
      <c r="G424" s="2700"/>
      <c r="H424" s="2700">
        <f t="shared" si="53"/>
        <v>0</v>
      </c>
      <c r="I424" s="264"/>
      <c r="J424" s="264"/>
    </row>
    <row r="425" spans="1:10" s="52" customFormat="1" ht="20.100000000000001" customHeight="1">
      <c r="A425" s="285">
        <v>18</v>
      </c>
      <c r="B425" s="2697" t="s">
        <v>464</v>
      </c>
      <c r="C425" s="2715">
        <f>SUM(C416:C424)</f>
        <v>-4830.1235674865857</v>
      </c>
      <c r="D425" s="2715">
        <f>SUM(D416:D424)</f>
        <v>-1798.4200602414803</v>
      </c>
      <c r="E425" s="2715">
        <f>SUM(E416:E424)</f>
        <v>24583.8873778985</v>
      </c>
      <c r="F425" s="2700">
        <f>SUM(F416:F424)</f>
        <v>0</v>
      </c>
      <c r="G425" s="2715">
        <f>SUM(G416:G424)</f>
        <v>-10801.848030170448</v>
      </c>
      <c r="H425" s="2715">
        <f t="shared" si="53"/>
        <v>7153.4957199999844</v>
      </c>
      <c r="I425" s="264"/>
      <c r="J425" s="264"/>
    </row>
    <row r="426" spans="1:10" s="52" customFormat="1" ht="20.100000000000001" customHeight="1">
      <c r="A426" s="285">
        <v>19</v>
      </c>
      <c r="B426" s="2699" t="s">
        <v>465</v>
      </c>
      <c r="C426" s="2700"/>
      <c r="D426" s="2700"/>
      <c r="E426" s="2700"/>
      <c r="F426" s="2700"/>
      <c r="G426" s="2700"/>
      <c r="H426" s="2700">
        <f t="shared" si="53"/>
        <v>0</v>
      </c>
      <c r="I426" s="264"/>
      <c r="J426" s="264"/>
    </row>
    <row r="427" spans="1:10" s="52" customFormat="1" ht="20.100000000000001" customHeight="1">
      <c r="A427" s="285">
        <v>20</v>
      </c>
      <c r="B427" s="2707" t="s">
        <v>466</v>
      </c>
      <c r="C427" s="2715">
        <f>SUM(C425:C426)</f>
        <v>-4830.1235674865857</v>
      </c>
      <c r="D427" s="2715">
        <f>SUM(D425:D426)</f>
        <v>-1798.4200602414803</v>
      </c>
      <c r="E427" s="2715">
        <f>SUM(E425:E426)</f>
        <v>24583.8873778985</v>
      </c>
      <c r="F427" s="2700">
        <f>SUM(F425:F426)</f>
        <v>0</v>
      </c>
      <c r="G427" s="2715">
        <f>SUM(G425:G426)</f>
        <v>-10801.848030170448</v>
      </c>
      <c r="H427" s="2715">
        <f t="shared" si="53"/>
        <v>7153.4957199999844</v>
      </c>
      <c r="I427" s="264"/>
      <c r="J427" s="264"/>
    </row>
    <row r="428" spans="1:10" s="52" customFormat="1" ht="20.100000000000001" customHeight="1">
      <c r="A428" s="285">
        <v>21</v>
      </c>
      <c r="B428" s="2707" t="s">
        <v>467</v>
      </c>
      <c r="C428" s="2700"/>
      <c r="D428" s="2700"/>
      <c r="E428" s="2700"/>
      <c r="F428" s="2700"/>
      <c r="G428" s="2700"/>
      <c r="H428" s="2700">
        <f t="shared" si="53"/>
        <v>0</v>
      </c>
      <c r="I428" s="264"/>
      <c r="J428" s="264"/>
    </row>
    <row r="429" spans="1:10" s="52" customFormat="1" ht="20.100000000000001" customHeight="1">
      <c r="A429" s="285">
        <v>22</v>
      </c>
      <c r="B429" s="2707" t="s">
        <v>468</v>
      </c>
      <c r="C429" s="2715">
        <f>SUM(C427:C428)</f>
        <v>-4830.1235674865857</v>
      </c>
      <c r="D429" s="2715">
        <f>SUM(D427:D428)</f>
        <v>-1798.4200602414803</v>
      </c>
      <c r="E429" s="2715">
        <f>SUM(E427:E428)</f>
        <v>24583.8873778985</v>
      </c>
      <c r="F429" s="2700">
        <f>SUM(F427:F428)</f>
        <v>0</v>
      </c>
      <c r="G429" s="2715">
        <f>SUM(G427:G428)</f>
        <v>-10801.848030170448</v>
      </c>
      <c r="H429" s="2715">
        <f t="shared" si="53"/>
        <v>7153.4957199999844</v>
      </c>
      <c r="I429" s="284"/>
      <c r="J429" s="264"/>
    </row>
    <row r="430" spans="1:10" s="52" customFormat="1" ht="17.45" customHeight="1">
      <c r="A430" s="285"/>
      <c r="B430" s="290"/>
      <c r="C430" s="289"/>
      <c r="D430" s="289"/>
      <c r="E430" s="289"/>
      <c r="F430" s="289"/>
      <c r="G430" s="289"/>
      <c r="H430" s="289"/>
      <c r="I430" s="284"/>
      <c r="J430" s="264"/>
    </row>
    <row r="431" spans="1:10" s="52" customFormat="1" ht="17.45" customHeight="1">
      <c r="A431" s="285"/>
      <c r="B431" s="290"/>
      <c r="C431" s="289"/>
      <c r="D431" s="289"/>
      <c r="E431" s="289"/>
      <c r="F431" s="289"/>
      <c r="G431" s="289"/>
      <c r="H431" s="289"/>
      <c r="I431" s="284"/>
      <c r="J431" s="264"/>
    </row>
    <row r="432" spans="1:10" s="54" customFormat="1" ht="17.45" customHeight="1">
      <c r="A432" s="3598">
        <v>13</v>
      </c>
      <c r="B432" s="3599" t="s">
        <v>111</v>
      </c>
      <c r="C432" s="3600">
        <v>2011</v>
      </c>
      <c r="D432" s="3600"/>
      <c r="E432" s="3600"/>
      <c r="F432" s="3600"/>
      <c r="G432" s="3600"/>
      <c r="H432" s="3600"/>
      <c r="I432" s="109"/>
      <c r="J432" s="109"/>
    </row>
    <row r="433" spans="1:14" s="54" customFormat="1" ht="17.45" customHeight="1">
      <c r="A433" s="3598"/>
      <c r="B433" s="3599"/>
      <c r="C433" s="2532" t="s">
        <v>436</v>
      </c>
      <c r="D433" s="2532" t="s">
        <v>437</v>
      </c>
      <c r="E433" s="2532" t="s">
        <v>438</v>
      </c>
      <c r="F433" s="2532" t="s">
        <v>722</v>
      </c>
      <c r="G433" s="2532" t="s">
        <v>723</v>
      </c>
      <c r="H433" s="2532" t="s">
        <v>118</v>
      </c>
      <c r="I433" s="3358"/>
      <c r="J433" s="109"/>
    </row>
    <row r="434" spans="1:14" s="54" customFormat="1" ht="17.45" customHeight="1">
      <c r="A434" s="3598"/>
      <c r="B434" s="3599"/>
      <c r="C434" s="2696" t="s">
        <v>142</v>
      </c>
      <c r="D434" s="2696" t="s">
        <v>142</v>
      </c>
      <c r="E434" s="2696" t="s">
        <v>142</v>
      </c>
      <c r="F434" s="2696" t="s">
        <v>142</v>
      </c>
      <c r="G434" s="2696" t="s">
        <v>142</v>
      </c>
      <c r="H434" s="2696" t="s">
        <v>142</v>
      </c>
      <c r="I434" s="3358"/>
      <c r="J434" s="109"/>
    </row>
    <row r="435" spans="1:14" s="52" customFormat="1" ht="17.45" customHeight="1">
      <c r="A435" s="285">
        <v>1</v>
      </c>
      <c r="B435" s="2697" t="s">
        <v>215</v>
      </c>
      <c r="C435" s="3601"/>
      <c r="D435" s="3601"/>
      <c r="E435" s="3601"/>
      <c r="F435" s="3601"/>
      <c r="G435" s="3601"/>
      <c r="H435" s="1711">
        <f>+H443+H452+H453+H454</f>
        <v>22913.562019999903</v>
      </c>
      <c r="I435" s="264"/>
      <c r="J435" s="278"/>
      <c r="K435" s="274"/>
      <c r="L435" s="274"/>
      <c r="M435" s="274"/>
      <c r="N435" s="274"/>
    </row>
    <row r="436" spans="1:14" s="52" customFormat="1" ht="4.5" customHeight="1">
      <c r="A436" s="285"/>
      <c r="B436" s="2697"/>
      <c r="C436" s="1789"/>
      <c r="D436" s="1789"/>
      <c r="E436" s="1789"/>
      <c r="F436" s="1789"/>
      <c r="G436" s="1789"/>
      <c r="H436" s="1789"/>
      <c r="I436" s="264"/>
      <c r="J436" s="278"/>
      <c r="K436" s="274"/>
      <c r="L436" s="274"/>
      <c r="M436" s="274"/>
      <c r="N436" s="274"/>
    </row>
    <row r="437" spans="1:14" s="52" customFormat="1" ht="20.100000000000001" customHeight="1">
      <c r="A437" s="285">
        <v>2</v>
      </c>
      <c r="B437" s="2699" t="s">
        <v>342</v>
      </c>
      <c r="C437" s="2719">
        <v>167</v>
      </c>
      <c r="D437" s="2719">
        <v>215</v>
      </c>
      <c r="E437" s="2719">
        <v>1434</v>
      </c>
      <c r="F437" s="2719"/>
      <c r="G437" s="2719">
        <v>5</v>
      </c>
      <c r="H437" s="2719">
        <f>SUM(C437:G437)</f>
        <v>1821</v>
      </c>
      <c r="I437" s="286"/>
      <c r="J437" s="264"/>
    </row>
    <row r="438" spans="1:14" s="52" customFormat="1" ht="20.100000000000001" customHeight="1">
      <c r="A438" s="285">
        <v>3</v>
      </c>
      <c r="B438" s="2699" t="s">
        <v>444</v>
      </c>
      <c r="C438" s="2719"/>
      <c r="D438" s="2719"/>
      <c r="E438" s="2719"/>
      <c r="F438" s="2719"/>
      <c r="G438" s="2719"/>
      <c r="H438" s="2719">
        <f>SUM(C438:G438)</f>
        <v>0</v>
      </c>
      <c r="I438" s="286"/>
      <c r="J438" s="264"/>
    </row>
    <row r="439" spans="1:14" s="52" customFormat="1" ht="20.100000000000001" customHeight="1">
      <c r="A439" s="285">
        <v>4</v>
      </c>
      <c r="B439" s="2699" t="s">
        <v>445</v>
      </c>
      <c r="C439" s="2719">
        <v>-39.009439999999998</v>
      </c>
      <c r="D439" s="2719">
        <v>-2.125</v>
      </c>
      <c r="E439" s="2719">
        <v>-30</v>
      </c>
      <c r="F439" s="2719"/>
      <c r="G439" s="2719">
        <v>-1</v>
      </c>
      <c r="H439" s="2719">
        <f>SUM(C439:G439)</f>
        <v>-72.134439999999998</v>
      </c>
      <c r="I439" s="286"/>
      <c r="J439" s="264"/>
    </row>
    <row r="440" spans="1:14" s="52" customFormat="1" ht="20.100000000000001" customHeight="1">
      <c r="A440" s="285">
        <v>5</v>
      </c>
      <c r="B440" s="2699" t="s">
        <v>446</v>
      </c>
      <c r="C440" s="2719">
        <f>-89-C439</f>
        <v>-49.990560000000002</v>
      </c>
      <c r="D440" s="2719">
        <f>-169-D439</f>
        <v>-166.875</v>
      </c>
      <c r="E440" s="2719"/>
      <c r="F440" s="2719">
        <v>0</v>
      </c>
      <c r="G440" s="2719">
        <f>-1-G439</f>
        <v>0</v>
      </c>
      <c r="H440" s="2719">
        <f>SUM(C440:G440)</f>
        <v>-216.86556000000002</v>
      </c>
      <c r="I440" s="264"/>
      <c r="J440" s="264"/>
    </row>
    <row r="441" spans="1:14" s="52" customFormat="1" ht="20.100000000000001" customHeight="1">
      <c r="A441" s="285">
        <v>6</v>
      </c>
      <c r="B441" s="2699" t="s">
        <v>727</v>
      </c>
      <c r="C441" s="2719">
        <f>SUM(C437:C440)</f>
        <v>78</v>
      </c>
      <c r="D441" s="2719">
        <f>SUM(D437:D440)</f>
        <v>46</v>
      </c>
      <c r="E441" s="2719">
        <f>SUM(E437:E440)</f>
        <v>1404</v>
      </c>
      <c r="F441" s="2719">
        <f>SUM(F437:F440)</f>
        <v>0</v>
      </c>
      <c r="G441" s="2719">
        <f>SUM(G437:G440)</f>
        <v>4</v>
      </c>
      <c r="H441" s="2719">
        <f>SUM(C441:G441)</f>
        <v>1532</v>
      </c>
      <c r="I441" s="264"/>
      <c r="J441" s="264"/>
    </row>
    <row r="442" spans="1:14" s="52" customFormat="1" ht="20.100000000000001" customHeight="1">
      <c r="A442" s="285">
        <v>7</v>
      </c>
      <c r="B442" s="2699" t="s">
        <v>448</v>
      </c>
      <c r="C442" s="2719">
        <v>-75</v>
      </c>
      <c r="D442" s="2719">
        <v>-44</v>
      </c>
      <c r="E442" s="2719">
        <v>-1374</v>
      </c>
      <c r="F442" s="2719"/>
      <c r="G442" s="2719">
        <v>-4</v>
      </c>
      <c r="H442" s="2719">
        <f t="shared" ref="H442:H448" si="54">SUM(C442:G442)</f>
        <v>-1497</v>
      </c>
      <c r="I442" s="264"/>
      <c r="J442" s="264"/>
    </row>
    <row r="443" spans="1:14" s="52" customFormat="1" ht="20.100000000000001" customHeight="1">
      <c r="A443" s="285">
        <v>8</v>
      </c>
      <c r="B443" s="2699" t="s">
        <v>728</v>
      </c>
      <c r="C443" s="2719">
        <f>SUM(C441:C442)</f>
        <v>3</v>
      </c>
      <c r="D443" s="2719">
        <f>SUM(D441:D442)</f>
        <v>2</v>
      </c>
      <c r="E443" s="2719">
        <f>SUM(E441:E442)</f>
        <v>30</v>
      </c>
      <c r="F443" s="2719">
        <f>SUM(F441:F442)</f>
        <v>0</v>
      </c>
      <c r="G443" s="2719">
        <f>SUM(G441:G442)</f>
        <v>0</v>
      </c>
      <c r="H443" s="2719">
        <f t="shared" si="54"/>
        <v>35</v>
      </c>
      <c r="I443" s="264"/>
      <c r="J443" s="264"/>
    </row>
    <row r="444" spans="1:14" s="52" customFormat="1" ht="20.100000000000001" customHeight="1">
      <c r="A444" s="285"/>
      <c r="B444" s="2699"/>
      <c r="C444" s="2719"/>
      <c r="D444" s="2719"/>
      <c r="E444" s="2719"/>
      <c r="F444" s="2719"/>
      <c r="G444" s="2719"/>
      <c r="H444" s="2719">
        <f t="shared" si="54"/>
        <v>0</v>
      </c>
      <c r="I444" s="264"/>
      <c r="J444" s="264"/>
    </row>
    <row r="445" spans="1:14" s="52" customFormat="1" ht="20.100000000000001" customHeight="1">
      <c r="A445" s="285"/>
      <c r="B445" s="2697" t="s">
        <v>450</v>
      </c>
      <c r="C445" s="2719"/>
      <c r="D445" s="2719"/>
      <c r="E445" s="2719"/>
      <c r="F445" s="2719"/>
      <c r="G445" s="2719"/>
      <c r="H445" s="2719">
        <f t="shared" si="54"/>
        <v>0</v>
      </c>
      <c r="I445" s="264"/>
      <c r="J445" s="264"/>
    </row>
    <row r="446" spans="1:14" s="52" customFormat="1" ht="20.100000000000001" customHeight="1">
      <c r="A446" s="285">
        <v>9</v>
      </c>
      <c r="B446" s="2699" t="s">
        <v>451</v>
      </c>
      <c r="C446" s="2719">
        <v>0</v>
      </c>
      <c r="D446" s="2719">
        <v>0</v>
      </c>
      <c r="E446" s="2719">
        <v>-70</v>
      </c>
      <c r="F446" s="2719"/>
      <c r="G446" s="2719">
        <v>0</v>
      </c>
      <c r="H446" s="2719">
        <f t="shared" si="54"/>
        <v>-70</v>
      </c>
      <c r="I446" s="264"/>
      <c r="J446" s="264"/>
    </row>
    <row r="447" spans="1:14" s="52" customFormat="1" ht="20.100000000000001" customHeight="1">
      <c r="A447" s="285">
        <v>10</v>
      </c>
      <c r="B447" s="2699" t="s">
        <v>452</v>
      </c>
      <c r="C447" s="2719">
        <v>1</v>
      </c>
      <c r="D447" s="2719">
        <v>1</v>
      </c>
      <c r="E447" s="2719">
        <v>-5</v>
      </c>
      <c r="F447" s="2719">
        <v>0</v>
      </c>
      <c r="G447" s="2719">
        <v>0</v>
      </c>
      <c r="H447" s="2719">
        <f t="shared" si="54"/>
        <v>-3</v>
      </c>
      <c r="I447" s="264"/>
      <c r="J447" s="264"/>
    </row>
    <row r="448" spans="1:14" s="52" customFormat="1" ht="20.100000000000001" customHeight="1">
      <c r="A448" s="285">
        <v>11</v>
      </c>
      <c r="B448" s="2699" t="s">
        <v>453</v>
      </c>
      <c r="C448" s="2719"/>
      <c r="D448" s="2719"/>
      <c r="E448" s="2719"/>
      <c r="F448" s="2719"/>
      <c r="G448" s="2719"/>
      <c r="H448" s="2719">
        <f t="shared" si="54"/>
        <v>0</v>
      </c>
      <c r="I448" s="264"/>
      <c r="J448" s="264"/>
    </row>
    <row r="449" spans="1:10" s="52" customFormat="1" ht="20.100000000000001" customHeight="1">
      <c r="A449" s="287">
        <v>12</v>
      </c>
      <c r="B449" s="2701" t="s">
        <v>454</v>
      </c>
      <c r="C449" s="2720">
        <f>SUM(C443:C448)</f>
        <v>4</v>
      </c>
      <c r="D449" s="2720">
        <f>SUM(D443:D448)</f>
        <v>3</v>
      </c>
      <c r="E449" s="2720">
        <f>SUM(E443:E448)</f>
        <v>-45</v>
      </c>
      <c r="F449" s="2720">
        <f>SUM(F443:F448)</f>
        <v>0</v>
      </c>
      <c r="G449" s="2720">
        <f>SUM(G443:G448)</f>
        <v>0</v>
      </c>
      <c r="H449" s="2719">
        <f>SUM(C449:G449)</f>
        <v>-38</v>
      </c>
      <c r="I449" s="288"/>
      <c r="J449" s="264"/>
    </row>
    <row r="450" spans="1:10" s="52" customFormat="1" ht="20.100000000000001" customHeight="1">
      <c r="A450" s="285"/>
      <c r="B450" s="2702"/>
      <c r="C450" s="2719"/>
      <c r="D450" s="2719"/>
      <c r="E450" s="2719"/>
      <c r="F450" s="2719"/>
      <c r="G450" s="2719"/>
      <c r="H450" s="2719">
        <f t="shared" ref="H450:H462" si="55">SUM(C450:G450)</f>
        <v>0</v>
      </c>
      <c r="I450" s="264"/>
      <c r="J450" s="264"/>
    </row>
    <row r="451" spans="1:10" s="52" customFormat="1" ht="20.100000000000001" customHeight="1">
      <c r="A451" s="285"/>
      <c r="B451" s="2703" t="s">
        <v>455</v>
      </c>
      <c r="C451" s="2719"/>
      <c r="D451" s="2719"/>
      <c r="E451" s="2719"/>
      <c r="F451" s="2719"/>
      <c r="G451" s="2719"/>
      <c r="H451" s="2719">
        <f t="shared" si="55"/>
        <v>0</v>
      </c>
      <c r="I451" s="264"/>
      <c r="J451" s="264"/>
    </row>
    <row r="452" spans="1:10" s="52" customFormat="1" ht="20.100000000000001" customHeight="1">
      <c r="A452" s="285">
        <v>13</v>
      </c>
      <c r="B452" s="2699" t="s">
        <v>456</v>
      </c>
      <c r="C452" s="2721">
        <v>0.64387000000000005</v>
      </c>
      <c r="D452" s="2721">
        <v>0.63721000000000005</v>
      </c>
      <c r="E452" s="2721">
        <v>10.56794</v>
      </c>
      <c r="F452" s="2721"/>
      <c r="G452" s="2721">
        <v>0.115</v>
      </c>
      <c r="H452" s="2719">
        <f t="shared" si="55"/>
        <v>11.96402</v>
      </c>
      <c r="I452" s="264"/>
      <c r="J452" s="264"/>
    </row>
    <row r="453" spans="1:10" s="52" customFormat="1" ht="20.100000000000001" customHeight="1">
      <c r="A453" s="285">
        <v>14</v>
      </c>
      <c r="B453" s="2697" t="s">
        <v>457</v>
      </c>
      <c r="C453" s="2721">
        <v>1959.9941142857101</v>
      </c>
      <c r="D453" s="2721">
        <v>1306.6627428571371</v>
      </c>
      <c r="E453" s="2721">
        <v>19599.941142857057</v>
      </c>
      <c r="F453" s="2721">
        <v>0</v>
      </c>
      <c r="G453" s="2721">
        <v>0</v>
      </c>
      <c r="H453" s="2719">
        <f t="shared" si="55"/>
        <v>22866.597999999904</v>
      </c>
      <c r="I453" s="264"/>
      <c r="J453" s="264"/>
    </row>
    <row r="454" spans="1:10" s="52" customFormat="1" ht="20.100000000000001" customHeight="1">
      <c r="A454" s="285">
        <v>15</v>
      </c>
      <c r="B454" s="2699" t="s">
        <v>460</v>
      </c>
      <c r="C454" s="2721"/>
      <c r="D454" s="2721"/>
      <c r="E454" s="2721"/>
      <c r="F454" s="2721"/>
      <c r="G454" s="2721"/>
      <c r="H454" s="2719">
        <f t="shared" si="55"/>
        <v>0</v>
      </c>
      <c r="I454" s="264"/>
      <c r="J454" s="264"/>
    </row>
    <row r="455" spans="1:10" s="52" customFormat="1" ht="20.100000000000001" customHeight="1">
      <c r="A455" s="285"/>
      <c r="B455" s="2697" t="s">
        <v>461</v>
      </c>
      <c r="C455" s="2721"/>
      <c r="D455" s="2721"/>
      <c r="E455" s="2721"/>
      <c r="F455" s="2721"/>
      <c r="G455" s="2721"/>
      <c r="H455" s="2719">
        <f t="shared" si="55"/>
        <v>0</v>
      </c>
      <c r="I455" s="264"/>
      <c r="J455" s="264"/>
    </row>
    <row r="456" spans="1:10" s="52" customFormat="1" ht="27" customHeight="1">
      <c r="A456" s="285">
        <v>16</v>
      </c>
      <c r="B456" s="2705" t="s">
        <v>462</v>
      </c>
      <c r="C456" s="2721"/>
      <c r="D456" s="2721"/>
      <c r="E456" s="2721"/>
      <c r="F456" s="2721"/>
      <c r="G456" s="2721"/>
      <c r="H456" s="2719">
        <f t="shared" si="55"/>
        <v>0</v>
      </c>
      <c r="I456" s="264"/>
      <c r="J456" s="264"/>
    </row>
    <row r="457" spans="1:10" s="52" customFormat="1" ht="20.100000000000001" customHeight="1">
      <c r="A457" s="285">
        <v>17</v>
      </c>
      <c r="B457" s="2699" t="s">
        <v>463</v>
      </c>
      <c r="C457" s="2721">
        <v>-3030.1238571428571</v>
      </c>
      <c r="D457" s="2721">
        <v>-2020.0825714285713</v>
      </c>
      <c r="E457" s="2721">
        <v>-30301.238571428574</v>
      </c>
      <c r="F457" s="2721">
        <v>0</v>
      </c>
      <c r="G457" s="2721">
        <v>0</v>
      </c>
      <c r="H457" s="2719">
        <f t="shared" si="55"/>
        <v>-35351.445</v>
      </c>
      <c r="I457" s="264"/>
      <c r="J457" s="264"/>
    </row>
    <row r="458" spans="1:10" s="52" customFormat="1" ht="20.100000000000001" customHeight="1">
      <c r="A458" s="285">
        <v>18</v>
      </c>
      <c r="B458" s="2697" t="s">
        <v>464</v>
      </c>
      <c r="C458" s="2719">
        <f>SUM(C449:C457)</f>
        <v>-1065.4858728571469</v>
      </c>
      <c r="D458" s="2719">
        <f>SUM(D449:D457)</f>
        <v>-709.78261857143411</v>
      </c>
      <c r="E458" s="2719">
        <f>SUM(E449:E457)</f>
        <v>-10735.729488571516</v>
      </c>
      <c r="F458" s="2719">
        <f>SUM(F449:F457)</f>
        <v>0</v>
      </c>
      <c r="G458" s="2719">
        <f>SUM(G449:G457)</f>
        <v>0.115</v>
      </c>
      <c r="H458" s="2719">
        <f t="shared" si="55"/>
        <v>-12510.882980000099</v>
      </c>
      <c r="I458" s="264"/>
      <c r="J458" s="264"/>
    </row>
    <row r="459" spans="1:10" s="52" customFormat="1" ht="20.100000000000001" customHeight="1">
      <c r="A459" s="285">
        <v>19</v>
      </c>
      <c r="B459" s="2699" t="s">
        <v>465</v>
      </c>
      <c r="C459" s="2719"/>
      <c r="D459" s="2719"/>
      <c r="E459" s="2719"/>
      <c r="F459" s="2719"/>
      <c r="G459" s="2719"/>
      <c r="H459" s="2719">
        <f t="shared" si="55"/>
        <v>0</v>
      </c>
      <c r="I459" s="264"/>
      <c r="J459" s="264"/>
    </row>
    <row r="460" spans="1:10" s="52" customFormat="1" ht="20.100000000000001" customHeight="1">
      <c r="A460" s="285">
        <v>20</v>
      </c>
      <c r="B460" s="2707" t="s">
        <v>466</v>
      </c>
      <c r="C460" s="2719">
        <f>SUM(C458:C459)</f>
        <v>-1065.4858728571469</v>
      </c>
      <c r="D460" s="2719">
        <f>SUM(D458:D459)</f>
        <v>-709.78261857143411</v>
      </c>
      <c r="E460" s="2719">
        <f>SUM(E458:E459)</f>
        <v>-10735.729488571516</v>
      </c>
      <c r="F460" s="2719">
        <f>SUM(F458:F459)</f>
        <v>0</v>
      </c>
      <c r="G460" s="2719">
        <f>SUM(G458:G459)</f>
        <v>0.115</v>
      </c>
      <c r="H460" s="2719">
        <f t="shared" si="55"/>
        <v>-12510.882980000099</v>
      </c>
      <c r="I460" s="264"/>
      <c r="J460" s="264"/>
    </row>
    <row r="461" spans="1:10" s="52" customFormat="1" ht="20.100000000000001" customHeight="1">
      <c r="A461" s="285">
        <v>21</v>
      </c>
      <c r="B461" s="2707" t="s">
        <v>467</v>
      </c>
      <c r="C461" s="2719"/>
      <c r="D461" s="2719"/>
      <c r="E461" s="2719"/>
      <c r="F461" s="2719"/>
      <c r="G461" s="2719"/>
      <c r="H461" s="2719">
        <f t="shared" si="55"/>
        <v>0</v>
      </c>
      <c r="I461" s="264"/>
      <c r="J461" s="264"/>
    </row>
    <row r="462" spans="1:10" s="52" customFormat="1" ht="20.100000000000001" customHeight="1">
      <c r="A462" s="285">
        <v>22</v>
      </c>
      <c r="B462" s="2707" t="s">
        <v>468</v>
      </c>
      <c r="C462" s="2719">
        <f>SUM(C460:C461)</f>
        <v>-1065.4858728571469</v>
      </c>
      <c r="D462" s="2719">
        <f>SUM(D460:D461)</f>
        <v>-709.78261857143411</v>
      </c>
      <c r="E462" s="2719">
        <f>SUM(E460:E461)</f>
        <v>-10735.729488571516</v>
      </c>
      <c r="F462" s="2719">
        <f>SUM(F460:F461)</f>
        <v>0</v>
      </c>
      <c r="G462" s="2719">
        <f>SUM(G460:G461)</f>
        <v>0.115</v>
      </c>
      <c r="H462" s="2719">
        <f t="shared" si="55"/>
        <v>-12510.882980000099</v>
      </c>
      <c r="I462" s="284"/>
      <c r="J462" s="264"/>
    </row>
    <row r="463" spans="1:10" s="52" customFormat="1" ht="17.45" customHeight="1">
      <c r="A463" s="285"/>
      <c r="B463" s="290"/>
      <c r="C463" s="289"/>
      <c r="D463" s="289"/>
      <c r="E463" s="289"/>
      <c r="F463" s="289"/>
      <c r="G463" s="289"/>
      <c r="H463" s="289"/>
      <c r="I463" s="284"/>
      <c r="J463" s="264"/>
    </row>
    <row r="464" spans="1:10" s="52" customFormat="1" ht="17.45" customHeight="1">
      <c r="A464" s="285"/>
      <c r="B464" s="290"/>
      <c r="C464" s="289"/>
      <c r="D464" s="289"/>
      <c r="E464" s="289"/>
      <c r="F464" s="289"/>
      <c r="G464" s="289"/>
      <c r="H464" s="289"/>
      <c r="I464" s="284"/>
      <c r="J464" s="264"/>
    </row>
    <row r="465" spans="1:14" s="54" customFormat="1" ht="17.45" customHeight="1">
      <c r="A465" s="3598">
        <v>14</v>
      </c>
      <c r="B465" s="3599" t="s">
        <v>112</v>
      </c>
      <c r="C465" s="3600">
        <v>2011</v>
      </c>
      <c r="D465" s="3600"/>
      <c r="E465" s="3600"/>
      <c r="F465" s="3600"/>
      <c r="G465" s="3600"/>
      <c r="H465" s="3600"/>
      <c r="I465" s="109"/>
      <c r="J465" s="109"/>
    </row>
    <row r="466" spans="1:14" s="54" customFormat="1" ht="17.45" customHeight="1">
      <c r="A466" s="3598"/>
      <c r="B466" s="3599"/>
      <c r="C466" s="2532" t="s">
        <v>436</v>
      </c>
      <c r="D466" s="2532" t="s">
        <v>437</v>
      </c>
      <c r="E466" s="2532" t="s">
        <v>438</v>
      </c>
      <c r="F466" s="2532" t="s">
        <v>722</v>
      </c>
      <c r="G466" s="2532" t="s">
        <v>723</v>
      </c>
      <c r="H466" s="2532" t="s">
        <v>118</v>
      </c>
      <c r="I466" s="3358"/>
      <c r="J466" s="109"/>
    </row>
    <row r="467" spans="1:14" s="54" customFormat="1" ht="17.45" customHeight="1">
      <c r="A467" s="3598"/>
      <c r="B467" s="3599"/>
      <c r="C467" s="2696" t="s">
        <v>142</v>
      </c>
      <c r="D467" s="2696" t="s">
        <v>142</v>
      </c>
      <c r="E467" s="2696" t="s">
        <v>142</v>
      </c>
      <c r="F467" s="2696" t="s">
        <v>142</v>
      </c>
      <c r="G467" s="2696" t="s">
        <v>142</v>
      </c>
      <c r="H467" s="2696" t="s">
        <v>142</v>
      </c>
      <c r="I467" s="3358"/>
      <c r="J467" s="109"/>
    </row>
    <row r="468" spans="1:14" s="52" customFormat="1" ht="17.45" customHeight="1">
      <c r="A468" s="285">
        <v>1</v>
      </c>
      <c r="B468" s="2697" t="s">
        <v>215</v>
      </c>
      <c r="C468" s="3601"/>
      <c r="D468" s="3601"/>
      <c r="E468" s="3601"/>
      <c r="F468" s="3601"/>
      <c r="G468" s="3601"/>
      <c r="H468" s="1711">
        <f>+H476+H485+H486+H487</f>
        <v>1584796</v>
      </c>
      <c r="I468" s="264"/>
      <c r="J468" s="278"/>
      <c r="K468" s="274"/>
      <c r="L468" s="274"/>
      <c r="M468" s="274"/>
      <c r="N468" s="274"/>
    </row>
    <row r="469" spans="1:14" s="52" customFormat="1" ht="17.45" customHeight="1">
      <c r="A469" s="285"/>
      <c r="B469" s="2697"/>
      <c r="C469" s="1789"/>
      <c r="D469" s="1789"/>
      <c r="E469" s="1789"/>
      <c r="F469" s="1789"/>
      <c r="G469" s="1789"/>
      <c r="H469" s="1789"/>
      <c r="I469" s="264"/>
      <c r="J469" s="278"/>
      <c r="K469" s="274"/>
      <c r="L469" s="274"/>
      <c r="M469" s="274"/>
      <c r="N469" s="274"/>
    </row>
    <row r="470" spans="1:14" s="52" customFormat="1" ht="20.100000000000001" customHeight="1">
      <c r="A470" s="285">
        <v>2</v>
      </c>
      <c r="B470" s="2699" t="s">
        <v>342</v>
      </c>
      <c r="C470" s="2719">
        <v>238767</v>
      </c>
      <c r="D470" s="2719">
        <v>14939</v>
      </c>
      <c r="E470" s="2719">
        <v>2002474</v>
      </c>
      <c r="F470" s="2719">
        <v>0</v>
      </c>
      <c r="G470" s="2719">
        <v>158608</v>
      </c>
      <c r="H470" s="2719">
        <f>SUM(C470:G470)</f>
        <v>2414788</v>
      </c>
      <c r="I470" s="286"/>
      <c r="J470" s="264"/>
    </row>
    <row r="471" spans="1:14" s="52" customFormat="1" ht="20.100000000000001" customHeight="1">
      <c r="A471" s="285">
        <v>3</v>
      </c>
      <c r="B471" s="2699" t="s">
        <v>444</v>
      </c>
      <c r="C471" s="2719">
        <v>-909</v>
      </c>
      <c r="D471" s="2719">
        <v>0</v>
      </c>
      <c r="E471" s="2719">
        <v>0</v>
      </c>
      <c r="F471" s="2719">
        <v>0</v>
      </c>
      <c r="G471" s="2719">
        <v>0</v>
      </c>
      <c r="H471" s="2719">
        <f>SUM(C471:G471)</f>
        <v>-909</v>
      </c>
      <c r="I471" s="286"/>
      <c r="J471" s="264"/>
    </row>
    <row r="472" spans="1:14" s="52" customFormat="1" ht="20.100000000000001" customHeight="1">
      <c r="A472" s="285">
        <v>4</v>
      </c>
      <c r="B472" s="2699" t="s">
        <v>445</v>
      </c>
      <c r="C472" s="2719">
        <v>-92256</v>
      </c>
      <c r="D472" s="2719">
        <v>0</v>
      </c>
      <c r="E472" s="2719">
        <v>-32829</v>
      </c>
      <c r="F472" s="2719">
        <v>0</v>
      </c>
      <c r="G472" s="2719">
        <v>-4216</v>
      </c>
      <c r="H472" s="2719">
        <f>SUM(C472:G472)</f>
        <v>-129301</v>
      </c>
      <c r="I472" s="286"/>
      <c r="J472" s="264"/>
    </row>
    <row r="473" spans="1:14" s="52" customFormat="1" ht="20.100000000000001" customHeight="1">
      <c r="A473" s="285">
        <v>5</v>
      </c>
      <c r="B473" s="2699" t="s">
        <v>446</v>
      </c>
      <c r="C473" s="2719">
        <v>-72549</v>
      </c>
      <c r="D473" s="2719">
        <v>-3773</v>
      </c>
      <c r="E473" s="2719">
        <v>-24990</v>
      </c>
      <c r="F473" s="2719">
        <v>0</v>
      </c>
      <c r="G473" s="2719">
        <v>-11280</v>
      </c>
      <c r="H473" s="2719">
        <f>SUM(C473:G473)</f>
        <v>-112592</v>
      </c>
      <c r="I473" s="264"/>
      <c r="J473" s="264"/>
    </row>
    <row r="474" spans="1:14" s="52" customFormat="1" ht="20.100000000000001" customHeight="1">
      <c r="A474" s="285">
        <v>6</v>
      </c>
      <c r="B474" s="2699" t="s">
        <v>727</v>
      </c>
      <c r="C474" s="2719">
        <f>SUM(C470:C473)</f>
        <v>73053</v>
      </c>
      <c r="D474" s="2719">
        <f>SUM(D470:D473)</f>
        <v>11166</v>
      </c>
      <c r="E474" s="2719">
        <f>SUM(E470:E473)</f>
        <v>1944655</v>
      </c>
      <c r="F474" s="2719">
        <f>SUM(F470:F473)</f>
        <v>0</v>
      </c>
      <c r="G474" s="2719">
        <f>SUM(G470:G473)</f>
        <v>143112</v>
      </c>
      <c r="H474" s="2719">
        <f>SUM(C474:G474)</f>
        <v>2171986</v>
      </c>
      <c r="I474" s="264"/>
      <c r="J474" s="264"/>
    </row>
    <row r="475" spans="1:14" s="52" customFormat="1" ht="20.100000000000001" customHeight="1">
      <c r="A475" s="285">
        <v>7</v>
      </c>
      <c r="B475" s="2699" t="s">
        <v>448</v>
      </c>
      <c r="C475" s="2722">
        <v>-27432</v>
      </c>
      <c r="D475" s="2722">
        <v>-3072</v>
      </c>
      <c r="E475" s="2722">
        <v>-632064</v>
      </c>
      <c r="F475" s="2722">
        <v>0</v>
      </c>
      <c r="G475" s="2722">
        <v>-31447</v>
      </c>
      <c r="H475" s="2719">
        <f t="shared" ref="H475:H481" si="56">SUM(C475:G475)</f>
        <v>-694015</v>
      </c>
      <c r="I475" s="264"/>
      <c r="J475" s="264"/>
    </row>
    <row r="476" spans="1:14" s="52" customFormat="1" ht="20.100000000000001" customHeight="1">
      <c r="A476" s="285">
        <v>8</v>
      </c>
      <c r="B476" s="2699" t="s">
        <v>728</v>
      </c>
      <c r="C476" s="2719">
        <f>SUM(C474:C475)</f>
        <v>45621</v>
      </c>
      <c r="D476" s="2719">
        <f>SUM(D474:D475)</f>
        <v>8094</v>
      </c>
      <c r="E476" s="2719">
        <f>SUM(E474:E475)</f>
        <v>1312591</v>
      </c>
      <c r="F476" s="2719">
        <f>SUM(F474:F475)</f>
        <v>0</v>
      </c>
      <c r="G476" s="2719">
        <f>SUM(G474:G475)</f>
        <v>111665</v>
      </c>
      <c r="H476" s="2719">
        <f t="shared" si="56"/>
        <v>1477971</v>
      </c>
      <c r="I476" s="264"/>
      <c r="J476" s="264"/>
    </row>
    <row r="477" spans="1:14" s="52" customFormat="1" ht="20.100000000000001" customHeight="1">
      <c r="A477" s="285"/>
      <c r="B477" s="2699"/>
      <c r="C477" s="2700"/>
      <c r="D477" s="2700"/>
      <c r="E477" s="2700"/>
      <c r="F477" s="2700"/>
      <c r="G477" s="2700"/>
      <c r="H477" s="2700">
        <f t="shared" si="56"/>
        <v>0</v>
      </c>
      <c r="I477" s="264"/>
      <c r="J477" s="264"/>
    </row>
    <row r="478" spans="1:14" s="52" customFormat="1" ht="20.100000000000001" customHeight="1">
      <c r="A478" s="285"/>
      <c r="B478" s="2697" t="s">
        <v>450</v>
      </c>
      <c r="C478" s="2700"/>
      <c r="D478" s="2700"/>
      <c r="E478" s="2700"/>
      <c r="F478" s="2700"/>
      <c r="G478" s="2700"/>
      <c r="H478" s="2700">
        <f t="shared" si="56"/>
        <v>0</v>
      </c>
      <c r="I478" s="264"/>
      <c r="J478" s="264"/>
    </row>
    <row r="479" spans="1:14" s="52" customFormat="1" ht="20.100000000000001" customHeight="1">
      <c r="A479" s="285">
        <v>9</v>
      </c>
      <c r="B479" s="2699" t="s">
        <v>451</v>
      </c>
      <c r="C479" s="2722">
        <v>-27692</v>
      </c>
      <c r="D479" s="2722">
        <v>-2166.92076</v>
      </c>
      <c r="E479" s="2722">
        <v>-1089576.11161</v>
      </c>
      <c r="F479" s="2722">
        <v>0</v>
      </c>
      <c r="G479" s="2722">
        <v>-115778.11949</v>
      </c>
      <c r="H479" s="2719">
        <f t="shared" si="56"/>
        <v>-1235213.1518599999</v>
      </c>
      <c r="I479" s="264"/>
      <c r="J479" s="264"/>
    </row>
    <row r="480" spans="1:14" s="52" customFormat="1" ht="20.100000000000001" customHeight="1">
      <c r="A480" s="285">
        <v>10</v>
      </c>
      <c r="B480" s="2699" t="s">
        <v>452</v>
      </c>
      <c r="C480" s="2722">
        <v>15184</v>
      </c>
      <c r="D480" s="2722">
        <v>34</v>
      </c>
      <c r="E480" s="2722">
        <v>-160091</v>
      </c>
      <c r="F480" s="2722">
        <v>0</v>
      </c>
      <c r="G480" s="2722">
        <v>-530</v>
      </c>
      <c r="H480" s="2719">
        <f t="shared" si="56"/>
        <v>-145403</v>
      </c>
      <c r="I480" s="264"/>
      <c r="J480" s="264"/>
    </row>
    <row r="481" spans="1:10" s="52" customFormat="1" ht="20.100000000000001" customHeight="1">
      <c r="A481" s="285">
        <v>11</v>
      </c>
      <c r="B481" s="2699" t="s">
        <v>453</v>
      </c>
      <c r="C481" s="2719">
        <v>0</v>
      </c>
      <c r="D481" s="2719">
        <v>0</v>
      </c>
      <c r="E481" s="2719">
        <v>0</v>
      </c>
      <c r="F481" s="2719">
        <v>0</v>
      </c>
      <c r="G481" s="2719">
        <v>0</v>
      </c>
      <c r="H481" s="2719">
        <f t="shared" si="56"/>
        <v>0</v>
      </c>
      <c r="I481" s="264"/>
      <c r="J481" s="264"/>
    </row>
    <row r="482" spans="1:10" s="52" customFormat="1" ht="20.100000000000001" customHeight="1">
      <c r="A482" s="287">
        <v>12</v>
      </c>
      <c r="B482" s="2701" t="s">
        <v>454</v>
      </c>
      <c r="C482" s="2720">
        <f>SUM(C476:C481)</f>
        <v>33113</v>
      </c>
      <c r="D482" s="2720">
        <f>SUM(D476:D481)</f>
        <v>5961.07924</v>
      </c>
      <c r="E482" s="2720">
        <f>SUM(E476:E481)</f>
        <v>62923.888389999978</v>
      </c>
      <c r="F482" s="2720">
        <f>SUM(F476:F481)</f>
        <v>0</v>
      </c>
      <c r="G482" s="2720">
        <f>SUM(G476:G481)</f>
        <v>-4643.1194899999973</v>
      </c>
      <c r="H482" s="2719">
        <f>SUM(C482:G482)</f>
        <v>97354.848139999973</v>
      </c>
      <c r="I482" s="288"/>
      <c r="J482" s="264"/>
    </row>
    <row r="483" spans="1:10" s="52" customFormat="1" ht="20.100000000000001" customHeight="1">
      <c r="A483" s="285"/>
      <c r="B483" s="2702"/>
      <c r="C483" s="2700"/>
      <c r="D483" s="2700"/>
      <c r="E483" s="2700"/>
      <c r="F483" s="2700"/>
      <c r="G483" s="2700"/>
      <c r="H483" s="2700">
        <f t="shared" ref="H483:H495" si="57">SUM(C483:G483)</f>
        <v>0</v>
      </c>
      <c r="I483" s="264"/>
      <c r="J483" s="264"/>
    </row>
    <row r="484" spans="1:10" s="52" customFormat="1" ht="20.100000000000001" customHeight="1">
      <c r="A484" s="285"/>
      <c r="B484" s="2703" t="s">
        <v>455</v>
      </c>
      <c r="C484" s="2700"/>
      <c r="D484" s="2700"/>
      <c r="E484" s="2700"/>
      <c r="F484" s="2700"/>
      <c r="G484" s="2700"/>
      <c r="H484" s="2700">
        <f t="shared" si="57"/>
        <v>0</v>
      </c>
      <c r="I484" s="264"/>
      <c r="J484" s="264"/>
    </row>
    <row r="485" spans="1:10" s="52" customFormat="1" ht="20.100000000000001" customHeight="1">
      <c r="A485" s="285">
        <v>13</v>
      </c>
      <c r="B485" s="2699" t="s">
        <v>456</v>
      </c>
      <c r="C485" s="2719">
        <v>1163</v>
      </c>
      <c r="D485" s="2719">
        <v>200</v>
      </c>
      <c r="E485" s="2719">
        <v>15165</v>
      </c>
      <c r="F485" s="2719">
        <v>0</v>
      </c>
      <c r="G485" s="2719">
        <v>1312</v>
      </c>
      <c r="H485" s="2719">
        <f t="shared" si="57"/>
        <v>17840</v>
      </c>
      <c r="I485" s="264"/>
      <c r="J485" s="264"/>
    </row>
    <row r="486" spans="1:10" s="52" customFormat="1" ht="20.100000000000001" customHeight="1">
      <c r="A486" s="285">
        <v>14</v>
      </c>
      <c r="B486" s="2697" t="s">
        <v>457</v>
      </c>
      <c r="C486" s="2719">
        <v>2746.5430370419986</v>
      </c>
      <c r="D486" s="2719">
        <v>487.28698059704823</v>
      </c>
      <c r="E486" s="2719">
        <v>79022.548202231308</v>
      </c>
      <c r="F486" s="2719">
        <v>0</v>
      </c>
      <c r="G486" s="2719">
        <v>6722.6217801296507</v>
      </c>
      <c r="H486" s="2719">
        <f t="shared" si="57"/>
        <v>88979</v>
      </c>
      <c r="I486" s="264"/>
      <c r="J486" s="264"/>
    </row>
    <row r="487" spans="1:10" s="52" customFormat="1" ht="20.100000000000001" customHeight="1">
      <c r="A487" s="285">
        <v>15</v>
      </c>
      <c r="B487" s="2699" t="s">
        <v>460</v>
      </c>
      <c r="C487" s="2719">
        <v>0</v>
      </c>
      <c r="D487" s="2719">
        <v>0</v>
      </c>
      <c r="E487" s="2719">
        <v>0</v>
      </c>
      <c r="F487" s="2719">
        <v>0</v>
      </c>
      <c r="G487" s="2719">
        <v>6</v>
      </c>
      <c r="H487" s="2719">
        <f t="shared" si="57"/>
        <v>6</v>
      </c>
      <c r="I487" s="264"/>
      <c r="J487" s="264"/>
    </row>
    <row r="488" spans="1:10" s="52" customFormat="1" ht="20.100000000000001" customHeight="1">
      <c r="A488" s="285"/>
      <c r="B488" s="2697" t="s">
        <v>461</v>
      </c>
      <c r="C488" s="2700"/>
      <c r="D488" s="2700"/>
      <c r="E488" s="2700"/>
      <c r="F488" s="2700"/>
      <c r="G488" s="2700"/>
      <c r="H488" s="2700">
        <f t="shared" si="57"/>
        <v>0</v>
      </c>
      <c r="I488" s="264"/>
      <c r="J488" s="264"/>
    </row>
    <row r="489" spans="1:10" s="52" customFormat="1" ht="29.25" customHeight="1">
      <c r="A489" s="285">
        <v>16</v>
      </c>
      <c r="B489" s="2705" t="s">
        <v>462</v>
      </c>
      <c r="C489" s="2719">
        <v>-3297.8641935464225</v>
      </c>
      <c r="D489" s="2719">
        <v>-585.10143974408152</v>
      </c>
      <c r="E489" s="2719">
        <v>-94884.962181260664</v>
      </c>
      <c r="F489" s="2719">
        <v>0</v>
      </c>
      <c r="G489" s="2719">
        <v>-8072.0721854488347</v>
      </c>
      <c r="H489" s="2719">
        <f t="shared" si="57"/>
        <v>-106840</v>
      </c>
      <c r="I489" s="264"/>
      <c r="J489" s="264"/>
    </row>
    <row r="490" spans="1:10" s="52" customFormat="1" ht="20.100000000000001" customHeight="1">
      <c r="A490" s="285">
        <v>17</v>
      </c>
      <c r="B490" s="2699" t="s">
        <v>463</v>
      </c>
      <c r="C490" s="2700"/>
      <c r="D490" s="2700"/>
      <c r="E490" s="2700"/>
      <c r="F490" s="2700"/>
      <c r="G490" s="2700"/>
      <c r="H490" s="2700">
        <f t="shared" si="57"/>
        <v>0</v>
      </c>
      <c r="I490" s="264"/>
      <c r="J490" s="264"/>
    </row>
    <row r="491" spans="1:10" s="52" customFormat="1" ht="20.100000000000001" customHeight="1">
      <c r="A491" s="285">
        <v>18</v>
      </c>
      <c r="B491" s="2697" t="s">
        <v>464</v>
      </c>
      <c r="C491" s="2719">
        <f>SUM(C482:C490)</f>
        <v>33724.678843495574</v>
      </c>
      <c r="D491" s="2719">
        <f>SUM(D482:D490)</f>
        <v>6063.2647808529673</v>
      </c>
      <c r="E491" s="2719">
        <f>SUM(E482:E490)</f>
        <v>62226.474410970608</v>
      </c>
      <c r="F491" s="2719">
        <f>SUM(F482:F490)</f>
        <v>0</v>
      </c>
      <c r="G491" s="2719">
        <f>SUM(G482:G490)</f>
        <v>-4674.5698953191813</v>
      </c>
      <c r="H491" s="2719">
        <f t="shared" si="57"/>
        <v>97339.848139999973</v>
      </c>
      <c r="I491" s="264"/>
      <c r="J491" s="264"/>
    </row>
    <row r="492" spans="1:10" s="52" customFormat="1" ht="20.100000000000001" customHeight="1">
      <c r="A492" s="285">
        <v>19</v>
      </c>
      <c r="B492" s="2699" t="s">
        <v>465</v>
      </c>
      <c r="C492" s="2700"/>
      <c r="D492" s="2700"/>
      <c r="E492" s="2700"/>
      <c r="F492" s="2700"/>
      <c r="G492" s="2700"/>
      <c r="H492" s="2700">
        <f t="shared" si="57"/>
        <v>0</v>
      </c>
      <c r="I492" s="264"/>
      <c r="J492" s="264"/>
    </row>
    <row r="493" spans="1:10" s="52" customFormat="1" ht="20.100000000000001" customHeight="1">
      <c r="A493" s="285">
        <v>20</v>
      </c>
      <c r="B493" s="2707" t="s">
        <v>466</v>
      </c>
      <c r="C493" s="2719">
        <f>SUM(C491:C492)</f>
        <v>33724.678843495574</v>
      </c>
      <c r="D493" s="2719">
        <f>SUM(D491:D492)</f>
        <v>6063.2647808529673</v>
      </c>
      <c r="E493" s="2719">
        <f>SUM(E491:E492)</f>
        <v>62226.474410970608</v>
      </c>
      <c r="F493" s="2719">
        <f>SUM(F491:F492)</f>
        <v>0</v>
      </c>
      <c r="G493" s="2719">
        <f>SUM(G491:G492)</f>
        <v>-4674.5698953191813</v>
      </c>
      <c r="H493" s="2719">
        <f t="shared" si="57"/>
        <v>97339.848139999973</v>
      </c>
      <c r="I493" s="264"/>
      <c r="J493" s="264"/>
    </row>
    <row r="494" spans="1:10" s="52" customFormat="1" ht="20.100000000000001" customHeight="1">
      <c r="A494" s="285">
        <v>21</v>
      </c>
      <c r="B494" s="2707" t="s">
        <v>467</v>
      </c>
      <c r="C494" s="2719">
        <v>-684.08148874368976</v>
      </c>
      <c r="D494" s="2719">
        <v>-121.3685708312274</v>
      </c>
      <c r="E494" s="2719">
        <v>-19682.146498138325</v>
      </c>
      <c r="F494" s="2719">
        <v>0</v>
      </c>
      <c r="G494" s="2719">
        <v>-1674.4034422867567</v>
      </c>
      <c r="H494" s="2719">
        <f t="shared" si="57"/>
        <v>-22161.999999999996</v>
      </c>
      <c r="I494" s="264"/>
      <c r="J494" s="264"/>
    </row>
    <row r="495" spans="1:10" s="52" customFormat="1" ht="20.100000000000001" customHeight="1">
      <c r="A495" s="285">
        <v>22</v>
      </c>
      <c r="B495" s="2707" t="s">
        <v>468</v>
      </c>
      <c r="C495" s="2719">
        <f>SUM(C493:C494)</f>
        <v>33040.597354751888</v>
      </c>
      <c r="D495" s="2719">
        <f>SUM(D493:D494)</f>
        <v>5941.8962100217395</v>
      </c>
      <c r="E495" s="2719">
        <f>SUM(E493:E494)</f>
        <v>42544.327912832283</v>
      </c>
      <c r="F495" s="2719">
        <f>SUM(F493:F494)</f>
        <v>0</v>
      </c>
      <c r="G495" s="2719">
        <f>SUM(G493:G494)</f>
        <v>-6348.9733376059376</v>
      </c>
      <c r="H495" s="2719">
        <f t="shared" si="57"/>
        <v>75177.848139999958</v>
      </c>
      <c r="I495" s="284"/>
      <c r="J495" s="264"/>
    </row>
    <row r="496" spans="1:10" s="52" customFormat="1" ht="17.45" customHeight="1">
      <c r="A496" s="285"/>
      <c r="B496" s="290"/>
      <c r="C496" s="289"/>
      <c r="D496" s="289"/>
      <c r="E496" s="289"/>
      <c r="F496" s="289"/>
      <c r="G496" s="289"/>
      <c r="H496" s="289"/>
      <c r="I496" s="284"/>
      <c r="J496" s="264"/>
    </row>
    <row r="497" spans="1:14" s="52" customFormat="1" ht="17.45" customHeight="1">
      <c r="A497" s="285"/>
      <c r="B497" s="290"/>
      <c r="C497" s="289"/>
      <c r="D497" s="289"/>
      <c r="E497" s="289"/>
      <c r="F497" s="289"/>
      <c r="G497" s="289"/>
      <c r="H497" s="289"/>
      <c r="I497" s="284"/>
      <c r="J497" s="264"/>
    </row>
    <row r="498" spans="1:14" s="54" customFormat="1" ht="17.45" customHeight="1">
      <c r="A498" s="3598">
        <v>15</v>
      </c>
      <c r="B498" s="3599" t="s">
        <v>135</v>
      </c>
      <c r="C498" s="3600">
        <v>2011</v>
      </c>
      <c r="D498" s="3600"/>
      <c r="E498" s="3600"/>
      <c r="F498" s="3600"/>
      <c r="G498" s="3600"/>
      <c r="H498" s="3600"/>
      <c r="I498" s="109"/>
      <c r="J498" s="109"/>
    </row>
    <row r="499" spans="1:14" s="54" customFormat="1" ht="17.45" customHeight="1">
      <c r="A499" s="3598"/>
      <c r="B499" s="3599"/>
      <c r="C499" s="2532" t="s">
        <v>436</v>
      </c>
      <c r="D499" s="2532" t="s">
        <v>437</v>
      </c>
      <c r="E499" s="2532" t="s">
        <v>438</v>
      </c>
      <c r="F499" s="2532" t="s">
        <v>722</v>
      </c>
      <c r="G499" s="2532" t="s">
        <v>723</v>
      </c>
      <c r="H499" s="2532" t="s">
        <v>118</v>
      </c>
      <c r="I499" s="3358"/>
      <c r="J499" s="109"/>
    </row>
    <row r="500" spans="1:14" s="54" customFormat="1" ht="17.45" customHeight="1">
      <c r="A500" s="3598"/>
      <c r="B500" s="3599"/>
      <c r="C500" s="2696" t="s">
        <v>142</v>
      </c>
      <c r="D500" s="2696" t="s">
        <v>142</v>
      </c>
      <c r="E500" s="2696" t="s">
        <v>142</v>
      </c>
      <c r="F500" s="2696" t="s">
        <v>142</v>
      </c>
      <c r="G500" s="2696" t="s">
        <v>142</v>
      </c>
      <c r="H500" s="2696" t="s">
        <v>142</v>
      </c>
      <c r="I500" s="3358"/>
      <c r="J500" s="109"/>
    </row>
    <row r="501" spans="1:14" s="52" customFormat="1" ht="17.45" customHeight="1">
      <c r="A501" s="285">
        <v>1</v>
      </c>
      <c r="B501" s="2697" t="s">
        <v>215</v>
      </c>
      <c r="C501" s="3601"/>
      <c r="D501" s="3601"/>
      <c r="E501" s="3601"/>
      <c r="F501" s="3601"/>
      <c r="G501" s="3601"/>
      <c r="H501" s="1711">
        <f>+H509+H518+H519+H520</f>
        <v>233318</v>
      </c>
      <c r="I501" s="264"/>
      <c r="J501" s="278"/>
      <c r="K501" s="274"/>
      <c r="L501" s="274"/>
      <c r="M501" s="274"/>
      <c r="N501" s="274"/>
    </row>
    <row r="502" spans="1:14" s="52" customFormat="1" ht="5.25" customHeight="1">
      <c r="A502" s="285"/>
      <c r="B502" s="2697"/>
      <c r="C502" s="1789"/>
      <c r="D502" s="1789"/>
      <c r="E502" s="1789"/>
      <c r="F502" s="1789"/>
      <c r="G502" s="1789"/>
      <c r="H502" s="1789"/>
      <c r="I502" s="264"/>
      <c r="J502" s="278"/>
      <c r="K502" s="274"/>
      <c r="L502" s="274"/>
      <c r="M502" s="274"/>
      <c r="N502" s="274"/>
    </row>
    <row r="503" spans="1:14" s="52" customFormat="1" ht="20.100000000000001" customHeight="1">
      <c r="A503" s="285">
        <v>2</v>
      </c>
      <c r="B503" s="2699" t="s">
        <v>342</v>
      </c>
      <c r="C503" s="2719">
        <v>17770</v>
      </c>
      <c r="D503" s="2719"/>
      <c r="E503" s="2719">
        <v>135535</v>
      </c>
      <c r="F503" s="2719"/>
      <c r="G503" s="2719">
        <v>79069</v>
      </c>
      <c r="H503" s="2719">
        <f t="shared" ref="H503:H515" si="58">SUM(C503:G503)</f>
        <v>232374</v>
      </c>
      <c r="I503" s="286"/>
      <c r="J503" s="264"/>
    </row>
    <row r="504" spans="1:14" s="52" customFormat="1" ht="20.100000000000001" customHeight="1">
      <c r="A504" s="285">
        <v>3</v>
      </c>
      <c r="B504" s="2699" t="s">
        <v>444</v>
      </c>
      <c r="C504" s="2719"/>
      <c r="D504" s="2719"/>
      <c r="E504" s="2719"/>
      <c r="F504" s="2719"/>
      <c r="G504" s="2719"/>
      <c r="H504" s="2719">
        <f t="shared" si="58"/>
        <v>0</v>
      </c>
      <c r="I504" s="286"/>
      <c r="J504" s="264"/>
    </row>
    <row r="505" spans="1:14" s="52" customFormat="1" ht="20.100000000000001" customHeight="1">
      <c r="A505" s="285">
        <v>4</v>
      </c>
      <c r="B505" s="2699" t="s">
        <v>445</v>
      </c>
      <c r="C505" s="2719"/>
      <c r="D505" s="2719"/>
      <c r="E505" s="2719"/>
      <c r="F505" s="2719"/>
      <c r="G505" s="2719"/>
      <c r="H505" s="2719">
        <f t="shared" si="58"/>
        <v>0</v>
      </c>
      <c r="I505" s="286"/>
      <c r="J505" s="264"/>
    </row>
    <row r="506" spans="1:14" s="52" customFormat="1" ht="20.100000000000001" customHeight="1">
      <c r="A506" s="285">
        <v>5</v>
      </c>
      <c r="B506" s="2699" t="s">
        <v>446</v>
      </c>
      <c r="C506" s="2719">
        <v>-12143</v>
      </c>
      <c r="D506" s="2719"/>
      <c r="E506" s="2719">
        <v>-4653</v>
      </c>
      <c r="F506" s="2719"/>
      <c r="G506" s="2719">
        <v>-49726</v>
      </c>
      <c r="H506" s="2719">
        <f t="shared" si="58"/>
        <v>-66522</v>
      </c>
      <c r="I506" s="264"/>
      <c r="J506" s="264"/>
    </row>
    <row r="507" spans="1:14" s="52" customFormat="1" ht="20.100000000000001" customHeight="1">
      <c r="A507" s="285">
        <v>6</v>
      </c>
      <c r="B507" s="2699" t="s">
        <v>727</v>
      </c>
      <c r="C507" s="2719">
        <f>SUM(C503:C506)</f>
        <v>5627</v>
      </c>
      <c r="D507" s="2719">
        <f>SUM(D503:D506)</f>
        <v>0</v>
      </c>
      <c r="E507" s="2719">
        <f>SUM(E503:E506)</f>
        <v>130882</v>
      </c>
      <c r="F507" s="2719">
        <f>SUM(F503:F506)</f>
        <v>0</v>
      </c>
      <c r="G507" s="2719">
        <f>SUM(G503:G506)</f>
        <v>29343</v>
      </c>
      <c r="H507" s="2719">
        <f t="shared" si="58"/>
        <v>165852</v>
      </c>
      <c r="I507" s="264"/>
      <c r="J507" s="264"/>
    </row>
    <row r="508" spans="1:14" s="52" customFormat="1" ht="20.100000000000001" customHeight="1">
      <c r="A508" s="285">
        <v>7</v>
      </c>
      <c r="B508" s="2699" t="s">
        <v>448</v>
      </c>
      <c r="C508" s="2719">
        <v>252</v>
      </c>
      <c r="D508" s="2719"/>
      <c r="E508" s="2719">
        <v>-18707</v>
      </c>
      <c r="F508" s="2719"/>
      <c r="G508" s="2719">
        <v>20767</v>
      </c>
      <c r="H508" s="2719">
        <f t="shared" si="58"/>
        <v>2312</v>
      </c>
      <c r="I508" s="264"/>
      <c r="J508" s="264"/>
    </row>
    <row r="509" spans="1:14" s="52" customFormat="1" ht="20.100000000000001" customHeight="1">
      <c r="A509" s="285">
        <v>8</v>
      </c>
      <c r="B509" s="2699" t="s">
        <v>728</v>
      </c>
      <c r="C509" s="2719">
        <f>SUM(C507:C508)</f>
        <v>5879</v>
      </c>
      <c r="D509" s="2719">
        <f>SUM(D507:D508)</f>
        <v>0</v>
      </c>
      <c r="E509" s="2719">
        <f>SUM(E507:E508)</f>
        <v>112175</v>
      </c>
      <c r="F509" s="2719">
        <f>SUM(F507:F508)</f>
        <v>0</v>
      </c>
      <c r="G509" s="2719">
        <f>SUM(G507:G508)</f>
        <v>50110</v>
      </c>
      <c r="H509" s="2719">
        <f t="shared" si="58"/>
        <v>168164</v>
      </c>
      <c r="I509" s="264"/>
      <c r="J509" s="264"/>
    </row>
    <row r="510" spans="1:14" s="52" customFormat="1" ht="20.100000000000001" customHeight="1">
      <c r="A510" s="285"/>
      <c r="B510" s="2699"/>
      <c r="C510" s="2700"/>
      <c r="D510" s="2700"/>
      <c r="E510" s="2700"/>
      <c r="F510" s="2700"/>
      <c r="G510" s="2700"/>
      <c r="H510" s="2700">
        <f t="shared" si="58"/>
        <v>0</v>
      </c>
      <c r="I510" s="264"/>
      <c r="J510" s="264"/>
    </row>
    <row r="511" spans="1:14" s="52" customFormat="1" ht="20.100000000000001" customHeight="1">
      <c r="A511" s="285"/>
      <c r="B511" s="2697" t="s">
        <v>450</v>
      </c>
      <c r="C511" s="2700"/>
      <c r="D511" s="2700"/>
      <c r="E511" s="2700"/>
      <c r="F511" s="2700"/>
      <c r="G511" s="2700"/>
      <c r="H511" s="2700">
        <f t="shared" si="58"/>
        <v>0</v>
      </c>
      <c r="I511" s="264"/>
      <c r="J511" s="264"/>
    </row>
    <row r="512" spans="1:14" s="52" customFormat="1" ht="20.100000000000001" customHeight="1">
      <c r="A512" s="285">
        <v>9</v>
      </c>
      <c r="B512" s="2699" t="s">
        <v>451</v>
      </c>
      <c r="C512" s="2719">
        <v>-4476</v>
      </c>
      <c r="D512" s="2719"/>
      <c r="E512" s="2719">
        <v>-44141</v>
      </c>
      <c r="F512" s="2719"/>
      <c r="G512" s="2719">
        <v>-16278</v>
      </c>
      <c r="H512" s="2719">
        <f t="shared" si="58"/>
        <v>-64895</v>
      </c>
      <c r="I512" s="264"/>
      <c r="J512" s="264"/>
    </row>
    <row r="513" spans="1:10" s="52" customFormat="1" ht="20.100000000000001" customHeight="1">
      <c r="A513" s="285">
        <v>10</v>
      </c>
      <c r="B513" s="2699" t="s">
        <v>452</v>
      </c>
      <c r="C513" s="2700"/>
      <c r="D513" s="2700"/>
      <c r="E513" s="2700"/>
      <c r="F513" s="2700"/>
      <c r="G513" s="2700"/>
      <c r="H513" s="2700">
        <f t="shared" si="58"/>
        <v>0</v>
      </c>
      <c r="I513" s="264"/>
      <c r="J513" s="264"/>
    </row>
    <row r="514" spans="1:10" s="52" customFormat="1" ht="20.100000000000001" customHeight="1">
      <c r="A514" s="285">
        <v>11</v>
      </c>
      <c r="B514" s="2699" t="s">
        <v>453</v>
      </c>
      <c r="C514" s="2719">
        <v>1663</v>
      </c>
      <c r="D514" s="2719"/>
      <c r="E514" s="2719">
        <v>-6868</v>
      </c>
      <c r="F514" s="2719"/>
      <c r="G514" s="2719">
        <v>4306</v>
      </c>
      <c r="H514" s="2719">
        <f t="shared" si="58"/>
        <v>-899</v>
      </c>
      <c r="I514" s="264"/>
      <c r="J514" s="264"/>
    </row>
    <row r="515" spans="1:10" s="52" customFormat="1" ht="20.100000000000001" customHeight="1">
      <c r="A515" s="287">
        <v>12</v>
      </c>
      <c r="B515" s="2701" t="s">
        <v>454</v>
      </c>
      <c r="C515" s="2720">
        <f>SUM(C509:C514)</f>
        <v>3066</v>
      </c>
      <c r="D515" s="2720">
        <f>SUM(D509:D514)</f>
        <v>0</v>
      </c>
      <c r="E515" s="2720">
        <f>SUM(E509:E514)</f>
        <v>61166</v>
      </c>
      <c r="F515" s="2720">
        <f>SUM(F509:F514)</f>
        <v>0</v>
      </c>
      <c r="G515" s="2720">
        <f>SUM(G509:G514)</f>
        <v>38138</v>
      </c>
      <c r="H515" s="2719">
        <f t="shared" si="58"/>
        <v>102370</v>
      </c>
      <c r="I515" s="288"/>
      <c r="J515" s="264"/>
    </row>
    <row r="516" spans="1:10" s="52" customFormat="1" ht="20.100000000000001" customHeight="1">
      <c r="A516" s="285"/>
      <c r="B516" s="2702"/>
      <c r="C516" s="2700"/>
      <c r="D516" s="2700"/>
      <c r="E516" s="2700"/>
      <c r="F516" s="2700"/>
      <c r="G516" s="2700"/>
      <c r="H516" s="2700">
        <f t="shared" ref="H516:H526" si="59">SUM(C516:G516)</f>
        <v>0</v>
      </c>
      <c r="I516" s="264"/>
      <c r="J516" s="264"/>
    </row>
    <row r="517" spans="1:10" s="52" customFormat="1" ht="20.100000000000001" customHeight="1">
      <c r="A517" s="285"/>
      <c r="B517" s="2703" t="s">
        <v>455</v>
      </c>
      <c r="C517" s="2700"/>
      <c r="D517" s="2700"/>
      <c r="E517" s="2700"/>
      <c r="F517" s="2700"/>
      <c r="G517" s="2700"/>
      <c r="H517" s="2700">
        <f t="shared" si="59"/>
        <v>0</v>
      </c>
      <c r="I517" s="264"/>
      <c r="J517" s="264"/>
    </row>
    <row r="518" spans="1:10" s="52" customFormat="1" ht="20.100000000000001" customHeight="1">
      <c r="A518" s="285">
        <v>13</v>
      </c>
      <c r="B518" s="2699" t="s">
        <v>456</v>
      </c>
      <c r="C518" s="2719">
        <v>90</v>
      </c>
      <c r="D518" s="2719"/>
      <c r="E518" s="2719">
        <v>6889</v>
      </c>
      <c r="F518" s="2719"/>
      <c r="G518" s="2719">
        <v>4832</v>
      </c>
      <c r="H518" s="2719">
        <f t="shared" si="59"/>
        <v>11811</v>
      </c>
      <c r="I518" s="264"/>
      <c r="J518" s="264"/>
    </row>
    <row r="519" spans="1:10" s="52" customFormat="1" ht="20.100000000000001" customHeight="1">
      <c r="A519" s="285">
        <v>14</v>
      </c>
      <c r="B519" s="2697" t="s">
        <v>457</v>
      </c>
      <c r="C519" s="2719">
        <v>2284</v>
      </c>
      <c r="D519" s="2719"/>
      <c r="E519" s="2719">
        <v>17421</v>
      </c>
      <c r="F519" s="2719"/>
      <c r="G519" s="2719">
        <v>10164</v>
      </c>
      <c r="H519" s="2719">
        <f t="shared" si="59"/>
        <v>29869</v>
      </c>
      <c r="I519" s="264"/>
      <c r="J519" s="264"/>
    </row>
    <row r="520" spans="1:10" s="52" customFormat="1" ht="20.100000000000001" customHeight="1">
      <c r="A520" s="285">
        <v>15</v>
      </c>
      <c r="B520" s="2699" t="s">
        <v>460</v>
      </c>
      <c r="C520" s="2719">
        <v>1795</v>
      </c>
      <c r="D520" s="2719"/>
      <c r="E520" s="2719">
        <v>13691</v>
      </c>
      <c r="F520" s="2719"/>
      <c r="G520" s="2719">
        <v>7988</v>
      </c>
      <c r="H520" s="2719">
        <f t="shared" si="59"/>
        <v>23474</v>
      </c>
      <c r="I520" s="264"/>
      <c r="J520" s="264"/>
    </row>
    <row r="521" spans="1:10" s="52" customFormat="1" ht="20.100000000000001" customHeight="1">
      <c r="A521" s="285"/>
      <c r="B521" s="2697" t="s">
        <v>461</v>
      </c>
      <c r="C521" s="2719"/>
      <c r="D521" s="2719"/>
      <c r="E521" s="2719"/>
      <c r="F521" s="2719"/>
      <c r="G521" s="2719"/>
      <c r="H521" s="2719">
        <f t="shared" si="59"/>
        <v>0</v>
      </c>
      <c r="I521" s="264"/>
      <c r="J521" s="264"/>
    </row>
    <row r="522" spans="1:10" s="52" customFormat="1" ht="29.25" customHeight="1">
      <c r="A522" s="285">
        <v>16</v>
      </c>
      <c r="B522" s="2705" t="s">
        <v>462</v>
      </c>
      <c r="C522" s="2719">
        <v>-10462</v>
      </c>
      <c r="D522" s="2719"/>
      <c r="E522" s="2719">
        <v>-79793</v>
      </c>
      <c r="F522" s="2719"/>
      <c r="G522" s="2719">
        <v>-49132</v>
      </c>
      <c r="H522" s="2719">
        <f t="shared" si="59"/>
        <v>-139387</v>
      </c>
      <c r="I522" s="264"/>
      <c r="J522" s="264"/>
    </row>
    <row r="523" spans="1:10" s="52" customFormat="1" ht="20.100000000000001" customHeight="1">
      <c r="A523" s="285">
        <v>17</v>
      </c>
      <c r="B523" s="2699" t="s">
        <v>463</v>
      </c>
      <c r="C523" s="2719"/>
      <c r="D523" s="2719"/>
      <c r="E523" s="2719"/>
      <c r="F523" s="2719"/>
      <c r="G523" s="2719"/>
      <c r="H523" s="2719">
        <f t="shared" si="59"/>
        <v>0</v>
      </c>
      <c r="I523" s="264"/>
      <c r="J523" s="264"/>
    </row>
    <row r="524" spans="1:10" s="52" customFormat="1" ht="20.100000000000001" customHeight="1">
      <c r="A524" s="285">
        <v>18</v>
      </c>
      <c r="B524" s="2697" t="s">
        <v>464</v>
      </c>
      <c r="C524" s="2719">
        <f>SUM(C515:C523)</f>
        <v>-3227</v>
      </c>
      <c r="D524" s="2719">
        <f>SUM(D515:D523)</f>
        <v>0</v>
      </c>
      <c r="E524" s="2719">
        <f>SUM(E515:E523)</f>
        <v>19374</v>
      </c>
      <c r="F524" s="2719">
        <f>SUM(F515:F523)</f>
        <v>0</v>
      </c>
      <c r="G524" s="2719">
        <f>SUM(G515:G523)</f>
        <v>11990</v>
      </c>
      <c r="H524" s="2719">
        <f t="shared" si="59"/>
        <v>28137</v>
      </c>
      <c r="I524" s="264"/>
      <c r="J524" s="264"/>
    </row>
    <row r="525" spans="1:10" s="52" customFormat="1" ht="20.100000000000001" customHeight="1">
      <c r="A525" s="285">
        <v>19</v>
      </c>
      <c r="B525" s="2699" t="s">
        <v>465</v>
      </c>
      <c r="C525" s="2719"/>
      <c r="D525" s="2719"/>
      <c r="E525" s="2719"/>
      <c r="F525" s="2719"/>
      <c r="G525" s="2719"/>
      <c r="H525" s="2719">
        <f t="shared" si="59"/>
        <v>0</v>
      </c>
      <c r="I525" s="264"/>
      <c r="J525" s="264"/>
    </row>
    <row r="526" spans="1:10" s="52" customFormat="1" ht="20.100000000000001" customHeight="1">
      <c r="A526" s="285">
        <v>20</v>
      </c>
      <c r="B526" s="2707" t="s">
        <v>466</v>
      </c>
      <c r="C526" s="2719">
        <f>SUM(C524:C525)</f>
        <v>-3227</v>
      </c>
      <c r="D526" s="2719">
        <f>SUM(D524:D525)</f>
        <v>0</v>
      </c>
      <c r="E526" s="2719">
        <f>SUM(E524:E525)</f>
        <v>19374</v>
      </c>
      <c r="F526" s="2719">
        <f>SUM(F524:F525)</f>
        <v>0</v>
      </c>
      <c r="G526" s="2719">
        <f>SUM(G524:G525)</f>
        <v>11990</v>
      </c>
      <c r="H526" s="2719">
        <f t="shared" si="59"/>
        <v>28137</v>
      </c>
      <c r="I526" s="264"/>
      <c r="J526" s="264"/>
    </row>
    <row r="527" spans="1:10" s="52" customFormat="1" ht="20.100000000000001" customHeight="1">
      <c r="A527" s="285">
        <v>21</v>
      </c>
      <c r="B527" s="2707" t="s">
        <v>467</v>
      </c>
      <c r="C527" s="2719">
        <v>183</v>
      </c>
      <c r="D527" s="2719"/>
      <c r="E527" s="2719">
        <v>1398</v>
      </c>
      <c r="F527" s="2719"/>
      <c r="G527" s="2719">
        <v>815</v>
      </c>
      <c r="H527" s="2719">
        <f>+'[19]Sheet 2 - General Insurance'!$H$141</f>
        <v>2396</v>
      </c>
      <c r="I527" s="264"/>
      <c r="J527" s="264"/>
    </row>
    <row r="528" spans="1:10" s="52" customFormat="1" ht="20.100000000000001" customHeight="1">
      <c r="A528" s="285">
        <v>22</v>
      </c>
      <c r="B528" s="2707" t="s">
        <v>468</v>
      </c>
      <c r="C528" s="2719">
        <f t="shared" ref="C528:H528" si="60">SUM(C526:C527)</f>
        <v>-3044</v>
      </c>
      <c r="D528" s="2719">
        <f t="shared" si="60"/>
        <v>0</v>
      </c>
      <c r="E528" s="2719">
        <f t="shared" si="60"/>
        <v>20772</v>
      </c>
      <c r="F528" s="2719">
        <f t="shared" si="60"/>
        <v>0</v>
      </c>
      <c r="G528" s="2719">
        <f t="shared" si="60"/>
        <v>12805</v>
      </c>
      <c r="H528" s="2719">
        <f t="shared" si="60"/>
        <v>30533</v>
      </c>
      <c r="I528" s="284"/>
      <c r="J528" s="264"/>
    </row>
    <row r="529" spans="1:14" s="52" customFormat="1" ht="17.45" customHeight="1">
      <c r="A529" s="285"/>
      <c r="B529" s="290"/>
      <c r="C529" s="289"/>
      <c r="D529" s="289"/>
      <c r="E529" s="289"/>
      <c r="F529" s="289"/>
      <c r="G529" s="289"/>
      <c r="H529" s="289"/>
      <c r="I529" s="284"/>
      <c r="J529" s="264"/>
    </row>
    <row r="530" spans="1:14" s="52" customFormat="1" ht="17.45" customHeight="1">
      <c r="A530" s="285"/>
      <c r="B530" s="290"/>
      <c r="C530" s="289"/>
      <c r="D530" s="289"/>
      <c r="E530" s="289"/>
      <c r="F530" s="289"/>
      <c r="G530" s="289"/>
      <c r="H530" s="289"/>
      <c r="I530" s="284"/>
      <c r="J530" s="264"/>
    </row>
    <row r="531" spans="1:14" s="54" customFormat="1" ht="17.45" customHeight="1">
      <c r="A531" s="3598">
        <v>16</v>
      </c>
      <c r="B531" s="3599" t="s">
        <v>115</v>
      </c>
      <c r="C531" s="3600">
        <v>2011</v>
      </c>
      <c r="D531" s="3600"/>
      <c r="E531" s="3600"/>
      <c r="F531" s="3600"/>
      <c r="G531" s="3600"/>
      <c r="H531" s="3600"/>
      <c r="I531" s="109"/>
      <c r="J531" s="109"/>
    </row>
    <row r="532" spans="1:14" s="54" customFormat="1" ht="17.45" customHeight="1">
      <c r="A532" s="3598"/>
      <c r="B532" s="3599"/>
      <c r="C532" s="2532" t="s">
        <v>436</v>
      </c>
      <c r="D532" s="2532" t="s">
        <v>437</v>
      </c>
      <c r="E532" s="2532" t="s">
        <v>438</v>
      </c>
      <c r="F532" s="2532" t="s">
        <v>722</v>
      </c>
      <c r="G532" s="2532" t="s">
        <v>723</v>
      </c>
      <c r="H532" s="2532" t="s">
        <v>118</v>
      </c>
      <c r="I532" s="3358"/>
      <c r="J532" s="109"/>
    </row>
    <row r="533" spans="1:14" s="54" customFormat="1" ht="17.45" customHeight="1">
      <c r="A533" s="3598"/>
      <c r="B533" s="3599"/>
      <c r="C533" s="2696" t="s">
        <v>142</v>
      </c>
      <c r="D533" s="2696" t="s">
        <v>142</v>
      </c>
      <c r="E533" s="2696" t="s">
        <v>142</v>
      </c>
      <c r="F533" s="2696" t="s">
        <v>142</v>
      </c>
      <c r="G533" s="2696" t="s">
        <v>142</v>
      </c>
      <c r="H533" s="2696" t="s">
        <v>142</v>
      </c>
      <c r="I533" s="3358"/>
      <c r="J533" s="109"/>
    </row>
    <row r="534" spans="1:14" s="52" customFormat="1" ht="17.45" customHeight="1">
      <c r="A534" s="285">
        <v>1</v>
      </c>
      <c r="B534" s="2697" t="s">
        <v>215</v>
      </c>
      <c r="C534" s="3601"/>
      <c r="D534" s="3601"/>
      <c r="E534" s="3601"/>
      <c r="F534" s="3601"/>
      <c r="G534" s="3601"/>
      <c r="H534" s="1711">
        <f>+H542+H551+H552+H553</f>
        <v>9730197.3728200011</v>
      </c>
      <c r="I534" s="264"/>
      <c r="J534" s="278"/>
      <c r="K534" s="274"/>
      <c r="L534" s="274"/>
      <c r="M534" s="274"/>
      <c r="N534" s="274"/>
    </row>
    <row r="535" spans="1:14" s="52" customFormat="1" ht="5.25" customHeight="1">
      <c r="A535" s="285"/>
      <c r="B535" s="2697"/>
      <c r="C535" s="1789"/>
      <c r="D535" s="1789"/>
      <c r="E535" s="1789"/>
      <c r="F535" s="1789"/>
      <c r="G535" s="1789"/>
      <c r="H535" s="1789"/>
      <c r="I535" s="264"/>
      <c r="J535" s="278"/>
      <c r="K535" s="274"/>
      <c r="L535" s="274"/>
      <c r="M535" s="274"/>
      <c r="N535" s="274"/>
    </row>
    <row r="536" spans="1:14" s="52" customFormat="1" ht="20.100000000000001" customHeight="1">
      <c r="A536" s="285">
        <v>2</v>
      </c>
      <c r="B536" s="2699" t="s">
        <v>342</v>
      </c>
      <c r="C536" s="2719">
        <v>1798416.2640300002</v>
      </c>
      <c r="D536" s="2719">
        <v>449759.58903999993</v>
      </c>
      <c r="E536" s="2719">
        <v>6643052.000740001</v>
      </c>
      <c r="F536" s="2719">
        <v>80404.812279999969</v>
      </c>
      <c r="G536" s="2719">
        <v>2650486.0961800008</v>
      </c>
      <c r="H536" s="2719">
        <f>SUM(C536:G536)</f>
        <v>11622118.762270002</v>
      </c>
      <c r="I536" s="286"/>
      <c r="J536" s="264"/>
    </row>
    <row r="537" spans="1:14" s="52" customFormat="1" ht="20.100000000000001" customHeight="1">
      <c r="A537" s="285">
        <v>3</v>
      </c>
      <c r="B537" s="2699" t="s">
        <v>444</v>
      </c>
      <c r="C537" s="2719">
        <v>-91085</v>
      </c>
      <c r="D537" s="2719"/>
      <c r="E537" s="2719"/>
      <c r="F537" s="2719"/>
      <c r="G537" s="2719">
        <v>-16526</v>
      </c>
      <c r="H537" s="2719">
        <f>SUM(C537:G537)</f>
        <v>-107611</v>
      </c>
      <c r="I537" s="286"/>
      <c r="J537" s="264"/>
    </row>
    <row r="538" spans="1:14" s="52" customFormat="1" ht="20.100000000000001" customHeight="1">
      <c r="A538" s="285">
        <v>4</v>
      </c>
      <c r="B538" s="2699" t="s">
        <v>445</v>
      </c>
      <c r="C538" s="2719">
        <v>-283488</v>
      </c>
      <c r="D538" s="2719">
        <v>-299</v>
      </c>
      <c r="E538" s="2719">
        <v>-65070</v>
      </c>
      <c r="F538" s="2719"/>
      <c r="G538" s="2719">
        <v>-31068</v>
      </c>
      <c r="H538" s="2719">
        <f>SUM(C538:G538)</f>
        <v>-379925</v>
      </c>
      <c r="I538" s="286"/>
      <c r="J538" s="264"/>
    </row>
    <row r="539" spans="1:14" s="52" customFormat="1" ht="20.100000000000001" customHeight="1">
      <c r="A539" s="285">
        <v>5</v>
      </c>
      <c r="B539" s="2699" t="s">
        <v>446</v>
      </c>
      <c r="C539" s="2719">
        <v>-1203942.1456100002</v>
      </c>
      <c r="D539" s="2719">
        <v>-313370.42121999996</v>
      </c>
      <c r="E539" s="2719">
        <v>-17161.277359999993</v>
      </c>
      <c r="F539" s="2719">
        <v>-6208.5921399999997</v>
      </c>
      <c r="G539" s="2719">
        <v>-646085.77156000002</v>
      </c>
      <c r="H539" s="2719">
        <f>SUM(C539:G539)</f>
        <v>-2186768.2078900002</v>
      </c>
      <c r="I539" s="264"/>
      <c r="J539" s="264"/>
    </row>
    <row r="540" spans="1:14" s="52" customFormat="1" ht="20.100000000000001" customHeight="1">
      <c r="A540" s="285">
        <v>6</v>
      </c>
      <c r="B540" s="2699" t="s">
        <v>727</v>
      </c>
      <c r="C540" s="2719">
        <f>SUM(C536:C539)</f>
        <v>219901.11841999996</v>
      </c>
      <c r="D540" s="2719">
        <f>SUM(D536:D539)</f>
        <v>136090.16781999997</v>
      </c>
      <c r="E540" s="2719">
        <f>SUM(E536:E539)</f>
        <v>6560820.7233800013</v>
      </c>
      <c r="F540" s="2719">
        <f>SUM(F536:F539)</f>
        <v>74196.220139999976</v>
      </c>
      <c r="G540" s="2719">
        <f>SUM(G536:G539)</f>
        <v>1956806.3246200008</v>
      </c>
      <c r="H540" s="2719">
        <f>SUM(C540:G540)</f>
        <v>8947814.5543800015</v>
      </c>
      <c r="I540" s="264"/>
      <c r="J540" s="264"/>
    </row>
    <row r="541" spans="1:14" s="52" customFormat="1" ht="20.100000000000001" customHeight="1">
      <c r="A541" s="285">
        <v>7</v>
      </c>
      <c r="B541" s="2699" t="s">
        <v>448</v>
      </c>
      <c r="C541" s="2719">
        <v>-13019.788</v>
      </c>
      <c r="D541" s="2719">
        <v>-2220.261</v>
      </c>
      <c r="E541" s="2719">
        <v>-820967.22900000005</v>
      </c>
      <c r="F541" s="2719">
        <v>-5670.4690000000001</v>
      </c>
      <c r="G541" s="2719">
        <v>-36073.948759999992</v>
      </c>
      <c r="H541" s="2719">
        <f t="shared" ref="H541:H547" si="61">SUM(C541:G541)</f>
        <v>-877951.69576000003</v>
      </c>
      <c r="I541" s="264"/>
      <c r="J541" s="264"/>
    </row>
    <row r="542" spans="1:14" s="52" customFormat="1" ht="20.100000000000001" customHeight="1">
      <c r="A542" s="285">
        <v>8</v>
      </c>
      <c r="B542" s="2699" t="s">
        <v>728</v>
      </c>
      <c r="C542" s="2719">
        <f>SUM(C540:C541)</f>
        <v>206881.33041999995</v>
      </c>
      <c r="D542" s="2719">
        <f>SUM(D540:D541)</f>
        <v>133869.90681999997</v>
      </c>
      <c r="E542" s="2719">
        <f>SUM(E540:E541)</f>
        <v>5739853.494380001</v>
      </c>
      <c r="F542" s="2719">
        <f>SUM(F540:F541)</f>
        <v>68525.751139999978</v>
      </c>
      <c r="G542" s="2719">
        <f>SUM(G540:G541)</f>
        <v>1920732.3758600007</v>
      </c>
      <c r="H542" s="2719">
        <f>SUM(C542:G542)</f>
        <v>8069862.8586200019</v>
      </c>
      <c r="I542" s="264"/>
      <c r="J542" s="264"/>
    </row>
    <row r="543" spans="1:14" s="52" customFormat="1" ht="20.100000000000001" customHeight="1">
      <c r="A543" s="285"/>
      <c r="B543" s="2699"/>
      <c r="C543" s="2719"/>
      <c r="D543" s="2719"/>
      <c r="E543" s="2719"/>
      <c r="F543" s="2719"/>
      <c r="G543" s="2719"/>
      <c r="H543" s="2719">
        <f t="shared" si="61"/>
        <v>0</v>
      </c>
      <c r="I543" s="264"/>
      <c r="J543" s="264"/>
    </row>
    <row r="544" spans="1:14" s="52" customFormat="1" ht="20.100000000000001" customHeight="1">
      <c r="A544" s="285"/>
      <c r="B544" s="2697" t="s">
        <v>450</v>
      </c>
      <c r="C544" s="2719"/>
      <c r="D544" s="2719"/>
      <c r="E544" s="2719"/>
      <c r="F544" s="2719"/>
      <c r="G544" s="2719"/>
      <c r="H544" s="2719">
        <f t="shared" si="61"/>
        <v>0</v>
      </c>
      <c r="I544" s="264"/>
      <c r="J544" s="264"/>
    </row>
    <row r="545" spans="1:10" s="52" customFormat="1" ht="20.100000000000001" customHeight="1">
      <c r="A545" s="285">
        <v>9</v>
      </c>
      <c r="B545" s="2699" t="s">
        <v>451</v>
      </c>
      <c r="C545" s="2719">
        <v>-30751.659200000078</v>
      </c>
      <c r="D545" s="2719">
        <v>-41622.506370000025</v>
      </c>
      <c r="E545" s="2719">
        <v>-3611684.396540001</v>
      </c>
      <c r="F545" s="2719">
        <v>4528.6878799999949</v>
      </c>
      <c r="G545" s="2719">
        <v>-1077642.00648</v>
      </c>
      <c r="H545" s="2719">
        <f t="shared" si="61"/>
        <v>-4757171.8807100011</v>
      </c>
      <c r="I545" s="264"/>
      <c r="J545" s="264"/>
    </row>
    <row r="546" spans="1:10" s="52" customFormat="1" ht="20.100000000000001" customHeight="1">
      <c r="A546" s="285">
        <v>10</v>
      </c>
      <c r="B546" s="2699" t="s">
        <v>452</v>
      </c>
      <c r="C546" s="2719">
        <v>92665.259190000026</v>
      </c>
      <c r="D546" s="2719">
        <v>50951.286359999991</v>
      </c>
      <c r="E546" s="2719">
        <v>-408687.2961700001</v>
      </c>
      <c r="F546" s="2719">
        <v>-6529.5295900000001</v>
      </c>
      <c r="G546" s="2719">
        <v>-52389.255330000015</v>
      </c>
      <c r="H546" s="2719">
        <f t="shared" si="61"/>
        <v>-323989.53554000007</v>
      </c>
      <c r="I546" s="264"/>
      <c r="J546" s="264"/>
    </row>
    <row r="547" spans="1:10" s="52" customFormat="1" ht="20.100000000000001" customHeight="1">
      <c r="A547" s="285">
        <v>11</v>
      </c>
      <c r="B547" s="2699" t="s">
        <v>453</v>
      </c>
      <c r="C547" s="2719">
        <v>-298292.37864316825</v>
      </c>
      <c r="D547" s="2719">
        <v>-118313.98664234504</v>
      </c>
      <c r="E547" s="2719">
        <v>-1075345.9988687912</v>
      </c>
      <c r="F547" s="2719">
        <v>-15162.137405338332</v>
      </c>
      <c r="G547" s="2719">
        <v>-475603.5876763569</v>
      </c>
      <c r="H547" s="2719">
        <f t="shared" si="61"/>
        <v>-1982718.0892359996</v>
      </c>
      <c r="I547" s="264"/>
      <c r="J547" s="264"/>
    </row>
    <row r="548" spans="1:10" s="52" customFormat="1" ht="20.100000000000001" customHeight="1">
      <c r="A548" s="287">
        <v>12</v>
      </c>
      <c r="B548" s="2701" t="s">
        <v>454</v>
      </c>
      <c r="C548" s="2720">
        <f>SUM(C542:C547)</f>
        <v>-29497.448233168339</v>
      </c>
      <c r="D548" s="2720">
        <f>SUM(D542:D547)</f>
        <v>24884.700167654912</v>
      </c>
      <c r="E548" s="2720">
        <f>SUM(E542:E547)</f>
        <v>644135.8028012088</v>
      </c>
      <c r="F548" s="2720">
        <f>SUM(F542:F547)</f>
        <v>51362.772024661637</v>
      </c>
      <c r="G548" s="2720">
        <f>SUM(G542:G547)</f>
        <v>315097.52637364378</v>
      </c>
      <c r="H548" s="2719">
        <f>SUM(C548:G548)</f>
        <v>1005983.3531340008</v>
      </c>
      <c r="I548" s="288"/>
      <c r="J548" s="264"/>
    </row>
    <row r="549" spans="1:10" s="52" customFormat="1" ht="20.100000000000001" customHeight="1">
      <c r="A549" s="285"/>
      <c r="B549" s="2702"/>
      <c r="C549" s="2719"/>
      <c r="D549" s="2719"/>
      <c r="E549" s="2719"/>
      <c r="F549" s="2719"/>
      <c r="G549" s="2719"/>
      <c r="H549" s="2719">
        <f>SUM(C549:G549)</f>
        <v>0</v>
      </c>
      <c r="I549" s="264"/>
      <c r="J549" s="264"/>
    </row>
    <row r="550" spans="1:10" s="52" customFormat="1" ht="20.100000000000001" customHeight="1">
      <c r="A550" s="285"/>
      <c r="B550" s="2703" t="s">
        <v>455</v>
      </c>
      <c r="C550" s="2719"/>
      <c r="D550" s="2719"/>
      <c r="E550" s="2719"/>
      <c r="F550" s="2719"/>
      <c r="G550" s="2719"/>
      <c r="H550" s="2719">
        <f>SUM(C550:G550)</f>
        <v>0</v>
      </c>
      <c r="I550" s="264"/>
      <c r="J550" s="264"/>
    </row>
    <row r="551" spans="1:10" s="52" customFormat="1" ht="20.100000000000001" customHeight="1">
      <c r="A551" s="285">
        <v>13</v>
      </c>
      <c r="B551" s="2699" t="s">
        <v>456</v>
      </c>
      <c r="C551" s="2719"/>
      <c r="D551" s="2719"/>
      <c r="E551" s="2719"/>
      <c r="F551" s="2719"/>
      <c r="G551" s="2719"/>
      <c r="H551" s="2719">
        <v>0</v>
      </c>
      <c r="I551" s="264"/>
      <c r="J551" s="264"/>
    </row>
    <row r="552" spans="1:10" s="52" customFormat="1" ht="20.100000000000001" customHeight="1">
      <c r="A552" s="285">
        <v>14</v>
      </c>
      <c r="B552" s="2697" t="s">
        <v>457</v>
      </c>
      <c r="C552" s="2719"/>
      <c r="D552" s="2719"/>
      <c r="E552" s="2719"/>
      <c r="F552" s="2719"/>
      <c r="G552" s="2719"/>
      <c r="H552" s="2719">
        <v>1371474.8922400002</v>
      </c>
      <c r="I552" s="264"/>
      <c r="J552" s="264"/>
    </row>
    <row r="553" spans="1:10" s="52" customFormat="1" ht="20.100000000000001" customHeight="1">
      <c r="A553" s="285">
        <v>15</v>
      </c>
      <c r="B553" s="2699" t="s">
        <v>460</v>
      </c>
      <c r="C553" s="2719"/>
      <c r="D553" s="2719"/>
      <c r="E553" s="2719"/>
      <c r="F553" s="2719"/>
      <c r="G553" s="2719"/>
      <c r="H553" s="2719">
        <v>288859.62196000014</v>
      </c>
      <c r="I553" s="264"/>
      <c r="J553" s="264"/>
    </row>
    <row r="554" spans="1:10" s="52" customFormat="1" ht="20.100000000000001" customHeight="1">
      <c r="A554" s="285"/>
      <c r="B554" s="2697" t="s">
        <v>461</v>
      </c>
      <c r="C554" s="2719"/>
      <c r="D554" s="2719"/>
      <c r="E554" s="2719"/>
      <c r="F554" s="2719"/>
      <c r="G554" s="2719"/>
      <c r="H554" s="2719">
        <v>0</v>
      </c>
      <c r="I554" s="264"/>
      <c r="J554" s="264"/>
    </row>
    <row r="555" spans="1:10" s="52" customFormat="1" ht="30.75" customHeight="1">
      <c r="A555" s="285">
        <v>16</v>
      </c>
      <c r="B555" s="2705" t="s">
        <v>462</v>
      </c>
      <c r="C555" s="2719"/>
      <c r="D555" s="2719"/>
      <c r="E555" s="2719"/>
      <c r="F555" s="2719"/>
      <c r="G555" s="2719"/>
      <c r="H555" s="2719">
        <v>0</v>
      </c>
      <c r="I555" s="264"/>
      <c r="J555" s="264"/>
    </row>
    <row r="556" spans="1:10" s="52" customFormat="1" ht="20.100000000000001" customHeight="1">
      <c r="A556" s="285">
        <v>17</v>
      </c>
      <c r="B556" s="2699" t="s">
        <v>463</v>
      </c>
      <c r="C556" s="2719"/>
      <c r="D556" s="2719"/>
      <c r="E556" s="2719"/>
      <c r="F556" s="2719"/>
      <c r="G556" s="2719"/>
      <c r="H556" s="2719">
        <v>-127250.79178</v>
      </c>
      <c r="I556" s="264"/>
      <c r="J556" s="264"/>
    </row>
    <row r="557" spans="1:10" s="52" customFormat="1" ht="20.100000000000001" customHeight="1">
      <c r="A557" s="285">
        <v>18</v>
      </c>
      <c r="B557" s="2697" t="s">
        <v>464</v>
      </c>
      <c r="C557" s="2719">
        <f t="shared" ref="C557:H557" si="62">SUM(C548:C556)</f>
        <v>-29497.448233168339</v>
      </c>
      <c r="D557" s="2719">
        <f t="shared" si="62"/>
        <v>24884.700167654912</v>
      </c>
      <c r="E557" s="2719">
        <f t="shared" si="62"/>
        <v>644135.8028012088</v>
      </c>
      <c r="F557" s="2719">
        <f t="shared" si="62"/>
        <v>51362.772024661637</v>
      </c>
      <c r="G557" s="2719">
        <f t="shared" si="62"/>
        <v>315097.52637364378</v>
      </c>
      <c r="H557" s="2719">
        <f t="shared" si="62"/>
        <v>2539067.0755540011</v>
      </c>
      <c r="I557" s="264"/>
      <c r="J557" s="264"/>
    </row>
    <row r="558" spans="1:10" s="52" customFormat="1" ht="20.100000000000001" customHeight="1">
      <c r="A558" s="285">
        <v>19</v>
      </c>
      <c r="B558" s="2699" t="s">
        <v>465</v>
      </c>
      <c r="C558" s="2719"/>
      <c r="D558" s="2719"/>
      <c r="E558" s="2719"/>
      <c r="F558" s="2719"/>
      <c r="G558" s="2719"/>
      <c r="H558" s="2719">
        <f>+'[20]Sheet 2 - General Insurance'!$H$140</f>
        <v>-12.21109</v>
      </c>
      <c r="I558" s="264"/>
      <c r="J558" s="264"/>
    </row>
    <row r="559" spans="1:10" s="52" customFormat="1" ht="20.100000000000001" customHeight="1">
      <c r="A559" s="285">
        <v>20</v>
      </c>
      <c r="B559" s="2707" t="s">
        <v>466</v>
      </c>
      <c r="C559" s="2719">
        <f t="shared" ref="C559:H559" si="63">SUM(C557:C558)</f>
        <v>-29497.448233168339</v>
      </c>
      <c r="D559" s="2719">
        <f t="shared" si="63"/>
        <v>24884.700167654912</v>
      </c>
      <c r="E559" s="2719">
        <f t="shared" si="63"/>
        <v>644135.8028012088</v>
      </c>
      <c r="F559" s="2719">
        <f t="shared" si="63"/>
        <v>51362.772024661637</v>
      </c>
      <c r="G559" s="2719">
        <f t="shared" si="63"/>
        <v>315097.52637364378</v>
      </c>
      <c r="H559" s="2719">
        <f t="shared" si="63"/>
        <v>2539054.8644640013</v>
      </c>
      <c r="I559" s="264"/>
      <c r="J559" s="264"/>
    </row>
    <row r="560" spans="1:10" s="52" customFormat="1" ht="20.100000000000001" customHeight="1">
      <c r="A560" s="285">
        <v>21</v>
      </c>
      <c r="B560" s="2707" t="s">
        <v>467</v>
      </c>
      <c r="C560" s="2719"/>
      <c r="D560" s="2719"/>
      <c r="E560" s="2719"/>
      <c r="F560" s="2719"/>
      <c r="G560" s="2719"/>
      <c r="H560" s="2719">
        <f>+'[20]Sheet 2 - General Insurance'!$H$142</f>
        <v>-407432.43231</v>
      </c>
      <c r="I560" s="264"/>
      <c r="J560" s="264"/>
    </row>
    <row r="561" spans="1:14" s="52" customFormat="1" ht="20.100000000000001" customHeight="1">
      <c r="A561" s="285">
        <v>22</v>
      </c>
      <c r="B561" s="2707" t="s">
        <v>468</v>
      </c>
      <c r="C561" s="2719">
        <f t="shared" ref="C561:H561" si="64">SUM(C559:C560)</f>
        <v>-29497.448233168339</v>
      </c>
      <c r="D561" s="2719">
        <f t="shared" si="64"/>
        <v>24884.700167654912</v>
      </c>
      <c r="E561" s="2719">
        <f t="shared" si="64"/>
        <v>644135.8028012088</v>
      </c>
      <c r="F561" s="2719">
        <f t="shared" si="64"/>
        <v>51362.772024661637</v>
      </c>
      <c r="G561" s="2719">
        <f t="shared" si="64"/>
        <v>315097.52637364378</v>
      </c>
      <c r="H561" s="2719">
        <f t="shared" si="64"/>
        <v>2131622.4321540012</v>
      </c>
      <c r="I561" s="284"/>
      <c r="J561" s="264"/>
    </row>
    <row r="562" spans="1:14" s="52" customFormat="1" ht="17.45" customHeight="1">
      <c r="A562" s="285"/>
      <c r="B562" s="290"/>
      <c r="C562" s="289"/>
      <c r="D562" s="289"/>
      <c r="E562" s="289"/>
      <c r="F562" s="289"/>
      <c r="G562" s="289"/>
      <c r="H562" s="289"/>
      <c r="I562" s="284"/>
      <c r="J562" s="264"/>
    </row>
    <row r="563" spans="1:14" s="52" customFormat="1" ht="17.45" customHeight="1">
      <c r="A563" s="285"/>
      <c r="B563" s="290"/>
      <c r="C563" s="289"/>
      <c r="D563" s="289"/>
      <c r="E563" s="289"/>
      <c r="F563" s="289"/>
      <c r="G563" s="289"/>
      <c r="H563" s="289"/>
      <c r="I563" s="284"/>
      <c r="J563" s="264"/>
    </row>
    <row r="564" spans="1:14" s="54" customFormat="1" ht="17.45" customHeight="1">
      <c r="A564" s="3598">
        <v>17</v>
      </c>
      <c r="B564" s="3599" t="s">
        <v>136</v>
      </c>
      <c r="C564" s="3600">
        <v>2011</v>
      </c>
      <c r="D564" s="3600"/>
      <c r="E564" s="3600"/>
      <c r="F564" s="3600"/>
      <c r="G564" s="3600"/>
      <c r="H564" s="3600"/>
      <c r="I564" s="109"/>
      <c r="J564" s="109"/>
    </row>
    <row r="565" spans="1:14" s="54" customFormat="1" ht="17.45" customHeight="1">
      <c r="A565" s="3598"/>
      <c r="B565" s="3599"/>
      <c r="C565" s="2532" t="s">
        <v>436</v>
      </c>
      <c r="D565" s="2532" t="s">
        <v>437</v>
      </c>
      <c r="E565" s="2532" t="s">
        <v>438</v>
      </c>
      <c r="F565" s="2532" t="s">
        <v>722</v>
      </c>
      <c r="G565" s="2532" t="s">
        <v>723</v>
      </c>
      <c r="H565" s="2532" t="s">
        <v>118</v>
      </c>
      <c r="I565" s="3358"/>
      <c r="J565" s="109"/>
    </row>
    <row r="566" spans="1:14" s="54" customFormat="1" ht="17.45" customHeight="1">
      <c r="A566" s="3598"/>
      <c r="B566" s="3599"/>
      <c r="C566" s="2696" t="s">
        <v>142</v>
      </c>
      <c r="D566" s="2696" t="s">
        <v>142</v>
      </c>
      <c r="E566" s="2696" t="s">
        <v>142</v>
      </c>
      <c r="F566" s="2696" t="s">
        <v>142</v>
      </c>
      <c r="G566" s="2696" t="s">
        <v>142</v>
      </c>
      <c r="H566" s="2696" t="s">
        <v>142</v>
      </c>
      <c r="I566" s="3358"/>
      <c r="J566" s="109"/>
    </row>
    <row r="567" spans="1:14" s="52" customFormat="1" ht="17.45" customHeight="1">
      <c r="A567" s="285">
        <v>1</v>
      </c>
      <c r="B567" s="2697" t="s">
        <v>215</v>
      </c>
      <c r="C567" s="3601"/>
      <c r="D567" s="3601"/>
      <c r="E567" s="3601"/>
      <c r="F567" s="3601"/>
      <c r="G567" s="3601"/>
      <c r="H567" s="1711">
        <f>+H575+H584+H585+H586</f>
        <v>3590658.89714</v>
      </c>
      <c r="I567" s="264"/>
      <c r="J567" s="278"/>
      <c r="K567" s="274"/>
      <c r="L567" s="274"/>
      <c r="M567" s="274"/>
      <c r="N567" s="274"/>
    </row>
    <row r="568" spans="1:14" s="52" customFormat="1" ht="5.25" customHeight="1">
      <c r="A568" s="285"/>
      <c r="B568" s="2697"/>
      <c r="C568" s="1789"/>
      <c r="D568" s="1789"/>
      <c r="E568" s="1789"/>
      <c r="F568" s="1789"/>
      <c r="G568" s="1789"/>
      <c r="H568" s="1789"/>
      <c r="I568" s="264"/>
      <c r="J568" s="278"/>
      <c r="K568" s="274"/>
      <c r="L568" s="274"/>
      <c r="M568" s="274"/>
      <c r="N568" s="274"/>
    </row>
    <row r="569" spans="1:14" s="52" customFormat="1" ht="20.100000000000001" customHeight="1">
      <c r="A569" s="285">
        <v>2</v>
      </c>
      <c r="B569" s="2699" t="s">
        <v>342</v>
      </c>
      <c r="C569" s="2719">
        <v>568299.92257000005</v>
      </c>
      <c r="D569" s="2719">
        <v>310749.20804</v>
      </c>
      <c r="E569" s="2719">
        <v>2183207.3059999999</v>
      </c>
      <c r="F569" s="2719">
        <v>46650.23431</v>
      </c>
      <c r="G569" s="2719">
        <v>1151642.2260799999</v>
      </c>
      <c r="H569" s="2719">
        <f>SUM(C569:G569)</f>
        <v>4260548.8969999999</v>
      </c>
      <c r="I569" s="286"/>
      <c r="J569" s="264"/>
    </row>
    <row r="570" spans="1:14" s="52" customFormat="1" ht="20.100000000000001" customHeight="1">
      <c r="A570" s="285">
        <v>3</v>
      </c>
      <c r="B570" s="2699" t="s">
        <v>444</v>
      </c>
      <c r="C570" s="2719"/>
      <c r="D570" s="2719"/>
      <c r="E570" s="2719"/>
      <c r="F570" s="2719"/>
      <c r="G570" s="2719"/>
      <c r="H570" s="2719">
        <f>SUM(C570:G570)</f>
        <v>0</v>
      </c>
      <c r="I570" s="286"/>
      <c r="J570" s="264"/>
    </row>
    <row r="571" spans="1:14" s="52" customFormat="1" ht="20.100000000000001" customHeight="1">
      <c r="A571" s="285">
        <v>4</v>
      </c>
      <c r="B571" s="2699" t="s">
        <v>445</v>
      </c>
      <c r="C571" s="2719">
        <v>-165228</v>
      </c>
      <c r="D571" s="2719">
        <v>-1688</v>
      </c>
      <c r="E571" s="2719">
        <v>0</v>
      </c>
      <c r="F571" s="2719">
        <v>-11493</v>
      </c>
      <c r="G571" s="2719">
        <v>-26697</v>
      </c>
      <c r="H571" s="2719">
        <f>SUM(C571:G571)</f>
        <v>-205106</v>
      </c>
      <c r="I571" s="286"/>
      <c r="J571" s="264"/>
    </row>
    <row r="572" spans="1:14" s="52" customFormat="1" ht="20.100000000000001" customHeight="1">
      <c r="A572" s="285">
        <v>5</v>
      </c>
      <c r="B572" s="2699" t="s">
        <v>446</v>
      </c>
      <c r="C572" s="2719">
        <v>-342970.57814</v>
      </c>
      <c r="D572" s="2719">
        <v>-192567.65934999997</v>
      </c>
      <c r="E572" s="2723">
        <v>-70463.28069</v>
      </c>
      <c r="F572" s="2723">
        <v>-1664.5118700000003</v>
      </c>
      <c r="G572" s="2723">
        <v>-65967.651260000013</v>
      </c>
      <c r="H572" s="2723">
        <f>SUM(C572:G572)</f>
        <v>-673633.68131000013</v>
      </c>
      <c r="I572" s="264"/>
      <c r="J572" s="264"/>
    </row>
    <row r="573" spans="1:14" s="52" customFormat="1" ht="20.100000000000001" customHeight="1">
      <c r="A573" s="285">
        <v>6</v>
      </c>
      <c r="B573" s="2699" t="s">
        <v>727</v>
      </c>
      <c r="C573" s="2719">
        <f>SUM(C569:C572)</f>
        <v>60101.344430000056</v>
      </c>
      <c r="D573" s="2719">
        <f>SUM(D569:D572)</f>
        <v>116493.54869000003</v>
      </c>
      <c r="E573" s="2723">
        <f>SUM(E569:E572)</f>
        <v>2112744.0253099999</v>
      </c>
      <c r="F573" s="2723">
        <f>SUM(F569:F572)</f>
        <v>33492.722439999998</v>
      </c>
      <c r="G573" s="2723">
        <f>SUM(G569:G572)</f>
        <v>1058977.57482</v>
      </c>
      <c r="H573" s="2723">
        <f>SUM(C573:G573)</f>
        <v>3381809.21569</v>
      </c>
      <c r="I573" s="264"/>
      <c r="J573" s="264"/>
    </row>
    <row r="574" spans="1:14" s="52" customFormat="1" ht="20.100000000000001" customHeight="1">
      <c r="A574" s="285">
        <v>7</v>
      </c>
      <c r="B574" s="2699" t="s">
        <v>448</v>
      </c>
      <c r="C574" s="2719">
        <v>-12451.725199999999</v>
      </c>
      <c r="D574" s="2719">
        <v>-9131.4216699999997</v>
      </c>
      <c r="E574" s="2719">
        <v>-125060.57837999999</v>
      </c>
      <c r="F574" s="2719">
        <v>-1473.51756</v>
      </c>
      <c r="G574" s="2719">
        <v>-113303.07574</v>
      </c>
      <c r="H574" s="2719">
        <f t="shared" ref="H574:H580" si="65">SUM(C574:G574)</f>
        <v>-261420.31855</v>
      </c>
      <c r="I574" s="264"/>
      <c r="J574" s="264"/>
    </row>
    <row r="575" spans="1:14" s="52" customFormat="1" ht="20.100000000000001" customHeight="1">
      <c r="A575" s="285">
        <v>8</v>
      </c>
      <c r="B575" s="2699" t="s">
        <v>728</v>
      </c>
      <c r="C575" s="2719">
        <f>SUM(C573:C574)</f>
        <v>47649.619230000055</v>
      </c>
      <c r="D575" s="2719">
        <f>SUM(D573:D574)</f>
        <v>107362.12702000003</v>
      </c>
      <c r="E575" s="2723">
        <f>SUM(E573:E574)</f>
        <v>1987683.4469299999</v>
      </c>
      <c r="F575" s="2723">
        <f>SUM(F573:F574)</f>
        <v>32019.204879999998</v>
      </c>
      <c r="G575" s="2723">
        <f>SUM(G573:G574)</f>
        <v>945674.49907999998</v>
      </c>
      <c r="H575" s="2723">
        <f>SUM(C575:G575)</f>
        <v>3120388.89714</v>
      </c>
      <c r="I575" s="264"/>
      <c r="J575" s="264"/>
    </row>
    <row r="576" spans="1:14" s="52" customFormat="1" ht="20.100000000000001" customHeight="1">
      <c r="A576" s="285"/>
      <c r="B576" s="2699"/>
      <c r="C576" s="2700"/>
      <c r="D576" s="2700"/>
      <c r="E576" s="2700"/>
      <c r="F576" s="2700"/>
      <c r="G576" s="2700"/>
      <c r="H576" s="2700">
        <f t="shared" si="65"/>
        <v>0</v>
      </c>
      <c r="I576" s="264"/>
      <c r="J576" s="264"/>
    </row>
    <row r="577" spans="1:10" s="52" customFormat="1" ht="20.100000000000001" customHeight="1">
      <c r="A577" s="285"/>
      <c r="B577" s="2697" t="s">
        <v>450</v>
      </c>
      <c r="C577" s="2700"/>
      <c r="D577" s="2700"/>
      <c r="E577" s="2700"/>
      <c r="F577" s="2700"/>
      <c r="G577" s="2700"/>
      <c r="H577" s="2700">
        <f t="shared" si="65"/>
        <v>0</v>
      </c>
      <c r="I577" s="264"/>
      <c r="J577" s="264"/>
    </row>
    <row r="578" spans="1:10" s="52" customFormat="1" ht="20.100000000000001" customHeight="1">
      <c r="A578" s="285">
        <v>9</v>
      </c>
      <c r="B578" s="2699" t="s">
        <v>451</v>
      </c>
      <c r="C578" s="2719">
        <v>-40422.984360000002</v>
      </c>
      <c r="D578" s="2719">
        <v>-27948.574420000001</v>
      </c>
      <c r="E578" s="2719">
        <v>-1456555.9953399999</v>
      </c>
      <c r="F578" s="2719">
        <v>-11286.894839999999</v>
      </c>
      <c r="G578" s="2719">
        <v>-628346.51578000002</v>
      </c>
      <c r="H578" s="2719">
        <f t="shared" si="65"/>
        <v>-2164560.9647399997</v>
      </c>
      <c r="I578" s="264"/>
      <c r="J578" s="264"/>
    </row>
    <row r="579" spans="1:10" s="52" customFormat="1" ht="20.100000000000001" customHeight="1">
      <c r="A579" s="285">
        <v>10</v>
      </c>
      <c r="B579" s="2699" t="s">
        <v>452</v>
      </c>
      <c r="C579" s="2719">
        <v>37045.336120000007</v>
      </c>
      <c r="D579" s="2719">
        <v>16257.680799999998</v>
      </c>
      <c r="E579" s="2719">
        <v>-257866.97773000001</v>
      </c>
      <c r="F579" s="2719">
        <v>-3720.9714300000005</v>
      </c>
      <c r="G579" s="2719">
        <v>-60558.484420000008</v>
      </c>
      <c r="H579" s="2719">
        <f t="shared" si="65"/>
        <v>-268843.41666000005</v>
      </c>
      <c r="I579" s="264"/>
      <c r="J579" s="264"/>
    </row>
    <row r="580" spans="1:10" s="52" customFormat="1" ht="20.100000000000001" customHeight="1">
      <c r="A580" s="285">
        <v>11</v>
      </c>
      <c r="B580" s="2699" t="s">
        <v>453</v>
      </c>
      <c r="C580" s="2719">
        <v>-166010.96431459038</v>
      </c>
      <c r="D580" s="2719">
        <v>-70689.227984283381</v>
      </c>
      <c r="E580" s="2719">
        <v>-411399.30203334684</v>
      </c>
      <c r="F580" s="2719">
        <v>-5631.413589390002</v>
      </c>
      <c r="G580" s="2719">
        <v>-132328.42001738961</v>
      </c>
      <c r="H580" s="2719">
        <f t="shared" si="65"/>
        <v>-786059.32793900021</v>
      </c>
      <c r="I580" s="264"/>
      <c r="J580" s="264"/>
    </row>
    <row r="581" spans="1:10" s="52" customFormat="1" ht="20.100000000000001" customHeight="1">
      <c r="A581" s="287">
        <v>12</v>
      </c>
      <c r="B581" s="2701" t="s">
        <v>454</v>
      </c>
      <c r="C581" s="2720">
        <f>SUM(C575:C580)</f>
        <v>-121738.99332459032</v>
      </c>
      <c r="D581" s="2720">
        <f>SUM(D575:D580)</f>
        <v>24982.005415716645</v>
      </c>
      <c r="E581" s="2724">
        <f>SUM(E575:E580)</f>
        <v>-138138.82817334693</v>
      </c>
      <c r="F581" s="2724">
        <f>SUM(F575:F580)</f>
        <v>11379.925020609993</v>
      </c>
      <c r="G581" s="2724">
        <f>SUM(G575:G580)</f>
        <v>124441.07886261036</v>
      </c>
      <c r="H581" s="2723">
        <f>SUM(C581:G581)</f>
        <v>-99074.812199000269</v>
      </c>
      <c r="I581" s="288"/>
      <c r="J581" s="264"/>
    </row>
    <row r="582" spans="1:10" s="52" customFormat="1" ht="20.100000000000001" customHeight="1">
      <c r="A582" s="285"/>
      <c r="B582" s="2702"/>
      <c r="C582" s="2700"/>
      <c r="D582" s="2700"/>
      <c r="E582" s="2700"/>
      <c r="F582" s="2700"/>
      <c r="G582" s="2700"/>
      <c r="H582" s="2700">
        <f t="shared" ref="H582:H593" si="66">SUM(C582:G582)</f>
        <v>0</v>
      </c>
      <c r="I582" s="264"/>
      <c r="J582" s="264"/>
    </row>
    <row r="583" spans="1:10" s="52" customFormat="1" ht="20.100000000000001" customHeight="1">
      <c r="A583" s="285"/>
      <c r="B583" s="2703" t="s">
        <v>455</v>
      </c>
      <c r="C583" s="2700"/>
      <c r="D583" s="2700"/>
      <c r="E583" s="2700"/>
      <c r="F583" s="2700"/>
      <c r="G583" s="2700"/>
      <c r="H583" s="2700">
        <f t="shared" si="66"/>
        <v>0</v>
      </c>
      <c r="I583" s="264"/>
      <c r="J583" s="264"/>
    </row>
    <row r="584" spans="1:10" s="52" customFormat="1" ht="20.100000000000001" customHeight="1">
      <c r="A584" s="285">
        <v>13</v>
      </c>
      <c r="B584" s="2699" t="s">
        <v>456</v>
      </c>
      <c r="C584" s="2706"/>
      <c r="D584" s="2706"/>
      <c r="E584" s="2706"/>
      <c r="F584" s="2706"/>
      <c r="G584" s="2706"/>
      <c r="H584" s="2719">
        <f>SUM(C584:G584)</f>
        <v>0</v>
      </c>
      <c r="I584" s="264"/>
      <c r="J584" s="264"/>
    </row>
    <row r="585" spans="1:10" s="52" customFormat="1" ht="20.100000000000001" customHeight="1">
      <c r="A585" s="285">
        <v>14</v>
      </c>
      <c r="B585" s="2697" t="s">
        <v>457</v>
      </c>
      <c r="C585" s="2706"/>
      <c r="D585" s="2706"/>
      <c r="E585" s="2706"/>
      <c r="F585" s="2706"/>
      <c r="G585" s="2706"/>
      <c r="H585" s="2719">
        <v>417183</v>
      </c>
      <c r="I585" s="264"/>
      <c r="J585" s="264"/>
    </row>
    <row r="586" spans="1:10" s="52" customFormat="1" ht="20.100000000000001" customHeight="1">
      <c r="A586" s="285">
        <v>15</v>
      </c>
      <c r="B586" s="2699" t="s">
        <v>460</v>
      </c>
      <c r="C586" s="2706"/>
      <c r="D586" s="2706"/>
      <c r="E586" s="2706"/>
      <c r="F586" s="2706"/>
      <c r="G586" s="2706"/>
      <c r="H586" s="2719">
        <v>53087</v>
      </c>
      <c r="I586" s="264"/>
      <c r="J586" s="264"/>
    </row>
    <row r="587" spans="1:10" s="52" customFormat="1" ht="20.100000000000001" customHeight="1">
      <c r="A587" s="285"/>
      <c r="B587" s="2697" t="s">
        <v>461</v>
      </c>
      <c r="C587" s="2700"/>
      <c r="D587" s="2700"/>
      <c r="E587" s="2700"/>
      <c r="F587" s="2700"/>
      <c r="G587" s="2700"/>
      <c r="H587" s="2700">
        <f t="shared" si="66"/>
        <v>0</v>
      </c>
      <c r="I587" s="264"/>
      <c r="J587" s="264"/>
    </row>
    <row r="588" spans="1:10" s="52" customFormat="1" ht="30" customHeight="1">
      <c r="A588" s="285">
        <v>16</v>
      </c>
      <c r="B588" s="2705" t="s">
        <v>462</v>
      </c>
      <c r="C588" s="2700"/>
      <c r="D588" s="2700"/>
      <c r="E588" s="2700"/>
      <c r="F588" s="2700"/>
      <c r="G588" s="2700"/>
      <c r="H588" s="2700">
        <f t="shared" si="66"/>
        <v>0</v>
      </c>
      <c r="I588" s="264"/>
      <c r="J588" s="264"/>
    </row>
    <row r="589" spans="1:10" s="52" customFormat="1" ht="20.100000000000001" customHeight="1">
      <c r="A589" s="285">
        <v>17</v>
      </c>
      <c r="B589" s="2699" t="s">
        <v>463</v>
      </c>
      <c r="C589" s="2700"/>
      <c r="D589" s="2700"/>
      <c r="E589" s="2700"/>
      <c r="F589" s="2700"/>
      <c r="G589" s="2700"/>
      <c r="H589" s="2700">
        <f t="shared" si="66"/>
        <v>0</v>
      </c>
      <c r="I589" s="264"/>
      <c r="J589" s="264"/>
    </row>
    <row r="590" spans="1:10" s="52" customFormat="1" ht="20.100000000000001" customHeight="1">
      <c r="A590" s="285">
        <v>18</v>
      </c>
      <c r="B590" s="2697" t="s">
        <v>464</v>
      </c>
      <c r="C590" s="2719">
        <f t="shared" ref="C590:H590" si="67">SUM(C581:C589)</f>
        <v>-121738.99332459032</v>
      </c>
      <c r="D590" s="2719">
        <f t="shared" si="67"/>
        <v>24982.005415716645</v>
      </c>
      <c r="E590" s="2723">
        <f t="shared" si="67"/>
        <v>-138138.82817334693</v>
      </c>
      <c r="F590" s="2723">
        <f t="shared" si="67"/>
        <v>11379.925020609993</v>
      </c>
      <c r="G590" s="2723">
        <f t="shared" si="67"/>
        <v>124441.07886261036</v>
      </c>
      <c r="H590" s="2723">
        <f t="shared" si="67"/>
        <v>371195.18780099973</v>
      </c>
      <c r="I590" s="264"/>
      <c r="J590" s="264"/>
    </row>
    <row r="591" spans="1:10" s="52" customFormat="1" ht="20.100000000000001" customHeight="1">
      <c r="A591" s="285">
        <v>19</v>
      </c>
      <c r="B591" s="2699" t="s">
        <v>465</v>
      </c>
      <c r="C591" s="2700"/>
      <c r="D591" s="2700"/>
      <c r="E591" s="2700"/>
      <c r="F591" s="2700"/>
      <c r="G591" s="2700"/>
      <c r="H591" s="2700">
        <f t="shared" si="66"/>
        <v>0</v>
      </c>
      <c r="I591" s="264"/>
      <c r="J591" s="264"/>
    </row>
    <row r="592" spans="1:10" s="52" customFormat="1" ht="20.100000000000001" customHeight="1">
      <c r="A592" s="285">
        <v>20</v>
      </c>
      <c r="B592" s="2707" t="s">
        <v>466</v>
      </c>
      <c r="C592" s="2719">
        <f t="shared" ref="C592:H592" si="68">SUM(C590:C591)</f>
        <v>-121738.99332459032</v>
      </c>
      <c r="D592" s="2719">
        <f t="shared" si="68"/>
        <v>24982.005415716645</v>
      </c>
      <c r="E592" s="2723">
        <f t="shared" si="68"/>
        <v>-138138.82817334693</v>
      </c>
      <c r="F592" s="2723">
        <f t="shared" si="68"/>
        <v>11379.925020609993</v>
      </c>
      <c r="G592" s="2723">
        <f t="shared" si="68"/>
        <v>124441.07886261036</v>
      </c>
      <c r="H592" s="2723">
        <f t="shared" si="68"/>
        <v>371195.18780099973</v>
      </c>
      <c r="I592" s="264"/>
      <c r="J592" s="264"/>
    </row>
    <row r="593" spans="1:10" s="52" customFormat="1" ht="20.100000000000001" customHeight="1">
      <c r="A593" s="285">
        <v>21</v>
      </c>
      <c r="B593" s="2707" t="s">
        <v>467</v>
      </c>
      <c r="C593" s="2700"/>
      <c r="D593" s="2700"/>
      <c r="E593" s="2700"/>
      <c r="F593" s="2700"/>
      <c r="G593" s="2700"/>
      <c r="H593" s="2700">
        <f t="shared" si="66"/>
        <v>0</v>
      </c>
      <c r="I593" s="264"/>
      <c r="J593" s="264"/>
    </row>
    <row r="594" spans="1:10" s="52" customFormat="1" ht="20.100000000000001" customHeight="1">
      <c r="A594" s="285">
        <v>22</v>
      </c>
      <c r="B594" s="2707" t="s">
        <v>468</v>
      </c>
      <c r="C594" s="2719">
        <f t="shared" ref="C594:H594" si="69">SUM(C592:C593)</f>
        <v>-121738.99332459032</v>
      </c>
      <c r="D594" s="2719">
        <f t="shared" si="69"/>
        <v>24982.005415716645</v>
      </c>
      <c r="E594" s="2723">
        <f t="shared" si="69"/>
        <v>-138138.82817334693</v>
      </c>
      <c r="F594" s="2723">
        <f t="shared" si="69"/>
        <v>11379.925020609993</v>
      </c>
      <c r="G594" s="2723">
        <f t="shared" si="69"/>
        <v>124441.07886261036</v>
      </c>
      <c r="H594" s="2723">
        <f t="shared" si="69"/>
        <v>371195.18780099973</v>
      </c>
      <c r="I594" s="284"/>
      <c r="J594" s="264"/>
    </row>
  </sheetData>
  <customSheetViews>
    <customSheetView guid="{2ACFE167-4169-43A6-9AB2-59D5A2DA2DB4}" showPageBreaks="1" printArea="1" state="hidden" topLeftCell="C55">
      <selection activeCell="H83" sqref="H83"/>
      <rowBreaks count="16" manualBreakCount="16">
        <brk id="66" max="7" man="1"/>
        <brk id="99" max="7" man="1"/>
        <brk id="132" max="7" man="1"/>
        <brk id="165" max="7" man="1"/>
        <brk id="198" max="7" man="1"/>
        <brk id="231" max="7" man="1"/>
        <brk id="264" max="7" man="1"/>
        <brk id="297" max="7" man="1"/>
        <brk id="330" max="7" man="1"/>
        <brk id="363" max="7" man="1"/>
        <brk id="396" max="7" man="1"/>
        <brk id="429" max="7" man="1"/>
        <brk id="462" max="7" man="1"/>
        <brk id="495" max="7" man="1"/>
        <brk id="528" max="7" man="1"/>
        <brk id="561" max="7" man="1"/>
      </rowBreaks>
      <colBreaks count="1" manualBreakCount="1">
        <brk id="8" max="1048575" man="1"/>
      </colBreaks>
      <pageMargins left="0" right="0" top="0" bottom="0" header="0" footer="0"/>
      <pageSetup scale="67" orientation="landscape" r:id="rId1"/>
    </customSheetView>
    <customSheetView guid="{967E0446-E234-427F-8E57-7FE287052E2E}" showPageBreaks="1" printArea="1" state="hidden" topLeftCell="C55">
      <selection activeCell="H83" sqref="H83"/>
      <rowBreaks count="16" manualBreakCount="16">
        <brk id="66" max="7" man="1"/>
        <brk id="99" max="7" man="1"/>
        <brk id="132" max="7" man="1"/>
        <brk id="165" max="7" man="1"/>
        <brk id="198" max="7" man="1"/>
        <brk id="231" max="7" man="1"/>
        <brk id="264" max="7" man="1"/>
        <brk id="297" max="7" man="1"/>
        <brk id="330" max="7" man="1"/>
        <brk id="363" max="7" man="1"/>
        <brk id="396" max="7" man="1"/>
        <brk id="429" max="7" man="1"/>
        <brk id="462" max="7" man="1"/>
        <brk id="495" max="7" man="1"/>
        <brk id="528" max="7" man="1"/>
        <brk id="561" max="7" man="1"/>
      </rowBreaks>
      <colBreaks count="1" manualBreakCount="1">
        <brk id="8" max="1048575" man="1"/>
      </colBreaks>
      <pageMargins left="0" right="0" top="0" bottom="0" header="0" footer="0"/>
      <pageSetup scale="67" orientation="landscape" r:id="rId2"/>
    </customSheetView>
    <customSheetView guid="{B2E1A0C6-5BA1-4CF1-B412-16D81FCDF11F}" showPageBreaks="1" printArea="1" state="hidden" topLeftCell="C55">
      <selection activeCell="H83" sqref="H83"/>
      <rowBreaks count="16" manualBreakCount="16">
        <brk id="66" max="7" man="1"/>
        <brk id="99" max="7" man="1"/>
        <brk id="132" max="7" man="1"/>
        <brk id="165" max="7" man="1"/>
        <brk id="198" max="7" man="1"/>
        <brk id="231" max="7" man="1"/>
        <brk id="264" max="7" man="1"/>
        <brk id="297" max="7" man="1"/>
        <brk id="330" max="7" man="1"/>
        <brk id="363" max="7" man="1"/>
        <brk id="396" max="7" man="1"/>
        <brk id="429" max="7" man="1"/>
        <brk id="462" max="7" man="1"/>
        <brk id="495" max="7" man="1"/>
        <brk id="528" max="7" man="1"/>
        <brk id="561" max="7" man="1"/>
      </rowBreaks>
      <colBreaks count="1" manualBreakCount="1">
        <brk id="8" max="1048575" man="1"/>
      </colBreaks>
      <pageMargins left="0" right="0" top="0" bottom="0" header="0" footer="0"/>
      <pageSetup scale="67" orientation="landscape" r:id="rId3"/>
    </customSheetView>
    <customSheetView guid="{46F31544-8E6F-41C5-8628-1D6EE074AF15}" state="hidden" topLeftCell="C55">
      <selection activeCell="H83" sqref="H83"/>
      <rowBreaks count="16" manualBreakCount="16">
        <brk id="66" max="7" man="1"/>
        <brk id="99" max="7" man="1"/>
        <brk id="132" max="7" man="1"/>
        <brk id="165" max="7" man="1"/>
        <brk id="198" max="7" man="1"/>
        <brk id="231" max="7" man="1"/>
        <brk id="264" max="7" man="1"/>
        <brk id="297" max="7" man="1"/>
        <brk id="330" max="7" man="1"/>
        <brk id="363" max="7" man="1"/>
        <brk id="396" max="7" man="1"/>
        <brk id="429" max="7" man="1"/>
        <brk id="462" max="7" man="1"/>
        <brk id="495" max="7" man="1"/>
        <brk id="528" max="7" man="1"/>
        <brk id="561" max="7" man="1"/>
      </rowBreaks>
      <colBreaks count="1" manualBreakCount="1">
        <brk id="8" max="1048575" man="1"/>
      </colBreaks>
      <pageMargins left="0" right="0" top="0" bottom="0" header="0" footer="0"/>
      <pageSetup scale="67" orientation="landscape" r:id="rId4"/>
    </customSheetView>
    <customSheetView guid="{E82B35BE-4719-4C53-A9EF-1CC6F153A6F3}" showPageBreaks="1" printArea="1">
      <selection activeCell="E13" sqref="E13"/>
      <rowBreaks count="16" manualBreakCount="16">
        <brk id="66" max="7" man="1"/>
        <brk id="99" max="7" man="1"/>
        <brk id="132" max="7" man="1"/>
        <brk id="165" max="7" man="1"/>
        <brk id="198" max="7" man="1"/>
        <brk id="231" max="7" man="1"/>
        <brk id="264" max="7" man="1"/>
        <brk id="297" max="7" man="1"/>
        <brk id="330" max="7" man="1"/>
        <brk id="363" max="7" man="1"/>
        <brk id="396" max="7" man="1"/>
        <brk id="429" max="7" man="1"/>
        <brk id="462" max="7" man="1"/>
        <brk id="495" max="7" man="1"/>
        <brk id="528" max="7" man="1"/>
        <brk id="561" max="7" man="1"/>
      </rowBreaks>
      <colBreaks count="1" manualBreakCount="1">
        <brk id="8" max="1048575" man="1"/>
      </colBreaks>
      <pageMargins left="0" right="0" top="0" bottom="0" header="0" footer="0"/>
      <pageSetup scale="67" orientation="landscape" r:id="rId5"/>
    </customSheetView>
    <customSheetView guid="{B1E1B596-A9A1-411D-A882-A48CB025B978}" showPageBreaks="1" printArea="1" state="hidden" topLeftCell="C55">
      <selection activeCell="H83" sqref="H83"/>
      <rowBreaks count="16" manualBreakCount="16">
        <brk id="66" max="7" man="1"/>
        <brk id="99" max="7" man="1"/>
        <brk id="132" max="7" man="1"/>
        <brk id="165" max="7" man="1"/>
        <brk id="198" max="7" man="1"/>
        <brk id="231" max="7" man="1"/>
        <brk id="264" max="7" man="1"/>
        <brk id="297" max="7" man="1"/>
        <brk id="330" max="7" man="1"/>
        <brk id="363" max="7" man="1"/>
        <brk id="396" max="7" man="1"/>
        <brk id="429" max="7" man="1"/>
        <brk id="462" max="7" man="1"/>
        <brk id="495" max="7" man="1"/>
        <brk id="528" max="7" man="1"/>
        <brk id="561" max="7" man="1"/>
      </rowBreaks>
      <colBreaks count="1" manualBreakCount="1">
        <brk id="8" max="1048575" man="1"/>
      </colBreaks>
      <pageMargins left="0" right="0" top="0" bottom="0" header="0" footer="0"/>
      <pageSetup scale="67" orientation="landscape" r:id="rId6"/>
    </customSheetView>
    <customSheetView guid="{5E394B0B-7867-4722-9497-A93AB2A9A773}" showPageBreaks="1" printArea="1" state="hidden" topLeftCell="C55">
      <selection activeCell="H83" sqref="H83"/>
      <rowBreaks count="16" manualBreakCount="16">
        <brk id="66" max="7" man="1"/>
        <brk id="99" max="7" man="1"/>
        <brk id="132" max="7" man="1"/>
        <brk id="165" max="7" man="1"/>
        <brk id="198" max="7" man="1"/>
        <brk id="231" max="7" man="1"/>
        <brk id="264" max="7" man="1"/>
        <brk id="297" max="7" man="1"/>
        <brk id="330" max="7" man="1"/>
        <brk id="363" max="7" man="1"/>
        <brk id="396" max="7" man="1"/>
        <brk id="429" max="7" man="1"/>
        <brk id="462" max="7" man="1"/>
        <brk id="495" max="7" man="1"/>
        <brk id="528" max="7" man="1"/>
        <brk id="561" max="7" man="1"/>
      </rowBreaks>
      <colBreaks count="1" manualBreakCount="1">
        <brk id="8" max="1048575" man="1"/>
      </colBreaks>
      <pageMargins left="0" right="0" top="0" bottom="0" header="0" footer="0"/>
      <pageSetup scale="67" orientation="landscape" r:id="rId7"/>
    </customSheetView>
  </customSheetViews>
  <mergeCells count="90">
    <mergeCell ref="C3:H3"/>
    <mergeCell ref="I4:I5"/>
    <mergeCell ref="C168:H168"/>
    <mergeCell ref="I169:I170"/>
    <mergeCell ref="C135:H135"/>
    <mergeCell ref="I136:I137"/>
    <mergeCell ref="C6:G6"/>
    <mergeCell ref="C138:G138"/>
    <mergeCell ref="I103:I104"/>
    <mergeCell ref="C36:H36"/>
    <mergeCell ref="I37:I38"/>
    <mergeCell ref="C39:G39"/>
    <mergeCell ref="I70:I71"/>
    <mergeCell ref="I532:I533"/>
    <mergeCell ref="C564:H564"/>
    <mergeCell ref="I301:I302"/>
    <mergeCell ref="I565:I566"/>
    <mergeCell ref="I499:I500"/>
    <mergeCell ref="I466:I467"/>
    <mergeCell ref="C333:H333"/>
    <mergeCell ref="I334:I335"/>
    <mergeCell ref="C366:H366"/>
    <mergeCell ref="I367:I368"/>
    <mergeCell ref="C399:H399"/>
    <mergeCell ref="I400:I401"/>
    <mergeCell ref="C465:H465"/>
    <mergeCell ref="C435:G435"/>
    <mergeCell ref="C468:G468"/>
    <mergeCell ref="C534:G534"/>
    <mergeCell ref="B465:B467"/>
    <mergeCell ref="B531:B533"/>
    <mergeCell ref="B564:B566"/>
    <mergeCell ref="B498:B500"/>
    <mergeCell ref="B333:B335"/>
    <mergeCell ref="B432:B434"/>
    <mergeCell ref="C567:G567"/>
    <mergeCell ref="C498:H498"/>
    <mergeCell ref="C501:G501"/>
    <mergeCell ref="C531:H531"/>
    <mergeCell ref="C69:H69"/>
    <mergeCell ref="C432:H432"/>
    <mergeCell ref="C303:G303"/>
    <mergeCell ref="C336:G336"/>
    <mergeCell ref="C234:H234"/>
    <mergeCell ref="I235:I236"/>
    <mergeCell ref="C267:H267"/>
    <mergeCell ref="C72:G72"/>
    <mergeCell ref="B102:B104"/>
    <mergeCell ref="C102:H102"/>
    <mergeCell ref="C105:G105"/>
    <mergeCell ref="C171:G171"/>
    <mergeCell ref="B168:B170"/>
    <mergeCell ref="I433:I434"/>
    <mergeCell ref="B201:B203"/>
    <mergeCell ref="C201:H201"/>
    <mergeCell ref="B234:B236"/>
    <mergeCell ref="B267:B269"/>
    <mergeCell ref="B300:B302"/>
    <mergeCell ref="B399:B401"/>
    <mergeCell ref="C369:G369"/>
    <mergeCell ref="C402:G402"/>
    <mergeCell ref="I268:I269"/>
    <mergeCell ref="C300:H300"/>
    <mergeCell ref="C270:G270"/>
    <mergeCell ref="C237:G237"/>
    <mergeCell ref="I202:I203"/>
    <mergeCell ref="C204:G204"/>
    <mergeCell ref="B366:B368"/>
    <mergeCell ref="B3:B5"/>
    <mergeCell ref="A36:A38"/>
    <mergeCell ref="A69:A71"/>
    <mergeCell ref="A102:A104"/>
    <mergeCell ref="A135:A137"/>
    <mergeCell ref="B36:B38"/>
    <mergeCell ref="B135:B137"/>
    <mergeCell ref="B69:B71"/>
    <mergeCell ref="A498:A500"/>
    <mergeCell ref="A531:A533"/>
    <mergeCell ref="A564:A566"/>
    <mergeCell ref="A3:A5"/>
    <mergeCell ref="A333:A335"/>
    <mergeCell ref="A366:A368"/>
    <mergeCell ref="A399:A401"/>
    <mergeCell ref="A432:A434"/>
    <mergeCell ref="A465:A467"/>
    <mergeCell ref="A168:A170"/>
    <mergeCell ref="A201:A203"/>
    <mergeCell ref="A234:A236"/>
    <mergeCell ref="A267:A269"/>
    <mergeCell ref="A300:A302"/>
  </mergeCells>
  <pageMargins left="0.7" right="0.56999999999999995" top="0.75" bottom="0.75" header="0.3" footer="0.3"/>
  <pageSetup scale="67" orientation="landscape" r:id="rId8"/>
  <rowBreaks count="16" manualBreakCount="16">
    <brk id="66" max="7" man="1"/>
    <brk id="99" max="7" man="1"/>
    <brk id="132" max="7" man="1"/>
    <brk id="165" max="7" man="1"/>
    <brk id="198" max="7" man="1"/>
    <brk id="231" max="7" man="1"/>
    <brk id="264" max="7" man="1"/>
    <brk id="297" max="7" man="1"/>
    <brk id="330" max="7" man="1"/>
    <brk id="363" max="7" man="1"/>
    <brk id="396" max="7" man="1"/>
    <brk id="429" max="7" man="1"/>
    <brk id="462" max="7" man="1"/>
    <brk id="495" max="7" man="1"/>
    <brk id="528" max="7" man="1"/>
    <brk id="561" max="7" man="1"/>
  </rowBreaks>
  <colBreaks count="1" manualBreakCount="1">
    <brk id="8" max="1048575" man="1"/>
  </colBreaks>
  <ignoredErrors>
    <ignoredError sqref="H590 H592" formula="1"/>
  </ignoredErrors>
  <legacyDrawing r:id="rId9"/>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rgb="FF00B0F0"/>
  </sheetPr>
  <dimension ref="A3:X84"/>
  <sheetViews>
    <sheetView zoomScaleNormal="100" workbookViewId="0">
      <pane xSplit="1" ySplit="5" topLeftCell="B39" activePane="bottomRight" state="frozen"/>
      <selection pane="bottomRight" activeCell="H57" sqref="H57"/>
      <selection pane="bottomLeft" activeCell="A6" sqref="A6"/>
      <selection pane="topRight" activeCell="B1" sqref="B1"/>
    </sheetView>
  </sheetViews>
  <sheetFormatPr defaultColWidth="9.140625" defaultRowHeight="14.45"/>
  <cols>
    <col min="1" max="1" width="19" customWidth="1"/>
    <col min="2" max="2" width="12.5703125" customWidth="1"/>
    <col min="3" max="4" width="12.7109375" customWidth="1"/>
    <col min="5" max="5" width="12.5703125" customWidth="1"/>
    <col min="6" max="6" width="11.42578125" customWidth="1"/>
    <col min="7" max="7" width="12.7109375" customWidth="1"/>
    <col min="8" max="8" width="13.5703125" customWidth="1"/>
    <col min="9" max="9" width="12.7109375" customWidth="1"/>
    <col min="10" max="10" width="10.28515625" customWidth="1"/>
    <col min="11" max="11" width="14.28515625" customWidth="1"/>
    <col min="12" max="12" width="14.5703125" customWidth="1"/>
    <col min="13" max="13" width="11.28515625" customWidth="1"/>
    <col min="14" max="14" width="12" customWidth="1"/>
    <col min="15" max="15" width="9.28515625" bestFit="1" customWidth="1"/>
    <col min="16" max="16" width="13.7109375" customWidth="1"/>
    <col min="17" max="17" width="13.28515625" customWidth="1"/>
    <col min="18" max="18" width="11.5703125" customWidth="1"/>
    <col min="19" max="19" width="14.5703125" bestFit="1" customWidth="1"/>
    <col min="20" max="20" width="11" customWidth="1"/>
    <col min="21" max="21" width="11.140625" customWidth="1"/>
    <col min="22" max="22" width="14.7109375" customWidth="1"/>
    <col min="23" max="23" width="14.5703125" bestFit="1" customWidth="1"/>
    <col min="24" max="24" width="14.5703125" customWidth="1"/>
  </cols>
  <sheetData>
    <row r="3" spans="1:24" ht="15" customHeight="1">
      <c r="A3" s="2725" t="s">
        <v>729</v>
      </c>
      <c r="B3" s="3167"/>
      <c r="C3" s="3167"/>
      <c r="D3" s="3167"/>
      <c r="E3" s="3167"/>
      <c r="F3" s="2726"/>
    </row>
    <row r="4" spans="1:24">
      <c r="A4" s="3604" t="s">
        <v>730</v>
      </c>
      <c r="B4" s="373">
        <v>1</v>
      </c>
      <c r="C4" s="373">
        <v>2</v>
      </c>
      <c r="D4" s="373">
        <v>3</v>
      </c>
      <c r="E4" s="373">
        <v>4</v>
      </c>
      <c r="F4" s="373">
        <v>5</v>
      </c>
      <c r="G4" s="373">
        <v>6</v>
      </c>
      <c r="H4" s="373">
        <v>7</v>
      </c>
      <c r="I4" s="373">
        <v>8</v>
      </c>
      <c r="J4" s="373">
        <v>9</v>
      </c>
      <c r="K4" s="373">
        <v>10</v>
      </c>
      <c r="L4" s="373">
        <v>11</v>
      </c>
      <c r="M4" s="373">
        <v>12</v>
      </c>
      <c r="N4" s="373">
        <v>13</v>
      </c>
      <c r="O4" s="373">
        <v>14</v>
      </c>
      <c r="P4" s="373">
        <v>15</v>
      </c>
      <c r="Q4" s="373">
        <v>16</v>
      </c>
      <c r="R4" s="373">
        <v>17</v>
      </c>
      <c r="S4" s="373">
        <v>18</v>
      </c>
      <c r="T4" s="373">
        <v>19</v>
      </c>
      <c r="U4" s="373">
        <v>20</v>
      </c>
      <c r="V4" s="374"/>
    </row>
    <row r="5" spans="1:24">
      <c r="A5" s="3604"/>
      <c r="B5" s="2727" t="s">
        <v>177</v>
      </c>
      <c r="C5" s="2727" t="s">
        <v>179</v>
      </c>
      <c r="D5" s="2727" t="s">
        <v>181</v>
      </c>
      <c r="E5" s="2727" t="s">
        <v>182</v>
      </c>
      <c r="F5" s="2727" t="s">
        <v>183</v>
      </c>
      <c r="G5" s="2727" t="s">
        <v>184</v>
      </c>
      <c r="H5" s="2728" t="s">
        <v>185</v>
      </c>
      <c r="I5" s="2727" t="s">
        <v>186</v>
      </c>
      <c r="J5" s="2727" t="s">
        <v>187</v>
      </c>
      <c r="K5" s="2727" t="s">
        <v>188</v>
      </c>
      <c r="L5" s="2727" t="s">
        <v>189</v>
      </c>
      <c r="M5" s="2727" t="s">
        <v>191</v>
      </c>
      <c r="N5" s="2727" t="s">
        <v>192</v>
      </c>
      <c r="O5" s="2727" t="s">
        <v>702</v>
      </c>
      <c r="P5" s="2727" t="s">
        <v>194</v>
      </c>
      <c r="Q5" s="2729" t="s">
        <v>115</v>
      </c>
      <c r="R5" s="2727" t="s">
        <v>196</v>
      </c>
      <c r="S5" s="2727" t="s">
        <v>197</v>
      </c>
      <c r="T5" s="2727" t="s">
        <v>193</v>
      </c>
      <c r="U5" s="2727" t="s">
        <v>110</v>
      </c>
      <c r="V5" s="2730" t="s">
        <v>118</v>
      </c>
    </row>
    <row r="6" spans="1:24">
      <c r="A6" s="2504" t="s">
        <v>436</v>
      </c>
      <c r="B6" s="2731">
        <f>+'[21]Sheet 2 - General Insurance'!$C$39</f>
        <v>11991</v>
      </c>
      <c r="C6" s="2731">
        <f>+'[22]Sheet 2 - General Insurance'!$C$39</f>
        <v>75109.039999999935</v>
      </c>
      <c r="D6" s="2731">
        <f>+'[23]Sheet 2 - General Insurance'!$C$39</f>
        <v>100496.28347000002</v>
      </c>
      <c r="E6" s="2731">
        <f>+'[24]Sheet 2 - General Insurance'!$C$39</f>
        <v>14436.836329999825</v>
      </c>
      <c r="F6" s="2731">
        <f>+'[25]Sheet 2 - General Insurance'!$C$39</f>
        <v>15127.189258330027</v>
      </c>
      <c r="G6" s="2731">
        <f>+'[26]Sheet 2 - General Insurance'!$C$39</f>
        <v>61590.31917408156</v>
      </c>
      <c r="H6" s="2732">
        <f>+'[27]Sheet 2 - General Insurance'!$C$39</f>
        <v>596457</v>
      </c>
      <c r="I6" s="2731">
        <f>+'[28]Sheet 2 - General Insurance'!$C$39</f>
        <v>31114.921959999996</v>
      </c>
      <c r="J6" s="2731"/>
      <c r="K6" s="2731">
        <f>+'[29]Sheet 2 - General Insurance'!$C$39</f>
        <v>35595.95800000005</v>
      </c>
      <c r="L6" s="2731">
        <f>+'[30]Sheet 2 - General Insurance'!$C$39/1000</f>
        <v>138182.99955335006</v>
      </c>
      <c r="M6" s="2733">
        <f>+'[31]Sheet 2 - General Insurance'!$C$39</f>
        <v>6625.9590400000025</v>
      </c>
      <c r="N6" s="2731">
        <f>+'[32]Sheet 2 - General Insurance'!$C$39</f>
        <v>2184.6448099999989</v>
      </c>
      <c r="O6" s="2731"/>
      <c r="P6" s="2731">
        <f>+'[33]Sheet 2 - General Insurance'!$C$39</f>
        <v>120714.60952999997</v>
      </c>
      <c r="Q6" s="2731">
        <f>+'[34]Sheet 2 - General Insurance'!$C$39</f>
        <v>144613.37762999948</v>
      </c>
      <c r="R6" s="2731">
        <f>+'[35]Sheet 2 - General Insurance'!$C$39</f>
        <v>9323.4402658333311</v>
      </c>
      <c r="S6" s="2731">
        <f>+'[36]Sheet 2 - General Insurance'!$C$39</f>
        <v>58842.492000000108</v>
      </c>
      <c r="T6" s="2731">
        <f>+'[37]Sheet 2 - General Insurance'!$C$39</f>
        <v>1724.0207270586238</v>
      </c>
      <c r="U6" s="2731"/>
      <c r="V6" s="2731">
        <f>SUM(B6:U6)</f>
        <v>1424130.0917486532</v>
      </c>
      <c r="W6" s="58"/>
    </row>
    <row r="7" spans="1:24">
      <c r="A7" s="2504" t="s">
        <v>437</v>
      </c>
      <c r="B7" s="2731">
        <f>+'[21]Sheet 2 - General Insurance'!$D$39</f>
        <v>21118</v>
      </c>
      <c r="C7" s="2731">
        <f>+'[22]Sheet 2 - General Insurance'!$D$39</f>
        <v>13851.700000000004</v>
      </c>
      <c r="D7" s="2731">
        <f>+'[23]Sheet 2 - General Insurance'!$D$39</f>
        <v>68831.139480000013</v>
      </c>
      <c r="E7" s="2731">
        <f>+'[24]Sheet 2 - General Insurance'!$D$39</f>
        <v>15153.229149999905</v>
      </c>
      <c r="F7" s="2731">
        <f>+'[25]Sheet 2 - General Insurance'!$D$39</f>
        <v>60314.486887784209</v>
      </c>
      <c r="G7" s="2731">
        <f>+'[26]Sheet 2 - General Insurance'!$D$39</f>
        <v>4245.2549987940383</v>
      </c>
      <c r="H7" s="2731">
        <f>+'[27]Sheet 2 - General Insurance'!$D$39</f>
        <v>244495</v>
      </c>
      <c r="I7" s="2731">
        <f>+'[28]Sheet 2 - General Insurance'!$D$39</f>
        <v>13658.40065</v>
      </c>
      <c r="J7" s="2731"/>
      <c r="K7" s="2731">
        <f>+'[29]Sheet 2 - General Insurance'!$D$39</f>
        <v>3555.5901499999959</v>
      </c>
      <c r="L7" s="2731">
        <f>+'[30]Sheet 2 - General Insurance'!$D$39/1000</f>
        <v>84813.788031039992</v>
      </c>
      <c r="M7" s="2731">
        <f>+'[31]Sheet 2 - General Insurance'!$D$39</f>
        <v>77.86503999999951</v>
      </c>
      <c r="N7" s="2731">
        <f>+'[32]Sheet 2 - General Insurance'!$D$39</f>
        <v>8112.2656100000004</v>
      </c>
      <c r="O7" s="2731"/>
      <c r="P7" s="2731">
        <f>+'[33]Sheet 2 - General Insurance'!$D$39</f>
        <v>1537.9186100000002</v>
      </c>
      <c r="Q7" s="2731">
        <f>+'[34]Sheet 2 - General Insurance'!$D$39</f>
        <v>165892.7511100001</v>
      </c>
      <c r="R7" s="2731">
        <v>0</v>
      </c>
      <c r="S7" s="2731">
        <f>+'[36]Sheet 2 - General Insurance'!$D$39</f>
        <v>124989.71577999997</v>
      </c>
      <c r="T7" s="2731">
        <f>+'[37]Sheet 2 - General Insurance'!$D$39</f>
        <v>2544.5641891080459</v>
      </c>
      <c r="U7" s="2731"/>
      <c r="V7" s="2731">
        <f>SUM(B7:U7)</f>
        <v>833191.66968672629</v>
      </c>
      <c r="W7" s="58"/>
    </row>
    <row r="8" spans="1:24">
      <c r="A8" s="2504" t="s">
        <v>438</v>
      </c>
      <c r="B8" s="2734">
        <f>+'[21]Sheet 2 - General Insurance'!$E$39</f>
        <v>554625</v>
      </c>
      <c r="C8" s="2734">
        <f>+'[22]Sheet 2 - General Insurance'!$E$39</f>
        <v>275603.28000000003</v>
      </c>
      <c r="D8" s="2735">
        <f>+'[23]Sheet 2 - General Insurance'!$E$39</f>
        <v>1402339.5508399999</v>
      </c>
      <c r="E8" s="2734">
        <f>+'[24]Sheet 2 - General Insurance'!$E$39</f>
        <v>894902.863955818</v>
      </c>
      <c r="F8" s="2734">
        <f>+'[25]Sheet 2 - General Insurance'!$E$39</f>
        <v>15615.582827194963</v>
      </c>
      <c r="G8" s="2731">
        <f>+'[26]Sheet 2 - General Insurance'!$E$39</f>
        <v>907309.60939319828</v>
      </c>
      <c r="H8" s="2731">
        <f>+'[27]Sheet 2 - General Insurance'!$E$39</f>
        <v>6124855</v>
      </c>
      <c r="I8" s="2731">
        <f>+'[28]Sheet 2 - General Insurance'!$E$39</f>
        <v>994227.09907</v>
      </c>
      <c r="J8" s="2731"/>
      <c r="K8" s="2731">
        <f>+'[29]Sheet 2 - General Insurance'!$E$39</f>
        <v>1185627.1847099999</v>
      </c>
      <c r="L8" s="2731">
        <f>+'[30]Sheet 2 - General Insurance'!$E$39/1000</f>
        <v>4501945.9990615994</v>
      </c>
      <c r="M8" s="2731">
        <f>+'[31]Sheet 2 - General Insurance'!$E$39</f>
        <v>1237163.7800499999</v>
      </c>
      <c r="N8" s="2731">
        <f>+'[32]Sheet 2 - General Insurance'!$E$39</f>
        <v>788630.40683999995</v>
      </c>
      <c r="O8" s="2731"/>
      <c r="P8" s="2731">
        <f>+'[33]Sheet 2 - General Insurance'!$E$39</f>
        <v>2517533.4318400002</v>
      </c>
      <c r="Q8" s="2731">
        <f>+'[34]Sheet 2 - General Insurance'!$E$39</f>
        <v>7302050.8899200037</v>
      </c>
      <c r="R8" s="2731">
        <f>+'[35]Sheet 2 - General Insurance'!$E$39</f>
        <v>149168.55084708333</v>
      </c>
      <c r="S8" s="2731">
        <f>+'[36]Sheet 2 - General Insurance'!$E$39</f>
        <v>2403174.0531899999</v>
      </c>
      <c r="T8" s="2731">
        <f>+'[37]Sheet 2 - General Insurance'!$E$39</f>
        <v>233615.15584124965</v>
      </c>
      <c r="U8" s="2731"/>
      <c r="V8" s="2731">
        <f>SUM(B8:U8)</f>
        <v>31488387.438386142</v>
      </c>
      <c r="W8" s="58"/>
    </row>
    <row r="9" spans="1:24">
      <c r="A9" s="2504" t="s">
        <v>722</v>
      </c>
      <c r="B9" s="2734">
        <f>+'[21]Sheet 2 - General Insurance'!$F$39</f>
        <v>7656</v>
      </c>
      <c r="C9" s="2734">
        <f>+'[22]Sheet 2 - General Insurance'!$F$39</f>
        <v>9759.41</v>
      </c>
      <c r="D9" s="2735">
        <f>+'[23]Sheet 2 - General Insurance'!$F$39</f>
        <v>1171.9387873595697</v>
      </c>
      <c r="E9" s="2734">
        <f>+'[24]Sheet 2 - General Insurance'!$F$39</f>
        <v>5536.0702599999995</v>
      </c>
      <c r="F9" s="2734">
        <f>+'[25]Sheet 2 - General Insurance'!$F$39</f>
        <v>644.87829908176025</v>
      </c>
      <c r="G9" s="2731">
        <f>+'[26]Sheet 2 - General Insurance'!$F$39</f>
        <v>1160.6031782236407</v>
      </c>
      <c r="H9" s="2731">
        <f>+'[27]Sheet 2 - General Insurance'!$F$39</f>
        <v>86399</v>
      </c>
      <c r="I9" s="2731">
        <v>0</v>
      </c>
      <c r="J9" s="2731"/>
      <c r="K9" s="2731">
        <f>+'[29]Sheet 2 - General Insurance'!$F$39</f>
        <v>3844.1516399999996</v>
      </c>
      <c r="L9" s="2731">
        <v>0</v>
      </c>
      <c r="M9" s="2731">
        <f>+'[31]Sheet 2 - General Insurance'!$F$39</f>
        <v>-1186.9653400000025</v>
      </c>
      <c r="N9" s="2731">
        <v>0</v>
      </c>
      <c r="O9" s="2731"/>
      <c r="P9" s="2731">
        <v>0</v>
      </c>
      <c r="Q9" s="2731">
        <f>+'[34]Sheet 2 - General Insurance'!$F$39</f>
        <v>79915.650380000006</v>
      </c>
      <c r="R9" s="2731">
        <f>+'[35]Sheet 2 - General Insurance'!$F$39</f>
        <v>0.39600000000000002</v>
      </c>
      <c r="S9" s="2731">
        <f>+'[36]Sheet 2 - General Insurance'!$F$39</f>
        <v>35622.643089999998</v>
      </c>
      <c r="T9" s="2731">
        <v>0</v>
      </c>
      <c r="U9" s="2731"/>
      <c r="V9" s="2731">
        <f>SUM(B9:U9)</f>
        <v>230523.77629466497</v>
      </c>
      <c r="W9" s="58"/>
    </row>
    <row r="10" spans="1:24">
      <c r="A10" s="2504" t="s">
        <v>440</v>
      </c>
      <c r="B10" s="2734">
        <f>+'[21]Sheet 2 - General Insurance'!$G$39</f>
        <v>387274</v>
      </c>
      <c r="C10" s="2734">
        <f>+'[22]Sheet 2 - General Insurance'!$G$39</f>
        <v>309985.77</v>
      </c>
      <c r="D10" s="2735">
        <f>+'[23]Sheet 2 - General Insurance'!$G$39</f>
        <v>307812.08301</v>
      </c>
      <c r="E10" s="2734">
        <f>+'[24]Sheet 2 - General Insurance'!$G$39</f>
        <v>167842.33261999997</v>
      </c>
      <c r="F10" s="2734">
        <f>+'[25]Sheet 2 - General Insurance'!$G$39</f>
        <v>280598.72018289129</v>
      </c>
      <c r="G10" s="2731">
        <f>+'[26]Sheet 2 - General Insurance'!$G$39</f>
        <v>16094.054978796923</v>
      </c>
      <c r="H10" s="2731">
        <f>+'[27]Sheet 2 - General Insurance'!$G$39</f>
        <v>1790506</v>
      </c>
      <c r="I10" s="2731">
        <f>+'[28]Sheet 2 - General Insurance'!$G$39</f>
        <v>118133.94250999999</v>
      </c>
      <c r="J10" s="2731"/>
      <c r="K10" s="2731">
        <f>+'[29]Sheet 2 - General Insurance'!$G$39</f>
        <v>127809.91972999999</v>
      </c>
      <c r="L10" s="2731">
        <f>+'[30]Sheet 2 - General Insurance'!$G$39/1000</f>
        <v>646346.99948333995</v>
      </c>
      <c r="M10" s="2731">
        <f>+'[31]Sheet 2 - General Insurance'!$G$39</f>
        <v>-4730.1627099999996</v>
      </c>
      <c r="N10" s="2731">
        <f>+'[32]Sheet 2 - General Insurance'!$G$39</f>
        <v>199322.15664000003</v>
      </c>
      <c r="O10" s="2731"/>
      <c r="P10" s="2731">
        <f>+'[33]Sheet 2 - General Insurance'!$G$39</f>
        <v>160694.91036000001</v>
      </c>
      <c r="Q10" s="2731">
        <f>+'[34]Sheet 2 - General Insurance'!$G$39</f>
        <v>2190254.8430200014</v>
      </c>
      <c r="R10" s="2731">
        <f>+'[35]Sheet 2 - General Insurance'!$G$39</f>
        <v>78619.38594708337</v>
      </c>
      <c r="S10" s="2731">
        <f>+'[36]Sheet 2 - General Insurance'!$G$39</f>
        <v>1369705.1760500001</v>
      </c>
      <c r="T10" s="2731">
        <f>+'[37]Sheet 2 - General Insurance'!$G$39</f>
        <v>60668.30536728922</v>
      </c>
      <c r="U10" s="2731"/>
      <c r="V10" s="2731">
        <f>SUM(B10:U10)</f>
        <v>8206938.4371894021</v>
      </c>
      <c r="W10" s="58"/>
    </row>
    <row r="11" spans="1:24">
      <c r="A11" s="2736" t="s">
        <v>118</v>
      </c>
      <c r="B11" s="2737">
        <f t="shared" ref="B11:L11" si="0">SUM(B6:B10)</f>
        <v>982664</v>
      </c>
      <c r="C11" s="2737">
        <f t="shared" si="0"/>
        <v>684309.2</v>
      </c>
      <c r="D11" s="2737">
        <f t="shared" si="0"/>
        <v>1880650.9955873594</v>
      </c>
      <c r="E11" s="2737">
        <f t="shared" si="0"/>
        <v>1097871.3323158177</v>
      </c>
      <c r="F11" s="2737">
        <f t="shared" si="0"/>
        <v>372300.85745528224</v>
      </c>
      <c r="G11" s="2737">
        <f t="shared" si="0"/>
        <v>990399.84172309446</v>
      </c>
      <c r="H11" s="2737">
        <f t="shared" si="0"/>
        <v>8842712</v>
      </c>
      <c r="I11" s="2737">
        <f t="shared" si="0"/>
        <v>1157134.3641900001</v>
      </c>
      <c r="J11" s="2737">
        <f t="shared" si="0"/>
        <v>0</v>
      </c>
      <c r="K11" s="2737">
        <f t="shared" si="0"/>
        <v>1356432.8042299999</v>
      </c>
      <c r="L11" s="2737">
        <f t="shared" si="0"/>
        <v>5371289.7861293294</v>
      </c>
      <c r="M11" s="2737">
        <f t="shared" ref="M11:U11" si="1">SUM(M6:M10)</f>
        <v>1237950.4760799997</v>
      </c>
      <c r="N11" s="2737">
        <f t="shared" si="1"/>
        <v>998249.47389999998</v>
      </c>
      <c r="O11" s="2737">
        <f t="shared" si="1"/>
        <v>0</v>
      </c>
      <c r="P11" s="2737">
        <f t="shared" si="1"/>
        <v>2800480.8703400004</v>
      </c>
      <c r="Q11" s="2737">
        <f t="shared" si="1"/>
        <v>9882727.5120600052</v>
      </c>
      <c r="R11" s="2737">
        <f t="shared" si="1"/>
        <v>237111.77306000004</v>
      </c>
      <c r="S11" s="2737">
        <f t="shared" si="1"/>
        <v>3992334.0801100004</v>
      </c>
      <c r="T11" s="2737">
        <f t="shared" si="1"/>
        <v>298552.04612470552</v>
      </c>
      <c r="U11" s="2737">
        <f t="shared" si="1"/>
        <v>0</v>
      </c>
      <c r="V11" s="2737">
        <f>SUM(V6:V10)</f>
        <v>42183171.413305588</v>
      </c>
      <c r="W11" s="375">
        <f>+'[5]P &amp; L - GI - 2013'!H13</f>
        <v>42183171.414035596</v>
      </c>
      <c r="X11" s="14">
        <f>+V11-W11</f>
        <v>-7.3000788688659668E-4</v>
      </c>
    </row>
    <row r="12" spans="1:24">
      <c r="A12" s="46"/>
      <c r="B12" s="376"/>
      <c r="C12" s="376"/>
      <c r="D12" s="376"/>
      <c r="E12" s="376"/>
      <c r="F12" s="376"/>
      <c r="G12" s="376"/>
      <c r="H12" s="376"/>
      <c r="I12" s="376"/>
      <c r="J12" s="376"/>
      <c r="K12" s="376"/>
      <c r="L12" s="376"/>
      <c r="M12" s="376"/>
      <c r="N12" s="376"/>
      <c r="O12" s="376"/>
      <c r="P12" s="376"/>
      <c r="Q12" s="376"/>
      <c r="R12" s="376"/>
      <c r="S12" s="376"/>
      <c r="T12" s="376"/>
      <c r="U12" s="376"/>
      <c r="V12" s="376"/>
      <c r="W12" s="376"/>
      <c r="X12" s="14"/>
    </row>
    <row r="14" spans="1:24" ht="15" customHeight="1">
      <c r="A14" s="2725" t="s">
        <v>731</v>
      </c>
      <c r="B14" s="3167"/>
      <c r="C14" s="3167"/>
      <c r="D14" s="3167"/>
      <c r="E14" s="3167"/>
      <c r="F14" s="2726"/>
    </row>
    <row r="15" spans="1:24">
      <c r="A15" s="3604" t="s">
        <v>730</v>
      </c>
      <c r="B15" s="373">
        <v>1</v>
      </c>
      <c r="C15" s="373">
        <v>2</v>
      </c>
      <c r="D15" s="373">
        <v>3</v>
      </c>
      <c r="E15" s="373">
        <v>4</v>
      </c>
      <c r="F15" s="373">
        <v>5</v>
      </c>
      <c r="G15" s="373">
        <v>6</v>
      </c>
      <c r="H15" s="373">
        <v>7</v>
      </c>
      <c r="I15" s="373">
        <v>8</v>
      </c>
      <c r="J15" s="373">
        <v>9</v>
      </c>
      <c r="K15" s="373">
        <v>10</v>
      </c>
      <c r="L15" s="373">
        <v>11</v>
      </c>
      <c r="M15" s="373">
        <v>12</v>
      </c>
      <c r="N15" s="373">
        <v>13</v>
      </c>
      <c r="O15" s="373">
        <v>14</v>
      </c>
      <c r="P15" s="373">
        <v>15</v>
      </c>
      <c r="Q15" s="373">
        <v>16</v>
      </c>
      <c r="R15" s="373">
        <v>17</v>
      </c>
      <c r="S15" s="373">
        <v>18</v>
      </c>
      <c r="T15" s="373">
        <v>19</v>
      </c>
      <c r="U15" s="373">
        <v>20</v>
      </c>
      <c r="V15" s="374"/>
    </row>
    <row r="16" spans="1:24">
      <c r="A16" s="3604"/>
      <c r="B16" s="2727" t="s">
        <v>177</v>
      </c>
      <c r="C16" s="2727" t="s">
        <v>179</v>
      </c>
      <c r="D16" s="2727" t="s">
        <v>181</v>
      </c>
      <c r="E16" s="2727" t="s">
        <v>182</v>
      </c>
      <c r="F16" s="2727" t="s">
        <v>183</v>
      </c>
      <c r="G16" s="2727" t="s">
        <v>184</v>
      </c>
      <c r="H16" s="2728" t="s">
        <v>185</v>
      </c>
      <c r="I16" s="2727" t="s">
        <v>186</v>
      </c>
      <c r="J16" s="2727" t="s">
        <v>187</v>
      </c>
      <c r="K16" s="2727" t="s">
        <v>188</v>
      </c>
      <c r="L16" s="2727" t="s">
        <v>189</v>
      </c>
      <c r="M16" s="2727" t="s">
        <v>191</v>
      </c>
      <c r="N16" s="2727" t="s">
        <v>192</v>
      </c>
      <c r="O16" s="2727" t="s">
        <v>702</v>
      </c>
      <c r="P16" s="2727" t="s">
        <v>194</v>
      </c>
      <c r="Q16" s="2729" t="s">
        <v>115</v>
      </c>
      <c r="R16" s="2727" t="s">
        <v>196</v>
      </c>
      <c r="S16" s="2727" t="s">
        <v>197</v>
      </c>
      <c r="T16" s="2727" t="s">
        <v>193</v>
      </c>
      <c r="U16" s="2727" t="s">
        <v>110</v>
      </c>
      <c r="V16" s="2730" t="s">
        <v>118</v>
      </c>
    </row>
    <row r="17" spans="1:24">
      <c r="A17" s="2504" t="s">
        <v>436</v>
      </c>
      <c r="B17" s="2731">
        <f>+'[21]Sheet 2 - General Insurance'!$C$159</f>
        <v>9185.9460699999727</v>
      </c>
      <c r="C17" s="2731">
        <f>+'[22]Sheet 2 - General Insurance'!$C$157</f>
        <v>56046</v>
      </c>
      <c r="D17" s="2731">
        <f>+'[23]Sheet 2 - General Insurance'!$C$177</f>
        <v>127977.13802000001</v>
      </c>
      <c r="E17" s="2731">
        <f>+'[24]Sheet 2 - General Insurance'!$C$161</f>
        <v>7684.5690000000068</v>
      </c>
      <c r="F17" s="2731">
        <f>+'[25]Sheet 2 - General Insurance'!$C$157</f>
        <v>15034.93374</v>
      </c>
      <c r="G17" s="2731">
        <f>+'[26]Sheet 2 - General Insurance'!$C$172</f>
        <v>51972.113134867264</v>
      </c>
      <c r="H17" s="2732">
        <f>+'[5]P &amp; L - GI - 2012 '!C278</f>
        <v>516418</v>
      </c>
      <c r="I17" s="2731">
        <f>+'[28]Sheet 2 - General Insurance'!$C$157</f>
        <v>31180.10871</v>
      </c>
      <c r="J17" s="2731"/>
      <c r="K17" s="2731">
        <f>+'[29]Sheet 2 - General Insurance'!$C$166</f>
        <v>33549.44299000004</v>
      </c>
      <c r="L17" s="2731">
        <f>+'[30]Sheet 2 - General Insurance'!$C$160</f>
        <v>111866.73726999905</v>
      </c>
      <c r="M17" s="2731">
        <f>+'[31]Sheet 2 - General Insurance'!$C$157</f>
        <v>-17648.952170000004</v>
      </c>
      <c r="N17" s="2731">
        <f>+'[32]Sheet 2 - General Insurance'!$C$157</f>
        <v>6128.9368600000016</v>
      </c>
      <c r="O17" s="2731"/>
      <c r="P17" s="2731">
        <f>+'[33]Sheet 2 - General Insurance'!$C$162</f>
        <v>111189.66164999998</v>
      </c>
      <c r="Q17" s="2731">
        <f>+'[5]P &amp; L - GI - 2012 '!C608</f>
        <v>211402.43547999993</v>
      </c>
      <c r="R17" s="2731">
        <f>+'[35]Sheet 2 - General Insurance'!$C$157</f>
        <v>2766.1209099999987</v>
      </c>
      <c r="S17" s="2731">
        <f>+'[36]Sheet 2 - General Insurance'!$C$157</f>
        <v>125135.56500000002</v>
      </c>
      <c r="T17" s="2731">
        <f>+'[37]Sheet 2 - General Insurance'!$C$157</f>
        <v>919.59053914250148</v>
      </c>
      <c r="U17" s="2731"/>
      <c r="V17" s="2731">
        <f>SUM(B17:U17)</f>
        <v>1400808.3472040088</v>
      </c>
      <c r="W17" s="58"/>
    </row>
    <row r="18" spans="1:24">
      <c r="A18" s="2504" t="s">
        <v>437</v>
      </c>
      <c r="B18" s="2731">
        <f>+'[21]Sheet 2 - General Insurance'!$D$159</f>
        <v>24449.195810000005</v>
      </c>
      <c r="C18" s="2731">
        <f>+'[22]Sheet 2 - General Insurance'!$D$157</f>
        <v>10804.21</v>
      </c>
      <c r="D18" s="2731">
        <f>+'[23]Sheet 2 - General Insurance'!$D$177</f>
        <v>74019.987599999993</v>
      </c>
      <c r="E18" s="2731">
        <f>+'[24]Sheet 2 - General Insurance'!$D$161</f>
        <v>15606.681000000002</v>
      </c>
      <c r="F18" s="2731">
        <f>+'[25]Sheet 2 - General Insurance'!$D$157</f>
        <v>5062.196369999996</v>
      </c>
      <c r="G18" s="2731">
        <f>+'[26]Sheet 2 - General Insurance'!$D$172</f>
        <v>1991.9227454172162</v>
      </c>
      <c r="H18" s="2731">
        <f>+'[27]Sheet 2 - General Insurance'!$D$171</f>
        <v>249074</v>
      </c>
      <c r="I18" s="2731">
        <f>+'[28]Sheet 2 - General Insurance'!$D$157</f>
        <v>11456.661589999998</v>
      </c>
      <c r="J18" s="2731"/>
      <c r="K18" s="2731">
        <f>+'[29]Sheet 2 - General Insurance'!$D$166</f>
        <v>4250.1385900000041</v>
      </c>
      <c r="L18" s="2731">
        <f>+'[30]Sheet 2 - General Insurance'!$D$160</f>
        <v>85932.345170000015</v>
      </c>
      <c r="M18" s="2731">
        <f>+'[31]Sheet 2 - General Insurance'!$D$157</f>
        <v>-6118.17839</v>
      </c>
      <c r="N18" s="2731">
        <f>+'[32]Sheet 2 - General Insurance'!$D$157</f>
        <v>8356.355109999995</v>
      </c>
      <c r="O18" s="2731"/>
      <c r="P18" s="2731">
        <f>+'[33]Sheet 2 - General Insurance'!$D$162</f>
        <v>8727.9344600000004</v>
      </c>
      <c r="Q18" s="2731">
        <f>+'[5]P &amp; L - GI - 2012 '!D608</f>
        <v>-17720.445320000021</v>
      </c>
      <c r="R18" s="2731">
        <f>+'[35]Sheet 2 - General Insurance'!$D$157</f>
        <v>0</v>
      </c>
      <c r="S18" s="2731">
        <f>+'[36]Sheet 2 - General Insurance'!$D$157</f>
        <v>59769.151319999903</v>
      </c>
      <c r="T18" s="2731">
        <f>+'[37]Sheet 2 - General Insurance'!$D$157</f>
        <v>1410.5920268613863</v>
      </c>
      <c r="U18" s="2731"/>
      <c r="V18" s="2731">
        <f>SUM(B18:U18)</f>
        <v>537072.74808227841</v>
      </c>
      <c r="W18" s="58"/>
    </row>
    <row r="19" spans="1:24">
      <c r="A19" s="2504" t="s">
        <v>438</v>
      </c>
      <c r="B19" s="2734">
        <f>+'[21]Sheet 2 - General Insurance'!$E$159</f>
        <v>434907.48022000003</v>
      </c>
      <c r="C19" s="2734">
        <f>+'[22]Sheet 2 - General Insurance'!$E$157</f>
        <v>144016</v>
      </c>
      <c r="D19" s="2735">
        <f>+'[23]Sheet 2 - General Insurance'!$E$177</f>
        <v>1446848.9569999999</v>
      </c>
      <c r="E19" s="2734">
        <f>+'[24]Sheet 2 - General Insurance'!$E$161</f>
        <v>786224.00400000007</v>
      </c>
      <c r="F19" s="2734">
        <f>+'[25]Sheet 2 - General Insurance'!$E$157</f>
        <v>50340.718390000002</v>
      </c>
      <c r="G19" s="2731">
        <f>+'[26]Sheet 2 - General Insurance'!$E$172</f>
        <v>925439.04323602375</v>
      </c>
      <c r="H19" s="2731">
        <f>+'[27]Sheet 2 - General Insurance'!$E$171</f>
        <v>6327616</v>
      </c>
      <c r="I19" s="2731">
        <f>+'[28]Sheet 2 - General Insurance'!$E$157</f>
        <v>823724.38667000004</v>
      </c>
      <c r="J19" s="2731"/>
      <c r="K19" s="2731">
        <f>+'[29]Sheet 2 - General Insurance'!$E$166</f>
        <v>1174170.6146</v>
      </c>
      <c r="L19" s="2731">
        <f>+'[30]Sheet 2 - General Insurance'!$E$160</f>
        <v>4042847.8693500198</v>
      </c>
      <c r="M19" s="2731">
        <f>+'[31]Sheet 2 - General Insurance'!$E$157</f>
        <v>854754.57689000014</v>
      </c>
      <c r="N19" s="2731">
        <f>+'[32]Sheet 2 - General Insurance'!$E$157</f>
        <v>589982.99858000013</v>
      </c>
      <c r="O19" s="2731"/>
      <c r="P19" s="2731">
        <f>+'[33]Sheet 2 - General Insurance'!$E$162</f>
        <v>2195967.22358</v>
      </c>
      <c r="Q19" s="2731">
        <f>+'[5]P &amp; L - GI - 2012 '!E608</f>
        <v>7118266.2959499974</v>
      </c>
      <c r="R19" s="2731">
        <f>+'[35]Sheet 2 - General Insurance'!$E$157</f>
        <v>161159.57548999999</v>
      </c>
      <c r="S19" s="2731">
        <f>+'[36]Sheet 2 - General Insurance'!$E$157</f>
        <v>2135046.1623499999</v>
      </c>
      <c r="T19" s="2731">
        <f>+'[37]Sheet 2 - General Insurance'!$E$157</f>
        <v>81797.987727887725</v>
      </c>
      <c r="U19" s="2731"/>
      <c r="V19" s="2731">
        <f>SUM(B19:U19)</f>
        <v>29293109.894033927</v>
      </c>
      <c r="W19" s="58"/>
    </row>
    <row r="20" spans="1:24">
      <c r="A20" s="2504" t="s">
        <v>722</v>
      </c>
      <c r="B20" s="2734">
        <f>+'[21]Sheet 2 - General Insurance'!$F$159</f>
        <v>4970.9151399999992</v>
      </c>
      <c r="C20" s="2734">
        <f>+'[22]Sheet 2 - General Insurance'!$F$157</f>
        <v>8397</v>
      </c>
      <c r="D20" s="2735">
        <f>+'[23]Sheet 2 - General Insurance'!$F$177</f>
        <v>19455</v>
      </c>
      <c r="E20" s="2734">
        <f>+'[24]Sheet 2 - General Insurance'!$F$161</f>
        <v>4865.4969999999994</v>
      </c>
      <c r="F20" s="2734">
        <f>+'[25]Sheet 2 - General Insurance'!$F$157</f>
        <v>1073.2673599999996</v>
      </c>
      <c r="G20" s="2731">
        <f>+'[26]Sheet 2 - General Insurance'!$F$172</f>
        <v>782.44109013554055</v>
      </c>
      <c r="H20" s="2731">
        <f>+'[27]Sheet 2 - General Insurance'!$F$171</f>
        <v>86800</v>
      </c>
      <c r="I20" s="2731">
        <v>0</v>
      </c>
      <c r="J20" s="2731"/>
      <c r="K20" s="2731">
        <f>+'[29]Sheet 2 - General Insurance'!$F$166</f>
        <v>3573.4422999999997</v>
      </c>
      <c r="L20" s="2731">
        <v>0</v>
      </c>
      <c r="M20" s="2731">
        <f>+'[31]Sheet 2 - General Insurance'!$F$157</f>
        <v>511.07972999999981</v>
      </c>
      <c r="N20" s="2731">
        <v>0</v>
      </c>
      <c r="O20" s="2731"/>
      <c r="P20" s="2731">
        <v>0</v>
      </c>
      <c r="Q20" s="2731">
        <f>+'[5]P &amp; L - GI - 2012 '!F608</f>
        <v>81464.675830000022</v>
      </c>
      <c r="R20" s="2731">
        <f>+'[35]Sheet 2 - General Insurance'!$F$157</f>
        <v>0</v>
      </c>
      <c r="S20" s="2731">
        <f>+'[36]Sheet 2 - General Insurance'!$F$157</f>
        <v>33395.974390000003</v>
      </c>
      <c r="T20" s="2731">
        <f>+'[37]Sheet 2 - General Insurance'!$F$157</f>
        <v>0</v>
      </c>
      <c r="U20" s="2731"/>
      <c r="V20" s="2731">
        <f>SUM(B20:U20)</f>
        <v>245289.29284013557</v>
      </c>
      <c r="W20" s="58"/>
    </row>
    <row r="21" spans="1:24">
      <c r="A21" s="2504" t="s">
        <v>440</v>
      </c>
      <c r="B21" s="2734">
        <f>+'[21]Sheet 2 - General Insurance'!$G$159</f>
        <v>211880.42155000003</v>
      </c>
      <c r="C21" s="2734">
        <f>+'[22]Sheet 2 - General Insurance'!$G$157</f>
        <v>216298.16999999998</v>
      </c>
      <c r="D21" s="2735">
        <f>+'[23]Sheet 2 - General Insurance'!$G$177</f>
        <v>299489.78647000022</v>
      </c>
      <c r="E21" s="2734">
        <f>+'[24]Sheet 2 - General Insurance'!$G$161</f>
        <v>154998.67699999991</v>
      </c>
      <c r="F21" s="2734">
        <f>+'[25]Sheet 2 - General Insurance'!$G$157</f>
        <v>316325.48613000027</v>
      </c>
      <c r="G21" s="2731">
        <f>+'[26]Sheet 2 - General Insurance'!$G$172</f>
        <v>23140.302350180227</v>
      </c>
      <c r="H21" s="2731">
        <f>+'[27]Sheet 2 - General Insurance'!$G$171</f>
        <v>1442245</v>
      </c>
      <c r="I21" s="2731">
        <f>+'[28]Sheet 2 - General Insurance'!$G$157</f>
        <v>135022.10180999999</v>
      </c>
      <c r="J21" s="2731"/>
      <c r="K21" s="2731">
        <f>+'[29]Sheet 2 - General Insurance'!$G$166</f>
        <v>109528.20471999998</v>
      </c>
      <c r="L21" s="2731">
        <f>+'[30]Sheet 2 - General Insurance'!$G$160</f>
        <v>611959.9632</v>
      </c>
      <c r="M21" s="2731">
        <f>+'[31]Sheet 2 - General Insurance'!$G$157</f>
        <v>-9878.1185899999982</v>
      </c>
      <c r="N21" s="2731">
        <f>+'[32]Sheet 2 - General Insurance'!$G$157</f>
        <v>118820.44835000001</v>
      </c>
      <c r="O21" s="2731"/>
      <c r="P21" s="2731">
        <f>+'[33]Sheet 2 - General Insurance'!$G$162</f>
        <v>132355</v>
      </c>
      <c r="Q21" s="2731">
        <f>+'[5]P &amp; L - GI - 2012 '!G608</f>
        <v>1965098.9336100011</v>
      </c>
      <c r="R21" s="2731">
        <f>+'[35]Sheet 2 - General Insurance'!$G$157</f>
        <v>52386.550160000035</v>
      </c>
      <c r="S21" s="2731">
        <f>+'[36]Sheet 2 - General Insurance'!$G$157</f>
        <v>1175064.1522499998</v>
      </c>
      <c r="T21" s="2731">
        <f>+'[37]Sheet 2 - General Insurance'!$G$157</f>
        <v>22586.550192785209</v>
      </c>
      <c r="U21" s="2731"/>
      <c r="V21" s="2731">
        <f>SUM(B21:U21)</f>
        <v>6977321.6292029666</v>
      </c>
      <c r="W21" s="58"/>
    </row>
    <row r="22" spans="1:24">
      <c r="A22" s="2736" t="s">
        <v>118</v>
      </c>
      <c r="B22" s="2737">
        <f>SUM(B17:B21)</f>
        <v>685393.95879000006</v>
      </c>
      <c r="C22" s="2737">
        <f>SUM(C17:C21)</f>
        <v>435561.38</v>
      </c>
      <c r="D22" s="2737">
        <f>SUM(D17:D21)</f>
        <v>1967790.8690900002</v>
      </c>
      <c r="E22" s="2737">
        <f>SUM(E17:E21)</f>
        <v>969379.42799999996</v>
      </c>
      <c r="F22" s="2737">
        <f>SUM(F17:F21)</f>
        <v>387836.60199000023</v>
      </c>
      <c r="G22" s="2737">
        <f t="shared" ref="G22:V22" si="2">SUM(G17:G21)</f>
        <v>1003325.822556624</v>
      </c>
      <c r="H22" s="2737">
        <f t="shared" si="2"/>
        <v>8622153</v>
      </c>
      <c r="I22" s="2737">
        <f t="shared" si="2"/>
        <v>1001383.25878</v>
      </c>
      <c r="J22" s="2737">
        <f t="shared" si="2"/>
        <v>0</v>
      </c>
      <c r="K22" s="2737">
        <f t="shared" si="2"/>
        <v>1325071.8432</v>
      </c>
      <c r="L22" s="2737">
        <f>SUM(L17:L21)</f>
        <v>4852606.9149900191</v>
      </c>
      <c r="M22" s="2737">
        <f t="shared" si="2"/>
        <v>821620.40747000021</v>
      </c>
      <c r="N22" s="2737">
        <f t="shared" si="2"/>
        <v>723288.73890000011</v>
      </c>
      <c r="O22" s="2737">
        <f t="shared" si="2"/>
        <v>0</v>
      </c>
      <c r="P22" s="2737">
        <f t="shared" si="2"/>
        <v>2448239.8196899998</v>
      </c>
      <c r="Q22" s="2737">
        <f t="shared" si="2"/>
        <v>9358511.8955499977</v>
      </c>
      <c r="R22" s="2737">
        <f t="shared" si="2"/>
        <v>216312.24656000003</v>
      </c>
      <c r="S22" s="2737">
        <f t="shared" si="2"/>
        <v>3528411.0053099999</v>
      </c>
      <c r="T22" s="2737">
        <f t="shared" si="2"/>
        <v>106714.72048667682</v>
      </c>
      <c r="U22" s="2737">
        <f t="shared" si="2"/>
        <v>0</v>
      </c>
      <c r="V22" s="2737">
        <f t="shared" si="2"/>
        <v>38453601.911363319</v>
      </c>
      <c r="W22" s="375">
        <f>+'[5]P &amp; L - GI - 2012 '!H13</f>
        <v>38453601.911363319</v>
      </c>
      <c r="X22" s="14">
        <f>+V22-W22</f>
        <v>0</v>
      </c>
    </row>
    <row r="25" spans="1:24" ht="15" customHeight="1">
      <c r="A25" s="2725" t="s">
        <v>732</v>
      </c>
      <c r="B25" s="3167"/>
      <c r="C25" s="3167"/>
      <c r="D25" s="3167"/>
      <c r="E25" s="3167"/>
      <c r="F25" s="2726"/>
    </row>
    <row r="26" spans="1:24">
      <c r="A26" s="3604" t="s">
        <v>730</v>
      </c>
      <c r="B26" s="373">
        <v>1</v>
      </c>
      <c r="C26" s="373">
        <v>2</v>
      </c>
      <c r="D26" s="373">
        <v>3</v>
      </c>
      <c r="E26" s="373">
        <v>4</v>
      </c>
      <c r="F26" s="373">
        <v>5</v>
      </c>
      <c r="G26" s="373">
        <v>6</v>
      </c>
      <c r="H26" s="373">
        <v>7</v>
      </c>
      <c r="I26" s="373">
        <v>8</v>
      </c>
      <c r="J26" s="373">
        <v>9</v>
      </c>
      <c r="K26" s="373">
        <v>10</v>
      </c>
      <c r="L26" s="373">
        <v>11</v>
      </c>
      <c r="M26" s="373">
        <v>12</v>
      </c>
      <c r="N26" s="373">
        <v>13</v>
      </c>
      <c r="O26" s="373">
        <v>14</v>
      </c>
      <c r="P26" s="373">
        <v>15</v>
      </c>
      <c r="Q26" s="373">
        <v>16</v>
      </c>
      <c r="R26" s="373">
        <v>17</v>
      </c>
      <c r="S26" s="373">
        <v>18</v>
      </c>
      <c r="T26" s="373">
        <v>19</v>
      </c>
      <c r="U26" s="373">
        <v>20</v>
      </c>
      <c r="V26" s="374"/>
    </row>
    <row r="27" spans="1:24">
      <c r="A27" s="3604"/>
      <c r="B27" s="2727" t="s">
        <v>177</v>
      </c>
      <c r="C27" s="2727" t="s">
        <v>179</v>
      </c>
      <c r="D27" s="2727" t="s">
        <v>181</v>
      </c>
      <c r="E27" s="2727" t="s">
        <v>182</v>
      </c>
      <c r="F27" s="2727" t="s">
        <v>183</v>
      </c>
      <c r="G27" s="2727" t="s">
        <v>184</v>
      </c>
      <c r="H27" s="2728" t="s">
        <v>185</v>
      </c>
      <c r="I27" s="2727" t="s">
        <v>186</v>
      </c>
      <c r="J27" s="2727" t="s">
        <v>187</v>
      </c>
      <c r="K27" s="2727" t="s">
        <v>188</v>
      </c>
      <c r="L27" s="2727" t="s">
        <v>189</v>
      </c>
      <c r="M27" s="2727" t="s">
        <v>191</v>
      </c>
      <c r="N27" s="2727" t="s">
        <v>192</v>
      </c>
      <c r="O27" s="2727" t="s">
        <v>702</v>
      </c>
      <c r="P27" s="2727" t="s">
        <v>194</v>
      </c>
      <c r="Q27" s="2727" t="s">
        <v>115</v>
      </c>
      <c r="R27" s="2727" t="s">
        <v>196</v>
      </c>
      <c r="S27" s="2727" t="s">
        <v>197</v>
      </c>
      <c r="T27" s="2727" t="s">
        <v>193</v>
      </c>
      <c r="U27" s="2727" t="s">
        <v>110</v>
      </c>
      <c r="V27" s="2730" t="s">
        <v>118</v>
      </c>
    </row>
    <row r="28" spans="1:24">
      <c r="A28" s="2504" t="s">
        <v>436</v>
      </c>
      <c r="B28" s="2731">
        <v>4576.2172399999981</v>
      </c>
      <c r="C28" s="2731">
        <v>71591</v>
      </c>
      <c r="D28" s="2731">
        <v>111314.74394999997</v>
      </c>
      <c r="E28" s="2731">
        <v>9235.9889999999978</v>
      </c>
      <c r="F28" s="2731">
        <v>3998</v>
      </c>
      <c r="G28" s="2731">
        <v>35470.872924293399</v>
      </c>
      <c r="H28" s="2732">
        <v>442930</v>
      </c>
      <c r="I28" s="2731">
        <v>30909.073029999992</v>
      </c>
      <c r="J28" s="2731"/>
      <c r="K28" s="2731">
        <v>31862.239679999999</v>
      </c>
      <c r="L28" s="2731">
        <v>92610.746889998991</v>
      </c>
      <c r="M28" s="2731"/>
      <c r="N28" s="2731">
        <v>1058</v>
      </c>
      <c r="O28" s="2731"/>
      <c r="P28" s="2731">
        <v>45621</v>
      </c>
      <c r="Q28" s="2731">
        <v>206881.33041999995</v>
      </c>
      <c r="R28" s="2731">
        <v>5879</v>
      </c>
      <c r="S28" s="2731">
        <v>47649.619230000055</v>
      </c>
      <c r="T28" s="2731">
        <v>3</v>
      </c>
      <c r="U28" s="2731"/>
      <c r="V28" s="2731">
        <f>SUM(B28:U28)</f>
        <v>1141590.8323642923</v>
      </c>
      <c r="W28" s="58"/>
    </row>
    <row r="29" spans="1:24">
      <c r="A29" s="2504" t="s">
        <v>437</v>
      </c>
      <c r="B29" s="2731">
        <v>9222.03125</v>
      </c>
      <c r="C29" s="2731">
        <v>9237</v>
      </c>
      <c r="D29" s="2731">
        <v>69548.184239999988</v>
      </c>
      <c r="E29" s="2731">
        <v>15738.094999999994</v>
      </c>
      <c r="F29" s="2731">
        <v>92641</v>
      </c>
      <c r="G29" s="2731">
        <v>1513.1036928860751</v>
      </c>
      <c r="H29" s="2731">
        <v>266899</v>
      </c>
      <c r="I29" s="2731">
        <v>10523.719789999997</v>
      </c>
      <c r="J29" s="2731"/>
      <c r="K29" s="2731">
        <v>5145.8688699999975</v>
      </c>
      <c r="L29" s="2731">
        <v>70225.275380000006</v>
      </c>
      <c r="M29" s="2731"/>
      <c r="N29" s="2731">
        <v>2656</v>
      </c>
      <c r="O29" s="2731"/>
      <c r="P29" s="2731">
        <v>8094</v>
      </c>
      <c r="Q29" s="2731">
        <v>133869.90681999997</v>
      </c>
      <c r="R29" s="2731">
        <v>0</v>
      </c>
      <c r="S29" s="2731">
        <v>107362.12702000003</v>
      </c>
      <c r="T29" s="2731">
        <v>2</v>
      </c>
      <c r="U29" s="2731"/>
      <c r="V29" s="2731">
        <f>SUM(B29:U29)</f>
        <v>802677.31206288608</v>
      </c>
      <c r="W29" s="58"/>
    </row>
    <row r="30" spans="1:24">
      <c r="A30" s="2504" t="s">
        <v>438</v>
      </c>
      <c r="B30" s="2734">
        <v>240669.23228</v>
      </c>
      <c r="C30" s="2734">
        <v>100932</v>
      </c>
      <c r="D30" s="2735">
        <v>1744259.8762700001</v>
      </c>
      <c r="E30" s="2734">
        <v>609412.68299999996</v>
      </c>
      <c r="F30" s="2734">
        <v>33533</v>
      </c>
      <c r="G30" s="2731">
        <v>517642.00178366603</v>
      </c>
      <c r="H30" s="2731">
        <v>5613160</v>
      </c>
      <c r="I30" s="2731">
        <v>581708.1924099999</v>
      </c>
      <c r="J30" s="2731"/>
      <c r="K30" s="2731">
        <v>1035090.14004</v>
      </c>
      <c r="L30" s="2731">
        <v>3545834.41431998</v>
      </c>
      <c r="M30" s="2731">
        <v>50594.218070000003</v>
      </c>
      <c r="N30" s="2731">
        <v>349902</v>
      </c>
      <c r="O30" s="2731"/>
      <c r="P30" s="2731">
        <v>1312591</v>
      </c>
      <c r="Q30" s="2731">
        <v>5739853.494380001</v>
      </c>
      <c r="R30" s="2731">
        <v>112175</v>
      </c>
      <c r="S30" s="2731">
        <v>1987683.4469299999</v>
      </c>
      <c r="T30" s="2731">
        <v>30</v>
      </c>
      <c r="U30" s="2731"/>
      <c r="V30" s="2731">
        <f>SUM(B30:U30)</f>
        <v>23575070.699483648</v>
      </c>
      <c r="W30" s="58"/>
    </row>
    <row r="31" spans="1:24">
      <c r="A31" s="2504" t="s">
        <v>722</v>
      </c>
      <c r="B31" s="2734">
        <v>4449</v>
      </c>
      <c r="C31" s="2734">
        <v>7623</v>
      </c>
      <c r="D31" s="2735">
        <v>13310.683964661497</v>
      </c>
      <c r="E31" s="2734">
        <v>4177.3700000000008</v>
      </c>
      <c r="F31" s="2734">
        <v>-118</v>
      </c>
      <c r="G31" s="2731">
        <v>385.5025901412705</v>
      </c>
      <c r="H31" s="2731">
        <v>54921</v>
      </c>
      <c r="I31" s="2731">
        <v>0</v>
      </c>
      <c r="J31" s="2731"/>
      <c r="K31" s="2731">
        <v>4689.0336699999998</v>
      </c>
      <c r="L31" s="2731">
        <v>0</v>
      </c>
      <c r="M31" s="2731"/>
      <c r="N31" s="2731">
        <v>0</v>
      </c>
      <c r="O31" s="2731"/>
      <c r="P31" s="2731">
        <v>0</v>
      </c>
      <c r="Q31" s="2731">
        <v>68525.751139999978</v>
      </c>
      <c r="R31" s="2731">
        <v>0</v>
      </c>
      <c r="S31" s="2731">
        <v>32019.204879999998</v>
      </c>
      <c r="T31" s="2731">
        <v>0</v>
      </c>
      <c r="U31" s="2731"/>
      <c r="V31" s="2731">
        <f>SUM(B31:U31)</f>
        <v>189982.54624480274</v>
      </c>
      <c r="W31" s="58"/>
    </row>
    <row r="32" spans="1:24">
      <c r="A32" s="2504" t="s">
        <v>440</v>
      </c>
      <c r="B32" s="2734">
        <v>88661.172119999974</v>
      </c>
      <c r="C32" s="2734">
        <v>147364</v>
      </c>
      <c r="D32" s="2735">
        <v>307297.38688533846</v>
      </c>
      <c r="E32" s="2734">
        <v>140432.51300000004</v>
      </c>
      <c r="F32" s="2734">
        <v>224997</v>
      </c>
      <c r="G32" s="2731">
        <v>16229.325792022566</v>
      </c>
      <c r="H32" s="2731">
        <v>1404997</v>
      </c>
      <c r="I32" s="2731">
        <v>105451.65486000001</v>
      </c>
      <c r="J32" s="2731"/>
      <c r="K32" s="2731">
        <v>85161.766959999979</v>
      </c>
      <c r="L32" s="2731">
        <v>524599.49359999993</v>
      </c>
      <c r="M32" s="2731"/>
      <c r="N32" s="2731">
        <v>34702.252620000014</v>
      </c>
      <c r="O32" s="2731"/>
      <c r="P32" s="2731">
        <v>111665</v>
      </c>
      <c r="Q32" s="2731">
        <v>1920732.3758600007</v>
      </c>
      <c r="R32" s="2731">
        <v>50110</v>
      </c>
      <c r="S32" s="2731">
        <v>945674.49907999998</v>
      </c>
      <c r="T32" s="2731">
        <v>0</v>
      </c>
      <c r="U32" s="2731"/>
      <c r="V32" s="2731">
        <f>SUM(B32:U32)</f>
        <v>6108075.4407773614</v>
      </c>
      <c r="W32" s="58"/>
    </row>
    <row r="33" spans="1:24">
      <c r="A33" s="2736" t="s">
        <v>118</v>
      </c>
      <c r="B33" s="2737">
        <f>SUM(B28:B32)</f>
        <v>347577.65288999997</v>
      </c>
      <c r="C33" s="2737">
        <f t="shared" ref="C33:V33" si="3">SUM(C28:C32)</f>
        <v>336747</v>
      </c>
      <c r="D33" s="2737">
        <f>SUM(D28:D32)</f>
        <v>2245730.87531</v>
      </c>
      <c r="E33" s="2737">
        <f t="shared" si="3"/>
        <v>778996.65</v>
      </c>
      <c r="F33" s="2737">
        <f>SUM(F28:F32)</f>
        <v>355051</v>
      </c>
      <c r="G33" s="2737">
        <f t="shared" si="3"/>
        <v>571240.80678300932</v>
      </c>
      <c r="H33" s="2737">
        <f t="shared" si="3"/>
        <v>7782907</v>
      </c>
      <c r="I33" s="2737">
        <f t="shared" si="3"/>
        <v>728592.64008999988</v>
      </c>
      <c r="J33" s="2737">
        <f t="shared" si="3"/>
        <v>0</v>
      </c>
      <c r="K33" s="2737">
        <f t="shared" si="3"/>
        <v>1161949.0492199999</v>
      </c>
      <c r="L33" s="2737">
        <f>SUM(L28:L32)</f>
        <v>4233269.9301899793</v>
      </c>
      <c r="M33" s="2737">
        <f t="shared" si="3"/>
        <v>50594.218070000003</v>
      </c>
      <c r="N33" s="2737">
        <f t="shared" si="3"/>
        <v>388318.25262000004</v>
      </c>
      <c r="O33" s="2737">
        <f t="shared" si="3"/>
        <v>0</v>
      </c>
      <c r="P33" s="2737">
        <f t="shared" si="3"/>
        <v>1477971</v>
      </c>
      <c r="Q33" s="2737">
        <f t="shared" si="3"/>
        <v>8069862.8586200019</v>
      </c>
      <c r="R33" s="2737">
        <f t="shared" si="3"/>
        <v>168164</v>
      </c>
      <c r="S33" s="2737">
        <f t="shared" si="3"/>
        <v>3120388.89714</v>
      </c>
      <c r="T33" s="2737">
        <f t="shared" si="3"/>
        <v>35</v>
      </c>
      <c r="U33" s="2737">
        <f t="shared" si="3"/>
        <v>0</v>
      </c>
      <c r="V33" s="2737">
        <f t="shared" si="3"/>
        <v>31817396.830932993</v>
      </c>
      <c r="W33" s="375" t="e">
        <f>+#REF!</f>
        <v>#REF!</v>
      </c>
      <c r="X33" s="14" t="e">
        <f>+V33-W33</f>
        <v>#REF!</v>
      </c>
    </row>
    <row r="34" spans="1:24">
      <c r="A34" s="44"/>
      <c r="B34" s="377"/>
      <c r="C34" s="377"/>
      <c r="D34" s="377"/>
      <c r="E34" s="378"/>
      <c r="F34" s="378"/>
    </row>
    <row r="36" spans="1:24">
      <c r="A36" s="2725" t="s">
        <v>733</v>
      </c>
      <c r="B36" s="3168"/>
      <c r="C36" s="3168"/>
      <c r="D36" s="3168"/>
      <c r="E36" s="3168"/>
      <c r="F36" s="2738"/>
    </row>
    <row r="37" spans="1:24">
      <c r="A37" s="3604" t="s">
        <v>730</v>
      </c>
      <c r="B37" s="373">
        <v>1</v>
      </c>
      <c r="C37" s="373">
        <v>2</v>
      </c>
      <c r="D37" s="373">
        <v>3</v>
      </c>
      <c r="E37" s="373">
        <v>4</v>
      </c>
      <c r="F37" s="373">
        <v>5</v>
      </c>
      <c r="G37" s="373">
        <v>6</v>
      </c>
      <c r="H37" s="373">
        <v>7</v>
      </c>
      <c r="I37" s="373">
        <v>8</v>
      </c>
      <c r="J37" s="373">
        <v>9</v>
      </c>
      <c r="K37" s="373">
        <v>10</v>
      </c>
      <c r="L37" s="373">
        <v>11</v>
      </c>
      <c r="M37" s="373">
        <v>12</v>
      </c>
      <c r="N37" s="373">
        <v>13</v>
      </c>
      <c r="O37" s="373">
        <v>14</v>
      </c>
      <c r="P37" s="373">
        <v>15</v>
      </c>
      <c r="Q37" s="373">
        <v>16</v>
      </c>
      <c r="R37" s="373">
        <v>17</v>
      </c>
      <c r="S37" s="373">
        <v>18</v>
      </c>
      <c r="T37" s="373">
        <v>19</v>
      </c>
      <c r="U37" s="373">
        <v>20</v>
      </c>
      <c r="V37" s="374"/>
    </row>
    <row r="38" spans="1:24">
      <c r="A38" s="3604"/>
      <c r="B38" s="2727" t="s">
        <v>177</v>
      </c>
      <c r="C38" s="2727" t="s">
        <v>179</v>
      </c>
      <c r="D38" s="2727" t="s">
        <v>181</v>
      </c>
      <c r="E38" s="2727" t="s">
        <v>182</v>
      </c>
      <c r="F38" s="2727" t="s">
        <v>183</v>
      </c>
      <c r="G38" s="2727" t="s">
        <v>184</v>
      </c>
      <c r="H38" s="2728" t="s">
        <v>185</v>
      </c>
      <c r="I38" s="2727" t="s">
        <v>186</v>
      </c>
      <c r="J38" s="2727" t="s">
        <v>187</v>
      </c>
      <c r="K38" s="2727" t="s">
        <v>188</v>
      </c>
      <c r="L38" s="2727" t="s">
        <v>189</v>
      </c>
      <c r="M38" s="2727" t="s">
        <v>191</v>
      </c>
      <c r="N38" s="2727" t="s">
        <v>192</v>
      </c>
      <c r="O38" s="2727" t="s">
        <v>702</v>
      </c>
      <c r="P38" s="2727" t="s">
        <v>194</v>
      </c>
      <c r="Q38" s="2727" t="s">
        <v>115</v>
      </c>
      <c r="R38" s="2727" t="s">
        <v>196</v>
      </c>
      <c r="S38" s="2727" t="s">
        <v>197</v>
      </c>
      <c r="T38" s="2727" t="s">
        <v>193</v>
      </c>
      <c r="U38" s="2727" t="s">
        <v>110</v>
      </c>
      <c r="V38" s="2730" t="s">
        <v>118</v>
      </c>
    </row>
    <row r="39" spans="1:24">
      <c r="A39" s="2504" t="s">
        <v>436</v>
      </c>
      <c r="B39" s="2731">
        <v>1228</v>
      </c>
      <c r="C39" s="2731">
        <v>96193</v>
      </c>
      <c r="D39" s="2731">
        <v>77802.732860000076</v>
      </c>
      <c r="E39" s="2731">
        <v>10377.061</v>
      </c>
      <c r="F39" s="2731">
        <v>16021</v>
      </c>
      <c r="G39" s="2731">
        <v>12977</v>
      </c>
      <c r="H39" s="2732">
        <v>384804</v>
      </c>
      <c r="I39" s="2731">
        <v>22163.706549999999</v>
      </c>
      <c r="J39" s="2731"/>
      <c r="K39" s="2731">
        <v>30327</v>
      </c>
      <c r="L39" s="2731">
        <v>83180.187950000036</v>
      </c>
      <c r="M39" s="2731"/>
      <c r="N39" s="2731">
        <v>628.73019999999838</v>
      </c>
      <c r="O39" s="2731"/>
      <c r="P39" s="2731">
        <v>7974</v>
      </c>
      <c r="Q39" s="2731">
        <v>299561.5532000002</v>
      </c>
      <c r="R39" s="2731">
        <v>5226</v>
      </c>
      <c r="S39" s="2731">
        <v>49722.125179999974</v>
      </c>
      <c r="T39" s="2731"/>
      <c r="U39" s="2731"/>
      <c r="V39" s="2731">
        <f>SUM(B39:U39)</f>
        <v>1098186.0969400003</v>
      </c>
      <c r="W39" s="58"/>
    </row>
    <row r="40" spans="1:24">
      <c r="A40" s="2504" t="s">
        <v>437</v>
      </c>
      <c r="B40" s="2731">
        <v>5810</v>
      </c>
      <c r="C40" s="2731">
        <v>7885</v>
      </c>
      <c r="D40" s="2731">
        <v>57221.429510000002</v>
      </c>
      <c r="E40" s="2731">
        <v>30924</v>
      </c>
      <c r="F40" s="2731">
        <v>59629</v>
      </c>
      <c r="G40" s="2731">
        <v>399.7399999999995</v>
      </c>
      <c r="H40" s="2731">
        <v>221194</v>
      </c>
      <c r="I40" s="2731">
        <v>9161.1163699999979</v>
      </c>
      <c r="J40" s="2731"/>
      <c r="K40" s="2731">
        <v>4347</v>
      </c>
      <c r="L40" s="2731">
        <v>53024.702639999996</v>
      </c>
      <c r="M40" s="2731"/>
      <c r="N40" s="2731">
        <v>2915.6246100000008</v>
      </c>
      <c r="O40" s="2731"/>
      <c r="P40" s="2731">
        <v>944</v>
      </c>
      <c r="Q40" s="2731">
        <v>124253.36211000005</v>
      </c>
      <c r="R40" s="2731">
        <v>0</v>
      </c>
      <c r="S40" s="2731">
        <v>96766.83063000004</v>
      </c>
      <c r="T40" s="2731"/>
      <c r="U40" s="2731"/>
      <c r="V40" s="2731">
        <f>SUM(B40:U40)</f>
        <v>674475.80587000004</v>
      </c>
      <c r="W40" s="58"/>
    </row>
    <row r="41" spans="1:24">
      <c r="A41" s="2504" t="s">
        <v>438</v>
      </c>
      <c r="B41" s="2734">
        <v>195929</v>
      </c>
      <c r="C41" s="2734">
        <v>71375</v>
      </c>
      <c r="D41" s="2735">
        <v>1277150.35537</v>
      </c>
      <c r="E41" s="2734">
        <v>444384.6</v>
      </c>
      <c r="F41" s="2734">
        <v>67181</v>
      </c>
      <c r="G41" s="2731">
        <v>61955.084000000003</v>
      </c>
      <c r="H41" s="2731">
        <v>5295407</v>
      </c>
      <c r="I41" s="2731">
        <v>425607.61602000002</v>
      </c>
      <c r="J41" s="2731"/>
      <c r="K41" s="2731">
        <v>769922</v>
      </c>
      <c r="L41" s="2731">
        <v>3177981.5238199998</v>
      </c>
      <c r="M41" s="2731"/>
      <c r="N41" s="2731">
        <v>310691.52703</v>
      </c>
      <c r="O41" s="2731"/>
      <c r="P41" s="2731">
        <v>191685</v>
      </c>
      <c r="Q41" s="2731">
        <v>4305077.0586300008</v>
      </c>
      <c r="R41" s="2731">
        <v>91789</v>
      </c>
      <c r="S41" s="2731">
        <v>1670750.9310699997</v>
      </c>
      <c r="T41" s="2731"/>
      <c r="U41" s="2731"/>
      <c r="V41" s="2731">
        <f>SUM(B41:U41)</f>
        <v>18356886.695939999</v>
      </c>
      <c r="W41" s="58"/>
    </row>
    <row r="42" spans="1:24">
      <c r="A42" s="2504" t="s">
        <v>722</v>
      </c>
      <c r="B42" s="2734">
        <v>0</v>
      </c>
      <c r="C42" s="2734">
        <v>5117</v>
      </c>
      <c r="D42" s="2735">
        <v>35833.748161499519</v>
      </c>
      <c r="E42" s="2734">
        <v>3587.8</v>
      </c>
      <c r="F42" s="2734">
        <v>1918</v>
      </c>
      <c r="G42" s="2731">
        <v>0</v>
      </c>
      <c r="H42" s="2731">
        <v>93179</v>
      </c>
      <c r="I42" s="2731">
        <v>0</v>
      </c>
      <c r="J42" s="2731"/>
      <c r="K42" s="2731">
        <v>4484</v>
      </c>
      <c r="L42" s="2731">
        <v>0</v>
      </c>
      <c r="M42" s="2731"/>
      <c r="N42" s="2731">
        <v>0</v>
      </c>
      <c r="O42" s="2731"/>
      <c r="P42" s="2731">
        <v>0</v>
      </c>
      <c r="Q42" s="2731">
        <v>79320.056850000008</v>
      </c>
      <c r="R42" s="2731">
        <v>0</v>
      </c>
      <c r="S42" s="2731">
        <v>27349.42931</v>
      </c>
      <c r="T42" s="2731"/>
      <c r="U42" s="2731"/>
      <c r="V42" s="2731">
        <f>SUM(B42:U42)</f>
        <v>250789.03432149955</v>
      </c>
      <c r="W42" s="58"/>
    </row>
    <row r="43" spans="1:24">
      <c r="A43" s="2504" t="s">
        <v>440</v>
      </c>
      <c r="B43" s="2734">
        <v>74894</v>
      </c>
      <c r="C43" s="2734">
        <v>112867</v>
      </c>
      <c r="D43" s="2735">
        <v>597887.92689850053</v>
      </c>
      <c r="E43" s="2734">
        <v>224261.9</v>
      </c>
      <c r="F43" s="2734">
        <v>287484</v>
      </c>
      <c r="G43" s="2731">
        <v>2111.336000000003</v>
      </c>
      <c r="H43" s="2731">
        <v>1254576</v>
      </c>
      <c r="I43" s="2731">
        <v>87365.471450000026</v>
      </c>
      <c r="J43" s="2731"/>
      <c r="K43" s="2731">
        <v>49997</v>
      </c>
      <c r="L43" s="2731">
        <v>483805.63531000004</v>
      </c>
      <c r="M43" s="2731"/>
      <c r="N43" s="2731">
        <v>22862.317689999996</v>
      </c>
      <c r="O43" s="2731"/>
      <c r="P43" s="2731">
        <v>30865</v>
      </c>
      <c r="Q43" s="2731">
        <v>1225973.8938278002</v>
      </c>
      <c r="R43" s="2731">
        <v>97669</v>
      </c>
      <c r="S43" s="2731">
        <v>478738.84320000012</v>
      </c>
      <c r="T43" s="2731"/>
      <c r="U43" s="2731"/>
      <c r="V43" s="2731">
        <f>SUM(B43:U43)</f>
        <v>5031359.3243763</v>
      </c>
      <c r="W43" s="58"/>
    </row>
    <row r="44" spans="1:24">
      <c r="A44" s="2736" t="s">
        <v>118</v>
      </c>
      <c r="B44" s="2737">
        <f>SUM(B39:B43)</f>
        <v>277861</v>
      </c>
      <c r="C44" s="2737">
        <f t="shared" ref="C44:V44" si="4">SUM(C39:C43)</f>
        <v>293437</v>
      </c>
      <c r="D44" s="2737">
        <f>SUM(D39:D43)</f>
        <v>2045896.1928000003</v>
      </c>
      <c r="E44" s="2737">
        <f t="shared" si="4"/>
        <v>713535.36099999992</v>
      </c>
      <c r="F44" s="2737">
        <f t="shared" si="4"/>
        <v>432233</v>
      </c>
      <c r="G44" s="2737">
        <f t="shared" si="4"/>
        <v>77443.16</v>
      </c>
      <c r="H44" s="2737">
        <f>SUM(H39:H43)</f>
        <v>7249160</v>
      </c>
      <c r="I44" s="2737">
        <f t="shared" si="4"/>
        <v>544297.91039000009</v>
      </c>
      <c r="J44" s="2737">
        <f t="shared" si="4"/>
        <v>0</v>
      </c>
      <c r="K44" s="2737">
        <f t="shared" si="4"/>
        <v>859077</v>
      </c>
      <c r="L44" s="2737">
        <f t="shared" si="4"/>
        <v>3797992.0497199995</v>
      </c>
      <c r="M44" s="2737">
        <f t="shared" si="4"/>
        <v>0</v>
      </c>
      <c r="N44" s="2737">
        <f t="shared" si="4"/>
        <v>337098.19952999998</v>
      </c>
      <c r="O44" s="2737">
        <f t="shared" si="4"/>
        <v>0</v>
      </c>
      <c r="P44" s="2737">
        <f t="shared" si="4"/>
        <v>231468</v>
      </c>
      <c r="Q44" s="2737">
        <f t="shared" si="4"/>
        <v>6034185.9246178009</v>
      </c>
      <c r="R44" s="2737">
        <f t="shared" si="4"/>
        <v>194684</v>
      </c>
      <c r="S44" s="2737">
        <f t="shared" si="4"/>
        <v>2323328.1593899997</v>
      </c>
      <c r="T44" s="2737">
        <f t="shared" si="4"/>
        <v>0</v>
      </c>
      <c r="U44" s="2737">
        <f t="shared" si="4"/>
        <v>0</v>
      </c>
      <c r="V44" s="2737">
        <f t="shared" si="4"/>
        <v>25411696.957447797</v>
      </c>
      <c r="W44" s="375" t="e">
        <f>+#REF!</f>
        <v>#REF!</v>
      </c>
      <c r="X44" s="14" t="e">
        <f>+V44-W44</f>
        <v>#REF!</v>
      </c>
    </row>
    <row r="47" spans="1:24">
      <c r="A47" s="2725" t="s">
        <v>734</v>
      </c>
      <c r="B47" s="3168"/>
      <c r="C47" s="3168"/>
      <c r="D47" s="3168"/>
      <c r="E47" s="3168"/>
      <c r="F47" s="2738"/>
    </row>
    <row r="48" spans="1:24">
      <c r="A48" s="3604" t="s">
        <v>730</v>
      </c>
      <c r="B48" s="373">
        <v>1</v>
      </c>
      <c r="C48" s="373">
        <v>2</v>
      </c>
      <c r="D48" s="373">
        <v>3</v>
      </c>
      <c r="E48" s="373">
        <v>4</v>
      </c>
      <c r="F48" s="373">
        <v>5</v>
      </c>
      <c r="G48" s="373">
        <v>6</v>
      </c>
      <c r="H48" s="373">
        <v>7</v>
      </c>
      <c r="I48" s="373">
        <v>8</v>
      </c>
      <c r="J48" s="373">
        <v>9</v>
      </c>
      <c r="K48" s="373">
        <v>10</v>
      </c>
      <c r="L48" s="373">
        <v>11</v>
      </c>
      <c r="M48" s="373">
        <v>12</v>
      </c>
      <c r="N48" s="373">
        <v>13</v>
      </c>
      <c r="O48" s="373">
        <v>14</v>
      </c>
      <c r="P48" s="373">
        <v>15</v>
      </c>
      <c r="Q48" s="373">
        <v>16</v>
      </c>
      <c r="R48" s="373">
        <v>17</v>
      </c>
      <c r="S48" s="373">
        <v>18</v>
      </c>
      <c r="T48" s="373">
        <v>19</v>
      </c>
      <c r="U48" s="373">
        <v>20</v>
      </c>
      <c r="V48" s="374"/>
    </row>
    <row r="49" spans="1:24">
      <c r="A49" s="3604"/>
      <c r="B49" s="2727" t="s">
        <v>177</v>
      </c>
      <c r="C49" s="2727" t="s">
        <v>179</v>
      </c>
      <c r="D49" s="2727" t="s">
        <v>181</v>
      </c>
      <c r="E49" s="2727" t="s">
        <v>182</v>
      </c>
      <c r="F49" s="2727" t="s">
        <v>183</v>
      </c>
      <c r="G49" s="2727" t="s">
        <v>184</v>
      </c>
      <c r="H49" s="2728" t="s">
        <v>185</v>
      </c>
      <c r="I49" s="2727" t="s">
        <v>186</v>
      </c>
      <c r="J49" s="2727" t="s">
        <v>187</v>
      </c>
      <c r="K49" s="2727" t="s">
        <v>188</v>
      </c>
      <c r="L49" s="2727" t="s">
        <v>189</v>
      </c>
      <c r="M49" s="2727" t="s">
        <v>191</v>
      </c>
      <c r="N49" s="2727" t="s">
        <v>192</v>
      </c>
      <c r="O49" s="2727" t="s">
        <v>702</v>
      </c>
      <c r="P49" s="2727" t="s">
        <v>194</v>
      </c>
      <c r="Q49" s="2727" t="s">
        <v>115</v>
      </c>
      <c r="R49" s="2727" t="s">
        <v>196</v>
      </c>
      <c r="S49" s="2727" t="s">
        <v>197</v>
      </c>
      <c r="T49" s="2727" t="s">
        <v>193</v>
      </c>
      <c r="U49" s="2727" t="s">
        <v>110</v>
      </c>
      <c r="V49" s="2730" t="s">
        <v>118</v>
      </c>
    </row>
    <row r="50" spans="1:24">
      <c r="A50" s="2504" t="s">
        <v>436</v>
      </c>
      <c r="B50" s="2731">
        <v>5176</v>
      </c>
      <c r="C50" s="2731">
        <v>68601</v>
      </c>
      <c r="D50" s="2731">
        <v>69460</v>
      </c>
      <c r="E50" s="2731">
        <v>12752</v>
      </c>
      <c r="F50" s="2731">
        <v>19719</v>
      </c>
      <c r="G50" s="2731"/>
      <c r="H50" s="2732">
        <v>381908</v>
      </c>
      <c r="I50" s="2731">
        <v>21455.616030000001</v>
      </c>
      <c r="J50" s="2731">
        <v>-2096.9499999999998</v>
      </c>
      <c r="K50" s="2731">
        <v>29370</v>
      </c>
      <c r="L50" s="2731">
        <v>125641</v>
      </c>
      <c r="M50" s="2731"/>
      <c r="N50" s="2731">
        <v>10096.02855784364</v>
      </c>
      <c r="O50" s="2731"/>
      <c r="P50" s="2731"/>
      <c r="Q50" s="2731">
        <v>390632.6245200003</v>
      </c>
      <c r="R50" s="2731">
        <v>2360</v>
      </c>
      <c r="S50" s="2731">
        <v>64083.609249999994</v>
      </c>
      <c r="T50" s="2731"/>
      <c r="U50" s="2731"/>
      <c r="V50" s="2731">
        <f>SUM(B50:U50)</f>
        <v>1199157.928357844</v>
      </c>
      <c r="W50" s="58"/>
      <c r="X50" s="58"/>
    </row>
    <row r="51" spans="1:24">
      <c r="A51" s="2504" t="s">
        <v>437</v>
      </c>
      <c r="B51" s="2731">
        <v>10089</v>
      </c>
      <c r="C51" s="2731">
        <v>7748</v>
      </c>
      <c r="D51" s="2731">
        <v>33867</v>
      </c>
      <c r="E51" s="2731">
        <v>16555</v>
      </c>
      <c r="F51" s="2731">
        <v>35728</v>
      </c>
      <c r="G51" s="2731"/>
      <c r="H51" s="2731">
        <v>172084</v>
      </c>
      <c r="I51" s="2731">
        <v>7821.7777000000006</v>
      </c>
      <c r="J51" s="2731">
        <v>32.299999999999997</v>
      </c>
      <c r="K51" s="2731">
        <v>4002</v>
      </c>
      <c r="L51" s="2731">
        <v>57180</v>
      </c>
      <c r="M51" s="2731"/>
      <c r="N51" s="2731">
        <v>9162.8504104176427</v>
      </c>
      <c r="O51" s="2731"/>
      <c r="P51" s="2731"/>
      <c r="Q51" s="2731">
        <v>129858.24541000005</v>
      </c>
      <c r="R51" s="2731">
        <v>0</v>
      </c>
      <c r="S51" s="2731">
        <v>96204.737120000005</v>
      </c>
      <c r="T51" s="2731"/>
      <c r="U51" s="2731"/>
      <c r="V51" s="2731">
        <f>SUM(B51:U51)</f>
        <v>580332.9106404176</v>
      </c>
      <c r="W51" s="58"/>
      <c r="X51" s="58"/>
    </row>
    <row r="52" spans="1:24">
      <c r="A52" s="2504" t="s">
        <v>438</v>
      </c>
      <c r="B52" s="2734">
        <v>218930</v>
      </c>
      <c r="C52" s="2734">
        <v>54282</v>
      </c>
      <c r="D52" s="2735">
        <v>798850</v>
      </c>
      <c r="E52" s="2734">
        <v>321752</v>
      </c>
      <c r="F52" s="2734">
        <v>86454</v>
      </c>
      <c r="G52" s="2731"/>
      <c r="H52" s="2731">
        <v>5671501</v>
      </c>
      <c r="I52" s="2731">
        <v>403418.15091000003</v>
      </c>
      <c r="J52" s="2731">
        <v>79524.38</v>
      </c>
      <c r="K52" s="2731">
        <v>614442</v>
      </c>
      <c r="L52" s="2731">
        <v>2830132</v>
      </c>
      <c r="M52" s="2731"/>
      <c r="N52" s="2731">
        <v>166844.13816718207</v>
      </c>
      <c r="O52" s="2731"/>
      <c r="P52" s="2731"/>
      <c r="Q52" s="2731">
        <v>4696672.8619799996</v>
      </c>
      <c r="R52" s="2731">
        <v>78964</v>
      </c>
      <c r="S52" s="2731">
        <v>1571815.4141500001</v>
      </c>
      <c r="T52" s="2731"/>
      <c r="U52" s="2731"/>
      <c r="V52" s="2731">
        <f>SUM(B52:U52)</f>
        <v>17593581.945207182</v>
      </c>
      <c r="W52" s="58"/>
      <c r="X52" s="58"/>
    </row>
    <row r="53" spans="1:24">
      <c r="A53" s="2504" t="s">
        <v>722</v>
      </c>
      <c r="B53" s="2734">
        <v>0</v>
      </c>
      <c r="C53" s="2734">
        <v>0</v>
      </c>
      <c r="D53" s="2735">
        <v>2957.5775193798449</v>
      </c>
      <c r="E53" s="2734">
        <v>3593</v>
      </c>
      <c r="F53" s="2734">
        <v>1914</v>
      </c>
      <c r="G53" s="2731"/>
      <c r="H53" s="2731">
        <v>95839</v>
      </c>
      <c r="I53" s="2731">
        <v>0</v>
      </c>
      <c r="J53" s="2731">
        <v>0</v>
      </c>
      <c r="K53" s="2731">
        <v>3844</v>
      </c>
      <c r="L53" s="2731">
        <v>0</v>
      </c>
      <c r="M53" s="2731"/>
      <c r="N53" s="2731">
        <v>0</v>
      </c>
      <c r="O53" s="2731"/>
      <c r="P53" s="2731"/>
      <c r="Q53" s="2731">
        <v>68705.563810000007</v>
      </c>
      <c r="R53" s="2731">
        <v>0</v>
      </c>
      <c r="S53" s="2731">
        <v>28216.531650000004</v>
      </c>
      <c r="T53" s="2731"/>
      <c r="U53" s="2731"/>
      <c r="V53" s="2731">
        <f>SUM(B53:U53)</f>
        <v>205069.67297937989</v>
      </c>
      <c r="W53" s="58"/>
      <c r="X53" s="58"/>
    </row>
    <row r="54" spans="1:24">
      <c r="A54" s="2504" t="s">
        <v>440</v>
      </c>
      <c r="B54" s="2734">
        <v>78356</v>
      </c>
      <c r="C54" s="2734">
        <v>134443</v>
      </c>
      <c r="D54" s="2735">
        <v>366817.42248062015</v>
      </c>
      <c r="E54" s="2734">
        <v>259399</v>
      </c>
      <c r="F54" s="2734">
        <v>255391</v>
      </c>
      <c r="G54" s="2731"/>
      <c r="H54" s="2731">
        <v>1370063</v>
      </c>
      <c r="I54" s="2731">
        <v>101449.98006999999</v>
      </c>
      <c r="J54" s="2731">
        <v>7455.99</v>
      </c>
      <c r="K54" s="2731">
        <v>24281</v>
      </c>
      <c r="L54" s="2731">
        <v>559798</v>
      </c>
      <c r="M54" s="2731"/>
      <c r="N54" s="2731">
        <v>14038.982864556649</v>
      </c>
      <c r="O54" s="2731"/>
      <c r="P54" s="2731"/>
      <c r="Q54" s="2731">
        <v>1306670.4812964997</v>
      </c>
      <c r="R54" s="2731">
        <v>73901</v>
      </c>
      <c r="S54" s="2731">
        <v>443077</v>
      </c>
      <c r="T54" s="2731"/>
      <c r="U54" s="2731"/>
      <c r="V54" s="2731">
        <f>SUM(B54:U54)</f>
        <v>4995141.8567116773</v>
      </c>
      <c r="W54" s="58"/>
      <c r="X54" s="58"/>
    </row>
    <row r="55" spans="1:24">
      <c r="A55" s="2736" t="s">
        <v>118</v>
      </c>
      <c r="B55" s="2737">
        <f>SUM(B50:B54)</f>
        <v>312551</v>
      </c>
      <c r="C55" s="2737">
        <f t="shared" ref="C55:V55" si="5">SUM(C50:C54)</f>
        <v>265074</v>
      </c>
      <c r="D55" s="2737">
        <f>SUM(D50:D54)</f>
        <v>1271952</v>
      </c>
      <c r="E55" s="2737">
        <f t="shared" si="5"/>
        <v>614051</v>
      </c>
      <c r="F55" s="2737">
        <f t="shared" si="5"/>
        <v>399206</v>
      </c>
      <c r="G55" s="2737">
        <f t="shared" si="5"/>
        <v>0</v>
      </c>
      <c r="H55" s="2737">
        <f t="shared" si="5"/>
        <v>7691395</v>
      </c>
      <c r="I55" s="2737">
        <f t="shared" si="5"/>
        <v>534145.52471000003</v>
      </c>
      <c r="J55" s="2737">
        <f t="shared" si="5"/>
        <v>84915.720000000016</v>
      </c>
      <c r="K55" s="2737">
        <f t="shared" si="5"/>
        <v>675939</v>
      </c>
      <c r="L55" s="2737">
        <f t="shared" si="5"/>
        <v>3572751</v>
      </c>
      <c r="M55" s="2737">
        <f t="shared" si="5"/>
        <v>0</v>
      </c>
      <c r="N55" s="2737">
        <f t="shared" si="5"/>
        <v>200142</v>
      </c>
      <c r="O55" s="2737">
        <f t="shared" si="5"/>
        <v>0</v>
      </c>
      <c r="P55" s="2737">
        <f t="shared" si="5"/>
        <v>0</v>
      </c>
      <c r="Q55" s="2737">
        <f t="shared" si="5"/>
        <v>6592539.7770165</v>
      </c>
      <c r="R55" s="2737">
        <f t="shared" si="5"/>
        <v>155225</v>
      </c>
      <c r="S55" s="2737">
        <f t="shared" si="5"/>
        <v>2203397.2921700003</v>
      </c>
      <c r="T55" s="2737">
        <f t="shared" si="5"/>
        <v>0</v>
      </c>
      <c r="U55" s="2737">
        <f t="shared" si="5"/>
        <v>0</v>
      </c>
      <c r="V55" s="2737">
        <f t="shared" si="5"/>
        <v>24573284.313896503</v>
      </c>
      <c r="W55" s="375" t="e">
        <f>+#REF!</f>
        <v>#REF!</v>
      </c>
      <c r="X55" s="58" t="e">
        <f>+V55-W55</f>
        <v>#REF!</v>
      </c>
    </row>
    <row r="58" spans="1:24">
      <c r="A58" s="2725" t="s">
        <v>735</v>
      </c>
      <c r="B58" s="3168"/>
      <c r="C58" s="3168"/>
      <c r="D58" s="3168"/>
      <c r="E58" s="3168"/>
      <c r="F58" s="2738"/>
    </row>
    <row r="59" spans="1:24">
      <c r="A59" s="3604" t="s">
        <v>730</v>
      </c>
      <c r="B59" s="373">
        <v>1</v>
      </c>
      <c r="C59" s="373">
        <v>2</v>
      </c>
      <c r="D59" s="373">
        <v>3</v>
      </c>
      <c r="E59" s="373">
        <v>4</v>
      </c>
      <c r="F59" s="373">
        <v>5</v>
      </c>
      <c r="G59" s="373">
        <v>6</v>
      </c>
      <c r="H59" s="373">
        <v>7</v>
      </c>
      <c r="I59" s="373">
        <v>8</v>
      </c>
      <c r="J59" s="373">
        <v>9</v>
      </c>
      <c r="K59" s="373">
        <v>10</v>
      </c>
      <c r="L59" s="373">
        <v>11</v>
      </c>
      <c r="M59" s="373">
        <v>12</v>
      </c>
      <c r="N59" s="373">
        <v>13</v>
      </c>
      <c r="O59" s="373">
        <v>14</v>
      </c>
      <c r="P59" s="373">
        <v>15</v>
      </c>
      <c r="Q59" s="373">
        <v>16</v>
      </c>
      <c r="R59" s="373">
        <v>17</v>
      </c>
      <c r="S59" s="373">
        <v>18</v>
      </c>
      <c r="T59" s="373">
        <v>19</v>
      </c>
      <c r="U59" s="373">
        <v>20</v>
      </c>
      <c r="V59" s="374"/>
    </row>
    <row r="60" spans="1:24">
      <c r="A60" s="3604"/>
      <c r="B60" s="2727" t="s">
        <v>177</v>
      </c>
      <c r="C60" s="2727" t="s">
        <v>179</v>
      </c>
      <c r="D60" s="2727" t="s">
        <v>181</v>
      </c>
      <c r="E60" s="2727" t="s">
        <v>182</v>
      </c>
      <c r="F60" s="2727" t="s">
        <v>183</v>
      </c>
      <c r="G60" s="2727" t="s">
        <v>184</v>
      </c>
      <c r="H60" s="2728" t="s">
        <v>185</v>
      </c>
      <c r="I60" s="2727" t="s">
        <v>186</v>
      </c>
      <c r="J60" s="2739" t="s">
        <v>187</v>
      </c>
      <c r="K60" s="2727" t="s">
        <v>188</v>
      </c>
      <c r="L60" s="2727" t="s">
        <v>189</v>
      </c>
      <c r="M60" s="2727" t="s">
        <v>191</v>
      </c>
      <c r="N60" s="2727" t="s">
        <v>192</v>
      </c>
      <c r="O60" s="2727" t="s">
        <v>702</v>
      </c>
      <c r="P60" s="2727" t="s">
        <v>194</v>
      </c>
      <c r="Q60" s="2727" t="s">
        <v>115</v>
      </c>
      <c r="R60" s="2727" t="s">
        <v>196</v>
      </c>
      <c r="S60" s="2727" t="s">
        <v>197</v>
      </c>
      <c r="T60" s="2727" t="s">
        <v>193</v>
      </c>
      <c r="U60" s="2727" t="s">
        <v>110</v>
      </c>
      <c r="V60" s="2730" t="s">
        <v>118</v>
      </c>
    </row>
    <row r="61" spans="1:24">
      <c r="A61" s="2504" t="s">
        <v>436</v>
      </c>
      <c r="B61" s="2731">
        <v>15244</v>
      </c>
      <c r="C61" s="2731">
        <v>36636</v>
      </c>
      <c r="D61" s="2731">
        <v>104034</v>
      </c>
      <c r="E61" s="2731">
        <v>25230.1</v>
      </c>
      <c r="F61" s="2731">
        <v>8168</v>
      </c>
      <c r="G61" s="2731"/>
      <c r="H61" s="2732">
        <v>266403</v>
      </c>
      <c r="I61" s="2731">
        <v>18414.564799999993</v>
      </c>
      <c r="J61" s="2740">
        <v>512</v>
      </c>
      <c r="K61" s="2731">
        <v>17764</v>
      </c>
      <c r="L61" s="2731">
        <v>59149</v>
      </c>
      <c r="M61" s="2731"/>
      <c r="N61" s="2731">
        <v>16852.511971785523</v>
      </c>
      <c r="O61" s="2731"/>
      <c r="P61" s="2731"/>
      <c r="Q61" s="2731">
        <v>438753.46662999998</v>
      </c>
      <c r="R61" s="2731">
        <v>548</v>
      </c>
      <c r="S61" s="2731">
        <v>61012</v>
      </c>
      <c r="T61" s="2731"/>
      <c r="U61" s="2731"/>
      <c r="V61" s="2731">
        <f>SUM(B61:U61)</f>
        <v>1068720.6434017855</v>
      </c>
      <c r="W61" s="58"/>
      <c r="X61" s="58"/>
    </row>
    <row r="62" spans="1:24">
      <c r="A62" s="2504" t="s">
        <v>437</v>
      </c>
      <c r="B62" s="2731">
        <v>14121</v>
      </c>
      <c r="C62" s="2731">
        <v>7828</v>
      </c>
      <c r="D62" s="2731">
        <v>36397</v>
      </c>
      <c r="E62" s="2731">
        <v>31383</v>
      </c>
      <c r="F62" s="2731">
        <v>40200</v>
      </c>
      <c r="G62" s="2731"/>
      <c r="H62" s="2731">
        <v>237355</v>
      </c>
      <c r="I62" s="2731">
        <v>5564.9803199999997</v>
      </c>
      <c r="J62" s="2740">
        <v>35</v>
      </c>
      <c r="K62" s="2731">
        <v>2517</v>
      </c>
      <c r="L62" s="2731">
        <v>60093</v>
      </c>
      <c r="M62" s="2731"/>
      <c r="N62" s="2731">
        <v>17187.29102294465</v>
      </c>
      <c r="O62" s="2731"/>
      <c r="P62" s="2731"/>
      <c r="Q62" s="2731">
        <v>146511.31724</v>
      </c>
      <c r="R62" s="2731">
        <v>0</v>
      </c>
      <c r="S62" s="2731">
        <v>93583</v>
      </c>
      <c r="T62" s="2731"/>
      <c r="U62" s="2731"/>
      <c r="V62" s="2731">
        <f>SUM(B62:U62)</f>
        <v>692775.58858294459</v>
      </c>
      <c r="W62" s="58"/>
      <c r="X62" s="58"/>
    </row>
    <row r="63" spans="1:24">
      <c r="A63" s="2504" t="s">
        <v>438</v>
      </c>
      <c r="B63" s="2734">
        <v>161626</v>
      </c>
      <c r="C63" s="2734">
        <v>36989</v>
      </c>
      <c r="D63" s="2735">
        <v>706275</v>
      </c>
      <c r="E63" s="2734">
        <v>314517.40000000002</v>
      </c>
      <c r="F63" s="2734">
        <v>94667</v>
      </c>
      <c r="G63" s="2731"/>
      <c r="H63" s="2731">
        <v>5617686</v>
      </c>
      <c r="I63" s="2731">
        <v>276945.14418</v>
      </c>
      <c r="J63" s="2740">
        <v>56097</v>
      </c>
      <c r="K63" s="2731">
        <v>505150</v>
      </c>
      <c r="L63" s="2731">
        <v>2715434</v>
      </c>
      <c r="M63" s="2731"/>
      <c r="N63" s="2731">
        <v>99494.269287876683</v>
      </c>
      <c r="O63" s="2731"/>
      <c r="P63" s="2731"/>
      <c r="Q63" s="2731">
        <v>4588131.2424700009</v>
      </c>
      <c r="R63" s="2731">
        <v>79080</v>
      </c>
      <c r="S63" s="2731">
        <v>1344582</v>
      </c>
      <c r="T63" s="2731"/>
      <c r="U63" s="2731"/>
      <c r="V63" s="2731">
        <f>SUM(B63:U63)</f>
        <v>16596674.055937879</v>
      </c>
      <c r="W63" s="58"/>
      <c r="X63" s="58"/>
    </row>
    <row r="64" spans="1:24">
      <c r="A64" s="2504" t="s">
        <v>722</v>
      </c>
      <c r="B64" s="2734">
        <v>0</v>
      </c>
      <c r="C64" s="2734">
        <v>0</v>
      </c>
      <c r="D64" s="2735">
        <v>6184.6497261946979</v>
      </c>
      <c r="E64" s="2734">
        <v>3116</v>
      </c>
      <c r="F64" s="2734">
        <v>5352</v>
      </c>
      <c r="G64" s="2731"/>
      <c r="H64" s="2731">
        <v>97916</v>
      </c>
      <c r="I64" s="2731">
        <v>0</v>
      </c>
      <c r="J64" s="2740">
        <v>0</v>
      </c>
      <c r="K64" s="2731">
        <v>1648</v>
      </c>
      <c r="L64" s="2731">
        <v>0</v>
      </c>
      <c r="M64" s="2731"/>
      <c r="N64" s="2731">
        <v>0</v>
      </c>
      <c r="O64" s="2731"/>
      <c r="P64" s="2731"/>
      <c r="Q64" s="2731">
        <v>341416.30569000001</v>
      </c>
      <c r="R64" s="2731">
        <v>0</v>
      </c>
      <c r="S64" s="2731">
        <v>26083</v>
      </c>
      <c r="T64" s="2731"/>
      <c r="U64" s="2731"/>
      <c r="V64" s="2731">
        <f>SUM(B64:U64)</f>
        <v>481715.95541619469</v>
      </c>
      <c r="W64" s="58"/>
      <c r="X64" s="58"/>
    </row>
    <row r="65" spans="1:24">
      <c r="A65" s="2504" t="s">
        <v>440</v>
      </c>
      <c r="B65" s="2734">
        <v>52623</v>
      </c>
      <c r="C65" s="2734">
        <v>33783</v>
      </c>
      <c r="D65" s="2735">
        <v>280423.35027380532</v>
      </c>
      <c r="E65" s="2734">
        <v>185317</v>
      </c>
      <c r="F65" s="2734">
        <v>213757</v>
      </c>
      <c r="G65" s="2731"/>
      <c r="H65" s="2731">
        <v>2225836</v>
      </c>
      <c r="I65" s="2731">
        <v>85570.234909999999</v>
      </c>
      <c r="J65" s="2740">
        <v>14286</v>
      </c>
      <c r="K65" s="2731">
        <v>14384</v>
      </c>
      <c r="L65" s="2731">
        <v>333303</v>
      </c>
      <c r="M65" s="2731"/>
      <c r="N65" s="2731">
        <v>83494.927717393148</v>
      </c>
      <c r="O65" s="2731"/>
      <c r="P65" s="2731"/>
      <c r="Q65" s="2731">
        <v>963287.96403999976</v>
      </c>
      <c r="R65" s="2731">
        <v>77267</v>
      </c>
      <c r="S65" s="2731">
        <v>441157</v>
      </c>
      <c r="T65" s="2731"/>
      <c r="U65" s="2731"/>
      <c r="V65" s="2731">
        <f>SUM(B65:U65)</f>
        <v>5004489.4769411981</v>
      </c>
      <c r="W65" s="58"/>
      <c r="X65" s="58"/>
    </row>
    <row r="66" spans="1:24">
      <c r="A66" s="2736" t="s">
        <v>118</v>
      </c>
      <c r="B66" s="2737">
        <f>SUM(B61:B65)</f>
        <v>243614</v>
      </c>
      <c r="C66" s="2737">
        <f t="shared" ref="C66:V66" si="6">SUM(C61:C65)</f>
        <v>115236</v>
      </c>
      <c r="D66" s="2737">
        <f>SUM(D61:D65)</f>
        <v>1133314</v>
      </c>
      <c r="E66" s="2737">
        <f t="shared" si="6"/>
        <v>559563.5</v>
      </c>
      <c r="F66" s="2737">
        <f t="shared" si="6"/>
        <v>362144</v>
      </c>
      <c r="G66" s="2737">
        <f t="shared" si="6"/>
        <v>0</v>
      </c>
      <c r="H66" s="2737">
        <f t="shared" si="6"/>
        <v>8445196</v>
      </c>
      <c r="I66" s="2737">
        <f t="shared" si="6"/>
        <v>386494.92420999997</v>
      </c>
      <c r="J66" s="2741">
        <f t="shared" si="6"/>
        <v>70930</v>
      </c>
      <c r="K66" s="2737">
        <f t="shared" si="6"/>
        <v>541463</v>
      </c>
      <c r="L66" s="2737">
        <f t="shared" si="6"/>
        <v>3167979</v>
      </c>
      <c r="M66" s="2737">
        <f t="shared" si="6"/>
        <v>0</v>
      </c>
      <c r="N66" s="2737">
        <f t="shared" si="6"/>
        <v>217029</v>
      </c>
      <c r="O66" s="2737">
        <f t="shared" si="6"/>
        <v>0</v>
      </c>
      <c r="P66" s="2737">
        <f t="shared" si="6"/>
        <v>0</v>
      </c>
      <c r="Q66" s="2737">
        <f t="shared" si="6"/>
        <v>6478100.2960700002</v>
      </c>
      <c r="R66" s="2737">
        <f t="shared" si="6"/>
        <v>156895</v>
      </c>
      <c r="S66" s="2737">
        <f t="shared" si="6"/>
        <v>1966417</v>
      </c>
      <c r="T66" s="2737">
        <f t="shared" si="6"/>
        <v>0</v>
      </c>
      <c r="U66" s="2737">
        <f t="shared" si="6"/>
        <v>0</v>
      </c>
      <c r="V66" s="2737">
        <f t="shared" si="6"/>
        <v>23844375.720280003</v>
      </c>
      <c r="W66" s="375" t="e">
        <f>+#REF!</f>
        <v>#REF!</v>
      </c>
      <c r="X66" s="58" t="e">
        <f>+V66-W66</f>
        <v>#REF!</v>
      </c>
    </row>
    <row r="69" spans="1:24">
      <c r="A69" s="2725" t="s">
        <v>736</v>
      </c>
      <c r="B69" s="3168"/>
      <c r="C69" s="3168"/>
      <c r="D69" s="3168"/>
      <c r="E69" s="3168"/>
      <c r="F69" s="2738"/>
    </row>
    <row r="70" spans="1:24">
      <c r="A70" s="3604" t="s">
        <v>730</v>
      </c>
      <c r="B70" s="373">
        <v>1</v>
      </c>
      <c r="C70" s="373">
        <v>2</v>
      </c>
      <c r="D70" s="373">
        <v>3</v>
      </c>
      <c r="E70" s="373">
        <v>4</v>
      </c>
      <c r="F70" s="373">
        <v>5</v>
      </c>
      <c r="G70" s="373">
        <v>6</v>
      </c>
      <c r="H70" s="373">
        <v>7</v>
      </c>
      <c r="I70" s="373">
        <v>8</v>
      </c>
      <c r="J70" s="373">
        <v>9</v>
      </c>
      <c r="K70" s="373">
        <v>10</v>
      </c>
      <c r="L70" s="373">
        <v>11</v>
      </c>
      <c r="M70" s="373">
        <v>12</v>
      </c>
      <c r="N70" s="373">
        <v>13</v>
      </c>
      <c r="O70" s="373">
        <v>14</v>
      </c>
      <c r="P70" s="373">
        <v>15</v>
      </c>
      <c r="Q70" s="373">
        <v>16</v>
      </c>
      <c r="R70" s="373">
        <v>17</v>
      </c>
      <c r="S70" s="373">
        <v>18</v>
      </c>
      <c r="T70" s="373">
        <v>19</v>
      </c>
      <c r="U70" s="373">
        <v>20</v>
      </c>
      <c r="V70" s="374"/>
    </row>
    <row r="71" spans="1:24">
      <c r="A71" s="3604"/>
      <c r="B71" s="2727" t="s">
        <v>177</v>
      </c>
      <c r="C71" s="2727" t="s">
        <v>179</v>
      </c>
      <c r="D71" s="2727" t="s">
        <v>181</v>
      </c>
      <c r="E71" s="2727" t="s">
        <v>182</v>
      </c>
      <c r="F71" s="2727" t="s">
        <v>183</v>
      </c>
      <c r="G71" s="2727" t="s">
        <v>184</v>
      </c>
      <c r="H71" s="2728" t="s">
        <v>185</v>
      </c>
      <c r="I71" s="2727" t="s">
        <v>186</v>
      </c>
      <c r="J71" s="2739" t="s">
        <v>187</v>
      </c>
      <c r="K71" s="2727" t="s">
        <v>188</v>
      </c>
      <c r="L71" s="2727" t="s">
        <v>189</v>
      </c>
      <c r="M71" s="2727" t="s">
        <v>191</v>
      </c>
      <c r="N71" s="2727" t="s">
        <v>192</v>
      </c>
      <c r="O71" s="2727" t="s">
        <v>702</v>
      </c>
      <c r="P71" s="2727" t="s">
        <v>194</v>
      </c>
      <c r="Q71" s="2727" t="s">
        <v>115</v>
      </c>
      <c r="R71" s="2727" t="s">
        <v>196</v>
      </c>
      <c r="S71" s="2727" t="s">
        <v>197</v>
      </c>
      <c r="T71" s="2727" t="s">
        <v>193</v>
      </c>
      <c r="U71" s="2727" t="s">
        <v>110</v>
      </c>
      <c r="V71" s="2730" t="s">
        <v>118</v>
      </c>
    </row>
    <row r="72" spans="1:24">
      <c r="A72" s="2504" t="s">
        <v>436</v>
      </c>
      <c r="B72" s="2731">
        <v>15988</v>
      </c>
      <c r="C72" s="2731">
        <v>11178</v>
      </c>
      <c r="D72" s="2731">
        <v>66265</v>
      </c>
      <c r="E72" s="2731">
        <v>17761.400000000001</v>
      </c>
      <c r="F72" s="2731">
        <v>67080</v>
      </c>
      <c r="G72" s="2731"/>
      <c r="H72" s="2732">
        <v>230687.18722584992</v>
      </c>
      <c r="I72" s="2731">
        <v>14872.558330000002</v>
      </c>
      <c r="J72" s="2740">
        <v>31</v>
      </c>
      <c r="K72" s="2731">
        <v>13492</v>
      </c>
      <c r="L72" s="2731">
        <v>68155</v>
      </c>
      <c r="M72" s="2731"/>
      <c r="N72" s="2731">
        <v>14442.310492152768</v>
      </c>
      <c r="O72" s="2731"/>
      <c r="P72" s="2731"/>
      <c r="Q72" s="2731">
        <v>446842.85505999968</v>
      </c>
      <c r="R72" s="2742">
        <v>3788</v>
      </c>
      <c r="S72" s="2731">
        <v>65078</v>
      </c>
      <c r="T72" s="2731"/>
      <c r="U72" s="2731"/>
      <c r="V72" s="2731">
        <f>SUM(B72:U72)</f>
        <v>1035661.3111080024</v>
      </c>
      <c r="W72" s="58"/>
      <c r="X72" s="58"/>
    </row>
    <row r="73" spans="1:24">
      <c r="A73" s="2504" t="s">
        <v>437</v>
      </c>
      <c r="B73" s="2731">
        <v>18159</v>
      </c>
      <c r="C73" s="2731">
        <v>3603</v>
      </c>
      <c r="D73" s="2731">
        <v>30738</v>
      </c>
      <c r="E73" s="2731">
        <v>22795</v>
      </c>
      <c r="F73" s="2731">
        <v>52254</v>
      </c>
      <c r="G73" s="2731"/>
      <c r="H73" s="2731">
        <v>196443.63270492404</v>
      </c>
      <c r="I73" s="2731">
        <v>2857.4866200000001</v>
      </c>
      <c r="J73" s="2740">
        <v>50</v>
      </c>
      <c r="K73" s="2731">
        <v>2443</v>
      </c>
      <c r="L73" s="2731">
        <v>66942</v>
      </c>
      <c r="M73" s="2731"/>
      <c r="N73" s="2731">
        <v>9149.4443240807341</v>
      </c>
      <c r="O73" s="2731"/>
      <c r="P73" s="2731"/>
      <c r="Q73" s="2731">
        <v>48826.194859999945</v>
      </c>
      <c r="R73" s="2742"/>
      <c r="S73" s="2731">
        <v>90331</v>
      </c>
      <c r="T73" s="2731"/>
      <c r="U73" s="2731"/>
      <c r="V73" s="2731">
        <f>SUM(B73:U73)</f>
        <v>544591.75850900472</v>
      </c>
      <c r="W73" s="58"/>
      <c r="X73" s="58"/>
    </row>
    <row r="74" spans="1:24">
      <c r="A74" s="2504" t="s">
        <v>438</v>
      </c>
      <c r="B74" s="2734">
        <v>128034</v>
      </c>
      <c r="C74" s="2734">
        <v>18279</v>
      </c>
      <c r="D74" s="2735">
        <v>502808</v>
      </c>
      <c r="E74" s="2734">
        <v>255776.5</v>
      </c>
      <c r="F74" s="2734">
        <v>45337</v>
      </c>
      <c r="G74" s="2731"/>
      <c r="H74" s="2731">
        <v>5332662.0767864073</v>
      </c>
      <c r="I74" s="2731">
        <v>133802.97913999998</v>
      </c>
      <c r="J74" s="2740">
        <v>14023</v>
      </c>
      <c r="K74" s="2731">
        <v>440430</v>
      </c>
      <c r="L74" s="2731">
        <v>2354098</v>
      </c>
      <c r="M74" s="2731"/>
      <c r="N74" s="2731">
        <v>48781.9290499259</v>
      </c>
      <c r="O74" s="2731"/>
      <c r="P74" s="2731"/>
      <c r="Q74" s="2731">
        <v>3752908.851929999</v>
      </c>
      <c r="R74" s="2742">
        <v>49247</v>
      </c>
      <c r="S74" s="2731">
        <v>1074681</v>
      </c>
      <c r="T74" s="2731"/>
      <c r="U74" s="2731"/>
      <c r="V74" s="2731">
        <f>SUM(B74:U74)</f>
        <v>14150869.336906333</v>
      </c>
      <c r="W74" s="58"/>
      <c r="X74" s="58"/>
    </row>
    <row r="75" spans="1:24">
      <c r="A75" s="2504" t="s">
        <v>722</v>
      </c>
      <c r="B75" s="2734">
        <v>0</v>
      </c>
      <c r="C75" s="2734">
        <v>0</v>
      </c>
      <c r="D75" s="2735">
        <v>7990.8405939620416</v>
      </c>
      <c r="E75" s="2734">
        <v>-116</v>
      </c>
      <c r="F75" s="2734">
        <v>2298</v>
      </c>
      <c r="G75" s="2731"/>
      <c r="H75" s="2731">
        <v>94996.697179710303</v>
      </c>
      <c r="I75" s="2731">
        <v>0</v>
      </c>
      <c r="J75" s="2740">
        <v>0</v>
      </c>
      <c r="K75" s="2731">
        <v>3150</v>
      </c>
      <c r="L75" s="2731">
        <v>0</v>
      </c>
      <c r="M75" s="2731"/>
      <c r="N75" s="2731">
        <v>0</v>
      </c>
      <c r="O75" s="2731"/>
      <c r="P75" s="2731"/>
      <c r="Q75" s="2731">
        <v>189354.35681999999</v>
      </c>
      <c r="R75" s="2742"/>
      <c r="S75" s="2731">
        <v>28813</v>
      </c>
      <c r="T75" s="2731"/>
      <c r="U75" s="2731"/>
      <c r="V75" s="2731">
        <f>SUM(B75:U75)</f>
        <v>326486.89459367236</v>
      </c>
      <c r="W75" s="58"/>
      <c r="X75" s="58"/>
    </row>
    <row r="76" spans="1:24">
      <c r="A76" s="2504" t="s">
        <v>440</v>
      </c>
      <c r="B76" s="2734">
        <v>44908</v>
      </c>
      <c r="C76" s="2734">
        <v>19711</v>
      </c>
      <c r="D76" s="2735">
        <v>205532.15940603797</v>
      </c>
      <c r="E76" s="2734">
        <v>97914</v>
      </c>
      <c r="F76" s="2734">
        <v>121752</v>
      </c>
      <c r="G76" s="2731"/>
      <c r="H76" s="2731">
        <v>1915808.7724936199</v>
      </c>
      <c r="I76" s="2731">
        <v>60975.116720000005</v>
      </c>
      <c r="J76" s="2740">
        <v>187</v>
      </c>
      <c r="K76" s="2731">
        <v>9080</v>
      </c>
      <c r="L76" s="2731">
        <v>450355</v>
      </c>
      <c r="M76" s="2731"/>
      <c r="N76" s="2731">
        <v>35456.316133840592</v>
      </c>
      <c r="O76" s="2731"/>
      <c r="P76" s="2731"/>
      <c r="Q76" s="2731">
        <v>824654.07839000016</v>
      </c>
      <c r="R76" s="2742">
        <v>73240</v>
      </c>
      <c r="S76" s="2731">
        <v>349852</v>
      </c>
      <c r="T76" s="2731"/>
      <c r="U76" s="2731"/>
      <c r="V76" s="2731">
        <f>SUM(B76:U76)</f>
        <v>4209425.4431434982</v>
      </c>
      <c r="W76" s="58"/>
      <c r="X76" s="58"/>
    </row>
    <row r="77" spans="1:24">
      <c r="A77" s="2736" t="s">
        <v>118</v>
      </c>
      <c r="B77" s="2737">
        <f>SUM(B72:B76)</f>
        <v>207089</v>
      </c>
      <c r="C77" s="2737">
        <f t="shared" ref="C77:V77" si="7">SUM(C72:C76)</f>
        <v>52771</v>
      </c>
      <c r="D77" s="2737">
        <f>SUM(D72:D76)</f>
        <v>813334</v>
      </c>
      <c r="E77" s="2737">
        <f t="shared" si="7"/>
        <v>394130.9</v>
      </c>
      <c r="F77" s="2737">
        <f t="shared" si="7"/>
        <v>288721</v>
      </c>
      <c r="G77" s="2737">
        <f t="shared" si="7"/>
        <v>0</v>
      </c>
      <c r="H77" s="2737">
        <f>SUM(H72:H76)</f>
        <v>7770598.3663905114</v>
      </c>
      <c r="I77" s="2737">
        <f t="shared" si="7"/>
        <v>212508.14081000001</v>
      </c>
      <c r="J77" s="2741">
        <f>SUM(J72:J76)</f>
        <v>14291</v>
      </c>
      <c r="K77" s="2737">
        <f t="shared" si="7"/>
        <v>468595</v>
      </c>
      <c r="L77" s="2737">
        <f t="shared" si="7"/>
        <v>2939550</v>
      </c>
      <c r="M77" s="2737">
        <f t="shared" si="7"/>
        <v>0</v>
      </c>
      <c r="N77" s="2737">
        <f t="shared" si="7"/>
        <v>107830</v>
      </c>
      <c r="O77" s="2737">
        <f t="shared" si="7"/>
        <v>0</v>
      </c>
      <c r="P77" s="2737">
        <f t="shared" si="7"/>
        <v>0</v>
      </c>
      <c r="Q77" s="2737">
        <f t="shared" si="7"/>
        <v>5262586.3370599989</v>
      </c>
      <c r="R77" s="2743">
        <f t="shared" si="7"/>
        <v>126275</v>
      </c>
      <c r="S77" s="2737">
        <f t="shared" si="7"/>
        <v>1608755</v>
      </c>
      <c r="T77" s="2737">
        <f t="shared" si="7"/>
        <v>0</v>
      </c>
      <c r="U77" s="2737">
        <f t="shared" si="7"/>
        <v>0</v>
      </c>
      <c r="V77" s="2737">
        <f t="shared" si="7"/>
        <v>20267034.744260512</v>
      </c>
      <c r="W77" s="375" t="e">
        <f>+#REF!</f>
        <v>#REF!</v>
      </c>
      <c r="X77" s="58" t="e">
        <f>+V77-W77</f>
        <v>#REF!</v>
      </c>
    </row>
    <row r="80" spans="1:24">
      <c r="J80" s="347"/>
    </row>
    <row r="81" spans="10:10">
      <c r="J81" s="347"/>
    </row>
    <row r="82" spans="10:10">
      <c r="J82" s="347"/>
    </row>
    <row r="83" spans="10:10">
      <c r="J83" s="347"/>
    </row>
    <row r="84" spans="10:10">
      <c r="J84" s="347"/>
    </row>
  </sheetData>
  <customSheetViews>
    <customSheetView guid="{2ACFE167-4169-43A6-9AB2-59D5A2DA2DB4}" showPageBreaks="1" printArea="1" state="hidden">
      <pane xSplit="1" ySplit="5" topLeftCell="B39" activePane="bottomRight" state="frozen"/>
      <selection pane="bottomRight" activeCell="H57" sqref="H57"/>
      <colBreaks count="1" manualBreakCount="1">
        <brk id="22" max="1048575" man="1"/>
      </colBreaks>
      <pageMargins left="0" right="0" top="0" bottom="0" header="0" footer="0"/>
      <pageSetup scale="43" orientation="landscape" r:id="rId1"/>
    </customSheetView>
    <customSheetView guid="{967E0446-E234-427F-8E57-7FE287052E2E}" showPageBreaks="1" printArea="1" state="hidden">
      <pane xSplit="1" ySplit="5" topLeftCell="B39" activePane="bottomRight" state="frozen"/>
      <selection pane="bottomRight" activeCell="H57" sqref="H57"/>
      <colBreaks count="1" manualBreakCount="1">
        <brk id="22" max="1048575" man="1"/>
      </colBreaks>
      <pageMargins left="0" right="0" top="0" bottom="0" header="0" footer="0"/>
      <pageSetup scale="43" orientation="landscape" r:id="rId2"/>
    </customSheetView>
    <customSheetView guid="{B2E1A0C6-5BA1-4CF1-B412-16D81FCDF11F}" showPageBreaks="1" printArea="1" state="hidden">
      <pane xSplit="1" ySplit="5" topLeftCell="B39" activePane="bottomRight" state="frozen"/>
      <selection pane="bottomRight" activeCell="H57" sqref="H57"/>
      <colBreaks count="1" manualBreakCount="1">
        <brk id="22" max="1048575" man="1"/>
      </colBreaks>
      <pageMargins left="0" right="0" top="0" bottom="0" header="0" footer="0"/>
      <pageSetup scale="43" orientation="landscape" r:id="rId3"/>
    </customSheetView>
    <customSheetView guid="{46F31544-8E6F-41C5-8628-1D6EE074AF15}" state="hidden">
      <pane xSplit="1" ySplit="5" topLeftCell="B39" activePane="bottomRight" state="frozen"/>
      <selection pane="bottomRight" activeCell="H57" sqref="H57"/>
      <colBreaks count="1" manualBreakCount="1">
        <brk id="22" max="1048575" man="1"/>
      </colBreaks>
      <pageMargins left="0" right="0" top="0" bottom="0" header="0" footer="0"/>
      <pageSetup scale="43" orientation="landscape" r:id="rId4"/>
    </customSheetView>
    <customSheetView guid="{B1E1B596-A9A1-411D-A882-A48CB025B978}" showPageBreaks="1" printArea="1" state="hidden">
      <pane xSplit="1" ySplit="5" topLeftCell="B39" activePane="bottomRight" state="frozen"/>
      <selection pane="bottomRight" activeCell="H57" sqref="H57"/>
      <colBreaks count="1" manualBreakCount="1">
        <brk id="22" max="1048575" man="1"/>
      </colBreaks>
      <pageMargins left="0" right="0" top="0" bottom="0" header="0" footer="0"/>
      <pageSetup scale="43" orientation="landscape" r:id="rId5"/>
    </customSheetView>
    <customSheetView guid="{5E394B0B-7867-4722-9497-A93AB2A9A773}" showPageBreaks="1" printArea="1" state="hidden">
      <pane xSplit="1" ySplit="5" topLeftCell="B39" activePane="bottomRight" state="frozen"/>
      <selection pane="bottomRight" activeCell="H57" sqref="H57"/>
      <colBreaks count="1" manualBreakCount="1">
        <brk id="22" max="1048575" man="1"/>
      </colBreaks>
      <pageMargins left="0" right="0" top="0" bottom="0" header="0" footer="0"/>
      <pageSetup scale="43" orientation="landscape" r:id="rId6"/>
    </customSheetView>
  </customSheetViews>
  <mergeCells count="7">
    <mergeCell ref="A70:A71"/>
    <mergeCell ref="A4:A5"/>
    <mergeCell ref="A15:A16"/>
    <mergeCell ref="A26:A27"/>
    <mergeCell ref="A37:A38"/>
    <mergeCell ref="A48:A49"/>
    <mergeCell ref="A59:A60"/>
  </mergeCells>
  <pageMargins left="0.7" right="0.7" top="0.75" bottom="0.75" header="0.3" footer="0.3"/>
  <pageSetup scale="43" orientation="landscape" r:id="rId7"/>
  <colBreaks count="1" manualBreakCount="1">
    <brk id="22" max="1048575" man="1"/>
  </col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8">
    <tabColor rgb="FF00B050"/>
  </sheetPr>
  <dimension ref="B1:R61"/>
  <sheetViews>
    <sheetView topLeftCell="A4" workbookViewId="0">
      <selection activeCell="H11" sqref="H11"/>
    </sheetView>
  </sheetViews>
  <sheetFormatPr defaultColWidth="9.140625" defaultRowHeight="13.9"/>
  <cols>
    <col min="1" max="1" width="3.42578125" style="28" customWidth="1"/>
    <col min="2" max="2" width="19.85546875" style="28" customWidth="1"/>
    <col min="3" max="3" width="15.42578125" style="28" hidden="1" customWidth="1"/>
    <col min="4" max="4" width="14.7109375" style="28" customWidth="1"/>
    <col min="5" max="5" width="14.42578125" style="28" customWidth="1"/>
    <col min="6" max="8" width="14.7109375" style="28" customWidth="1"/>
    <col min="9" max="16384" width="9.140625" style="28"/>
  </cols>
  <sheetData>
    <row r="1" spans="2:8">
      <c r="B1" s="217"/>
      <c r="C1" s="217"/>
    </row>
    <row r="2" spans="2:8">
      <c r="B2" s="205"/>
      <c r="C2" s="205"/>
      <c r="D2" s="1"/>
      <c r="E2" s="1"/>
      <c r="F2" s="1"/>
      <c r="G2" s="1"/>
      <c r="H2" s="1"/>
    </row>
    <row r="3" spans="2:8" ht="22.5" customHeight="1">
      <c r="B3" s="295" t="s">
        <v>737</v>
      </c>
      <c r="C3" s="295"/>
      <c r="D3" s="1"/>
      <c r="E3" s="1"/>
      <c r="F3" s="1"/>
      <c r="G3" s="1"/>
      <c r="H3" s="1"/>
    </row>
    <row r="4" spans="2:8">
      <c r="B4" s="3240"/>
      <c r="C4" s="3240"/>
      <c r="D4" s="3240"/>
      <c r="E4" s="3240"/>
      <c r="F4" s="3240"/>
      <c r="G4" s="214"/>
      <c r="H4" s="214"/>
    </row>
    <row r="5" spans="2:8" ht="23.25" customHeight="1">
      <c r="B5" s="3605" t="s">
        <v>526</v>
      </c>
      <c r="C5" s="3169"/>
      <c r="D5" s="3606"/>
      <c r="E5" s="3606"/>
      <c r="F5" s="3606"/>
      <c r="G5" s="3607"/>
      <c r="H5" s="2744"/>
    </row>
    <row r="6" spans="2:8" ht="21.75" customHeight="1">
      <c r="B6" s="3605"/>
      <c r="C6" s="216">
        <v>2008</v>
      </c>
      <c r="D6" s="216">
        <v>2009</v>
      </c>
      <c r="E6" s="216">
        <v>2010</v>
      </c>
      <c r="F6" s="216">
        <v>2011</v>
      </c>
      <c r="G6" s="2744" t="s">
        <v>210</v>
      </c>
      <c r="H6" s="2744" t="s">
        <v>211</v>
      </c>
    </row>
    <row r="7" spans="2:8" ht="20.100000000000001" customHeight="1">
      <c r="B7" s="2745" t="s">
        <v>436</v>
      </c>
      <c r="C7" s="2746">
        <v>6826563</v>
      </c>
      <c r="D7" s="2747">
        <v>7049399.2442600001</v>
      </c>
      <c r="E7" s="2748">
        <v>5012443.2580499994</v>
      </c>
      <c r="F7" s="2748">
        <v>5376093.8802377321</v>
      </c>
      <c r="G7" s="2748">
        <v>5421687.973005834</v>
      </c>
      <c r="H7" s="2748">
        <v>5421687.973005834</v>
      </c>
    </row>
    <row r="8" spans="2:8" ht="20.100000000000001" customHeight="1">
      <c r="B8" s="2745" t="s">
        <v>437</v>
      </c>
      <c r="C8" s="2746">
        <v>1826549</v>
      </c>
      <c r="D8" s="2747">
        <v>1442728.8245599996</v>
      </c>
      <c r="E8" s="2748">
        <v>1498831.91619</v>
      </c>
      <c r="F8" s="2748">
        <v>1678026.6338499999</v>
      </c>
      <c r="G8" s="2748">
        <v>1912657.304248</v>
      </c>
      <c r="H8" s="2748">
        <v>1912657.304248</v>
      </c>
    </row>
    <row r="9" spans="2:8" ht="20.100000000000001" customHeight="1">
      <c r="B9" s="2745" t="s">
        <v>438</v>
      </c>
      <c r="C9" s="2746">
        <v>18717735</v>
      </c>
      <c r="D9" s="2747">
        <v>17897763.373280004</v>
      </c>
      <c r="E9" s="2748">
        <v>20948781.925040003</v>
      </c>
      <c r="F9" s="2748">
        <v>27141118.776317582</v>
      </c>
      <c r="G9" s="2748">
        <v>31616009.404492173</v>
      </c>
      <c r="H9" s="2748">
        <v>31616009.404492173</v>
      </c>
    </row>
    <row r="10" spans="2:8" ht="20.100000000000001" customHeight="1">
      <c r="B10" s="2745" t="s">
        <v>440</v>
      </c>
      <c r="C10" s="2746">
        <v>7187417</v>
      </c>
      <c r="D10" s="2747">
        <v>7158375.0159819005</v>
      </c>
      <c r="E10" s="2748">
        <v>7641389.9556278009</v>
      </c>
      <c r="F10" s="2748">
        <v>9133584.4088065419</v>
      </c>
      <c r="G10" s="2748">
        <v>10732881.208458049</v>
      </c>
      <c r="H10" s="2748">
        <v>10732881.208458049</v>
      </c>
    </row>
    <row r="11" spans="2:8" ht="20.100000000000001" customHeight="1">
      <c r="B11" s="2749" t="s">
        <v>118</v>
      </c>
      <c r="C11" s="2750">
        <f t="shared" ref="C11:H11" si="0">SUM(C7:C10)</f>
        <v>34558264</v>
      </c>
      <c r="D11" s="2751">
        <f t="shared" si="0"/>
        <v>33548266.458081905</v>
      </c>
      <c r="E11" s="2751">
        <f t="shared" si="0"/>
        <v>35101447.054907806</v>
      </c>
      <c r="F11" s="2751">
        <f t="shared" si="0"/>
        <v>43328823.699211851</v>
      </c>
      <c r="G11" s="2751">
        <f t="shared" si="0"/>
        <v>49683235.890204057</v>
      </c>
      <c r="H11" s="2751">
        <f t="shared" si="0"/>
        <v>49683235.890204057</v>
      </c>
    </row>
    <row r="12" spans="2:8">
      <c r="B12" s="36"/>
      <c r="C12" s="36"/>
      <c r="D12" s="36"/>
      <c r="E12" s="36"/>
      <c r="F12" s="36"/>
      <c r="G12" s="36"/>
      <c r="H12" s="36"/>
    </row>
    <row r="13" spans="2:8" ht="23.25" customHeight="1">
      <c r="B13" s="3605" t="s">
        <v>526</v>
      </c>
      <c r="C13" s="3169"/>
      <c r="D13" s="3606"/>
      <c r="E13" s="3606"/>
      <c r="F13" s="3606"/>
      <c r="G13" s="3607"/>
      <c r="H13" s="2744"/>
    </row>
    <row r="14" spans="2:8" ht="23.25" customHeight="1">
      <c r="B14" s="3605"/>
      <c r="C14" s="216"/>
      <c r="D14" s="216">
        <v>2009</v>
      </c>
      <c r="E14" s="216">
        <v>2010</v>
      </c>
      <c r="F14" s="216">
        <v>2011</v>
      </c>
      <c r="G14" s="2744" t="s">
        <v>210</v>
      </c>
      <c r="H14" s="2744" t="s">
        <v>211</v>
      </c>
    </row>
    <row r="15" spans="2:8" ht="20.100000000000001" customHeight="1">
      <c r="B15" s="2745" t="s">
        <v>436</v>
      </c>
      <c r="C15" s="2745"/>
      <c r="D15" s="2752">
        <f>(D7-C7)/C7*100</f>
        <v>3.2642523662346643</v>
      </c>
      <c r="E15" s="2752">
        <f>((E7-D7)/D7)*100</f>
        <v>-28.895454997368748</v>
      </c>
      <c r="F15" s="2752">
        <f>((F7-E7)/E7)*100</f>
        <v>7.2549573823845028</v>
      </c>
      <c r="G15" s="2752">
        <f>((G7-F7)/F7)*100</f>
        <v>0.848089594114115</v>
      </c>
      <c r="H15" s="2752">
        <f>((H7-G7)/G7)*100</f>
        <v>0</v>
      </c>
    </row>
    <row r="16" spans="2:8" ht="20.100000000000001" customHeight="1">
      <c r="B16" s="2745" t="s">
        <v>437</v>
      </c>
      <c r="C16" s="2745"/>
      <c r="D16" s="2752">
        <f>(D8-C8)/C8*100</f>
        <v>-21.013407000852446</v>
      </c>
      <c r="E16" s="2752">
        <f t="shared" ref="E16:H18" si="1">((E8-D8)/D8)*100</f>
        <v>3.8886789169898641</v>
      </c>
      <c r="F16" s="2752">
        <f t="shared" si="1"/>
        <v>11.955624625041954</v>
      </c>
      <c r="G16" s="2752">
        <f t="shared" si="1"/>
        <v>13.982535536976107</v>
      </c>
      <c r="H16" s="2752">
        <f t="shared" si="1"/>
        <v>0</v>
      </c>
    </row>
    <row r="17" spans="2:18" ht="20.100000000000001" customHeight="1">
      <c r="B17" s="2745" t="s">
        <v>438</v>
      </c>
      <c r="C17" s="2745"/>
      <c r="D17" s="2752">
        <f>(D9-C9)/C9*100</f>
        <v>-4.3807203527563372</v>
      </c>
      <c r="E17" s="2752">
        <f t="shared" si="1"/>
        <v>17.046926412687618</v>
      </c>
      <c r="F17" s="2752">
        <f t="shared" si="1"/>
        <v>29.559412444290619</v>
      </c>
      <c r="G17" s="2752">
        <f t="shared" si="1"/>
        <v>16.487495099425413</v>
      </c>
      <c r="H17" s="2752">
        <f t="shared" si="1"/>
        <v>0</v>
      </c>
    </row>
    <row r="18" spans="2:18" ht="20.100000000000001" customHeight="1">
      <c r="B18" s="2745" t="s">
        <v>440</v>
      </c>
      <c r="C18" s="2745"/>
      <c r="D18" s="2752">
        <f>(D10-C10)/C10*100</f>
        <v>-0.4040670524348246</v>
      </c>
      <c r="E18" s="2752">
        <f t="shared" si="1"/>
        <v>6.7475500873803576</v>
      </c>
      <c r="F18" s="2752">
        <f t="shared" si="1"/>
        <v>19.527788293015409</v>
      </c>
      <c r="G18" s="2752">
        <f t="shared" si="1"/>
        <v>17.510067549268783</v>
      </c>
      <c r="H18" s="2752">
        <f t="shared" si="1"/>
        <v>0</v>
      </c>
    </row>
    <row r="19" spans="2:18" ht="20.100000000000001" customHeight="1">
      <c r="B19" s="2749" t="s">
        <v>118</v>
      </c>
      <c r="C19" s="2749"/>
      <c r="D19" s="2753">
        <f>SUM(D15:D18)</f>
        <v>-22.533942039808945</v>
      </c>
      <c r="E19" s="2753">
        <f>SUM(E15:E18)</f>
        <v>-1.2122995803109085</v>
      </c>
      <c r="F19" s="2753">
        <f>SUM(F15:F18)</f>
        <v>68.297782744732487</v>
      </c>
      <c r="G19" s="2753">
        <f>SUM(G15:G18)</f>
        <v>48.828187779784415</v>
      </c>
      <c r="H19" s="2753">
        <f>SUM(H15:H18)</f>
        <v>0</v>
      </c>
    </row>
    <row r="20" spans="2:18">
      <c r="B20" s="36"/>
      <c r="C20" s="36"/>
      <c r="D20" s="36"/>
      <c r="E20" s="36"/>
      <c r="F20" s="36"/>
      <c r="G20" s="36"/>
      <c r="H20" s="36"/>
    </row>
    <row r="21" spans="2:18" ht="24" customHeight="1">
      <c r="B21" s="3605" t="s">
        <v>526</v>
      </c>
      <c r="C21" s="3169"/>
      <c r="D21" s="3606"/>
      <c r="E21" s="3606"/>
      <c r="F21" s="3606"/>
      <c r="G21" s="3607"/>
      <c r="H21" s="2744"/>
    </row>
    <row r="22" spans="2:18" ht="21.75" customHeight="1">
      <c r="B22" s="3605"/>
      <c r="C22" s="216"/>
      <c r="D22" s="216">
        <v>2009</v>
      </c>
      <c r="E22" s="216">
        <v>2010</v>
      </c>
      <c r="F22" s="216">
        <v>2011</v>
      </c>
      <c r="G22" s="2744" t="s">
        <v>210</v>
      </c>
      <c r="H22" s="2744" t="s">
        <v>211</v>
      </c>
    </row>
    <row r="23" spans="2:18" ht="20.100000000000001" customHeight="1">
      <c r="B23" s="2745" t="s">
        <v>436</v>
      </c>
      <c r="C23" s="2745"/>
      <c r="D23" s="2754">
        <f>(D7/D$11)*100</f>
        <v>21.012707923576698</v>
      </c>
      <c r="E23" s="2754">
        <f t="shared" ref="E23:F26" si="2">(E7/E$11)*100</f>
        <v>14.279876411389058</v>
      </c>
      <c r="F23" s="2754">
        <f>(F7/F$11)*100</f>
        <v>12.40766173935048</v>
      </c>
      <c r="G23" s="2754">
        <f>(G7/G$11)*100</f>
        <v>10.912509774901391</v>
      </c>
      <c r="H23" s="2754">
        <f>(H7/H$11)*100</f>
        <v>10.912509774901391</v>
      </c>
    </row>
    <row r="24" spans="2:18" ht="20.100000000000001" customHeight="1">
      <c r="B24" s="2745" t="s">
        <v>437</v>
      </c>
      <c r="C24" s="2745"/>
      <c r="D24" s="2754">
        <f>(D8/D$11)*100</f>
        <v>4.3004571528685966</v>
      </c>
      <c r="E24" s="2754">
        <f t="shared" si="2"/>
        <v>4.2700003616530005</v>
      </c>
      <c r="F24" s="2754">
        <f t="shared" si="2"/>
        <v>3.8727721885524509</v>
      </c>
      <c r="G24" s="2754">
        <f t="shared" ref="G24:H26" si="3">(G8/G$11)*100</f>
        <v>3.8497035669633481</v>
      </c>
      <c r="H24" s="2754">
        <f t="shared" si="3"/>
        <v>3.8497035669633481</v>
      </c>
    </row>
    <row r="25" spans="2:18" ht="20.100000000000001" customHeight="1">
      <c r="B25" s="2745" t="s">
        <v>438</v>
      </c>
      <c r="C25" s="2745"/>
      <c r="D25" s="2754">
        <f>(D9/D$11)*100</f>
        <v>53.349294204643961</v>
      </c>
      <c r="E25" s="2754">
        <f t="shared" si="2"/>
        <v>59.68067895397774</v>
      </c>
      <c r="F25" s="2754">
        <f t="shared" si="2"/>
        <v>62.639869858297757</v>
      </c>
      <c r="G25" s="2754">
        <f t="shared" si="3"/>
        <v>63.635165540265945</v>
      </c>
      <c r="H25" s="2754">
        <f t="shared" si="3"/>
        <v>63.635165540265945</v>
      </c>
    </row>
    <row r="26" spans="2:18" ht="20.100000000000001" customHeight="1">
      <c r="B26" s="2745" t="s">
        <v>440</v>
      </c>
      <c r="C26" s="2745"/>
      <c r="D26" s="2754">
        <f>(D10/D$11)*100</f>
        <v>21.337540718910741</v>
      </c>
      <c r="E26" s="2754">
        <f t="shared" si="2"/>
        <v>21.769444272980191</v>
      </c>
      <c r="F26" s="2754">
        <f>(F10/F$11)*100</f>
        <v>21.079696213799316</v>
      </c>
      <c r="G26" s="2754">
        <f t="shared" si="3"/>
        <v>21.602621117869315</v>
      </c>
      <c r="H26" s="2754">
        <f t="shared" si="3"/>
        <v>21.602621117869315</v>
      </c>
    </row>
    <row r="27" spans="2:18" ht="20.100000000000001" customHeight="1">
      <c r="B27" s="2749" t="s">
        <v>118</v>
      </c>
      <c r="C27" s="2749"/>
      <c r="D27" s="2755">
        <f>SUM(D23:D26)</f>
        <v>100</v>
      </c>
      <c r="E27" s="2755">
        <f>SUM(E23:E26)</f>
        <v>100</v>
      </c>
      <c r="F27" s="2755">
        <f>SUM(F23:F26)</f>
        <v>100</v>
      </c>
      <c r="G27" s="2755">
        <f>SUM(G23:G26)</f>
        <v>100</v>
      </c>
      <c r="H27" s="2755">
        <f>SUM(H23:H26)</f>
        <v>100</v>
      </c>
      <c r="I27" s="175"/>
      <c r="J27" s="175"/>
      <c r="K27" s="175"/>
      <c r="L27" s="175"/>
      <c r="M27" s="175"/>
      <c r="N27"/>
      <c r="O27" s="14"/>
      <c r="P27"/>
      <c r="Q27" s="14"/>
      <c r="R27"/>
    </row>
    <row r="28" spans="2:18" ht="20.100000000000001" customHeight="1">
      <c r="B28" s="218"/>
      <c r="C28" s="218"/>
      <c r="D28" s="219"/>
      <c r="E28" s="219"/>
      <c r="F28" s="219"/>
      <c r="G28" s="219"/>
      <c r="H28" s="219"/>
      <c r="I28" s="175"/>
      <c r="J28" s="175"/>
      <c r="K28" s="175"/>
      <c r="L28" s="175"/>
      <c r="M28" s="175"/>
      <c r="N28"/>
      <c r="O28" s="14"/>
      <c r="P28"/>
      <c r="Q28" s="14"/>
      <c r="R28"/>
    </row>
    <row r="29" spans="2:18" s="258" customFormat="1" ht="20.100000000000001" customHeight="1">
      <c r="B29" s="2756" t="s">
        <v>738</v>
      </c>
      <c r="C29" s="2756"/>
      <c r="D29" s="2752">
        <f>+D19</f>
        <v>-22.533942039808945</v>
      </c>
      <c r="E29" s="2752">
        <f>+E19</f>
        <v>-1.2122995803109085</v>
      </c>
      <c r="F29" s="2752">
        <f>+F19</f>
        <v>68.297782744732487</v>
      </c>
      <c r="G29" s="2752">
        <f>+G19</f>
        <v>48.828187779784415</v>
      </c>
      <c r="H29" s="2752">
        <f>+H19</f>
        <v>0</v>
      </c>
      <c r="I29" s="3585"/>
      <c r="J29" s="3585"/>
      <c r="K29" s="3585"/>
      <c r="L29" s="3585"/>
      <c r="M29" s="3585"/>
      <c r="N29" s="3585"/>
      <c r="O29" s="3585"/>
      <c r="P29" s="3585"/>
      <c r="Q29" s="3585"/>
      <c r="R29" s="3585"/>
    </row>
    <row r="30" spans="2:18">
      <c r="I30" s="3585"/>
      <c r="J30" s="3585"/>
      <c r="K30" s="3585"/>
      <c r="L30" s="3585"/>
      <c r="M30" s="3585"/>
      <c r="N30" s="3585"/>
      <c r="O30" s="3585"/>
      <c r="P30" s="3585"/>
      <c r="Q30" s="3585"/>
      <c r="R30" s="3585"/>
    </row>
    <row r="31" spans="2:18" ht="14.45">
      <c r="B31" s="204" t="s">
        <v>633</v>
      </c>
      <c r="C31" s="204"/>
      <c r="D31"/>
      <c r="E31"/>
      <c r="F31"/>
      <c r="G31"/>
      <c r="H31"/>
      <c r="I31" s="3586"/>
      <c r="J31" s="3586"/>
      <c r="K31" s="3586"/>
      <c r="L31" s="3586"/>
      <c r="M31" s="3586"/>
      <c r="N31" s="3586"/>
      <c r="O31" s="3586"/>
      <c r="P31" s="3586"/>
      <c r="Q31" s="3586"/>
      <c r="R31" s="3586"/>
    </row>
    <row r="32" spans="2:18" ht="33.75" customHeight="1">
      <c r="B32" s="294" t="s">
        <v>634</v>
      </c>
      <c r="C32" s="294"/>
      <c r="D32"/>
      <c r="E32"/>
      <c r="F32"/>
      <c r="G32"/>
      <c r="H32"/>
      <c r="I32" s="3587"/>
      <c r="J32" s="3587"/>
      <c r="K32" s="3587"/>
      <c r="L32" s="3587"/>
      <c r="M32" s="3587"/>
      <c r="N32" s="3587"/>
      <c r="O32" s="3587"/>
      <c r="P32" s="3587"/>
      <c r="Q32" s="3587"/>
      <c r="R32" s="3587"/>
    </row>
    <row r="33" spans="2:13" ht="14.45">
      <c r="B33" s="200" t="s">
        <v>149</v>
      </c>
      <c r="C33" s="200"/>
      <c r="D33" s="175"/>
      <c r="E33" s="175"/>
      <c r="F33" s="175"/>
      <c r="G33" s="175"/>
      <c r="H33" s="175"/>
      <c r="I33"/>
      <c r="J33" s="14"/>
      <c r="K33"/>
    </row>
    <row r="34" spans="2:13" ht="14.45">
      <c r="B34" s="208"/>
      <c r="C34" s="208"/>
      <c r="D34" s="175"/>
      <c r="E34" s="175"/>
      <c r="F34" s="175"/>
      <c r="G34" s="175"/>
      <c r="H34" s="175"/>
      <c r="I34"/>
      <c r="J34" s="14"/>
      <c r="K34"/>
    </row>
    <row r="35" spans="2:13" ht="14.25" customHeight="1">
      <c r="B35" s="3225" t="s">
        <v>710</v>
      </c>
      <c r="C35" s="3225"/>
      <c r="D35" s="3225"/>
      <c r="E35" s="3225"/>
      <c r="F35" s="3225"/>
      <c r="G35" s="3225"/>
      <c r="H35" s="329"/>
      <c r="I35" s="224"/>
      <c r="J35" s="224"/>
      <c r="K35" s="224"/>
    </row>
    <row r="36" spans="2:13" ht="30.75" customHeight="1">
      <c r="B36" s="3225"/>
      <c r="C36" s="3225"/>
      <c r="D36" s="3225"/>
      <c r="E36" s="3225"/>
      <c r="F36" s="3225"/>
      <c r="G36" s="3225"/>
      <c r="H36" s="329"/>
      <c r="I36" s="224"/>
      <c r="J36" s="224"/>
      <c r="K36" s="224"/>
    </row>
    <row r="37" spans="2:13" ht="36.75" customHeight="1">
      <c r="B37" s="3226" t="s">
        <v>151</v>
      </c>
      <c r="C37" s="3226"/>
      <c r="D37" s="3226"/>
      <c r="E37" s="3226"/>
      <c r="F37" s="3226"/>
      <c r="G37" s="3226"/>
      <c r="H37" s="330"/>
      <c r="I37" s="222"/>
      <c r="J37" s="222"/>
      <c r="K37" s="222"/>
    </row>
    <row r="38" spans="2:13" ht="54.75" customHeight="1">
      <c r="B38" s="3608" t="s">
        <v>739</v>
      </c>
      <c r="C38" s="3608"/>
      <c r="D38" s="3608"/>
      <c r="E38" s="3608"/>
      <c r="F38" s="3608"/>
      <c r="G38" s="3608"/>
      <c r="H38" s="331"/>
      <c r="I38" s="223"/>
      <c r="J38" s="223"/>
      <c r="K38" s="223"/>
    </row>
    <row r="42" spans="2:13">
      <c r="I42" s="3585"/>
      <c r="J42" s="3585"/>
      <c r="K42" s="3585"/>
      <c r="L42" s="3585"/>
      <c r="M42" s="3585"/>
    </row>
    <row r="43" spans="2:13">
      <c r="I43" s="3585"/>
      <c r="J43" s="3585"/>
      <c r="K43" s="3585"/>
      <c r="L43" s="3585"/>
      <c r="M43" s="3585"/>
    </row>
    <row r="44" spans="2:13" hidden="1">
      <c r="I44" s="3586"/>
      <c r="J44" s="3586"/>
      <c r="K44" s="3586"/>
      <c r="L44" s="3586"/>
      <c r="M44" s="3586"/>
    </row>
    <row r="45" spans="2:13" hidden="1">
      <c r="I45" s="3586"/>
      <c r="J45" s="3586"/>
      <c r="K45" s="3586"/>
      <c r="L45" s="3586"/>
      <c r="M45" s="3586"/>
    </row>
    <row r="46" spans="2:13" ht="14.45" hidden="1">
      <c r="B46" s="28" t="s">
        <v>740</v>
      </c>
      <c r="I46" s="3587"/>
      <c r="J46" s="3587"/>
      <c r="K46" s="3587"/>
      <c r="L46" s="3587"/>
      <c r="M46" s="3587"/>
    </row>
    <row r="47" spans="2:13" hidden="1"/>
    <row r="48" spans="2:13" hidden="1"/>
    <row r="49" spans="4:8" hidden="1"/>
    <row r="50" spans="4:8" hidden="1"/>
    <row r="51" spans="4:8" hidden="1"/>
    <row r="52" spans="4:8" hidden="1"/>
    <row r="53" spans="4:8" hidden="1"/>
    <row r="54" spans="4:8" hidden="1">
      <c r="D54" s="220" t="e">
        <f>+#REF!</f>
        <v>#REF!</v>
      </c>
      <c r="E54" s="220" t="e">
        <f>+#REF!</f>
        <v>#REF!</v>
      </c>
      <c r="F54" s="220" t="e">
        <f>+#REF!</f>
        <v>#REF!</v>
      </c>
      <c r="G54" s="220"/>
      <c r="H54" s="220"/>
    </row>
    <row r="55" spans="4:8" hidden="1">
      <c r="D55" s="221" t="e">
        <f>+D11-D54</f>
        <v>#REF!</v>
      </c>
      <c r="E55" s="221" t="e">
        <f>+E11-E54</f>
        <v>#REF!</v>
      </c>
      <c r="F55" s="221" t="e">
        <f>+F11-F54</f>
        <v>#REF!</v>
      </c>
      <c r="G55" s="221"/>
      <c r="H55" s="221"/>
    </row>
    <row r="56" spans="4:8" hidden="1"/>
    <row r="57" spans="4:8" hidden="1"/>
    <row r="58" spans="4:8" hidden="1"/>
    <row r="59" spans="4:8" hidden="1"/>
    <row r="60" spans="4:8" hidden="1"/>
    <row r="61" spans="4:8" hidden="1"/>
  </sheetData>
  <customSheetViews>
    <customSheetView guid="{2ACFE167-4169-43A6-9AB2-59D5A2DA2DB4}" showPageBreaks="1" printArea="1" hiddenRows="1" hiddenColumns="1" state="hidden" topLeftCell="A4">
      <selection activeCell="H11" sqref="H11"/>
      <pageMargins left="0" right="0" top="0" bottom="0" header="0" footer="0"/>
      <pageSetup scale="88" orientation="portrait" r:id="rId1"/>
    </customSheetView>
    <customSheetView guid="{967E0446-E234-427F-8E57-7FE287052E2E}" showPageBreaks="1" printArea="1" hiddenRows="1" hiddenColumns="1" state="hidden" topLeftCell="A4">
      <selection activeCell="H11" sqref="H11"/>
      <pageMargins left="0" right="0" top="0" bottom="0" header="0" footer="0"/>
      <pageSetup scale="88" orientation="portrait" r:id="rId2"/>
    </customSheetView>
    <customSheetView guid="{B2E1A0C6-5BA1-4CF1-B412-16D81FCDF11F}" showPageBreaks="1" printArea="1" hiddenRows="1" hiddenColumns="1" state="hidden" topLeftCell="A4">
      <selection activeCell="H11" sqref="H11"/>
      <pageMargins left="0" right="0" top="0" bottom="0" header="0" footer="0"/>
      <pageSetup scale="88" orientation="portrait" r:id="rId3"/>
    </customSheetView>
    <customSheetView guid="{46F31544-8E6F-41C5-8628-1D6EE074AF15}" hiddenRows="1" hiddenColumns="1" state="hidden" topLeftCell="A4">
      <selection activeCell="H11" sqref="H11"/>
      <pageMargins left="0" right="0" top="0" bottom="0" header="0" footer="0"/>
      <pageSetup scale="88" orientation="portrait" r:id="rId4"/>
    </customSheetView>
    <customSheetView guid="{D020F570-D9CD-4C16-921E-7638848CF929}">
      <selection activeCell="J8" sqref="J8"/>
      <pageMargins left="0" right="0" top="0" bottom="0" header="0" footer="0"/>
      <pageSetup orientation="landscape" r:id="rId5"/>
    </customSheetView>
    <customSheetView guid="{F66B1C5E-2E3D-4890-AA4B-3A6E976CA29E}">
      <selection activeCell="J8" sqref="J8"/>
      <pageMargins left="0" right="0" top="0" bottom="0" header="0" footer="0"/>
      <pageSetup orientation="landscape" r:id="rId6"/>
    </customSheetView>
    <customSheetView guid="{C4538C36-F6A2-4603-9311-8D97FB7695CB}" topLeftCell="A4">
      <selection activeCell="J8" sqref="J8"/>
      <pageMargins left="0" right="0" top="0" bottom="0" header="0" footer="0"/>
      <pageSetup orientation="landscape" r:id="rId7"/>
    </customSheetView>
    <customSheetView guid="{3199A5C7-1303-43ED-A74D-8C27C3B99779}">
      <selection activeCell="J8" sqref="J8"/>
      <pageMargins left="0" right="0" top="0" bottom="0" header="0" footer="0"/>
      <pageSetup orientation="landscape" r:id="rId8"/>
    </customSheetView>
    <customSheetView guid="{B8318771-9061-42D8-AFEA-0FF27D639C94}" topLeftCell="A10">
      <selection activeCell="J8" sqref="J8"/>
      <pageMargins left="0" right="0" top="0" bottom="0" header="0" footer="0"/>
      <pageSetup orientation="landscape" r:id="rId9"/>
    </customSheetView>
    <customSheetView guid="{F7C0CA98-A3B8-42B1-9940-E27294444C95}" topLeftCell="A10">
      <selection activeCell="G24" sqref="G24"/>
      <pageMargins left="0" right="0" top="0" bottom="0" header="0" footer="0"/>
      <pageSetup orientation="landscape" r:id="rId10"/>
    </customSheetView>
    <customSheetView guid="{B4A67912-05A8-4D20-958A-E8812294BB39}">
      <selection activeCell="B4" sqref="B4"/>
      <pageMargins left="0" right="0" top="0" bottom="0" header="0" footer="0"/>
      <pageSetup orientation="landscape" r:id="rId11"/>
    </customSheetView>
    <customSheetView guid="{E82B35BE-4719-4C53-A9EF-1CC6F153A6F3}" showPageBreaks="1" printArea="1" hiddenRows="1" hiddenColumns="1">
      <selection activeCell="D3" sqref="D3"/>
      <pageMargins left="0" right="0" top="0" bottom="0" header="0" footer="0"/>
      <pageSetup scale="88" orientation="portrait" r:id="rId12"/>
    </customSheetView>
    <customSheetView guid="{B1E1B596-A9A1-411D-A882-A48CB025B978}" showPageBreaks="1" printArea="1" hiddenRows="1" hiddenColumns="1" state="hidden" topLeftCell="A4">
      <selection activeCell="H11" sqref="H11"/>
      <pageMargins left="0" right="0" top="0" bottom="0" header="0" footer="0"/>
      <pageSetup scale="88" orientation="portrait" r:id="rId13"/>
    </customSheetView>
    <customSheetView guid="{5E394B0B-7867-4722-9497-A93AB2A9A773}" showPageBreaks="1" printArea="1" hiddenRows="1" hiddenColumns="1" state="hidden" topLeftCell="A4">
      <selection activeCell="H11" sqref="H11"/>
      <pageMargins left="0" right="0" top="0" bottom="0" header="0" footer="0"/>
      <pageSetup scale="88" orientation="portrait" r:id="rId14"/>
    </customSheetView>
  </customSheetViews>
  <mergeCells count="16">
    <mergeCell ref="I42:M43"/>
    <mergeCell ref="I44:M45"/>
    <mergeCell ref="I46:M46"/>
    <mergeCell ref="B35:G36"/>
    <mergeCell ref="B37:G37"/>
    <mergeCell ref="B38:G38"/>
    <mergeCell ref="I29:R30"/>
    <mergeCell ref="I31:R31"/>
    <mergeCell ref="I32:R32"/>
    <mergeCell ref="B4:F4"/>
    <mergeCell ref="B21:B22"/>
    <mergeCell ref="B13:B14"/>
    <mergeCell ref="B5:B6"/>
    <mergeCell ref="D5:G5"/>
    <mergeCell ref="D13:G13"/>
    <mergeCell ref="D21:G21"/>
  </mergeCells>
  <pageMargins left="0.37" right="0.7" top="0.75" bottom="0.75" header="0.3" footer="0.3"/>
  <pageSetup scale="88" orientation="portrait" r:id="rId15"/>
  <ignoredErrors>
    <ignoredError sqref="E12:F12" formulaRange="1"/>
    <ignoredError sqref="E20:F20 E28 E26 E23 E24:F24 E25:F25" evalError="1"/>
  </ignoredError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rgb="FF00B0F0"/>
  </sheetPr>
  <dimension ref="A3:X62"/>
  <sheetViews>
    <sheetView zoomScaleNormal="100" workbookViewId="0">
      <pane xSplit="1" ySplit="5" topLeftCell="P42" activePane="bottomRight" state="frozen"/>
      <selection pane="bottomRight" activeCell="S54" sqref="S54"/>
      <selection pane="bottomLeft" activeCell="A6" sqref="A6"/>
      <selection pane="topRight" activeCell="B1" sqref="B1"/>
    </sheetView>
  </sheetViews>
  <sheetFormatPr defaultColWidth="9.140625" defaultRowHeight="14.45"/>
  <cols>
    <col min="1" max="1" width="19" customWidth="1"/>
    <col min="2" max="2" width="12.5703125" customWidth="1"/>
    <col min="3" max="4" width="12.7109375" customWidth="1"/>
    <col min="5" max="5" width="12.5703125" customWidth="1"/>
    <col min="6" max="6" width="11.42578125" customWidth="1"/>
    <col min="7" max="7" width="12.7109375" customWidth="1"/>
    <col min="8" max="8" width="13.5703125" customWidth="1"/>
    <col min="9" max="9" width="12.7109375" customWidth="1"/>
    <col min="10" max="10" width="10.28515625" customWidth="1"/>
    <col min="11" max="11" width="14.28515625" customWidth="1"/>
    <col min="12" max="12" width="14.5703125" customWidth="1"/>
    <col min="13" max="13" width="11.28515625" customWidth="1"/>
    <col min="14" max="14" width="12" customWidth="1"/>
    <col min="15" max="15" width="9.28515625" bestFit="1" customWidth="1"/>
    <col min="16" max="16" width="13.7109375" customWidth="1"/>
    <col min="17" max="17" width="13.28515625" customWidth="1"/>
    <col min="18" max="18" width="11.5703125" customWidth="1"/>
    <col min="19" max="19" width="14.5703125" bestFit="1" customWidth="1"/>
    <col min="20" max="20" width="11" customWidth="1"/>
    <col min="21" max="21" width="11.140625" customWidth="1"/>
    <col min="22" max="22" width="14.7109375" customWidth="1"/>
    <col min="23" max="23" width="14.5703125" bestFit="1" customWidth="1"/>
    <col min="24" max="24" width="14.5703125" customWidth="1"/>
  </cols>
  <sheetData>
    <row r="3" spans="1:24" ht="15" customHeight="1">
      <c r="A3" s="2725" t="s">
        <v>729</v>
      </c>
      <c r="B3" s="3167"/>
      <c r="C3" s="3167"/>
      <c r="D3" s="3167"/>
      <c r="E3" s="3167"/>
      <c r="F3" s="2726"/>
    </row>
    <row r="4" spans="1:24">
      <c r="A4" s="3604" t="s">
        <v>730</v>
      </c>
      <c r="B4" s="373">
        <v>1</v>
      </c>
      <c r="C4" s="373">
        <v>2</v>
      </c>
      <c r="D4" s="373">
        <v>3</v>
      </c>
      <c r="E4" s="373">
        <v>4</v>
      </c>
      <c r="F4" s="373">
        <v>5</v>
      </c>
      <c r="G4" s="373">
        <v>6</v>
      </c>
      <c r="H4" s="373">
        <v>7</v>
      </c>
      <c r="I4" s="373">
        <v>8</v>
      </c>
      <c r="J4" s="373">
        <v>9</v>
      </c>
      <c r="K4" s="373">
        <v>10</v>
      </c>
      <c r="L4" s="373">
        <v>11</v>
      </c>
      <c r="M4" s="373">
        <v>12</v>
      </c>
      <c r="N4" s="373">
        <v>13</v>
      </c>
      <c r="O4" s="373">
        <v>14</v>
      </c>
      <c r="P4" s="373">
        <v>15</v>
      </c>
      <c r="Q4" s="373">
        <v>16</v>
      </c>
      <c r="R4" s="373">
        <v>17</v>
      </c>
      <c r="S4" s="373">
        <v>18</v>
      </c>
      <c r="T4" s="373">
        <v>19</v>
      </c>
      <c r="U4" s="373">
        <v>20</v>
      </c>
      <c r="V4" s="374"/>
    </row>
    <row r="5" spans="1:24">
      <c r="A5" s="3604"/>
      <c r="B5" s="2727" t="s">
        <v>177</v>
      </c>
      <c r="C5" s="2727" t="s">
        <v>179</v>
      </c>
      <c r="D5" s="2727" t="s">
        <v>181</v>
      </c>
      <c r="E5" s="2727" t="s">
        <v>182</v>
      </c>
      <c r="F5" s="2727" t="s">
        <v>183</v>
      </c>
      <c r="G5" s="2727" t="s">
        <v>184</v>
      </c>
      <c r="H5" s="2728" t="s">
        <v>185</v>
      </c>
      <c r="I5" s="2727" t="s">
        <v>186</v>
      </c>
      <c r="J5" s="2727" t="s">
        <v>187</v>
      </c>
      <c r="K5" s="2727" t="s">
        <v>188</v>
      </c>
      <c r="L5" s="2727" t="s">
        <v>189</v>
      </c>
      <c r="M5" s="2727" t="s">
        <v>191</v>
      </c>
      <c r="N5" s="2727" t="s">
        <v>192</v>
      </c>
      <c r="O5" s="2727" t="s">
        <v>702</v>
      </c>
      <c r="P5" s="2727" t="s">
        <v>194</v>
      </c>
      <c r="Q5" s="2729" t="s">
        <v>115</v>
      </c>
      <c r="R5" s="2727" t="s">
        <v>196</v>
      </c>
      <c r="S5" s="2727" t="s">
        <v>197</v>
      </c>
      <c r="T5" s="2727" t="s">
        <v>193</v>
      </c>
      <c r="U5" s="2727" t="s">
        <v>110</v>
      </c>
      <c r="V5" s="2730" t="s">
        <v>118</v>
      </c>
    </row>
    <row r="6" spans="1:24">
      <c r="A6" s="2504" t="s">
        <v>436</v>
      </c>
      <c r="B6" s="2731">
        <f>+'[21]Sheet 2 - General Insurance'!$C$39</f>
        <v>11991</v>
      </c>
      <c r="C6" s="2731">
        <f>+'[22]Sheet 2 - General Insurance'!$C$39</f>
        <v>75109.039999999935</v>
      </c>
      <c r="D6" s="2731">
        <f>+'[23]Sheet 2 - General Insurance'!$C$39</f>
        <v>100496.28347000002</v>
      </c>
      <c r="E6" s="2731">
        <f>+'[24]Sheet 2 - General Insurance'!$C$39</f>
        <v>14436.836329999825</v>
      </c>
      <c r="F6" s="2731">
        <f>+'[25]Sheet 2 - General Insurance'!$C$39</f>
        <v>15127.189258330027</v>
      </c>
      <c r="G6" s="2731">
        <f>+'[26]Sheet 2 - General Insurance'!$C$39</f>
        <v>61590.31917408156</v>
      </c>
      <c r="H6" s="2732">
        <f>+'[27]Sheet 2 - General Insurance'!$C$39</f>
        <v>596457</v>
      </c>
      <c r="I6" s="2731">
        <f>+'[28]Sheet 2 - General Insurance'!$C$39</f>
        <v>31114.921959999996</v>
      </c>
      <c r="J6" s="2731"/>
      <c r="K6" s="2731">
        <f>+'[29]Sheet 2 - General Insurance'!$C$39</f>
        <v>35595.95800000005</v>
      </c>
      <c r="L6" s="2731">
        <f>+'[30]Sheet 2 - General Insurance'!$C$39/1000</f>
        <v>138182.99955335006</v>
      </c>
      <c r="M6" s="2733">
        <f>+'[31]Sheet 2 - General Insurance'!$C$39</f>
        <v>6625.9590400000025</v>
      </c>
      <c r="N6" s="2731">
        <f>+'[32]Sheet 2 - General Insurance'!$C$39</f>
        <v>2184.6448099999989</v>
      </c>
      <c r="O6" s="2731"/>
      <c r="P6" s="2731">
        <f>+'[33]Sheet 2 - General Insurance'!$C$39</f>
        <v>120714.60952999997</v>
      </c>
      <c r="Q6" s="2731">
        <f>+'[34]Sheet 2 - General Insurance'!$C$39</f>
        <v>144613.37762999948</v>
      </c>
      <c r="R6" s="2731">
        <f>+'[35]Sheet 2 - General Insurance'!$C$39</f>
        <v>9323.4402658333311</v>
      </c>
      <c r="S6" s="2731">
        <f>+'[36]Sheet 2 - General Insurance'!$C$39</f>
        <v>58842.492000000108</v>
      </c>
      <c r="T6" s="2731">
        <f>+'[37]Sheet 2 - General Insurance'!$C$39</f>
        <v>1724.0207270586238</v>
      </c>
      <c r="U6" s="2731"/>
      <c r="V6" s="2731">
        <f>SUM(B6:U6)</f>
        <v>1424130.0917486532</v>
      </c>
      <c r="W6" s="58"/>
    </row>
    <row r="7" spans="1:24">
      <c r="A7" s="2504" t="s">
        <v>437</v>
      </c>
      <c r="B7" s="2731">
        <f>+'[21]Sheet 2 - General Insurance'!$D$39</f>
        <v>21118</v>
      </c>
      <c r="C7" s="2731">
        <f>+'[22]Sheet 2 - General Insurance'!$D$39</f>
        <v>13851.700000000004</v>
      </c>
      <c r="D7" s="2731">
        <f>+'[23]Sheet 2 - General Insurance'!$D$39</f>
        <v>68831.139480000013</v>
      </c>
      <c r="E7" s="2731">
        <f>+'[24]Sheet 2 - General Insurance'!$D$39</f>
        <v>15153.229149999905</v>
      </c>
      <c r="F7" s="2731">
        <f>+'[25]Sheet 2 - General Insurance'!$D$39</f>
        <v>60314.486887784209</v>
      </c>
      <c r="G7" s="2731">
        <f>+'[26]Sheet 2 - General Insurance'!$D$39</f>
        <v>4245.2549987940383</v>
      </c>
      <c r="H7" s="2731">
        <f>+'[27]Sheet 2 - General Insurance'!$D$39</f>
        <v>244495</v>
      </c>
      <c r="I7" s="2731">
        <f>+'[28]Sheet 2 - General Insurance'!$D$39</f>
        <v>13658.40065</v>
      </c>
      <c r="J7" s="2731"/>
      <c r="K7" s="2731">
        <f>+'[29]Sheet 2 - General Insurance'!$D$39</f>
        <v>3555.5901499999959</v>
      </c>
      <c r="L7" s="2731">
        <f>+'[30]Sheet 2 - General Insurance'!$D$39/1000</f>
        <v>84813.788031039992</v>
      </c>
      <c r="M7" s="2731">
        <f>+'[31]Sheet 2 - General Insurance'!$D$39</f>
        <v>77.86503999999951</v>
      </c>
      <c r="N7" s="2731">
        <f>+'[32]Sheet 2 - General Insurance'!$D$39</f>
        <v>8112.2656100000004</v>
      </c>
      <c r="O7" s="2731"/>
      <c r="P7" s="2731">
        <f>+'[33]Sheet 2 - General Insurance'!$D$39</f>
        <v>1537.9186100000002</v>
      </c>
      <c r="Q7" s="2731">
        <f>+'[34]Sheet 2 - General Insurance'!$D$39</f>
        <v>165892.7511100001</v>
      </c>
      <c r="R7" s="2731">
        <v>0</v>
      </c>
      <c r="S7" s="2731">
        <f>+'[36]Sheet 2 - General Insurance'!$D$39</f>
        <v>124989.71577999997</v>
      </c>
      <c r="T7" s="2731">
        <f>+'[37]Sheet 2 - General Insurance'!$D$39</f>
        <v>2544.5641891080459</v>
      </c>
      <c r="U7" s="2731"/>
      <c r="V7" s="2731">
        <f>SUM(B7:U7)</f>
        <v>833191.66968672629</v>
      </c>
      <c r="W7" s="58"/>
    </row>
    <row r="8" spans="1:24">
      <c r="A8" s="2504" t="s">
        <v>438</v>
      </c>
      <c r="B8" s="2734">
        <f>+'[21]Sheet 2 - General Insurance'!$E$39</f>
        <v>554625</v>
      </c>
      <c r="C8" s="2734">
        <f>+'[22]Sheet 2 - General Insurance'!$E$39</f>
        <v>275603.28000000003</v>
      </c>
      <c r="D8" s="2735">
        <f>+'[23]Sheet 2 - General Insurance'!$E$39</f>
        <v>1402339.5508399999</v>
      </c>
      <c r="E8" s="2734">
        <f>+'[24]Sheet 2 - General Insurance'!$E$39</f>
        <v>894902.863955818</v>
      </c>
      <c r="F8" s="2734">
        <f>+'[25]Sheet 2 - General Insurance'!$E$39</f>
        <v>15615.582827194963</v>
      </c>
      <c r="G8" s="2731">
        <f>+'[26]Sheet 2 - General Insurance'!$E$39</f>
        <v>907309.60939319828</v>
      </c>
      <c r="H8" s="2731">
        <f>+'[27]Sheet 2 - General Insurance'!$E$39</f>
        <v>6124855</v>
      </c>
      <c r="I8" s="2731">
        <f>+'[28]Sheet 2 - General Insurance'!$E$39</f>
        <v>994227.09907</v>
      </c>
      <c r="J8" s="2731"/>
      <c r="K8" s="2731">
        <f>+'[29]Sheet 2 - General Insurance'!$E$39</f>
        <v>1185627.1847099999</v>
      </c>
      <c r="L8" s="2731">
        <f>+'[30]Sheet 2 - General Insurance'!$E$39/1000</f>
        <v>4501945.9990615994</v>
      </c>
      <c r="M8" s="2731">
        <f>+'[31]Sheet 2 - General Insurance'!$E$39</f>
        <v>1237163.7800499999</v>
      </c>
      <c r="N8" s="2731">
        <f>+'[32]Sheet 2 - General Insurance'!$E$39</f>
        <v>788630.40683999995</v>
      </c>
      <c r="O8" s="2731"/>
      <c r="P8" s="2731">
        <f>+'[33]Sheet 2 - General Insurance'!$E$39</f>
        <v>2517533.4318400002</v>
      </c>
      <c r="Q8" s="2731">
        <f>+'[34]Sheet 2 - General Insurance'!$E$39</f>
        <v>7302050.8899200037</v>
      </c>
      <c r="R8" s="2731">
        <f>+'[35]Sheet 2 - General Insurance'!$E$39</f>
        <v>149168.55084708333</v>
      </c>
      <c r="S8" s="2731">
        <f>+'[36]Sheet 2 - General Insurance'!$E$39</f>
        <v>2403174.0531899999</v>
      </c>
      <c r="T8" s="2731">
        <f>+'[37]Sheet 2 - General Insurance'!$E$39</f>
        <v>233615.15584124965</v>
      </c>
      <c r="U8" s="2731"/>
      <c r="V8" s="2731">
        <f>SUM(B8:U8)</f>
        <v>31488387.438386142</v>
      </c>
      <c r="W8" s="58"/>
    </row>
    <row r="9" spans="1:24">
      <c r="A9" s="2504" t="s">
        <v>722</v>
      </c>
      <c r="B9" s="2734">
        <f>+'[21]Sheet 2 - General Insurance'!$F$39</f>
        <v>7656</v>
      </c>
      <c r="C9" s="2734">
        <f>+'[22]Sheet 2 - General Insurance'!$F$39</f>
        <v>9759.41</v>
      </c>
      <c r="D9" s="2735">
        <f>+'[23]Sheet 2 - General Insurance'!$F$39</f>
        <v>1171.9387873595697</v>
      </c>
      <c r="E9" s="2734">
        <f>+'[24]Sheet 2 - General Insurance'!$F$39</f>
        <v>5536.0702599999995</v>
      </c>
      <c r="F9" s="2734">
        <f>+'[25]Sheet 2 - General Insurance'!$F$39</f>
        <v>644.87829908176025</v>
      </c>
      <c r="G9" s="2731">
        <f>+'[26]Sheet 2 - General Insurance'!$F$39</f>
        <v>1160.6031782236407</v>
      </c>
      <c r="H9" s="2731">
        <f>+'[27]Sheet 2 - General Insurance'!$F$39</f>
        <v>86399</v>
      </c>
      <c r="I9" s="2731">
        <v>0</v>
      </c>
      <c r="J9" s="2731"/>
      <c r="K9" s="2731">
        <f>+'[29]Sheet 2 - General Insurance'!$F$39</f>
        <v>3844.1516399999996</v>
      </c>
      <c r="L9" s="2731">
        <v>0</v>
      </c>
      <c r="M9" s="2731">
        <f>+'[31]Sheet 2 - General Insurance'!$F$39</f>
        <v>-1186.9653400000025</v>
      </c>
      <c r="N9" s="2731">
        <v>0</v>
      </c>
      <c r="O9" s="2731"/>
      <c r="P9" s="2731">
        <v>0</v>
      </c>
      <c r="Q9" s="2731">
        <f>+'[34]Sheet 2 - General Insurance'!$F$39</f>
        <v>79915.650380000006</v>
      </c>
      <c r="R9" s="2731">
        <f>+'[35]Sheet 2 - General Insurance'!$F$39</f>
        <v>0.39600000000000002</v>
      </c>
      <c r="S9" s="2731">
        <f>+'[36]Sheet 2 - General Insurance'!$F$39</f>
        <v>35622.643089999998</v>
      </c>
      <c r="T9" s="2731">
        <v>0</v>
      </c>
      <c r="U9" s="2731"/>
      <c r="V9" s="2731">
        <f>SUM(B9:U9)</f>
        <v>230523.77629466497</v>
      </c>
      <c r="W9" s="58"/>
    </row>
    <row r="10" spans="1:24">
      <c r="A10" s="2504" t="s">
        <v>440</v>
      </c>
      <c r="B10" s="2734">
        <f>+'[21]Sheet 2 - General Insurance'!$G$39</f>
        <v>387274</v>
      </c>
      <c r="C10" s="2734">
        <f>+'[22]Sheet 2 - General Insurance'!$G$39</f>
        <v>309985.77</v>
      </c>
      <c r="D10" s="2735">
        <f>+'[23]Sheet 2 - General Insurance'!$G$39</f>
        <v>307812.08301</v>
      </c>
      <c r="E10" s="2734">
        <f>+'[24]Sheet 2 - General Insurance'!$G$39</f>
        <v>167842.33261999997</v>
      </c>
      <c r="F10" s="2734">
        <f>+'[25]Sheet 2 - General Insurance'!$G$39</f>
        <v>280598.72018289129</v>
      </c>
      <c r="G10" s="2731">
        <f>+'[26]Sheet 2 - General Insurance'!$G$39</f>
        <v>16094.054978796923</v>
      </c>
      <c r="H10" s="2731">
        <f>+'[27]Sheet 2 - General Insurance'!$G$39</f>
        <v>1790506</v>
      </c>
      <c r="I10" s="2731">
        <f>+'[28]Sheet 2 - General Insurance'!$G$39</f>
        <v>118133.94250999999</v>
      </c>
      <c r="J10" s="2731"/>
      <c r="K10" s="2731">
        <f>+'[29]Sheet 2 - General Insurance'!$G$39</f>
        <v>127809.91972999999</v>
      </c>
      <c r="L10" s="2731">
        <f>+'[30]Sheet 2 - General Insurance'!$G$39/1000</f>
        <v>646346.99948333995</v>
      </c>
      <c r="M10" s="2731">
        <f>+'[31]Sheet 2 - General Insurance'!$G$39</f>
        <v>-4730.1627099999996</v>
      </c>
      <c r="N10" s="2731">
        <f>+'[32]Sheet 2 - General Insurance'!$G$39</f>
        <v>199322.15664000003</v>
      </c>
      <c r="O10" s="2731"/>
      <c r="P10" s="2731">
        <f>+'[33]Sheet 2 - General Insurance'!$G$39</f>
        <v>160694.91036000001</v>
      </c>
      <c r="Q10" s="2731">
        <f>+'[34]Sheet 2 - General Insurance'!$G$39</f>
        <v>2190254.8430200014</v>
      </c>
      <c r="R10" s="2731">
        <f>+'[35]Sheet 2 - General Insurance'!$G$39</f>
        <v>78619.38594708337</v>
      </c>
      <c r="S10" s="2731">
        <f>+'[36]Sheet 2 - General Insurance'!$G$39</f>
        <v>1369705.1760500001</v>
      </c>
      <c r="T10" s="2731">
        <f>+'[37]Sheet 2 - General Insurance'!$G$39</f>
        <v>60668.30536728922</v>
      </c>
      <c r="U10" s="2731"/>
      <c r="V10" s="2731">
        <f>SUM(B10:U10)</f>
        <v>8206938.4371894021</v>
      </c>
      <c r="W10" s="58"/>
    </row>
    <row r="11" spans="1:24">
      <c r="A11" s="2736" t="s">
        <v>118</v>
      </c>
      <c r="B11" s="2737">
        <f t="shared" ref="B11:L11" si="0">SUM(B6:B10)</f>
        <v>982664</v>
      </c>
      <c r="C11" s="2737">
        <f t="shared" si="0"/>
        <v>684309.2</v>
      </c>
      <c r="D11" s="2737">
        <f t="shared" si="0"/>
        <v>1880650.9955873594</v>
      </c>
      <c r="E11" s="2737">
        <f t="shared" si="0"/>
        <v>1097871.3323158177</v>
      </c>
      <c r="F11" s="2737">
        <f t="shared" si="0"/>
        <v>372300.85745528224</v>
      </c>
      <c r="G11" s="2737">
        <f t="shared" si="0"/>
        <v>990399.84172309446</v>
      </c>
      <c r="H11" s="2737">
        <f t="shared" si="0"/>
        <v>8842712</v>
      </c>
      <c r="I11" s="2737">
        <f t="shared" si="0"/>
        <v>1157134.3641900001</v>
      </c>
      <c r="J11" s="2737">
        <f t="shared" si="0"/>
        <v>0</v>
      </c>
      <c r="K11" s="2737">
        <f t="shared" si="0"/>
        <v>1356432.8042299999</v>
      </c>
      <c r="L11" s="2737">
        <f t="shared" si="0"/>
        <v>5371289.7861293294</v>
      </c>
      <c r="M11" s="2737">
        <f t="shared" ref="M11:U11" si="1">SUM(M6:M10)</f>
        <v>1237950.4760799997</v>
      </c>
      <c r="N11" s="2737">
        <f t="shared" si="1"/>
        <v>998249.47389999998</v>
      </c>
      <c r="O11" s="2737">
        <f t="shared" si="1"/>
        <v>0</v>
      </c>
      <c r="P11" s="2737">
        <f t="shared" si="1"/>
        <v>2800480.8703400004</v>
      </c>
      <c r="Q11" s="2737">
        <f t="shared" si="1"/>
        <v>9882727.5120600052</v>
      </c>
      <c r="R11" s="2737">
        <f t="shared" si="1"/>
        <v>237111.77306000004</v>
      </c>
      <c r="S11" s="2737">
        <f t="shared" si="1"/>
        <v>3992334.0801100004</v>
      </c>
      <c r="T11" s="2737">
        <f t="shared" si="1"/>
        <v>298552.04612470552</v>
      </c>
      <c r="U11" s="2737">
        <f t="shared" si="1"/>
        <v>0</v>
      </c>
      <c r="V11" s="2737">
        <f>SUM(V6:V10)</f>
        <v>42183171.413305588</v>
      </c>
      <c r="W11" s="375">
        <f>+'[5]P &amp; L - GI - 2013'!H13</f>
        <v>42183171.414035596</v>
      </c>
      <c r="X11" s="14">
        <f>+V11-W11</f>
        <v>-7.3000788688659668E-4</v>
      </c>
    </row>
    <row r="12" spans="1:24">
      <c r="A12" s="46"/>
      <c r="B12" s="376"/>
      <c r="C12" s="376"/>
      <c r="D12" s="376"/>
      <c r="E12" s="376"/>
      <c r="F12" s="376"/>
      <c r="G12" s="376"/>
      <c r="H12" s="376"/>
      <c r="I12" s="376"/>
      <c r="J12" s="376"/>
      <c r="K12" s="376"/>
      <c r="L12" s="376"/>
      <c r="M12" s="376"/>
      <c r="N12" s="376"/>
      <c r="O12" s="376"/>
      <c r="P12" s="376"/>
      <c r="Q12" s="376"/>
      <c r="R12" s="376"/>
      <c r="S12" s="376"/>
      <c r="T12" s="376"/>
      <c r="U12" s="376"/>
      <c r="V12" s="376"/>
      <c r="W12" s="376"/>
      <c r="X12" s="14"/>
    </row>
    <row r="14" spans="1:24" ht="15" customHeight="1">
      <c r="A14" s="2725" t="s">
        <v>731</v>
      </c>
      <c r="B14" s="3167"/>
      <c r="C14" s="3167"/>
      <c r="D14" s="3167"/>
      <c r="E14" s="3167"/>
      <c r="F14" s="2726"/>
    </row>
    <row r="15" spans="1:24">
      <c r="A15" s="3604" t="s">
        <v>730</v>
      </c>
      <c r="B15" s="373">
        <v>1</v>
      </c>
      <c r="C15" s="373">
        <v>2</v>
      </c>
      <c r="D15" s="373">
        <v>3</v>
      </c>
      <c r="E15" s="373">
        <v>4</v>
      </c>
      <c r="F15" s="373">
        <v>5</v>
      </c>
      <c r="G15" s="373">
        <v>6</v>
      </c>
      <c r="H15" s="373">
        <v>7</v>
      </c>
      <c r="I15" s="373">
        <v>8</v>
      </c>
      <c r="J15" s="373">
        <v>9</v>
      </c>
      <c r="K15" s="373">
        <v>10</v>
      </c>
      <c r="L15" s="373">
        <v>11</v>
      </c>
      <c r="M15" s="373">
        <v>12</v>
      </c>
      <c r="N15" s="373">
        <v>13</v>
      </c>
      <c r="O15" s="373">
        <v>14</v>
      </c>
      <c r="P15" s="373">
        <v>15</v>
      </c>
      <c r="Q15" s="373">
        <v>16</v>
      </c>
      <c r="R15" s="373">
        <v>17</v>
      </c>
      <c r="S15" s="373">
        <v>18</v>
      </c>
      <c r="T15" s="373">
        <v>19</v>
      </c>
      <c r="U15" s="373">
        <v>20</v>
      </c>
      <c r="V15" s="374"/>
    </row>
    <row r="16" spans="1:24">
      <c r="A16" s="3604"/>
      <c r="B16" s="2727" t="s">
        <v>177</v>
      </c>
      <c r="C16" s="2727" t="s">
        <v>179</v>
      </c>
      <c r="D16" s="2727" t="s">
        <v>181</v>
      </c>
      <c r="E16" s="2727" t="s">
        <v>182</v>
      </c>
      <c r="F16" s="2727" t="s">
        <v>183</v>
      </c>
      <c r="G16" s="2727" t="s">
        <v>184</v>
      </c>
      <c r="H16" s="2728" t="s">
        <v>185</v>
      </c>
      <c r="I16" s="2727" t="s">
        <v>186</v>
      </c>
      <c r="J16" s="2727" t="s">
        <v>187</v>
      </c>
      <c r="K16" s="2727" t="s">
        <v>188</v>
      </c>
      <c r="L16" s="2727" t="s">
        <v>189</v>
      </c>
      <c r="M16" s="2727" t="s">
        <v>191</v>
      </c>
      <c r="N16" s="2727" t="s">
        <v>192</v>
      </c>
      <c r="O16" s="2727" t="s">
        <v>702</v>
      </c>
      <c r="P16" s="2727" t="s">
        <v>194</v>
      </c>
      <c r="Q16" s="2729" t="s">
        <v>115</v>
      </c>
      <c r="R16" s="2727" t="s">
        <v>196</v>
      </c>
      <c r="S16" s="2727" t="s">
        <v>197</v>
      </c>
      <c r="T16" s="2727" t="s">
        <v>193</v>
      </c>
      <c r="U16" s="2727" t="s">
        <v>110</v>
      </c>
      <c r="V16" s="2730" t="s">
        <v>118</v>
      </c>
    </row>
    <row r="17" spans="1:24">
      <c r="A17" s="2504" t="s">
        <v>436</v>
      </c>
      <c r="B17" s="2731">
        <f>+'[21]Sheet 2 - General Insurance'!$C$159</f>
        <v>9185.9460699999727</v>
      </c>
      <c r="C17" s="2731">
        <f>+'[22]Sheet 2 - General Insurance'!$C$157</f>
        <v>56046</v>
      </c>
      <c r="D17" s="2731">
        <f>+'[23]Sheet 2 - General Insurance'!$C$177</f>
        <v>127977.13802000001</v>
      </c>
      <c r="E17" s="2731">
        <f>+'[24]Sheet 2 - General Insurance'!$C$161</f>
        <v>7684.5690000000068</v>
      </c>
      <c r="F17" s="2731">
        <f>+'[25]Sheet 2 - General Insurance'!$C$157</f>
        <v>15034.93374</v>
      </c>
      <c r="G17" s="2731">
        <f>+'[26]Sheet 2 - General Insurance'!$C$172</f>
        <v>51972.113134867264</v>
      </c>
      <c r="H17" s="2732">
        <f>+'[5]P &amp; L - GI - 2012 '!C278</f>
        <v>516418</v>
      </c>
      <c r="I17" s="2731">
        <f>+'[28]Sheet 2 - General Insurance'!$C$157</f>
        <v>31180.10871</v>
      </c>
      <c r="J17" s="2731"/>
      <c r="K17" s="2731">
        <f>+'[29]Sheet 2 - General Insurance'!$C$166</f>
        <v>33549.44299000004</v>
      </c>
      <c r="L17" s="2731">
        <f>+'[30]Sheet 2 - General Insurance'!$C$160</f>
        <v>111866.73726999905</v>
      </c>
      <c r="M17" s="2731">
        <f>+'[31]Sheet 2 - General Insurance'!$C$157</f>
        <v>-17648.952170000004</v>
      </c>
      <c r="N17" s="2731">
        <f>+'[32]Sheet 2 - General Insurance'!$C$157</f>
        <v>6128.9368600000016</v>
      </c>
      <c r="O17" s="2731"/>
      <c r="P17" s="2731">
        <f>+'[33]Sheet 2 - General Insurance'!$C$162</f>
        <v>111189.66164999998</v>
      </c>
      <c r="Q17" s="2731">
        <f>+'[5]P &amp; L - GI - 2012 '!C608</f>
        <v>211402.43547999993</v>
      </c>
      <c r="R17" s="2731">
        <f>+'[35]Sheet 2 - General Insurance'!$C$157</f>
        <v>2766.1209099999987</v>
      </c>
      <c r="S17" s="2731">
        <f>+'[36]Sheet 2 - General Insurance'!$C$157</f>
        <v>125135.56500000002</v>
      </c>
      <c r="T17" s="2731">
        <f>+'[37]Sheet 2 - General Insurance'!$C$157</f>
        <v>919.59053914250148</v>
      </c>
      <c r="U17" s="2731"/>
      <c r="V17" s="2731">
        <f>SUM(B17:U17)</f>
        <v>1400808.3472040088</v>
      </c>
      <c r="W17" s="58"/>
    </row>
    <row r="18" spans="1:24">
      <c r="A18" s="2504" t="s">
        <v>437</v>
      </c>
      <c r="B18" s="2731">
        <f>+'[21]Sheet 2 - General Insurance'!$D$159</f>
        <v>24449.195810000005</v>
      </c>
      <c r="C18" s="2731">
        <f>+'[22]Sheet 2 - General Insurance'!$D$157</f>
        <v>10804.21</v>
      </c>
      <c r="D18" s="2731">
        <f>+'[23]Sheet 2 - General Insurance'!$D$177</f>
        <v>74019.987599999993</v>
      </c>
      <c r="E18" s="2731">
        <f>+'[24]Sheet 2 - General Insurance'!$D$161</f>
        <v>15606.681000000002</v>
      </c>
      <c r="F18" s="2731">
        <f>+'[25]Sheet 2 - General Insurance'!$D$157</f>
        <v>5062.196369999996</v>
      </c>
      <c r="G18" s="2731">
        <f>+'[26]Sheet 2 - General Insurance'!$D$172</f>
        <v>1991.9227454172162</v>
      </c>
      <c r="H18" s="2731">
        <f>+'[27]Sheet 2 - General Insurance'!$D$171</f>
        <v>249074</v>
      </c>
      <c r="I18" s="2731">
        <f>+'[28]Sheet 2 - General Insurance'!$D$157</f>
        <v>11456.661589999998</v>
      </c>
      <c r="J18" s="2731"/>
      <c r="K18" s="2731">
        <f>+'[29]Sheet 2 - General Insurance'!$D$166</f>
        <v>4250.1385900000041</v>
      </c>
      <c r="L18" s="2731">
        <f>+'[30]Sheet 2 - General Insurance'!$D$160</f>
        <v>85932.345170000015</v>
      </c>
      <c r="M18" s="2731">
        <f>+'[31]Sheet 2 - General Insurance'!$D$157</f>
        <v>-6118.17839</v>
      </c>
      <c r="N18" s="2731">
        <f>+'[32]Sheet 2 - General Insurance'!$D$157</f>
        <v>8356.355109999995</v>
      </c>
      <c r="O18" s="2731"/>
      <c r="P18" s="2731">
        <f>+'[33]Sheet 2 - General Insurance'!$D$162</f>
        <v>8727.9344600000004</v>
      </c>
      <c r="Q18" s="2731">
        <f>+'[5]P &amp; L - GI - 2012 '!D608</f>
        <v>-17720.445320000021</v>
      </c>
      <c r="R18" s="2731">
        <f>+'[35]Sheet 2 - General Insurance'!$D$157</f>
        <v>0</v>
      </c>
      <c r="S18" s="2731">
        <f>+'[36]Sheet 2 - General Insurance'!$D$157</f>
        <v>59769.151319999903</v>
      </c>
      <c r="T18" s="2731">
        <f>+'[37]Sheet 2 - General Insurance'!$D$157</f>
        <v>1410.5920268613863</v>
      </c>
      <c r="U18" s="2731"/>
      <c r="V18" s="2731">
        <f>SUM(B18:U18)</f>
        <v>537072.74808227841</v>
      </c>
      <c r="W18" s="58"/>
    </row>
    <row r="19" spans="1:24">
      <c r="A19" s="2504" t="s">
        <v>438</v>
      </c>
      <c r="B19" s="2734">
        <f>+'[21]Sheet 2 - General Insurance'!$E$159</f>
        <v>434907.48022000003</v>
      </c>
      <c r="C19" s="2734">
        <f>+'[22]Sheet 2 - General Insurance'!$E$157</f>
        <v>144016</v>
      </c>
      <c r="D19" s="2735">
        <f>+'[23]Sheet 2 - General Insurance'!$E$177</f>
        <v>1446848.9569999999</v>
      </c>
      <c r="E19" s="2734">
        <f>+'[24]Sheet 2 - General Insurance'!$E$161</f>
        <v>786224.00400000007</v>
      </c>
      <c r="F19" s="2734">
        <f>+'[25]Sheet 2 - General Insurance'!$E$157</f>
        <v>50340.718390000002</v>
      </c>
      <c r="G19" s="2731">
        <f>+'[26]Sheet 2 - General Insurance'!$E$172</f>
        <v>925439.04323602375</v>
      </c>
      <c r="H19" s="2731">
        <f>+'[27]Sheet 2 - General Insurance'!$E$171</f>
        <v>6327616</v>
      </c>
      <c r="I19" s="2731">
        <f>+'[28]Sheet 2 - General Insurance'!$E$157</f>
        <v>823724.38667000004</v>
      </c>
      <c r="J19" s="2731"/>
      <c r="K19" s="2731">
        <f>+'[29]Sheet 2 - General Insurance'!$E$166</f>
        <v>1174170.6146</v>
      </c>
      <c r="L19" s="2731">
        <f>+'[30]Sheet 2 - General Insurance'!$E$160</f>
        <v>4042847.8693500198</v>
      </c>
      <c r="M19" s="2731">
        <f>+'[31]Sheet 2 - General Insurance'!$E$157</f>
        <v>854754.57689000014</v>
      </c>
      <c r="N19" s="2731">
        <f>+'[32]Sheet 2 - General Insurance'!$E$157</f>
        <v>589982.99858000013</v>
      </c>
      <c r="O19" s="2731"/>
      <c r="P19" s="2731">
        <f>+'[33]Sheet 2 - General Insurance'!$E$162</f>
        <v>2195967.22358</v>
      </c>
      <c r="Q19" s="2731">
        <f>+'[5]P &amp; L - GI - 2012 '!E608</f>
        <v>7118266.2959499974</v>
      </c>
      <c r="R19" s="2731">
        <f>+'[35]Sheet 2 - General Insurance'!$E$157</f>
        <v>161159.57548999999</v>
      </c>
      <c r="S19" s="2731">
        <f>+'[36]Sheet 2 - General Insurance'!$E$157</f>
        <v>2135046.1623499999</v>
      </c>
      <c r="T19" s="2731">
        <f>+'[37]Sheet 2 - General Insurance'!$E$157</f>
        <v>81797.987727887725</v>
      </c>
      <c r="U19" s="2731"/>
      <c r="V19" s="2731">
        <f>SUM(B19:U19)</f>
        <v>29293109.894033927</v>
      </c>
      <c r="W19" s="58"/>
    </row>
    <row r="20" spans="1:24">
      <c r="A20" s="2504" t="s">
        <v>722</v>
      </c>
      <c r="B20" s="2734">
        <f>+'[21]Sheet 2 - General Insurance'!$F$159</f>
        <v>4970.9151399999992</v>
      </c>
      <c r="C20" s="2734">
        <f>+'[22]Sheet 2 - General Insurance'!$F$157</f>
        <v>8397</v>
      </c>
      <c r="D20" s="2735">
        <f>+'[23]Sheet 2 - General Insurance'!$F$177</f>
        <v>19455</v>
      </c>
      <c r="E20" s="2734">
        <f>+'[24]Sheet 2 - General Insurance'!$F$161</f>
        <v>4865.4969999999994</v>
      </c>
      <c r="F20" s="2734">
        <f>+'[25]Sheet 2 - General Insurance'!$F$157</f>
        <v>1073.2673599999996</v>
      </c>
      <c r="G20" s="2731">
        <f>+'[26]Sheet 2 - General Insurance'!$F$172</f>
        <v>782.44109013554055</v>
      </c>
      <c r="H20" s="2731">
        <f>+'[27]Sheet 2 - General Insurance'!$F$171</f>
        <v>86800</v>
      </c>
      <c r="I20" s="2731">
        <v>0</v>
      </c>
      <c r="J20" s="2731"/>
      <c r="K20" s="2731">
        <f>+'[29]Sheet 2 - General Insurance'!$F$166</f>
        <v>3573.4422999999997</v>
      </c>
      <c r="L20" s="2731">
        <v>0</v>
      </c>
      <c r="M20" s="2731">
        <f>+'[31]Sheet 2 - General Insurance'!$F$157</f>
        <v>511.07972999999981</v>
      </c>
      <c r="N20" s="2731">
        <v>0</v>
      </c>
      <c r="O20" s="2731"/>
      <c r="P20" s="2731">
        <v>0</v>
      </c>
      <c r="Q20" s="2731">
        <f>+'[5]P &amp; L - GI - 2012 '!F608</f>
        <v>81464.675830000022</v>
      </c>
      <c r="R20" s="2731">
        <f>+'[35]Sheet 2 - General Insurance'!$F$157</f>
        <v>0</v>
      </c>
      <c r="S20" s="2731">
        <f>+'[36]Sheet 2 - General Insurance'!$F$157</f>
        <v>33395.974390000003</v>
      </c>
      <c r="T20" s="2731">
        <f>+'[37]Sheet 2 - General Insurance'!$F$157</f>
        <v>0</v>
      </c>
      <c r="U20" s="2731"/>
      <c r="V20" s="2731">
        <f>SUM(B20:U20)</f>
        <v>245289.29284013557</v>
      </c>
      <c r="W20" s="58"/>
    </row>
    <row r="21" spans="1:24">
      <c r="A21" s="2504" t="s">
        <v>440</v>
      </c>
      <c r="B21" s="2734">
        <f>+'[21]Sheet 2 - General Insurance'!$G$159</f>
        <v>211880.42155000003</v>
      </c>
      <c r="C21" s="2734">
        <f>+'[22]Sheet 2 - General Insurance'!$G$157</f>
        <v>216298.16999999998</v>
      </c>
      <c r="D21" s="2735">
        <f>+'[23]Sheet 2 - General Insurance'!$G$177</f>
        <v>299489.78647000022</v>
      </c>
      <c r="E21" s="2734">
        <f>+'[24]Sheet 2 - General Insurance'!$G$161</f>
        <v>154998.67699999991</v>
      </c>
      <c r="F21" s="2734">
        <f>+'[25]Sheet 2 - General Insurance'!$G$157</f>
        <v>316325.48613000027</v>
      </c>
      <c r="G21" s="2731">
        <f>+'[26]Sheet 2 - General Insurance'!$G$172</f>
        <v>23140.302350180227</v>
      </c>
      <c r="H21" s="2731">
        <f>+'[27]Sheet 2 - General Insurance'!$G$171</f>
        <v>1442245</v>
      </c>
      <c r="I21" s="2731">
        <f>+'[28]Sheet 2 - General Insurance'!$G$157</f>
        <v>135022.10180999999</v>
      </c>
      <c r="J21" s="2731"/>
      <c r="K21" s="2731">
        <f>+'[29]Sheet 2 - General Insurance'!$G$166</f>
        <v>109528.20471999998</v>
      </c>
      <c r="L21" s="2731">
        <f>+'[30]Sheet 2 - General Insurance'!$G$160</f>
        <v>611959.9632</v>
      </c>
      <c r="M21" s="2731">
        <f>+'[31]Sheet 2 - General Insurance'!$G$157</f>
        <v>-9878.1185899999982</v>
      </c>
      <c r="N21" s="2731">
        <f>+'[32]Sheet 2 - General Insurance'!$G$157</f>
        <v>118820.44835000001</v>
      </c>
      <c r="O21" s="2731"/>
      <c r="P21" s="2731">
        <f>+'[33]Sheet 2 - General Insurance'!$G$162</f>
        <v>132355</v>
      </c>
      <c r="Q21" s="2731">
        <f>+'[5]P &amp; L - GI - 2012 '!G608</f>
        <v>1965098.9336100011</v>
      </c>
      <c r="R21" s="2731">
        <f>+'[35]Sheet 2 - General Insurance'!$G$157</f>
        <v>52386.550160000035</v>
      </c>
      <c r="S21" s="2731">
        <f>+'[36]Sheet 2 - General Insurance'!$G$157</f>
        <v>1175064.1522499998</v>
      </c>
      <c r="T21" s="2731">
        <f>+'[37]Sheet 2 - General Insurance'!$G$157</f>
        <v>22586.550192785209</v>
      </c>
      <c r="U21" s="2731"/>
      <c r="V21" s="2731">
        <f>SUM(B21:U21)</f>
        <v>6977321.6292029666</v>
      </c>
      <c r="W21" s="58"/>
    </row>
    <row r="22" spans="1:24">
      <c r="A22" s="2736" t="s">
        <v>118</v>
      </c>
      <c r="B22" s="2737">
        <f>SUM(B17:B21)</f>
        <v>685393.95879000006</v>
      </c>
      <c r="C22" s="2737">
        <f>SUM(C17:C21)</f>
        <v>435561.38</v>
      </c>
      <c r="D22" s="2737">
        <f>SUM(D17:D21)</f>
        <v>1967790.8690900002</v>
      </c>
      <c r="E22" s="2737">
        <f>SUM(E17:E21)</f>
        <v>969379.42799999996</v>
      </c>
      <c r="F22" s="2737">
        <f>SUM(F17:F21)</f>
        <v>387836.60199000023</v>
      </c>
      <c r="G22" s="2737">
        <f t="shared" ref="G22:V22" si="2">SUM(G17:G21)</f>
        <v>1003325.822556624</v>
      </c>
      <c r="H22" s="2737">
        <f t="shared" si="2"/>
        <v>8622153</v>
      </c>
      <c r="I22" s="2737">
        <f t="shared" si="2"/>
        <v>1001383.25878</v>
      </c>
      <c r="J22" s="2737">
        <f t="shared" si="2"/>
        <v>0</v>
      </c>
      <c r="K22" s="2737">
        <f t="shared" si="2"/>
        <v>1325071.8432</v>
      </c>
      <c r="L22" s="2737">
        <f>SUM(L17:L21)</f>
        <v>4852606.9149900191</v>
      </c>
      <c r="M22" s="2737">
        <f t="shared" si="2"/>
        <v>821620.40747000021</v>
      </c>
      <c r="N22" s="2737">
        <f t="shared" si="2"/>
        <v>723288.73890000011</v>
      </c>
      <c r="O22" s="2737">
        <f t="shared" si="2"/>
        <v>0</v>
      </c>
      <c r="P22" s="2737">
        <f t="shared" si="2"/>
        <v>2448239.8196899998</v>
      </c>
      <c r="Q22" s="2737">
        <f t="shared" si="2"/>
        <v>9358511.8955499977</v>
      </c>
      <c r="R22" s="2737">
        <f t="shared" si="2"/>
        <v>216312.24656000003</v>
      </c>
      <c r="S22" s="2737">
        <f t="shared" si="2"/>
        <v>3528411.0053099999</v>
      </c>
      <c r="T22" s="2737">
        <f t="shared" si="2"/>
        <v>106714.72048667682</v>
      </c>
      <c r="U22" s="2737">
        <f t="shared" si="2"/>
        <v>0</v>
      </c>
      <c r="V22" s="2737">
        <f t="shared" si="2"/>
        <v>38453601.911363319</v>
      </c>
      <c r="W22" s="375">
        <f>+'[5]P &amp; L - GI - 2012 '!H13</f>
        <v>38453601.911363319</v>
      </c>
      <c r="X22" s="14">
        <f>+V22-W22</f>
        <v>0</v>
      </c>
    </row>
    <row r="25" spans="1:24" ht="15" customHeight="1">
      <c r="A25" s="2725" t="s">
        <v>732</v>
      </c>
      <c r="B25" s="3167"/>
      <c r="C25" s="3167"/>
      <c r="D25" s="3167"/>
      <c r="E25" s="3167"/>
      <c r="F25" s="2726"/>
    </row>
    <row r="26" spans="1:24">
      <c r="A26" s="3604" t="s">
        <v>730</v>
      </c>
      <c r="B26" s="373">
        <v>1</v>
      </c>
      <c r="C26" s="373">
        <v>2</v>
      </c>
      <c r="D26" s="373">
        <v>3</v>
      </c>
      <c r="E26" s="373">
        <v>4</v>
      </c>
      <c r="F26" s="373">
        <v>5</v>
      </c>
      <c r="G26" s="373">
        <v>6</v>
      </c>
      <c r="H26" s="373">
        <v>7</v>
      </c>
      <c r="I26" s="373">
        <v>8</v>
      </c>
      <c r="J26" s="373">
        <v>9</v>
      </c>
      <c r="K26" s="373">
        <v>10</v>
      </c>
      <c r="L26" s="373">
        <v>11</v>
      </c>
      <c r="M26" s="373">
        <v>12</v>
      </c>
      <c r="N26" s="373">
        <v>13</v>
      </c>
      <c r="O26" s="373">
        <v>14</v>
      </c>
      <c r="P26" s="373">
        <v>15</v>
      </c>
      <c r="Q26" s="373">
        <v>16</v>
      </c>
      <c r="R26" s="373">
        <v>17</v>
      </c>
      <c r="S26" s="373">
        <v>18</v>
      </c>
      <c r="T26" s="373">
        <v>19</v>
      </c>
      <c r="U26" s="373">
        <v>20</v>
      </c>
      <c r="V26" s="374"/>
    </row>
    <row r="27" spans="1:24">
      <c r="A27" s="3604"/>
      <c r="B27" s="2727" t="s">
        <v>177</v>
      </c>
      <c r="C27" s="2727" t="s">
        <v>179</v>
      </c>
      <c r="D27" s="2727" t="s">
        <v>181</v>
      </c>
      <c r="E27" s="2727" t="s">
        <v>182</v>
      </c>
      <c r="F27" s="2727" t="s">
        <v>183</v>
      </c>
      <c r="G27" s="2727" t="s">
        <v>184</v>
      </c>
      <c r="H27" s="2728" t="s">
        <v>185</v>
      </c>
      <c r="I27" s="2727" t="s">
        <v>186</v>
      </c>
      <c r="J27" s="2727" t="s">
        <v>187</v>
      </c>
      <c r="K27" s="2727" t="s">
        <v>188</v>
      </c>
      <c r="L27" s="2727" t="s">
        <v>189</v>
      </c>
      <c r="M27" s="2727" t="s">
        <v>191</v>
      </c>
      <c r="N27" s="2727" t="s">
        <v>192</v>
      </c>
      <c r="O27" s="2727" t="s">
        <v>702</v>
      </c>
      <c r="P27" s="2727" t="s">
        <v>194</v>
      </c>
      <c r="Q27" s="2727" t="s">
        <v>115</v>
      </c>
      <c r="R27" s="2727" t="s">
        <v>196</v>
      </c>
      <c r="S27" s="2727" t="s">
        <v>197</v>
      </c>
      <c r="T27" s="2727" t="s">
        <v>193</v>
      </c>
      <c r="U27" s="2727" t="s">
        <v>110</v>
      </c>
      <c r="V27" s="2730" t="s">
        <v>118</v>
      </c>
    </row>
    <row r="28" spans="1:24">
      <c r="A28" s="2504" t="s">
        <v>436</v>
      </c>
      <c r="B28" s="2731">
        <v>4576.2172399999981</v>
      </c>
      <c r="C28" s="2731">
        <v>71591</v>
      </c>
      <c r="D28" s="2731">
        <v>111314.74394999997</v>
      </c>
      <c r="E28" s="2731">
        <v>9235.9889999999978</v>
      </c>
      <c r="F28" s="2731">
        <v>3998</v>
      </c>
      <c r="G28" s="2731">
        <v>35470.872924293399</v>
      </c>
      <c r="H28" s="2732">
        <v>442930</v>
      </c>
      <c r="I28" s="2731">
        <v>30909.073029999992</v>
      </c>
      <c r="J28" s="2731"/>
      <c r="K28" s="2731">
        <v>31862.239679999999</v>
      </c>
      <c r="L28" s="2731">
        <v>92610.746889998991</v>
      </c>
      <c r="M28" s="2731"/>
      <c r="N28" s="2731">
        <v>1058</v>
      </c>
      <c r="O28" s="2731"/>
      <c r="P28" s="2731">
        <v>45621</v>
      </c>
      <c r="Q28" s="2731">
        <v>206881.33041999995</v>
      </c>
      <c r="R28" s="2731">
        <v>5879</v>
      </c>
      <c r="S28" s="2731">
        <v>47649.619230000055</v>
      </c>
      <c r="T28" s="2731">
        <v>3</v>
      </c>
      <c r="U28" s="2731"/>
      <c r="V28" s="2731">
        <f>SUM(B28:U28)</f>
        <v>1141590.8323642923</v>
      </c>
      <c r="W28" s="58"/>
    </row>
    <row r="29" spans="1:24">
      <c r="A29" s="2504" t="s">
        <v>437</v>
      </c>
      <c r="B29" s="2731">
        <v>9222.03125</v>
      </c>
      <c r="C29" s="2731">
        <v>9237</v>
      </c>
      <c r="D29" s="2731">
        <v>69548.184239999988</v>
      </c>
      <c r="E29" s="2731">
        <v>15738.094999999994</v>
      </c>
      <c r="F29" s="2731">
        <v>92641</v>
      </c>
      <c r="G29" s="2731">
        <v>1513.1036928860751</v>
      </c>
      <c r="H29" s="2731">
        <v>266899</v>
      </c>
      <c r="I29" s="2731">
        <v>10523.719789999997</v>
      </c>
      <c r="J29" s="2731"/>
      <c r="K29" s="2731">
        <v>5145.8688699999975</v>
      </c>
      <c r="L29" s="2731">
        <v>70225.275380000006</v>
      </c>
      <c r="M29" s="2731"/>
      <c r="N29" s="2731">
        <v>2656</v>
      </c>
      <c r="O29" s="2731"/>
      <c r="P29" s="2731">
        <v>8094</v>
      </c>
      <c r="Q29" s="2731">
        <v>133869.90681999997</v>
      </c>
      <c r="R29" s="2731">
        <v>0</v>
      </c>
      <c r="S29" s="2731">
        <v>107362.12702000003</v>
      </c>
      <c r="T29" s="2731">
        <v>2</v>
      </c>
      <c r="U29" s="2731"/>
      <c r="V29" s="2731">
        <f>SUM(B29:U29)</f>
        <v>802677.31206288608</v>
      </c>
      <c r="W29" s="58"/>
    </row>
    <row r="30" spans="1:24">
      <c r="A30" s="2504" t="s">
        <v>438</v>
      </c>
      <c r="B30" s="2734">
        <v>240669.23228</v>
      </c>
      <c r="C30" s="2734">
        <v>100932</v>
      </c>
      <c r="D30" s="2735">
        <v>1744259.8762700001</v>
      </c>
      <c r="E30" s="2734">
        <v>609412.68299999996</v>
      </c>
      <c r="F30" s="2734">
        <v>33533</v>
      </c>
      <c r="G30" s="2731">
        <v>517642.00178366603</v>
      </c>
      <c r="H30" s="2731">
        <v>5613160</v>
      </c>
      <c r="I30" s="2731">
        <v>581708.1924099999</v>
      </c>
      <c r="J30" s="2731"/>
      <c r="K30" s="2731">
        <v>1035090.14004</v>
      </c>
      <c r="L30" s="2731">
        <v>3545834.41431998</v>
      </c>
      <c r="M30" s="2731">
        <v>50594.218070000003</v>
      </c>
      <c r="N30" s="2731">
        <v>349902</v>
      </c>
      <c r="O30" s="2731"/>
      <c r="P30" s="2731">
        <v>1312591</v>
      </c>
      <c r="Q30" s="2731">
        <v>5739853.494380001</v>
      </c>
      <c r="R30" s="2731">
        <v>112175</v>
      </c>
      <c r="S30" s="2731">
        <v>1987683.4469299999</v>
      </c>
      <c r="T30" s="2731">
        <v>30</v>
      </c>
      <c r="U30" s="2731"/>
      <c r="V30" s="2731">
        <f>SUM(B30:U30)</f>
        <v>23575070.699483648</v>
      </c>
      <c r="W30" s="58"/>
    </row>
    <row r="31" spans="1:24">
      <c r="A31" s="2504" t="s">
        <v>722</v>
      </c>
      <c r="B31" s="2734">
        <v>4449</v>
      </c>
      <c r="C31" s="2734">
        <v>7623</v>
      </c>
      <c r="D31" s="2735">
        <v>13310.683964661497</v>
      </c>
      <c r="E31" s="2734">
        <v>4177.3700000000008</v>
      </c>
      <c r="F31" s="2734">
        <v>-118</v>
      </c>
      <c r="G31" s="2731">
        <v>385.5025901412705</v>
      </c>
      <c r="H31" s="2731">
        <v>54921</v>
      </c>
      <c r="I31" s="2731">
        <v>0</v>
      </c>
      <c r="J31" s="2731"/>
      <c r="K31" s="2731">
        <v>4689.0336699999998</v>
      </c>
      <c r="L31" s="2731">
        <v>0</v>
      </c>
      <c r="M31" s="2731"/>
      <c r="N31" s="2731">
        <v>0</v>
      </c>
      <c r="O31" s="2731"/>
      <c r="P31" s="2731">
        <v>0</v>
      </c>
      <c r="Q31" s="2731">
        <v>68525.751139999978</v>
      </c>
      <c r="R31" s="2731">
        <v>0</v>
      </c>
      <c r="S31" s="2731">
        <v>32019.204879999998</v>
      </c>
      <c r="T31" s="2731">
        <v>0</v>
      </c>
      <c r="U31" s="2731"/>
      <c r="V31" s="2731">
        <f>SUM(B31:U31)</f>
        <v>189982.54624480274</v>
      </c>
      <c r="W31" s="58"/>
    </row>
    <row r="32" spans="1:24">
      <c r="A32" s="2504" t="s">
        <v>440</v>
      </c>
      <c r="B32" s="2734">
        <v>88661.172119999974</v>
      </c>
      <c r="C32" s="2734">
        <v>147364</v>
      </c>
      <c r="D32" s="2735">
        <v>307297.38688533846</v>
      </c>
      <c r="E32" s="2734">
        <v>140432.51300000004</v>
      </c>
      <c r="F32" s="2734">
        <v>224997</v>
      </c>
      <c r="G32" s="2731">
        <v>16229.325792022566</v>
      </c>
      <c r="H32" s="2731">
        <v>1404997</v>
      </c>
      <c r="I32" s="2731">
        <v>105451.65486000001</v>
      </c>
      <c r="J32" s="2731"/>
      <c r="K32" s="2731">
        <v>85161.766959999979</v>
      </c>
      <c r="L32" s="2731">
        <v>524599.49359999993</v>
      </c>
      <c r="M32" s="2731"/>
      <c r="N32" s="2731">
        <v>34702.252620000014</v>
      </c>
      <c r="O32" s="2731"/>
      <c r="P32" s="2731">
        <v>111665</v>
      </c>
      <c r="Q32" s="2731">
        <v>1920732.3758600007</v>
      </c>
      <c r="R32" s="2731">
        <v>50110</v>
      </c>
      <c r="S32" s="2731">
        <v>945674.49907999998</v>
      </c>
      <c r="T32" s="2731">
        <v>0</v>
      </c>
      <c r="U32" s="2731"/>
      <c r="V32" s="2731">
        <f>SUM(B32:U32)</f>
        <v>6108075.4407773614</v>
      </c>
      <c r="W32" s="58"/>
    </row>
    <row r="33" spans="1:24">
      <c r="A33" s="2736" t="s">
        <v>118</v>
      </c>
      <c r="B33" s="2737">
        <f>SUM(B28:B32)</f>
        <v>347577.65288999997</v>
      </c>
      <c r="C33" s="2737">
        <f t="shared" ref="C33:V33" si="3">SUM(C28:C32)</f>
        <v>336747</v>
      </c>
      <c r="D33" s="2737">
        <f>SUM(D28:D32)</f>
        <v>2245730.87531</v>
      </c>
      <c r="E33" s="2737">
        <f t="shared" si="3"/>
        <v>778996.65</v>
      </c>
      <c r="F33" s="2737">
        <f>SUM(F28:F32)</f>
        <v>355051</v>
      </c>
      <c r="G33" s="2737">
        <f t="shared" si="3"/>
        <v>571240.80678300932</v>
      </c>
      <c r="H33" s="2737">
        <f t="shared" si="3"/>
        <v>7782907</v>
      </c>
      <c r="I33" s="2737">
        <f t="shared" si="3"/>
        <v>728592.64008999988</v>
      </c>
      <c r="J33" s="2737">
        <f t="shared" si="3"/>
        <v>0</v>
      </c>
      <c r="K33" s="2737">
        <f t="shared" si="3"/>
        <v>1161949.0492199999</v>
      </c>
      <c r="L33" s="2737">
        <f>SUM(L28:L32)</f>
        <v>4233269.9301899793</v>
      </c>
      <c r="M33" s="2737">
        <f t="shared" si="3"/>
        <v>50594.218070000003</v>
      </c>
      <c r="N33" s="2737">
        <f t="shared" si="3"/>
        <v>388318.25262000004</v>
      </c>
      <c r="O33" s="2737">
        <f t="shared" si="3"/>
        <v>0</v>
      </c>
      <c r="P33" s="2737">
        <f t="shared" si="3"/>
        <v>1477971</v>
      </c>
      <c r="Q33" s="2737">
        <f t="shared" si="3"/>
        <v>8069862.8586200019</v>
      </c>
      <c r="R33" s="2737">
        <f t="shared" si="3"/>
        <v>168164</v>
      </c>
      <c r="S33" s="2737">
        <f t="shared" si="3"/>
        <v>3120388.89714</v>
      </c>
      <c r="T33" s="2737">
        <f t="shared" si="3"/>
        <v>35</v>
      </c>
      <c r="U33" s="2737">
        <f t="shared" si="3"/>
        <v>0</v>
      </c>
      <c r="V33" s="2737">
        <f t="shared" si="3"/>
        <v>31817396.830932993</v>
      </c>
      <c r="W33" s="375" t="e">
        <f>+#REF!</f>
        <v>#REF!</v>
      </c>
      <c r="X33" s="14" t="e">
        <f>+V33-W33</f>
        <v>#REF!</v>
      </c>
    </row>
    <row r="34" spans="1:24">
      <c r="A34" s="44"/>
      <c r="B34" s="377"/>
      <c r="C34" s="377"/>
      <c r="D34" s="377"/>
      <c r="E34" s="378"/>
      <c r="F34" s="378"/>
    </row>
    <row r="36" spans="1:24">
      <c r="A36" s="2725" t="s">
        <v>733</v>
      </c>
      <c r="B36" s="3168"/>
      <c r="C36" s="3168"/>
      <c r="D36" s="3168"/>
      <c r="E36" s="3168"/>
      <c r="F36" s="2738"/>
    </row>
    <row r="37" spans="1:24">
      <c r="A37" s="3604" t="s">
        <v>730</v>
      </c>
      <c r="B37" s="373">
        <v>1</v>
      </c>
      <c r="C37" s="373">
        <v>2</v>
      </c>
      <c r="D37" s="373">
        <v>3</v>
      </c>
      <c r="E37" s="373">
        <v>4</v>
      </c>
      <c r="F37" s="373">
        <v>5</v>
      </c>
      <c r="G37" s="373">
        <v>6</v>
      </c>
      <c r="H37" s="373">
        <v>7</v>
      </c>
      <c r="I37" s="373">
        <v>8</v>
      </c>
      <c r="J37" s="373">
        <v>9</v>
      </c>
      <c r="K37" s="373">
        <v>10</v>
      </c>
      <c r="L37" s="373">
        <v>11</v>
      </c>
      <c r="M37" s="373">
        <v>12</v>
      </c>
      <c r="N37" s="373">
        <v>13</v>
      </c>
      <c r="O37" s="373">
        <v>14</v>
      </c>
      <c r="P37" s="373">
        <v>15</v>
      </c>
      <c r="Q37" s="373">
        <v>16</v>
      </c>
      <c r="R37" s="373">
        <v>17</v>
      </c>
      <c r="S37" s="373">
        <v>18</v>
      </c>
      <c r="T37" s="373">
        <v>19</v>
      </c>
      <c r="U37" s="373">
        <v>20</v>
      </c>
      <c r="V37" s="374"/>
    </row>
    <row r="38" spans="1:24">
      <c r="A38" s="3604"/>
      <c r="B38" s="2727" t="s">
        <v>177</v>
      </c>
      <c r="C38" s="2727" t="s">
        <v>179</v>
      </c>
      <c r="D38" s="2727" t="s">
        <v>181</v>
      </c>
      <c r="E38" s="2727" t="s">
        <v>182</v>
      </c>
      <c r="F38" s="2727" t="s">
        <v>183</v>
      </c>
      <c r="G38" s="2727" t="s">
        <v>184</v>
      </c>
      <c r="H38" s="2728" t="s">
        <v>185</v>
      </c>
      <c r="I38" s="2727" t="s">
        <v>186</v>
      </c>
      <c r="J38" s="2727" t="s">
        <v>187</v>
      </c>
      <c r="K38" s="2727" t="s">
        <v>188</v>
      </c>
      <c r="L38" s="2727" t="s">
        <v>189</v>
      </c>
      <c r="M38" s="2727" t="s">
        <v>191</v>
      </c>
      <c r="N38" s="2727" t="s">
        <v>192</v>
      </c>
      <c r="O38" s="2727" t="s">
        <v>702</v>
      </c>
      <c r="P38" s="2727" t="s">
        <v>194</v>
      </c>
      <c r="Q38" s="2727" t="s">
        <v>115</v>
      </c>
      <c r="R38" s="2727" t="s">
        <v>196</v>
      </c>
      <c r="S38" s="2727" t="s">
        <v>197</v>
      </c>
      <c r="T38" s="2727" t="s">
        <v>193</v>
      </c>
      <c r="U38" s="2727" t="s">
        <v>110</v>
      </c>
      <c r="V38" s="2730" t="s">
        <v>118</v>
      </c>
    </row>
    <row r="39" spans="1:24">
      <c r="A39" s="2504" t="s">
        <v>436</v>
      </c>
      <c r="B39" s="2731">
        <v>1228</v>
      </c>
      <c r="C39" s="2731">
        <v>96193</v>
      </c>
      <c r="D39" s="2731">
        <v>77802.732860000076</v>
      </c>
      <c r="E39" s="2731">
        <v>10377.061</v>
      </c>
      <c r="F39" s="2731">
        <v>16021</v>
      </c>
      <c r="G39" s="2731">
        <v>12977</v>
      </c>
      <c r="H39" s="2732">
        <v>384804</v>
      </c>
      <c r="I39" s="2731">
        <v>22163.706549999999</v>
      </c>
      <c r="J39" s="2731"/>
      <c r="K39" s="2731">
        <v>30327</v>
      </c>
      <c r="L39" s="2731">
        <v>83180.187950000036</v>
      </c>
      <c r="M39" s="2731"/>
      <c r="N39" s="2731">
        <v>628.73019999999838</v>
      </c>
      <c r="O39" s="2731"/>
      <c r="P39" s="2731">
        <v>7974</v>
      </c>
      <c r="Q39" s="2731">
        <v>299561.5532000002</v>
      </c>
      <c r="R39" s="2731">
        <v>5226</v>
      </c>
      <c r="S39" s="2731">
        <v>49722.125179999974</v>
      </c>
      <c r="T39" s="2731"/>
      <c r="U39" s="2731"/>
      <c r="V39" s="2731">
        <f>SUM(B39:U39)</f>
        <v>1098186.0969400003</v>
      </c>
      <c r="W39" s="58"/>
    </row>
    <row r="40" spans="1:24">
      <c r="A40" s="2504" t="s">
        <v>437</v>
      </c>
      <c r="B40" s="2731">
        <v>5810</v>
      </c>
      <c r="C40" s="2731">
        <v>7885</v>
      </c>
      <c r="D40" s="2731">
        <v>57221.429510000002</v>
      </c>
      <c r="E40" s="2731">
        <v>30924</v>
      </c>
      <c r="F40" s="2731">
        <v>59629</v>
      </c>
      <c r="G40" s="2731">
        <v>399.7399999999995</v>
      </c>
      <c r="H40" s="2731">
        <v>221194</v>
      </c>
      <c r="I40" s="2731">
        <v>9161.1163699999979</v>
      </c>
      <c r="J40" s="2731"/>
      <c r="K40" s="2731">
        <v>4347</v>
      </c>
      <c r="L40" s="2731">
        <v>53024.702639999996</v>
      </c>
      <c r="M40" s="2731"/>
      <c r="N40" s="2731">
        <v>2915.6246100000008</v>
      </c>
      <c r="O40" s="2731"/>
      <c r="P40" s="2731">
        <v>944</v>
      </c>
      <c r="Q40" s="2731">
        <v>124253.36211000005</v>
      </c>
      <c r="R40" s="2731">
        <v>0</v>
      </c>
      <c r="S40" s="2731">
        <v>96766.83063000004</v>
      </c>
      <c r="T40" s="2731"/>
      <c r="U40" s="2731"/>
      <c r="V40" s="2731">
        <f>SUM(B40:U40)</f>
        <v>674475.80587000004</v>
      </c>
      <c r="W40" s="58"/>
    </row>
    <row r="41" spans="1:24">
      <c r="A41" s="2504" t="s">
        <v>438</v>
      </c>
      <c r="B41" s="2734">
        <v>195929</v>
      </c>
      <c r="C41" s="2734">
        <v>71375</v>
      </c>
      <c r="D41" s="2735">
        <v>1277150.35537</v>
      </c>
      <c r="E41" s="2734">
        <v>444384.6</v>
      </c>
      <c r="F41" s="2734">
        <v>67181</v>
      </c>
      <c r="G41" s="2731">
        <v>61955.084000000003</v>
      </c>
      <c r="H41" s="2731">
        <v>5295407</v>
      </c>
      <c r="I41" s="2731">
        <v>425607.61602000002</v>
      </c>
      <c r="J41" s="2731"/>
      <c r="K41" s="2731">
        <v>769922</v>
      </c>
      <c r="L41" s="2731">
        <v>3177981.5238199998</v>
      </c>
      <c r="M41" s="2731"/>
      <c r="N41" s="2731">
        <v>310691.52703</v>
      </c>
      <c r="O41" s="2731"/>
      <c r="P41" s="2731">
        <v>191685</v>
      </c>
      <c r="Q41" s="2731">
        <v>4305077.0586300008</v>
      </c>
      <c r="R41" s="2731">
        <v>91789</v>
      </c>
      <c r="S41" s="2731">
        <v>1670750.9310699997</v>
      </c>
      <c r="T41" s="2731"/>
      <c r="U41" s="2731"/>
      <c r="V41" s="2731">
        <f>SUM(B41:U41)</f>
        <v>18356886.695939999</v>
      </c>
      <c r="W41" s="58"/>
    </row>
    <row r="42" spans="1:24">
      <c r="A42" s="2504" t="s">
        <v>722</v>
      </c>
      <c r="B42" s="2734">
        <v>0</v>
      </c>
      <c r="C42" s="2734">
        <v>5117</v>
      </c>
      <c r="D42" s="2735">
        <v>35833.748161499519</v>
      </c>
      <c r="E42" s="2734">
        <v>3587.8</v>
      </c>
      <c r="F42" s="2734">
        <v>1918</v>
      </c>
      <c r="G42" s="2731">
        <v>0</v>
      </c>
      <c r="H42" s="2731">
        <v>93179</v>
      </c>
      <c r="I42" s="2731">
        <v>0</v>
      </c>
      <c r="J42" s="2731"/>
      <c r="K42" s="2731">
        <v>4484</v>
      </c>
      <c r="L42" s="2731">
        <v>0</v>
      </c>
      <c r="M42" s="2731"/>
      <c r="N42" s="2731">
        <v>0</v>
      </c>
      <c r="O42" s="2731"/>
      <c r="P42" s="2731">
        <v>0</v>
      </c>
      <c r="Q42" s="2731">
        <v>79320.056850000008</v>
      </c>
      <c r="R42" s="2731">
        <v>0</v>
      </c>
      <c r="S42" s="2731">
        <v>27349.42931</v>
      </c>
      <c r="T42" s="2731"/>
      <c r="U42" s="2731"/>
      <c r="V42" s="2731">
        <f>SUM(B42:U42)</f>
        <v>250789.03432149955</v>
      </c>
      <c r="W42" s="58"/>
    </row>
    <row r="43" spans="1:24">
      <c r="A43" s="2504" t="s">
        <v>440</v>
      </c>
      <c r="B43" s="2734">
        <v>74894</v>
      </c>
      <c r="C43" s="2734">
        <v>112867</v>
      </c>
      <c r="D43" s="2735">
        <v>597887.92689850053</v>
      </c>
      <c r="E43" s="2734">
        <v>224261.9</v>
      </c>
      <c r="F43" s="2734">
        <v>287484</v>
      </c>
      <c r="G43" s="2731">
        <v>2111.336000000003</v>
      </c>
      <c r="H43" s="2731">
        <v>1254576</v>
      </c>
      <c r="I43" s="2731">
        <v>87365.471450000026</v>
      </c>
      <c r="J43" s="2731"/>
      <c r="K43" s="2731">
        <v>49997</v>
      </c>
      <c r="L43" s="2731">
        <v>483805.63531000004</v>
      </c>
      <c r="M43" s="2731"/>
      <c r="N43" s="2731">
        <v>22862.317689999996</v>
      </c>
      <c r="O43" s="2731"/>
      <c r="P43" s="2731">
        <v>30865</v>
      </c>
      <c r="Q43" s="2731">
        <v>1225973.8938278002</v>
      </c>
      <c r="R43" s="2731">
        <v>97669</v>
      </c>
      <c r="S43" s="2731">
        <v>478738.84320000012</v>
      </c>
      <c r="T43" s="2731"/>
      <c r="U43" s="2731"/>
      <c r="V43" s="2731">
        <f>SUM(B43:U43)</f>
        <v>5031359.3243763</v>
      </c>
      <c r="W43" s="58"/>
    </row>
    <row r="44" spans="1:24">
      <c r="A44" s="2736" t="s">
        <v>118</v>
      </c>
      <c r="B44" s="2737">
        <f>SUM(B39:B43)</f>
        <v>277861</v>
      </c>
      <c r="C44" s="2737">
        <f t="shared" ref="C44:V44" si="4">SUM(C39:C43)</f>
        <v>293437</v>
      </c>
      <c r="D44" s="2737">
        <f>SUM(D39:D43)</f>
        <v>2045896.1928000003</v>
      </c>
      <c r="E44" s="2737">
        <f t="shared" si="4"/>
        <v>713535.36099999992</v>
      </c>
      <c r="F44" s="2737">
        <f t="shared" si="4"/>
        <v>432233</v>
      </c>
      <c r="G44" s="2737">
        <f t="shared" si="4"/>
        <v>77443.16</v>
      </c>
      <c r="H44" s="2737">
        <f>SUM(H39:H43)</f>
        <v>7249160</v>
      </c>
      <c r="I44" s="2737">
        <f t="shared" si="4"/>
        <v>544297.91039000009</v>
      </c>
      <c r="J44" s="2737">
        <f t="shared" si="4"/>
        <v>0</v>
      </c>
      <c r="K44" s="2737">
        <f t="shared" si="4"/>
        <v>859077</v>
      </c>
      <c r="L44" s="2737">
        <f t="shared" si="4"/>
        <v>3797992.0497199995</v>
      </c>
      <c r="M44" s="2737">
        <f t="shared" si="4"/>
        <v>0</v>
      </c>
      <c r="N44" s="2737">
        <f t="shared" si="4"/>
        <v>337098.19952999998</v>
      </c>
      <c r="O44" s="2737">
        <f t="shared" si="4"/>
        <v>0</v>
      </c>
      <c r="P44" s="2737">
        <f t="shared" si="4"/>
        <v>231468</v>
      </c>
      <c r="Q44" s="2737">
        <f t="shared" si="4"/>
        <v>6034185.9246178009</v>
      </c>
      <c r="R44" s="2737">
        <f t="shared" si="4"/>
        <v>194684</v>
      </c>
      <c r="S44" s="2737">
        <f t="shared" si="4"/>
        <v>2323328.1593899997</v>
      </c>
      <c r="T44" s="2737">
        <f t="shared" si="4"/>
        <v>0</v>
      </c>
      <c r="U44" s="2737">
        <f t="shared" si="4"/>
        <v>0</v>
      </c>
      <c r="V44" s="2737">
        <f t="shared" si="4"/>
        <v>25411696.957447797</v>
      </c>
      <c r="W44" s="375" t="e">
        <f>+#REF!</f>
        <v>#REF!</v>
      </c>
      <c r="X44" s="14" t="e">
        <f>+V44-W44</f>
        <v>#REF!</v>
      </c>
    </row>
    <row r="47" spans="1:24">
      <c r="A47" s="2725" t="s">
        <v>734</v>
      </c>
      <c r="B47" s="3168"/>
      <c r="C47" s="3168"/>
      <c r="D47" s="3168"/>
      <c r="E47" s="3168"/>
      <c r="F47" s="2738"/>
    </row>
    <row r="48" spans="1:24">
      <c r="A48" s="3604" t="s">
        <v>730</v>
      </c>
      <c r="B48" s="373">
        <v>1</v>
      </c>
      <c r="C48" s="373">
        <v>2</v>
      </c>
      <c r="D48" s="373">
        <v>3</v>
      </c>
      <c r="E48" s="373">
        <v>4</v>
      </c>
      <c r="F48" s="373">
        <v>5</v>
      </c>
      <c r="G48" s="373">
        <v>6</v>
      </c>
      <c r="H48" s="373">
        <v>7</v>
      </c>
      <c r="I48" s="373">
        <v>8</v>
      </c>
      <c r="J48" s="373">
        <v>9</v>
      </c>
      <c r="K48" s="373">
        <v>10</v>
      </c>
      <c r="L48" s="373">
        <v>11</v>
      </c>
      <c r="M48" s="373">
        <v>12</v>
      </c>
      <c r="N48" s="373">
        <v>13</v>
      </c>
      <c r="O48" s="373">
        <v>14</v>
      </c>
      <c r="P48" s="373">
        <v>15</v>
      </c>
      <c r="Q48" s="373">
        <v>16</v>
      </c>
      <c r="R48" s="373">
        <v>17</v>
      </c>
      <c r="S48" s="373">
        <v>18</v>
      </c>
      <c r="T48" s="373">
        <v>19</v>
      </c>
      <c r="U48" s="373">
        <v>20</v>
      </c>
      <c r="V48" s="374"/>
    </row>
    <row r="49" spans="1:24">
      <c r="A49" s="3604"/>
      <c r="B49" s="2727" t="s">
        <v>177</v>
      </c>
      <c r="C49" s="2727" t="s">
        <v>179</v>
      </c>
      <c r="D49" s="2727" t="s">
        <v>181</v>
      </c>
      <c r="E49" s="2727" t="s">
        <v>182</v>
      </c>
      <c r="F49" s="2727" t="s">
        <v>183</v>
      </c>
      <c r="G49" s="2727" t="s">
        <v>184</v>
      </c>
      <c r="H49" s="2728" t="s">
        <v>185</v>
      </c>
      <c r="I49" s="2727" t="s">
        <v>186</v>
      </c>
      <c r="J49" s="2727" t="s">
        <v>187</v>
      </c>
      <c r="K49" s="2727" t="s">
        <v>188</v>
      </c>
      <c r="L49" s="2727" t="s">
        <v>189</v>
      </c>
      <c r="M49" s="2727" t="s">
        <v>191</v>
      </c>
      <c r="N49" s="2727" t="s">
        <v>192</v>
      </c>
      <c r="O49" s="2727" t="s">
        <v>702</v>
      </c>
      <c r="P49" s="2727" t="s">
        <v>194</v>
      </c>
      <c r="Q49" s="2727" t="s">
        <v>115</v>
      </c>
      <c r="R49" s="2727" t="s">
        <v>196</v>
      </c>
      <c r="S49" s="2727" t="s">
        <v>197</v>
      </c>
      <c r="T49" s="2727" t="s">
        <v>193</v>
      </c>
      <c r="U49" s="2727" t="s">
        <v>110</v>
      </c>
      <c r="V49" s="2730" t="s">
        <v>118</v>
      </c>
    </row>
    <row r="50" spans="1:24">
      <c r="A50" s="2504" t="s">
        <v>436</v>
      </c>
      <c r="B50" s="2731">
        <v>5176</v>
      </c>
      <c r="C50" s="2731">
        <v>68601</v>
      </c>
      <c r="D50" s="2731">
        <v>69460</v>
      </c>
      <c r="E50" s="2731">
        <v>12752</v>
      </c>
      <c r="F50" s="2731">
        <v>19719</v>
      </c>
      <c r="G50" s="2731"/>
      <c r="H50" s="2732">
        <v>381908</v>
      </c>
      <c r="I50" s="2731">
        <v>21455.616030000001</v>
      </c>
      <c r="J50" s="2731">
        <v>-2096.9499999999998</v>
      </c>
      <c r="K50" s="2731">
        <v>29370</v>
      </c>
      <c r="L50" s="2731">
        <v>125641</v>
      </c>
      <c r="M50" s="2731"/>
      <c r="N50" s="2731">
        <v>10096.02855784364</v>
      </c>
      <c r="O50" s="2731"/>
      <c r="P50" s="2731"/>
      <c r="Q50" s="2731">
        <v>390632.6245200003</v>
      </c>
      <c r="R50" s="2731">
        <v>2360</v>
      </c>
      <c r="S50" s="2731">
        <v>64083.609249999994</v>
      </c>
      <c r="T50" s="2731"/>
      <c r="U50" s="2731"/>
      <c r="V50" s="2731">
        <f>SUM(B50:U50)</f>
        <v>1199157.928357844</v>
      </c>
      <c r="W50" s="58"/>
      <c r="X50" s="58"/>
    </row>
    <row r="51" spans="1:24">
      <c r="A51" s="2504" t="s">
        <v>437</v>
      </c>
      <c r="B51" s="2731">
        <v>10089</v>
      </c>
      <c r="C51" s="2731">
        <v>7748</v>
      </c>
      <c r="D51" s="2731">
        <v>33867</v>
      </c>
      <c r="E51" s="2731">
        <v>16555</v>
      </c>
      <c r="F51" s="2731">
        <v>35728</v>
      </c>
      <c r="G51" s="2731"/>
      <c r="H51" s="2731">
        <v>172084</v>
      </c>
      <c r="I51" s="2731">
        <v>7821.7777000000006</v>
      </c>
      <c r="J51" s="2731">
        <v>32.299999999999997</v>
      </c>
      <c r="K51" s="2731">
        <v>4002</v>
      </c>
      <c r="L51" s="2731">
        <v>57180</v>
      </c>
      <c r="M51" s="2731"/>
      <c r="N51" s="2731">
        <v>9162.8504104176427</v>
      </c>
      <c r="O51" s="2731"/>
      <c r="P51" s="2731"/>
      <c r="Q51" s="2731">
        <v>129858.24541000005</v>
      </c>
      <c r="R51" s="2731">
        <v>0</v>
      </c>
      <c r="S51" s="2731">
        <v>96204.737120000005</v>
      </c>
      <c r="T51" s="2731"/>
      <c r="U51" s="2731"/>
      <c r="V51" s="2731">
        <f>SUM(B51:U51)</f>
        <v>580332.9106404176</v>
      </c>
      <c r="W51" s="58"/>
      <c r="X51" s="58"/>
    </row>
    <row r="52" spans="1:24">
      <c r="A52" s="2504" t="s">
        <v>438</v>
      </c>
      <c r="B52" s="2734">
        <v>218930</v>
      </c>
      <c r="C52" s="2734">
        <v>54282</v>
      </c>
      <c r="D52" s="2735">
        <v>798850</v>
      </c>
      <c r="E52" s="2734">
        <v>321752</v>
      </c>
      <c r="F52" s="2734">
        <v>86454</v>
      </c>
      <c r="G52" s="2731"/>
      <c r="H52" s="2731">
        <v>5671501</v>
      </c>
      <c r="I52" s="2731">
        <v>403418.15091000003</v>
      </c>
      <c r="J52" s="2731">
        <v>79524.38</v>
      </c>
      <c r="K52" s="2731">
        <v>614442</v>
      </c>
      <c r="L52" s="2731">
        <v>2830132</v>
      </c>
      <c r="M52" s="2731"/>
      <c r="N52" s="2731">
        <v>166844.13816718207</v>
      </c>
      <c r="O52" s="2731"/>
      <c r="P52" s="2731"/>
      <c r="Q52" s="2731">
        <v>4696672.8619799996</v>
      </c>
      <c r="R52" s="2731">
        <v>78964</v>
      </c>
      <c r="S52" s="2731">
        <v>1571815.4141500001</v>
      </c>
      <c r="T52" s="2731"/>
      <c r="U52" s="2731"/>
      <c r="V52" s="2731">
        <f>SUM(B52:U52)</f>
        <v>17593581.945207182</v>
      </c>
      <c r="W52" s="58"/>
      <c r="X52" s="58"/>
    </row>
    <row r="53" spans="1:24">
      <c r="A53" s="2504" t="s">
        <v>722</v>
      </c>
      <c r="B53" s="2734">
        <v>0</v>
      </c>
      <c r="C53" s="2734">
        <v>0</v>
      </c>
      <c r="D53" s="2735">
        <v>2957.5775193798449</v>
      </c>
      <c r="E53" s="2734">
        <v>3593</v>
      </c>
      <c r="F53" s="2734">
        <v>1914</v>
      </c>
      <c r="G53" s="2731"/>
      <c r="H53" s="2731">
        <v>95839</v>
      </c>
      <c r="I53" s="2731">
        <v>0</v>
      </c>
      <c r="J53" s="2731">
        <v>0</v>
      </c>
      <c r="K53" s="2731">
        <v>3844</v>
      </c>
      <c r="L53" s="2731">
        <v>0</v>
      </c>
      <c r="M53" s="2731"/>
      <c r="N53" s="2731">
        <v>0</v>
      </c>
      <c r="O53" s="2731"/>
      <c r="P53" s="2731"/>
      <c r="Q53" s="2731">
        <v>68705.563810000007</v>
      </c>
      <c r="R53" s="2731">
        <v>0</v>
      </c>
      <c r="S53" s="2731">
        <v>28216.531650000004</v>
      </c>
      <c r="T53" s="2731"/>
      <c r="U53" s="2731"/>
      <c r="V53" s="2731">
        <f>SUM(B53:U53)</f>
        <v>205069.67297937989</v>
      </c>
      <c r="W53" s="58"/>
      <c r="X53" s="58"/>
    </row>
    <row r="54" spans="1:24">
      <c r="A54" s="2504" t="s">
        <v>440</v>
      </c>
      <c r="B54" s="2734">
        <v>78356</v>
      </c>
      <c r="C54" s="2734">
        <v>134443</v>
      </c>
      <c r="D54" s="2735">
        <v>366817.42248062015</v>
      </c>
      <c r="E54" s="2734" t="s">
        <v>741</v>
      </c>
      <c r="F54" s="2734">
        <v>255391</v>
      </c>
      <c r="G54" s="2731"/>
      <c r="H54" s="2731">
        <v>1370063</v>
      </c>
      <c r="I54" s="2731">
        <v>101449.98006999999</v>
      </c>
      <c r="J54" s="2731">
        <v>7455.99</v>
      </c>
      <c r="K54" s="2731">
        <v>24281</v>
      </c>
      <c r="L54" s="2731">
        <v>559798</v>
      </c>
      <c r="M54" s="2731"/>
      <c r="N54" s="2731">
        <v>14038.982864556649</v>
      </c>
      <c r="O54" s="2731"/>
      <c r="P54" s="2731"/>
      <c r="Q54" s="2731">
        <v>1306670.4812964997</v>
      </c>
      <c r="R54" s="2731">
        <v>73901</v>
      </c>
      <c r="S54" s="2731">
        <v>443077</v>
      </c>
      <c r="T54" s="2731"/>
      <c r="U54" s="2731"/>
      <c r="V54" s="2731">
        <f>SUM(B54:U54)</f>
        <v>4735742.8567116773</v>
      </c>
      <c r="W54" s="58"/>
      <c r="X54" s="58"/>
    </row>
    <row r="55" spans="1:24">
      <c r="A55" s="2736" t="s">
        <v>118</v>
      </c>
      <c r="B55" s="2737">
        <f>SUM(B50:B54)</f>
        <v>312551</v>
      </c>
      <c r="C55" s="2737">
        <f t="shared" ref="C55:V55" si="5">SUM(C50:C54)</f>
        <v>265074</v>
      </c>
      <c r="D55" s="2737">
        <f>SUM(D50:D54)</f>
        <v>1271952</v>
      </c>
      <c r="E55" s="2737">
        <f t="shared" si="5"/>
        <v>354652</v>
      </c>
      <c r="F55" s="2737">
        <f t="shared" si="5"/>
        <v>399206</v>
      </c>
      <c r="G55" s="2737">
        <f t="shared" si="5"/>
        <v>0</v>
      </c>
      <c r="H55" s="2737">
        <f t="shared" si="5"/>
        <v>7691395</v>
      </c>
      <c r="I55" s="2737">
        <f t="shared" si="5"/>
        <v>534145.52471000003</v>
      </c>
      <c r="J55" s="2737">
        <f t="shared" si="5"/>
        <v>84915.720000000016</v>
      </c>
      <c r="K55" s="2737">
        <f t="shared" si="5"/>
        <v>675939</v>
      </c>
      <c r="L55" s="2737">
        <f t="shared" si="5"/>
        <v>3572751</v>
      </c>
      <c r="M55" s="2737">
        <f t="shared" si="5"/>
        <v>0</v>
      </c>
      <c r="N55" s="2737">
        <f t="shared" si="5"/>
        <v>200142</v>
      </c>
      <c r="O55" s="2737">
        <f t="shared" si="5"/>
        <v>0</v>
      </c>
      <c r="P55" s="2737">
        <f t="shared" si="5"/>
        <v>0</v>
      </c>
      <c r="Q55" s="2737">
        <f t="shared" si="5"/>
        <v>6592539.7770165</v>
      </c>
      <c r="R55" s="2737">
        <f t="shared" si="5"/>
        <v>155225</v>
      </c>
      <c r="S55" s="2737">
        <f t="shared" si="5"/>
        <v>2203397.2921700003</v>
      </c>
      <c r="T55" s="2737">
        <f t="shared" si="5"/>
        <v>0</v>
      </c>
      <c r="U55" s="2737">
        <f t="shared" si="5"/>
        <v>0</v>
      </c>
      <c r="V55" s="2737">
        <f t="shared" si="5"/>
        <v>24313885.313896503</v>
      </c>
      <c r="W55" s="375" t="e">
        <f>+#REF!</f>
        <v>#REF!</v>
      </c>
      <c r="X55" s="58" t="e">
        <f>+V55-W55</f>
        <v>#REF!</v>
      </c>
    </row>
    <row r="58" spans="1:24">
      <c r="J58" s="347"/>
    </row>
    <row r="59" spans="1:24">
      <c r="J59" s="347"/>
    </row>
    <row r="60" spans="1:24">
      <c r="J60" s="347"/>
    </row>
    <row r="61" spans="1:24">
      <c r="J61" s="347"/>
    </row>
    <row r="62" spans="1:24">
      <c r="J62" s="347"/>
    </row>
  </sheetData>
  <customSheetViews>
    <customSheetView guid="{2ACFE167-4169-43A6-9AB2-59D5A2DA2DB4}" showPageBreaks="1" printArea="1" state="hidden">
      <pane xSplit="1" ySplit="5" topLeftCell="P42" activePane="bottomRight" state="frozen"/>
      <selection pane="bottomRight" activeCell="S54" sqref="S54"/>
      <colBreaks count="1" manualBreakCount="1">
        <brk id="22" max="1048575" man="1"/>
      </colBreaks>
      <pageMargins left="0" right="0" top="0" bottom="0" header="0" footer="0"/>
      <pageSetup scale="43" orientation="landscape" r:id="rId1"/>
    </customSheetView>
    <customSheetView guid="{967E0446-E234-427F-8E57-7FE287052E2E}" showPageBreaks="1" printArea="1" state="hidden">
      <pane xSplit="1" ySplit="5" topLeftCell="P42" activePane="bottomRight" state="frozen"/>
      <selection pane="bottomRight" activeCell="S54" sqref="S54"/>
      <colBreaks count="1" manualBreakCount="1">
        <brk id="22" max="1048575" man="1"/>
      </colBreaks>
      <pageMargins left="0" right="0" top="0" bottom="0" header="0" footer="0"/>
      <pageSetup scale="43" orientation="landscape" r:id="rId2"/>
    </customSheetView>
    <customSheetView guid="{B2E1A0C6-5BA1-4CF1-B412-16D81FCDF11F}" showPageBreaks="1" printArea="1" state="hidden">
      <pane xSplit="1" ySplit="5" topLeftCell="P42" activePane="bottomRight" state="frozen"/>
      <selection pane="bottomRight" activeCell="S54" sqref="S54"/>
      <colBreaks count="1" manualBreakCount="1">
        <brk id="22" max="1048575" man="1"/>
      </colBreaks>
      <pageMargins left="0" right="0" top="0" bottom="0" header="0" footer="0"/>
      <pageSetup scale="43" orientation="landscape" r:id="rId3"/>
    </customSheetView>
    <customSheetView guid="{46F31544-8E6F-41C5-8628-1D6EE074AF15}" state="hidden">
      <pane xSplit="1" ySplit="5" topLeftCell="P42" activePane="bottomRight" state="frozen"/>
      <selection pane="bottomRight" activeCell="S54" sqref="S54"/>
      <colBreaks count="1" manualBreakCount="1">
        <brk id="22" max="1048575" man="1"/>
      </colBreaks>
      <pageMargins left="0" right="0" top="0" bottom="0" header="0" footer="0"/>
      <pageSetup scale="43" orientation="landscape" r:id="rId4"/>
    </customSheetView>
    <customSheetView guid="{B1E1B596-A9A1-411D-A882-A48CB025B978}" showPageBreaks="1" printArea="1" state="hidden">
      <pane xSplit="1" ySplit="5" topLeftCell="P42" activePane="bottomRight" state="frozen"/>
      <selection pane="bottomRight" activeCell="S54" sqref="S54"/>
      <colBreaks count="1" manualBreakCount="1">
        <brk id="22" max="1048575" man="1"/>
      </colBreaks>
      <pageMargins left="0" right="0" top="0" bottom="0" header="0" footer="0"/>
      <pageSetup scale="43" orientation="landscape" r:id="rId5"/>
    </customSheetView>
    <customSheetView guid="{5E394B0B-7867-4722-9497-A93AB2A9A773}" showPageBreaks="1" printArea="1" state="hidden">
      <pane xSplit="1" ySplit="5" topLeftCell="P42" activePane="bottomRight" state="frozen"/>
      <selection pane="bottomRight" activeCell="S54" sqref="S54"/>
      <colBreaks count="1" manualBreakCount="1">
        <brk id="22" max="1048575" man="1"/>
      </colBreaks>
      <pageMargins left="0" right="0" top="0" bottom="0" header="0" footer="0"/>
      <pageSetup scale="43" orientation="landscape" r:id="rId6"/>
    </customSheetView>
  </customSheetViews>
  <mergeCells count="5">
    <mergeCell ref="A4:A5"/>
    <mergeCell ref="A15:A16"/>
    <mergeCell ref="A26:A27"/>
    <mergeCell ref="A37:A38"/>
    <mergeCell ref="A48:A49"/>
  </mergeCells>
  <pageMargins left="0.7" right="0.7" top="0.75" bottom="0.75" header="0.3" footer="0.3"/>
  <pageSetup scale="43" orientation="landscape" r:id="rId7"/>
  <colBreaks count="1" manualBreakCount="1">
    <brk id="22" max="1048575" man="1"/>
  </col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J28"/>
  <sheetViews>
    <sheetView workbookViewId="0">
      <selection activeCell="F4" sqref="F4:H4"/>
    </sheetView>
  </sheetViews>
  <sheetFormatPr defaultRowHeight="14.45"/>
  <cols>
    <col min="2" max="2" width="13.42578125" bestFit="1" customWidth="1"/>
    <col min="3" max="3" width="17" customWidth="1"/>
    <col min="4" max="4" width="16.5703125" customWidth="1"/>
    <col min="5" max="5" width="12.7109375" customWidth="1"/>
    <col min="6" max="6" width="13.85546875" bestFit="1" customWidth="1"/>
    <col min="7" max="7" width="14.28515625" bestFit="1" customWidth="1"/>
    <col min="8" max="8" width="13.140625" customWidth="1"/>
  </cols>
  <sheetData>
    <row r="2" spans="1:10">
      <c r="B2" s="15" t="s">
        <v>119</v>
      </c>
      <c r="C2" s="15"/>
      <c r="D2" s="15"/>
      <c r="E2" s="15"/>
    </row>
    <row r="4" spans="1:10" ht="72">
      <c r="B4" s="1692" t="s">
        <v>84</v>
      </c>
      <c r="C4" s="1693" t="s">
        <v>120</v>
      </c>
      <c r="D4" s="1693" t="s">
        <v>121</v>
      </c>
      <c r="E4" s="1693" t="s">
        <v>122</v>
      </c>
      <c r="F4" s="1693" t="s">
        <v>88</v>
      </c>
      <c r="G4" s="1693" t="s">
        <v>89</v>
      </c>
      <c r="H4" s="1693" t="s">
        <v>123</v>
      </c>
    </row>
    <row r="5" spans="1:10" s="39" customFormat="1" ht="20.100000000000001" customHeight="1">
      <c r="A5" s="39">
        <v>1</v>
      </c>
      <c r="B5" s="1694" t="s">
        <v>124</v>
      </c>
      <c r="C5" s="1695">
        <v>2034084</v>
      </c>
      <c r="D5" s="1695">
        <v>1133240.01455</v>
      </c>
      <c r="E5" s="1695">
        <f>+C5+D5</f>
        <v>3167324.01455</v>
      </c>
      <c r="F5" s="1696">
        <f>+C5/$C$26*100</f>
        <v>5.428766541838435</v>
      </c>
      <c r="G5" s="1696">
        <f>+D5/$D$26*100</f>
        <v>2.2809303666419174</v>
      </c>
      <c r="H5" s="1696">
        <f>+E5/$E$26*100</f>
        <v>3.6342587537996711</v>
      </c>
    </row>
    <row r="6" spans="1:10" s="39" customFormat="1" ht="20.100000000000001" customHeight="1">
      <c r="A6" s="39">
        <v>2</v>
      </c>
      <c r="B6" s="1694" t="s">
        <v>95</v>
      </c>
      <c r="C6" s="1697">
        <v>100279.87854770001</v>
      </c>
      <c r="D6" s="1697">
        <v>0</v>
      </c>
      <c r="E6" s="1697">
        <f t="shared" ref="E6:E25" si="0">+C6+D6</f>
        <v>100279.87854770001</v>
      </c>
      <c r="F6" s="1696">
        <f t="shared" ref="F6:F25" si="1">+C6/$C$26*100</f>
        <v>0.26763695573996726</v>
      </c>
      <c r="G6" s="1696">
        <f t="shared" ref="G6:G25" si="2">+D6/$D$26*100</f>
        <v>0</v>
      </c>
      <c r="H6" s="1696">
        <f t="shared" ref="H6:H16" si="3">+E6/$E$26*100</f>
        <v>0.11506338624270027</v>
      </c>
    </row>
    <row r="7" spans="1:10" s="39" customFormat="1" ht="20.100000000000001" customHeight="1">
      <c r="A7" s="39">
        <v>3</v>
      </c>
      <c r="B7" s="1698" t="s">
        <v>91</v>
      </c>
      <c r="C7" s="1695">
        <v>0</v>
      </c>
      <c r="D7" s="1695">
        <v>1397128</v>
      </c>
      <c r="E7" s="1695">
        <f t="shared" si="0"/>
        <v>1397128</v>
      </c>
      <c r="F7" s="1696">
        <f t="shared" si="1"/>
        <v>0</v>
      </c>
      <c r="G7" s="1696">
        <f t="shared" si="2"/>
        <v>2.8120712650189295</v>
      </c>
      <c r="H7" s="1696">
        <f t="shared" si="3"/>
        <v>1.6030960649600672</v>
      </c>
    </row>
    <row r="8" spans="1:10" s="39" customFormat="1" ht="20.100000000000001" customHeight="1">
      <c r="A8" s="39">
        <v>4</v>
      </c>
      <c r="B8" s="1694" t="s">
        <v>92</v>
      </c>
      <c r="C8" s="1695">
        <v>532141.81854000001</v>
      </c>
      <c r="D8" s="1695">
        <v>0</v>
      </c>
      <c r="E8" s="1695">
        <f t="shared" si="0"/>
        <v>532141.81854000001</v>
      </c>
      <c r="F8" s="1696">
        <f t="shared" si="1"/>
        <v>1.4202332352071063</v>
      </c>
      <c r="G8" s="1696">
        <f t="shared" si="2"/>
        <v>0</v>
      </c>
      <c r="H8" s="1696">
        <f t="shared" si="3"/>
        <v>0.61059148145493336</v>
      </c>
    </row>
    <row r="9" spans="1:10" s="39" customFormat="1" ht="20.100000000000001" customHeight="1">
      <c r="A9" s="39">
        <v>5</v>
      </c>
      <c r="B9" s="1694" t="s">
        <v>125</v>
      </c>
      <c r="C9" s="1695">
        <v>6495863</v>
      </c>
      <c r="D9" s="1695">
        <v>2143252.6117200004</v>
      </c>
      <c r="E9" s="1695">
        <f>+C9+D9</f>
        <v>8639115.6117199995</v>
      </c>
      <c r="F9" s="1696">
        <f>+C9/$C$26*100</f>
        <v>17.336807975858541</v>
      </c>
      <c r="G9" s="1696">
        <f t="shared" si="2"/>
        <v>4.3138345828689895</v>
      </c>
      <c r="H9" s="1696">
        <f t="shared" si="3"/>
        <v>9.9127154003666202</v>
      </c>
    </row>
    <row r="10" spans="1:10" s="39" customFormat="1" ht="20.100000000000001" customHeight="1">
      <c r="A10" s="39">
        <v>6</v>
      </c>
      <c r="B10" s="1694" t="s">
        <v>126</v>
      </c>
      <c r="C10" s="1695">
        <v>359918.88299999997</v>
      </c>
      <c r="D10" s="1695">
        <v>1125837.3460000001</v>
      </c>
      <c r="E10" s="1695">
        <f>+C10+D10</f>
        <v>1485756.2290000001</v>
      </c>
      <c r="F10" s="1696">
        <f t="shared" si="1"/>
        <v>0.96058746335267475</v>
      </c>
      <c r="G10" s="1696">
        <f t="shared" si="2"/>
        <v>2.2660306355407482</v>
      </c>
      <c r="H10" s="1696">
        <f t="shared" si="3"/>
        <v>1.7047900866633614</v>
      </c>
      <c r="J10" s="197"/>
    </row>
    <row r="11" spans="1:10" s="39" customFormat="1" ht="20.100000000000001" customHeight="1">
      <c r="A11" s="39">
        <v>7</v>
      </c>
      <c r="B11" s="1698" t="s">
        <v>127</v>
      </c>
      <c r="C11" s="1695">
        <v>0</v>
      </c>
      <c r="D11" s="1695">
        <v>819447.65761999995</v>
      </c>
      <c r="E11" s="1695">
        <f t="shared" si="0"/>
        <v>819447.65761999995</v>
      </c>
      <c r="F11" s="1696">
        <f t="shared" si="1"/>
        <v>0</v>
      </c>
      <c r="G11" s="1696">
        <f t="shared" si="2"/>
        <v>1.6493443773085013</v>
      </c>
      <c r="H11" s="1696">
        <f t="shared" si="3"/>
        <v>0.94025265786052992</v>
      </c>
    </row>
    <row r="12" spans="1:10" s="39" customFormat="1" ht="20.100000000000001" customHeight="1">
      <c r="A12" s="39">
        <v>8</v>
      </c>
      <c r="B12" s="1698" t="s">
        <v>128</v>
      </c>
      <c r="C12" s="1699">
        <v>0</v>
      </c>
      <c r="D12" s="1699">
        <v>1545225.9585578861</v>
      </c>
      <c r="E12" s="1699">
        <f t="shared" si="0"/>
        <v>1545225.9585578861</v>
      </c>
      <c r="F12" s="1696">
        <f t="shared" si="1"/>
        <v>0</v>
      </c>
      <c r="G12" s="1696">
        <f t="shared" si="2"/>
        <v>3.110155630709543</v>
      </c>
      <c r="H12" s="1696">
        <f t="shared" si="3"/>
        <v>1.7730269908256757</v>
      </c>
    </row>
    <row r="13" spans="1:10" s="39" customFormat="1" ht="20.100000000000001" customHeight="1">
      <c r="A13" s="39">
        <v>9</v>
      </c>
      <c r="B13" s="1694" t="s">
        <v>129</v>
      </c>
      <c r="C13" s="1695">
        <v>10829470.126840003</v>
      </c>
      <c r="D13" s="1700">
        <v>10434917</v>
      </c>
      <c r="E13" s="1701">
        <f t="shared" si="0"/>
        <v>21264387.126840003</v>
      </c>
      <c r="F13" s="1696">
        <f t="shared" si="1"/>
        <v>28.902771513087878</v>
      </c>
      <c r="G13" s="1696">
        <f t="shared" si="2"/>
        <v>21.002893255705658</v>
      </c>
      <c r="H13" s="1696">
        <f t="shared" si="3"/>
        <v>24.399235665468531</v>
      </c>
    </row>
    <row r="14" spans="1:10" s="39" customFormat="1" ht="20.100000000000001" customHeight="1">
      <c r="A14" s="39">
        <v>10</v>
      </c>
      <c r="B14" s="1694" t="s">
        <v>130</v>
      </c>
      <c r="C14" s="1699">
        <v>312055.98389999999</v>
      </c>
      <c r="D14" s="1699">
        <v>1135015.19615</v>
      </c>
      <c r="E14" s="1699">
        <f>+C14+D14</f>
        <v>1447071.1800500001</v>
      </c>
      <c r="F14" s="1696">
        <f t="shared" si="1"/>
        <v>0.83284617772756353</v>
      </c>
      <c r="G14" s="1696">
        <f t="shared" si="2"/>
        <v>2.2845033657998686</v>
      </c>
      <c r="H14" s="1696">
        <f t="shared" si="3"/>
        <v>1.6604019921261874</v>
      </c>
    </row>
    <row r="15" spans="1:10" s="39" customFormat="1" ht="28.5" customHeight="1">
      <c r="A15" s="39">
        <v>11</v>
      </c>
      <c r="B15" s="1698" t="s">
        <v>131</v>
      </c>
      <c r="C15" s="1702">
        <v>0</v>
      </c>
      <c r="D15" s="1702">
        <v>0</v>
      </c>
      <c r="E15" s="1702">
        <f t="shared" si="0"/>
        <v>0</v>
      </c>
      <c r="F15" s="1696">
        <f t="shared" si="1"/>
        <v>0</v>
      </c>
      <c r="G15" s="1696">
        <f t="shared" si="2"/>
        <v>0</v>
      </c>
      <c r="H15" s="1696">
        <f t="shared" si="3"/>
        <v>0</v>
      </c>
    </row>
    <row r="16" spans="1:10" s="39" customFormat="1" ht="20.100000000000001" customHeight="1">
      <c r="A16" s="39">
        <v>12</v>
      </c>
      <c r="B16" s="1694" t="s">
        <v>132</v>
      </c>
      <c r="C16" s="1699">
        <v>1500027.7209900001</v>
      </c>
      <c r="D16" s="1699">
        <v>1635305.00976</v>
      </c>
      <c r="E16" s="1699">
        <f t="shared" si="0"/>
        <v>3135332.7307500001</v>
      </c>
      <c r="F16" s="1696">
        <f t="shared" si="1"/>
        <v>4.003423803314254</v>
      </c>
      <c r="G16" s="1696">
        <f t="shared" si="2"/>
        <v>3.2914623624231969</v>
      </c>
      <c r="H16" s="1696">
        <f t="shared" si="3"/>
        <v>3.5975512358250832</v>
      </c>
    </row>
    <row r="17" spans="1:8" s="39" customFormat="1" ht="20.100000000000001" customHeight="1">
      <c r="A17" s="39">
        <v>13</v>
      </c>
      <c r="B17" s="1694" t="s">
        <v>133</v>
      </c>
      <c r="C17" s="1699">
        <v>2025075.1086100002</v>
      </c>
      <c r="D17" s="1699">
        <v>5773429.4972300194</v>
      </c>
      <c r="E17" s="1699">
        <f t="shared" si="0"/>
        <v>7798504.6058400199</v>
      </c>
      <c r="F17" s="1696">
        <f t="shared" si="1"/>
        <v>5.4047227126961337</v>
      </c>
      <c r="G17" s="1696">
        <f t="shared" si="2"/>
        <v>11.620478001853247</v>
      </c>
      <c r="H17" s="1696">
        <f t="shared" ref="H17:H25" si="4">+E17/$E$26*100</f>
        <v>8.9481794411071114</v>
      </c>
    </row>
    <row r="18" spans="1:8" s="39" customFormat="1" ht="20.100000000000001" customHeight="1">
      <c r="A18" s="39">
        <v>14</v>
      </c>
      <c r="B18" s="1694" t="s">
        <v>106</v>
      </c>
      <c r="C18" s="1699">
        <v>301721</v>
      </c>
      <c r="D18" s="1699">
        <v>0</v>
      </c>
      <c r="E18" s="1699">
        <f t="shared" si="0"/>
        <v>301721</v>
      </c>
      <c r="F18" s="1696">
        <f t="shared" si="1"/>
        <v>0.80526314044554426</v>
      </c>
      <c r="G18" s="1696">
        <f t="shared" si="2"/>
        <v>0</v>
      </c>
      <c r="H18" s="1696">
        <f t="shared" si="4"/>
        <v>0.3462014559981737</v>
      </c>
    </row>
    <row r="19" spans="1:8" s="39" customFormat="1" ht="20.100000000000001" customHeight="1">
      <c r="A19" s="39">
        <v>15</v>
      </c>
      <c r="B19" s="1694" t="s">
        <v>134</v>
      </c>
      <c r="C19" s="1699">
        <v>106237.90670000001</v>
      </c>
      <c r="D19" s="1699">
        <v>1295132.6255799995</v>
      </c>
      <c r="E19" s="1699">
        <f t="shared" si="0"/>
        <v>1401370.5322799995</v>
      </c>
      <c r="F19" s="1696">
        <f t="shared" si="1"/>
        <v>0.28353833635578146</v>
      </c>
      <c r="G19" s="1696">
        <f t="shared" si="2"/>
        <v>2.6067799376879117</v>
      </c>
      <c r="H19" s="1696">
        <f t="shared" si="4"/>
        <v>1.6079640418408778</v>
      </c>
    </row>
    <row r="20" spans="1:8" s="39" customFormat="1" ht="20.100000000000001" customHeight="1">
      <c r="A20" s="39">
        <v>16</v>
      </c>
      <c r="B20" s="1694" t="s">
        <v>109</v>
      </c>
      <c r="C20" s="1699">
        <v>192780.04339000001</v>
      </c>
      <c r="D20" s="1699">
        <v>1049146.7334</v>
      </c>
      <c r="E20" s="1699">
        <f t="shared" si="0"/>
        <v>1241926.77679</v>
      </c>
      <c r="F20" s="1696">
        <f t="shared" si="1"/>
        <v>0.51451063451155099</v>
      </c>
      <c r="G20" s="1696">
        <f t="shared" si="2"/>
        <v>2.1116715016681473</v>
      </c>
      <c r="H20" s="1696">
        <f t="shared" si="4"/>
        <v>1.4250146936004351</v>
      </c>
    </row>
    <row r="21" spans="1:8" s="39" customFormat="1" ht="20.100000000000001" customHeight="1">
      <c r="A21" s="39">
        <v>17</v>
      </c>
      <c r="B21" s="1698" t="s">
        <v>111</v>
      </c>
      <c r="C21" s="1697">
        <v>0</v>
      </c>
      <c r="D21" s="1697">
        <v>308546.43002615747</v>
      </c>
      <c r="E21" s="1697">
        <f t="shared" si="0"/>
        <v>308546.43002615747</v>
      </c>
      <c r="F21" s="1696">
        <f t="shared" si="1"/>
        <v>0</v>
      </c>
      <c r="G21" s="1696">
        <f t="shared" si="2"/>
        <v>0.62102724288735978</v>
      </c>
      <c r="H21" s="1696">
        <f>+E21/$E$26*100</f>
        <v>0.35403310779857661</v>
      </c>
    </row>
    <row r="22" spans="1:8" s="39" customFormat="1" ht="20.100000000000001" customHeight="1">
      <c r="A22" s="39">
        <v>18</v>
      </c>
      <c r="B22" s="1698" t="s">
        <v>112</v>
      </c>
      <c r="C22" s="1697">
        <v>0</v>
      </c>
      <c r="D22" s="1697">
        <v>2795447.79213</v>
      </c>
      <c r="E22" s="1697">
        <f t="shared" si="0"/>
        <v>2795447.79213</v>
      </c>
      <c r="F22" s="1696">
        <f t="shared" si="1"/>
        <v>0</v>
      </c>
      <c r="G22" s="1696">
        <f>+D22/$D$26*100</f>
        <v>5.6265413112537885</v>
      </c>
      <c r="H22" s="1696">
        <f>+E22/$E$26*100</f>
        <v>3.2075596189933284</v>
      </c>
    </row>
    <row r="23" spans="1:8" s="39" customFormat="1" ht="20.100000000000001" customHeight="1">
      <c r="A23" s="39">
        <v>19</v>
      </c>
      <c r="B23" s="1694" t="s">
        <v>115</v>
      </c>
      <c r="C23" s="1697">
        <v>7369027.3364199987</v>
      </c>
      <c r="D23" s="1697">
        <v>12359087.420689998</v>
      </c>
      <c r="E23" s="1697">
        <f t="shared" si="0"/>
        <v>19728114.757109996</v>
      </c>
      <c r="F23" s="1696">
        <f t="shared" si="1"/>
        <v>19.667196167832639</v>
      </c>
      <c r="G23" s="1696">
        <f t="shared" si="2"/>
        <v>24.875769863304768</v>
      </c>
      <c r="H23" s="1696">
        <f>+E23/$E$26*100</f>
        <v>22.636482223678623</v>
      </c>
    </row>
    <row r="24" spans="1:8" s="39" customFormat="1" ht="20.100000000000001" customHeight="1">
      <c r="A24" s="39">
        <v>20</v>
      </c>
      <c r="B24" s="1694" t="s">
        <v>135</v>
      </c>
      <c r="C24" s="1703">
        <v>203615.92</v>
      </c>
      <c r="D24" s="1703">
        <v>297025</v>
      </c>
      <c r="E24" s="1703">
        <f t="shared" si="0"/>
        <v>500640.92000000004</v>
      </c>
      <c r="F24" s="1696">
        <f t="shared" si="1"/>
        <v>0.54343050428677053</v>
      </c>
      <c r="G24" s="1696">
        <f t="shared" si="2"/>
        <v>0.59783746907387691</v>
      </c>
      <c r="H24" s="1696">
        <f>+E24/$E$26*100</f>
        <v>0.57444664254813294</v>
      </c>
    </row>
    <row r="25" spans="1:8" s="39" customFormat="1" ht="20.100000000000001" customHeight="1">
      <c r="A25" s="39">
        <v>21</v>
      </c>
      <c r="B25" s="1694" t="s">
        <v>136</v>
      </c>
      <c r="C25" s="1697">
        <v>5106323</v>
      </c>
      <c r="D25" s="1697">
        <v>4436051.5967899989</v>
      </c>
      <c r="E25" s="1697">
        <f t="shared" si="0"/>
        <v>9542374.5967899989</v>
      </c>
      <c r="F25" s="1696">
        <f t="shared" si="1"/>
        <v>13.628264837745178</v>
      </c>
      <c r="G25" s="1696">
        <f t="shared" si="2"/>
        <v>8.9286688302535584</v>
      </c>
      <c r="H25" s="1696">
        <f t="shared" si="4"/>
        <v>10.94913505884139</v>
      </c>
    </row>
    <row r="26" spans="1:8" s="39" customFormat="1" ht="20.100000000000001" customHeight="1">
      <c r="B26" s="1704" t="s">
        <v>118</v>
      </c>
      <c r="C26" s="1705">
        <f>SUM(C5:C25)</f>
        <v>37468621.726937696</v>
      </c>
      <c r="D26" s="1705">
        <f>SUM(D5:D25)</f>
        <v>49683235.890204057</v>
      </c>
      <c r="E26" s="1706">
        <f>+C26+D26</f>
        <v>87151857.617141753</v>
      </c>
      <c r="F26" s="1707">
        <f>+C26/$C$26*100</f>
        <v>100</v>
      </c>
      <c r="G26" s="1707">
        <f>+D26/$D$26*100</f>
        <v>100</v>
      </c>
      <c r="H26" s="1707">
        <f>+E26/$E$26*100</f>
        <v>100</v>
      </c>
    </row>
    <row r="28" spans="1:8">
      <c r="E28" s="272"/>
    </row>
  </sheetData>
  <customSheetViews>
    <customSheetView guid="{2ACFE167-4169-43A6-9AB2-59D5A2DA2DB4}" showPageBreaks="1" state="hidden">
      <selection activeCell="F4" sqref="F4:H4"/>
      <pageMargins left="0" right="0" top="0" bottom="0" header="0" footer="0"/>
      <pageSetup scale="89" orientation="landscape" r:id="rId1"/>
    </customSheetView>
    <customSheetView guid="{967E0446-E234-427F-8E57-7FE287052E2E}" showPageBreaks="1" state="hidden">
      <selection activeCell="F4" sqref="F4:H4"/>
      <pageMargins left="0" right="0" top="0" bottom="0" header="0" footer="0"/>
      <pageSetup scale="89" orientation="landscape" r:id="rId2"/>
    </customSheetView>
    <customSheetView guid="{B2E1A0C6-5BA1-4CF1-B412-16D81FCDF11F}" state="hidden">
      <selection activeCell="F4" sqref="F4:H4"/>
      <pageMargins left="0" right="0" top="0" bottom="0" header="0" footer="0"/>
      <pageSetup scale="89" orientation="landscape" r:id="rId3"/>
    </customSheetView>
    <customSheetView guid="{46F31544-8E6F-41C5-8628-1D6EE074AF15}" state="hidden">
      <selection activeCell="F4" sqref="F4:H4"/>
      <pageMargins left="0" right="0" top="0" bottom="0" header="0" footer="0"/>
      <pageSetup scale="89" orientation="landscape" r:id="rId4"/>
    </customSheetView>
    <customSheetView guid="{E82B35BE-4719-4C53-A9EF-1CC6F153A6F3}">
      <selection activeCell="E13" sqref="E13"/>
      <pageMargins left="0" right="0" top="0" bottom="0" header="0" footer="0"/>
      <pageSetup scale="89" orientation="landscape" r:id="rId5"/>
    </customSheetView>
    <customSheetView guid="{B1E1B596-A9A1-411D-A882-A48CB025B978}" state="hidden">
      <selection activeCell="F4" sqref="F4:H4"/>
      <pageMargins left="0" right="0" top="0" bottom="0" header="0" footer="0"/>
      <pageSetup scale="89" orientation="landscape" r:id="rId6"/>
    </customSheetView>
    <customSheetView guid="{5E394B0B-7867-4722-9497-A93AB2A9A773}" showPageBreaks="1" state="hidden">
      <selection activeCell="F4" sqref="F4:H4"/>
      <pageMargins left="0" right="0" top="0" bottom="0" header="0" footer="0"/>
      <pageSetup scale="89" orientation="landscape" r:id="rId7"/>
    </customSheetView>
  </customSheetViews>
  <pageMargins left="0.7" right="0.7" top="0.75" bottom="0.75" header="0.3" footer="0.3"/>
  <pageSetup scale="89" orientation="landscape" r:id="rId8"/>
  <legacyDrawing r:id="rId9"/>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49">
    <tabColor rgb="FF00B050"/>
  </sheetPr>
  <dimension ref="B1:H49"/>
  <sheetViews>
    <sheetView topLeftCell="A28" workbookViewId="0">
      <selection activeCell="G4" sqref="G4"/>
    </sheetView>
  </sheetViews>
  <sheetFormatPr defaultColWidth="9.140625" defaultRowHeight="14.45"/>
  <cols>
    <col min="1" max="1" width="2.85546875" customWidth="1"/>
    <col min="2" max="2" width="22" customWidth="1"/>
    <col min="3" max="3" width="15.42578125" hidden="1" customWidth="1"/>
    <col min="4" max="5" width="15.7109375" customWidth="1"/>
    <col min="6" max="6" width="19.140625" customWidth="1"/>
    <col min="7" max="7" width="14.42578125" customWidth="1"/>
    <col min="8" max="8" width="12.42578125" customWidth="1"/>
  </cols>
  <sheetData>
    <row r="1" spans="2:8">
      <c r="B1" s="202"/>
    </row>
    <row r="2" spans="2:8">
      <c r="B2" s="205"/>
      <c r="C2" s="1"/>
      <c r="D2" s="2"/>
      <c r="E2" s="2"/>
      <c r="F2" s="2"/>
      <c r="G2" s="2"/>
    </row>
    <row r="3" spans="2:8">
      <c r="C3" s="1"/>
      <c r="D3" s="2"/>
      <c r="E3" s="2"/>
      <c r="F3" s="2"/>
      <c r="G3" s="2"/>
    </row>
    <row r="4" spans="2:8">
      <c r="B4" s="3609" t="s">
        <v>742</v>
      </c>
      <c r="C4" s="3610"/>
      <c r="D4" s="3610"/>
      <c r="E4" s="3610"/>
      <c r="F4" s="3610"/>
      <c r="G4" s="215"/>
    </row>
    <row r="5" spans="2:8">
      <c r="B5" s="3611" t="s">
        <v>526</v>
      </c>
      <c r="C5" s="3613" t="s">
        <v>743</v>
      </c>
      <c r="D5" s="3614"/>
      <c r="E5" s="3614"/>
      <c r="F5" s="3614"/>
      <c r="G5" s="3615"/>
      <c r="H5" s="2537"/>
    </row>
    <row r="6" spans="2:8">
      <c r="B6" s="3612"/>
      <c r="C6" s="2744">
        <v>2007</v>
      </c>
      <c r="D6" s="2744">
        <v>2009</v>
      </c>
      <c r="E6" s="2744">
        <v>2010</v>
      </c>
      <c r="F6" s="2744">
        <v>2011</v>
      </c>
      <c r="G6" s="2744" t="s">
        <v>210</v>
      </c>
      <c r="H6" s="2744" t="s">
        <v>211</v>
      </c>
    </row>
    <row r="7" spans="2:8" ht="20.100000000000001" customHeight="1">
      <c r="B7" s="2756" t="s">
        <v>436</v>
      </c>
      <c r="C7" s="2757" t="e">
        <f>+#REF!</f>
        <v>#REF!</v>
      </c>
      <c r="D7" s="2747">
        <v>1199157.928357844</v>
      </c>
      <c r="E7" s="2748">
        <v>1098186.0969400003</v>
      </c>
      <c r="F7" s="2748">
        <v>1141590.8323642923</v>
      </c>
      <c r="G7" s="2748">
        <v>1413295.7525181728</v>
      </c>
      <c r="H7" s="2543"/>
    </row>
    <row r="8" spans="2:8" ht="20.100000000000001" customHeight="1">
      <c r="B8" s="2756" t="s">
        <v>437</v>
      </c>
      <c r="C8" s="2757" t="e">
        <f>+#REF!</f>
        <v>#REF!</v>
      </c>
      <c r="D8" s="2747">
        <v>580332.9106404176</v>
      </c>
      <c r="E8" s="2748">
        <v>674475.80587000004</v>
      </c>
      <c r="F8" s="2748">
        <v>802677.31206288608</v>
      </c>
      <c r="G8" s="2748">
        <v>546600.03501427849</v>
      </c>
      <c r="H8" s="2543"/>
    </row>
    <row r="9" spans="2:8" ht="20.100000000000001" customHeight="1">
      <c r="B9" s="2756" t="s">
        <v>438</v>
      </c>
      <c r="C9" s="2757" t="e">
        <f>+#REF!</f>
        <v>#REF!</v>
      </c>
      <c r="D9" s="2747">
        <v>17593581.945207182</v>
      </c>
      <c r="E9" s="2748">
        <v>18356886.695939999</v>
      </c>
      <c r="F9" s="2748">
        <v>23575070.699483648</v>
      </c>
      <c r="G9" s="2748">
        <v>29291164.102288961</v>
      </c>
      <c r="H9" s="2543"/>
    </row>
    <row r="10" spans="2:8" ht="20.100000000000001" customHeight="1">
      <c r="B10" s="2756" t="s">
        <v>440</v>
      </c>
      <c r="C10" s="2757" t="e">
        <f>+#REF!+#REF!</f>
        <v>#REF!</v>
      </c>
      <c r="D10" s="2747">
        <v>5200211.5296910573</v>
      </c>
      <c r="E10" s="2748">
        <v>5282148.3586978</v>
      </c>
      <c r="F10" s="2748">
        <v>6298057.9870221643</v>
      </c>
      <c r="G10" s="2748">
        <v>7166796.3648550538</v>
      </c>
      <c r="H10" s="2543"/>
    </row>
    <row r="11" spans="2:8" ht="20.100000000000001" customHeight="1">
      <c r="B11" s="2749" t="s">
        <v>744</v>
      </c>
      <c r="C11" s="2758" t="e">
        <f>SUM(C7:C10)-1</f>
        <v>#REF!</v>
      </c>
      <c r="D11" s="2758">
        <f>SUM(D7:D10)+1</f>
        <v>24573285.3138965</v>
      </c>
      <c r="E11" s="2758">
        <f>SUM(E7:E10)</f>
        <v>25411696.957447797</v>
      </c>
      <c r="F11" s="2758">
        <f>SUM(F7:F10)</f>
        <v>31817396.830932993</v>
      </c>
      <c r="G11" s="2758">
        <f>SUM(G7:G10)</f>
        <v>38417856.254676469</v>
      </c>
      <c r="H11" s="2758">
        <f>SUM(H7:H10)</f>
        <v>0</v>
      </c>
    </row>
    <row r="12" spans="2:8" ht="20.100000000000001" customHeight="1">
      <c r="B12" s="36"/>
      <c r="C12" s="36"/>
      <c r="D12" s="36"/>
      <c r="E12" s="36"/>
      <c r="F12" s="36"/>
      <c r="G12" s="36"/>
    </row>
    <row r="13" spans="2:8" ht="20.100000000000001" customHeight="1">
      <c r="B13" s="3611" t="s">
        <v>526</v>
      </c>
      <c r="C13" s="3613" t="s">
        <v>745</v>
      </c>
      <c r="D13" s="3614"/>
      <c r="E13" s="3614"/>
      <c r="F13" s="3614"/>
      <c r="G13" s="3615"/>
      <c r="H13" s="2537"/>
    </row>
    <row r="14" spans="2:8" ht="20.100000000000001" customHeight="1">
      <c r="B14" s="3612"/>
      <c r="C14" s="2744" t="s">
        <v>746</v>
      </c>
      <c r="D14" s="2744">
        <v>2009</v>
      </c>
      <c r="E14" s="2744">
        <v>2010</v>
      </c>
      <c r="F14" s="2744">
        <v>2011</v>
      </c>
      <c r="G14" s="2744" t="s">
        <v>210</v>
      </c>
      <c r="H14" s="2744" t="s">
        <v>211</v>
      </c>
    </row>
    <row r="15" spans="2:8" ht="20.100000000000001" customHeight="1">
      <c r="B15" s="2756" t="s">
        <v>436</v>
      </c>
      <c r="C15" s="2757" t="e">
        <f>+#REF!</f>
        <v>#REF!</v>
      </c>
      <c r="D15" s="2747">
        <v>953478.09152000002</v>
      </c>
      <c r="E15" s="2748">
        <v>529448.11176999996</v>
      </c>
      <c r="F15" s="2748">
        <v>482646.26023494534</v>
      </c>
      <c r="G15" s="2748">
        <v>379090.86330623692</v>
      </c>
      <c r="H15" s="2543"/>
    </row>
    <row r="16" spans="2:8" ht="20.100000000000001" customHeight="1">
      <c r="B16" s="2756" t="s">
        <v>437</v>
      </c>
      <c r="C16" s="2757" t="e">
        <f>+#REF!</f>
        <v>#REF!</v>
      </c>
      <c r="D16" s="2747">
        <v>221209.63957000003</v>
      </c>
      <c r="E16" s="2748">
        <v>216143.14510999998</v>
      </c>
      <c r="F16" s="2748">
        <v>232189.29115742102</v>
      </c>
      <c r="G16" s="2748">
        <v>343195.37001479609</v>
      </c>
      <c r="H16" s="2543"/>
    </row>
    <row r="17" spans="2:8" ht="20.100000000000001" customHeight="1">
      <c r="B17" s="2756" t="s">
        <v>438</v>
      </c>
      <c r="C17" s="2757" t="e">
        <f>+#REF!</f>
        <v>#REF!</v>
      </c>
      <c r="D17" s="2747">
        <v>11680228.84001</v>
      </c>
      <c r="E17" s="2748">
        <v>11733878.64562</v>
      </c>
      <c r="F17" s="2748">
        <v>15416752.648560412</v>
      </c>
      <c r="G17" s="2748">
        <v>17963038.369464502</v>
      </c>
      <c r="H17" s="2543"/>
    </row>
    <row r="18" spans="2:8" ht="20.100000000000001" customHeight="1">
      <c r="B18" s="2756" t="s">
        <v>440</v>
      </c>
      <c r="C18" s="2757" t="e">
        <f>+#REF!+#REF!</f>
        <v>#REF!</v>
      </c>
      <c r="D18" s="2747">
        <v>4166756.830658</v>
      </c>
      <c r="E18" s="2748">
        <v>3091110.0239269999</v>
      </c>
      <c r="F18" s="2748">
        <v>4160145.4303535232</v>
      </c>
      <c r="G18" s="2748">
        <v>4583942.5431417534</v>
      </c>
      <c r="H18" s="2543"/>
    </row>
    <row r="19" spans="2:8" ht="20.100000000000001" customHeight="1">
      <c r="B19" s="2749" t="s">
        <v>744</v>
      </c>
      <c r="C19" s="2758" t="e">
        <f>SUM(C15:C18)</f>
        <v>#REF!</v>
      </c>
      <c r="D19" s="2758">
        <f>SUM(D15:D18)+1</f>
        <v>17021674.401758</v>
      </c>
      <c r="E19" s="2759">
        <f>SUM(E15:E18)</f>
        <v>15570579.926426999</v>
      </c>
      <c r="F19" s="2758">
        <f>SUM(F15:F18)</f>
        <v>20291733.630306304</v>
      </c>
      <c r="G19" s="2758">
        <f>SUM(G15:G18)</f>
        <v>23269267.145927288</v>
      </c>
      <c r="H19" s="2758">
        <f>SUM(H15:H18)</f>
        <v>0</v>
      </c>
    </row>
    <row r="20" spans="2:8" ht="20.100000000000001" customHeight="1">
      <c r="B20" s="36"/>
      <c r="C20" s="36"/>
      <c r="D20" s="36"/>
      <c r="E20" s="36"/>
      <c r="F20" s="36"/>
      <c r="G20" s="36"/>
    </row>
    <row r="21" spans="2:8" ht="20.100000000000001" customHeight="1">
      <c r="B21" s="3611" t="s">
        <v>526</v>
      </c>
      <c r="C21" s="3613" t="s">
        <v>530</v>
      </c>
      <c r="D21" s="3614"/>
      <c r="E21" s="3614"/>
      <c r="F21" s="3614"/>
      <c r="G21" s="3615"/>
      <c r="H21" s="2537"/>
    </row>
    <row r="22" spans="2:8" ht="20.100000000000001" customHeight="1">
      <c r="B22" s="3612"/>
      <c r="C22" s="2744">
        <v>2007</v>
      </c>
      <c r="D22" s="2744">
        <v>2009</v>
      </c>
      <c r="E22" s="2744">
        <v>2010</v>
      </c>
      <c r="F22" s="2744">
        <v>2011</v>
      </c>
      <c r="G22" s="2744" t="s">
        <v>210</v>
      </c>
      <c r="H22" s="2744" t="s">
        <v>211</v>
      </c>
    </row>
    <row r="23" spans="2:8" ht="20.100000000000001" customHeight="1">
      <c r="B23" s="2756" t="s">
        <v>436</v>
      </c>
      <c r="C23" s="2760" t="e">
        <f>(C15/C7)*100</f>
        <v>#REF!</v>
      </c>
      <c r="D23" s="2761">
        <f>D15/D7*100</f>
        <v>79.512303506654547</v>
      </c>
      <c r="E23" s="2761">
        <f>E15/E7*100</f>
        <v>48.211146839798914</v>
      </c>
      <c r="F23" s="2761">
        <f>F15/F7*100</f>
        <v>42.278393146812554</v>
      </c>
      <c r="G23" s="2761">
        <f>G15/G7*100</f>
        <v>26.823179977070112</v>
      </c>
      <c r="H23" s="2761" t="e">
        <f>H15/H7*100</f>
        <v>#DIV/0!</v>
      </c>
    </row>
    <row r="24" spans="2:8" ht="20.100000000000001" customHeight="1">
      <c r="B24" s="2756" t="s">
        <v>437</v>
      </c>
      <c r="C24" s="2760" t="e">
        <f>(C16/C8)*100</f>
        <v>#REF!</v>
      </c>
      <c r="D24" s="2761">
        <f t="shared" ref="D24:F26" si="0">D16/D8*100</f>
        <v>38.117714076544011</v>
      </c>
      <c r="E24" s="2761">
        <f t="shared" si="0"/>
        <v>32.046093162852443</v>
      </c>
      <c r="F24" s="2761">
        <f t="shared" si="0"/>
        <v>28.926853626981554</v>
      </c>
      <c r="G24" s="2761">
        <f t="shared" ref="G24:H26" si="1">G16/G8*100</f>
        <v>62.787293821858427</v>
      </c>
      <c r="H24" s="2761" t="e">
        <f t="shared" si="1"/>
        <v>#DIV/0!</v>
      </c>
    </row>
    <row r="25" spans="2:8" ht="20.100000000000001" customHeight="1">
      <c r="B25" s="2756" t="s">
        <v>438</v>
      </c>
      <c r="C25" s="2760" t="e">
        <f>(C17/C9)*100</f>
        <v>#REF!</v>
      </c>
      <c r="D25" s="2761">
        <f t="shared" si="0"/>
        <v>66.389146203351217</v>
      </c>
      <c r="E25" s="2761">
        <f t="shared" si="0"/>
        <v>63.920853464848079</v>
      </c>
      <c r="F25" s="2761">
        <f t="shared" si="0"/>
        <v>65.394300806478924</v>
      </c>
      <c r="G25" s="2761">
        <f t="shared" si="1"/>
        <v>61.325791992202795</v>
      </c>
      <c r="H25" s="2761" t="e">
        <f t="shared" si="1"/>
        <v>#DIV/0!</v>
      </c>
    </row>
    <row r="26" spans="2:8" ht="20.100000000000001" customHeight="1">
      <c r="B26" s="2756" t="s">
        <v>440</v>
      </c>
      <c r="C26" s="2760" t="e">
        <f>(C18/C10)*100</f>
        <v>#REF!</v>
      </c>
      <c r="D26" s="2761">
        <f t="shared" si="0"/>
        <v>80.126679595003807</v>
      </c>
      <c r="E26" s="2761">
        <f t="shared" si="0"/>
        <v>58.519939502211301</v>
      </c>
      <c r="F26" s="2761">
        <f t="shared" si="0"/>
        <v>66.054416122016619</v>
      </c>
      <c r="G26" s="2761">
        <f t="shared" si="1"/>
        <v>63.960831447936116</v>
      </c>
      <c r="H26" s="2761" t="e">
        <f t="shared" si="1"/>
        <v>#DIV/0!</v>
      </c>
    </row>
    <row r="27" spans="2:8" ht="20.100000000000001" customHeight="1">
      <c r="B27" s="2749" t="s">
        <v>744</v>
      </c>
      <c r="C27" s="2762" t="e">
        <f>(C19/C11)*100</f>
        <v>#REF!</v>
      </c>
      <c r="D27" s="2763">
        <f>(D19/D11)*100</f>
        <v>69.269021965622272</v>
      </c>
      <c r="E27" s="2763">
        <f>(E19/E11)*100</f>
        <v>61.273278807393815</v>
      </c>
      <c r="F27" s="2763">
        <f>(F19/F11)*100</f>
        <v>63.775593390401454</v>
      </c>
      <c r="G27" s="2763">
        <f>(G19/G11)*100</f>
        <v>60.568884925990119</v>
      </c>
      <c r="H27" s="2763" t="e">
        <f>(H19/H11)*100</f>
        <v>#DIV/0!</v>
      </c>
    </row>
    <row r="28" spans="2:8" ht="20.100000000000001" customHeight="1"/>
    <row r="29" spans="2:8" ht="20.100000000000001" customHeight="1">
      <c r="D29" s="3170">
        <v>2009</v>
      </c>
      <c r="E29" s="3170">
        <v>2010</v>
      </c>
      <c r="F29" s="3170">
        <v>2011</v>
      </c>
      <c r="G29" s="3170" t="s">
        <v>210</v>
      </c>
      <c r="H29" s="3170" t="s">
        <v>747</v>
      </c>
    </row>
    <row r="30" spans="2:8" ht="20.100000000000001" customHeight="1">
      <c r="B30" s="2764" t="s">
        <v>748</v>
      </c>
      <c r="C30" s="2543"/>
      <c r="D30" s="2765">
        <v>12907013.425590001</v>
      </c>
      <c r="E30" s="2765">
        <v>10058322.2279128</v>
      </c>
      <c r="F30" s="2765">
        <v>12105102.366882445</v>
      </c>
      <c r="G30" s="2765">
        <v>14662230.002650199</v>
      </c>
      <c r="H30" s="2765">
        <v>14662230.00265019</v>
      </c>
    </row>
    <row r="31" spans="2:8" ht="20.100000000000001" customHeight="1">
      <c r="B31" s="1704" t="s">
        <v>534</v>
      </c>
      <c r="C31" s="2543"/>
      <c r="D31" s="1707">
        <f>+D30/D11*100</f>
        <v>52.524573986413301</v>
      </c>
      <c r="E31" s="1707">
        <f>+E30/E11*100</f>
        <v>39.581466144333397</v>
      </c>
      <c r="F31" s="1707">
        <f>+F30/F11*100</f>
        <v>38.045546061498719</v>
      </c>
      <c r="G31" s="1707">
        <f>+G30/G11*100</f>
        <v>38.165143587014747</v>
      </c>
      <c r="H31" s="1704" t="e">
        <f>+H30/H11*100</f>
        <v>#DIV/0!</v>
      </c>
    </row>
    <row r="32" spans="2:8" ht="20.100000000000001" customHeight="1">
      <c r="B32" s="39"/>
      <c r="D32" s="89"/>
      <c r="E32" s="89"/>
      <c r="F32" s="89"/>
      <c r="G32" s="89"/>
    </row>
    <row r="33" spans="2:8" ht="20.100000000000001" customHeight="1">
      <c r="B33" s="1704" t="s">
        <v>537</v>
      </c>
      <c r="C33" s="2543"/>
      <c r="D33" s="1707">
        <f>+D27+D31</f>
        <v>121.79359595203557</v>
      </c>
      <c r="E33" s="1707">
        <f>+E27+E31</f>
        <v>100.85474495172721</v>
      </c>
      <c r="F33" s="2766">
        <f>+F27+F31</f>
        <v>101.82113945190017</v>
      </c>
      <c r="G33" s="1707">
        <f>+G27+G31</f>
        <v>98.734028513004858</v>
      </c>
      <c r="H33" s="1707" t="e">
        <f>+H27+H31</f>
        <v>#DIV/0!</v>
      </c>
    </row>
    <row r="36" spans="2:8" ht="15" customHeight="1">
      <c r="B36" s="204" t="s">
        <v>633</v>
      </c>
    </row>
    <row r="37" spans="2:8" ht="15" customHeight="1">
      <c r="B37" s="204" t="s">
        <v>634</v>
      </c>
      <c r="C37" s="42"/>
    </row>
    <row r="38" spans="2:8" ht="15" customHeight="1">
      <c r="B38" s="200" t="s">
        <v>149</v>
      </c>
      <c r="C38" s="175"/>
      <c r="D38" s="175"/>
      <c r="E38" s="175"/>
      <c r="F38" s="175"/>
      <c r="G38" s="175"/>
      <c r="H38" s="175"/>
    </row>
    <row r="39" spans="2:8">
      <c r="B39" s="208"/>
      <c r="C39" s="175"/>
      <c r="D39" s="175"/>
      <c r="E39" s="175"/>
      <c r="F39" s="175"/>
      <c r="G39" s="175"/>
      <c r="H39" s="175"/>
    </row>
    <row r="40" spans="2:8">
      <c r="B40" s="3585" t="s">
        <v>710</v>
      </c>
      <c r="C40" s="3585"/>
      <c r="D40" s="3585"/>
      <c r="E40" s="3585"/>
      <c r="F40" s="3585"/>
      <c r="G40" s="211"/>
      <c r="H40" s="224"/>
    </row>
    <row r="41" spans="2:8" ht="33.75" customHeight="1">
      <c r="B41" s="3585"/>
      <c r="C41" s="3585"/>
      <c r="D41" s="3585"/>
      <c r="E41" s="3585"/>
      <c r="F41" s="3585"/>
      <c r="G41" s="211"/>
      <c r="H41" s="224"/>
    </row>
    <row r="42" spans="2:8" ht="34.5" customHeight="1">
      <c r="B42" s="3586" t="s">
        <v>151</v>
      </c>
      <c r="C42" s="3586"/>
      <c r="D42" s="3586"/>
      <c r="E42" s="3586"/>
      <c r="F42" s="3586"/>
      <c r="G42" s="212"/>
      <c r="H42" s="222"/>
    </row>
    <row r="43" spans="2:8" ht="53.25" customHeight="1">
      <c r="B43" s="3587" t="s">
        <v>739</v>
      </c>
      <c r="C43" s="3587"/>
      <c r="D43" s="3587"/>
      <c r="E43" s="3587"/>
      <c r="F43" s="3587"/>
      <c r="G43" s="213"/>
      <c r="H43" s="223"/>
    </row>
    <row r="46" spans="2:8">
      <c r="B46" s="3585"/>
      <c r="C46" s="3585"/>
      <c r="D46" s="3585"/>
      <c r="E46" s="3585"/>
      <c r="F46" s="3585"/>
      <c r="G46" s="3585"/>
      <c r="H46" s="3585"/>
    </row>
    <row r="47" spans="2:8">
      <c r="B47" s="3585"/>
      <c r="C47" s="3585"/>
      <c r="D47" s="3585"/>
      <c r="E47" s="3585"/>
      <c r="F47" s="3585"/>
      <c r="G47" s="3585"/>
      <c r="H47" s="3585"/>
    </row>
    <row r="48" spans="2:8">
      <c r="B48" s="3586"/>
      <c r="C48" s="3586"/>
      <c r="D48" s="3586"/>
      <c r="E48" s="3586"/>
      <c r="F48" s="3586"/>
      <c r="G48" s="3586"/>
      <c r="H48" s="3586"/>
    </row>
    <row r="49" spans="2:8">
      <c r="B49" s="3587"/>
      <c r="C49" s="3587"/>
      <c r="D49" s="3587"/>
      <c r="E49" s="3587"/>
      <c r="F49" s="3587"/>
      <c r="G49" s="3587"/>
      <c r="H49" s="3587"/>
    </row>
  </sheetData>
  <customSheetViews>
    <customSheetView guid="{2ACFE167-4169-43A6-9AB2-59D5A2DA2DB4}" showPageBreaks="1" printArea="1" hiddenColumns="1" state="hidden" topLeftCell="A28">
      <selection activeCell="G4" sqref="G4"/>
      <colBreaks count="1" manualBreakCount="1">
        <brk id="7" max="1048575" man="1"/>
      </colBreaks>
      <pageMargins left="0" right="0" top="0" bottom="0" header="0" footer="0"/>
      <pageSetup scale="90" orientation="portrait" r:id="rId1"/>
    </customSheetView>
    <customSheetView guid="{967E0446-E234-427F-8E57-7FE287052E2E}" showPageBreaks="1" printArea="1" hiddenColumns="1" state="hidden" topLeftCell="A28">
      <selection activeCell="G4" sqref="G4"/>
      <colBreaks count="1" manualBreakCount="1">
        <brk id="7" max="1048575" man="1"/>
      </colBreaks>
      <pageMargins left="0" right="0" top="0" bottom="0" header="0" footer="0"/>
      <pageSetup scale="90" orientation="portrait" r:id="rId2"/>
    </customSheetView>
    <customSheetView guid="{B2E1A0C6-5BA1-4CF1-B412-16D81FCDF11F}" showPageBreaks="1" printArea="1" hiddenColumns="1" state="hidden" topLeftCell="A28">
      <selection activeCell="G4" sqref="G4"/>
      <colBreaks count="1" manualBreakCount="1">
        <brk id="7" max="1048575" man="1"/>
      </colBreaks>
      <pageMargins left="0" right="0" top="0" bottom="0" header="0" footer="0"/>
      <pageSetup scale="90" orientation="portrait" r:id="rId3"/>
    </customSheetView>
    <customSheetView guid="{46F31544-8E6F-41C5-8628-1D6EE074AF15}" hiddenColumns="1" state="hidden" topLeftCell="A28">
      <selection activeCell="G4" sqref="G4"/>
      <colBreaks count="1" manualBreakCount="1">
        <brk id="7" max="1048575" man="1"/>
      </colBreaks>
      <pageMargins left="0" right="0" top="0" bottom="0" header="0" footer="0"/>
      <pageSetup scale="90" orientation="portrait" r:id="rId4"/>
    </customSheetView>
    <customSheetView guid="{D020F570-D9CD-4C16-921E-7638848CF929}" topLeftCell="A13">
      <selection activeCell="I11" sqref="I11"/>
      <pageMargins left="0" right="0" top="0" bottom="0" header="0" footer="0"/>
    </customSheetView>
    <customSheetView guid="{F66B1C5E-2E3D-4890-AA4B-3A6E976CA29E}" topLeftCell="A13">
      <selection activeCell="I11" sqref="I11"/>
      <pageMargins left="0" right="0" top="0" bottom="0" header="0" footer="0"/>
    </customSheetView>
    <customSheetView guid="{C4538C36-F6A2-4603-9311-8D97FB7695CB}">
      <selection activeCell="I11" sqref="I11"/>
      <pageMargins left="0" right="0" top="0" bottom="0" header="0" footer="0"/>
    </customSheetView>
    <customSheetView guid="{3199A5C7-1303-43ED-A74D-8C27C3B99779}">
      <selection activeCell="I11" sqref="I11"/>
      <pageMargins left="0" right="0" top="0" bottom="0" header="0" footer="0"/>
    </customSheetView>
    <customSheetView guid="{B8318771-9061-42D8-AFEA-0FF27D639C94}" topLeftCell="A7">
      <selection activeCell="I11" sqref="I11"/>
      <pageMargins left="0" right="0" top="0" bottom="0" header="0" footer="0"/>
    </customSheetView>
    <customSheetView guid="{F7C0CA98-A3B8-42B1-9940-E27294444C95}" topLeftCell="A13">
      <selection activeCell="I15" sqref="I15"/>
      <pageMargins left="0" right="0" top="0" bottom="0" header="0" footer="0"/>
      <pageSetup orientation="portrait" r:id="rId5"/>
    </customSheetView>
    <customSheetView guid="{B4A67912-05A8-4D20-958A-E8812294BB39}">
      <selection activeCell="B4" sqref="B4:I27"/>
      <pageMargins left="0" right="0" top="0" bottom="0" header="0" footer="0"/>
    </customSheetView>
    <customSheetView guid="{E82B35BE-4719-4C53-A9EF-1CC6F153A6F3}" showPageBreaks="1" printArea="1" hiddenColumns="1" topLeftCell="A16">
      <selection activeCell="B2" sqref="B2"/>
      <colBreaks count="2" manualBreakCount="2">
        <brk id="8" max="1048575" man="1"/>
        <brk id="9" max="27" man="1"/>
      </colBreaks>
      <pageMargins left="0" right="0" top="0" bottom="0" header="0" footer="0"/>
      <pageSetup scale="90" orientation="portrait" r:id="rId6"/>
    </customSheetView>
    <customSheetView guid="{B1E1B596-A9A1-411D-A882-A48CB025B978}" showPageBreaks="1" printArea="1" hiddenColumns="1" state="hidden" topLeftCell="A28">
      <selection activeCell="G4" sqref="G4"/>
      <colBreaks count="1" manualBreakCount="1">
        <brk id="7" max="1048575" man="1"/>
      </colBreaks>
      <pageMargins left="0" right="0" top="0" bottom="0" header="0" footer="0"/>
      <pageSetup scale="90" orientation="portrait" r:id="rId7"/>
    </customSheetView>
    <customSheetView guid="{5E394B0B-7867-4722-9497-A93AB2A9A773}" showPageBreaks="1" printArea="1" hiddenColumns="1" state="hidden" topLeftCell="A28">
      <selection activeCell="G4" sqref="G4"/>
      <colBreaks count="1" manualBreakCount="1">
        <brk id="7" max="1048575" man="1"/>
      </colBreaks>
      <pageMargins left="0" right="0" top="0" bottom="0" header="0" footer="0"/>
      <pageSetup scale="90" orientation="portrait" r:id="rId8"/>
    </customSheetView>
  </customSheetViews>
  <mergeCells count="13">
    <mergeCell ref="B46:H47"/>
    <mergeCell ref="B48:H48"/>
    <mergeCell ref="B49:H49"/>
    <mergeCell ref="B40:F41"/>
    <mergeCell ref="B42:F42"/>
    <mergeCell ref="B43:F43"/>
    <mergeCell ref="B4:F4"/>
    <mergeCell ref="B5:B6"/>
    <mergeCell ref="B13:B14"/>
    <mergeCell ref="B21:B22"/>
    <mergeCell ref="C5:G5"/>
    <mergeCell ref="C13:G13"/>
    <mergeCell ref="C21:G21"/>
  </mergeCells>
  <pageMargins left="0.7" right="0.7" top="0.75" bottom="0.75" header="0.3" footer="0.3"/>
  <pageSetup scale="90" orientation="portrait" r:id="rId9"/>
  <colBreaks count="1" manualBreakCount="1">
    <brk id="7" max="1048575" man="1"/>
  </colBreaks>
  <ignoredErrors>
    <ignoredError sqref="F32:G32" evalError="1"/>
  </ignoredError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rgb="FF00B0F0"/>
  </sheetPr>
  <dimension ref="A3:X60"/>
  <sheetViews>
    <sheetView zoomScaleNormal="100" workbookViewId="0">
      <pane xSplit="1" ySplit="5" topLeftCell="P45" activePane="bottomRight" state="frozen"/>
      <selection pane="bottomRight" activeCell="S54" sqref="S54"/>
      <selection pane="bottomLeft" activeCell="A6" sqref="A6"/>
      <selection pane="topRight" activeCell="B1" sqref="B1"/>
    </sheetView>
  </sheetViews>
  <sheetFormatPr defaultColWidth="9.140625" defaultRowHeight="14.45"/>
  <cols>
    <col min="1" max="1" width="19" customWidth="1"/>
    <col min="2" max="2" width="12.5703125" customWidth="1"/>
    <col min="3" max="4" width="12.7109375" customWidth="1"/>
    <col min="5" max="5" width="12.5703125" customWidth="1"/>
    <col min="6" max="6" width="11.42578125" customWidth="1"/>
    <col min="7" max="7" width="12.7109375" customWidth="1"/>
    <col min="8" max="8" width="13.5703125" customWidth="1"/>
    <col min="9" max="9" width="12.7109375" customWidth="1"/>
    <col min="10" max="10" width="10.28515625" customWidth="1"/>
    <col min="11" max="11" width="14.28515625" customWidth="1"/>
    <col min="12" max="12" width="14.5703125" customWidth="1"/>
    <col min="13" max="13" width="11.28515625" customWidth="1"/>
    <col min="14" max="14" width="12" customWidth="1"/>
    <col min="15" max="15" width="9.28515625" bestFit="1" customWidth="1"/>
    <col min="16" max="16" width="13.7109375" customWidth="1"/>
    <col min="17" max="17" width="13.28515625" customWidth="1"/>
    <col min="18" max="18" width="11.5703125" customWidth="1"/>
    <col min="19" max="19" width="14.5703125" bestFit="1" customWidth="1"/>
    <col min="20" max="20" width="11" customWidth="1"/>
    <col min="21" max="21" width="11.140625" customWidth="1"/>
    <col min="22" max="22" width="14.7109375" customWidth="1"/>
    <col min="23" max="23" width="14.5703125" bestFit="1" customWidth="1"/>
    <col min="24" max="24" width="14.5703125" customWidth="1"/>
  </cols>
  <sheetData>
    <row r="3" spans="1:24" ht="15" customHeight="1">
      <c r="A3" s="2725" t="s">
        <v>729</v>
      </c>
      <c r="B3" s="3167"/>
      <c r="C3" s="3167"/>
      <c r="D3" s="3167"/>
      <c r="E3" s="3167"/>
      <c r="F3" s="2726"/>
    </row>
    <row r="4" spans="1:24">
      <c r="A4" s="3604" t="s">
        <v>730</v>
      </c>
      <c r="B4" s="373">
        <v>1</v>
      </c>
      <c r="C4" s="373">
        <v>2</v>
      </c>
      <c r="D4" s="373">
        <v>3</v>
      </c>
      <c r="E4" s="373">
        <v>4</v>
      </c>
      <c r="F4" s="373">
        <v>5</v>
      </c>
      <c r="G4" s="373">
        <v>6</v>
      </c>
      <c r="H4" s="373">
        <v>7</v>
      </c>
      <c r="I4" s="373">
        <v>8</v>
      </c>
      <c r="J4" s="373">
        <v>9</v>
      </c>
      <c r="K4" s="373">
        <v>10</v>
      </c>
      <c r="L4" s="373">
        <v>11</v>
      </c>
      <c r="M4" s="373">
        <v>12</v>
      </c>
      <c r="N4" s="373">
        <v>13</v>
      </c>
      <c r="O4" s="373">
        <v>14</v>
      </c>
      <c r="P4" s="373">
        <v>15</v>
      </c>
      <c r="Q4" s="373">
        <v>16</v>
      </c>
      <c r="R4" s="373">
        <v>17</v>
      </c>
      <c r="S4" s="373">
        <v>18</v>
      </c>
      <c r="T4" s="373">
        <v>19</v>
      </c>
      <c r="U4" s="373">
        <v>20</v>
      </c>
      <c r="V4" s="374"/>
    </row>
    <row r="5" spans="1:24">
      <c r="A5" s="3604"/>
      <c r="B5" s="2727" t="s">
        <v>177</v>
      </c>
      <c r="C5" s="2727" t="s">
        <v>179</v>
      </c>
      <c r="D5" s="2727" t="s">
        <v>181</v>
      </c>
      <c r="E5" s="2727" t="s">
        <v>182</v>
      </c>
      <c r="F5" s="2727" t="s">
        <v>183</v>
      </c>
      <c r="G5" s="2727" t="s">
        <v>184</v>
      </c>
      <c r="H5" s="2728" t="s">
        <v>185</v>
      </c>
      <c r="I5" s="2727" t="s">
        <v>186</v>
      </c>
      <c r="J5" s="2727" t="s">
        <v>187</v>
      </c>
      <c r="K5" s="2727" t="s">
        <v>188</v>
      </c>
      <c r="L5" s="2727" t="s">
        <v>189</v>
      </c>
      <c r="M5" s="2727" t="s">
        <v>191</v>
      </c>
      <c r="N5" s="2727" t="s">
        <v>192</v>
      </c>
      <c r="O5" s="2727" t="s">
        <v>702</v>
      </c>
      <c r="P5" s="2727" t="s">
        <v>194</v>
      </c>
      <c r="Q5" s="2729" t="s">
        <v>115</v>
      </c>
      <c r="R5" s="2727" t="s">
        <v>196</v>
      </c>
      <c r="S5" s="2727" t="s">
        <v>197</v>
      </c>
      <c r="T5" s="2727" t="s">
        <v>193</v>
      </c>
      <c r="U5" s="2727" t="s">
        <v>110</v>
      </c>
      <c r="V5" s="2730" t="s">
        <v>118</v>
      </c>
    </row>
    <row r="6" spans="1:24">
      <c r="A6" s="2504" t="s">
        <v>436</v>
      </c>
      <c r="B6" s="2767">
        <f>+'[21]Sheet 2 - General Insurance'!$C$39</f>
        <v>11991</v>
      </c>
      <c r="C6" s="2767">
        <f>+'[22]Sheet 2 - General Insurance'!$C$39</f>
        <v>75109.039999999935</v>
      </c>
      <c r="D6" s="2767">
        <f>+'[23]Sheet 2 - General Insurance'!$C$39</f>
        <v>100496.28347000002</v>
      </c>
      <c r="E6" s="2767">
        <f>+'[24]Sheet 2 - General Insurance'!$C$39</f>
        <v>14436.836329999825</v>
      </c>
      <c r="F6" s="2767">
        <f>+'[25]Sheet 2 - General Insurance'!$C$39</f>
        <v>15127.189258330027</v>
      </c>
      <c r="G6" s="2767">
        <f>+'[26]Sheet 2 - General Insurance'!$C$39</f>
        <v>61590.31917408156</v>
      </c>
      <c r="H6" s="2768">
        <f>+'[27]Sheet 2 - General Insurance'!$C$39</f>
        <v>596457</v>
      </c>
      <c r="I6" s="2767">
        <f>+'[28]Sheet 2 - General Insurance'!$C$39</f>
        <v>31114.921959999996</v>
      </c>
      <c r="J6" s="2767"/>
      <c r="K6" s="2767">
        <f>+'[29]Sheet 2 - General Insurance'!$C$39</f>
        <v>35595.95800000005</v>
      </c>
      <c r="L6" s="2767">
        <f>+'[30]Sheet 2 - General Insurance'!$C$39/1000</f>
        <v>138182.99955335006</v>
      </c>
      <c r="M6" s="2769">
        <f>+'[31]Sheet 2 - General Insurance'!$C$39</f>
        <v>6625.9590400000025</v>
      </c>
      <c r="N6" s="2767">
        <f>+'[32]Sheet 2 - General Insurance'!$C$39</f>
        <v>2184.6448099999989</v>
      </c>
      <c r="O6" s="2767"/>
      <c r="P6" s="2767">
        <f>+'[33]Sheet 2 - General Insurance'!$C$39</f>
        <v>120714.60952999997</v>
      </c>
      <c r="Q6" s="2767">
        <f>+'[34]Sheet 2 - General Insurance'!$C$39</f>
        <v>144613.37762999948</v>
      </c>
      <c r="R6" s="2767">
        <f>+'[35]Sheet 2 - General Insurance'!$C$39</f>
        <v>9323.4402658333311</v>
      </c>
      <c r="S6" s="2767">
        <f>+'[36]Sheet 2 - General Insurance'!$C$39</f>
        <v>58842.492000000108</v>
      </c>
      <c r="T6" s="2767">
        <f>+'[37]Sheet 2 - General Insurance'!$C$39</f>
        <v>1724.0207270586238</v>
      </c>
      <c r="U6" s="2767"/>
      <c r="V6" s="2767">
        <f>SUM(B6:U6)</f>
        <v>1424130.0917486532</v>
      </c>
      <c r="W6" s="58"/>
    </row>
    <row r="7" spans="1:24">
      <c r="A7" s="2504" t="s">
        <v>437</v>
      </c>
      <c r="B7" s="2731">
        <f>+'[21]Sheet 2 - General Insurance'!$D$39</f>
        <v>21118</v>
      </c>
      <c r="C7" s="2731">
        <v>9906</v>
      </c>
      <c r="D7" s="2731">
        <v>74019.987599999993</v>
      </c>
      <c r="E7" s="2731">
        <v>15826.114000000001</v>
      </c>
      <c r="F7" s="2731">
        <v>5062.196369999996</v>
      </c>
      <c r="G7" s="2731">
        <f>+'[26]Sheet 2 - General Insurance'!$D$39</f>
        <v>4245.2549987940383</v>
      </c>
      <c r="H7" s="2731">
        <f>+'[27]Sheet 2 - General Insurance'!$D$39</f>
        <v>244495</v>
      </c>
      <c r="I7" s="2731">
        <f>+'[28]Sheet 2 - General Insurance'!$D$39</f>
        <v>13658.40065</v>
      </c>
      <c r="J7" s="2731"/>
      <c r="K7" s="2731">
        <f>+'[29]Sheet 2 - General Insurance'!$D$39</f>
        <v>3555.5901499999959</v>
      </c>
      <c r="L7" s="2731">
        <f>+'[30]Sheet 2 - General Insurance'!$D$39/1000</f>
        <v>84813.788031039992</v>
      </c>
      <c r="M7" s="2731">
        <f>+'[31]Sheet 2 - General Insurance'!$D$39</f>
        <v>77.86503999999951</v>
      </c>
      <c r="N7" s="2731">
        <f>+'[32]Sheet 2 - General Insurance'!$D$39</f>
        <v>8112.2656100000004</v>
      </c>
      <c r="O7" s="2731"/>
      <c r="P7" s="2731">
        <f>+'[33]Sheet 2 - General Insurance'!$D$39</f>
        <v>1537.9186100000002</v>
      </c>
      <c r="Q7" s="2731">
        <f>+'[34]Sheet 2 - General Insurance'!$D$39</f>
        <v>165892.7511100001</v>
      </c>
      <c r="R7" s="2731">
        <v>0</v>
      </c>
      <c r="S7" s="2731">
        <f>+'[36]Sheet 2 - General Insurance'!$D$39</f>
        <v>124989.71577999997</v>
      </c>
      <c r="T7" s="2731">
        <f>+'[37]Sheet 2 - General Insurance'!$D$39</f>
        <v>2544.5641891080459</v>
      </c>
      <c r="U7" s="2731"/>
      <c r="V7" s="2731">
        <f>SUM(B7:U7)</f>
        <v>779855.41213894216</v>
      </c>
      <c r="W7" s="58"/>
    </row>
    <row r="8" spans="1:24">
      <c r="A8" s="2504" t="s">
        <v>438</v>
      </c>
      <c r="B8" s="2734">
        <f>+'[21]Sheet 2 - General Insurance'!$E$39</f>
        <v>554625</v>
      </c>
      <c r="C8" s="2734">
        <f>+'[22]Sheet 2 - General Insurance'!$E$39</f>
        <v>275603.28000000003</v>
      </c>
      <c r="D8" s="2735">
        <f>+'[23]Sheet 2 - General Insurance'!$E$39</f>
        <v>1402339.5508399999</v>
      </c>
      <c r="E8" s="2734">
        <f>+'[24]Sheet 2 - General Insurance'!$E$39</f>
        <v>894902.863955818</v>
      </c>
      <c r="F8" s="2734">
        <f>+'[25]Sheet 2 - General Insurance'!$E$39</f>
        <v>15615.582827194963</v>
      </c>
      <c r="G8" s="2731">
        <f>+'[26]Sheet 2 - General Insurance'!$E$39</f>
        <v>907309.60939319828</v>
      </c>
      <c r="H8" s="2731">
        <f>+'[27]Sheet 2 - General Insurance'!$E$39</f>
        <v>6124855</v>
      </c>
      <c r="I8" s="2731">
        <f>+'[28]Sheet 2 - General Insurance'!$E$39</f>
        <v>994227.09907</v>
      </c>
      <c r="J8" s="2731"/>
      <c r="K8" s="2731">
        <f>+'[29]Sheet 2 - General Insurance'!$E$39</f>
        <v>1185627.1847099999</v>
      </c>
      <c r="L8" s="2731">
        <f>+'[30]Sheet 2 - General Insurance'!$E$39/1000</f>
        <v>4501945.9990615994</v>
      </c>
      <c r="M8" s="2731">
        <f>+'[31]Sheet 2 - General Insurance'!$E$39</f>
        <v>1237163.7800499999</v>
      </c>
      <c r="N8" s="2731">
        <f>+'[32]Sheet 2 - General Insurance'!$E$39</f>
        <v>788630.40683999995</v>
      </c>
      <c r="O8" s="2731"/>
      <c r="P8" s="2731">
        <f>+'[33]Sheet 2 - General Insurance'!$E$39</f>
        <v>2517533.4318400002</v>
      </c>
      <c r="Q8" s="2731">
        <f>+'[34]Sheet 2 - General Insurance'!$E$39</f>
        <v>7302050.8899200037</v>
      </c>
      <c r="R8" s="2731">
        <f>+'[35]Sheet 2 - General Insurance'!$E$39</f>
        <v>149168.55084708333</v>
      </c>
      <c r="S8" s="2731">
        <f>+'[36]Sheet 2 - General Insurance'!$E$39</f>
        <v>2403174.0531899999</v>
      </c>
      <c r="T8" s="2731">
        <f>+'[37]Sheet 2 - General Insurance'!$E$39</f>
        <v>233615.15584124965</v>
      </c>
      <c r="U8" s="2731"/>
      <c r="V8" s="2731">
        <f>SUM(B8:U8)</f>
        <v>31488387.438386142</v>
      </c>
      <c r="W8" s="58"/>
    </row>
    <row r="9" spans="1:24">
      <c r="A9" s="2504" t="s">
        <v>722</v>
      </c>
      <c r="B9" s="2734">
        <f>+'[21]Sheet 2 - General Insurance'!$F$39</f>
        <v>7656</v>
      </c>
      <c r="C9" s="2734">
        <f>+'[22]Sheet 2 - General Insurance'!$F$39</f>
        <v>9759.41</v>
      </c>
      <c r="D9" s="2735">
        <f>+'[23]Sheet 2 - General Insurance'!$F$39</f>
        <v>1171.9387873595697</v>
      </c>
      <c r="E9" s="2734">
        <f>+'[24]Sheet 2 - General Insurance'!$F$39</f>
        <v>5536.0702599999995</v>
      </c>
      <c r="F9" s="2734">
        <f>+'[25]Sheet 2 - General Insurance'!$F$39</f>
        <v>644.87829908176025</v>
      </c>
      <c r="G9" s="2731">
        <f>+'[26]Sheet 2 - General Insurance'!$F$39</f>
        <v>1160.6031782236407</v>
      </c>
      <c r="H9" s="2731">
        <f>+'[27]Sheet 2 - General Insurance'!$F$39</f>
        <v>86399</v>
      </c>
      <c r="I9" s="2731">
        <v>0</v>
      </c>
      <c r="J9" s="2731"/>
      <c r="K9" s="2731">
        <f>+'[29]Sheet 2 - General Insurance'!$F$39</f>
        <v>3844.1516399999996</v>
      </c>
      <c r="L9" s="2731">
        <v>0</v>
      </c>
      <c r="M9" s="2731">
        <f>+'[31]Sheet 2 - General Insurance'!$F$39</f>
        <v>-1186.9653400000025</v>
      </c>
      <c r="N9" s="2731">
        <v>0</v>
      </c>
      <c r="O9" s="2731"/>
      <c r="P9" s="2731">
        <v>0</v>
      </c>
      <c r="Q9" s="2731">
        <f>+'[34]Sheet 2 - General Insurance'!$F$39</f>
        <v>79915.650380000006</v>
      </c>
      <c r="R9" s="2731">
        <f>+'[35]Sheet 2 - General Insurance'!$F$39</f>
        <v>0.39600000000000002</v>
      </c>
      <c r="S9" s="2731">
        <f>+'[36]Sheet 2 - General Insurance'!$F$39</f>
        <v>35622.643089999998</v>
      </c>
      <c r="T9" s="2731">
        <v>0</v>
      </c>
      <c r="U9" s="2731"/>
      <c r="V9" s="2731">
        <f>SUM(B9:U9)</f>
        <v>230523.77629466497</v>
      </c>
      <c r="W9" s="58"/>
    </row>
    <row r="10" spans="1:24">
      <c r="A10" s="2504" t="s">
        <v>440</v>
      </c>
      <c r="B10" s="2734">
        <f>+'[21]Sheet 2 - General Insurance'!$G$39</f>
        <v>387274</v>
      </c>
      <c r="C10" s="2734">
        <f>+'[22]Sheet 2 - General Insurance'!$G$39</f>
        <v>309985.77</v>
      </c>
      <c r="D10" s="2735">
        <f>+'[23]Sheet 2 - General Insurance'!$G$39</f>
        <v>307812.08301</v>
      </c>
      <c r="E10" s="2734">
        <f>+'[24]Sheet 2 - General Insurance'!$G$39</f>
        <v>167842.33261999997</v>
      </c>
      <c r="F10" s="2734">
        <f>+'[25]Sheet 2 - General Insurance'!$G$39</f>
        <v>280598.72018289129</v>
      </c>
      <c r="G10" s="2731">
        <f>+'[26]Sheet 2 - General Insurance'!$G$39</f>
        <v>16094.054978796923</v>
      </c>
      <c r="H10" s="2731">
        <f>+'[27]Sheet 2 - General Insurance'!$G$39</f>
        <v>1790506</v>
      </c>
      <c r="I10" s="2731">
        <f>+'[28]Sheet 2 - General Insurance'!$G$39</f>
        <v>118133.94250999999</v>
      </c>
      <c r="J10" s="2731"/>
      <c r="K10" s="2731">
        <f>+'[29]Sheet 2 - General Insurance'!$G$39</f>
        <v>127809.91972999999</v>
      </c>
      <c r="L10" s="2731">
        <f>+'[30]Sheet 2 - General Insurance'!$G$39/1000</f>
        <v>646346.99948333995</v>
      </c>
      <c r="M10" s="2731">
        <f>+'[31]Sheet 2 - General Insurance'!$G$39</f>
        <v>-4730.1627099999996</v>
      </c>
      <c r="N10" s="2731">
        <f>+'[32]Sheet 2 - General Insurance'!$G$39</f>
        <v>199322.15664000003</v>
      </c>
      <c r="O10" s="2731"/>
      <c r="P10" s="2731">
        <f>+'[33]Sheet 2 - General Insurance'!$G$39</f>
        <v>160694.91036000001</v>
      </c>
      <c r="Q10" s="2731">
        <f>+'[34]Sheet 2 - General Insurance'!$G$39</f>
        <v>2190254.8430200014</v>
      </c>
      <c r="R10" s="2731">
        <f>+'[35]Sheet 2 - General Insurance'!$G$39</f>
        <v>78619.38594708337</v>
      </c>
      <c r="S10" s="2731">
        <f>+'[36]Sheet 2 - General Insurance'!$G$39</f>
        <v>1369705.1760500001</v>
      </c>
      <c r="T10" s="2731">
        <f>+'[37]Sheet 2 - General Insurance'!$G$39</f>
        <v>60668.30536728922</v>
      </c>
      <c r="U10" s="2731"/>
      <c r="V10" s="2731">
        <f>SUM(B10:U10)</f>
        <v>8206938.4371894021</v>
      </c>
      <c r="W10" s="58"/>
    </row>
    <row r="11" spans="1:24">
      <c r="A11" s="2736" t="s">
        <v>118</v>
      </c>
      <c r="B11" s="2737">
        <f t="shared" ref="B11:L11" si="0">SUM(B6:B10)</f>
        <v>982664</v>
      </c>
      <c r="C11" s="2737">
        <f t="shared" si="0"/>
        <v>680363.5</v>
      </c>
      <c r="D11" s="2737">
        <f t="shared" si="0"/>
        <v>1885839.8437073594</v>
      </c>
      <c r="E11" s="2737">
        <f t="shared" si="0"/>
        <v>1098544.2171658177</v>
      </c>
      <c r="F11" s="2737">
        <f t="shared" si="0"/>
        <v>317048.56693749805</v>
      </c>
      <c r="G11" s="2737">
        <f t="shared" si="0"/>
        <v>990399.84172309446</v>
      </c>
      <c r="H11" s="2737">
        <f t="shared" si="0"/>
        <v>8842712</v>
      </c>
      <c r="I11" s="2737">
        <f t="shared" si="0"/>
        <v>1157134.3641900001</v>
      </c>
      <c r="J11" s="2737">
        <f t="shared" si="0"/>
        <v>0</v>
      </c>
      <c r="K11" s="2737">
        <f t="shared" si="0"/>
        <v>1356432.8042299999</v>
      </c>
      <c r="L11" s="2737">
        <f t="shared" si="0"/>
        <v>5371289.7861293294</v>
      </c>
      <c r="M11" s="2737">
        <f t="shared" ref="M11:U11" si="1">SUM(M6:M10)</f>
        <v>1237950.4760799997</v>
      </c>
      <c r="N11" s="2737">
        <f t="shared" si="1"/>
        <v>998249.47389999998</v>
      </c>
      <c r="O11" s="2737">
        <f t="shared" si="1"/>
        <v>0</v>
      </c>
      <c r="P11" s="2737">
        <f t="shared" si="1"/>
        <v>2800480.8703400004</v>
      </c>
      <c r="Q11" s="2737">
        <f t="shared" si="1"/>
        <v>9882727.5120600052</v>
      </c>
      <c r="R11" s="2737">
        <f t="shared" si="1"/>
        <v>237111.77306000004</v>
      </c>
      <c r="S11" s="2737">
        <f t="shared" si="1"/>
        <v>3992334.0801100004</v>
      </c>
      <c r="T11" s="2737">
        <f t="shared" si="1"/>
        <v>298552.04612470552</v>
      </c>
      <c r="U11" s="2737">
        <f t="shared" si="1"/>
        <v>0</v>
      </c>
      <c r="V11" s="2737">
        <f>SUM(V6:V10)</f>
        <v>42129835.1557578</v>
      </c>
      <c r="W11" s="375">
        <f>+'[5]P &amp; L - GI - 2013'!H13</f>
        <v>42183171.414035596</v>
      </c>
      <c r="X11" s="14">
        <f>+V11-W11</f>
        <v>-53336.258277796209</v>
      </c>
    </row>
    <row r="12" spans="1:24">
      <c r="A12" s="46"/>
      <c r="B12" s="376"/>
      <c r="C12" s="376"/>
      <c r="D12" s="376"/>
      <c r="E12" s="376"/>
      <c r="F12" s="376"/>
      <c r="G12" s="376"/>
      <c r="H12" s="376"/>
      <c r="I12" s="376"/>
      <c r="J12" s="376"/>
      <c r="K12" s="376"/>
      <c r="L12" s="376"/>
      <c r="M12" s="376"/>
      <c r="N12" s="376"/>
      <c r="O12" s="376"/>
      <c r="P12" s="376"/>
      <c r="Q12" s="376"/>
      <c r="R12" s="376"/>
      <c r="S12" s="376"/>
      <c r="T12" s="376"/>
      <c r="U12" s="376"/>
      <c r="V12" s="376"/>
      <c r="W12" s="376"/>
      <c r="X12" s="14"/>
    </row>
    <row r="14" spans="1:24" ht="15" customHeight="1">
      <c r="A14" s="2725" t="s">
        <v>731</v>
      </c>
      <c r="B14" s="3167"/>
      <c r="C14" s="3167"/>
      <c r="D14" s="3167"/>
      <c r="E14" s="3167"/>
      <c r="F14" s="2726"/>
    </row>
    <row r="15" spans="1:24">
      <c r="A15" s="3604" t="s">
        <v>730</v>
      </c>
      <c r="B15" s="373">
        <v>1</v>
      </c>
      <c r="C15" s="373">
        <v>2</v>
      </c>
      <c r="D15" s="373">
        <v>3</v>
      </c>
      <c r="E15" s="373">
        <v>4</v>
      </c>
      <c r="F15" s="373">
        <v>5</v>
      </c>
      <c r="G15" s="373">
        <v>6</v>
      </c>
      <c r="H15" s="373">
        <v>7</v>
      </c>
      <c r="I15" s="373">
        <v>8</v>
      </c>
      <c r="J15" s="373">
        <v>9</v>
      </c>
      <c r="K15" s="373">
        <v>10</v>
      </c>
      <c r="L15" s="373">
        <v>11</v>
      </c>
      <c r="M15" s="373">
        <v>12</v>
      </c>
      <c r="N15" s="373">
        <v>13</v>
      </c>
      <c r="O15" s="373">
        <v>14</v>
      </c>
      <c r="P15" s="373">
        <v>15</v>
      </c>
      <c r="Q15" s="373">
        <v>16</v>
      </c>
      <c r="R15" s="373">
        <v>17</v>
      </c>
      <c r="S15" s="373">
        <v>18</v>
      </c>
      <c r="T15" s="373">
        <v>19</v>
      </c>
      <c r="U15" s="373">
        <v>20</v>
      </c>
      <c r="V15" s="374"/>
    </row>
    <row r="16" spans="1:24">
      <c r="A16" s="3604"/>
      <c r="B16" s="2727" t="s">
        <v>177</v>
      </c>
      <c r="C16" s="2727" t="s">
        <v>179</v>
      </c>
      <c r="D16" s="2727" t="s">
        <v>181</v>
      </c>
      <c r="E16" s="2727" t="s">
        <v>182</v>
      </c>
      <c r="F16" s="2727" t="s">
        <v>183</v>
      </c>
      <c r="G16" s="2727" t="s">
        <v>184</v>
      </c>
      <c r="H16" s="2728" t="s">
        <v>185</v>
      </c>
      <c r="I16" s="2727" t="s">
        <v>186</v>
      </c>
      <c r="J16" s="2727" t="s">
        <v>187</v>
      </c>
      <c r="K16" s="2727" t="s">
        <v>188</v>
      </c>
      <c r="L16" s="2727" t="s">
        <v>189</v>
      </c>
      <c r="M16" s="2727" t="s">
        <v>191</v>
      </c>
      <c r="N16" s="2727" t="s">
        <v>192</v>
      </c>
      <c r="O16" s="2727" t="s">
        <v>702</v>
      </c>
      <c r="P16" s="2727" t="s">
        <v>194</v>
      </c>
      <c r="Q16" s="2729" t="s">
        <v>115</v>
      </c>
      <c r="R16" s="2727" t="s">
        <v>196</v>
      </c>
      <c r="S16" s="2727" t="s">
        <v>197</v>
      </c>
      <c r="T16" s="2727" t="s">
        <v>193</v>
      </c>
      <c r="U16" s="2727" t="s">
        <v>110</v>
      </c>
      <c r="V16" s="2730" t="s">
        <v>118</v>
      </c>
    </row>
    <row r="17" spans="1:24">
      <c r="A17" s="2504" t="s">
        <v>436</v>
      </c>
      <c r="B17" s="2731">
        <f>+'[21]Sheet 2 - General Insurance'!$C$159</f>
        <v>9185.9460699999727</v>
      </c>
      <c r="C17" s="2731">
        <f>+'[22]Sheet 2 - General Insurance'!$C$157</f>
        <v>56046</v>
      </c>
      <c r="D17" s="2731">
        <f>+'[23]Sheet 2 - General Insurance'!$C$177</f>
        <v>127977.13802000001</v>
      </c>
      <c r="E17" s="2731">
        <f>+'[24]Sheet 2 - General Insurance'!$C$161</f>
        <v>7684.5690000000068</v>
      </c>
      <c r="F17" s="2731">
        <f>+'[25]Sheet 2 - General Insurance'!$C$157</f>
        <v>15034.93374</v>
      </c>
      <c r="G17" s="2731">
        <f>+'[26]Sheet 2 - General Insurance'!$C$172</f>
        <v>51972.113134867264</v>
      </c>
      <c r="H17" s="2732">
        <f>+'[5]P &amp; L - GI - 2012 '!C278</f>
        <v>516418</v>
      </c>
      <c r="I17" s="2731">
        <f>+'[28]Sheet 2 - General Insurance'!$C$157</f>
        <v>31180.10871</v>
      </c>
      <c r="J17" s="2731"/>
      <c r="K17" s="2731">
        <f>+'[29]Sheet 2 - General Insurance'!$C$166</f>
        <v>33549.44299000004</v>
      </c>
      <c r="L17" s="2731">
        <f>+'[30]Sheet 2 - General Insurance'!$C$160</f>
        <v>111866.73726999905</v>
      </c>
      <c r="M17" s="2731">
        <f>+'[31]Sheet 2 - General Insurance'!$C$157</f>
        <v>-17648.952170000004</v>
      </c>
      <c r="N17" s="2731">
        <f>+'[32]Sheet 2 - General Insurance'!$C$157</f>
        <v>6128.9368600000016</v>
      </c>
      <c r="O17" s="2731"/>
      <c r="P17" s="2731">
        <f>+'[33]Sheet 2 - General Insurance'!$C$162</f>
        <v>111189.66164999998</v>
      </c>
      <c r="Q17" s="2731">
        <f>+'[5]P &amp; L - GI - 2012 '!C608</f>
        <v>211402.43547999993</v>
      </c>
      <c r="R17" s="2731">
        <f>+'[35]Sheet 2 - General Insurance'!$C$157</f>
        <v>2766.1209099999987</v>
      </c>
      <c r="S17" s="2731">
        <f>+'[36]Sheet 2 - General Insurance'!$C$157</f>
        <v>125135.56500000002</v>
      </c>
      <c r="T17" s="2731">
        <f>+'[37]Sheet 2 - General Insurance'!$C$157</f>
        <v>919.59053914250148</v>
      </c>
      <c r="U17" s="2731"/>
      <c r="V17" s="2731">
        <f>SUM(B17:U17)</f>
        <v>1400808.3472040088</v>
      </c>
      <c r="W17" s="58"/>
    </row>
    <row r="18" spans="1:24">
      <c r="A18" s="2504" t="s">
        <v>437</v>
      </c>
      <c r="B18" s="2731">
        <f>+'[21]Sheet 2 - General Insurance'!$D$159</f>
        <v>24449.195810000005</v>
      </c>
      <c r="C18" s="2731">
        <f>+'[22]Sheet 2 - General Insurance'!$D$157</f>
        <v>10804.21</v>
      </c>
      <c r="D18" s="2731">
        <f>+'[23]Sheet 2 - General Insurance'!$D$177</f>
        <v>74019.987599999993</v>
      </c>
      <c r="E18" s="2731">
        <f>+'[24]Sheet 2 - General Insurance'!$D$161</f>
        <v>15606.681000000002</v>
      </c>
      <c r="F18" s="2731">
        <f>+'[25]Sheet 2 - General Insurance'!$D$157</f>
        <v>5062.196369999996</v>
      </c>
      <c r="G18" s="2731">
        <f>+'[26]Sheet 2 - General Insurance'!$D$172</f>
        <v>1991.9227454172162</v>
      </c>
      <c r="H18" s="2731">
        <f>+'[27]Sheet 2 - General Insurance'!$D$171</f>
        <v>249074</v>
      </c>
      <c r="I18" s="2731">
        <f>+'[28]Sheet 2 - General Insurance'!$D$157</f>
        <v>11456.661589999998</v>
      </c>
      <c r="J18" s="2731"/>
      <c r="K18" s="2731">
        <f>+'[29]Sheet 2 - General Insurance'!$D$166</f>
        <v>4250.1385900000041</v>
      </c>
      <c r="L18" s="2731">
        <f>+'[30]Sheet 2 - General Insurance'!$D$160</f>
        <v>85932.345170000015</v>
      </c>
      <c r="M18" s="2731">
        <f>+'[31]Sheet 2 - General Insurance'!$D$157</f>
        <v>-6118.17839</v>
      </c>
      <c r="N18" s="2731">
        <f>+'[32]Sheet 2 - General Insurance'!$D$157</f>
        <v>8356.355109999995</v>
      </c>
      <c r="O18" s="2731"/>
      <c r="P18" s="2731">
        <f>+'[33]Sheet 2 - General Insurance'!$D$162</f>
        <v>8727.9344600000004</v>
      </c>
      <c r="Q18" s="2731">
        <f>+'[5]P &amp; L - GI - 2012 '!D608</f>
        <v>-17720.445320000021</v>
      </c>
      <c r="R18" s="2731">
        <f>+'[35]Sheet 2 - General Insurance'!$D$157</f>
        <v>0</v>
      </c>
      <c r="S18" s="2731">
        <f>+'[36]Sheet 2 - General Insurance'!$D$157</f>
        <v>59769.151319999903</v>
      </c>
      <c r="T18" s="2731">
        <f>+'[37]Sheet 2 - General Insurance'!$D$157</f>
        <v>1410.5920268613863</v>
      </c>
      <c r="U18" s="2731"/>
      <c r="V18" s="2731">
        <f>SUM(B18:U18)</f>
        <v>537072.74808227841</v>
      </c>
      <c r="W18" s="58"/>
    </row>
    <row r="19" spans="1:24">
      <c r="A19" s="2504" t="s">
        <v>438</v>
      </c>
      <c r="B19" s="2734">
        <f>+'[21]Sheet 2 - General Insurance'!$E$159</f>
        <v>434907.48022000003</v>
      </c>
      <c r="C19" s="2734">
        <f>+'[22]Sheet 2 - General Insurance'!$E$157</f>
        <v>144016</v>
      </c>
      <c r="D19" s="2735">
        <f>+'[23]Sheet 2 - General Insurance'!$E$177</f>
        <v>1446848.9569999999</v>
      </c>
      <c r="E19" s="2734">
        <f>+'[24]Sheet 2 - General Insurance'!$E$161</f>
        <v>786224.00400000007</v>
      </c>
      <c r="F19" s="2734">
        <f>+'[25]Sheet 2 - General Insurance'!$E$157</f>
        <v>50340.718390000002</v>
      </c>
      <c r="G19" s="2731">
        <f>+'[26]Sheet 2 - General Insurance'!$E$172</f>
        <v>925439.04323602375</v>
      </c>
      <c r="H19" s="2731">
        <f>+'[27]Sheet 2 - General Insurance'!$E$171</f>
        <v>6327616</v>
      </c>
      <c r="I19" s="2731">
        <f>+'[28]Sheet 2 - General Insurance'!$E$157</f>
        <v>823724.38667000004</v>
      </c>
      <c r="J19" s="2731"/>
      <c r="K19" s="2731">
        <f>+'[29]Sheet 2 - General Insurance'!$E$166</f>
        <v>1174170.6146</v>
      </c>
      <c r="L19" s="2731">
        <f>+'[30]Sheet 2 - General Insurance'!$E$160</f>
        <v>4042847.8693500198</v>
      </c>
      <c r="M19" s="2731">
        <f>+'[31]Sheet 2 - General Insurance'!$E$157</f>
        <v>854754.57689000014</v>
      </c>
      <c r="N19" s="2731">
        <f>+'[32]Sheet 2 - General Insurance'!$E$157</f>
        <v>589982.99858000013</v>
      </c>
      <c r="O19" s="2731"/>
      <c r="P19" s="2731">
        <f>+'[33]Sheet 2 - General Insurance'!$E$162</f>
        <v>2195967.22358</v>
      </c>
      <c r="Q19" s="2731">
        <f>+'[5]P &amp; L - GI - 2012 '!E608</f>
        <v>7118266.2959499974</v>
      </c>
      <c r="R19" s="2731">
        <f>+'[35]Sheet 2 - General Insurance'!$E$157</f>
        <v>161159.57548999999</v>
      </c>
      <c r="S19" s="2731">
        <f>+'[36]Sheet 2 - General Insurance'!$E$157</f>
        <v>2135046.1623499999</v>
      </c>
      <c r="T19" s="2731">
        <f>+'[37]Sheet 2 - General Insurance'!$E$157</f>
        <v>81797.987727887725</v>
      </c>
      <c r="U19" s="2731"/>
      <c r="V19" s="2731">
        <f>SUM(B19:U19)</f>
        <v>29293109.894033927</v>
      </c>
      <c r="W19" s="58"/>
    </row>
    <row r="20" spans="1:24">
      <c r="A20" s="2504" t="s">
        <v>722</v>
      </c>
      <c r="B20" s="2734">
        <f>+'[21]Sheet 2 - General Insurance'!$F$159</f>
        <v>4970.9151399999992</v>
      </c>
      <c r="C20" s="2734">
        <f>+'[22]Sheet 2 - General Insurance'!$F$157</f>
        <v>8397</v>
      </c>
      <c r="D20" s="2735">
        <f>+'[23]Sheet 2 - General Insurance'!$F$177</f>
        <v>19455</v>
      </c>
      <c r="E20" s="2734">
        <f>+'[24]Sheet 2 - General Insurance'!$F$161</f>
        <v>4865.4969999999994</v>
      </c>
      <c r="F20" s="2734">
        <f>+'[25]Sheet 2 - General Insurance'!$F$157</f>
        <v>1073.2673599999996</v>
      </c>
      <c r="G20" s="2731">
        <f>+'[26]Sheet 2 - General Insurance'!$F$172</f>
        <v>782.44109013554055</v>
      </c>
      <c r="H20" s="2731">
        <f>+'[27]Sheet 2 - General Insurance'!$F$171</f>
        <v>86800</v>
      </c>
      <c r="I20" s="2731">
        <v>0</v>
      </c>
      <c r="J20" s="2731"/>
      <c r="K20" s="2731">
        <f>+'[29]Sheet 2 - General Insurance'!$F$166</f>
        <v>3573.4422999999997</v>
      </c>
      <c r="L20" s="2731">
        <v>0</v>
      </c>
      <c r="M20" s="2731">
        <f>+'[31]Sheet 2 - General Insurance'!$F$157</f>
        <v>511.07972999999981</v>
      </c>
      <c r="N20" s="2731">
        <v>0</v>
      </c>
      <c r="O20" s="2731"/>
      <c r="P20" s="2731">
        <v>0</v>
      </c>
      <c r="Q20" s="2731">
        <f>+'[5]P &amp; L - GI - 2012 '!F608</f>
        <v>81464.675830000022</v>
      </c>
      <c r="R20" s="2731">
        <f>+'[35]Sheet 2 - General Insurance'!$F$157</f>
        <v>0</v>
      </c>
      <c r="S20" s="2731">
        <f>+'[36]Sheet 2 - General Insurance'!$F$157</f>
        <v>33395.974390000003</v>
      </c>
      <c r="T20" s="2731">
        <f>+'[37]Sheet 2 - General Insurance'!$F$157</f>
        <v>0</v>
      </c>
      <c r="U20" s="2731"/>
      <c r="V20" s="2731">
        <f>SUM(B20:U20)</f>
        <v>245289.29284013557</v>
      </c>
      <c r="W20" s="58"/>
    </row>
    <row r="21" spans="1:24">
      <c r="A21" s="2504" t="s">
        <v>440</v>
      </c>
      <c r="B21" s="2734">
        <f>+'[21]Sheet 2 - General Insurance'!$G$159</f>
        <v>211880.42155000003</v>
      </c>
      <c r="C21" s="2734">
        <f>+'[22]Sheet 2 - General Insurance'!$G$157</f>
        <v>216298.16999999998</v>
      </c>
      <c r="D21" s="2735">
        <f>+'[23]Sheet 2 - General Insurance'!$G$177</f>
        <v>299489.78647000022</v>
      </c>
      <c r="E21" s="2734">
        <f>+'[24]Sheet 2 - General Insurance'!$G$161</f>
        <v>154998.67699999991</v>
      </c>
      <c r="F21" s="2734">
        <f>+'[25]Sheet 2 - General Insurance'!$G$157</f>
        <v>316325.48613000027</v>
      </c>
      <c r="G21" s="2731">
        <f>+'[26]Sheet 2 - General Insurance'!$G$172</f>
        <v>23140.302350180227</v>
      </c>
      <c r="H21" s="2731">
        <f>+'[27]Sheet 2 - General Insurance'!$G$171</f>
        <v>1442245</v>
      </c>
      <c r="I21" s="2731">
        <f>+'[28]Sheet 2 - General Insurance'!$G$157</f>
        <v>135022.10180999999</v>
      </c>
      <c r="J21" s="2731"/>
      <c r="K21" s="2731">
        <f>+'[29]Sheet 2 - General Insurance'!$G$166</f>
        <v>109528.20471999998</v>
      </c>
      <c r="L21" s="2731">
        <f>+'[30]Sheet 2 - General Insurance'!$G$160</f>
        <v>611959.9632</v>
      </c>
      <c r="M21" s="2731">
        <f>+'[31]Sheet 2 - General Insurance'!$G$157</f>
        <v>-9878.1185899999982</v>
      </c>
      <c r="N21" s="2731">
        <f>+'[32]Sheet 2 - General Insurance'!$G$157</f>
        <v>118820.44835000001</v>
      </c>
      <c r="O21" s="2731"/>
      <c r="P21" s="2731">
        <f>+'[33]Sheet 2 - General Insurance'!$G$162</f>
        <v>132355</v>
      </c>
      <c r="Q21" s="2731">
        <f>+'[5]P &amp; L - GI - 2012 '!G608</f>
        <v>1965098.9336100011</v>
      </c>
      <c r="R21" s="2731">
        <f>+'[35]Sheet 2 - General Insurance'!$G$157</f>
        <v>52386.550160000035</v>
      </c>
      <c r="S21" s="2731">
        <f>+'[36]Sheet 2 - General Insurance'!$G$157</f>
        <v>1175064.1522499998</v>
      </c>
      <c r="T21" s="2731">
        <f>+'[37]Sheet 2 - General Insurance'!$G$157</f>
        <v>22586.550192785209</v>
      </c>
      <c r="U21" s="2731"/>
      <c r="V21" s="2731">
        <f>SUM(B21:U21)</f>
        <v>6977321.6292029666</v>
      </c>
      <c r="W21" s="58"/>
    </row>
    <row r="22" spans="1:24">
      <c r="A22" s="2736" t="s">
        <v>118</v>
      </c>
      <c r="B22" s="2737">
        <f>SUM(B17:B21)</f>
        <v>685393.95879000006</v>
      </c>
      <c r="C22" s="2737">
        <f>SUM(C17:C21)</f>
        <v>435561.38</v>
      </c>
      <c r="D22" s="2737">
        <f>SUM(D17:D21)</f>
        <v>1967790.8690900002</v>
      </c>
      <c r="E22" s="2737">
        <f>SUM(E17:E21)</f>
        <v>969379.42799999996</v>
      </c>
      <c r="F22" s="2737">
        <f>SUM(F17:F21)</f>
        <v>387836.60199000023</v>
      </c>
      <c r="G22" s="2737">
        <f t="shared" ref="G22:V22" si="2">SUM(G17:G21)</f>
        <v>1003325.822556624</v>
      </c>
      <c r="H22" s="2737">
        <f t="shared" si="2"/>
        <v>8622153</v>
      </c>
      <c r="I22" s="2737">
        <f t="shared" si="2"/>
        <v>1001383.25878</v>
      </c>
      <c r="J22" s="2737">
        <f t="shared" si="2"/>
        <v>0</v>
      </c>
      <c r="K22" s="2737">
        <f t="shared" si="2"/>
        <v>1325071.8432</v>
      </c>
      <c r="L22" s="2737">
        <f>SUM(L17:L21)</f>
        <v>4852606.9149900191</v>
      </c>
      <c r="M22" s="2737">
        <f t="shared" si="2"/>
        <v>821620.40747000021</v>
      </c>
      <c r="N22" s="2737">
        <f t="shared" si="2"/>
        <v>723288.73890000011</v>
      </c>
      <c r="O22" s="2737">
        <f t="shared" si="2"/>
        <v>0</v>
      </c>
      <c r="P22" s="2737">
        <f t="shared" si="2"/>
        <v>2448239.8196899998</v>
      </c>
      <c r="Q22" s="2737">
        <f t="shared" si="2"/>
        <v>9358511.8955499977</v>
      </c>
      <c r="R22" s="2737">
        <f t="shared" si="2"/>
        <v>216312.24656000003</v>
      </c>
      <c r="S22" s="2737">
        <f t="shared" si="2"/>
        <v>3528411.0053099999</v>
      </c>
      <c r="T22" s="2737">
        <f t="shared" si="2"/>
        <v>106714.72048667682</v>
      </c>
      <c r="U22" s="2737">
        <f t="shared" si="2"/>
        <v>0</v>
      </c>
      <c r="V22" s="2737">
        <f t="shared" si="2"/>
        <v>38453601.911363319</v>
      </c>
      <c r="W22" s="375">
        <f>+'[5]P &amp; L - GI - 2012 '!H13</f>
        <v>38453601.911363319</v>
      </c>
      <c r="X22" s="14">
        <f>+V22-W22</f>
        <v>0</v>
      </c>
    </row>
    <row r="25" spans="1:24" ht="15" customHeight="1">
      <c r="A25" s="2725" t="s">
        <v>732</v>
      </c>
      <c r="B25" s="3167"/>
      <c r="C25" s="3167"/>
      <c r="D25" s="3167"/>
      <c r="E25" s="3167"/>
      <c r="F25" s="2726"/>
    </row>
    <row r="26" spans="1:24">
      <c r="A26" s="3604" t="s">
        <v>730</v>
      </c>
      <c r="B26" s="373">
        <v>1</v>
      </c>
      <c r="C26" s="373">
        <v>2</v>
      </c>
      <c r="D26" s="373">
        <v>3</v>
      </c>
      <c r="E26" s="373">
        <v>4</v>
      </c>
      <c r="F26" s="373">
        <v>5</v>
      </c>
      <c r="G26" s="373">
        <v>6</v>
      </c>
      <c r="H26" s="373">
        <v>7</v>
      </c>
      <c r="I26" s="373">
        <v>8</v>
      </c>
      <c r="J26" s="373">
        <v>9</v>
      </c>
      <c r="K26" s="373">
        <v>10</v>
      </c>
      <c r="L26" s="373">
        <v>11</v>
      </c>
      <c r="M26" s="373">
        <v>12</v>
      </c>
      <c r="N26" s="373">
        <v>13</v>
      </c>
      <c r="O26" s="373">
        <v>14</v>
      </c>
      <c r="P26" s="373">
        <v>15</v>
      </c>
      <c r="Q26" s="373">
        <v>16</v>
      </c>
      <c r="R26" s="373">
        <v>17</v>
      </c>
      <c r="S26" s="373">
        <v>18</v>
      </c>
      <c r="T26" s="373">
        <v>19</v>
      </c>
      <c r="U26" s="373">
        <v>20</v>
      </c>
      <c r="V26" s="374"/>
    </row>
    <row r="27" spans="1:24">
      <c r="A27" s="3604"/>
      <c r="B27" s="2727" t="s">
        <v>177</v>
      </c>
      <c r="C27" s="2727" t="s">
        <v>179</v>
      </c>
      <c r="D27" s="2727" t="s">
        <v>181</v>
      </c>
      <c r="E27" s="2727" t="s">
        <v>182</v>
      </c>
      <c r="F27" s="2727" t="s">
        <v>183</v>
      </c>
      <c r="G27" s="2727" t="s">
        <v>184</v>
      </c>
      <c r="H27" s="2728" t="s">
        <v>185</v>
      </c>
      <c r="I27" s="2727" t="s">
        <v>186</v>
      </c>
      <c r="J27" s="2727" t="s">
        <v>187</v>
      </c>
      <c r="K27" s="2727" t="s">
        <v>188</v>
      </c>
      <c r="L27" s="2727" t="s">
        <v>189</v>
      </c>
      <c r="M27" s="2727" t="s">
        <v>191</v>
      </c>
      <c r="N27" s="2727" t="s">
        <v>192</v>
      </c>
      <c r="O27" s="2727" t="s">
        <v>702</v>
      </c>
      <c r="P27" s="2727" t="s">
        <v>194</v>
      </c>
      <c r="Q27" s="2727" t="s">
        <v>115</v>
      </c>
      <c r="R27" s="2727" t="s">
        <v>196</v>
      </c>
      <c r="S27" s="2727" t="s">
        <v>197</v>
      </c>
      <c r="T27" s="2727" t="s">
        <v>193</v>
      </c>
      <c r="U27" s="2727" t="s">
        <v>110</v>
      </c>
      <c r="V27" s="2730" t="s">
        <v>118</v>
      </c>
    </row>
    <row r="28" spans="1:24">
      <c r="A28" s="2504" t="s">
        <v>436</v>
      </c>
      <c r="B28" s="2731">
        <v>4576.2172399999981</v>
      </c>
      <c r="C28" s="2731">
        <v>71591</v>
      </c>
      <c r="D28" s="2731">
        <v>111314.74394999997</v>
      </c>
      <c r="E28" s="2731">
        <v>9235.9889999999978</v>
      </c>
      <c r="F28" s="2731">
        <v>3998</v>
      </c>
      <c r="G28" s="2731">
        <v>35470.872924293399</v>
      </c>
      <c r="H28" s="2732">
        <v>442930</v>
      </c>
      <c r="I28" s="2731">
        <v>30909.073029999992</v>
      </c>
      <c r="J28" s="2731"/>
      <c r="K28" s="2731">
        <v>31862.239679999999</v>
      </c>
      <c r="L28" s="2731">
        <v>92610.746889998991</v>
      </c>
      <c r="M28" s="2731"/>
      <c r="N28" s="2731">
        <v>1058</v>
      </c>
      <c r="O28" s="2731"/>
      <c r="P28" s="2731">
        <v>45621</v>
      </c>
      <c r="Q28" s="2731">
        <v>206881.33041999995</v>
      </c>
      <c r="R28" s="2731">
        <v>5879</v>
      </c>
      <c r="S28" s="2731">
        <v>47649.619230000055</v>
      </c>
      <c r="T28" s="2731">
        <v>3</v>
      </c>
      <c r="U28" s="2731"/>
      <c r="V28" s="2731">
        <f>SUM(B28:U28)</f>
        <v>1141590.8323642923</v>
      </c>
      <c r="W28" s="58"/>
    </row>
    <row r="29" spans="1:24">
      <c r="A29" s="2504" t="s">
        <v>437</v>
      </c>
      <c r="B29" s="2731">
        <v>9222.03125</v>
      </c>
      <c r="C29" s="2731">
        <v>9237</v>
      </c>
      <c r="D29" s="2731">
        <v>69548.184239999988</v>
      </c>
      <c r="E29" s="2731">
        <v>15738.094999999994</v>
      </c>
      <c r="F29" s="2731">
        <v>92641</v>
      </c>
      <c r="G29" s="2731">
        <v>1513.1036928860751</v>
      </c>
      <c r="H29" s="2731">
        <v>266899</v>
      </c>
      <c r="I29" s="2731">
        <v>10523.719789999997</v>
      </c>
      <c r="J29" s="2731"/>
      <c r="K29" s="2731">
        <v>5145.8688699999975</v>
      </c>
      <c r="L29" s="2731">
        <v>70225.275380000006</v>
      </c>
      <c r="M29" s="2731"/>
      <c r="N29" s="2731">
        <v>2656</v>
      </c>
      <c r="O29" s="2731"/>
      <c r="P29" s="2731">
        <v>8094</v>
      </c>
      <c r="Q29" s="2731">
        <v>133869.90681999997</v>
      </c>
      <c r="R29" s="2731">
        <v>0</v>
      </c>
      <c r="S29" s="2731">
        <v>107362.12702000003</v>
      </c>
      <c r="T29" s="2731">
        <v>2</v>
      </c>
      <c r="U29" s="2731"/>
      <c r="V29" s="2731">
        <f>SUM(B29:U29)</f>
        <v>802677.31206288608</v>
      </c>
      <c r="W29" s="58"/>
    </row>
    <row r="30" spans="1:24">
      <c r="A30" s="2504" t="s">
        <v>438</v>
      </c>
      <c r="B30" s="2734">
        <v>240669.23228</v>
      </c>
      <c r="C30" s="2734">
        <v>100932</v>
      </c>
      <c r="D30" s="2735">
        <v>1744259.8762700001</v>
      </c>
      <c r="E30" s="2734">
        <v>609412.68299999996</v>
      </c>
      <c r="F30" s="2734">
        <v>33533</v>
      </c>
      <c r="G30" s="2731">
        <v>517642.00178366603</v>
      </c>
      <c r="H30" s="2731">
        <v>5613160</v>
      </c>
      <c r="I30" s="2731">
        <v>581708.1924099999</v>
      </c>
      <c r="J30" s="2731"/>
      <c r="K30" s="2731">
        <v>1035090.14004</v>
      </c>
      <c r="L30" s="2731">
        <v>3545834.41431998</v>
      </c>
      <c r="M30" s="2731">
        <v>50594.218070000003</v>
      </c>
      <c r="N30" s="2731">
        <v>349902</v>
      </c>
      <c r="O30" s="2731"/>
      <c r="P30" s="2731">
        <v>1312591</v>
      </c>
      <c r="Q30" s="2731">
        <v>5739853.494380001</v>
      </c>
      <c r="R30" s="2731">
        <v>112175</v>
      </c>
      <c r="S30" s="2731">
        <v>1987683.4469299999</v>
      </c>
      <c r="T30" s="2731">
        <v>30</v>
      </c>
      <c r="U30" s="2731"/>
      <c r="V30" s="2731">
        <f>SUM(B30:U30)</f>
        <v>23575070.699483648</v>
      </c>
      <c r="W30" s="58"/>
    </row>
    <row r="31" spans="1:24">
      <c r="A31" s="2504" t="s">
        <v>722</v>
      </c>
      <c r="B31" s="2734">
        <v>4449</v>
      </c>
      <c r="C31" s="2734">
        <v>7623</v>
      </c>
      <c r="D31" s="2735">
        <v>13310.683964661497</v>
      </c>
      <c r="E31" s="2734">
        <v>4177.3700000000008</v>
      </c>
      <c r="F31" s="2734">
        <v>-118</v>
      </c>
      <c r="G31" s="2731">
        <v>385.5025901412705</v>
      </c>
      <c r="H31" s="2731">
        <v>54921</v>
      </c>
      <c r="I31" s="2731">
        <v>0</v>
      </c>
      <c r="J31" s="2731"/>
      <c r="K31" s="2731">
        <v>4689.0336699999998</v>
      </c>
      <c r="L31" s="2731">
        <v>0</v>
      </c>
      <c r="M31" s="2731"/>
      <c r="N31" s="2731">
        <v>0</v>
      </c>
      <c r="O31" s="2731"/>
      <c r="P31" s="2731">
        <v>0</v>
      </c>
      <c r="Q31" s="2731">
        <v>68525.751139999978</v>
      </c>
      <c r="R31" s="2731">
        <v>0</v>
      </c>
      <c r="S31" s="2731">
        <v>32019.204879999998</v>
      </c>
      <c r="T31" s="2731">
        <v>0</v>
      </c>
      <c r="U31" s="2731"/>
      <c r="V31" s="2731">
        <f>SUM(B31:U31)</f>
        <v>189982.54624480274</v>
      </c>
      <c r="W31" s="58"/>
    </row>
    <row r="32" spans="1:24">
      <c r="A32" s="2504" t="s">
        <v>440</v>
      </c>
      <c r="B32" s="2734">
        <v>88661.172119999974</v>
      </c>
      <c r="C32" s="2734">
        <v>147364</v>
      </c>
      <c r="D32" s="2735">
        <v>307297.38688533846</v>
      </c>
      <c r="E32" s="2734">
        <v>140432.51300000004</v>
      </c>
      <c r="F32" s="2734">
        <v>224997</v>
      </c>
      <c r="G32" s="2731">
        <v>16229.325792022566</v>
      </c>
      <c r="H32" s="2731">
        <v>1404997</v>
      </c>
      <c r="I32" s="2731">
        <v>105451.65486000001</v>
      </c>
      <c r="J32" s="2731"/>
      <c r="K32" s="2731">
        <v>85161.766959999979</v>
      </c>
      <c r="L32" s="2731">
        <v>524599.49359999993</v>
      </c>
      <c r="M32" s="2731"/>
      <c r="N32" s="2731">
        <v>34702.252620000014</v>
      </c>
      <c r="O32" s="2731"/>
      <c r="P32" s="2731">
        <v>111665</v>
      </c>
      <c r="Q32" s="2731">
        <v>1920732.3758600007</v>
      </c>
      <c r="R32" s="2731">
        <v>50110</v>
      </c>
      <c r="S32" s="2731">
        <v>945674.49907999998</v>
      </c>
      <c r="T32" s="2731">
        <v>0</v>
      </c>
      <c r="U32" s="2731"/>
      <c r="V32" s="2731">
        <f>SUM(B32:U32)</f>
        <v>6108075.4407773614</v>
      </c>
      <c r="W32" s="58"/>
    </row>
    <row r="33" spans="1:24">
      <c r="A33" s="2736" t="s">
        <v>118</v>
      </c>
      <c r="B33" s="2737">
        <f>SUM(B28:B32)</f>
        <v>347577.65288999997</v>
      </c>
      <c r="C33" s="2737">
        <f t="shared" ref="C33:V33" si="3">SUM(C28:C32)</f>
        <v>336747</v>
      </c>
      <c r="D33" s="2737">
        <f>SUM(D28:D32)</f>
        <v>2245730.87531</v>
      </c>
      <c r="E33" s="2737">
        <f t="shared" si="3"/>
        <v>778996.65</v>
      </c>
      <c r="F33" s="2737">
        <f>SUM(F28:F32)</f>
        <v>355051</v>
      </c>
      <c r="G33" s="2737">
        <f t="shared" si="3"/>
        <v>571240.80678300932</v>
      </c>
      <c r="H33" s="2737">
        <f t="shared" si="3"/>
        <v>7782907</v>
      </c>
      <c r="I33" s="2737">
        <f t="shared" si="3"/>
        <v>728592.64008999988</v>
      </c>
      <c r="J33" s="2737">
        <f t="shared" si="3"/>
        <v>0</v>
      </c>
      <c r="K33" s="2737">
        <f t="shared" si="3"/>
        <v>1161949.0492199999</v>
      </c>
      <c r="L33" s="2737">
        <f>SUM(L28:L32)</f>
        <v>4233269.9301899793</v>
      </c>
      <c r="M33" s="2737">
        <f t="shared" si="3"/>
        <v>50594.218070000003</v>
      </c>
      <c r="N33" s="2737">
        <f t="shared" si="3"/>
        <v>388318.25262000004</v>
      </c>
      <c r="O33" s="2737">
        <f t="shared" si="3"/>
        <v>0</v>
      </c>
      <c r="P33" s="2737">
        <f t="shared" si="3"/>
        <v>1477971</v>
      </c>
      <c r="Q33" s="2737">
        <f t="shared" si="3"/>
        <v>8069862.8586200019</v>
      </c>
      <c r="R33" s="2737">
        <f t="shared" si="3"/>
        <v>168164</v>
      </c>
      <c r="S33" s="2737">
        <f t="shared" si="3"/>
        <v>3120388.89714</v>
      </c>
      <c r="T33" s="2737">
        <f t="shared" si="3"/>
        <v>35</v>
      </c>
      <c r="U33" s="2737">
        <f t="shared" si="3"/>
        <v>0</v>
      </c>
      <c r="V33" s="2737">
        <f t="shared" si="3"/>
        <v>31817396.830932993</v>
      </c>
      <c r="W33" s="375" t="e">
        <f>+#REF!</f>
        <v>#REF!</v>
      </c>
      <c r="X33" s="14" t="e">
        <f>+V33-W33</f>
        <v>#REF!</v>
      </c>
    </row>
    <row r="34" spans="1:24">
      <c r="A34" s="44"/>
      <c r="B34" s="377"/>
      <c r="C34" s="377"/>
      <c r="D34" s="377"/>
      <c r="E34" s="378"/>
      <c r="F34" s="378"/>
    </row>
    <row r="36" spans="1:24">
      <c r="A36" s="2725" t="s">
        <v>733</v>
      </c>
      <c r="B36" s="3168"/>
      <c r="C36" s="3168"/>
      <c r="D36" s="3168"/>
      <c r="E36" s="3168"/>
      <c r="F36" s="2738"/>
    </row>
    <row r="37" spans="1:24">
      <c r="A37" s="3604" t="s">
        <v>730</v>
      </c>
      <c r="B37" s="373">
        <v>1</v>
      </c>
      <c r="C37" s="373">
        <v>2</v>
      </c>
      <c r="D37" s="373">
        <v>3</v>
      </c>
      <c r="E37" s="373">
        <v>4</v>
      </c>
      <c r="F37" s="373">
        <v>5</v>
      </c>
      <c r="G37" s="373">
        <v>6</v>
      </c>
      <c r="H37" s="373">
        <v>7</v>
      </c>
      <c r="I37" s="373">
        <v>8</v>
      </c>
      <c r="J37" s="373">
        <v>9</v>
      </c>
      <c r="K37" s="373">
        <v>10</v>
      </c>
      <c r="L37" s="373">
        <v>11</v>
      </c>
      <c r="M37" s="373">
        <v>12</v>
      </c>
      <c r="N37" s="373">
        <v>13</v>
      </c>
      <c r="O37" s="373">
        <v>14</v>
      </c>
      <c r="P37" s="373">
        <v>15</v>
      </c>
      <c r="Q37" s="373">
        <v>16</v>
      </c>
      <c r="R37" s="373">
        <v>17</v>
      </c>
      <c r="S37" s="373">
        <v>18</v>
      </c>
      <c r="T37" s="373">
        <v>19</v>
      </c>
      <c r="U37" s="373">
        <v>20</v>
      </c>
      <c r="V37" s="374"/>
    </row>
    <row r="38" spans="1:24">
      <c r="A38" s="3604"/>
      <c r="B38" s="2727" t="s">
        <v>177</v>
      </c>
      <c r="C38" s="2727" t="s">
        <v>179</v>
      </c>
      <c r="D38" s="2727" t="s">
        <v>181</v>
      </c>
      <c r="E38" s="2727" t="s">
        <v>182</v>
      </c>
      <c r="F38" s="2727" t="s">
        <v>183</v>
      </c>
      <c r="G38" s="2727" t="s">
        <v>184</v>
      </c>
      <c r="H38" s="2728" t="s">
        <v>185</v>
      </c>
      <c r="I38" s="2727" t="s">
        <v>186</v>
      </c>
      <c r="J38" s="2727" t="s">
        <v>187</v>
      </c>
      <c r="K38" s="2727" t="s">
        <v>188</v>
      </c>
      <c r="L38" s="2727" t="s">
        <v>189</v>
      </c>
      <c r="M38" s="2727" t="s">
        <v>191</v>
      </c>
      <c r="N38" s="2727" t="s">
        <v>192</v>
      </c>
      <c r="O38" s="2727" t="s">
        <v>702</v>
      </c>
      <c r="P38" s="2727" t="s">
        <v>194</v>
      </c>
      <c r="Q38" s="2727" t="s">
        <v>115</v>
      </c>
      <c r="R38" s="2727" t="s">
        <v>196</v>
      </c>
      <c r="S38" s="2727" t="s">
        <v>197</v>
      </c>
      <c r="T38" s="2727" t="s">
        <v>193</v>
      </c>
      <c r="U38" s="2727" t="s">
        <v>110</v>
      </c>
      <c r="V38" s="2730" t="s">
        <v>118</v>
      </c>
    </row>
    <row r="39" spans="1:24">
      <c r="A39" s="2504" t="s">
        <v>436</v>
      </c>
      <c r="B39" s="2731">
        <v>1228</v>
      </c>
      <c r="C39" s="2731">
        <v>96193</v>
      </c>
      <c r="D39" s="2731">
        <v>77802.732860000076</v>
      </c>
      <c r="E39" s="2731">
        <v>10377.061</v>
      </c>
      <c r="F39" s="2731">
        <v>16021</v>
      </c>
      <c r="G39" s="2731">
        <v>12977</v>
      </c>
      <c r="H39" s="2732">
        <v>384804</v>
      </c>
      <c r="I39" s="2731">
        <v>22163.706549999999</v>
      </c>
      <c r="J39" s="2731"/>
      <c r="K39" s="2731">
        <v>30327</v>
      </c>
      <c r="L39" s="2731">
        <v>83180.187950000036</v>
      </c>
      <c r="M39" s="2731"/>
      <c r="N39" s="2731">
        <v>628.73019999999838</v>
      </c>
      <c r="O39" s="2731"/>
      <c r="P39" s="2731">
        <v>7974</v>
      </c>
      <c r="Q39" s="2731">
        <v>299561.5532000002</v>
      </c>
      <c r="R39" s="2731">
        <v>5226</v>
      </c>
      <c r="S39" s="2731">
        <v>49722.125179999974</v>
      </c>
      <c r="T39" s="2731"/>
      <c r="U39" s="2731"/>
      <c r="V39" s="2731">
        <f>SUM(B39:U39)</f>
        <v>1098186.0969400003</v>
      </c>
      <c r="W39" s="58"/>
    </row>
    <row r="40" spans="1:24">
      <c r="A40" s="2504" t="s">
        <v>437</v>
      </c>
      <c r="B40" s="2731">
        <v>5810</v>
      </c>
      <c r="C40" s="2731">
        <v>7885</v>
      </c>
      <c r="D40" s="2731">
        <v>57221.429510000002</v>
      </c>
      <c r="E40" s="2731">
        <v>30924</v>
      </c>
      <c r="F40" s="2731">
        <v>59629</v>
      </c>
      <c r="G40" s="2731">
        <v>399.7399999999995</v>
      </c>
      <c r="H40" s="2731">
        <v>221194</v>
      </c>
      <c r="I40" s="2731">
        <v>9161.1163699999979</v>
      </c>
      <c r="J40" s="2731"/>
      <c r="K40" s="2731">
        <v>4347</v>
      </c>
      <c r="L40" s="2731">
        <v>53024.702639999996</v>
      </c>
      <c r="M40" s="2731"/>
      <c r="N40" s="2731">
        <v>2915.6246100000008</v>
      </c>
      <c r="O40" s="2731"/>
      <c r="P40" s="2731">
        <v>944</v>
      </c>
      <c r="Q40" s="2731">
        <v>124253.36211000005</v>
      </c>
      <c r="R40" s="2731">
        <v>0</v>
      </c>
      <c r="S40" s="2731">
        <v>96766.83063000004</v>
      </c>
      <c r="T40" s="2731"/>
      <c r="U40" s="2731"/>
      <c r="V40" s="2731">
        <f>SUM(B40:U40)</f>
        <v>674475.80587000004</v>
      </c>
      <c r="W40" s="58"/>
    </row>
    <row r="41" spans="1:24">
      <c r="A41" s="2504" t="s">
        <v>438</v>
      </c>
      <c r="B41" s="2734">
        <v>195929</v>
      </c>
      <c r="C41" s="2734">
        <v>71375</v>
      </c>
      <c r="D41" s="2735">
        <v>1277150.35537</v>
      </c>
      <c r="E41" s="2734">
        <v>444384.6</v>
      </c>
      <c r="F41" s="2734">
        <v>67181</v>
      </c>
      <c r="G41" s="2731">
        <v>61955.084000000003</v>
      </c>
      <c r="H41" s="2731">
        <v>5295407</v>
      </c>
      <c r="I41" s="2731">
        <v>425607.61602000002</v>
      </c>
      <c r="J41" s="2731"/>
      <c r="K41" s="2731">
        <v>769922</v>
      </c>
      <c r="L41" s="2731">
        <v>3177981.5238199998</v>
      </c>
      <c r="M41" s="2731"/>
      <c r="N41" s="2731">
        <v>310691.52703</v>
      </c>
      <c r="O41" s="2731"/>
      <c r="P41" s="2731">
        <v>191685</v>
      </c>
      <c r="Q41" s="2731">
        <v>4305077.0586300008</v>
      </c>
      <c r="R41" s="2731">
        <v>91789</v>
      </c>
      <c r="S41" s="2731">
        <v>1670750.9310699997</v>
      </c>
      <c r="T41" s="2731"/>
      <c r="U41" s="2731"/>
      <c r="V41" s="2731">
        <f>SUM(B41:U41)</f>
        <v>18356886.695939999</v>
      </c>
      <c r="W41" s="58"/>
    </row>
    <row r="42" spans="1:24">
      <c r="A42" s="2504" t="s">
        <v>722</v>
      </c>
      <c r="B42" s="2734">
        <v>0</v>
      </c>
      <c r="C42" s="2734">
        <v>5117</v>
      </c>
      <c r="D42" s="2735">
        <v>35833.748161499519</v>
      </c>
      <c r="E42" s="2734">
        <v>3587.8</v>
      </c>
      <c r="F42" s="2734">
        <v>1918</v>
      </c>
      <c r="G42" s="2731">
        <v>0</v>
      </c>
      <c r="H42" s="2731">
        <v>93179</v>
      </c>
      <c r="I42" s="2731">
        <v>0</v>
      </c>
      <c r="J42" s="2731"/>
      <c r="K42" s="2731">
        <v>4484</v>
      </c>
      <c r="L42" s="2731">
        <v>0</v>
      </c>
      <c r="M42" s="2731"/>
      <c r="N42" s="2731">
        <v>0</v>
      </c>
      <c r="O42" s="2731"/>
      <c r="P42" s="2731">
        <v>0</v>
      </c>
      <c r="Q42" s="2731">
        <v>79320.056850000008</v>
      </c>
      <c r="R42" s="2731">
        <v>0</v>
      </c>
      <c r="S42" s="2731">
        <v>27349.42931</v>
      </c>
      <c r="T42" s="2731"/>
      <c r="U42" s="2731"/>
      <c r="V42" s="2731">
        <f>SUM(B42:U42)</f>
        <v>250789.03432149955</v>
      </c>
      <c r="W42" s="58"/>
    </row>
    <row r="43" spans="1:24">
      <c r="A43" s="2504" t="s">
        <v>440</v>
      </c>
      <c r="B43" s="2734">
        <v>74894</v>
      </c>
      <c r="C43" s="2734">
        <v>112867</v>
      </c>
      <c r="D43" s="2735">
        <v>597887.92689850053</v>
      </c>
      <c r="E43" s="2734">
        <v>224261.9</v>
      </c>
      <c r="F43" s="2734">
        <v>287484</v>
      </c>
      <c r="G43" s="2731">
        <v>2111.336000000003</v>
      </c>
      <c r="H43" s="2731">
        <v>1254576</v>
      </c>
      <c r="I43" s="2731">
        <v>87365.471450000026</v>
      </c>
      <c r="J43" s="2731"/>
      <c r="K43" s="2731">
        <v>49997</v>
      </c>
      <c r="L43" s="2731">
        <v>483805.63531000004</v>
      </c>
      <c r="M43" s="2731"/>
      <c r="N43" s="2731">
        <v>22862.317689999996</v>
      </c>
      <c r="O43" s="2731"/>
      <c r="P43" s="2731">
        <v>30865</v>
      </c>
      <c r="Q43" s="2731">
        <v>1225973.8938278002</v>
      </c>
      <c r="R43" s="2731">
        <v>97669</v>
      </c>
      <c r="S43" s="2731">
        <v>478738.84320000012</v>
      </c>
      <c r="T43" s="2731"/>
      <c r="U43" s="2731"/>
      <c r="V43" s="2731">
        <f>SUM(B43:U43)</f>
        <v>5031359.3243763</v>
      </c>
      <c r="W43" s="58"/>
    </row>
    <row r="44" spans="1:24">
      <c r="A44" s="2736" t="s">
        <v>118</v>
      </c>
      <c r="B44" s="2737">
        <f>SUM(B39:B43)</f>
        <v>277861</v>
      </c>
      <c r="C44" s="2737">
        <f t="shared" ref="C44:V44" si="4">SUM(C39:C43)</f>
        <v>293437</v>
      </c>
      <c r="D44" s="2737">
        <f>SUM(D39:D43)</f>
        <v>2045896.1928000003</v>
      </c>
      <c r="E44" s="2737">
        <f t="shared" si="4"/>
        <v>713535.36099999992</v>
      </c>
      <c r="F44" s="2737">
        <f t="shared" si="4"/>
        <v>432233</v>
      </c>
      <c r="G44" s="2737">
        <f t="shared" si="4"/>
        <v>77443.16</v>
      </c>
      <c r="H44" s="2737">
        <f>SUM(H39:H43)</f>
        <v>7249160</v>
      </c>
      <c r="I44" s="2737">
        <f t="shared" si="4"/>
        <v>544297.91039000009</v>
      </c>
      <c r="J44" s="2737">
        <f t="shared" si="4"/>
        <v>0</v>
      </c>
      <c r="K44" s="2737">
        <f t="shared" si="4"/>
        <v>859077</v>
      </c>
      <c r="L44" s="2737">
        <f t="shared" si="4"/>
        <v>3797992.0497199995</v>
      </c>
      <c r="M44" s="2737">
        <f t="shared" si="4"/>
        <v>0</v>
      </c>
      <c r="N44" s="2737">
        <f t="shared" si="4"/>
        <v>337098.19952999998</v>
      </c>
      <c r="O44" s="2737">
        <f t="shared" si="4"/>
        <v>0</v>
      </c>
      <c r="P44" s="2737">
        <f t="shared" si="4"/>
        <v>231468</v>
      </c>
      <c r="Q44" s="2737">
        <f t="shared" si="4"/>
        <v>6034185.9246178009</v>
      </c>
      <c r="R44" s="2737">
        <f t="shared" si="4"/>
        <v>194684</v>
      </c>
      <c r="S44" s="2737">
        <f t="shared" si="4"/>
        <v>2323328.1593899997</v>
      </c>
      <c r="T44" s="2737">
        <f t="shared" si="4"/>
        <v>0</v>
      </c>
      <c r="U44" s="2737">
        <f t="shared" si="4"/>
        <v>0</v>
      </c>
      <c r="V44" s="2737">
        <f t="shared" si="4"/>
        <v>25411696.957447797</v>
      </c>
      <c r="W44" s="375" t="e">
        <f>+#REF!</f>
        <v>#REF!</v>
      </c>
      <c r="X44" s="14" t="e">
        <f>+V44-W44</f>
        <v>#REF!</v>
      </c>
    </row>
    <row r="47" spans="1:24">
      <c r="A47" s="2725" t="s">
        <v>734</v>
      </c>
      <c r="B47" s="3168"/>
      <c r="C47" s="3168"/>
      <c r="D47" s="3168"/>
      <c r="E47" s="3168"/>
      <c r="F47" s="2738"/>
    </row>
    <row r="48" spans="1:24">
      <c r="A48" s="3604" t="s">
        <v>730</v>
      </c>
      <c r="B48" s="373">
        <v>1</v>
      </c>
      <c r="C48" s="373">
        <v>2</v>
      </c>
      <c r="D48" s="373">
        <v>3</v>
      </c>
      <c r="E48" s="373">
        <v>4</v>
      </c>
      <c r="F48" s="373">
        <v>5</v>
      </c>
      <c r="G48" s="373">
        <v>6</v>
      </c>
      <c r="H48" s="373">
        <v>7</v>
      </c>
      <c r="I48" s="373">
        <v>8</v>
      </c>
      <c r="J48" s="373">
        <v>9</v>
      </c>
      <c r="K48" s="373">
        <v>10</v>
      </c>
      <c r="L48" s="373">
        <v>11</v>
      </c>
      <c r="M48" s="373">
        <v>12</v>
      </c>
      <c r="N48" s="373">
        <v>13</v>
      </c>
      <c r="O48" s="373">
        <v>14</v>
      </c>
      <c r="P48" s="373">
        <v>15</v>
      </c>
      <c r="Q48" s="373">
        <v>16</v>
      </c>
      <c r="R48" s="373">
        <v>17</v>
      </c>
      <c r="S48" s="373">
        <v>18</v>
      </c>
      <c r="T48" s="373">
        <v>19</v>
      </c>
      <c r="U48" s="373">
        <v>20</v>
      </c>
      <c r="V48" s="374"/>
    </row>
    <row r="49" spans="1:24">
      <c r="A49" s="3604"/>
      <c r="B49" s="2727" t="s">
        <v>177</v>
      </c>
      <c r="C49" s="2727" t="s">
        <v>179</v>
      </c>
      <c r="D49" s="2727" t="s">
        <v>181</v>
      </c>
      <c r="E49" s="2727" t="s">
        <v>182</v>
      </c>
      <c r="F49" s="2727" t="s">
        <v>183</v>
      </c>
      <c r="G49" s="2727" t="s">
        <v>184</v>
      </c>
      <c r="H49" s="2728" t="s">
        <v>185</v>
      </c>
      <c r="I49" s="2727" t="s">
        <v>186</v>
      </c>
      <c r="J49" s="2727" t="s">
        <v>187</v>
      </c>
      <c r="K49" s="2727" t="s">
        <v>188</v>
      </c>
      <c r="L49" s="2727" t="s">
        <v>189</v>
      </c>
      <c r="M49" s="2727" t="s">
        <v>191</v>
      </c>
      <c r="N49" s="2727" t="s">
        <v>192</v>
      </c>
      <c r="O49" s="2727" t="s">
        <v>702</v>
      </c>
      <c r="P49" s="2727" t="s">
        <v>194</v>
      </c>
      <c r="Q49" s="2727" t="s">
        <v>115</v>
      </c>
      <c r="R49" s="2727" t="s">
        <v>196</v>
      </c>
      <c r="S49" s="2727" t="s">
        <v>197</v>
      </c>
      <c r="T49" s="2727" t="s">
        <v>193</v>
      </c>
      <c r="U49" s="2727" t="s">
        <v>110</v>
      </c>
      <c r="V49" s="2730" t="s">
        <v>118</v>
      </c>
    </row>
    <row r="50" spans="1:24">
      <c r="A50" s="2504" t="s">
        <v>436</v>
      </c>
      <c r="B50" s="2731">
        <v>5176</v>
      </c>
      <c r="C50" s="2731">
        <v>68601</v>
      </c>
      <c r="D50" s="2731">
        <v>69460</v>
      </c>
      <c r="E50" s="2731">
        <v>12752</v>
      </c>
      <c r="F50" s="2731">
        <v>19719</v>
      </c>
      <c r="G50" s="2731"/>
      <c r="H50" s="2732">
        <v>381908</v>
      </c>
      <c r="I50" s="2731">
        <v>21455.616030000001</v>
      </c>
      <c r="J50" s="2731">
        <v>-2096.9499999999998</v>
      </c>
      <c r="K50" s="2731">
        <v>29370</v>
      </c>
      <c r="L50" s="2731">
        <v>125641</v>
      </c>
      <c r="M50" s="2731"/>
      <c r="N50" s="2731">
        <v>10096.02855784364</v>
      </c>
      <c r="O50" s="2731"/>
      <c r="P50" s="2731"/>
      <c r="Q50" s="2731">
        <v>390632.6245200003</v>
      </c>
      <c r="R50" s="2731">
        <v>2360</v>
      </c>
      <c r="S50" s="2731">
        <v>64083.609249999994</v>
      </c>
      <c r="T50" s="2731"/>
      <c r="U50" s="2731"/>
      <c r="V50" s="2731">
        <f>SUM(B50:U50)</f>
        <v>1199157.928357844</v>
      </c>
      <c r="W50" s="58"/>
      <c r="X50" s="58"/>
    </row>
    <row r="51" spans="1:24">
      <c r="A51" s="2504" t="s">
        <v>437</v>
      </c>
      <c r="B51" s="2731">
        <v>10089</v>
      </c>
      <c r="C51" s="2731">
        <v>7748</v>
      </c>
      <c r="D51" s="2731">
        <v>33867</v>
      </c>
      <c r="E51" s="2731">
        <v>16555</v>
      </c>
      <c r="F51" s="2731">
        <v>35728</v>
      </c>
      <c r="G51" s="2731"/>
      <c r="H51" s="2731">
        <v>172084</v>
      </c>
      <c r="I51" s="2731">
        <v>7821.7777000000006</v>
      </c>
      <c r="J51" s="2731">
        <v>32.299999999999997</v>
      </c>
      <c r="K51" s="2731">
        <v>4002</v>
      </c>
      <c r="L51" s="2731">
        <v>57180</v>
      </c>
      <c r="M51" s="2731"/>
      <c r="N51" s="2731">
        <v>9162.8504104176427</v>
      </c>
      <c r="O51" s="2731"/>
      <c r="P51" s="2731"/>
      <c r="Q51" s="2731">
        <v>129858.24541000005</v>
      </c>
      <c r="R51" s="2731">
        <v>0</v>
      </c>
      <c r="S51" s="2731">
        <v>96204.737120000005</v>
      </c>
      <c r="T51" s="2731"/>
      <c r="U51" s="2731"/>
      <c r="V51" s="2731">
        <f>SUM(B51:U51)</f>
        <v>580332.9106404176</v>
      </c>
      <c r="W51" s="58"/>
      <c r="X51" s="58"/>
    </row>
    <row r="52" spans="1:24">
      <c r="A52" s="2504" t="s">
        <v>438</v>
      </c>
      <c r="B52" s="2734">
        <v>218930</v>
      </c>
      <c r="C52" s="2734">
        <v>54282</v>
      </c>
      <c r="D52" s="2735">
        <v>798850</v>
      </c>
      <c r="E52" s="2734">
        <v>321752</v>
      </c>
      <c r="F52" s="2734">
        <v>86454</v>
      </c>
      <c r="G52" s="2731"/>
      <c r="H52" s="2731">
        <v>5671501</v>
      </c>
      <c r="I52" s="2731">
        <v>403418.15091000003</v>
      </c>
      <c r="J52" s="2731">
        <v>79524.38</v>
      </c>
      <c r="K52" s="2731">
        <v>614442</v>
      </c>
      <c r="L52" s="2731">
        <v>2830132</v>
      </c>
      <c r="M52" s="2731"/>
      <c r="N52" s="2731">
        <v>166844.13816718207</v>
      </c>
      <c r="O52" s="2731"/>
      <c r="P52" s="2731"/>
      <c r="Q52" s="2731">
        <v>4696672.8619799996</v>
      </c>
      <c r="R52" s="2731">
        <v>78964</v>
      </c>
      <c r="S52" s="2731">
        <v>1571815.4141500001</v>
      </c>
      <c r="T52" s="2731"/>
      <c r="U52" s="2731"/>
      <c r="V52" s="2731">
        <f>SUM(B52:U52)</f>
        <v>17593581.945207182</v>
      </c>
      <c r="W52" s="58"/>
      <c r="X52" s="58"/>
    </row>
    <row r="53" spans="1:24">
      <c r="A53" s="2504" t="s">
        <v>722</v>
      </c>
      <c r="B53" s="2734">
        <v>0</v>
      </c>
      <c r="C53" s="2734">
        <v>0</v>
      </c>
      <c r="D53" s="2735">
        <v>2957.5775193798449</v>
      </c>
      <c r="E53" s="2734">
        <v>3593</v>
      </c>
      <c r="F53" s="2734">
        <v>1914</v>
      </c>
      <c r="G53" s="2731"/>
      <c r="H53" s="2731">
        <v>95839</v>
      </c>
      <c r="I53" s="2731">
        <v>0</v>
      </c>
      <c r="J53" s="2731">
        <v>0</v>
      </c>
      <c r="K53" s="2731">
        <v>3844</v>
      </c>
      <c r="L53" s="2731">
        <v>0</v>
      </c>
      <c r="M53" s="2731"/>
      <c r="N53" s="2731">
        <v>0</v>
      </c>
      <c r="O53" s="2731"/>
      <c r="P53" s="2731"/>
      <c r="Q53" s="2731">
        <v>68705.563810000007</v>
      </c>
      <c r="R53" s="2731">
        <v>0</v>
      </c>
      <c r="S53" s="2731">
        <v>28216.531650000004</v>
      </c>
      <c r="T53" s="2731"/>
      <c r="U53" s="2731"/>
      <c r="V53" s="2731">
        <f>SUM(B53:U53)</f>
        <v>205069.67297937989</v>
      </c>
      <c r="W53" s="58"/>
      <c r="X53" s="58"/>
    </row>
    <row r="54" spans="1:24">
      <c r="A54" s="2504" t="s">
        <v>440</v>
      </c>
      <c r="B54" s="2734">
        <v>78356</v>
      </c>
      <c r="C54" s="2734">
        <v>134443</v>
      </c>
      <c r="D54" s="2735">
        <v>366817.42248062015</v>
      </c>
      <c r="E54" s="2734">
        <v>259399</v>
      </c>
      <c r="F54" s="2734">
        <v>255391</v>
      </c>
      <c r="G54" s="2731"/>
      <c r="H54" s="2731">
        <v>1370063</v>
      </c>
      <c r="I54" s="2731">
        <v>101449.98006999999</v>
      </c>
      <c r="J54" s="2731">
        <v>7455.99</v>
      </c>
      <c r="K54" s="2731">
        <v>24281</v>
      </c>
      <c r="L54" s="2731">
        <v>559798</v>
      </c>
      <c r="M54" s="2731"/>
      <c r="N54" s="2731">
        <v>14038.982864556649</v>
      </c>
      <c r="O54" s="2731"/>
      <c r="P54" s="2731"/>
      <c r="Q54" s="2731">
        <v>1306670.4812964997</v>
      </c>
      <c r="R54" s="2731">
        <v>73901</v>
      </c>
      <c r="S54" s="2731">
        <v>443077</v>
      </c>
      <c r="T54" s="2731"/>
      <c r="U54" s="2731"/>
      <c r="V54" s="2731">
        <f>SUM(B54:U54)</f>
        <v>4995141.8567116773</v>
      </c>
      <c r="W54" s="58"/>
      <c r="X54" s="58"/>
    </row>
    <row r="55" spans="1:24">
      <c r="A55" s="2736" t="s">
        <v>118</v>
      </c>
      <c r="B55" s="2737">
        <f>SUM(B50:B54)</f>
        <v>312551</v>
      </c>
      <c r="C55" s="2737">
        <f t="shared" ref="C55:V55" si="5">SUM(C50:C54)</f>
        <v>265074</v>
      </c>
      <c r="D55" s="2737">
        <f>SUM(D50:D54)</f>
        <v>1271952</v>
      </c>
      <c r="E55" s="2737">
        <f t="shared" si="5"/>
        <v>614051</v>
      </c>
      <c r="F55" s="2737">
        <f t="shared" si="5"/>
        <v>399206</v>
      </c>
      <c r="G55" s="2737">
        <f t="shared" si="5"/>
        <v>0</v>
      </c>
      <c r="H55" s="2737">
        <f t="shared" si="5"/>
        <v>7691395</v>
      </c>
      <c r="I55" s="2737">
        <f t="shared" si="5"/>
        <v>534145.52471000003</v>
      </c>
      <c r="J55" s="2737">
        <f t="shared" si="5"/>
        <v>84915.720000000016</v>
      </c>
      <c r="K55" s="2737">
        <f t="shared" si="5"/>
        <v>675939</v>
      </c>
      <c r="L55" s="2737">
        <f t="shared" si="5"/>
        <v>3572751</v>
      </c>
      <c r="M55" s="2737">
        <f t="shared" si="5"/>
        <v>0</v>
      </c>
      <c r="N55" s="2737">
        <f t="shared" si="5"/>
        <v>200142</v>
      </c>
      <c r="O55" s="2737">
        <f t="shared" si="5"/>
        <v>0</v>
      </c>
      <c r="P55" s="2737">
        <f t="shared" si="5"/>
        <v>0</v>
      </c>
      <c r="Q55" s="2737">
        <f t="shared" si="5"/>
        <v>6592539.7770165</v>
      </c>
      <c r="R55" s="2737">
        <f t="shared" si="5"/>
        <v>155225</v>
      </c>
      <c r="S55" s="2737">
        <f t="shared" si="5"/>
        <v>2203397.2921700003</v>
      </c>
      <c r="T55" s="2737">
        <f t="shared" si="5"/>
        <v>0</v>
      </c>
      <c r="U55" s="2737">
        <f t="shared" si="5"/>
        <v>0</v>
      </c>
      <c r="V55" s="2737">
        <f t="shared" si="5"/>
        <v>24573284.313896503</v>
      </c>
      <c r="W55" s="375" t="e">
        <f>+#REF!</f>
        <v>#REF!</v>
      </c>
      <c r="X55" s="58" t="e">
        <f>+V55-W55</f>
        <v>#REF!</v>
      </c>
    </row>
    <row r="58" spans="1:24">
      <c r="J58" s="347"/>
    </row>
    <row r="59" spans="1:24">
      <c r="J59" s="347"/>
    </row>
    <row r="60" spans="1:24">
      <c r="J60" s="347"/>
    </row>
  </sheetData>
  <customSheetViews>
    <customSheetView guid="{2ACFE167-4169-43A6-9AB2-59D5A2DA2DB4}" showPageBreaks="1" printArea="1" state="hidden">
      <pane xSplit="1" ySplit="5" topLeftCell="P45" activePane="bottomRight" state="frozen"/>
      <selection pane="bottomRight" activeCell="S54" sqref="S54"/>
      <colBreaks count="1" manualBreakCount="1">
        <brk id="22" max="1048575" man="1"/>
      </colBreaks>
      <pageMargins left="0" right="0" top="0" bottom="0" header="0" footer="0"/>
      <pageSetup scale="43" orientation="landscape" r:id="rId1"/>
    </customSheetView>
    <customSheetView guid="{967E0446-E234-427F-8E57-7FE287052E2E}" showPageBreaks="1" printArea="1" state="hidden">
      <pane xSplit="1" ySplit="5" topLeftCell="P45" activePane="bottomRight" state="frozen"/>
      <selection pane="bottomRight" activeCell="S54" sqref="S54"/>
      <colBreaks count="1" manualBreakCount="1">
        <brk id="22" max="1048575" man="1"/>
      </colBreaks>
      <pageMargins left="0" right="0" top="0" bottom="0" header="0" footer="0"/>
      <pageSetup scale="43" orientation="landscape" r:id="rId2"/>
    </customSheetView>
    <customSheetView guid="{B2E1A0C6-5BA1-4CF1-B412-16D81FCDF11F}" showPageBreaks="1" printArea="1" state="hidden">
      <pane xSplit="1" ySplit="5" topLeftCell="P45" activePane="bottomRight" state="frozen"/>
      <selection pane="bottomRight" activeCell="S54" sqref="S54"/>
      <colBreaks count="1" manualBreakCount="1">
        <brk id="22" max="1048575" man="1"/>
      </colBreaks>
      <pageMargins left="0" right="0" top="0" bottom="0" header="0" footer="0"/>
      <pageSetup scale="43" orientation="landscape" r:id="rId3"/>
    </customSheetView>
    <customSheetView guid="{46F31544-8E6F-41C5-8628-1D6EE074AF15}" state="hidden">
      <pane xSplit="1" ySplit="5" topLeftCell="P45" activePane="bottomRight" state="frozen"/>
      <selection pane="bottomRight" activeCell="S54" sqref="S54"/>
      <colBreaks count="1" manualBreakCount="1">
        <brk id="22" max="1048575" man="1"/>
      </colBreaks>
      <pageMargins left="0" right="0" top="0" bottom="0" header="0" footer="0"/>
      <pageSetup scale="43" orientation="landscape" r:id="rId4"/>
    </customSheetView>
    <customSheetView guid="{B1E1B596-A9A1-411D-A882-A48CB025B978}" showPageBreaks="1" printArea="1" state="hidden">
      <pane xSplit="1" ySplit="5" topLeftCell="P45" activePane="bottomRight" state="frozen"/>
      <selection pane="bottomRight" activeCell="S54" sqref="S54"/>
      <colBreaks count="1" manualBreakCount="1">
        <brk id="22" max="1048575" man="1"/>
      </colBreaks>
      <pageMargins left="0" right="0" top="0" bottom="0" header="0" footer="0"/>
      <pageSetup scale="43" orientation="landscape" r:id="rId5"/>
    </customSheetView>
    <customSheetView guid="{5E394B0B-7867-4722-9497-A93AB2A9A773}" showPageBreaks="1" printArea="1" state="hidden">
      <pane xSplit="1" ySplit="5" topLeftCell="P45" activePane="bottomRight" state="frozen"/>
      <selection pane="bottomRight" activeCell="S54" sqref="S54"/>
      <colBreaks count="1" manualBreakCount="1">
        <brk id="22" max="1048575" man="1"/>
      </colBreaks>
      <pageMargins left="0" right="0" top="0" bottom="0" header="0" footer="0"/>
      <pageSetup scale="43" orientation="landscape" r:id="rId6"/>
    </customSheetView>
  </customSheetViews>
  <mergeCells count="5">
    <mergeCell ref="A4:A5"/>
    <mergeCell ref="A15:A16"/>
    <mergeCell ref="A26:A27"/>
    <mergeCell ref="A37:A38"/>
    <mergeCell ref="A48:A49"/>
  </mergeCells>
  <pageMargins left="0.7" right="0.7" top="0.75" bottom="0.75" header="0.3" footer="0.3"/>
  <pageSetup scale="43" orientation="landscape" r:id="rId7"/>
  <colBreaks count="1" manualBreakCount="1">
    <brk id="22" max="1048575" man="1"/>
  </col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tabColor rgb="FF00B0F0"/>
  </sheetPr>
  <dimension ref="A3:AB55"/>
  <sheetViews>
    <sheetView workbookViewId="0">
      <pane xSplit="1" ySplit="5" topLeftCell="O42" activePane="bottomRight" state="frozen"/>
      <selection pane="bottomRight" activeCell="W54" sqref="W54"/>
      <selection pane="bottomLeft" activeCell="A6" sqref="A6"/>
      <selection pane="topRight" activeCell="B1" sqref="B1"/>
    </sheetView>
  </sheetViews>
  <sheetFormatPr defaultColWidth="9.140625" defaultRowHeight="14.45"/>
  <cols>
    <col min="1" max="1" width="19" customWidth="1"/>
    <col min="2" max="2" width="12.5703125" customWidth="1"/>
    <col min="3" max="4" width="12.7109375" customWidth="1"/>
    <col min="5" max="5" width="12.5703125" customWidth="1"/>
    <col min="6" max="6" width="11.42578125" customWidth="1"/>
    <col min="7" max="7" width="10.42578125" customWidth="1"/>
    <col min="8" max="8" width="12.7109375" customWidth="1"/>
    <col min="9" max="9" width="11.28515625" customWidth="1"/>
    <col min="10" max="10" width="10.28515625" customWidth="1"/>
    <col min="11" max="11" width="14" customWidth="1"/>
    <col min="12" max="12" width="13.28515625" bestFit="1" customWidth="1"/>
    <col min="13" max="13" width="15.140625" customWidth="1"/>
    <col min="14" max="14" width="15.28515625" customWidth="1"/>
    <col min="15" max="15" width="13" customWidth="1"/>
    <col min="16" max="16" width="14.85546875" customWidth="1"/>
    <col min="17" max="17" width="13.42578125" customWidth="1"/>
    <col min="18" max="18" width="11.28515625" customWidth="1"/>
    <col min="19" max="19" width="13.5703125" style="12" customWidth="1"/>
    <col min="20" max="20" width="11.140625" customWidth="1"/>
    <col min="21" max="21" width="11.85546875" customWidth="1"/>
    <col min="22" max="22" width="14.7109375" customWidth="1"/>
    <col min="23" max="23" width="13.140625" customWidth="1"/>
    <col min="24" max="24" width="14.5703125" customWidth="1"/>
  </cols>
  <sheetData>
    <row r="3" spans="1:24" ht="15" customHeight="1">
      <c r="A3" s="2725" t="s">
        <v>749</v>
      </c>
      <c r="B3" s="3167"/>
      <c r="C3" s="3167"/>
      <c r="D3" s="3167"/>
      <c r="E3" s="3167"/>
      <c r="F3" s="2726"/>
    </row>
    <row r="4" spans="1:24">
      <c r="A4" s="3604" t="s">
        <v>730</v>
      </c>
      <c r="B4" s="373">
        <v>1</v>
      </c>
      <c r="C4" s="373">
        <v>2</v>
      </c>
      <c r="D4" s="373">
        <v>3</v>
      </c>
      <c r="E4" s="373">
        <v>4</v>
      </c>
      <c r="F4" s="373">
        <v>5</v>
      </c>
      <c r="G4" s="373">
        <v>6</v>
      </c>
      <c r="H4" s="373">
        <v>7</v>
      </c>
      <c r="I4" s="373">
        <v>8</v>
      </c>
      <c r="J4" s="373">
        <v>9</v>
      </c>
      <c r="K4" s="373">
        <v>10</v>
      </c>
      <c r="L4" s="373">
        <v>11</v>
      </c>
      <c r="M4" s="373">
        <v>12</v>
      </c>
      <c r="N4" s="373">
        <v>13</v>
      </c>
      <c r="O4" s="373">
        <v>14</v>
      </c>
      <c r="P4" s="373">
        <v>15</v>
      </c>
      <c r="Q4" s="373">
        <v>16</v>
      </c>
      <c r="R4" s="373">
        <v>17</v>
      </c>
      <c r="S4" s="379">
        <v>18</v>
      </c>
      <c r="T4" s="373">
        <v>19</v>
      </c>
      <c r="U4" s="373">
        <v>20</v>
      </c>
      <c r="V4" s="374"/>
    </row>
    <row r="5" spans="1:24">
      <c r="A5" s="3604"/>
      <c r="B5" s="2727" t="s">
        <v>177</v>
      </c>
      <c r="C5" s="2727" t="s">
        <v>179</v>
      </c>
      <c r="D5" s="2727" t="s">
        <v>181</v>
      </c>
      <c r="E5" s="2727" t="s">
        <v>182</v>
      </c>
      <c r="F5" s="2727" t="s">
        <v>183</v>
      </c>
      <c r="G5" s="2727" t="s">
        <v>184</v>
      </c>
      <c r="H5" s="2728" t="s">
        <v>185</v>
      </c>
      <c r="I5" s="2727" t="s">
        <v>186</v>
      </c>
      <c r="J5" s="2727" t="s">
        <v>187</v>
      </c>
      <c r="K5" s="2727" t="s">
        <v>188</v>
      </c>
      <c r="L5" s="2727" t="s">
        <v>189</v>
      </c>
      <c r="M5" s="2727" t="s">
        <v>191</v>
      </c>
      <c r="N5" s="2727" t="s">
        <v>192</v>
      </c>
      <c r="O5" s="2727" t="s">
        <v>702</v>
      </c>
      <c r="P5" s="2727" t="s">
        <v>194</v>
      </c>
      <c r="Q5" s="2729" t="s">
        <v>115</v>
      </c>
      <c r="R5" s="2727" t="s">
        <v>196</v>
      </c>
      <c r="S5" s="2696" t="s">
        <v>197</v>
      </c>
      <c r="T5" s="2727" t="s">
        <v>193</v>
      </c>
      <c r="U5" s="2727" t="s">
        <v>110</v>
      </c>
      <c r="V5" s="2730" t="s">
        <v>118</v>
      </c>
    </row>
    <row r="6" spans="1:24">
      <c r="A6" s="2504" t="s">
        <v>436</v>
      </c>
      <c r="B6" s="2731">
        <f>-'[21]Sheet 2 - General Insurance'!$C$42</f>
        <v>-1275</v>
      </c>
      <c r="C6" s="2731">
        <f>-'[22]Sheet 2 - General Insurance'!$C$42</f>
        <v>31408.5</v>
      </c>
      <c r="D6" s="2731">
        <f>-'[23]Sheet 2 - General Insurance'!$C$42</f>
        <v>43896</v>
      </c>
      <c r="E6" s="2731">
        <f>-'[24]Sheet 2 - General Insurance'!$C$42</f>
        <v>12307.508</v>
      </c>
      <c r="F6" s="2731">
        <f>-'[25]Sheet 2 - General Insurance'!$C$42</f>
        <v>20367.842560000008</v>
      </c>
      <c r="G6" s="2731">
        <f>-'[26]Sheet 2 - General Insurance'!$C$42</f>
        <v>-304.41413000001603</v>
      </c>
      <c r="H6" s="2732">
        <f>-'[27]Sheet 2 - General Insurance'!$C$42</f>
        <v>363088</v>
      </c>
      <c r="I6" s="2731">
        <f>-'[28]Sheet 2 - General Insurance'!$C$42</f>
        <v>19309.381980000002</v>
      </c>
      <c r="J6" s="2731"/>
      <c r="K6" s="2731">
        <f>-'[29]Sheet 2 - General Insurance'!$C$42</f>
        <v>6964.969730000018</v>
      </c>
      <c r="L6" s="2770">
        <f>-'[38]Sheet 2 - General Insurance'!$C$43-'[38]Sheet 2 - General Insurance'!$C$44</f>
        <v>-97.297640000091633</v>
      </c>
      <c r="M6" s="2731">
        <f>-'[31]Sheet 2 - General Insurance'!$C$42</f>
        <v>7140.2960400000002</v>
      </c>
      <c r="N6" s="2731">
        <f>+'[32]Sheet 2 - General Insurance'!$C$42</f>
        <v>7490.1331100000007</v>
      </c>
      <c r="O6" s="2731"/>
      <c r="P6" s="2731">
        <f>-'[33]Sheet 2 - General Insurance'!$C$42</f>
        <v>56830.059180000004</v>
      </c>
      <c r="Q6" s="2731">
        <f>-'[34]Sheet 2 - General Insurance'!$C$42</f>
        <v>-36881.427980000022</v>
      </c>
      <c r="R6" s="2771">
        <f>-'[39]Sheet 2 - General Insurance'!$C$42</f>
        <v>-3327.4462400000002</v>
      </c>
      <c r="S6" s="2772">
        <f>-'[36]Sheet 2 - General Insurance'!$C$42</f>
        <v>23137</v>
      </c>
      <c r="T6" s="2731">
        <f>-'[37]Sheet 2 - General Insurance'!$C$42</f>
        <v>442.56733200000002</v>
      </c>
      <c r="U6" s="2731"/>
      <c r="V6" s="2731">
        <f>SUM(B6:U6)</f>
        <v>550496.67194199993</v>
      </c>
      <c r="W6" s="58"/>
      <c r="X6" s="58"/>
    </row>
    <row r="7" spans="1:24">
      <c r="A7" s="2504" t="s">
        <v>437</v>
      </c>
      <c r="B7" s="2731">
        <f>-'[21]Sheet 2 - General Insurance'!$D$42</f>
        <v>15791</v>
      </c>
      <c r="C7" s="2731">
        <f>-'[22]Sheet 2 - General Insurance'!$D$42</f>
        <v>9661.9</v>
      </c>
      <c r="D7" s="2731">
        <f>-'[23]Sheet 2 - General Insurance'!$D$42</f>
        <v>24932</v>
      </c>
      <c r="E7" s="2731">
        <f>-'[24]Sheet 2 - General Insurance'!$D$42</f>
        <v>6905.174</v>
      </c>
      <c r="F7" s="2731">
        <f>-'[25]Sheet 2 - General Insurance'!$D$42</f>
        <v>302.95558000000449</v>
      </c>
      <c r="G7" s="2731">
        <f>-'[26]Sheet 2 - General Insurance'!$D$42</f>
        <v>1549.4693300000001</v>
      </c>
      <c r="H7" s="2731">
        <f>-'[27]Sheet 2 - General Insurance'!$D$42</f>
        <v>115153</v>
      </c>
      <c r="I7" s="2731">
        <f>-'[28]Sheet 2 - General Insurance'!$D$42</f>
        <v>13281.660260000001</v>
      </c>
      <c r="J7" s="2731"/>
      <c r="K7" s="2731">
        <f>-'[29]Sheet 2 - General Insurance'!$D$42</f>
        <v>1235.2764800000002</v>
      </c>
      <c r="L7" s="2770">
        <f>-'[38]Sheet 2 - General Insurance'!$D$43-'[38]Sheet 2 - General Insurance'!$D$44</f>
        <v>33150.096209999996</v>
      </c>
      <c r="M7" s="2731">
        <f>-'[31]Sheet 2 - General Insurance'!$D$42</f>
        <v>2942.90895</v>
      </c>
      <c r="N7" s="2731">
        <f>+'[32]Sheet 2 - General Insurance'!$D$42</f>
        <v>6053.0590399999992</v>
      </c>
      <c r="O7" s="2731"/>
      <c r="P7" s="2731">
        <f>-'[33]Sheet 2 - General Insurance'!$D$42</f>
        <v>1506.1048099999996</v>
      </c>
      <c r="Q7" s="2731">
        <f>-'[34]Sheet 2 - General Insurance'!$D$42</f>
        <v>99422.367870000002</v>
      </c>
      <c r="R7" s="2771">
        <v>0</v>
      </c>
      <c r="S7" s="2772">
        <f>-'[36]Sheet 2 - General Insurance'!$D$42</f>
        <v>59830</v>
      </c>
      <c r="T7" s="2731">
        <f>-'[37]Sheet 2 - General Insurance'!$D$42</f>
        <v>636.58943299999999</v>
      </c>
      <c r="U7" s="2731"/>
      <c r="V7" s="2731">
        <f>SUM(B7:U7)</f>
        <v>392353.56196299999</v>
      </c>
      <c r="W7" s="58"/>
      <c r="X7" s="58"/>
    </row>
    <row r="8" spans="1:24">
      <c r="A8" s="2504" t="s">
        <v>438</v>
      </c>
      <c r="B8" s="2734">
        <f>-'[21]Sheet 2 - General Insurance'!$E$42</f>
        <v>554409</v>
      </c>
      <c r="C8" s="2734">
        <f>-'[22]Sheet 2 - General Insurance'!$E$42</f>
        <v>151394.93</v>
      </c>
      <c r="D8" s="2735">
        <f>-'[23]Sheet 2 - General Insurance'!$E$42</f>
        <v>825791</v>
      </c>
      <c r="E8" s="2734">
        <f>-'[24]Sheet 2 - General Insurance'!$E$42</f>
        <v>492573.55099999998</v>
      </c>
      <c r="F8" s="2734">
        <f>-'[25]Sheet 2 - General Insurance'!$E$42</f>
        <v>19858.493759999896</v>
      </c>
      <c r="G8" s="2731">
        <f>-'[26]Sheet 2 - General Insurance'!$E$42</f>
        <v>606505.65050999995</v>
      </c>
      <c r="H8" s="2732">
        <f>-'[27]Sheet 2 - General Insurance'!$E$42</f>
        <v>3403107</v>
      </c>
      <c r="I8" s="2731">
        <f>-'[28]Sheet 2 - General Insurance'!$E$42</f>
        <v>569075.66184000007</v>
      </c>
      <c r="J8" s="2731"/>
      <c r="K8" s="2731">
        <f>-'[29]Sheet 2 - General Insurance'!$E$42</f>
        <v>776450.46227999986</v>
      </c>
      <c r="L8" s="2770">
        <f>-'[38]Sheet 2 - General Insurance'!$E$43</f>
        <v>2771306.27672</v>
      </c>
      <c r="M8" s="2731">
        <f>-'[31]Sheet 2 - General Insurance'!$E$42</f>
        <v>631710.04827999999</v>
      </c>
      <c r="N8" s="2731">
        <f>+'[32]Sheet 2 - General Insurance'!$E$42</f>
        <v>629740.41785999993</v>
      </c>
      <c r="O8" s="2731"/>
      <c r="P8" s="2731">
        <f>-'[33]Sheet 2 - General Insurance'!$E$42</f>
        <v>1908846.3736100004</v>
      </c>
      <c r="Q8" s="2731">
        <f>-'[34]Sheet 2 - General Insurance'!$E$42</f>
        <v>3889709.5711300005</v>
      </c>
      <c r="R8" s="2771">
        <f>-'[39]Sheet 2 - General Insurance'!$E$42</f>
        <v>8107.1067699999994</v>
      </c>
      <c r="S8" s="2772">
        <f>-'[36]Sheet 2 - General Insurance'!$E$42</f>
        <v>1649504</v>
      </c>
      <c r="T8" s="2731">
        <f>-'[37]Sheet 2 - General Insurance'!$E$42</f>
        <v>163657.96072725</v>
      </c>
      <c r="U8" s="2731"/>
      <c r="V8" s="2731">
        <f>SUM(B8:U8)</f>
        <v>19051747.50448725</v>
      </c>
      <c r="W8" s="58"/>
      <c r="X8" s="58"/>
    </row>
    <row r="9" spans="1:24">
      <c r="A9" s="2504" t="s">
        <v>722</v>
      </c>
      <c r="B9" s="2734">
        <f>-'[21]Sheet 2 - General Insurance'!$F$42</f>
        <v>2802</v>
      </c>
      <c r="C9" s="2734">
        <f>-'[22]Sheet 2 - General Insurance'!$F$42</f>
        <v>3319.28</v>
      </c>
      <c r="D9" s="2735">
        <f>-'[23]Sheet 2 - General Insurance'!$F$42</f>
        <v>8296</v>
      </c>
      <c r="E9" s="2734">
        <f>-'[24]Sheet 2 - General Insurance'!$F$42</f>
        <v>2933.2139999999999</v>
      </c>
      <c r="F9" s="2734">
        <f>-'[25]Sheet 2 - General Insurance'!$F$42</f>
        <v>227.33267999999993</v>
      </c>
      <c r="G9" s="2731">
        <f>-'[26]Sheet 2 - General Insurance'!$F$42</f>
        <v>122.39278999999999</v>
      </c>
      <c r="H9" s="2731">
        <f>-'[27]Sheet 2 - General Insurance'!$F$42</f>
        <v>27758</v>
      </c>
      <c r="I9" s="2731">
        <v>0</v>
      </c>
      <c r="J9" s="2731"/>
      <c r="K9" s="2731">
        <f>-'[29]Sheet 2 - General Insurance'!$F$42</f>
        <v>1936.75684</v>
      </c>
      <c r="L9" s="2770">
        <v>0</v>
      </c>
      <c r="M9" s="2731">
        <f>-'[31]Sheet 2 - General Insurance'!$F$42</f>
        <v>4224.6822199999997</v>
      </c>
      <c r="N9" s="2731">
        <v>0</v>
      </c>
      <c r="O9" s="2731"/>
      <c r="P9" s="2731">
        <v>0</v>
      </c>
      <c r="Q9" s="2731">
        <f>-'[34]Sheet 2 - General Insurance'!$F$42</f>
        <v>18695.285229999998</v>
      </c>
      <c r="R9" s="2771">
        <f>-'[39]Sheet 2 - General Insurance'!$F$42</f>
        <v>0</v>
      </c>
      <c r="S9" s="2772">
        <f>-'[36]Sheet 2 - General Insurance'!$F$42</f>
        <v>13611</v>
      </c>
      <c r="T9" s="2731">
        <v>0</v>
      </c>
      <c r="U9" s="2731"/>
      <c r="V9" s="2731">
        <f>SUM(B9:U9)</f>
        <v>83925.943759999995</v>
      </c>
      <c r="W9" s="58"/>
      <c r="X9" s="58"/>
    </row>
    <row r="10" spans="1:24">
      <c r="A10" s="2504" t="s">
        <v>440</v>
      </c>
      <c r="B10" s="2734">
        <f>-'[21]Sheet 2 - General Insurance'!$G$42</f>
        <v>338597</v>
      </c>
      <c r="C10" s="2734">
        <f>-'[22]Sheet 2 - General Insurance'!$G$42</f>
        <v>122053.68</v>
      </c>
      <c r="D10" s="2735">
        <f>-'[23]Sheet 2 - General Insurance'!$G$42</f>
        <v>194915</v>
      </c>
      <c r="E10" s="2734">
        <f>-'[24]Sheet 2 - General Insurance'!$G$42</f>
        <v>80170.148000000001</v>
      </c>
      <c r="F10" s="2734">
        <f>-'[25]Sheet 2 - General Insurance'!$G$42</f>
        <v>86394.209889999998</v>
      </c>
      <c r="G10" s="2731">
        <f>-'[26]Sheet 2 - General Insurance'!$G$42</f>
        <v>11767.767270000002</v>
      </c>
      <c r="H10" s="2732">
        <f>-'[27]Sheet 2 - General Insurance'!$G$42</f>
        <v>732627</v>
      </c>
      <c r="I10" s="2731">
        <f>-'[28]Sheet 2 - General Insurance'!$G$42</f>
        <v>31521.974879999998</v>
      </c>
      <c r="J10" s="2731"/>
      <c r="K10" s="2731">
        <f>-'[29]Sheet 2 - General Insurance'!$G$42</f>
        <v>102486.29117999997</v>
      </c>
      <c r="L10" s="2770">
        <f>-'[38]Sheet 2 - General Insurance'!$G$43-'[38]Sheet 2 - General Insurance'!$G$44</f>
        <v>454306.45480000001</v>
      </c>
      <c r="M10" s="2731">
        <f>-'[31]Sheet 2 - General Insurance'!$G$42</f>
        <v>1270.81774</v>
      </c>
      <c r="N10" s="2731">
        <f>+'[32]Sheet 2 - General Insurance'!$G$42</f>
        <v>178368.91123</v>
      </c>
      <c r="O10" s="2731"/>
      <c r="P10" s="2731">
        <f>-'[33]Sheet 2 - General Insurance'!$G$42</f>
        <v>153036.22787</v>
      </c>
      <c r="Q10" s="2731">
        <f>-'[34]Sheet 2 - General Insurance'!$G$42</f>
        <v>1012886.7282900001</v>
      </c>
      <c r="R10" s="2771">
        <f>-'[39]Sheet 2 - General Insurance'!$G$42</f>
        <v>75868.370810000008</v>
      </c>
      <c r="S10" s="2772">
        <f>-'[36]Sheet 2 - General Insurance'!$G$42</f>
        <v>1053175</v>
      </c>
      <c r="T10" s="2731">
        <f>-'[37]Sheet 2 - General Insurance'!$G$42</f>
        <v>32512.326285162999</v>
      </c>
      <c r="U10" s="2731"/>
      <c r="V10" s="2731">
        <f>SUM(B10:U10)</f>
        <v>4661957.908245163</v>
      </c>
      <c r="W10" s="58"/>
      <c r="X10" s="58"/>
    </row>
    <row r="11" spans="1:24">
      <c r="A11" s="2736" t="s">
        <v>118</v>
      </c>
      <c r="B11" s="2737">
        <f t="shared" ref="B11:H11" si="0">SUM(B6:B10)</f>
        <v>910324</v>
      </c>
      <c r="C11" s="2737">
        <f t="shared" si="0"/>
        <v>317838.28999999998</v>
      </c>
      <c r="D11" s="2737">
        <f t="shared" si="0"/>
        <v>1097830</v>
      </c>
      <c r="E11" s="2737">
        <f t="shared" si="0"/>
        <v>594889.59499999997</v>
      </c>
      <c r="F11" s="2737">
        <f t="shared" si="0"/>
        <v>127150.83446999991</v>
      </c>
      <c r="G11" s="2737">
        <f t="shared" si="0"/>
        <v>619640.8657699998</v>
      </c>
      <c r="H11" s="2737">
        <f t="shared" si="0"/>
        <v>4641733</v>
      </c>
      <c r="I11" s="2737">
        <f t="shared" ref="I11:V11" si="1">SUM(I6:I10)</f>
        <v>633188.67896000005</v>
      </c>
      <c r="J11" s="2737">
        <f t="shared" si="1"/>
        <v>0</v>
      </c>
      <c r="K11" s="2737">
        <f t="shared" si="1"/>
        <v>889073.75650999986</v>
      </c>
      <c r="L11" s="2737">
        <f t="shared" si="1"/>
        <v>3258665.53009</v>
      </c>
      <c r="M11" s="2737">
        <f t="shared" si="1"/>
        <v>647288.75322999991</v>
      </c>
      <c r="N11" s="2737">
        <f t="shared" si="1"/>
        <v>821652.52123999991</v>
      </c>
      <c r="O11" s="2737">
        <f t="shared" si="1"/>
        <v>0</v>
      </c>
      <c r="P11" s="2737">
        <f t="shared" si="1"/>
        <v>2120218.7654700004</v>
      </c>
      <c r="Q11" s="2737">
        <f t="shared" si="1"/>
        <v>4983832.5245400006</v>
      </c>
      <c r="R11" s="2737">
        <f t="shared" si="1"/>
        <v>80648.031340000001</v>
      </c>
      <c r="S11" s="2773">
        <f t="shared" si="1"/>
        <v>2799257</v>
      </c>
      <c r="T11" s="2737">
        <f t="shared" si="1"/>
        <v>197249.44377741299</v>
      </c>
      <c r="U11" s="2737">
        <f t="shared" si="1"/>
        <v>0</v>
      </c>
      <c r="V11" s="2737">
        <f t="shared" si="1"/>
        <v>24740481.59039741</v>
      </c>
      <c r="W11" s="375">
        <f>+'[5]P &amp; L - GI - 2013'!H16</f>
        <v>-24740481.590397414</v>
      </c>
      <c r="X11" s="58">
        <f>+V11+W11</f>
        <v>0</v>
      </c>
    </row>
    <row r="14" spans="1:24" ht="15" customHeight="1">
      <c r="A14" s="2725" t="s">
        <v>750</v>
      </c>
      <c r="B14" s="3167"/>
      <c r="C14" s="3167"/>
      <c r="D14" s="3167"/>
      <c r="E14" s="3167"/>
      <c r="F14" s="2726"/>
    </row>
    <row r="15" spans="1:24">
      <c r="A15" s="3604" t="s">
        <v>730</v>
      </c>
      <c r="B15" s="373">
        <v>1</v>
      </c>
      <c r="C15" s="373">
        <v>2</v>
      </c>
      <c r="D15" s="373">
        <v>3</v>
      </c>
      <c r="E15" s="373">
        <v>4</v>
      </c>
      <c r="F15" s="373">
        <v>5</v>
      </c>
      <c r="G15" s="373">
        <v>6</v>
      </c>
      <c r="H15" s="373">
        <v>7</v>
      </c>
      <c r="I15" s="373">
        <v>8</v>
      </c>
      <c r="J15" s="373">
        <v>9</v>
      </c>
      <c r="K15" s="373">
        <v>10</v>
      </c>
      <c r="L15" s="373">
        <v>11</v>
      </c>
      <c r="M15" s="373">
        <v>12</v>
      </c>
      <c r="N15" s="373">
        <v>13</v>
      </c>
      <c r="O15" s="373">
        <v>14</v>
      </c>
      <c r="P15" s="373">
        <v>15</v>
      </c>
      <c r="Q15" s="373">
        <v>16</v>
      </c>
      <c r="R15" s="373">
        <v>17</v>
      </c>
      <c r="S15" s="379">
        <v>18</v>
      </c>
      <c r="T15" s="373">
        <v>19</v>
      </c>
      <c r="U15" s="373">
        <v>20</v>
      </c>
      <c r="V15" s="374"/>
    </row>
    <row r="16" spans="1:24">
      <c r="A16" s="3604"/>
      <c r="B16" s="2727" t="s">
        <v>177</v>
      </c>
      <c r="C16" s="2727" t="s">
        <v>179</v>
      </c>
      <c r="D16" s="2727" t="s">
        <v>181</v>
      </c>
      <c r="E16" s="2727" t="s">
        <v>182</v>
      </c>
      <c r="F16" s="2727" t="s">
        <v>183</v>
      </c>
      <c r="G16" s="2727" t="s">
        <v>184</v>
      </c>
      <c r="H16" s="2728" t="s">
        <v>185</v>
      </c>
      <c r="I16" s="2727" t="s">
        <v>186</v>
      </c>
      <c r="J16" s="2727" t="s">
        <v>187</v>
      </c>
      <c r="K16" s="2727" t="s">
        <v>188</v>
      </c>
      <c r="L16" s="2727" t="s">
        <v>189</v>
      </c>
      <c r="M16" s="2727" t="s">
        <v>191</v>
      </c>
      <c r="N16" s="2727" t="s">
        <v>192</v>
      </c>
      <c r="O16" s="2727" t="s">
        <v>702</v>
      </c>
      <c r="P16" s="2727" t="s">
        <v>194</v>
      </c>
      <c r="Q16" s="2729" t="s">
        <v>115</v>
      </c>
      <c r="R16" s="2727" t="s">
        <v>196</v>
      </c>
      <c r="S16" s="2696" t="s">
        <v>197</v>
      </c>
      <c r="T16" s="2727" t="s">
        <v>193</v>
      </c>
      <c r="U16" s="2727" t="s">
        <v>110</v>
      </c>
      <c r="V16" s="2730" t="s">
        <v>118</v>
      </c>
    </row>
    <row r="17" spans="1:24">
      <c r="A17" s="2504" t="s">
        <v>436</v>
      </c>
      <c r="B17" s="2731">
        <f>-'[21]Sheet 2 - General Insurance'!$C$162</f>
        <v>11256.1104</v>
      </c>
      <c r="C17" s="2731">
        <f>-'[22]Sheet 2 - General Insurance'!$C$160</f>
        <v>-13876</v>
      </c>
      <c r="D17" s="2731">
        <f>-'[23]Sheet 2 - General Insurance'!$C$180</f>
        <v>28582</v>
      </c>
      <c r="E17" s="2731">
        <f>-'[24]Sheet 2 - General Insurance'!$C$164</f>
        <v>2389.8817799999997</v>
      </c>
      <c r="F17" s="2731">
        <f>-'[25]Sheet 2 - General Insurance'!$C$160</f>
        <v>10664.864089999999</v>
      </c>
      <c r="G17" s="2731">
        <f>-'[26]Sheet 2 - General Insurance'!$C$175</f>
        <v>1655.2840000000001</v>
      </c>
      <c r="H17" s="2732">
        <f>-'[27]Sheet 2 - General Insurance'!$C$174</f>
        <v>416151</v>
      </c>
      <c r="I17" s="2731">
        <f>-'[28]Sheet 2 - General Insurance'!$C$160</f>
        <v>19076.350549999999</v>
      </c>
      <c r="J17" s="2731"/>
      <c r="K17" s="2731">
        <f>-'[29]Sheet 2 - General Insurance'!$C$169</f>
        <v>11492.697759999999</v>
      </c>
      <c r="L17" s="193">
        <f>-'[30]Sheet 2 - General Insurance'!$C$163</f>
        <v>69577.058980000002</v>
      </c>
      <c r="M17" s="2731">
        <f>-'[31]Sheet 2 - General Insurance'!$C$160</f>
        <v>5097.2243600000002</v>
      </c>
      <c r="N17" s="2731">
        <f>+'[32]Sheet 2 - General Insurance'!$C$160</f>
        <v>1413.8381999999992</v>
      </c>
      <c r="O17" s="2731"/>
      <c r="P17" s="2731">
        <f>-'[33]Sheet 2 - General Insurance'!$C$165</f>
        <v>69741</v>
      </c>
      <c r="Q17" s="2731">
        <f>-'[34]Sheet 2 - General Insurance'!$C$167</f>
        <v>-145917.17779000013</v>
      </c>
      <c r="R17" s="2771">
        <f>-'[39]Sheet 2 - General Insurance'!$C$162</f>
        <v>-3021.2354100000002</v>
      </c>
      <c r="S17" s="2772">
        <f>-'[36]Sheet 2 - General Insurance'!$C$160</f>
        <v>19790.06925</v>
      </c>
      <c r="T17" s="2731">
        <v>1027.7257870000001</v>
      </c>
      <c r="U17" s="2731"/>
      <c r="V17" s="2731">
        <f>SUM(B17:U17)</f>
        <v>505100.69195699977</v>
      </c>
      <c r="W17" s="58"/>
      <c r="X17" s="58"/>
    </row>
    <row r="18" spans="1:24">
      <c r="A18" s="2504" t="s">
        <v>437</v>
      </c>
      <c r="B18" s="2731">
        <f>-'[21]Sheet 2 - General Insurance'!$D$162</f>
        <v>7267.8534200000004</v>
      </c>
      <c r="C18" s="2731">
        <f>-'[22]Sheet 2 - General Insurance'!$D$160</f>
        <v>2400</v>
      </c>
      <c r="D18" s="2731">
        <f>-'[23]Sheet 2 - General Insurance'!$D$180</f>
        <v>54012</v>
      </c>
      <c r="E18" s="2731">
        <f>-'[24]Sheet 2 - General Insurance'!$D$164</f>
        <v>1487.52169</v>
      </c>
      <c r="F18" s="2731">
        <f>-'[25]Sheet 2 - General Insurance'!$D$160</f>
        <v>-998.19985000000202</v>
      </c>
      <c r="G18" s="2731">
        <f>-'[26]Sheet 2 - General Insurance'!$D$175</f>
        <v>872.505</v>
      </c>
      <c r="H18" s="2731">
        <f>-'[27]Sheet 2 - General Insurance'!$D$174</f>
        <v>107419</v>
      </c>
      <c r="I18" s="2731">
        <f>-'[28]Sheet 2 - General Insurance'!$D$160</f>
        <v>13742.62486</v>
      </c>
      <c r="J18" s="2731"/>
      <c r="K18" s="2731">
        <f>-'[29]Sheet 2 - General Insurance'!$D$169</f>
        <v>952.66656999999998</v>
      </c>
      <c r="L18" s="193">
        <f>-'[30]Sheet 2 - General Insurance'!$D$163</f>
        <v>46382.139680000008</v>
      </c>
      <c r="M18" s="2731">
        <f>-'[31]Sheet 2 - General Insurance'!$D$160</f>
        <v>134.80410999999998</v>
      </c>
      <c r="N18" s="2731">
        <f>+'[32]Sheet 2 - General Insurance'!$D$160</f>
        <v>2594.6787800000002</v>
      </c>
      <c r="O18" s="2731"/>
      <c r="P18" s="2731">
        <f>-'[33]Sheet 2 - General Insurance'!$D$165</f>
        <v>8142</v>
      </c>
      <c r="Q18" s="2731">
        <f>-'[34]Sheet 2 - General Insurance'!$D$167</f>
        <v>47642.551130000007</v>
      </c>
      <c r="R18" s="2771">
        <v>0</v>
      </c>
      <c r="S18" s="2772">
        <f>-'[36]Sheet 2 - General Insurance'!$D$160</f>
        <v>27018.348580000002</v>
      </c>
      <c r="T18" s="2731">
        <v>2006.6734819999999</v>
      </c>
      <c r="U18" s="2731"/>
      <c r="V18" s="2731">
        <f>SUM(B18:U18)</f>
        <v>321077.16745199997</v>
      </c>
      <c r="W18" s="58"/>
      <c r="X18" s="58"/>
    </row>
    <row r="19" spans="1:24">
      <c r="A19" s="2504" t="s">
        <v>438</v>
      </c>
      <c r="B19" s="2734">
        <f>-'[21]Sheet 2 - General Insurance'!$E$162</f>
        <v>319617.61462999997</v>
      </c>
      <c r="C19" s="2734">
        <f>-'[22]Sheet 2 - General Insurance'!$E$160</f>
        <v>73820</v>
      </c>
      <c r="D19" s="2735">
        <f>-'[23]Sheet 2 - General Insurance'!$E$180</f>
        <v>757719.09296000004</v>
      </c>
      <c r="E19" s="2734">
        <f>-'[24]Sheet 2 - General Insurance'!$E$164</f>
        <v>499551.01990000001</v>
      </c>
      <c r="F19" s="2734">
        <f>-'[25]Sheet 2 - General Insurance'!$E$160</f>
        <v>26222.239580000001</v>
      </c>
      <c r="G19" s="2731">
        <f>-'[26]Sheet 2 - General Insurance'!$E$175</f>
        <v>680751.36199999996</v>
      </c>
      <c r="H19" s="2732">
        <f>-'[27]Sheet 2 - General Insurance'!$E$174</f>
        <v>3343075</v>
      </c>
      <c r="I19" s="2731">
        <f>-'[28]Sheet 2 - General Insurance'!$E$160</f>
        <v>558930.50403999991</v>
      </c>
      <c r="J19" s="2731"/>
      <c r="K19" s="2731">
        <f>-'[29]Sheet 2 - General Insurance'!$E$169</f>
        <v>789174.7561</v>
      </c>
      <c r="L19" s="193">
        <f>-'[30]Sheet 2 - General Insurance'!$E$163</f>
        <v>2482500.2996299998</v>
      </c>
      <c r="M19" s="2731">
        <f>-'[31]Sheet 2 - General Insurance'!$E$160</f>
        <v>572345.57115999993</v>
      </c>
      <c r="N19" s="2731">
        <f>+'[32]Sheet 2 - General Insurance'!$E$160</f>
        <v>381705.73232000001</v>
      </c>
      <c r="O19" s="2731"/>
      <c r="P19" s="2731">
        <f>-'[33]Sheet 2 - General Insurance'!$E$165</f>
        <v>1730598</v>
      </c>
      <c r="Q19" s="2731">
        <f>-'[34]Sheet 2 - General Insurance'!$E$167</f>
        <v>4431042.8633000003</v>
      </c>
      <c r="R19" s="2771">
        <f>-'[39]Sheet 2 - General Insurance'!$E$162</f>
        <v>8768.7502599999989</v>
      </c>
      <c r="S19" s="2772">
        <f>-'[36]Sheet 2 - General Insurance'!$E$160</f>
        <v>1489946.1674800001</v>
      </c>
      <c r="T19" s="2731">
        <v>89852.766674500002</v>
      </c>
      <c r="U19" s="2731"/>
      <c r="V19" s="2731">
        <f>SUM(B19:U19)</f>
        <v>18235621.740034498</v>
      </c>
      <c r="W19" s="58"/>
      <c r="X19" s="58"/>
    </row>
    <row r="20" spans="1:24">
      <c r="A20" s="2504" t="s">
        <v>722</v>
      </c>
      <c r="B20" s="2734">
        <f>-'[21]Sheet 2 - General Insurance'!$F$162</f>
        <v>3864.8829900000001</v>
      </c>
      <c r="C20" s="2734">
        <f>-'[22]Sheet 2 - General Insurance'!$F$160</f>
        <v>11233</v>
      </c>
      <c r="D20" s="2735">
        <f>-'[23]Sheet 2 - General Insurance'!$F$180</f>
        <v>8623.5023029276308</v>
      </c>
      <c r="E20" s="2734">
        <f>-'[24]Sheet 2 - General Insurance'!$F$164</f>
        <v>788.3</v>
      </c>
      <c r="F20" s="2734">
        <f>-'[25]Sheet 2 - General Insurance'!$F$160</f>
        <v>-33.220950000000002</v>
      </c>
      <c r="G20" s="2731">
        <f>-'[26]Sheet 2 - General Insurance'!$F$175</f>
        <v>145.37326002713701</v>
      </c>
      <c r="H20" s="2731">
        <f>-'[27]Sheet 2 - General Insurance'!$F$174</f>
        <v>46216</v>
      </c>
      <c r="I20" s="2731">
        <v>0</v>
      </c>
      <c r="J20" s="2731"/>
      <c r="K20" s="2731">
        <f>-'[29]Sheet 2 - General Insurance'!$F$169</f>
        <v>2610.3094299999998</v>
      </c>
      <c r="L20" s="193">
        <v>0</v>
      </c>
      <c r="M20" s="2731">
        <f>-'[31]Sheet 2 - General Insurance'!$F$160</f>
        <v>280.86914000000002</v>
      </c>
      <c r="N20" s="2731">
        <v>0</v>
      </c>
      <c r="O20" s="2731"/>
      <c r="P20" s="2731">
        <v>0</v>
      </c>
      <c r="Q20" s="2731">
        <f>-'[34]Sheet 2 - General Insurance'!$F$167</f>
        <v>34413.345319999993</v>
      </c>
      <c r="R20" s="2771">
        <v>0</v>
      </c>
      <c r="S20" s="2772">
        <f>-'[36]Sheet 2 - General Insurance'!$F$160</f>
        <v>13488.727339999999</v>
      </c>
      <c r="T20" s="2731">
        <v>0</v>
      </c>
      <c r="U20" s="2731"/>
      <c r="V20" s="2731">
        <f>SUM(B20:U20)</f>
        <v>121631.08883295475</v>
      </c>
      <c r="W20" s="58"/>
      <c r="X20" s="58"/>
    </row>
    <row r="21" spans="1:24">
      <c r="A21" s="2504" t="s">
        <v>440</v>
      </c>
      <c r="B21" s="2734">
        <f>-'[21]Sheet 2 - General Insurance'!$G$162</f>
        <v>174678.35973000003</v>
      </c>
      <c r="C21" s="2734">
        <f>-'[22]Sheet 2 - General Insurance'!$G$160</f>
        <v>90260</v>
      </c>
      <c r="D21" s="2735">
        <f>-'[23]Sheet 2 - General Insurance'!$G$180</f>
        <v>171422</v>
      </c>
      <c r="E21" s="2734">
        <f>-'[24]Sheet 2 - General Insurance'!$G$164</f>
        <v>73696.855009999999</v>
      </c>
      <c r="F21" s="2734">
        <f>-'[25]Sheet 2 - General Insurance'!$G$160</f>
        <v>48890.976499999997</v>
      </c>
      <c r="G21" s="2731">
        <f>-'[26]Sheet 2 - General Insurance'!$G$175</f>
        <v>16925.331301092701</v>
      </c>
      <c r="H21" s="2732">
        <f>-'[27]Sheet 2 - General Insurance'!$G$174</f>
        <v>643567</v>
      </c>
      <c r="I21" s="2731">
        <f>-'[28]Sheet 2 - General Insurance'!$G$160</f>
        <v>48908.440419999999</v>
      </c>
      <c r="J21" s="2731"/>
      <c r="K21" s="2731">
        <f>-'[29]Sheet 2 - General Insurance'!$G$169</f>
        <v>88520.033630000005</v>
      </c>
      <c r="L21" s="193">
        <f>-'[30]Sheet 2 - General Insurance'!$G$163</f>
        <v>432294.01051999995</v>
      </c>
      <c r="M21" s="2731">
        <f>-'[31]Sheet 2 - General Insurance'!$G$160</f>
        <v>528.57628</v>
      </c>
      <c r="N21" s="2731">
        <f>+'[32]Sheet 2 - General Insurance'!$G$160</f>
        <v>79749.784169999984</v>
      </c>
      <c r="O21" s="2731"/>
      <c r="P21" s="2731">
        <f>-'[33]Sheet 2 - General Insurance'!$G$165</f>
        <v>161568</v>
      </c>
      <c r="Q21" s="2731">
        <f>-'[34]Sheet 2 - General Insurance'!$G$167</f>
        <v>1698124.2565500007</v>
      </c>
      <c r="R21" s="2771">
        <f>-'[39]Sheet 2 - General Insurance'!$G$162</f>
        <v>63876.173649999997</v>
      </c>
      <c r="S21" s="2772">
        <f>-'[36]Sheet 2 - General Insurance'!$G$160</f>
        <v>769860.47753999999</v>
      </c>
      <c r="T21" s="2731">
        <v>21117.5518906322</v>
      </c>
      <c r="U21" s="2731"/>
      <c r="V21" s="2731">
        <f>SUM(B21:U21)</f>
        <v>4583987.8271917254</v>
      </c>
      <c r="W21" s="58"/>
      <c r="X21" s="58"/>
    </row>
    <row r="22" spans="1:24">
      <c r="A22" s="2736" t="s">
        <v>118</v>
      </c>
      <c r="B22" s="2737">
        <f t="shared" ref="B22:V22" si="2">SUM(B17:B21)</f>
        <v>516684.82117000001</v>
      </c>
      <c r="C22" s="2737">
        <f t="shared" si="2"/>
        <v>163837</v>
      </c>
      <c r="D22" s="2737">
        <f t="shared" si="2"/>
        <v>1020358.5952629277</v>
      </c>
      <c r="E22" s="2737">
        <f t="shared" si="2"/>
        <v>577913.57838000008</v>
      </c>
      <c r="F22" s="2737">
        <f t="shared" si="2"/>
        <v>84746.659369999994</v>
      </c>
      <c r="G22" s="2737">
        <f t="shared" si="2"/>
        <v>700349.85556111985</v>
      </c>
      <c r="H22" s="2737">
        <f t="shared" si="2"/>
        <v>4556428</v>
      </c>
      <c r="I22" s="2737">
        <f>SUM(I17:I21)</f>
        <v>640657.91986999987</v>
      </c>
      <c r="J22" s="2737">
        <f t="shared" si="2"/>
        <v>0</v>
      </c>
      <c r="K22" s="2737">
        <f>SUM(K17:K21)</f>
        <v>892750.46348999999</v>
      </c>
      <c r="L22" s="2737">
        <f>SUM(L17:L21)</f>
        <v>3030753.50881</v>
      </c>
      <c r="M22" s="2737">
        <f>SUM(M17:M21)</f>
        <v>578387.04504999996</v>
      </c>
      <c r="N22" s="2737">
        <f t="shared" si="2"/>
        <v>465464.03347000002</v>
      </c>
      <c r="O22" s="2737">
        <f t="shared" si="2"/>
        <v>0</v>
      </c>
      <c r="P22" s="2737">
        <f t="shared" si="2"/>
        <v>1970049</v>
      </c>
      <c r="Q22" s="2737">
        <f>SUM(Q17:Q21)</f>
        <v>6065305.8385100011</v>
      </c>
      <c r="R22" s="2737">
        <f t="shared" si="2"/>
        <v>69623.688499999989</v>
      </c>
      <c r="S22" s="2773">
        <f t="shared" si="2"/>
        <v>2320103.7901900001</v>
      </c>
      <c r="T22" s="2737">
        <f t="shared" si="2"/>
        <v>114004.7178341322</v>
      </c>
      <c r="U22" s="2737">
        <f t="shared" si="2"/>
        <v>0</v>
      </c>
      <c r="V22" s="2737">
        <f t="shared" si="2"/>
        <v>23767418.51546818</v>
      </c>
      <c r="W22" s="375">
        <f>+'[5]P &amp; L - GI - 2012 '!H16</f>
        <v>-23767418.515468184</v>
      </c>
      <c r="X22" s="58">
        <f>+V22+W22</f>
        <v>0</v>
      </c>
    </row>
    <row r="25" spans="1:24" ht="15" customHeight="1">
      <c r="A25" s="2725" t="s">
        <v>751</v>
      </c>
      <c r="B25" s="3167"/>
      <c r="C25" s="3167"/>
      <c r="D25" s="3167"/>
      <c r="E25" s="3167"/>
      <c r="F25" s="2726"/>
    </row>
    <row r="26" spans="1:24">
      <c r="A26" s="3604" t="s">
        <v>730</v>
      </c>
      <c r="B26" s="373">
        <v>1</v>
      </c>
      <c r="C26" s="373">
        <v>2</v>
      </c>
      <c r="D26" s="373">
        <v>3</v>
      </c>
      <c r="E26" s="373">
        <v>4</v>
      </c>
      <c r="F26" s="373">
        <v>5</v>
      </c>
      <c r="G26" s="373">
        <v>6</v>
      </c>
      <c r="H26" s="373">
        <v>7</v>
      </c>
      <c r="I26" s="373">
        <v>8</v>
      </c>
      <c r="J26" s="373">
        <v>9</v>
      </c>
      <c r="K26" s="373">
        <v>10</v>
      </c>
      <c r="L26" s="373">
        <v>11</v>
      </c>
      <c r="M26" s="373">
        <v>12</v>
      </c>
      <c r="N26" s="373">
        <v>13</v>
      </c>
      <c r="O26" s="373">
        <v>14</v>
      </c>
      <c r="P26" s="373">
        <v>15</v>
      </c>
      <c r="Q26" s="373">
        <v>16</v>
      </c>
      <c r="R26" s="373">
        <v>17</v>
      </c>
      <c r="S26" s="379">
        <v>18</v>
      </c>
      <c r="T26" s="373">
        <v>19</v>
      </c>
      <c r="U26" s="373">
        <v>20</v>
      </c>
      <c r="V26" s="374"/>
    </row>
    <row r="27" spans="1:24">
      <c r="A27" s="3604"/>
      <c r="B27" s="2727" t="s">
        <v>177</v>
      </c>
      <c r="C27" s="2727" t="s">
        <v>179</v>
      </c>
      <c r="D27" s="2727" t="s">
        <v>181</v>
      </c>
      <c r="E27" s="2727" t="s">
        <v>182</v>
      </c>
      <c r="F27" s="2727" t="s">
        <v>183</v>
      </c>
      <c r="G27" s="2727" t="s">
        <v>184</v>
      </c>
      <c r="H27" s="2728" t="s">
        <v>185</v>
      </c>
      <c r="I27" s="2727" t="s">
        <v>186</v>
      </c>
      <c r="J27" s="2727" t="s">
        <v>187</v>
      </c>
      <c r="K27" s="2727" t="s">
        <v>188</v>
      </c>
      <c r="L27" s="2727" t="s">
        <v>189</v>
      </c>
      <c r="M27" s="2727" t="s">
        <v>191</v>
      </c>
      <c r="N27" s="2727" t="s">
        <v>192</v>
      </c>
      <c r="O27" s="2727" t="s">
        <v>702</v>
      </c>
      <c r="P27" s="2727" t="s">
        <v>194</v>
      </c>
      <c r="Q27" s="2727" t="s">
        <v>115</v>
      </c>
      <c r="R27" s="2727" t="s">
        <v>196</v>
      </c>
      <c r="S27" s="2696" t="s">
        <v>197</v>
      </c>
      <c r="T27" s="2727" t="s">
        <v>193</v>
      </c>
      <c r="U27" s="2727" t="s">
        <v>110</v>
      </c>
      <c r="V27" s="2730" t="s">
        <v>118</v>
      </c>
    </row>
    <row r="28" spans="1:24">
      <c r="A28" s="2504" t="s">
        <v>436</v>
      </c>
      <c r="B28" s="2731">
        <v>2708.7705000000001</v>
      </c>
      <c r="C28" s="2731">
        <v>353</v>
      </c>
      <c r="D28" s="2731">
        <v>33518.797019999998</v>
      </c>
      <c r="E28" s="2731">
        <v>1808.13</v>
      </c>
      <c r="F28" s="2731">
        <v>5246</v>
      </c>
      <c r="G28" s="2731">
        <v>4198.0330149453875</v>
      </c>
      <c r="H28" s="2732">
        <v>272249</v>
      </c>
      <c r="I28" s="2731">
        <v>11272.75614</v>
      </c>
      <c r="J28" s="2731"/>
      <c r="K28" s="2731">
        <v>10654</v>
      </c>
      <c r="L28" s="2731">
        <v>36644</v>
      </c>
      <c r="M28" s="2731"/>
      <c r="N28" s="2731">
        <v>920.13</v>
      </c>
      <c r="O28" s="2731"/>
      <c r="P28" s="2731">
        <v>27693</v>
      </c>
      <c r="Q28" s="2731">
        <v>30751.659199999929</v>
      </c>
      <c r="R28" s="2731">
        <v>4206</v>
      </c>
      <c r="S28" s="2772">
        <v>40422.984360000002</v>
      </c>
      <c r="T28" s="2731">
        <v>0</v>
      </c>
      <c r="U28" s="2731"/>
      <c r="V28" s="2731">
        <f>SUM(B28:U28)</f>
        <v>482646.26023494534</v>
      </c>
      <c r="W28" s="58"/>
      <c r="X28" s="58"/>
    </row>
    <row r="29" spans="1:24">
      <c r="A29" s="2504" t="s">
        <v>437</v>
      </c>
      <c r="B29" s="2731">
        <v>3645.7168300000003</v>
      </c>
      <c r="C29" s="2731">
        <v>-1892</v>
      </c>
      <c r="D29" s="2731">
        <v>16567.098620000001</v>
      </c>
      <c r="E29" s="2731">
        <v>4225.03</v>
      </c>
      <c r="F29" s="2731">
        <v>20836</v>
      </c>
      <c r="G29" s="2731">
        <v>1576.9208974210192</v>
      </c>
      <c r="H29" s="2731">
        <v>90766</v>
      </c>
      <c r="I29" s="2731">
        <v>7877.8940199999997</v>
      </c>
      <c r="J29" s="2731"/>
      <c r="K29" s="2731">
        <v>2109</v>
      </c>
      <c r="L29" s="2731">
        <v>11813</v>
      </c>
      <c r="M29" s="2731"/>
      <c r="N29" s="2731">
        <v>2926.55</v>
      </c>
      <c r="O29" s="2731"/>
      <c r="P29" s="2731">
        <v>2167</v>
      </c>
      <c r="Q29" s="2731">
        <v>41622.506370000017</v>
      </c>
      <c r="R29" s="2731">
        <v>0</v>
      </c>
      <c r="S29" s="2772">
        <v>27948.574420000001</v>
      </c>
      <c r="T29" s="2731"/>
      <c r="U29" s="2731"/>
      <c r="V29" s="2731">
        <f>SUM(B29:U29)</f>
        <v>232189.29115742102</v>
      </c>
      <c r="W29" s="58"/>
      <c r="X29" s="58"/>
    </row>
    <row r="30" spans="1:24">
      <c r="A30" s="2504" t="s">
        <v>438</v>
      </c>
      <c r="B30" s="2734">
        <v>199138.94341000001</v>
      </c>
      <c r="C30" s="2734">
        <v>77391</v>
      </c>
      <c r="D30" s="2735">
        <v>1219697.69909</v>
      </c>
      <c r="E30" s="2734">
        <v>388161.37599999999</v>
      </c>
      <c r="F30" s="2734">
        <v>36785</v>
      </c>
      <c r="G30" s="2731">
        <v>410331.38888041372</v>
      </c>
      <c r="H30" s="2732">
        <v>3410950</v>
      </c>
      <c r="I30" s="2731">
        <v>310637.05819000001</v>
      </c>
      <c r="J30" s="2731"/>
      <c r="K30" s="2731">
        <v>695731</v>
      </c>
      <c r="L30" s="2731">
        <v>2175490</v>
      </c>
      <c r="M30" s="2731">
        <v>49165.581109999992</v>
      </c>
      <c r="N30" s="2731">
        <v>246749.81</v>
      </c>
      <c r="O30" s="2731"/>
      <c r="P30" s="2731">
        <v>1089576</v>
      </c>
      <c r="Q30" s="2731">
        <v>3611684.3965400001</v>
      </c>
      <c r="R30" s="2731">
        <v>38637.4</v>
      </c>
      <c r="S30" s="2772">
        <v>1456555.9953399999</v>
      </c>
      <c r="T30" s="2731">
        <v>70</v>
      </c>
      <c r="U30" s="2731"/>
      <c r="V30" s="2731">
        <f>SUM(B30:U30)</f>
        <v>15416752.648560412</v>
      </c>
      <c r="W30" s="58"/>
      <c r="X30" s="58"/>
    </row>
    <row r="31" spans="1:24">
      <c r="A31" s="2504" t="s">
        <v>722</v>
      </c>
      <c r="B31" s="2734">
        <v>0</v>
      </c>
      <c r="C31" s="2734">
        <v>3733</v>
      </c>
      <c r="D31" s="2735">
        <v>4001</v>
      </c>
      <c r="E31" s="2734">
        <v>1440.2</v>
      </c>
      <c r="F31" s="2734">
        <v>774</v>
      </c>
      <c r="G31" s="2731">
        <v>5835.9078803712127</v>
      </c>
      <c r="H31" s="2731">
        <v>22936</v>
      </c>
      <c r="I31" s="2731">
        <v>0</v>
      </c>
      <c r="J31" s="2731"/>
      <c r="K31" s="2731">
        <v>3638</v>
      </c>
      <c r="L31" s="2731">
        <v>0</v>
      </c>
      <c r="M31" s="2731"/>
      <c r="N31" s="2731">
        <v>909.09</v>
      </c>
      <c r="O31" s="2731"/>
      <c r="P31" s="2731">
        <v>0</v>
      </c>
      <c r="Q31" s="2731">
        <v>-4528.6878799999949</v>
      </c>
      <c r="R31" s="2731">
        <v>0</v>
      </c>
      <c r="S31" s="2772">
        <v>11286.894839999999</v>
      </c>
      <c r="T31" s="2731"/>
      <c r="U31" s="2731"/>
      <c r="V31" s="2731">
        <f>SUM(B31:U31)</f>
        <v>50025.404840371215</v>
      </c>
      <c r="W31" s="58"/>
      <c r="X31" s="58"/>
    </row>
    <row r="32" spans="1:24">
      <c r="A32" s="2504" t="s">
        <v>440</v>
      </c>
      <c r="B32" s="2734">
        <v>68873.469389999998</v>
      </c>
      <c r="C32" s="2734">
        <v>59582</v>
      </c>
      <c r="D32" s="2735">
        <v>181198.90882000019</v>
      </c>
      <c r="E32" s="2734">
        <v>109324.493</v>
      </c>
      <c r="F32" s="2734">
        <v>75796</v>
      </c>
      <c r="G32" s="2731">
        <v>421942.25067315134</v>
      </c>
      <c r="H32" s="2732">
        <v>806900</v>
      </c>
      <c r="I32" s="2731">
        <v>16187.211369999997</v>
      </c>
      <c r="J32" s="2731"/>
      <c r="K32" s="2731">
        <v>90240</v>
      </c>
      <c r="L32" s="2731">
        <v>416711</v>
      </c>
      <c r="M32" s="2731"/>
      <c r="N32" s="2731">
        <v>27635.22</v>
      </c>
      <c r="O32" s="2731"/>
      <c r="P32" s="2731">
        <v>115778</v>
      </c>
      <c r="Q32" s="2731">
        <v>1077642.00648</v>
      </c>
      <c r="R32" s="2731">
        <v>13962.95</v>
      </c>
      <c r="S32" s="2772">
        <v>628346.51578000002</v>
      </c>
      <c r="T32" s="2731"/>
      <c r="U32" s="2731"/>
      <c r="V32" s="2731">
        <f>SUM(B32:U32)</f>
        <v>4110120.0255131521</v>
      </c>
      <c r="W32" s="58"/>
      <c r="X32" s="58"/>
    </row>
    <row r="33" spans="1:24">
      <c r="A33" s="2736" t="s">
        <v>118</v>
      </c>
      <c r="B33" s="2737">
        <f>SUM(B28:B32)</f>
        <v>274366.90013000002</v>
      </c>
      <c r="C33" s="2737">
        <f t="shared" ref="C33:V33" si="3">SUM(C28:C32)</f>
        <v>139167</v>
      </c>
      <c r="D33" s="2737">
        <f>SUM(D28:D32)</f>
        <v>1454983.5035500003</v>
      </c>
      <c r="E33" s="2737">
        <f t="shared" si="3"/>
        <v>504959.22899999999</v>
      </c>
      <c r="F33" s="2737">
        <f>SUM(F28:F32)</f>
        <v>139437</v>
      </c>
      <c r="G33" s="2737">
        <f>SUM(G28:G32)</f>
        <v>843884.50134630268</v>
      </c>
      <c r="H33" s="2737">
        <f t="shared" si="3"/>
        <v>4603801</v>
      </c>
      <c r="I33" s="2737">
        <f>SUM(I28:I32)</f>
        <v>345974.91972000001</v>
      </c>
      <c r="J33" s="2737">
        <f t="shared" si="3"/>
        <v>0</v>
      </c>
      <c r="K33" s="2737">
        <f t="shared" si="3"/>
        <v>802372</v>
      </c>
      <c r="L33" s="2737">
        <f t="shared" si="3"/>
        <v>2640658</v>
      </c>
      <c r="M33" s="2737">
        <f t="shared" si="3"/>
        <v>49165.581109999992</v>
      </c>
      <c r="N33" s="2737">
        <f t="shared" si="3"/>
        <v>279140.8</v>
      </c>
      <c r="O33" s="2737">
        <f t="shared" si="3"/>
        <v>0</v>
      </c>
      <c r="P33" s="2737">
        <f t="shared" si="3"/>
        <v>1235214</v>
      </c>
      <c r="Q33" s="2737">
        <f t="shared" si="3"/>
        <v>4757171.8807100002</v>
      </c>
      <c r="R33" s="2737">
        <f t="shared" si="3"/>
        <v>56806.350000000006</v>
      </c>
      <c r="S33" s="2773">
        <f>SUM(S28:S32)</f>
        <v>2164560.9647399997</v>
      </c>
      <c r="T33" s="2737">
        <f t="shared" si="3"/>
        <v>70</v>
      </c>
      <c r="U33" s="2737">
        <f t="shared" si="3"/>
        <v>0</v>
      </c>
      <c r="V33" s="2737">
        <f t="shared" si="3"/>
        <v>20291733.630306304</v>
      </c>
      <c r="W33" s="375" t="e">
        <f>+#REF!</f>
        <v>#REF!</v>
      </c>
      <c r="X33" s="58" t="e">
        <f>+V33-W33</f>
        <v>#REF!</v>
      </c>
    </row>
    <row r="34" spans="1:24">
      <c r="A34" s="44"/>
      <c r="B34" s="377"/>
      <c r="C34" s="377"/>
      <c r="D34" s="377"/>
      <c r="E34" s="378"/>
      <c r="F34" s="378"/>
      <c r="L34" s="193">
        <f>+'[11]AR6&amp;7 Support II'!$L$21</f>
        <v>2640658</v>
      </c>
      <c r="W34">
        <v>20291734</v>
      </c>
    </row>
    <row r="35" spans="1:24">
      <c r="L35" s="14">
        <f>+L33-L34</f>
        <v>0</v>
      </c>
      <c r="W35" s="14" t="e">
        <f>+W33-W34</f>
        <v>#REF!</v>
      </c>
    </row>
    <row r="36" spans="1:24">
      <c r="A36" s="2725" t="s">
        <v>752</v>
      </c>
      <c r="B36" s="3168"/>
      <c r="C36" s="3168"/>
      <c r="D36" s="3168"/>
      <c r="E36" s="3168"/>
      <c r="F36" s="2738"/>
    </row>
    <row r="37" spans="1:24">
      <c r="A37" s="3604" t="s">
        <v>730</v>
      </c>
      <c r="B37" s="373">
        <v>1</v>
      </c>
      <c r="C37" s="373">
        <v>2</v>
      </c>
      <c r="D37" s="373">
        <v>3</v>
      </c>
      <c r="E37" s="373">
        <v>4</v>
      </c>
      <c r="F37" s="373">
        <v>5</v>
      </c>
      <c r="G37" s="373">
        <v>6</v>
      </c>
      <c r="H37" s="373">
        <v>7</v>
      </c>
      <c r="I37" s="373">
        <v>8</v>
      </c>
      <c r="J37" s="373">
        <v>9</v>
      </c>
      <c r="K37" s="373">
        <v>10</v>
      </c>
      <c r="L37" s="373">
        <v>11</v>
      </c>
      <c r="M37" s="373">
        <v>12</v>
      </c>
      <c r="N37" s="373">
        <v>13</v>
      </c>
      <c r="O37" s="373">
        <v>14</v>
      </c>
      <c r="P37" s="373">
        <v>15</v>
      </c>
      <c r="Q37" s="373">
        <v>16</v>
      </c>
      <c r="R37" s="373">
        <v>17</v>
      </c>
      <c r="S37" s="379">
        <v>18</v>
      </c>
      <c r="T37" s="373">
        <v>19</v>
      </c>
      <c r="U37" s="373">
        <v>20</v>
      </c>
      <c r="V37" s="374"/>
    </row>
    <row r="38" spans="1:24">
      <c r="A38" s="3604"/>
      <c r="B38" s="2727" t="s">
        <v>177</v>
      </c>
      <c r="C38" s="2727" t="s">
        <v>179</v>
      </c>
      <c r="D38" s="2727" t="s">
        <v>181</v>
      </c>
      <c r="E38" s="2727" t="s">
        <v>182</v>
      </c>
      <c r="F38" s="2727" t="s">
        <v>183</v>
      </c>
      <c r="G38" s="2727" t="s">
        <v>184</v>
      </c>
      <c r="H38" s="2728" t="s">
        <v>185</v>
      </c>
      <c r="I38" s="2727" t="s">
        <v>186</v>
      </c>
      <c r="J38" s="2727" t="s">
        <v>187</v>
      </c>
      <c r="K38" s="2727" t="s">
        <v>188</v>
      </c>
      <c r="L38" s="2727" t="s">
        <v>189</v>
      </c>
      <c r="M38" s="2727" t="s">
        <v>191</v>
      </c>
      <c r="N38" s="2727" t="s">
        <v>192</v>
      </c>
      <c r="O38" s="2727" t="s">
        <v>702</v>
      </c>
      <c r="P38" s="2727" t="s">
        <v>194</v>
      </c>
      <c r="Q38" s="2727" t="s">
        <v>115</v>
      </c>
      <c r="R38" s="2727" t="s">
        <v>196</v>
      </c>
      <c r="S38" s="2728" t="s">
        <v>197</v>
      </c>
      <c r="T38" s="2727" t="s">
        <v>193</v>
      </c>
      <c r="U38" s="2727" t="s">
        <v>110</v>
      </c>
      <c r="V38" s="2730" t="s">
        <v>118</v>
      </c>
    </row>
    <row r="39" spans="1:24">
      <c r="A39" s="2504" t="s">
        <v>436</v>
      </c>
      <c r="B39" s="2731">
        <v>5415</v>
      </c>
      <c r="C39" s="2731">
        <v>46112</v>
      </c>
      <c r="D39" s="2731">
        <v>82929</v>
      </c>
      <c r="E39" s="2731">
        <v>7050</v>
      </c>
      <c r="F39" s="2731">
        <v>5452</v>
      </c>
      <c r="G39" s="2731">
        <v>1439.681</v>
      </c>
      <c r="H39" s="2732">
        <v>308133</v>
      </c>
      <c r="I39" s="2731">
        <v>18674.191199999997</v>
      </c>
      <c r="J39" s="2731"/>
      <c r="K39" s="2731">
        <v>11194</v>
      </c>
      <c r="L39" s="2731">
        <v>36644</v>
      </c>
      <c r="M39" s="2731"/>
      <c r="N39" s="2731">
        <v>6067</v>
      </c>
      <c r="O39" s="2731"/>
      <c r="P39" s="2731">
        <v>2474</v>
      </c>
      <c r="Q39" s="2731">
        <v>-34050.587520000074</v>
      </c>
      <c r="R39" s="2731">
        <v>1748</v>
      </c>
      <c r="S39" s="2732">
        <v>30166.827090000006</v>
      </c>
      <c r="T39" s="2731"/>
      <c r="U39" s="2731"/>
      <c r="V39" s="2731">
        <f>SUM(B39:U39)</f>
        <v>529448.11176999996</v>
      </c>
      <c r="W39" s="58"/>
      <c r="X39" s="58"/>
    </row>
    <row r="40" spans="1:24">
      <c r="A40" s="2504" t="s">
        <v>437</v>
      </c>
      <c r="B40" s="2731">
        <v>2255</v>
      </c>
      <c r="C40" s="2731">
        <v>2834</v>
      </c>
      <c r="D40" s="2731">
        <v>25849</v>
      </c>
      <c r="E40" s="2731">
        <v>5384</v>
      </c>
      <c r="F40" s="2731">
        <v>8470</v>
      </c>
      <c r="G40" s="2731">
        <v>161.87</v>
      </c>
      <c r="H40" s="2731">
        <v>94798</v>
      </c>
      <c r="I40" s="2731">
        <v>6238.4151999999995</v>
      </c>
      <c r="J40" s="2731"/>
      <c r="K40" s="2731">
        <v>1475</v>
      </c>
      <c r="L40" s="2731">
        <v>11813</v>
      </c>
      <c r="M40" s="2731"/>
      <c r="N40" s="2731">
        <v>2142</v>
      </c>
      <c r="O40" s="2731"/>
      <c r="P40" s="2731">
        <v>1609</v>
      </c>
      <c r="Q40" s="2731">
        <v>19053.029089999996</v>
      </c>
      <c r="R40" s="2731">
        <v>0</v>
      </c>
      <c r="S40" s="2732">
        <v>34060.830819999996</v>
      </c>
      <c r="T40" s="2731"/>
      <c r="U40" s="2731"/>
      <c r="V40" s="2731">
        <f>SUM(B40:U40)</f>
        <v>216143.14510999998</v>
      </c>
      <c r="W40" s="58"/>
      <c r="X40" s="58"/>
    </row>
    <row r="41" spans="1:24">
      <c r="A41" s="2504" t="s">
        <v>438</v>
      </c>
      <c r="B41" s="2734">
        <v>155456</v>
      </c>
      <c r="C41" s="2734">
        <v>59496</v>
      </c>
      <c r="D41" s="2735">
        <v>920441</v>
      </c>
      <c r="E41" s="2734">
        <v>296052</v>
      </c>
      <c r="F41" s="2734">
        <v>62275</v>
      </c>
      <c r="G41" s="2731">
        <v>64834.57</v>
      </c>
      <c r="H41" s="2731">
        <v>3377784</v>
      </c>
      <c r="I41" s="2731">
        <v>221730.46049</v>
      </c>
      <c r="J41" s="2731"/>
      <c r="K41" s="2731">
        <v>501527</v>
      </c>
      <c r="L41" s="2731">
        <v>2175490</v>
      </c>
      <c r="M41" s="2731"/>
      <c r="N41" s="2731">
        <v>124711</v>
      </c>
      <c r="O41" s="2731"/>
      <c r="P41" s="2731">
        <v>201401</v>
      </c>
      <c r="Q41" s="2731">
        <v>2248189.7924700007</v>
      </c>
      <c r="R41" s="2731">
        <v>36467</v>
      </c>
      <c r="S41" s="2732">
        <v>1288023.8226600001</v>
      </c>
      <c r="T41" s="2731"/>
      <c r="U41" s="2731"/>
      <c r="V41" s="2731">
        <f>SUM(B41:U41)</f>
        <v>11733878.64562</v>
      </c>
      <c r="W41" s="58"/>
      <c r="X41" s="58"/>
    </row>
    <row r="42" spans="1:24">
      <c r="A42" s="2504" t="s">
        <v>722</v>
      </c>
      <c r="B42" s="2734">
        <v>0</v>
      </c>
      <c r="C42" s="2734">
        <v>450</v>
      </c>
      <c r="D42" s="2735">
        <v>3274</v>
      </c>
      <c r="E42" s="2734">
        <v>1808</v>
      </c>
      <c r="F42" s="2734">
        <v>-480</v>
      </c>
      <c r="G42" s="2731"/>
      <c r="H42" s="2731">
        <v>42711</v>
      </c>
      <c r="I42" s="2731">
        <v>0</v>
      </c>
      <c r="J42" s="2731"/>
      <c r="K42" s="2731">
        <v>3268</v>
      </c>
      <c r="L42" s="2731">
        <v>0</v>
      </c>
      <c r="M42" s="2731"/>
      <c r="N42" s="2731">
        <v>0</v>
      </c>
      <c r="O42" s="2731"/>
      <c r="P42" s="2731">
        <v>0</v>
      </c>
      <c r="Q42" s="2731">
        <v>19692.680039999992</v>
      </c>
      <c r="R42" s="2731">
        <v>0</v>
      </c>
      <c r="S42" s="2732">
        <v>14438.688029999999</v>
      </c>
      <c r="T42" s="2731"/>
      <c r="U42" s="2731"/>
      <c r="V42" s="2731">
        <f>SUM(B42:U42)</f>
        <v>85162.368069999997</v>
      </c>
      <c r="W42" s="58"/>
      <c r="X42" s="58"/>
    </row>
    <row r="43" spans="1:24">
      <c r="A43" s="2504" t="s">
        <v>440</v>
      </c>
      <c r="B43" s="2734">
        <v>83222</v>
      </c>
      <c r="C43" s="2734">
        <v>63862</v>
      </c>
      <c r="D43" s="2735">
        <v>586689</v>
      </c>
      <c r="E43" s="2734">
        <v>136675</v>
      </c>
      <c r="F43" s="2734">
        <v>63183</v>
      </c>
      <c r="G43" s="2731">
        <v>40.896000000000001</v>
      </c>
      <c r="H43" s="2731">
        <v>516438</v>
      </c>
      <c r="I43" s="2731">
        <v>17151.539510000002</v>
      </c>
      <c r="J43" s="2731"/>
      <c r="K43" s="2731">
        <v>70773</v>
      </c>
      <c r="L43" s="2731">
        <v>416711</v>
      </c>
      <c r="M43" s="2731"/>
      <c r="N43" s="2731">
        <v>61402</v>
      </c>
      <c r="O43" s="2731"/>
      <c r="P43" s="2731">
        <v>16380</v>
      </c>
      <c r="Q43" s="2731">
        <v>632608.1692870002</v>
      </c>
      <c r="R43" s="2731">
        <v>29965</v>
      </c>
      <c r="S43" s="2732">
        <v>310847.05105999997</v>
      </c>
      <c r="T43" s="2731"/>
      <c r="U43" s="2731"/>
      <c r="V43" s="2731">
        <f>SUM(B43:U43)</f>
        <v>3005947.655857</v>
      </c>
      <c r="W43" s="58"/>
      <c r="X43" s="58"/>
    </row>
    <row r="44" spans="1:24">
      <c r="A44" s="2736" t="s">
        <v>118</v>
      </c>
      <c r="B44" s="2737">
        <f>SUM(B39:B43)</f>
        <v>246348</v>
      </c>
      <c r="C44" s="2737">
        <f t="shared" ref="C44:U44" si="4">SUM(C39:C43)</f>
        <v>172754</v>
      </c>
      <c r="D44" s="2737">
        <f>SUM(D39:D43)</f>
        <v>1619182</v>
      </c>
      <c r="E44" s="2737">
        <f t="shared" si="4"/>
        <v>446969</v>
      </c>
      <c r="F44" s="2737">
        <f>SUM(F39:F43)</f>
        <v>138900</v>
      </c>
      <c r="G44" s="2737">
        <f>SUM(G39:G43)</f>
        <v>66477.016999999993</v>
      </c>
      <c r="H44" s="2737">
        <f t="shared" si="4"/>
        <v>4339864</v>
      </c>
      <c r="I44" s="2737">
        <f>SUM(I39:I43)</f>
        <v>263794.60639999999</v>
      </c>
      <c r="J44" s="2737">
        <f t="shared" si="4"/>
        <v>0</v>
      </c>
      <c r="K44" s="2737">
        <f t="shared" si="4"/>
        <v>588237</v>
      </c>
      <c r="L44" s="2737">
        <f t="shared" si="4"/>
        <v>2640658</v>
      </c>
      <c r="M44" s="2737">
        <f t="shared" si="4"/>
        <v>0</v>
      </c>
      <c r="N44" s="2737">
        <f t="shared" si="4"/>
        <v>194322</v>
      </c>
      <c r="O44" s="2737">
        <f t="shared" si="4"/>
        <v>0</v>
      </c>
      <c r="P44" s="2737">
        <f t="shared" si="4"/>
        <v>221864</v>
      </c>
      <c r="Q44" s="2737">
        <f t="shared" si="4"/>
        <v>2885493.0833670008</v>
      </c>
      <c r="R44" s="2737">
        <f t="shared" si="4"/>
        <v>68180</v>
      </c>
      <c r="S44" s="2774">
        <f>SUM(S39:S43)</f>
        <v>1677537.2196600002</v>
      </c>
      <c r="T44" s="2737">
        <f t="shared" si="4"/>
        <v>0</v>
      </c>
      <c r="U44" s="2737">
        <f t="shared" si="4"/>
        <v>0</v>
      </c>
      <c r="V44" s="2737">
        <f>SUM(V39:V43)</f>
        <v>15570579.926427001</v>
      </c>
      <c r="W44" s="375" t="e">
        <f>+#REF!</f>
        <v>#REF!</v>
      </c>
      <c r="X44" s="58" t="e">
        <f>+V44-W44</f>
        <v>#REF!</v>
      </c>
    </row>
    <row r="47" spans="1:24">
      <c r="A47" s="2725" t="s">
        <v>753</v>
      </c>
      <c r="B47" s="3168"/>
      <c r="C47" s="3168"/>
      <c r="D47" s="3168"/>
      <c r="E47" s="3168"/>
      <c r="F47" s="2738"/>
    </row>
    <row r="48" spans="1:24">
      <c r="A48" s="3604" t="s">
        <v>730</v>
      </c>
      <c r="B48" s="373">
        <v>1</v>
      </c>
      <c r="C48" s="373">
        <v>2</v>
      </c>
      <c r="D48" s="373">
        <v>3</v>
      </c>
      <c r="E48" s="373">
        <v>4</v>
      </c>
      <c r="F48" s="373">
        <v>5</v>
      </c>
      <c r="G48" s="373">
        <v>6</v>
      </c>
      <c r="H48" s="373">
        <v>7</v>
      </c>
      <c r="I48" s="373">
        <v>8</v>
      </c>
      <c r="J48" s="373">
        <v>9</v>
      </c>
      <c r="K48" s="373">
        <v>10</v>
      </c>
      <c r="L48" s="373">
        <v>11</v>
      </c>
      <c r="M48" s="373">
        <v>12</v>
      </c>
      <c r="N48" s="373">
        <v>13</v>
      </c>
      <c r="O48" s="373">
        <v>14</v>
      </c>
      <c r="P48" s="373">
        <v>15</v>
      </c>
      <c r="Q48" s="373">
        <v>16</v>
      </c>
      <c r="R48" s="373">
        <v>17</v>
      </c>
      <c r="S48" s="379">
        <v>18</v>
      </c>
      <c r="T48" s="373">
        <v>19</v>
      </c>
      <c r="U48" s="373">
        <v>20</v>
      </c>
      <c r="V48" s="374"/>
    </row>
    <row r="49" spans="1:28">
      <c r="A49" s="3604"/>
      <c r="B49" s="2727" t="s">
        <v>177</v>
      </c>
      <c r="C49" s="2727" t="s">
        <v>179</v>
      </c>
      <c r="D49" s="2727" t="s">
        <v>181</v>
      </c>
      <c r="E49" s="2727" t="s">
        <v>182</v>
      </c>
      <c r="F49" s="2727" t="s">
        <v>183</v>
      </c>
      <c r="G49" s="2727" t="s">
        <v>184</v>
      </c>
      <c r="H49" s="2728" t="s">
        <v>185</v>
      </c>
      <c r="I49" s="2727" t="s">
        <v>186</v>
      </c>
      <c r="J49" s="2727" t="s">
        <v>187</v>
      </c>
      <c r="K49" s="2727" t="s">
        <v>188</v>
      </c>
      <c r="L49" s="2727" t="s">
        <v>189</v>
      </c>
      <c r="M49" s="2727" t="s">
        <v>191</v>
      </c>
      <c r="N49" s="2727" t="s">
        <v>192</v>
      </c>
      <c r="O49" s="2727" t="s">
        <v>702</v>
      </c>
      <c r="P49" s="2727" t="s">
        <v>194</v>
      </c>
      <c r="Q49" s="2727" t="s">
        <v>115</v>
      </c>
      <c r="R49" s="2727" t="s">
        <v>196</v>
      </c>
      <c r="S49" s="2728" t="s">
        <v>197</v>
      </c>
      <c r="T49" s="2727" t="s">
        <v>193</v>
      </c>
      <c r="U49" s="2727" t="s">
        <v>110</v>
      </c>
      <c r="V49" s="2730" t="s">
        <v>118</v>
      </c>
    </row>
    <row r="50" spans="1:28">
      <c r="A50" s="2504" t="s">
        <v>436</v>
      </c>
      <c r="B50" s="2731">
        <v>6829</v>
      </c>
      <c r="C50" s="2731">
        <v>30299</v>
      </c>
      <c r="D50" s="2731">
        <v>21132</v>
      </c>
      <c r="E50" s="2731">
        <v>8606</v>
      </c>
      <c r="F50" s="2731">
        <v>7830</v>
      </c>
      <c r="G50" s="2731"/>
      <c r="H50" s="2732">
        <v>387274</v>
      </c>
      <c r="I50" s="2731">
        <v>16799.92841</v>
      </c>
      <c r="J50" s="2731">
        <v>123.3</v>
      </c>
      <c r="K50" s="2731">
        <v>4882</v>
      </c>
      <c r="L50" s="2731">
        <v>42240</v>
      </c>
      <c r="M50" s="2731"/>
      <c r="N50" s="2731">
        <v>-2067</v>
      </c>
      <c r="O50" s="2731"/>
      <c r="P50" s="2731"/>
      <c r="Q50" s="2731">
        <v>414358.86310999998</v>
      </c>
      <c r="R50" s="2731">
        <v>203</v>
      </c>
      <c r="S50" s="2732">
        <v>14968</v>
      </c>
      <c r="T50" s="2731"/>
      <c r="U50" s="2731"/>
      <c r="V50" s="2731">
        <f>SUM(B50:U50)</f>
        <v>953478.09152000002</v>
      </c>
      <c r="W50" s="58"/>
      <c r="X50" s="58"/>
      <c r="Y50" s="58"/>
      <c r="Z50" s="58"/>
      <c r="AA50" s="58"/>
      <c r="AB50" s="58"/>
    </row>
    <row r="51" spans="1:28">
      <c r="A51" s="2504" t="s">
        <v>437</v>
      </c>
      <c r="B51" s="2731">
        <v>3019</v>
      </c>
      <c r="C51" s="2731">
        <v>1745</v>
      </c>
      <c r="D51" s="2731">
        <v>20570</v>
      </c>
      <c r="E51" s="2731">
        <v>6485</v>
      </c>
      <c r="F51" s="2731">
        <v>11821</v>
      </c>
      <c r="G51" s="2731"/>
      <c r="H51" s="2731">
        <v>73680</v>
      </c>
      <c r="I51" s="2731">
        <v>7318.3052300000008</v>
      </c>
      <c r="J51" s="2731">
        <v>3.66</v>
      </c>
      <c r="K51" s="2731">
        <v>465</v>
      </c>
      <c r="L51" s="2731">
        <v>14768</v>
      </c>
      <c r="M51" s="2731"/>
      <c r="N51" s="2731">
        <v>21293</v>
      </c>
      <c r="O51" s="2731"/>
      <c r="P51" s="2731"/>
      <c r="Q51" s="2731">
        <v>31806.674340000023</v>
      </c>
      <c r="R51" s="2731">
        <v>0</v>
      </c>
      <c r="S51" s="2732">
        <v>28235</v>
      </c>
      <c r="T51" s="2731"/>
      <c r="U51" s="2731"/>
      <c r="V51" s="2731">
        <f>SUM(B51:U51)</f>
        <v>221209.63957000003</v>
      </c>
      <c r="W51" s="58"/>
      <c r="X51" s="58"/>
      <c r="Y51" s="58"/>
      <c r="Z51" s="58"/>
      <c r="AA51" s="58"/>
      <c r="AB51" s="58"/>
    </row>
    <row r="52" spans="1:28">
      <c r="A52" s="2504" t="s">
        <v>438</v>
      </c>
      <c r="B52" s="2734">
        <v>183052</v>
      </c>
      <c r="C52" s="2734">
        <v>36789</v>
      </c>
      <c r="D52" s="2735">
        <v>557346</v>
      </c>
      <c r="E52" s="2734">
        <v>237666</v>
      </c>
      <c r="F52" s="2734">
        <v>62172</v>
      </c>
      <c r="G52" s="2731"/>
      <c r="H52" s="2731">
        <v>3569344</v>
      </c>
      <c r="I52" s="2731">
        <v>269616.61432999989</v>
      </c>
      <c r="J52" s="2731">
        <v>48823.26</v>
      </c>
      <c r="K52" s="2731">
        <v>403859</v>
      </c>
      <c r="L52" s="2731">
        <v>1867902</v>
      </c>
      <c r="M52" s="2731"/>
      <c r="N52" s="2731">
        <v>82614</v>
      </c>
      <c r="O52" s="2731"/>
      <c r="P52" s="2731"/>
      <c r="Q52" s="2731">
        <v>3083705.9656799999</v>
      </c>
      <c r="R52" s="2731">
        <v>28284</v>
      </c>
      <c r="S52" s="2732">
        <v>1249055</v>
      </c>
      <c r="T52" s="2731"/>
      <c r="U52" s="2731"/>
      <c r="V52" s="2731">
        <f>SUM(B52:U52)</f>
        <v>11680228.84001</v>
      </c>
      <c r="W52" s="58"/>
      <c r="X52" s="58"/>
      <c r="Y52" s="58"/>
      <c r="Z52" s="58"/>
      <c r="AA52" s="58"/>
      <c r="AB52" s="58"/>
    </row>
    <row r="53" spans="1:28">
      <c r="A53" s="2504" t="s">
        <v>722</v>
      </c>
      <c r="B53" s="2734">
        <v>0</v>
      </c>
      <c r="C53" s="2734">
        <v>0</v>
      </c>
      <c r="D53" s="2735">
        <v>1976</v>
      </c>
      <c r="E53" s="2734">
        <v>1335</v>
      </c>
      <c r="F53" s="2734">
        <v>-828</v>
      </c>
      <c r="G53" s="2731"/>
      <c r="H53" s="2731">
        <v>45188</v>
      </c>
      <c r="I53" s="2731">
        <v>0</v>
      </c>
      <c r="J53" s="2731">
        <v>0</v>
      </c>
      <c r="K53" s="2731">
        <v>664</v>
      </c>
      <c r="L53" s="2731">
        <v>0</v>
      </c>
      <c r="M53" s="2731"/>
      <c r="N53" s="2731">
        <v>0</v>
      </c>
      <c r="O53" s="2731"/>
      <c r="P53" s="2731"/>
      <c r="Q53" s="2731">
        <v>51017.744579999984</v>
      </c>
      <c r="R53" s="2731">
        <v>0</v>
      </c>
      <c r="S53" s="2732">
        <v>10338</v>
      </c>
      <c r="T53" s="2731"/>
      <c r="U53" s="2731"/>
      <c r="V53" s="2731">
        <f>SUM(B53:U53)</f>
        <v>109690.74457999998</v>
      </c>
      <c r="W53" s="58"/>
      <c r="X53" s="58"/>
      <c r="Y53" s="58"/>
      <c r="Z53" s="58"/>
      <c r="AA53" s="58"/>
      <c r="AB53" s="58"/>
    </row>
    <row r="54" spans="1:28">
      <c r="A54" s="2504" t="s">
        <v>440</v>
      </c>
      <c r="B54" s="2734">
        <v>82635</v>
      </c>
      <c r="C54" s="2734">
        <v>81865</v>
      </c>
      <c r="D54" s="2735">
        <v>301629</v>
      </c>
      <c r="E54" s="2734">
        <v>150412</v>
      </c>
      <c r="F54" s="2734">
        <v>155065</v>
      </c>
      <c r="G54" s="2731"/>
      <c r="H54" s="2731">
        <v>601541</v>
      </c>
      <c r="I54" s="2731">
        <v>37657.867020000012</v>
      </c>
      <c r="J54" s="2731">
        <v>2688.34</v>
      </c>
      <c r="K54" s="2731">
        <v>38340</v>
      </c>
      <c r="L54" s="2731">
        <v>375575</v>
      </c>
      <c r="M54" s="2731"/>
      <c r="N54" s="2731">
        <v>22554</v>
      </c>
      <c r="O54" s="2731"/>
      <c r="P54" s="2731"/>
      <c r="Q54" s="2731">
        <v>1798317.8790579997</v>
      </c>
      <c r="R54" s="2731">
        <v>68095</v>
      </c>
      <c r="S54" s="2732">
        <v>340691</v>
      </c>
      <c r="T54" s="2731"/>
      <c r="U54" s="2731"/>
      <c r="V54" s="2731">
        <f>SUM(B54:U54)</f>
        <v>4057066.0860779998</v>
      </c>
      <c r="W54" s="58"/>
      <c r="X54" s="58"/>
      <c r="Y54" s="58"/>
      <c r="Z54" s="58"/>
      <c r="AA54" s="58"/>
      <c r="AB54" s="58"/>
    </row>
    <row r="55" spans="1:28">
      <c r="A55" s="2736" t="s">
        <v>118</v>
      </c>
      <c r="B55" s="2737">
        <f>SUM(B50:B54)</f>
        <v>275535</v>
      </c>
      <c r="C55" s="2737">
        <f t="shared" ref="C55:V55" si="5">SUM(C50:C54)</f>
        <v>150698</v>
      </c>
      <c r="D55" s="2737">
        <f>SUM(D50:D54)</f>
        <v>902653</v>
      </c>
      <c r="E55" s="2737">
        <f t="shared" si="5"/>
        <v>404504</v>
      </c>
      <c r="F55" s="2737">
        <f>SUM(F50:F54)</f>
        <v>236060</v>
      </c>
      <c r="G55" s="2737">
        <f t="shared" si="5"/>
        <v>0</v>
      </c>
      <c r="H55" s="2737">
        <f t="shared" si="5"/>
        <v>4677027</v>
      </c>
      <c r="I55" s="2737">
        <f t="shared" si="5"/>
        <v>331392.71498999989</v>
      </c>
      <c r="J55" s="2737">
        <f t="shared" si="5"/>
        <v>51638.559999999998</v>
      </c>
      <c r="K55" s="2737">
        <f t="shared" si="5"/>
        <v>448210</v>
      </c>
      <c r="L55" s="2737">
        <f t="shared" si="5"/>
        <v>2300485</v>
      </c>
      <c r="M55" s="2737">
        <f t="shared" si="5"/>
        <v>0</v>
      </c>
      <c r="N55" s="2737">
        <f t="shared" si="5"/>
        <v>124394</v>
      </c>
      <c r="O55" s="2737">
        <f t="shared" si="5"/>
        <v>0</v>
      </c>
      <c r="P55" s="2737">
        <f t="shared" si="5"/>
        <v>0</v>
      </c>
      <c r="Q55" s="2737">
        <f t="shared" si="5"/>
        <v>5379207.1267680004</v>
      </c>
      <c r="R55" s="2737">
        <f t="shared" si="5"/>
        <v>96582</v>
      </c>
      <c r="S55" s="2774">
        <f t="shared" si="5"/>
        <v>1643287</v>
      </c>
      <c r="T55" s="2737">
        <f t="shared" si="5"/>
        <v>0</v>
      </c>
      <c r="U55" s="2737">
        <f t="shared" si="5"/>
        <v>0</v>
      </c>
      <c r="V55" s="2737">
        <f t="shared" si="5"/>
        <v>17021673.401758</v>
      </c>
      <c r="W55" s="375" t="e">
        <f>+#REF!</f>
        <v>#REF!</v>
      </c>
      <c r="X55" s="58" t="e">
        <f>+V55-W55</f>
        <v>#REF!</v>
      </c>
      <c r="Y55" s="58"/>
      <c r="Z55" s="58"/>
      <c r="AA55" s="58"/>
      <c r="AB55" s="58"/>
    </row>
  </sheetData>
  <customSheetViews>
    <customSheetView guid="{2ACFE167-4169-43A6-9AB2-59D5A2DA2DB4}" showPageBreaks="1" state="hidden">
      <pane xSplit="1" ySplit="5" topLeftCell="O42" activePane="bottomRight" state="frozen"/>
      <selection pane="bottomRight" activeCell="W54" sqref="W54"/>
      <pageMargins left="0" right="0" top="0" bottom="0" header="0" footer="0"/>
      <pageSetup orientation="portrait" r:id="rId1"/>
    </customSheetView>
    <customSheetView guid="{967E0446-E234-427F-8E57-7FE287052E2E}" showPageBreaks="1" state="hidden">
      <pane xSplit="1" ySplit="5" topLeftCell="O42" activePane="bottomRight" state="frozen"/>
      <selection pane="bottomRight" activeCell="W54" sqref="W54"/>
      <pageMargins left="0" right="0" top="0" bottom="0" header="0" footer="0"/>
      <pageSetup orientation="portrait" r:id="rId2"/>
    </customSheetView>
    <customSheetView guid="{B2E1A0C6-5BA1-4CF1-B412-16D81FCDF11F}" state="hidden">
      <pane xSplit="1" ySplit="5" topLeftCell="O42" activePane="bottomRight" state="frozen"/>
      <selection pane="bottomRight" activeCell="W54" sqref="W54"/>
      <pageMargins left="0" right="0" top="0" bottom="0" header="0" footer="0"/>
      <pageSetup orientation="portrait" r:id="rId3"/>
    </customSheetView>
    <customSheetView guid="{46F31544-8E6F-41C5-8628-1D6EE074AF15}" state="hidden">
      <pane xSplit="1" ySplit="5" topLeftCell="O42" activePane="bottomRight" state="frozen"/>
      <selection pane="bottomRight" activeCell="W54" sqref="W54"/>
      <pageMargins left="0" right="0" top="0" bottom="0" header="0" footer="0"/>
      <pageSetup orientation="portrait" r:id="rId4"/>
    </customSheetView>
    <customSheetView guid="{B1E1B596-A9A1-411D-A882-A48CB025B978}" state="hidden">
      <pane xSplit="1" ySplit="5" topLeftCell="O42" activePane="bottomRight" state="frozen"/>
      <selection pane="bottomRight" activeCell="W54" sqref="W54"/>
      <pageMargins left="0" right="0" top="0" bottom="0" header="0" footer="0"/>
      <pageSetup orientation="portrait" r:id="rId5"/>
    </customSheetView>
    <customSheetView guid="{5E394B0B-7867-4722-9497-A93AB2A9A773}" showPageBreaks="1" state="hidden">
      <pane xSplit="1" ySplit="5" topLeftCell="O42" activePane="bottomRight" state="frozen"/>
      <selection pane="bottomRight" activeCell="W54" sqref="W54"/>
      <pageMargins left="0" right="0" top="0" bottom="0" header="0" footer="0"/>
      <pageSetup orientation="portrait" r:id="rId6"/>
    </customSheetView>
  </customSheetViews>
  <mergeCells count="5">
    <mergeCell ref="A4:A5"/>
    <mergeCell ref="A15:A16"/>
    <mergeCell ref="A26:A27"/>
    <mergeCell ref="A37:A38"/>
    <mergeCell ref="A48:A49"/>
  </mergeCells>
  <pageMargins left="0.7" right="0.7" top="0.75" bottom="0.75" header="0.3" footer="0.3"/>
  <pageSetup orientation="portrait" r:id="rId7"/>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51">
    <tabColor rgb="FF00B050"/>
  </sheetPr>
  <dimension ref="B1:I63"/>
  <sheetViews>
    <sheetView workbookViewId="0">
      <selection activeCell="H83" sqref="H83"/>
    </sheetView>
  </sheetViews>
  <sheetFormatPr defaultColWidth="9.140625" defaultRowHeight="14.45"/>
  <cols>
    <col min="2" max="2" width="30.85546875" customWidth="1"/>
    <col min="3" max="3" width="16.28515625" hidden="1" customWidth="1"/>
    <col min="4" max="4" width="17.28515625" hidden="1" customWidth="1"/>
    <col min="5" max="6" width="15.28515625" customWidth="1"/>
    <col min="7" max="8" width="16.140625" customWidth="1"/>
    <col min="9" max="9" width="14.28515625" customWidth="1"/>
  </cols>
  <sheetData>
    <row r="1" spans="2:9">
      <c r="B1" s="202"/>
    </row>
    <row r="2" spans="2:9">
      <c r="B2" s="205"/>
      <c r="C2" s="1"/>
      <c r="D2" s="1"/>
      <c r="E2" s="1"/>
      <c r="F2" s="1"/>
      <c r="G2" s="1"/>
      <c r="H2" s="1"/>
    </row>
    <row r="3" spans="2:9">
      <c r="B3" s="1"/>
      <c r="C3" s="1"/>
      <c r="D3" s="1"/>
      <c r="E3" s="1"/>
      <c r="F3" s="1"/>
      <c r="G3" s="1"/>
      <c r="H3" s="1"/>
    </row>
    <row r="4" spans="2:9">
      <c r="B4" s="29" t="s">
        <v>754</v>
      </c>
      <c r="C4" s="36"/>
      <c r="D4" s="36"/>
      <c r="E4" s="36"/>
      <c r="F4" s="36"/>
      <c r="G4" s="36"/>
      <c r="H4" s="36"/>
    </row>
    <row r="5" spans="2:9">
      <c r="B5" s="3605" t="s">
        <v>526</v>
      </c>
      <c r="C5" s="3616" t="s">
        <v>567</v>
      </c>
      <c r="D5" s="3617"/>
      <c r="E5" s="3617"/>
      <c r="F5" s="3617"/>
      <c r="G5" s="3617"/>
      <c r="H5" s="3618"/>
      <c r="I5" s="2775"/>
    </row>
    <row r="6" spans="2:9">
      <c r="B6" s="3605"/>
      <c r="C6" s="2744">
        <v>2007</v>
      </c>
      <c r="D6" s="2744">
        <v>2008</v>
      </c>
      <c r="E6" s="2744">
        <v>2009</v>
      </c>
      <c r="F6" s="2744">
        <v>2010</v>
      </c>
      <c r="G6" s="2744">
        <v>2011</v>
      </c>
      <c r="H6" s="2744" t="s">
        <v>210</v>
      </c>
      <c r="I6" s="2744" t="s">
        <v>211</v>
      </c>
    </row>
    <row r="7" spans="2:9" s="39" customFormat="1" ht="20.100000000000001" customHeight="1">
      <c r="B7" s="1804" t="s">
        <v>436</v>
      </c>
      <c r="C7" s="1805" t="e">
        <f>+'GWP - Class wise - GI'!#REF!</f>
        <v>#REF!</v>
      </c>
      <c r="D7" s="1805">
        <v>6826563.0578100001</v>
      </c>
      <c r="E7" s="1805">
        <v>7049399.2442600001</v>
      </c>
      <c r="F7" s="1805">
        <v>5012443.2580499994</v>
      </c>
      <c r="G7" s="1805">
        <v>5376093.8802377321</v>
      </c>
      <c r="H7" s="1805">
        <v>5421687.973005834</v>
      </c>
      <c r="I7" s="2775"/>
    </row>
    <row r="8" spans="2:9" s="39" customFormat="1" ht="20.100000000000001" customHeight="1">
      <c r="B8" s="1804" t="s">
        <v>437</v>
      </c>
      <c r="C8" s="1805" t="e">
        <f>+'GWP - Class wise - GI'!#REF!</f>
        <v>#REF!</v>
      </c>
      <c r="D8" s="1805">
        <v>1826548.8305200001</v>
      </c>
      <c r="E8" s="1805">
        <v>1442728.8245599996</v>
      </c>
      <c r="F8" s="1805">
        <v>1498831.91619</v>
      </c>
      <c r="G8" s="1805">
        <v>1678026.6338499999</v>
      </c>
      <c r="H8" s="1805">
        <v>1912657.304248</v>
      </c>
      <c r="I8" s="2775"/>
    </row>
    <row r="9" spans="2:9" s="39" customFormat="1" ht="20.100000000000001" customHeight="1">
      <c r="B9" s="1804" t="s">
        <v>438</v>
      </c>
      <c r="C9" s="1805" t="e">
        <f>+'GWP - Class wise - GI'!#REF!</f>
        <v>#REF!</v>
      </c>
      <c r="D9" s="1805">
        <v>18717735.317540001</v>
      </c>
      <c r="E9" s="1805">
        <v>17897763.373280004</v>
      </c>
      <c r="F9" s="1805">
        <v>20948781.925040003</v>
      </c>
      <c r="G9" s="1805">
        <v>27141118.776317582</v>
      </c>
      <c r="H9" s="1805">
        <v>31616009.404492173</v>
      </c>
      <c r="I9" s="2775"/>
    </row>
    <row r="10" spans="2:9" s="39" customFormat="1" ht="20.100000000000001" customHeight="1">
      <c r="B10" s="1804" t="s">
        <v>440</v>
      </c>
      <c r="C10" s="1805" t="e">
        <f>+'GWP - Class wise - GI'!#REF!</f>
        <v>#REF!</v>
      </c>
      <c r="D10" s="1805">
        <v>7187416.5000399994</v>
      </c>
      <c r="E10" s="1805">
        <v>7158375.0159819005</v>
      </c>
      <c r="F10" s="1805">
        <v>7641389.9556278009</v>
      </c>
      <c r="G10" s="1805">
        <v>9133584.4088065419</v>
      </c>
      <c r="H10" s="1805">
        <v>10732881.208458049</v>
      </c>
      <c r="I10" s="2775"/>
    </row>
    <row r="11" spans="2:9" s="39" customFormat="1" ht="20.100000000000001" customHeight="1">
      <c r="B11" s="2776" t="s">
        <v>755</v>
      </c>
      <c r="C11" s="1809" t="e">
        <f>SUM(C7:C10)+1</f>
        <v>#REF!</v>
      </c>
      <c r="D11" s="1809">
        <f t="shared" ref="D11:I11" si="0">SUM(D7:D10)</f>
        <v>34558263.705910005</v>
      </c>
      <c r="E11" s="1779">
        <f t="shared" si="0"/>
        <v>33548266.458081905</v>
      </c>
      <c r="F11" s="1779">
        <f t="shared" si="0"/>
        <v>35101447.054907806</v>
      </c>
      <c r="G11" s="1809">
        <f t="shared" si="0"/>
        <v>43328823.699211851</v>
      </c>
      <c r="H11" s="1809">
        <f t="shared" si="0"/>
        <v>49683235.890204057</v>
      </c>
      <c r="I11" s="1809">
        <f t="shared" si="0"/>
        <v>0</v>
      </c>
    </row>
    <row r="12" spans="2:9">
      <c r="B12" s="3"/>
      <c r="C12" s="3"/>
      <c r="D12" s="3"/>
      <c r="E12" s="3"/>
      <c r="F12" s="3"/>
      <c r="G12" s="3"/>
      <c r="H12" s="3"/>
    </row>
    <row r="13" spans="2:9">
      <c r="B13" s="3605" t="s">
        <v>526</v>
      </c>
      <c r="C13" s="3616" t="s">
        <v>756</v>
      </c>
      <c r="D13" s="3617"/>
      <c r="E13" s="3617"/>
      <c r="F13" s="3617"/>
      <c r="G13" s="3617"/>
      <c r="H13" s="3618"/>
      <c r="I13" s="2775"/>
    </row>
    <row r="14" spans="2:9">
      <c r="B14" s="3605"/>
      <c r="C14" s="2744">
        <v>2007</v>
      </c>
      <c r="D14" s="2744">
        <v>2008</v>
      </c>
      <c r="E14" s="2744">
        <v>2009</v>
      </c>
      <c r="F14" s="2744">
        <v>2010</v>
      </c>
      <c r="G14" s="2744">
        <v>2011</v>
      </c>
      <c r="H14" s="2744" t="s">
        <v>210</v>
      </c>
      <c r="I14" s="2744" t="s">
        <v>211</v>
      </c>
    </row>
    <row r="15" spans="2:9" s="39" customFormat="1" ht="20.100000000000001" customHeight="1">
      <c r="B15" s="1804" t="s">
        <v>436</v>
      </c>
      <c r="C15" s="1805" t="e">
        <f>+#REF!</f>
        <v>#REF!</v>
      </c>
      <c r="D15" s="1805">
        <v>5861973.4802581202</v>
      </c>
      <c r="E15" s="1773">
        <v>5904806.1771299997</v>
      </c>
      <c r="F15" s="1805">
        <v>4233235.7054299898</v>
      </c>
      <c r="G15" s="1805">
        <v>4090136.2933443608</v>
      </c>
      <c r="H15" s="1805">
        <v>4140881.0490299161</v>
      </c>
      <c r="I15" s="2764"/>
    </row>
    <row r="16" spans="2:9" s="39" customFormat="1" ht="20.100000000000001" customHeight="1">
      <c r="B16" s="1804" t="s">
        <v>437</v>
      </c>
      <c r="C16" s="1805" t="e">
        <f>+#REF!</f>
        <v>#REF!</v>
      </c>
      <c r="D16" s="1805">
        <v>1174808.7523220747</v>
      </c>
      <c r="E16" s="1773">
        <v>892411.17481</v>
      </c>
      <c r="F16" s="1805">
        <v>813665.10982999997</v>
      </c>
      <c r="G16" s="1805">
        <v>847391.90944199672</v>
      </c>
      <c r="H16" s="1805">
        <v>1322354.9349075204</v>
      </c>
      <c r="I16" s="2764"/>
    </row>
    <row r="17" spans="2:9" s="39" customFormat="1" ht="20.100000000000001" customHeight="1">
      <c r="B17" s="1804" t="s">
        <v>438</v>
      </c>
      <c r="C17" s="1805" t="e">
        <f>+#REF!</f>
        <v>#REF!</v>
      </c>
      <c r="D17" s="1805">
        <v>655219.61676169874</v>
      </c>
      <c r="E17" s="1773">
        <v>533720.11443000007</v>
      </c>
      <c r="F17" s="1805">
        <v>316593.51908</v>
      </c>
      <c r="G17" s="1805">
        <v>387210.78660637117</v>
      </c>
      <c r="H17" s="1805">
        <v>478481.39734921709</v>
      </c>
      <c r="I17" s="2764"/>
    </row>
    <row r="18" spans="2:9" s="39" customFormat="1" ht="20.100000000000001" customHeight="1">
      <c r="B18" s="1804" t="s">
        <v>440</v>
      </c>
      <c r="C18" s="1805" t="e">
        <f>+#REF!+#REF!</f>
        <v>#REF!</v>
      </c>
      <c r="D18" s="1805">
        <v>2482404.7649781075</v>
      </c>
      <c r="E18" s="1773">
        <v>1918389.4750553998</v>
      </c>
      <c r="F18" s="1805">
        <v>2020030.6331100098</v>
      </c>
      <c r="G18" s="1805">
        <v>2302941.8301478899</v>
      </c>
      <c r="H18" s="1805">
        <v>2764138.7229544409</v>
      </c>
      <c r="I18" s="2764"/>
    </row>
    <row r="19" spans="2:9" s="39" customFormat="1" ht="20.100000000000001" customHeight="1">
      <c r="B19" s="2776" t="s">
        <v>571</v>
      </c>
      <c r="C19" s="1809" t="e">
        <f>SUM(C15:C18)-1</f>
        <v>#REF!</v>
      </c>
      <c r="D19" s="1809">
        <f>SUM(D15:D18)</f>
        <v>10174406.614320001</v>
      </c>
      <c r="E19" s="2777">
        <f>SUM(E15:E18)-1</f>
        <v>9249325.9414253999</v>
      </c>
      <c r="F19" s="1779">
        <f>SUM(F15:F18)+1</f>
        <v>7383525.9674499994</v>
      </c>
      <c r="G19" s="1809">
        <f>SUM(G15:G18)</f>
        <v>7627680.819540618</v>
      </c>
      <c r="H19" s="1809">
        <f>SUM(H15:H18)</f>
        <v>8705856.1042410955</v>
      </c>
      <c r="I19" s="1809">
        <f>SUM(I15:I18)</f>
        <v>0</v>
      </c>
    </row>
    <row r="20" spans="2:9">
      <c r="B20" s="3"/>
      <c r="C20" s="3"/>
      <c r="D20" s="3"/>
      <c r="E20" s="3"/>
      <c r="F20" s="3"/>
      <c r="G20" s="3"/>
      <c r="H20" s="3"/>
    </row>
    <row r="21" spans="2:9">
      <c r="B21" s="3605" t="s">
        <v>526</v>
      </c>
      <c r="C21" s="3616" t="s">
        <v>572</v>
      </c>
      <c r="D21" s="3617"/>
      <c r="E21" s="3617"/>
      <c r="F21" s="3617"/>
      <c r="G21" s="3617"/>
      <c r="H21" s="3618"/>
      <c r="I21" s="2775"/>
    </row>
    <row r="22" spans="2:9">
      <c r="B22" s="3605"/>
      <c r="C22" s="2744">
        <v>2007</v>
      </c>
      <c r="D22" s="2744">
        <v>2008</v>
      </c>
      <c r="E22" s="2744">
        <v>2009</v>
      </c>
      <c r="F22" s="2744">
        <v>2010</v>
      </c>
      <c r="G22" s="2744">
        <v>2011</v>
      </c>
      <c r="H22" s="2744" t="s">
        <v>210</v>
      </c>
      <c r="I22" s="2744" t="s">
        <v>211</v>
      </c>
    </row>
    <row r="23" spans="2:9" s="39" customFormat="1" ht="20.100000000000001" customHeight="1">
      <c r="B23" s="1804" t="s">
        <v>436</v>
      </c>
      <c r="C23" s="1805" t="e">
        <f>C7-C15</f>
        <v>#REF!</v>
      </c>
      <c r="D23" s="1805">
        <v>964589.57755187992</v>
      </c>
      <c r="E23" s="1805">
        <v>1144593.0671300003</v>
      </c>
      <c r="F23" s="1805">
        <v>779207.55262000952</v>
      </c>
      <c r="G23" s="1805">
        <v>1285957.5868933713</v>
      </c>
      <c r="H23" s="1805">
        <v>1280806.923975918</v>
      </c>
      <c r="I23" s="2764"/>
    </row>
    <row r="24" spans="2:9" s="39" customFormat="1" ht="20.100000000000001" customHeight="1">
      <c r="B24" s="1804" t="s">
        <v>437</v>
      </c>
      <c r="C24" s="1805" t="e">
        <f>C8-C16</f>
        <v>#REF!</v>
      </c>
      <c r="D24" s="1805">
        <v>651740.07819792535</v>
      </c>
      <c r="E24" s="1805">
        <v>550317.64974999963</v>
      </c>
      <c r="F24" s="1805">
        <v>685166.80636000005</v>
      </c>
      <c r="G24" s="1805">
        <v>830634.72440800315</v>
      </c>
      <c r="H24" s="1805">
        <v>590302.36934047961</v>
      </c>
      <c r="I24" s="2764"/>
    </row>
    <row r="25" spans="2:9" s="39" customFormat="1" ht="20.100000000000001" customHeight="1">
      <c r="B25" s="1804" t="s">
        <v>438</v>
      </c>
      <c r="C25" s="1805" t="e">
        <f>C9-C17</f>
        <v>#REF!</v>
      </c>
      <c r="D25" s="1805">
        <v>18062515.700778302</v>
      </c>
      <c r="E25" s="1805">
        <v>17364043.258850005</v>
      </c>
      <c r="F25" s="1805">
        <v>20632188.405960001</v>
      </c>
      <c r="G25" s="1805">
        <v>26753907.98971121</v>
      </c>
      <c r="H25" s="1805">
        <v>31137528.007142957</v>
      </c>
      <c r="I25" s="2764"/>
    </row>
    <row r="26" spans="2:9" s="39" customFormat="1" ht="20.100000000000001" customHeight="1">
      <c r="B26" s="1804" t="s">
        <v>440</v>
      </c>
      <c r="C26" s="1805" t="e">
        <f>C10-C18</f>
        <v>#REF!</v>
      </c>
      <c r="D26" s="1805">
        <v>4705011.7350618914</v>
      </c>
      <c r="E26" s="1805">
        <v>5239985.5409265012</v>
      </c>
      <c r="F26" s="1805">
        <v>5621359.3225177908</v>
      </c>
      <c r="G26" s="1805">
        <v>6830642.5786586516</v>
      </c>
      <c r="H26" s="1805">
        <v>7968742.4855036084</v>
      </c>
      <c r="I26" s="2764"/>
    </row>
    <row r="27" spans="2:9" s="39" customFormat="1" ht="20.100000000000001" customHeight="1">
      <c r="B27" s="2776" t="s">
        <v>573</v>
      </c>
      <c r="C27" s="1809" t="e">
        <f>SUM(C23:C26)</f>
        <v>#REF!</v>
      </c>
      <c r="D27" s="1809">
        <f>SUM(D23:D26)+1</f>
        <v>24383858.091589998</v>
      </c>
      <c r="E27" s="1809">
        <f>SUM(E23:E26)</f>
        <v>24298939.516656507</v>
      </c>
      <c r="F27" s="1809">
        <f>SUM(F23:F26)</f>
        <v>27717922.087457802</v>
      </c>
      <c r="G27" s="1809">
        <f>SUM(G23:G26)</f>
        <v>35701142.879671231</v>
      </c>
      <c r="H27" s="1809">
        <f>SUM(H23:H26)</f>
        <v>40977379.785962962</v>
      </c>
      <c r="I27" s="1809">
        <f>SUM(I23:I26)</f>
        <v>0</v>
      </c>
    </row>
    <row r="28" spans="2:9">
      <c r="B28" s="3"/>
      <c r="C28" s="3"/>
      <c r="D28" s="3"/>
      <c r="E28" s="3"/>
      <c r="F28" s="3"/>
      <c r="G28" s="3"/>
      <c r="H28" s="3"/>
    </row>
    <row r="29" spans="2:9">
      <c r="B29" s="3605" t="s">
        <v>526</v>
      </c>
      <c r="C29" s="3616" t="s">
        <v>757</v>
      </c>
      <c r="D29" s="3617"/>
      <c r="E29" s="3617"/>
      <c r="F29" s="3617"/>
      <c r="G29" s="3617"/>
      <c r="H29" s="3618"/>
      <c r="I29" s="2775"/>
    </row>
    <row r="30" spans="2:9">
      <c r="B30" s="3605"/>
      <c r="C30" s="2744">
        <v>2007</v>
      </c>
      <c r="D30" s="2744">
        <v>2008</v>
      </c>
      <c r="E30" s="2744">
        <v>2009</v>
      </c>
      <c r="F30" s="2744">
        <v>2010</v>
      </c>
      <c r="G30" s="2744">
        <v>2011</v>
      </c>
      <c r="H30" s="2744">
        <v>2012</v>
      </c>
      <c r="I30" s="2603">
        <v>2013</v>
      </c>
    </row>
    <row r="31" spans="2:9" s="39" customFormat="1" ht="20.100000000000001" customHeight="1">
      <c r="B31" s="1804" t="s">
        <v>436</v>
      </c>
      <c r="C31" s="2778" t="e">
        <f t="shared" ref="C31:G35" si="1">C23/C7*100</f>
        <v>#REF!</v>
      </c>
      <c r="D31" s="2778">
        <f>D23/D7*100</f>
        <v>14.129944591199978</v>
      </c>
      <c r="E31" s="2778">
        <f t="shared" si="1"/>
        <v>16.23674624560369</v>
      </c>
      <c r="F31" s="2778">
        <f t="shared" si="1"/>
        <v>15.545463808864065</v>
      </c>
      <c r="G31" s="2778">
        <f>G23/G7*100</f>
        <v>23.919924308250845</v>
      </c>
      <c r="H31" s="2778">
        <f>H23/H7*100</f>
        <v>23.623766811239541</v>
      </c>
      <c r="I31" s="2778" t="e">
        <f>I23/I7*100</f>
        <v>#DIV/0!</v>
      </c>
    </row>
    <row r="32" spans="2:9" s="39" customFormat="1" ht="20.100000000000001" customHeight="1">
      <c r="B32" s="1804" t="s">
        <v>437</v>
      </c>
      <c r="C32" s="2778" t="e">
        <f t="shared" si="1"/>
        <v>#REF!</v>
      </c>
      <c r="D32" s="2778">
        <f t="shared" si="1"/>
        <v>35.681503133556056</v>
      </c>
      <c r="E32" s="2778">
        <f t="shared" si="1"/>
        <v>38.144219508321967</v>
      </c>
      <c r="F32" s="2778">
        <f t="shared" si="1"/>
        <v>45.713385134050256</v>
      </c>
      <c r="G32" s="2778">
        <f t="shared" si="1"/>
        <v>49.500687751434953</v>
      </c>
      <c r="H32" s="2778">
        <f t="shared" ref="H32:I35" si="2">H24/H8*100</f>
        <v>30.862944868870219</v>
      </c>
      <c r="I32" s="2778" t="e">
        <f t="shared" si="2"/>
        <v>#DIV/0!</v>
      </c>
    </row>
    <row r="33" spans="2:9" s="39" customFormat="1" ht="20.100000000000001" customHeight="1">
      <c r="B33" s="1804" t="s">
        <v>438</v>
      </c>
      <c r="C33" s="2778" t="e">
        <f t="shared" si="1"/>
        <v>#REF!</v>
      </c>
      <c r="D33" s="2778">
        <f t="shared" si="1"/>
        <v>96.499471727502709</v>
      </c>
      <c r="E33" s="2778">
        <f t="shared" si="1"/>
        <v>97.017950772403211</v>
      </c>
      <c r="F33" s="2778">
        <f t="shared" si="1"/>
        <v>98.488725882904063</v>
      </c>
      <c r="G33" s="2778">
        <f t="shared" si="1"/>
        <v>98.573342573688464</v>
      </c>
      <c r="H33" s="2778">
        <f t="shared" si="2"/>
        <v>98.486585099252807</v>
      </c>
      <c r="I33" s="2778" t="e">
        <f t="shared" si="2"/>
        <v>#DIV/0!</v>
      </c>
    </row>
    <row r="34" spans="2:9" s="39" customFormat="1" ht="20.100000000000001" customHeight="1">
      <c r="B34" s="1804" t="s">
        <v>440</v>
      </c>
      <c r="C34" s="2778" t="e">
        <f t="shared" si="1"/>
        <v>#REF!</v>
      </c>
      <c r="D34" s="2778">
        <f t="shared" si="1"/>
        <v>65.461793330548019</v>
      </c>
      <c r="E34" s="2778">
        <f t="shared" si="1"/>
        <v>73.200768739101079</v>
      </c>
      <c r="F34" s="2778">
        <f t="shared" si="1"/>
        <v>73.564617892294848</v>
      </c>
      <c r="G34" s="2778">
        <f t="shared" si="1"/>
        <v>74.786001562240898</v>
      </c>
      <c r="H34" s="2778">
        <f t="shared" si="2"/>
        <v>74.246069911067679</v>
      </c>
      <c r="I34" s="2778" t="e">
        <f t="shared" si="2"/>
        <v>#DIV/0!</v>
      </c>
    </row>
    <row r="35" spans="2:9" s="39" customFormat="1" ht="20.100000000000001" customHeight="1">
      <c r="B35" s="1778" t="s">
        <v>758</v>
      </c>
      <c r="C35" s="2779" t="e">
        <f t="shared" si="1"/>
        <v>#REF!</v>
      </c>
      <c r="D35" s="2779">
        <f t="shared" si="1"/>
        <v>70.558689808886371</v>
      </c>
      <c r="E35" s="2780">
        <f t="shared" si="1"/>
        <v>72.429791706279957</v>
      </c>
      <c r="F35" s="2780">
        <f t="shared" si="1"/>
        <v>78.965183526763866</v>
      </c>
      <c r="G35" s="2780">
        <f>G27/G11*100</f>
        <v>82.395827607756246</v>
      </c>
      <c r="H35" s="2780">
        <f t="shared" si="2"/>
        <v>82.477276392623992</v>
      </c>
      <c r="I35" s="2779" t="e">
        <f t="shared" si="2"/>
        <v>#DIV/0!</v>
      </c>
    </row>
    <row r="36" spans="2:9">
      <c r="B36" s="2"/>
      <c r="C36" s="2"/>
      <c r="D36" s="2"/>
      <c r="E36" s="2"/>
      <c r="F36" s="2"/>
      <c r="G36" s="2"/>
      <c r="H36" s="2"/>
    </row>
    <row r="37" spans="2:9" ht="26.25" customHeight="1">
      <c r="B37" s="204" t="s">
        <v>633</v>
      </c>
    </row>
    <row r="38" spans="2:9" ht="15" customHeight="1">
      <c r="B38" s="204" t="s">
        <v>634</v>
      </c>
      <c r="C38" s="42"/>
    </row>
    <row r="39" spans="2:9" ht="30.75" customHeight="1">
      <c r="B39" s="200" t="s">
        <v>149</v>
      </c>
      <c r="C39" s="175"/>
      <c r="D39" s="175"/>
      <c r="E39" s="175"/>
      <c r="F39" s="175"/>
      <c r="G39" s="175"/>
      <c r="H39" s="175"/>
    </row>
    <row r="40" spans="2:9">
      <c r="B40" s="208"/>
      <c r="C40" s="175"/>
      <c r="D40" s="175"/>
      <c r="E40" s="175"/>
      <c r="F40" s="175"/>
      <c r="G40" s="175"/>
      <c r="H40" s="175"/>
    </row>
    <row r="41" spans="2:9" ht="15" customHeight="1">
      <c r="B41" s="3585" t="s">
        <v>710</v>
      </c>
      <c r="C41" s="3585"/>
      <c r="D41" s="3585"/>
      <c r="E41" s="3585"/>
      <c r="F41" s="3585"/>
      <c r="G41" s="3585"/>
      <c r="H41" s="211"/>
    </row>
    <row r="42" spans="2:9">
      <c r="B42" s="3585"/>
      <c r="C42" s="3585"/>
      <c r="D42" s="3585"/>
      <c r="E42" s="3585"/>
      <c r="F42" s="3585"/>
      <c r="G42" s="3585"/>
      <c r="H42" s="211"/>
    </row>
    <row r="43" spans="2:9" ht="15" customHeight="1">
      <c r="B43" s="3586" t="s">
        <v>151</v>
      </c>
      <c r="C43" s="3586"/>
      <c r="D43" s="3586"/>
      <c r="E43" s="3586"/>
      <c r="F43" s="3586"/>
      <c r="G43" s="3586"/>
      <c r="H43" s="212"/>
    </row>
    <row r="44" spans="2:9" ht="54" customHeight="1">
      <c r="B44" s="3587" t="s">
        <v>739</v>
      </c>
      <c r="C44" s="3587"/>
      <c r="D44" s="3587"/>
      <c r="E44" s="3587"/>
      <c r="F44" s="3587"/>
      <c r="G44" s="3587"/>
      <c r="H44" s="213"/>
    </row>
    <row r="45" spans="2:9">
      <c r="B45" s="2"/>
      <c r="C45" s="2"/>
      <c r="D45" s="2"/>
      <c r="E45" s="2"/>
      <c r="F45" s="2"/>
      <c r="G45" s="2"/>
      <c r="H45" s="2"/>
    </row>
    <row r="46" spans="2:9">
      <c r="B46" s="2"/>
      <c r="C46" s="2"/>
      <c r="D46" s="2"/>
      <c r="E46" s="2"/>
      <c r="F46" s="2"/>
      <c r="G46" s="2"/>
      <c r="H46" s="2"/>
    </row>
    <row r="47" spans="2:9">
      <c r="B47" s="2"/>
      <c r="C47" s="2"/>
      <c r="D47" s="2"/>
      <c r="E47" s="2"/>
      <c r="F47" s="2"/>
      <c r="G47" s="2"/>
      <c r="H47" s="2"/>
    </row>
    <row r="48" spans="2:9" ht="15" hidden="1" customHeight="1">
      <c r="B48" s="2"/>
      <c r="C48" s="2"/>
      <c r="D48" s="2"/>
      <c r="E48" s="2"/>
      <c r="F48" s="2"/>
      <c r="G48" s="2"/>
      <c r="H48" s="2"/>
    </row>
    <row r="49" spans="2:8" hidden="1">
      <c r="B49" s="2"/>
      <c r="C49" s="2"/>
      <c r="D49" s="2"/>
      <c r="E49" s="2"/>
      <c r="F49" s="225">
        <f>+F34-E34</f>
        <v>0.36384915319376887</v>
      </c>
      <c r="G49" s="2">
        <f>+F49/E34*100</f>
        <v>0.49705646465351183</v>
      </c>
      <c r="H49" s="2"/>
    </row>
    <row r="50" spans="2:8" hidden="1">
      <c r="B50" s="1766" t="s">
        <v>759</v>
      </c>
      <c r="D50" s="3171"/>
      <c r="E50" s="3171"/>
      <c r="F50" s="3171"/>
      <c r="G50" s="2781"/>
      <c r="H50" s="42"/>
    </row>
    <row r="51" spans="2:8" hidden="1">
      <c r="B51" s="3172" t="s">
        <v>730</v>
      </c>
      <c r="C51" s="1802">
        <v>2007</v>
      </c>
      <c r="D51" s="1802">
        <v>2008</v>
      </c>
      <c r="E51" s="1802">
        <v>2009</v>
      </c>
      <c r="F51" s="1802">
        <v>2010</v>
      </c>
      <c r="G51" s="1802">
        <v>2011</v>
      </c>
      <c r="H51" s="226">
        <v>2012</v>
      </c>
    </row>
    <row r="52" spans="2:8" hidden="1">
      <c r="B52" s="2776" t="s">
        <v>760</v>
      </c>
      <c r="C52" s="1809" t="e">
        <f t="shared" ref="C52:H52" si="3">+C19</f>
        <v>#REF!</v>
      </c>
      <c r="D52" s="1809">
        <f t="shared" si="3"/>
        <v>10174406.614320001</v>
      </c>
      <c r="E52" s="1809">
        <f t="shared" si="3"/>
        <v>9249325.9414253999</v>
      </c>
      <c r="F52" s="1809">
        <f t="shared" si="3"/>
        <v>7383525.9674499994</v>
      </c>
      <c r="G52" s="1809">
        <f t="shared" si="3"/>
        <v>7627680.819540618</v>
      </c>
      <c r="H52" s="1809">
        <f t="shared" si="3"/>
        <v>8705856.1042410955</v>
      </c>
    </row>
    <row r="53" spans="2:8" hidden="1">
      <c r="B53" s="2776" t="s">
        <v>761</v>
      </c>
      <c r="C53" s="1809" t="e">
        <f t="shared" ref="C53:H53" si="4">+C27</f>
        <v>#REF!</v>
      </c>
      <c r="D53" s="1809">
        <f t="shared" si="4"/>
        <v>24383858.091589998</v>
      </c>
      <c r="E53" s="1809">
        <f t="shared" si="4"/>
        <v>24298939.516656507</v>
      </c>
      <c r="F53" s="1809">
        <f t="shared" si="4"/>
        <v>27717922.087457802</v>
      </c>
      <c r="G53" s="1809">
        <f t="shared" si="4"/>
        <v>35701142.879671231</v>
      </c>
      <c r="H53" s="1809">
        <f t="shared" si="4"/>
        <v>40977379.785962962</v>
      </c>
    </row>
    <row r="54" spans="2:8" hidden="1"/>
    <row r="55" spans="2:8" hidden="1"/>
    <row r="56" spans="2:8" hidden="1"/>
    <row r="57" spans="2:8" hidden="1">
      <c r="B57" s="1772" t="s">
        <v>436</v>
      </c>
      <c r="F57" s="121">
        <f>+(F31-E31)/E31*100</f>
        <v>-4.2575182630990414</v>
      </c>
    </row>
    <row r="58" spans="2:8" hidden="1">
      <c r="B58" s="1772" t="s">
        <v>437</v>
      </c>
      <c r="F58" s="121">
        <f>+(F32-E32)/E32*100</f>
        <v>19.843545688690565</v>
      </c>
    </row>
    <row r="59" spans="2:8" hidden="1">
      <c r="B59" s="1772" t="s">
        <v>438</v>
      </c>
      <c r="F59" s="121">
        <f>+(F33-E33)/E33*100</f>
        <v>1.5159824535473647</v>
      </c>
    </row>
    <row r="60" spans="2:8" hidden="1">
      <c r="B60" s="1772" t="s">
        <v>762</v>
      </c>
      <c r="F60" s="121">
        <f>+(F34-E34)/E34*100</f>
        <v>0.49705646465351183</v>
      </c>
    </row>
    <row r="61" spans="2:8" hidden="1"/>
    <row r="62" spans="2:8" hidden="1"/>
    <row r="63" spans="2:8" hidden="1"/>
  </sheetData>
  <customSheetViews>
    <customSheetView guid="{2ACFE167-4169-43A6-9AB2-59D5A2DA2DB4}" showPageBreaks="1" printArea="1" hiddenRows="1" hiddenColumns="1" state="hidden">
      <selection activeCell="H83" sqref="H83"/>
      <colBreaks count="1" manualBreakCount="1">
        <brk id="8" max="1048575" man="1"/>
      </colBreaks>
      <pageMargins left="0" right="0" top="0" bottom="0" header="0" footer="0"/>
      <pageSetup scale="75" orientation="portrait" r:id="rId1"/>
    </customSheetView>
    <customSheetView guid="{967E0446-E234-427F-8E57-7FE287052E2E}" showPageBreaks="1" printArea="1" hiddenRows="1" hiddenColumns="1" state="hidden">
      <selection activeCell="H83" sqref="H83"/>
      <colBreaks count="1" manualBreakCount="1">
        <brk id="8" max="1048575" man="1"/>
      </colBreaks>
      <pageMargins left="0" right="0" top="0" bottom="0" header="0" footer="0"/>
      <pageSetup scale="75" orientation="portrait" r:id="rId2"/>
    </customSheetView>
    <customSheetView guid="{B2E1A0C6-5BA1-4CF1-B412-16D81FCDF11F}" showPageBreaks="1" printArea="1" hiddenRows="1" hiddenColumns="1" state="hidden">
      <selection activeCell="H83" sqref="H83"/>
      <colBreaks count="1" manualBreakCount="1">
        <brk id="8" max="1048575" man="1"/>
      </colBreaks>
      <pageMargins left="0" right="0" top="0" bottom="0" header="0" footer="0"/>
      <pageSetup scale="75" orientation="portrait" r:id="rId3"/>
    </customSheetView>
    <customSheetView guid="{46F31544-8E6F-41C5-8628-1D6EE074AF15}" hiddenRows="1" hiddenColumns="1" state="hidden">
      <selection activeCell="H83" sqref="H83"/>
      <colBreaks count="1" manualBreakCount="1">
        <brk id="8" max="1048575" man="1"/>
      </colBreaks>
      <pageMargins left="0" right="0" top="0" bottom="0" header="0" footer="0"/>
      <pageSetup scale="75" orientation="portrait" r:id="rId4"/>
    </customSheetView>
    <customSheetView guid="{D020F570-D9CD-4C16-921E-7638848CF929}" topLeftCell="A25">
      <selection activeCell="B37" sqref="B37"/>
      <pageMargins left="0" right="0" top="0" bottom="0" header="0" footer="0"/>
      <pageSetup orientation="portrait" r:id="rId5"/>
    </customSheetView>
    <customSheetView guid="{F66B1C5E-2E3D-4890-AA4B-3A6E976CA29E}">
      <selection activeCell="B37" sqref="B37"/>
      <pageMargins left="0" right="0" top="0" bottom="0" header="0" footer="0"/>
      <pageSetup orientation="portrait" r:id="rId6"/>
    </customSheetView>
    <customSheetView guid="{C4538C36-F6A2-4603-9311-8D97FB7695CB}" topLeftCell="A7">
      <selection activeCell="B37" sqref="B37"/>
      <pageMargins left="0" right="0" top="0" bottom="0" header="0" footer="0"/>
      <pageSetup orientation="portrait" r:id="rId7"/>
    </customSheetView>
    <customSheetView guid="{3199A5C7-1303-43ED-A74D-8C27C3B99779}">
      <selection activeCell="C30" sqref="C30"/>
      <pageMargins left="0" right="0" top="0" bottom="0" header="0" footer="0"/>
      <pageSetup orientation="portrait" r:id="rId8"/>
    </customSheetView>
    <customSheetView guid="{B8318771-9061-42D8-AFEA-0FF27D639C94}" topLeftCell="D16">
      <selection activeCell="C30" sqref="C30"/>
      <pageMargins left="0" right="0" top="0" bottom="0" header="0" footer="0"/>
      <pageSetup orientation="portrait" r:id="rId9"/>
    </customSheetView>
    <customSheetView guid="{F7C0CA98-A3B8-42B1-9940-E27294444C95}" topLeftCell="C22">
      <selection activeCell="K28" sqref="K28"/>
      <pageMargins left="0" right="0" top="0" bottom="0" header="0" footer="0"/>
      <pageSetup orientation="portrait" r:id="rId10"/>
    </customSheetView>
    <customSheetView guid="{B4A67912-05A8-4D20-958A-E8812294BB39}">
      <selection activeCell="K33" sqref="K33"/>
      <pageMargins left="0" right="0" top="0" bottom="0" header="0" footer="0"/>
      <pageSetup orientation="portrait" r:id="rId11"/>
    </customSheetView>
    <customSheetView guid="{E82B35BE-4719-4C53-A9EF-1CC6F153A6F3}" showPageBreaks="1" printArea="1" hiddenRows="1" hiddenColumns="1">
      <selection activeCell="C5" sqref="C5:H5"/>
      <colBreaks count="1" manualBreakCount="1">
        <brk id="8" max="1048575" man="1"/>
      </colBreaks>
      <pageMargins left="0" right="0" top="0" bottom="0" header="0" footer="0"/>
      <pageSetup scale="75" orientation="portrait" r:id="rId12"/>
    </customSheetView>
    <customSheetView guid="{B1E1B596-A9A1-411D-A882-A48CB025B978}" showPageBreaks="1" printArea="1" hiddenRows="1" hiddenColumns="1" state="hidden">
      <selection activeCell="H83" sqref="H83"/>
      <colBreaks count="1" manualBreakCount="1">
        <brk id="8" max="1048575" man="1"/>
      </colBreaks>
      <pageMargins left="0" right="0" top="0" bottom="0" header="0" footer="0"/>
      <pageSetup scale="75" orientation="portrait" r:id="rId13"/>
    </customSheetView>
    <customSheetView guid="{5E394B0B-7867-4722-9497-A93AB2A9A773}" showPageBreaks="1" printArea="1" hiddenRows="1" hiddenColumns="1" state="hidden">
      <selection activeCell="H83" sqref="H83"/>
      <colBreaks count="1" manualBreakCount="1">
        <brk id="8" max="1048575" man="1"/>
      </colBreaks>
      <pageMargins left="0" right="0" top="0" bottom="0" header="0" footer="0"/>
      <pageSetup scale="75" orientation="portrait" r:id="rId14"/>
    </customSheetView>
  </customSheetViews>
  <mergeCells count="11">
    <mergeCell ref="B41:G42"/>
    <mergeCell ref="B43:G43"/>
    <mergeCell ref="B44:G44"/>
    <mergeCell ref="B5:B6"/>
    <mergeCell ref="B29:B30"/>
    <mergeCell ref="B21:B22"/>
    <mergeCell ref="B13:B14"/>
    <mergeCell ref="C5:H5"/>
    <mergeCell ref="C13:H13"/>
    <mergeCell ref="C21:H21"/>
    <mergeCell ref="C29:H29"/>
  </mergeCells>
  <pageMargins left="0.7" right="0.7" top="0.75" bottom="0.75" header="0.3" footer="0.3"/>
  <pageSetup scale="75" orientation="portrait" r:id="rId15"/>
  <colBreaks count="1" manualBreakCount="1">
    <brk id="8" max="1048575" man="1"/>
  </colBreaks>
  <ignoredErrors>
    <ignoredError sqref="C12:G12 D19 E11:F11" formulaRange="1"/>
    <ignoredError sqref="G32:G34" evalError="1"/>
  </ignoredError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tabColor rgb="FFFFC000"/>
  </sheetPr>
  <dimension ref="A4:X61"/>
  <sheetViews>
    <sheetView topLeftCell="K43" workbookViewId="0">
      <selection activeCell="V67" sqref="V67"/>
    </sheetView>
  </sheetViews>
  <sheetFormatPr defaultColWidth="9.140625" defaultRowHeight="14.45"/>
  <cols>
    <col min="1" max="1" width="19" customWidth="1"/>
    <col min="2" max="2" width="12.5703125" customWidth="1"/>
    <col min="3" max="4" width="12.7109375" customWidth="1"/>
    <col min="5" max="5" width="12.5703125" customWidth="1"/>
    <col min="6" max="6" width="11.42578125" customWidth="1"/>
    <col min="7" max="7" width="10.42578125" customWidth="1"/>
    <col min="8" max="8" width="12.42578125" customWidth="1"/>
    <col min="9" max="9" width="11.28515625" customWidth="1"/>
    <col min="10" max="10" width="10.28515625" customWidth="1"/>
    <col min="11" max="11" width="10.42578125" customWidth="1"/>
    <col min="12" max="12" width="12" customWidth="1"/>
    <col min="13" max="13" width="11.28515625" customWidth="1"/>
    <col min="14" max="14" width="10.140625" customWidth="1"/>
    <col min="15" max="15" width="10.85546875" customWidth="1"/>
    <col min="16" max="16" width="11.42578125" customWidth="1"/>
    <col min="17" max="17" width="12.5703125" customWidth="1"/>
    <col min="18" max="18" width="11" customWidth="1"/>
    <col min="19" max="19" width="11.85546875" customWidth="1"/>
    <col min="20" max="21" width="9.28515625" bestFit="1" customWidth="1"/>
    <col min="22" max="22" width="14.7109375" customWidth="1"/>
    <col min="23" max="23" width="12.7109375" bestFit="1" customWidth="1"/>
    <col min="24" max="24" width="14.5703125" customWidth="1"/>
  </cols>
  <sheetData>
    <row r="4" spans="1:24" ht="15" customHeight="1">
      <c r="A4" s="2725" t="s">
        <v>763</v>
      </c>
      <c r="B4" s="3167"/>
      <c r="C4" s="3167"/>
      <c r="D4" s="3167"/>
      <c r="E4" s="3167"/>
      <c r="F4" s="2726"/>
    </row>
    <row r="5" spans="1:24">
      <c r="A5" s="3604" t="s">
        <v>730</v>
      </c>
      <c r="B5" s="373">
        <v>1</v>
      </c>
      <c r="C5" s="373">
        <v>2</v>
      </c>
      <c r="D5" s="373">
        <v>3</v>
      </c>
      <c r="E5" s="373">
        <v>4</v>
      </c>
      <c r="F5" s="373">
        <v>5</v>
      </c>
      <c r="G5" s="373">
        <v>6</v>
      </c>
      <c r="H5" s="373">
        <v>7</v>
      </c>
      <c r="I5" s="373">
        <v>8</v>
      </c>
      <c r="J5" s="373">
        <v>9</v>
      </c>
      <c r="K5" s="373">
        <v>10</v>
      </c>
      <c r="L5" s="373">
        <v>11</v>
      </c>
      <c r="M5" s="373">
        <v>12</v>
      </c>
      <c r="N5" s="373">
        <v>13</v>
      </c>
      <c r="O5" s="373">
        <v>14</v>
      </c>
      <c r="P5" s="373">
        <v>15</v>
      </c>
      <c r="Q5" s="373">
        <v>16</v>
      </c>
      <c r="R5" s="373">
        <v>17</v>
      </c>
      <c r="S5" s="373">
        <v>18</v>
      </c>
      <c r="T5" s="373">
        <v>19</v>
      </c>
      <c r="U5" s="373">
        <v>20</v>
      </c>
      <c r="V5" s="374"/>
    </row>
    <row r="6" spans="1:24">
      <c r="A6" s="3604"/>
      <c r="B6" s="2727" t="s">
        <v>177</v>
      </c>
      <c r="C6" s="2727" t="s">
        <v>179</v>
      </c>
      <c r="D6" s="2727" t="s">
        <v>181</v>
      </c>
      <c r="E6" s="2727" t="s">
        <v>182</v>
      </c>
      <c r="F6" s="2727" t="s">
        <v>183</v>
      </c>
      <c r="G6" s="2727" t="s">
        <v>184</v>
      </c>
      <c r="H6" s="2728" t="s">
        <v>185</v>
      </c>
      <c r="I6" s="2727" t="s">
        <v>186</v>
      </c>
      <c r="J6" s="2727" t="s">
        <v>187</v>
      </c>
      <c r="K6" s="2727" t="s">
        <v>188</v>
      </c>
      <c r="L6" s="2727" t="s">
        <v>189</v>
      </c>
      <c r="M6" s="2727" t="s">
        <v>191</v>
      </c>
      <c r="N6" s="2727" t="s">
        <v>192</v>
      </c>
      <c r="O6" s="2727" t="s">
        <v>702</v>
      </c>
      <c r="P6" s="2727" t="s">
        <v>194</v>
      </c>
      <c r="Q6" s="2727" t="s">
        <v>115</v>
      </c>
      <c r="R6" s="2727" t="s">
        <v>196</v>
      </c>
      <c r="S6" s="2727" t="s">
        <v>197</v>
      </c>
      <c r="T6" s="2727" t="s">
        <v>193</v>
      </c>
      <c r="U6" s="2727" t="s">
        <v>110</v>
      </c>
      <c r="V6" s="2730" t="s">
        <v>118</v>
      </c>
    </row>
    <row r="7" spans="1:24">
      <c r="A7" s="2504" t="s">
        <v>436</v>
      </c>
      <c r="B7" s="2731">
        <f>-'[5]P &amp; L - GI - 2013'!C44</f>
        <v>81144</v>
      </c>
      <c r="C7" s="2731">
        <f>-'[5]P &amp; L - GI - 2013'!C77</f>
        <v>566044.93000000005</v>
      </c>
      <c r="D7" s="2731">
        <f>-'[5]P &amp; L - GI - 2013'!C143</f>
        <v>253971</v>
      </c>
      <c r="E7" s="2731">
        <f>-'[5]P &amp; L - GI - 2013'!C176</f>
        <v>43147.651840000202</v>
      </c>
      <c r="F7" s="2731">
        <f>-'[5]P &amp; L - GI - 2013'!C209</f>
        <v>37799.38229621722</v>
      </c>
      <c r="G7" s="2731">
        <f>-'[5]P &amp; L - GI - 2013'!C242</f>
        <v>215042.12192999999</v>
      </c>
      <c r="H7" s="2732">
        <f>-'[5]P &amp; L - GI - 2013'!C275</f>
        <v>796213</v>
      </c>
      <c r="I7" s="2731">
        <f>-'[5]P &amp; L - GI - 2013'!C308</f>
        <v>20527.916550000002</v>
      </c>
      <c r="J7" s="2731"/>
      <c r="K7" s="2731">
        <f>-'[5]P &amp; L - GI - 2013'!C374</f>
        <v>199746.6642</v>
      </c>
      <c r="L7" s="2731">
        <f>-'[5]P &amp; L - GI - 2013'!C407</f>
        <v>371405.00045178999</v>
      </c>
      <c r="M7" s="2731">
        <f>-'[5]P &amp; L - GI - 2013'!C506</f>
        <v>34754.249620000002</v>
      </c>
      <c r="N7" s="2731">
        <f>-'[5]P &amp; L - GI - 2013'!C539</f>
        <v>44735.832649999902</v>
      </c>
      <c r="O7" s="2731"/>
      <c r="P7" s="2731">
        <f>-'[5]P &amp; L - GI - 2013'!C572</f>
        <v>89343.28559</v>
      </c>
      <c r="Q7" s="2731">
        <f>-'[5]P &amp; L - GI - 2013'!C605</f>
        <v>1425090.71692</v>
      </c>
      <c r="R7" s="2731">
        <f>-'[5]P &amp; L - GI - 2013'!C638</f>
        <v>15706.20901</v>
      </c>
      <c r="S7" s="2731">
        <f>-'[5]P &amp; L - GI - 2013'!C671</f>
        <v>586399.32802999998</v>
      </c>
      <c r="T7" s="2731">
        <f>-'[5]P &amp; L - GI - 2013'!C704</f>
        <v>18445.134309774701</v>
      </c>
      <c r="U7" s="2731"/>
      <c r="V7" s="2731">
        <f>SUM(B7:U7)</f>
        <v>4799516.4233977813</v>
      </c>
      <c r="W7" s="58"/>
      <c r="X7" s="58"/>
    </row>
    <row r="8" spans="1:24">
      <c r="A8" s="2504" t="s">
        <v>437</v>
      </c>
      <c r="B8" s="2731">
        <f>-'[5]P &amp; L - GI - 2013'!D44</f>
        <v>25246</v>
      </c>
      <c r="C8" s="2731">
        <f>-'[5]P &amp; L - GI - 2013'!D77</f>
        <v>29393.07</v>
      </c>
      <c r="D8" s="2731">
        <f>-'[5]P &amp; L - GI - 2013'!D143</f>
        <v>65209</v>
      </c>
      <c r="E8" s="2731">
        <f>-'[5]P &amp; L - GI - 2013'!D176</f>
        <v>20635.43446</v>
      </c>
      <c r="F8" s="2731">
        <f>-'[5]P &amp; L - GI - 2013'!D209</f>
        <v>58996.709129365787</v>
      </c>
      <c r="G8" s="2731">
        <f>-'[5]P &amp; L - GI - 2013'!D242</f>
        <v>16080.94526</v>
      </c>
      <c r="H8" s="2731">
        <f>-'[5]P &amp; L - GI - 2013'!D275</f>
        <v>138580</v>
      </c>
      <c r="I8" s="2731">
        <f>-'[5]P &amp; L - GI - 2013'!D308</f>
        <v>5699.4227499999997</v>
      </c>
      <c r="J8" s="2731"/>
      <c r="K8" s="2731">
        <f>-'[5]P &amp; L - GI - 2013'!D374</f>
        <v>19971.053090000001</v>
      </c>
      <c r="L8" s="2731">
        <f>-'[5]P &amp; L - GI - 2013'!D407</f>
        <v>99967</v>
      </c>
      <c r="M8" s="2731">
        <f>-'[5]P &amp; L - GI - 2013'!D506</f>
        <v>4428.9517900000001</v>
      </c>
      <c r="N8" s="2731">
        <f>-'[5]P &amp; L - GI - 2013'!D539</f>
        <v>21681.471120000002</v>
      </c>
      <c r="O8" s="2731"/>
      <c r="P8" s="2731">
        <f>-'[5]P &amp; L - GI - 2013'!D572</f>
        <v>3410.07512</v>
      </c>
      <c r="Q8" s="2731">
        <f>-'[5]P &amp; L - GI - 2013'!D605</f>
        <v>288740.77280999994</v>
      </c>
      <c r="R8" s="2731">
        <f>-'[5]P &amp; L - GI - 2013'!D638</f>
        <v>0</v>
      </c>
      <c r="S8" s="2731">
        <f>-'[5]P &amp; L - GI - 2013'!D671</f>
        <v>201204.67728</v>
      </c>
      <c r="T8" s="2731">
        <f>-'[5]P &amp; L - GI - 2013'!D704</f>
        <v>15461.836204225299</v>
      </c>
      <c r="U8" s="2731"/>
      <c r="V8" s="2731">
        <f>SUM(B8:U8)</f>
        <v>1014706.4190135911</v>
      </c>
      <c r="W8" s="58"/>
      <c r="X8" s="58"/>
    </row>
    <row r="9" spans="1:24">
      <c r="A9" s="2504" t="s">
        <v>438</v>
      </c>
      <c r="B9" s="2734">
        <f>-'[5]P &amp; L - GI - 2013'!E44</f>
        <v>51704</v>
      </c>
      <c r="C9" s="2734">
        <f>-'[5]P &amp; L - GI - 2013'!E77</f>
        <v>7957.11</v>
      </c>
      <c r="D9" s="2735">
        <f>-'[5]P &amp; L - GI - 2013'!E143</f>
        <v>9920</v>
      </c>
      <c r="E9" s="2734">
        <f>-'[5]P &amp; L - GI - 2013'!E176</f>
        <v>0</v>
      </c>
      <c r="F9" s="2734">
        <f>-'[5]P &amp; L - GI - 2013'!E209</f>
        <v>10703.527402805039</v>
      </c>
      <c r="G9" s="2731">
        <f>-'[5]P &amp; L - GI - 2013'!E242</f>
        <v>17797.102079999997</v>
      </c>
      <c r="H9" s="2731">
        <f>-'[5]P &amp; L - GI - 2013'!E275</f>
        <v>-223688</v>
      </c>
      <c r="I9" s="2731">
        <f>-'[5]P &amp; L - GI - 2013'!E308</f>
        <v>16146.39826</v>
      </c>
      <c r="J9" s="2731"/>
      <c r="K9" s="2731">
        <f>-'[5]P &amp; L - GI - 2013'!E374</f>
        <v>40378.636599999998</v>
      </c>
      <c r="L9" s="2731">
        <f>-'[5]P &amp; L - GI - 2013'!E407</f>
        <v>108916.00017037</v>
      </c>
      <c r="M9" s="2731">
        <f>-'[5]P &amp; L - GI - 2013'!E506</f>
        <v>51847.06119</v>
      </c>
      <c r="N9" s="2731">
        <f>-'[5]P &amp; L - GI - 2013'!E539</f>
        <v>39222.078590000005</v>
      </c>
      <c r="O9" s="2731"/>
      <c r="P9" s="2731">
        <f>-'[5]P &amp; L - GI - 2013'!E572</f>
        <v>36860.07548</v>
      </c>
      <c r="Q9" s="2731">
        <f>-'[5]P &amp; L - GI - 2013'!E605</f>
        <v>68485.939849999995</v>
      </c>
      <c r="R9" s="2731">
        <f>-'[5]P &amp; L - GI - 2013'!E638</f>
        <v>5913</v>
      </c>
      <c r="S9" s="2731">
        <f>-'[5]P &amp; L - GI - 2013'!E671</f>
        <v>55415.824820000002</v>
      </c>
      <c r="T9" s="2731">
        <f>-'[5]P &amp; L - GI - 2013'!E704</f>
        <v>6872.0366460585501</v>
      </c>
      <c r="U9" s="2731"/>
      <c r="V9" s="2731">
        <f>SUM(B9:U9)</f>
        <v>304450.79108923359</v>
      </c>
      <c r="W9" s="58"/>
      <c r="X9" s="58"/>
    </row>
    <row r="10" spans="1:24">
      <c r="A10" s="2504" t="s">
        <v>722</v>
      </c>
      <c r="B10" s="2734">
        <f>-'[5]P &amp; L - GI - 2013'!F44</f>
        <v>535</v>
      </c>
      <c r="C10" s="2734">
        <f>-'[5]P &amp; L - GI - 2013'!F77</f>
        <v>111.84</v>
      </c>
      <c r="D10" s="2735">
        <f>-'[5]P &amp; L - GI - 2013'!F143</f>
        <v>4695</v>
      </c>
      <c r="E10" s="2734">
        <f>-'[5]P &amp; L - GI - 2013'!F176</f>
        <v>79.730879999999999</v>
      </c>
      <c r="F10" s="2734">
        <f>-'[5]P &amp; L - GI - 2013'!F209</f>
        <v>1113.9020909182393</v>
      </c>
      <c r="G10" s="2731">
        <f>-'[5]P &amp; L - GI - 2013'!F242</f>
        <v>2936.4312907763597</v>
      </c>
      <c r="H10" s="2731">
        <f>-'[5]P &amp; L - GI - 2013'!F275</f>
        <v>10932</v>
      </c>
      <c r="I10" s="2731">
        <f>-'[5]P &amp; L - GI - 2013'!F308</f>
        <v>0</v>
      </c>
      <c r="J10" s="2731"/>
      <c r="K10" s="2731">
        <f>-'[5]P &amp; L - GI - 2013'!F374</f>
        <v>45.235800000000005</v>
      </c>
      <c r="L10" s="2731">
        <f>-'[5]P &amp; L - GI - 2013'!F407</f>
        <v>0</v>
      </c>
      <c r="M10" s="2731">
        <f>-'[5]P &amp; L - GI - 2013'!F506</f>
        <v>18978.975010000002</v>
      </c>
      <c r="N10" s="2731">
        <f>-'[5]P &amp; L - GI - 2013'!F539</f>
        <v>0</v>
      </c>
      <c r="O10" s="2731"/>
      <c r="P10" s="2731">
        <f>-'[5]P &amp; L - GI - 2013'!F572</f>
        <v>0</v>
      </c>
      <c r="Q10" s="2731">
        <f>-'[5]P &amp; L - GI - 2013'!F605</f>
        <v>0</v>
      </c>
      <c r="R10" s="2731">
        <f>-'[5]P &amp; L - GI - 2013'!F638</f>
        <v>-9.8000000000000004E-2</v>
      </c>
      <c r="S10" s="2731">
        <f>-'[5]P &amp; L - GI - 2013'!F671</f>
        <v>1593.29908</v>
      </c>
      <c r="T10" s="2731">
        <f>-'[5]P &amp; L - GI - 2013'!F704</f>
        <v>0</v>
      </c>
      <c r="U10" s="2731"/>
      <c r="V10" s="2731">
        <f>SUM(B10:U10)</f>
        <v>41021.316151694598</v>
      </c>
      <c r="W10" s="58"/>
      <c r="X10" s="58"/>
    </row>
    <row r="11" spans="1:24">
      <c r="A11" s="2504" t="s">
        <v>440</v>
      </c>
      <c r="B11" s="2734">
        <f>-'[5]P &amp; L - GI - 2013'!G44</f>
        <v>34931</v>
      </c>
      <c r="C11" s="2734">
        <f>-'[5]P &amp; L - GI - 2013'!G77</f>
        <v>113656.11</v>
      </c>
      <c r="D11" s="2735">
        <f>-'[5]P &amp; L - GI - 2013'!G143</f>
        <v>116334</v>
      </c>
      <c r="E11" s="2734">
        <f>-'[5]P &amp; L - GI - 2013'!G176</f>
        <v>32694.910319999999</v>
      </c>
      <c r="F11" s="2734">
        <f>-'[5]P &amp; L - GI - 2013'!G209</f>
        <v>340537.24858710868</v>
      </c>
      <c r="G11" s="2731">
        <f>-'[5]P &amp; L - GI - 2013'!G242</f>
        <v>103997.04106999999</v>
      </c>
      <c r="H11" s="2731">
        <f>-'[5]P &amp; L - GI - 2013'!G275</f>
        <v>381209</v>
      </c>
      <c r="I11" s="2731">
        <f>-'[5]P &amp; L - GI - 2013'!G308</f>
        <v>7152.4512300000006</v>
      </c>
      <c r="J11" s="2731"/>
      <c r="K11" s="2731">
        <f>-'[5]P &amp; L - GI - 2013'!G374</f>
        <v>68242.187819999992</v>
      </c>
      <c r="L11" s="2731">
        <f>-'[5]P &amp; L - GI - 2013'!G407</f>
        <v>182719.00043258999</v>
      </c>
      <c r="M11" s="2731">
        <f>-'[5]P &amp; L - GI - 2013'!G506</f>
        <v>9042.9609999999993</v>
      </c>
      <c r="N11" s="2731">
        <f>-'[5]P &amp; L - GI - 2013'!G539</f>
        <v>23909.909029999995</v>
      </c>
      <c r="O11" s="2731"/>
      <c r="P11" s="2731">
        <f>-'[5]P &amp; L - GI - 2013'!G572</f>
        <v>26273.20923</v>
      </c>
      <c r="Q11" s="2731">
        <f>-'[5]P &amp; L - GI - 2013'!G605</f>
        <v>964898.79269000003</v>
      </c>
      <c r="R11" s="2731">
        <f>-'[5]P &amp; L - GI - 2013'!G638</f>
        <v>54275.298059999994</v>
      </c>
      <c r="S11" s="2731">
        <f>-'[5]P &amp; L - GI - 2013'!G671</f>
        <v>136822.02947000001</v>
      </c>
      <c r="T11" s="2731">
        <f>-'[5]P &amp; L - GI - 2013'!G704</f>
        <v>36090.586557976101</v>
      </c>
      <c r="U11" s="2731"/>
      <c r="V11" s="2731">
        <f>SUM(B11:U11)</f>
        <v>2632785.7354976744</v>
      </c>
      <c r="W11" s="58"/>
      <c r="X11" s="58"/>
    </row>
    <row r="12" spans="1:24">
      <c r="A12" s="2736" t="s">
        <v>118</v>
      </c>
      <c r="B12" s="2737">
        <f>SUM(B7:B11)</f>
        <v>193560</v>
      </c>
      <c r="C12" s="2737">
        <f>SUM(C7:C11)</f>
        <v>717163.05999999994</v>
      </c>
      <c r="D12" s="2737">
        <f>SUM(D7:D11)</f>
        <v>450129</v>
      </c>
      <c r="E12" s="2737">
        <f>SUM(E7:E11)</f>
        <v>96557.727500000197</v>
      </c>
      <c r="F12" s="2737">
        <f>SUM(F7:F11)</f>
        <v>449150.76950641494</v>
      </c>
      <c r="G12" s="2737">
        <f t="shared" ref="G12:V12" si="0">SUM(G7:G11)</f>
        <v>355853.64163077634</v>
      </c>
      <c r="H12" s="2737">
        <f t="shared" si="0"/>
        <v>1103246</v>
      </c>
      <c r="I12" s="2737">
        <f t="shared" si="0"/>
        <v>49526.18879</v>
      </c>
      <c r="J12" s="2737">
        <f t="shared" si="0"/>
        <v>0</v>
      </c>
      <c r="K12" s="2737">
        <f t="shared" si="0"/>
        <v>328383.77750999999</v>
      </c>
      <c r="L12" s="2737">
        <f t="shared" si="0"/>
        <v>763007.00105475006</v>
      </c>
      <c r="M12" s="2737">
        <f t="shared" si="0"/>
        <v>119052.19861000001</v>
      </c>
      <c r="N12" s="2737">
        <f t="shared" si="0"/>
        <v>129549.29138999991</v>
      </c>
      <c r="O12" s="2737">
        <f t="shared" si="0"/>
        <v>0</v>
      </c>
      <c r="P12" s="2737">
        <f t="shared" si="0"/>
        <v>155886.64541999999</v>
      </c>
      <c r="Q12" s="2737">
        <f t="shared" si="0"/>
        <v>2747216.2222699998</v>
      </c>
      <c r="R12" s="2737">
        <f t="shared" si="0"/>
        <v>75894.409069999994</v>
      </c>
      <c r="S12" s="2737">
        <f t="shared" si="0"/>
        <v>981435.15867999988</v>
      </c>
      <c r="T12" s="2737">
        <f t="shared" si="0"/>
        <v>76869.593718034652</v>
      </c>
      <c r="U12" s="2737">
        <f t="shared" si="0"/>
        <v>0</v>
      </c>
      <c r="V12" s="2737">
        <f t="shared" si="0"/>
        <v>8792480.6851499751</v>
      </c>
      <c r="W12" s="375" t="e">
        <f>+#REF!</f>
        <v>#REF!</v>
      </c>
      <c r="X12" s="58" t="e">
        <f>+V12-W12</f>
        <v>#REF!</v>
      </c>
    </row>
    <row r="13" spans="1:24" s="186" customFormat="1">
      <c r="B13" s="186">
        <f>-'[5]P &amp; L - GI - 2013'!H44</f>
        <v>193560</v>
      </c>
      <c r="C13" s="186">
        <f>-'[5]P &amp; L - GI - 2013'!H77</f>
        <v>717163.05999999994</v>
      </c>
      <c r="D13" s="186">
        <f>-'[5]P &amp; L - GI - 2013'!H143</f>
        <v>450129</v>
      </c>
      <c r="E13" s="186">
        <f>-'[5]P &amp; L - GI - 2013'!H176</f>
        <v>96557.727500000197</v>
      </c>
      <c r="F13" s="186">
        <f>-'[5]P &amp; L - GI - 2013'!H209</f>
        <v>449150.76950641494</v>
      </c>
      <c r="G13" s="186">
        <f>-'[5]P &amp; L - GI - 2013'!H242</f>
        <v>355853.64163077634</v>
      </c>
      <c r="H13" s="186">
        <f>-'[5]P &amp; L - GI - 2013'!H275</f>
        <v>1103246</v>
      </c>
      <c r="I13" s="186">
        <f>-'[5]P &amp; L - GI - 2013'!H308</f>
        <v>49526.18879</v>
      </c>
      <c r="J13" s="186">
        <f>-'[5]P &amp; L - GI - 2013'!H341</f>
        <v>0</v>
      </c>
      <c r="K13" s="186">
        <f>-'[5]P &amp; L - GI - 2013'!H374</f>
        <v>328383.77750999999</v>
      </c>
      <c r="L13" s="186">
        <f>-'[5]P &amp; L - GI - 2013'!H407</f>
        <v>763007.00105475006</v>
      </c>
      <c r="M13" s="186">
        <f>-'[5]P &amp; L - GI - 2013'!H506</f>
        <v>119052.19861000001</v>
      </c>
      <c r="N13" s="186">
        <f>-'[5]P &amp; L - GI - 2013'!H539</f>
        <v>129549.29138999991</v>
      </c>
      <c r="O13" s="186">
        <f>-'[5]P &amp; L - GI - 2013'!H440</f>
        <v>0</v>
      </c>
      <c r="P13" s="186">
        <f>-'[5]P &amp; L - GI - 2013'!H572</f>
        <v>155886.64541999999</v>
      </c>
      <c r="Q13" s="186">
        <f>-'[5]P &amp; L - GI - 2013'!H605</f>
        <v>2747216.2222699998</v>
      </c>
      <c r="R13" s="186">
        <f>-'[5]P &amp; L - GI - 2013'!H638</f>
        <v>75894.409069999994</v>
      </c>
      <c r="S13" s="186">
        <f>-'[5]P &amp; L - GI - 2013'!H671</f>
        <v>981435.15867999988</v>
      </c>
      <c r="T13" s="186">
        <f>-'[5]P &amp; L - GI - 2013'!H704</f>
        <v>76869.593718034652</v>
      </c>
      <c r="U13" s="186">
        <f>-'[5]P &amp; L - GI - 2013'!H770</f>
        <v>0</v>
      </c>
      <c r="V13" s="186">
        <f>-'[5]P &amp; L - GI - 2013'!H10</f>
        <v>8792480.685149977</v>
      </c>
    </row>
    <row r="14" spans="1:24" s="186" customFormat="1">
      <c r="A14" s="193"/>
      <c r="B14" s="186">
        <f>+B12-B13</f>
        <v>0</v>
      </c>
      <c r="C14" s="186">
        <f>+C12-C13</f>
        <v>0</v>
      </c>
      <c r="D14" s="186">
        <f t="shared" ref="D14:V14" si="1">+D12-D13</f>
        <v>0</v>
      </c>
      <c r="E14" s="186">
        <f t="shared" si="1"/>
        <v>0</v>
      </c>
      <c r="F14" s="186">
        <f t="shared" si="1"/>
        <v>0</v>
      </c>
      <c r="G14" s="186">
        <f t="shared" si="1"/>
        <v>0</v>
      </c>
      <c r="H14" s="186">
        <f t="shared" si="1"/>
        <v>0</v>
      </c>
      <c r="I14" s="186">
        <f t="shared" si="1"/>
        <v>0</v>
      </c>
      <c r="J14" s="186">
        <f t="shared" si="1"/>
        <v>0</v>
      </c>
      <c r="K14" s="186">
        <f t="shared" si="1"/>
        <v>0</v>
      </c>
      <c r="L14" s="186">
        <f t="shared" si="1"/>
        <v>0</v>
      </c>
      <c r="M14" s="186">
        <f t="shared" si="1"/>
        <v>0</v>
      </c>
      <c r="N14" s="186">
        <f t="shared" si="1"/>
        <v>0</v>
      </c>
      <c r="O14" s="186">
        <f t="shared" si="1"/>
        <v>0</v>
      </c>
      <c r="P14" s="186">
        <f t="shared" si="1"/>
        <v>0</v>
      </c>
      <c r="Q14" s="186">
        <f t="shared" si="1"/>
        <v>0</v>
      </c>
      <c r="R14" s="186">
        <f t="shared" si="1"/>
        <v>0</v>
      </c>
      <c r="S14" s="186">
        <f t="shared" si="1"/>
        <v>0</v>
      </c>
      <c r="T14" s="186">
        <f t="shared" si="1"/>
        <v>0</v>
      </c>
      <c r="U14" s="186">
        <f t="shared" si="1"/>
        <v>0</v>
      </c>
      <c r="V14" s="186">
        <f t="shared" si="1"/>
        <v>0</v>
      </c>
    </row>
    <row r="15" spans="1:24" ht="15" customHeight="1">
      <c r="A15" s="2725" t="s">
        <v>764</v>
      </c>
      <c r="B15" s="3167"/>
      <c r="C15" s="3167"/>
      <c r="D15" s="3167"/>
      <c r="E15" s="3167"/>
      <c r="F15" s="2726"/>
    </row>
    <row r="16" spans="1:24">
      <c r="A16" s="3604" t="s">
        <v>730</v>
      </c>
      <c r="B16" s="373">
        <v>1</v>
      </c>
      <c r="C16" s="373">
        <v>2</v>
      </c>
      <c r="D16" s="373">
        <v>3</v>
      </c>
      <c r="E16" s="373">
        <v>4</v>
      </c>
      <c r="F16" s="373">
        <v>5</v>
      </c>
      <c r="G16" s="373">
        <v>6</v>
      </c>
      <c r="H16" s="373">
        <v>7</v>
      </c>
      <c r="I16" s="373">
        <v>8</v>
      </c>
      <c r="J16" s="373">
        <v>9</v>
      </c>
      <c r="K16" s="373">
        <v>10</v>
      </c>
      <c r="L16" s="373">
        <v>11</v>
      </c>
      <c r="M16" s="373">
        <v>12</v>
      </c>
      <c r="N16" s="373">
        <v>13</v>
      </c>
      <c r="O16" s="373">
        <v>14</v>
      </c>
      <c r="P16" s="373">
        <v>15</v>
      </c>
      <c r="Q16" s="373">
        <v>16</v>
      </c>
      <c r="R16" s="373">
        <v>17</v>
      </c>
      <c r="S16" s="373">
        <v>18</v>
      </c>
      <c r="T16" s="373">
        <v>19</v>
      </c>
      <c r="U16" s="373">
        <v>20</v>
      </c>
      <c r="V16" s="374"/>
    </row>
    <row r="17" spans="1:24">
      <c r="A17" s="3604"/>
      <c r="B17" s="2727" t="s">
        <v>177</v>
      </c>
      <c r="C17" s="2727" t="s">
        <v>179</v>
      </c>
      <c r="D17" s="2727" t="s">
        <v>181</v>
      </c>
      <c r="E17" s="2727" t="s">
        <v>182</v>
      </c>
      <c r="F17" s="2727" t="s">
        <v>183</v>
      </c>
      <c r="G17" s="2727" t="s">
        <v>184</v>
      </c>
      <c r="H17" s="2728" t="s">
        <v>185</v>
      </c>
      <c r="I17" s="2727" t="s">
        <v>186</v>
      </c>
      <c r="J17" s="2727" t="s">
        <v>187</v>
      </c>
      <c r="K17" s="2727" t="s">
        <v>188</v>
      </c>
      <c r="L17" s="2727" t="s">
        <v>189</v>
      </c>
      <c r="M17" s="2727" t="s">
        <v>191</v>
      </c>
      <c r="N17" s="2727" t="s">
        <v>192</v>
      </c>
      <c r="O17" s="2727" t="s">
        <v>702</v>
      </c>
      <c r="P17" s="2727" t="s">
        <v>194</v>
      </c>
      <c r="Q17" s="2727" t="s">
        <v>115</v>
      </c>
      <c r="R17" s="2727" t="s">
        <v>196</v>
      </c>
      <c r="S17" s="2727" t="s">
        <v>197</v>
      </c>
      <c r="T17" s="2727" t="s">
        <v>193</v>
      </c>
      <c r="U17" s="2727" t="s">
        <v>110</v>
      </c>
      <c r="V17" s="2730" t="s">
        <v>118</v>
      </c>
    </row>
    <row r="18" spans="1:24">
      <c r="A18" s="2504" t="s">
        <v>436</v>
      </c>
      <c r="B18" s="2731">
        <f>-'[5]P &amp; L - GI - 2012 '!C44</f>
        <v>101703.41316000003</v>
      </c>
      <c r="C18" s="2731">
        <f>-'[5]P &amp; L - GI - 2012 '!C77</f>
        <v>693130</v>
      </c>
      <c r="D18" s="2731">
        <f>-'[5]P &amp; L - GI - 2012 '!C143</f>
        <v>206999.32515999989</v>
      </c>
      <c r="E18" s="2731">
        <f>-'[5]P &amp; L - GI - 2012 '!C176</f>
        <v>50980.593999999997</v>
      </c>
      <c r="F18" s="2731">
        <f>-'[5]P &amp; L - GI - 2012 '!C209</f>
        <v>73385.81823332209</v>
      </c>
      <c r="G18" s="2731">
        <f>-'[5]P &amp; L - GI - 2012 '!C242</f>
        <v>387454.08399659401</v>
      </c>
      <c r="H18" s="2732">
        <f>-'[5]P &amp; L - GI - 2012 '!C275</f>
        <v>922379</v>
      </c>
      <c r="I18" s="2731">
        <f>-'[5]P &amp; L - GI - 2012 '!C308</f>
        <v>19020.007000000001</v>
      </c>
      <c r="J18" s="2731"/>
      <c r="K18" s="2731">
        <f>-'[5]P &amp; L - GI - 2012 '!C374</f>
        <v>192599.49713999999</v>
      </c>
      <c r="L18" s="2731">
        <f>-'[5]P &amp; L - GI - 2012 '!C407</f>
        <v>298219.90360000002</v>
      </c>
      <c r="M18" s="2731">
        <f>-'[5]P &amp; L - GI - 2012 '!C506</f>
        <v>38163.098480000001</v>
      </c>
      <c r="N18" s="2731">
        <f>-'[5]P &amp; L - GI - 2012 '!C539</f>
        <v>41313.064200000001</v>
      </c>
      <c r="O18" s="2731"/>
      <c r="P18" s="2731">
        <f>-'[5]P &amp; L - GI - 2012 '!C572</f>
        <v>87261</v>
      </c>
      <c r="Q18" s="2731">
        <f>-'[5]P &amp; L - GI - 2012 '!C605</f>
        <v>958922.61083999998</v>
      </c>
      <c r="R18" s="2731">
        <f>-'[5]P &amp; L - GI - 2012 '!C638</f>
        <v>15464.611050000001</v>
      </c>
      <c r="S18" s="2731">
        <f>-'[5]P &amp; L - GI - 2012 '!C671</f>
        <v>39653.54800999997</v>
      </c>
      <c r="T18" s="2731">
        <f>-'[5]P &amp; L - GI - 2012 '!C704</f>
        <v>14227.08568</v>
      </c>
      <c r="U18" s="2731"/>
      <c r="V18" s="2731">
        <f>SUM(B18:U18)</f>
        <v>4140876.6605499163</v>
      </c>
      <c r="W18" s="58"/>
      <c r="X18" s="58"/>
    </row>
    <row r="19" spans="1:24">
      <c r="A19" s="2504" t="s">
        <v>437</v>
      </c>
      <c r="B19" s="2731">
        <f>-'[5]P &amp; L - GI - 2012 '!D44</f>
        <v>34862.898209999999</v>
      </c>
      <c r="C19" s="2731">
        <f>-'[5]P &amp; L - GI - 2012 '!D77</f>
        <v>22289</v>
      </c>
      <c r="D19" s="2731">
        <f>-'[5]P &amp; L - GI - 2012 '!D143</f>
        <v>71755.733789999998</v>
      </c>
      <c r="E19" s="2731">
        <f>-'[5]P &amp; L - GI - 2012 '!D176</f>
        <v>21371.361000000001</v>
      </c>
      <c r="F19" s="2731">
        <f>-'[5]P &amp; L - GI - 2012 '!D209</f>
        <v>87367.785373185296</v>
      </c>
      <c r="G19" s="2731">
        <f>-'[5]P &amp; L - GI - 2012 '!D242</f>
        <v>11665.429084335199</v>
      </c>
      <c r="H19" s="2731">
        <f>-'[5]P &amp; L - GI - 2012 '!D275</f>
        <v>153961</v>
      </c>
      <c r="I19" s="2731">
        <f>-'[5]P &amp; L - GI - 2012 '!D308</f>
        <v>8783.5409999999993</v>
      </c>
      <c r="J19" s="2731"/>
      <c r="K19" s="2731">
        <f>-'[5]P &amp; L - GI - 2012 '!D374</f>
        <v>20228.175439999999</v>
      </c>
      <c r="L19" s="2731">
        <f>-'[5]P &amp; L - GI - 2012 '!D407</f>
        <v>82864.578379999992</v>
      </c>
      <c r="M19" s="2731">
        <f>-'[5]P &amp; L - GI - 2012 '!D506</f>
        <v>6673.3667599999999</v>
      </c>
      <c r="N19" s="2731">
        <f>-'[5]P &amp; L - GI - 2012 '!D539</f>
        <v>21860.237260000005</v>
      </c>
      <c r="O19" s="2731"/>
      <c r="P19" s="2731">
        <f>-'[5]P &amp; L - GI - 2012 '!D572</f>
        <v>4223</v>
      </c>
      <c r="Q19" s="2731">
        <f>-'[5]P &amp; L - GI - 2012 '!D605</f>
        <v>250523.91595</v>
      </c>
      <c r="R19" s="2731">
        <f>-'[5]P &amp; L - GI - 2012 '!D638</f>
        <v>0</v>
      </c>
      <c r="S19" s="2731">
        <f>-'[5]P &amp; L - GI - 2012 '!D671</f>
        <v>516678.03612</v>
      </c>
      <c r="T19" s="2731">
        <f>-'[5]P &amp; L - GI - 2012 '!D704</f>
        <v>11260.621660000001</v>
      </c>
      <c r="U19" s="2731"/>
      <c r="V19" s="2731">
        <f>SUM(B19:U19)</f>
        <v>1326368.6800275205</v>
      </c>
      <c r="W19" s="58"/>
      <c r="X19" s="58"/>
    </row>
    <row r="20" spans="1:24">
      <c r="A20" s="2504" t="s">
        <v>438</v>
      </c>
      <c r="B20" s="2734">
        <f>-'[5]P &amp; L - GI - 2012 '!E44</f>
        <v>21822.90625</v>
      </c>
      <c r="C20" s="2734">
        <f>-'[5]P &amp; L - GI - 2012 '!E77</f>
        <v>3679</v>
      </c>
      <c r="D20" s="2735">
        <f>-'[5]P &amp; L - GI - 2012 '!E143</f>
        <v>-1.8189894035458565E-12</v>
      </c>
      <c r="E20" s="2734">
        <f>-'[5]P &amp; L - GI - 2012 '!E176</f>
        <v>499.7489999999998</v>
      </c>
      <c r="F20" s="2734">
        <f>-'[5]P &amp; L - GI - 2012 '!E209</f>
        <v>1590.3</v>
      </c>
      <c r="G20" s="2731">
        <f>-'[5]P &amp; L - GI - 2012 '!E242</f>
        <v>10633.263659976299</v>
      </c>
      <c r="H20" s="2731">
        <f>-'[5]P &amp; L - GI - 2012 '!E275</f>
        <v>40523</v>
      </c>
      <c r="I20" s="2731">
        <f>-'[5]P &amp; L - GI - 2012 '!E308</f>
        <v>18143.343000000001</v>
      </c>
      <c r="J20" s="2731"/>
      <c r="K20" s="2731">
        <f>-'[5]P &amp; L - GI - 2012 '!E374</f>
        <v>43410.974920000001</v>
      </c>
      <c r="L20" s="2731">
        <f>-'[5]P &amp; L - GI - 2012 '!E407</f>
        <v>85867.619449999998</v>
      </c>
      <c r="M20" s="2731">
        <f>-'[5]P &amp; L - GI - 2012 '!E506</f>
        <v>35979.782979999996</v>
      </c>
      <c r="N20" s="2731">
        <f>-'[5]P &amp; L - GI - 2012 '!E539</f>
        <v>15997.283530000001</v>
      </c>
      <c r="O20" s="2731"/>
      <c r="P20" s="2731">
        <f>-'[5]P &amp; L - GI - 2012 '!E572</f>
        <v>38273</v>
      </c>
      <c r="Q20" s="2731">
        <f>-'[5]P &amp; L - GI - 2012 '!E605</f>
        <v>57267.41455999999</v>
      </c>
      <c r="R20" s="2731">
        <f>-'[5]P &amp; L - GI - 2012 '!E638</f>
        <v>6054.7959900000005</v>
      </c>
      <c r="S20" s="2731">
        <f>-'[5]P &amp; L - GI - 2012 '!E671</f>
        <v>97080.020380000002</v>
      </c>
      <c r="T20" s="2731">
        <f>-'[5]P &amp; L - GI - 2012 '!E704</f>
        <v>1655.70334924074</v>
      </c>
      <c r="U20" s="2731"/>
      <c r="V20" s="2731">
        <f>SUM(B20:U20)</f>
        <v>478478.15706921712</v>
      </c>
      <c r="W20" s="58"/>
      <c r="X20" s="58"/>
    </row>
    <row r="21" spans="1:24">
      <c r="A21" s="2504" t="s">
        <v>722</v>
      </c>
      <c r="B21" s="2734">
        <f>-'[5]P &amp; L - GI - 2012 '!F44</f>
        <v>325.90153000000009</v>
      </c>
      <c r="C21" s="2734">
        <f>-'[5]P &amp; L - GI - 2012 '!F77</f>
        <v>3</v>
      </c>
      <c r="D21" s="2735">
        <f>-'[5]P &amp; L - GI - 2012 '!F143</f>
        <v>3751</v>
      </c>
      <c r="E21" s="2734">
        <f>-'[5]P &amp; L - GI - 2012 '!F176</f>
        <v>73.019000000000005</v>
      </c>
      <c r="F21" s="2734">
        <f>-'[5]P &amp; L - GI - 2012 '!F209</f>
        <v>1836.5482099999999</v>
      </c>
      <c r="G21" s="2731">
        <f>-'[5]P &amp; L - GI - 2012 '!F242</f>
        <v>2065.4242089644599</v>
      </c>
      <c r="H21" s="2731">
        <f>-'[5]P &amp; L - GI - 2012 '!F275</f>
        <v>8301</v>
      </c>
      <c r="I21" s="2731">
        <f>-'[5]P &amp; L - GI - 2012 '!F308</f>
        <v>0</v>
      </c>
      <c r="J21" s="2731"/>
      <c r="K21" s="2731">
        <f>-'[5]P &amp; L - GI - 2012 '!F374</f>
        <v>41.6121499999999</v>
      </c>
      <c r="L21" s="2731">
        <f>-'[5]P &amp; L - GI - 2012 '!F407</f>
        <v>0</v>
      </c>
      <c r="M21" s="2731">
        <f>-'[5]P &amp; L - GI - 2012 '!F506</f>
        <v>0</v>
      </c>
      <c r="N21" s="2731">
        <f>-'[5]P &amp; L - GI - 2012 '!F539</f>
        <v>0</v>
      </c>
      <c r="O21" s="2731"/>
      <c r="P21" s="2731">
        <f>-'[5]P &amp; L - GI - 2012 '!F572</f>
        <v>0</v>
      </c>
      <c r="Q21" s="2731">
        <f>-'[5]P &amp; L - GI - 2012 '!F605</f>
        <v>0</v>
      </c>
      <c r="R21" s="2731">
        <f>-'[5]P &amp; L - GI - 2012 '!F638</f>
        <v>0</v>
      </c>
      <c r="S21" s="2731">
        <f>-'[5]P &amp; L - GI - 2012 '!F671</f>
        <v>-9575.8992400000006</v>
      </c>
      <c r="T21" s="2731">
        <f>-'[5]P &amp; L - GI - 2012 '!F704</f>
        <v>0</v>
      </c>
      <c r="U21" s="2731"/>
      <c r="V21" s="2731">
        <f>SUM(B21:U21)</f>
        <v>6821.6058589644581</v>
      </c>
      <c r="W21" s="58"/>
      <c r="X21" s="58"/>
    </row>
    <row r="22" spans="1:24">
      <c r="A22" s="2504" t="s">
        <v>440</v>
      </c>
      <c r="B22" s="2734">
        <f>-'[5]P &amp; L - GI - 2012 '!G44</f>
        <v>18722.87905</v>
      </c>
      <c r="C22" s="2734">
        <f>-'[5]P &amp; L - GI - 2012 '!G77</f>
        <v>152341</v>
      </c>
      <c r="D22" s="2735">
        <f>-'[5]P &amp; L - GI - 2012 '!G143</f>
        <v>55393.793419999987</v>
      </c>
      <c r="E22" s="2734">
        <f>-'[5]P &amp; L - GI - 2012 '!G176</f>
        <v>30581.596000000001</v>
      </c>
      <c r="F22" s="2734">
        <f>-'[5]P &amp; L - GI - 2012 '!G209</f>
        <v>239620.83364729298</v>
      </c>
      <c r="G22" s="2731">
        <f>-'[5]P &amp; L - GI - 2012 '!G242</f>
        <v>72704.405930149907</v>
      </c>
      <c r="H22" s="2731">
        <f>-'[5]P &amp; L - GI - 2012 '!G275</f>
        <v>461670</v>
      </c>
      <c r="I22" s="2731">
        <f>-'[5]P &amp; L - GI - 2012 '!G308</f>
        <v>7413.5469999999996</v>
      </c>
      <c r="J22" s="2731"/>
      <c r="K22" s="2731">
        <f>-'[5]P &amp; L - GI - 2012 '!G374</f>
        <v>59454.026790000004</v>
      </c>
      <c r="L22" s="2731">
        <f>-'[5]P &amp; L - GI - 2012 '!G407</f>
        <v>132038.28727</v>
      </c>
      <c r="M22" s="2731">
        <f>-'[5]P &amp; L - GI - 2012 '!G506</f>
        <v>12443.95076</v>
      </c>
      <c r="N22" s="2731">
        <f>-'[5]P &amp; L - GI - 2012 '!G539</f>
        <v>31281.065399999999</v>
      </c>
      <c r="O22" s="2731"/>
      <c r="P22" s="2731">
        <f>-'[5]P &amp; L - GI - 2012 '!G572</f>
        <v>27862</v>
      </c>
      <c r="Q22" s="2731">
        <f>-'[5]P &amp; L - GI - 2012 '!G605</f>
        <v>1281244.2587899999</v>
      </c>
      <c r="R22" s="2731">
        <f>-'[5]P &amp; L - GI - 2012 '!G638</f>
        <v>56894.567619999994</v>
      </c>
      <c r="S22" s="2731">
        <f>-'[5]P &amp; L - GI - 2012 '!G671</f>
        <v>78061.272200000007</v>
      </c>
      <c r="T22" s="2731">
        <f>-'[5]P &amp; L - GI - 2012 '!G704</f>
        <v>28078.0645880335</v>
      </c>
      <c r="U22" s="2731"/>
      <c r="V22" s="2731">
        <f>SUM(B22:U22)</f>
        <v>2745805.5484654759</v>
      </c>
      <c r="W22" s="58"/>
      <c r="X22" s="58"/>
    </row>
    <row r="23" spans="1:24">
      <c r="A23" s="2736" t="s">
        <v>118</v>
      </c>
      <c r="B23" s="2737">
        <f>SUM(B18:B22)</f>
        <v>177437.9982</v>
      </c>
      <c r="C23" s="2737">
        <f t="shared" ref="C23:V23" si="2">SUM(C18:C22)</f>
        <v>871442</v>
      </c>
      <c r="D23" s="2737">
        <f>SUM(D18:D22)</f>
        <v>337899.85236999986</v>
      </c>
      <c r="E23" s="2737">
        <f>SUM(E18:E22)</f>
        <v>103506.319</v>
      </c>
      <c r="F23" s="2737">
        <f>SUM(F18:F22)</f>
        <v>403801.28546380036</v>
      </c>
      <c r="G23" s="2737">
        <f t="shared" si="2"/>
        <v>484522.60688001988</v>
      </c>
      <c r="H23" s="2737">
        <f t="shared" si="2"/>
        <v>1586834</v>
      </c>
      <c r="I23" s="2737">
        <f t="shared" si="2"/>
        <v>53360.438000000002</v>
      </c>
      <c r="J23" s="2737">
        <f t="shared" si="2"/>
        <v>0</v>
      </c>
      <c r="K23" s="2737">
        <f t="shared" si="2"/>
        <v>315734.28644</v>
      </c>
      <c r="L23" s="2737">
        <f t="shared" si="2"/>
        <v>598990.38870000001</v>
      </c>
      <c r="M23" s="2737">
        <f t="shared" si="2"/>
        <v>93260.198979999986</v>
      </c>
      <c r="N23" s="2737">
        <f t="shared" si="2"/>
        <v>110451.65039</v>
      </c>
      <c r="O23" s="2737">
        <f t="shared" si="2"/>
        <v>0</v>
      </c>
      <c r="P23" s="2737">
        <f t="shared" si="2"/>
        <v>157619</v>
      </c>
      <c r="Q23" s="2737">
        <f t="shared" si="2"/>
        <v>2547958.2001399999</v>
      </c>
      <c r="R23" s="2737">
        <f t="shared" si="2"/>
        <v>78413.974659999993</v>
      </c>
      <c r="S23" s="2737">
        <f t="shared" si="2"/>
        <v>721896.97746999993</v>
      </c>
      <c r="T23" s="2737">
        <f t="shared" si="2"/>
        <v>55221.475277274236</v>
      </c>
      <c r="U23" s="2737">
        <f t="shared" si="2"/>
        <v>0</v>
      </c>
      <c r="V23" s="2737">
        <f t="shared" si="2"/>
        <v>8698350.6519710943</v>
      </c>
      <c r="W23" s="375" t="e">
        <f>+#REF!</f>
        <v>#REF!</v>
      </c>
      <c r="X23" s="58" t="e">
        <f>+V23-W23</f>
        <v>#REF!</v>
      </c>
    </row>
    <row r="24" spans="1:24" s="193" customFormat="1">
      <c r="A24" s="380"/>
      <c r="B24" s="377">
        <f>-'[5]P &amp; L - GI - 2012 '!H44</f>
        <v>177437.9982</v>
      </c>
      <c r="C24" s="377">
        <f>-'[5]P &amp; L - GI - 2012 '!H77</f>
        <v>871442</v>
      </c>
      <c r="D24" s="377">
        <f>-'[5]P &amp; L - GI - 2012 '!H143</f>
        <v>337899.85236999986</v>
      </c>
      <c r="E24" s="378">
        <f>-'[5]P &amp; L - GI - 2012 '!H176</f>
        <v>103506.319</v>
      </c>
      <c r="F24" s="378">
        <f>-'[5]P &amp; L - GI - 2012 '!H209</f>
        <v>403801.28546380036</v>
      </c>
      <c r="G24" s="193">
        <f>-'[5]P &amp; L - GI - 2012 '!H242</f>
        <v>484522.60688001988</v>
      </c>
      <c r="H24" s="193">
        <f>-'[5]P &amp; L - GI - 2012 '!H275</f>
        <v>1586834</v>
      </c>
      <c r="I24" s="193">
        <f>-'[5]P &amp; L - GI - 2012 '!H308</f>
        <v>53360.438000000002</v>
      </c>
      <c r="J24" s="193">
        <f>-'[5]P &amp; L - GI - 2012 '!H341</f>
        <v>0</v>
      </c>
      <c r="K24" s="193">
        <f>-'[5]P &amp; L - GI - 2012 '!H374</f>
        <v>315734.28644</v>
      </c>
      <c r="L24" s="193">
        <f>-'[5]P &amp; L - GI - 2012 '!H407</f>
        <v>598990.38870000001</v>
      </c>
      <c r="M24" s="193">
        <f>-'[5]P &amp; L - GI - 2012 '!H506</f>
        <v>93260.198979999986</v>
      </c>
      <c r="N24" s="193">
        <f>-'[5]P &amp; L - GI - 2012 '!H539</f>
        <v>110451.65039</v>
      </c>
      <c r="P24" s="193">
        <f>-'[5]P &amp; L - GI - 2012 '!H572</f>
        <v>157619</v>
      </c>
      <c r="Q24" s="193">
        <f>-'[5]P &amp; L - GI - 2012 '!H605</f>
        <v>2547958.2001399999</v>
      </c>
      <c r="R24" s="193">
        <f>-'[5]P &amp; L - GI - 2012 '!H638</f>
        <v>78413.974659999993</v>
      </c>
      <c r="S24" s="193">
        <f>-'[5]P &amp; L - GI - 2012 '!H671</f>
        <v>721896.97746999993</v>
      </c>
      <c r="T24" s="193">
        <f>-'[5]P &amp; L - GI - 2012 '!H704</f>
        <v>55221.475277274236</v>
      </c>
      <c r="V24" s="193">
        <f>-'[5]P &amp; L - GI - 2012 '!H10</f>
        <v>8698350.6519710943</v>
      </c>
    </row>
    <row r="25" spans="1:24" s="186" customFormat="1">
      <c r="B25" s="186">
        <f>+B23-B24</f>
        <v>0</v>
      </c>
      <c r="C25" s="186">
        <f t="shared" ref="C25:V25" si="3">+C23-C24</f>
        <v>0</v>
      </c>
      <c r="D25" s="186">
        <f t="shared" si="3"/>
        <v>0</v>
      </c>
      <c r="E25" s="186">
        <f t="shared" si="3"/>
        <v>0</v>
      </c>
      <c r="F25" s="186">
        <f t="shared" si="3"/>
        <v>0</v>
      </c>
      <c r="G25" s="186">
        <f>+G23-G24</f>
        <v>0</v>
      </c>
      <c r="H25" s="186">
        <f t="shared" si="3"/>
        <v>0</v>
      </c>
      <c r="I25" s="186">
        <f t="shared" si="3"/>
        <v>0</v>
      </c>
      <c r="J25" s="186">
        <f t="shared" si="3"/>
        <v>0</v>
      </c>
      <c r="K25" s="186">
        <f t="shared" si="3"/>
        <v>0</v>
      </c>
      <c r="L25" s="186">
        <f t="shared" si="3"/>
        <v>0</v>
      </c>
      <c r="M25" s="186">
        <f t="shared" si="3"/>
        <v>0</v>
      </c>
      <c r="N25" s="186">
        <f t="shared" si="3"/>
        <v>0</v>
      </c>
      <c r="O25" s="186">
        <f t="shared" si="3"/>
        <v>0</v>
      </c>
      <c r="P25" s="186">
        <f t="shared" si="3"/>
        <v>0</v>
      </c>
      <c r="Q25" s="186">
        <f t="shared" si="3"/>
        <v>0</v>
      </c>
      <c r="R25" s="186">
        <f t="shared" si="3"/>
        <v>0</v>
      </c>
      <c r="S25" s="186">
        <f t="shared" si="3"/>
        <v>0</v>
      </c>
      <c r="T25" s="186">
        <f t="shared" si="3"/>
        <v>0</v>
      </c>
      <c r="U25" s="186">
        <f t="shared" si="3"/>
        <v>0</v>
      </c>
      <c r="V25" s="186">
        <f t="shared" si="3"/>
        <v>0</v>
      </c>
    </row>
    <row r="26" spans="1:24" s="186" customFormat="1"/>
    <row r="27" spans="1:24" s="186" customFormat="1">
      <c r="A27" s="186" t="s">
        <v>765</v>
      </c>
    </row>
    <row r="28" spans="1:24" s="186" customFormat="1">
      <c r="A28" s="2782" t="s">
        <v>730</v>
      </c>
      <c r="B28" s="2782">
        <v>1</v>
      </c>
      <c r="C28" s="2782">
        <v>2</v>
      </c>
      <c r="D28" s="2782">
        <v>3</v>
      </c>
      <c r="E28" s="2782">
        <v>4</v>
      </c>
      <c r="F28" s="2782">
        <v>5</v>
      </c>
      <c r="G28" s="2782">
        <v>6</v>
      </c>
      <c r="H28" s="2782">
        <v>7</v>
      </c>
      <c r="I28" s="2782">
        <v>8</v>
      </c>
      <c r="J28" s="2782">
        <v>9</v>
      </c>
      <c r="K28" s="2782">
        <v>10</v>
      </c>
      <c r="L28" s="2782">
        <v>11</v>
      </c>
      <c r="M28" s="2782">
        <v>12</v>
      </c>
      <c r="N28" s="2782">
        <v>13</v>
      </c>
      <c r="O28" s="2782">
        <v>14</v>
      </c>
      <c r="P28" s="2782">
        <v>15</v>
      </c>
      <c r="Q28" s="2782">
        <v>16</v>
      </c>
      <c r="R28" s="2782">
        <v>17</v>
      </c>
      <c r="S28" s="2782">
        <v>18</v>
      </c>
      <c r="T28" s="2782">
        <v>19</v>
      </c>
      <c r="U28" s="2782">
        <v>20</v>
      </c>
      <c r="V28" s="2782"/>
    </row>
    <row r="29" spans="1:24" s="186" customFormat="1">
      <c r="A29" s="2782"/>
      <c r="B29" s="2782" t="s">
        <v>177</v>
      </c>
      <c r="C29" s="2782" t="s">
        <v>179</v>
      </c>
      <c r="D29" s="2782" t="s">
        <v>181</v>
      </c>
      <c r="E29" s="2782" t="s">
        <v>182</v>
      </c>
      <c r="F29" s="2782" t="s">
        <v>183</v>
      </c>
      <c r="G29" s="2782" t="s">
        <v>184</v>
      </c>
      <c r="H29" s="2782" t="s">
        <v>185</v>
      </c>
      <c r="I29" s="2782" t="s">
        <v>186</v>
      </c>
      <c r="J29" s="2782" t="s">
        <v>187</v>
      </c>
      <c r="K29" s="2782" t="s">
        <v>188</v>
      </c>
      <c r="L29" s="2782" t="s">
        <v>189</v>
      </c>
      <c r="M29" s="2782" t="s">
        <v>191</v>
      </c>
      <c r="N29" s="2782" t="s">
        <v>192</v>
      </c>
      <c r="O29" s="2782" t="s">
        <v>702</v>
      </c>
      <c r="P29" s="2782" t="s">
        <v>194</v>
      </c>
      <c r="Q29" s="2782" t="s">
        <v>115</v>
      </c>
      <c r="R29" s="2782" t="s">
        <v>196</v>
      </c>
      <c r="S29" s="2782" t="s">
        <v>197</v>
      </c>
      <c r="T29" s="2782" t="s">
        <v>193</v>
      </c>
      <c r="U29" s="2782" t="s">
        <v>110</v>
      </c>
      <c r="V29" s="2782" t="s">
        <v>118</v>
      </c>
    </row>
    <row r="30" spans="1:24" s="186" customFormat="1">
      <c r="A30" s="2782" t="s">
        <v>436</v>
      </c>
      <c r="B30" s="2782">
        <v>54506.029209999993</v>
      </c>
      <c r="C30" s="2782">
        <v>588818</v>
      </c>
      <c r="D30" s="2782">
        <v>149559.23387000005</v>
      </c>
      <c r="E30" s="2782">
        <v>39208.227999999996</v>
      </c>
      <c r="F30" s="2782">
        <v>103607.59681</v>
      </c>
      <c r="G30" s="2782">
        <v>164462.350752061</v>
      </c>
      <c r="H30" s="2782">
        <v>807067</v>
      </c>
      <c r="I30" s="2782">
        <v>16297.667609999999</v>
      </c>
      <c r="J30" s="2782"/>
      <c r="K30" s="2782">
        <v>208036.72594999999</v>
      </c>
      <c r="L30" s="2782">
        <v>284428.36534229998</v>
      </c>
      <c r="M30" s="2782">
        <v>0</v>
      </c>
      <c r="N30" s="2782">
        <v>42490.38149</v>
      </c>
      <c r="O30" s="2782"/>
      <c r="P30" s="2782">
        <v>72549</v>
      </c>
      <c r="Q30" s="2782">
        <v>1203942.1456100002</v>
      </c>
      <c r="R30" s="2782">
        <v>12143</v>
      </c>
      <c r="S30" s="2782">
        <v>342970.57814</v>
      </c>
      <c r="T30" s="2782">
        <v>49.990560000000002</v>
      </c>
      <c r="U30" s="2782"/>
      <c r="V30" s="2782">
        <v>4090136.2933443608</v>
      </c>
    </row>
    <row r="31" spans="1:24" s="186" customFormat="1">
      <c r="A31" s="2782" t="s">
        <v>437</v>
      </c>
      <c r="B31" s="2782">
        <v>27890.197440000004</v>
      </c>
      <c r="C31" s="2782">
        <v>21947</v>
      </c>
      <c r="D31" s="2782">
        <v>55260.55068</v>
      </c>
      <c r="E31" s="2782">
        <v>19183.787</v>
      </c>
      <c r="F31" s="2782">
        <v>3682</v>
      </c>
      <c r="G31" s="2782">
        <v>7630.0935519967998</v>
      </c>
      <c r="H31" s="2782">
        <v>114505</v>
      </c>
      <c r="I31" s="2782">
        <v>8106.4849400000003</v>
      </c>
      <c r="J31" s="2782"/>
      <c r="K31" s="2782">
        <v>20181.906709999999</v>
      </c>
      <c r="L31" s="2782">
        <v>57352.552060000002</v>
      </c>
      <c r="M31" s="2782">
        <v>0</v>
      </c>
      <c r="N31" s="2782">
        <v>1774.3814899999998</v>
      </c>
      <c r="O31" s="2782"/>
      <c r="P31" s="2782">
        <v>3773</v>
      </c>
      <c r="Q31" s="2782">
        <v>313370.42121999996</v>
      </c>
      <c r="R31" s="2782">
        <v>0</v>
      </c>
      <c r="S31" s="2782">
        <v>192567.65934999997</v>
      </c>
      <c r="T31" s="2782">
        <v>166.875</v>
      </c>
      <c r="U31" s="2782"/>
      <c r="V31" s="2782">
        <v>847391.90944199672</v>
      </c>
    </row>
    <row r="32" spans="1:24" s="186" customFormat="1">
      <c r="A32" s="2782" t="s">
        <v>438</v>
      </c>
      <c r="B32" s="2782">
        <v>17865.76772</v>
      </c>
      <c r="C32" s="2782">
        <v>4641</v>
      </c>
      <c r="D32" s="2782">
        <v>0.49908000000141328</v>
      </c>
      <c r="E32" s="2782">
        <v>0.77700000000186265</v>
      </c>
      <c r="F32" s="2782">
        <v>1344.3832199999999</v>
      </c>
      <c r="G32" s="2782">
        <v>9449.6262563711898</v>
      </c>
      <c r="H32" s="2782">
        <v>87868</v>
      </c>
      <c r="I32" s="2782">
        <v>12417.44152</v>
      </c>
      <c r="J32" s="2782"/>
      <c r="K32" s="2782">
        <v>32567.107329999999</v>
      </c>
      <c r="L32" s="2782">
        <v>83286</v>
      </c>
      <c r="M32" s="2782">
        <v>13771.244939999999</v>
      </c>
      <c r="N32" s="2782">
        <v>6731.3814899999998</v>
      </c>
      <c r="O32" s="2782"/>
      <c r="P32" s="2782">
        <v>24990</v>
      </c>
      <c r="Q32" s="2782">
        <v>17161.277359999993</v>
      </c>
      <c r="R32" s="2782">
        <v>4653</v>
      </c>
      <c r="S32" s="2782">
        <v>70463.28069</v>
      </c>
      <c r="T32" s="2782">
        <v>0</v>
      </c>
      <c r="U32" s="2782"/>
      <c r="V32" s="2782">
        <v>387210.78660637117</v>
      </c>
    </row>
    <row r="33" spans="1:24" s="186" customFormat="1">
      <c r="A33" s="2782" t="s">
        <v>722</v>
      </c>
      <c r="B33" s="2782">
        <v>1557</v>
      </c>
      <c r="C33" s="2782">
        <v>0</v>
      </c>
      <c r="D33" s="2782">
        <v>2306</v>
      </c>
      <c r="E33" s="2782">
        <v>80</v>
      </c>
      <c r="F33" s="2782">
        <v>1970</v>
      </c>
      <c r="G33" s="2782">
        <v>2611.3111503653799</v>
      </c>
      <c r="H33" s="2782">
        <v>13620</v>
      </c>
      <c r="I33" s="2782">
        <v>0</v>
      </c>
      <c r="J33" s="2782"/>
      <c r="K33" s="2782">
        <v>81.653729999999996</v>
      </c>
      <c r="L33" s="2782">
        <v>0</v>
      </c>
      <c r="M33" s="2782">
        <v>0</v>
      </c>
      <c r="N33" s="2782">
        <v>0</v>
      </c>
      <c r="O33" s="2782"/>
      <c r="P33" s="2782">
        <v>0</v>
      </c>
      <c r="Q33" s="2782">
        <v>6208.5921399999997</v>
      </c>
      <c r="R33" s="2782">
        <v>0</v>
      </c>
      <c r="S33" s="2782">
        <v>1664.5118700000003</v>
      </c>
      <c r="T33" s="2782">
        <v>0</v>
      </c>
      <c r="U33" s="2782"/>
      <c r="V33" s="2782">
        <v>30099.068890365379</v>
      </c>
    </row>
    <row r="34" spans="1:24" s="186" customFormat="1">
      <c r="A34" s="2782" t="s">
        <v>440</v>
      </c>
      <c r="B34" s="2782">
        <v>19032.56294</v>
      </c>
      <c r="C34" s="2782">
        <v>343619</v>
      </c>
      <c r="D34" s="2782">
        <v>34250.334060000008</v>
      </c>
      <c r="E34" s="2782">
        <v>20779.353999999999</v>
      </c>
      <c r="F34" s="2782">
        <v>425317.66269999999</v>
      </c>
      <c r="G34" s="2782">
        <v>71799.099139824495</v>
      </c>
      <c r="H34" s="2782">
        <v>329990</v>
      </c>
      <c r="I34" s="2782">
        <v>4251.1868400000003</v>
      </c>
      <c r="J34" s="2782"/>
      <c r="K34" s="2782">
        <v>58743.803409999993</v>
      </c>
      <c r="L34" s="2782">
        <v>99213.870057700013</v>
      </c>
      <c r="M34" s="2782">
        <v>0</v>
      </c>
      <c r="N34" s="2782">
        <v>92786.465289999993</v>
      </c>
      <c r="O34" s="2782"/>
      <c r="P34" s="2782">
        <v>11280</v>
      </c>
      <c r="Q34" s="2782">
        <v>646085.77156000002</v>
      </c>
      <c r="R34" s="2782">
        <v>49726</v>
      </c>
      <c r="S34" s="2782">
        <v>65967.651260000013</v>
      </c>
      <c r="T34" s="2782">
        <v>0</v>
      </c>
      <c r="U34" s="2782"/>
      <c r="V34" s="2782">
        <v>2272842.7612575246</v>
      </c>
    </row>
    <row r="35" spans="1:24" s="186" customFormat="1">
      <c r="A35" s="2782" t="s">
        <v>118</v>
      </c>
      <c r="B35" s="2782">
        <v>120851.55731</v>
      </c>
      <c r="C35" s="2782">
        <v>959025</v>
      </c>
      <c r="D35" s="2782">
        <v>241376.61769000004</v>
      </c>
      <c r="E35" s="2782">
        <v>79252.146000000008</v>
      </c>
      <c r="F35" s="2782">
        <v>535921.64272999996</v>
      </c>
      <c r="G35" s="2782">
        <v>255952.48085061886</v>
      </c>
      <c r="H35" s="2782">
        <v>1353050</v>
      </c>
      <c r="I35" s="2782">
        <v>41072.780910000001</v>
      </c>
      <c r="J35" s="2782">
        <v>0</v>
      </c>
      <c r="K35" s="2782">
        <v>319611.19712999999</v>
      </c>
      <c r="L35" s="2782">
        <v>524280.78746000002</v>
      </c>
      <c r="M35" s="2782">
        <v>13771.244939999999</v>
      </c>
      <c r="N35" s="2782">
        <v>143782.60975999999</v>
      </c>
      <c r="O35" s="2782">
        <v>0</v>
      </c>
      <c r="P35" s="2782">
        <v>112592</v>
      </c>
      <c r="Q35" s="2782">
        <v>2186768.2078900002</v>
      </c>
      <c r="R35" s="2782">
        <v>66522</v>
      </c>
      <c r="S35" s="2782">
        <v>673633.68131000013</v>
      </c>
      <c r="T35" s="2782">
        <v>216.86556000000002</v>
      </c>
      <c r="U35" s="2782">
        <v>0</v>
      </c>
      <c r="V35" s="2782">
        <v>7627680.8195406189</v>
      </c>
      <c r="W35" s="186">
        <v>7627680.819540618</v>
      </c>
      <c r="X35" s="186">
        <v>0</v>
      </c>
    </row>
    <row r="36" spans="1:24" s="186" customFormat="1">
      <c r="A36" s="2782"/>
      <c r="B36" s="2782">
        <v>120851.55731</v>
      </c>
      <c r="C36" s="2782">
        <v>959025</v>
      </c>
      <c r="D36" s="2782">
        <v>241376.61769000004</v>
      </c>
      <c r="E36" s="2782">
        <v>79252.146000000008</v>
      </c>
      <c r="F36" s="2782">
        <v>535921.64272999996</v>
      </c>
      <c r="G36" s="2782">
        <v>255952.48085061886</v>
      </c>
      <c r="H36" s="2782">
        <v>1353050</v>
      </c>
      <c r="I36" s="2782">
        <v>41072.780910000001</v>
      </c>
      <c r="J36" s="2782">
        <v>0</v>
      </c>
      <c r="K36" s="2782">
        <v>319611.19712999999</v>
      </c>
      <c r="L36" s="2782">
        <v>524280.78746000002</v>
      </c>
      <c r="M36" s="2782">
        <v>13771.244939999999</v>
      </c>
      <c r="N36" s="2782">
        <v>143782.60975999999</v>
      </c>
      <c r="O36" s="2782"/>
      <c r="P36" s="2782">
        <v>112592</v>
      </c>
      <c r="Q36" s="2782">
        <v>2186768.2078900002</v>
      </c>
      <c r="R36" s="2782">
        <v>66522</v>
      </c>
      <c r="S36" s="2782">
        <v>673633.68131000013</v>
      </c>
      <c r="T36" s="2782">
        <v>216.86556000000002</v>
      </c>
      <c r="U36" s="2782"/>
      <c r="V36" s="2782">
        <v>7627680.8195406189</v>
      </c>
    </row>
    <row r="37" spans="1:24" s="186" customFormat="1">
      <c r="B37" s="186">
        <v>0</v>
      </c>
      <c r="C37" s="186">
        <v>0</v>
      </c>
      <c r="D37" s="186">
        <v>0</v>
      </c>
      <c r="E37" s="186">
        <v>0</v>
      </c>
      <c r="F37" s="186">
        <v>0</v>
      </c>
      <c r="G37" s="186">
        <v>0</v>
      </c>
      <c r="H37" s="186">
        <v>0</v>
      </c>
      <c r="I37" s="186">
        <v>0</v>
      </c>
      <c r="J37" s="186">
        <v>0</v>
      </c>
      <c r="K37" s="186">
        <v>0</v>
      </c>
      <c r="L37" s="186">
        <v>0</v>
      </c>
      <c r="M37" s="186">
        <v>0</v>
      </c>
      <c r="N37" s="186">
        <v>0</v>
      </c>
      <c r="O37" s="186">
        <v>0</v>
      </c>
      <c r="P37" s="186">
        <v>0</v>
      </c>
      <c r="Q37" s="186">
        <v>0</v>
      </c>
      <c r="R37" s="186">
        <v>0</v>
      </c>
      <c r="S37" s="186">
        <v>0</v>
      </c>
      <c r="T37" s="186">
        <v>0</v>
      </c>
      <c r="U37" s="186">
        <v>0</v>
      </c>
      <c r="V37" s="186">
        <v>0</v>
      </c>
    </row>
    <row r="38" spans="1:24" s="186" customFormat="1"/>
    <row r="39" spans="1:24">
      <c r="A39" s="2725" t="s">
        <v>766</v>
      </c>
      <c r="B39" s="3168"/>
      <c r="C39" s="3168"/>
      <c r="D39" s="3168"/>
      <c r="E39" s="3168"/>
      <c r="F39" s="2738"/>
    </row>
    <row r="40" spans="1:24">
      <c r="A40" s="3604" t="s">
        <v>730</v>
      </c>
      <c r="B40" s="373">
        <v>1</v>
      </c>
      <c r="C40" s="373">
        <v>2</v>
      </c>
      <c r="D40" s="373">
        <v>3</v>
      </c>
      <c r="E40" s="373">
        <v>4</v>
      </c>
      <c r="F40" s="373">
        <v>5</v>
      </c>
      <c r="G40" s="373">
        <v>6</v>
      </c>
      <c r="H40" s="373">
        <v>7</v>
      </c>
      <c r="I40" s="373">
        <v>8</v>
      </c>
      <c r="J40" s="373">
        <v>9</v>
      </c>
      <c r="K40" s="373">
        <v>10</v>
      </c>
      <c r="L40" s="373">
        <v>11</v>
      </c>
      <c r="M40" s="373">
        <v>12</v>
      </c>
      <c r="N40" s="373">
        <v>13</v>
      </c>
      <c r="O40" s="373">
        <v>14</v>
      </c>
      <c r="P40" s="373">
        <v>15</v>
      </c>
      <c r="Q40" s="373">
        <v>16</v>
      </c>
      <c r="R40" s="373">
        <v>17</v>
      </c>
      <c r="S40" s="373">
        <v>18</v>
      </c>
      <c r="T40" s="373">
        <v>19</v>
      </c>
      <c r="U40" s="373">
        <v>20</v>
      </c>
      <c r="V40" s="374"/>
    </row>
    <row r="41" spans="1:24">
      <c r="A41" s="3604"/>
      <c r="B41" s="2727" t="s">
        <v>177</v>
      </c>
      <c r="C41" s="2727" t="s">
        <v>179</v>
      </c>
      <c r="D41" s="2727" t="s">
        <v>181</v>
      </c>
      <c r="E41" s="2727" t="s">
        <v>182</v>
      </c>
      <c r="F41" s="2727" t="s">
        <v>183</v>
      </c>
      <c r="G41" s="2727" t="s">
        <v>184</v>
      </c>
      <c r="H41" s="2728" t="s">
        <v>185</v>
      </c>
      <c r="I41" s="2727" t="s">
        <v>186</v>
      </c>
      <c r="J41" s="2727" t="s">
        <v>187</v>
      </c>
      <c r="K41" s="2727" t="s">
        <v>188</v>
      </c>
      <c r="L41" s="2727" t="s">
        <v>189</v>
      </c>
      <c r="M41" s="2727" t="s">
        <v>191</v>
      </c>
      <c r="N41" s="2727" t="s">
        <v>192</v>
      </c>
      <c r="O41" s="2727" t="s">
        <v>702</v>
      </c>
      <c r="P41" s="2727" t="s">
        <v>194</v>
      </c>
      <c r="Q41" s="2727" t="s">
        <v>115</v>
      </c>
      <c r="R41" s="2727" t="s">
        <v>196</v>
      </c>
      <c r="S41" s="2727" t="s">
        <v>197</v>
      </c>
      <c r="T41" s="2727" t="s">
        <v>193</v>
      </c>
      <c r="U41" s="2727" t="s">
        <v>110</v>
      </c>
      <c r="V41" s="2730" t="s">
        <v>118</v>
      </c>
    </row>
    <row r="42" spans="1:24">
      <c r="A42" s="2504" t="s">
        <v>436</v>
      </c>
      <c r="B42" s="2731">
        <v>49113</v>
      </c>
      <c r="C42" s="2731">
        <v>876339</v>
      </c>
      <c r="D42" s="2731">
        <v>456692.80641999998</v>
      </c>
      <c r="E42" s="2731">
        <v>74963</v>
      </c>
      <c r="F42" s="2731">
        <v>123377</v>
      </c>
      <c r="G42" s="2731">
        <v>142204</v>
      </c>
      <c r="H42" s="2732">
        <v>702958</v>
      </c>
      <c r="I42" s="2731">
        <v>10043.938</v>
      </c>
      <c r="J42" s="2731"/>
      <c r="K42" s="2731">
        <v>177352</v>
      </c>
      <c r="L42" s="2731">
        <v>212683.34136999</v>
      </c>
      <c r="M42" s="2731"/>
      <c r="N42" s="2731">
        <v>8922.7250600000007</v>
      </c>
      <c r="O42" s="2731"/>
      <c r="P42" s="2731">
        <v>127207</v>
      </c>
      <c r="Q42" s="2731">
        <v>911518</v>
      </c>
      <c r="R42" s="2731">
        <v>8404</v>
      </c>
      <c r="S42" s="2731">
        <v>351457.89457999996</v>
      </c>
      <c r="T42" s="2731"/>
      <c r="U42" s="2731"/>
      <c r="V42" s="2731">
        <f>SUM(B42:U42)</f>
        <v>4233235.7054299898</v>
      </c>
    </row>
    <row r="43" spans="1:24">
      <c r="A43" s="2504" t="s">
        <v>437</v>
      </c>
      <c r="B43" s="2731">
        <v>21325</v>
      </c>
      <c r="C43" s="2731">
        <v>11714</v>
      </c>
      <c r="D43" s="2731">
        <v>78293.02612000001</v>
      </c>
      <c r="E43" s="2731">
        <v>58307</v>
      </c>
      <c r="F43" s="2731">
        <v>2904</v>
      </c>
      <c r="G43" s="2731">
        <v>4304.34</v>
      </c>
      <c r="H43" s="2731">
        <v>111570</v>
      </c>
      <c r="I43" s="2731">
        <v>8216.9590000000007</v>
      </c>
      <c r="J43" s="2731"/>
      <c r="K43" s="2731">
        <v>18160</v>
      </c>
      <c r="L43" s="2731">
        <v>56230.392950000001</v>
      </c>
      <c r="M43" s="2731"/>
      <c r="N43" s="2731">
        <v>10646.739439999999</v>
      </c>
      <c r="O43" s="2731"/>
      <c r="P43" s="2731">
        <v>3439</v>
      </c>
      <c r="Q43" s="2731">
        <v>261551</v>
      </c>
      <c r="R43" s="2731">
        <v>0</v>
      </c>
      <c r="S43" s="2731">
        <v>167003.65231999996</v>
      </c>
      <c r="T43" s="2731"/>
      <c r="U43" s="2731"/>
      <c r="V43" s="2731">
        <f>SUM(B43:U43)</f>
        <v>813665.10982999997</v>
      </c>
    </row>
    <row r="44" spans="1:24">
      <c r="A44" s="2504" t="s">
        <v>438</v>
      </c>
      <c r="B44" s="2734">
        <v>34419</v>
      </c>
      <c r="C44" s="2734">
        <v>4117</v>
      </c>
      <c r="D44" s="2735">
        <v>47141.208510000026</v>
      </c>
      <c r="E44" s="2734">
        <v>9682.4</v>
      </c>
      <c r="F44" s="2734">
        <v>0</v>
      </c>
      <c r="G44" s="2731">
        <v>10634.916000000001</v>
      </c>
      <c r="H44" s="2731">
        <v>29986</v>
      </c>
      <c r="I44" s="2731">
        <v>9085.9629999999997</v>
      </c>
      <c r="J44" s="2731"/>
      <c r="K44" s="2731">
        <v>30567</v>
      </c>
      <c r="L44" s="2731">
        <v>28776</v>
      </c>
      <c r="M44" s="2731"/>
      <c r="N44" s="2731">
        <v>10794.82027</v>
      </c>
      <c r="O44" s="2731"/>
      <c r="P44" s="2731">
        <v>21542</v>
      </c>
      <c r="Q44" s="2731">
        <v>6953</v>
      </c>
      <c r="R44" s="2731">
        <v>4840</v>
      </c>
      <c r="S44" s="2731">
        <v>68054.211299999995</v>
      </c>
      <c r="T44" s="2731"/>
      <c r="U44" s="2731"/>
      <c r="V44" s="2731">
        <f>SUM(B44:U44)</f>
        <v>316593.51908</v>
      </c>
    </row>
    <row r="45" spans="1:24">
      <c r="A45" s="2504" t="s">
        <v>722</v>
      </c>
      <c r="B45" s="2734">
        <v>0</v>
      </c>
      <c r="C45" s="2734">
        <v>326</v>
      </c>
      <c r="D45" s="2735">
        <v>4351</v>
      </c>
      <c r="E45" s="2734">
        <v>19.600000000000001</v>
      </c>
      <c r="F45" s="2734">
        <v>1352</v>
      </c>
      <c r="G45" s="2731">
        <v>0</v>
      </c>
      <c r="H45" s="2731">
        <v>8723</v>
      </c>
      <c r="I45" s="2731">
        <v>0</v>
      </c>
      <c r="J45" s="2731"/>
      <c r="K45" s="2731">
        <v>103</v>
      </c>
      <c r="L45" s="2731">
        <v>0</v>
      </c>
      <c r="M45" s="2731"/>
      <c r="N45" s="2731">
        <v>0</v>
      </c>
      <c r="O45" s="2731"/>
      <c r="P45" s="2731">
        <v>0</v>
      </c>
      <c r="Q45" s="2731">
        <v>0</v>
      </c>
      <c r="R45" s="2731">
        <v>0</v>
      </c>
      <c r="S45" s="2731">
        <v>1169.4492399999999</v>
      </c>
      <c r="T45" s="2731"/>
      <c r="U45" s="2731"/>
      <c r="V45" s="2731">
        <f>SUM(B45:U45)</f>
        <v>16044.04924</v>
      </c>
    </row>
    <row r="46" spans="1:24">
      <c r="A46" s="2504" t="s">
        <v>440</v>
      </c>
      <c r="B46" s="2734">
        <v>10193</v>
      </c>
      <c r="C46" s="2734">
        <v>158320</v>
      </c>
      <c r="D46" s="2735">
        <v>155572.15371999994</v>
      </c>
      <c r="E46" s="2734">
        <v>30865.1</v>
      </c>
      <c r="F46" s="2734">
        <v>301673</v>
      </c>
      <c r="G46" s="2731">
        <v>41157.843999999997</v>
      </c>
      <c r="H46" s="2731">
        <v>313148</v>
      </c>
      <c r="I46" s="2731">
        <v>7633.9679999999998</v>
      </c>
      <c r="J46" s="2731"/>
      <c r="K46" s="2731">
        <v>35569</v>
      </c>
      <c r="L46" s="2731">
        <v>108057.75382001001</v>
      </c>
      <c r="M46" s="2731"/>
      <c r="N46" s="2731">
        <v>68698.090129999997</v>
      </c>
      <c r="O46" s="2731"/>
      <c r="P46" s="2731">
        <v>20073</v>
      </c>
      <c r="Q46" s="2731">
        <v>618756</v>
      </c>
      <c r="R46" s="2731">
        <v>28397</v>
      </c>
      <c r="S46" s="2731">
        <v>105872.67420000002</v>
      </c>
      <c r="T46" s="2731"/>
      <c r="U46" s="2731"/>
      <c r="V46" s="2731">
        <f>SUM(B46:U46)</f>
        <v>2003986.5838700098</v>
      </c>
    </row>
    <row r="47" spans="1:24">
      <c r="A47" s="2736" t="s">
        <v>118</v>
      </c>
      <c r="B47" s="2737">
        <f>SUM(B42:B46)</f>
        <v>115050</v>
      </c>
      <c r="C47" s="2737">
        <f t="shared" ref="C47:V47" si="4">SUM(C42:C46)</f>
        <v>1050816</v>
      </c>
      <c r="D47" s="2737">
        <f>SUM(D42:D46)</f>
        <v>742050.19476999994</v>
      </c>
      <c r="E47" s="2737">
        <f t="shared" si="4"/>
        <v>173837.1</v>
      </c>
      <c r="F47" s="2737">
        <f t="shared" si="4"/>
        <v>429306</v>
      </c>
      <c r="G47" s="2737">
        <f t="shared" si="4"/>
        <v>198301.09999999998</v>
      </c>
      <c r="H47" s="2737">
        <f t="shared" si="4"/>
        <v>1166385</v>
      </c>
      <c r="I47" s="2737">
        <f t="shared" si="4"/>
        <v>34980.828000000001</v>
      </c>
      <c r="J47" s="2737">
        <f t="shared" si="4"/>
        <v>0</v>
      </c>
      <c r="K47" s="2737">
        <f t="shared" si="4"/>
        <v>261751</v>
      </c>
      <c r="L47" s="2737">
        <f t="shared" si="4"/>
        <v>405747.48813999997</v>
      </c>
      <c r="M47" s="2737">
        <f t="shared" si="4"/>
        <v>0</v>
      </c>
      <c r="N47" s="2737">
        <f t="shared" si="4"/>
        <v>99062.374899999995</v>
      </c>
      <c r="O47" s="2737">
        <f t="shared" si="4"/>
        <v>0</v>
      </c>
      <c r="P47" s="2737">
        <f t="shared" si="4"/>
        <v>172261</v>
      </c>
      <c r="Q47" s="2737">
        <f t="shared" si="4"/>
        <v>1798778</v>
      </c>
      <c r="R47" s="2737">
        <f t="shared" si="4"/>
        <v>41641</v>
      </c>
      <c r="S47" s="2737">
        <f t="shared" si="4"/>
        <v>693557.88163999992</v>
      </c>
      <c r="T47" s="2737">
        <f t="shared" si="4"/>
        <v>0</v>
      </c>
      <c r="U47" s="2737">
        <f t="shared" si="4"/>
        <v>0</v>
      </c>
      <c r="V47" s="2737">
        <f t="shared" si="4"/>
        <v>7383524.9674499985</v>
      </c>
      <c r="W47" s="375" t="e">
        <f>+#REF!</f>
        <v>#REF!</v>
      </c>
      <c r="X47" s="14" t="e">
        <f>+V47-W47</f>
        <v>#REF!</v>
      </c>
    </row>
    <row r="50" spans="1:24">
      <c r="A50" s="2725" t="s">
        <v>767</v>
      </c>
      <c r="B50" s="3168"/>
      <c r="C50" s="3168"/>
      <c r="D50" s="3168"/>
      <c r="E50" s="3168"/>
      <c r="F50" s="2738"/>
    </row>
    <row r="51" spans="1:24">
      <c r="A51" s="3604" t="s">
        <v>730</v>
      </c>
      <c r="B51" s="373">
        <v>1</v>
      </c>
      <c r="C51" s="373">
        <v>2</v>
      </c>
      <c r="D51" s="373">
        <v>3</v>
      </c>
      <c r="E51" s="373">
        <v>4</v>
      </c>
      <c r="F51" s="373">
        <v>5</v>
      </c>
      <c r="G51" s="373">
        <v>6</v>
      </c>
      <c r="H51" s="373">
        <v>7</v>
      </c>
      <c r="I51" s="373">
        <v>8</v>
      </c>
      <c r="J51" s="373">
        <v>9</v>
      </c>
      <c r="K51" s="373">
        <v>10</v>
      </c>
      <c r="L51" s="373">
        <v>11</v>
      </c>
      <c r="M51" s="373">
        <v>12</v>
      </c>
      <c r="N51" s="373">
        <v>13</v>
      </c>
      <c r="O51" s="373">
        <v>14</v>
      </c>
      <c r="P51" s="373">
        <v>15</v>
      </c>
      <c r="Q51" s="373">
        <v>16</v>
      </c>
      <c r="R51" s="373">
        <v>17</v>
      </c>
      <c r="S51" s="373">
        <v>18</v>
      </c>
      <c r="T51" s="373">
        <v>19</v>
      </c>
      <c r="U51" s="373">
        <v>20</v>
      </c>
      <c r="V51" s="374"/>
    </row>
    <row r="52" spans="1:24">
      <c r="A52" s="3604"/>
      <c r="B52" s="2727" t="s">
        <v>177</v>
      </c>
      <c r="C52" s="2727" t="s">
        <v>179</v>
      </c>
      <c r="D52" s="2727" t="s">
        <v>181</v>
      </c>
      <c r="E52" s="2727" t="s">
        <v>182</v>
      </c>
      <c r="F52" s="2727" t="s">
        <v>183</v>
      </c>
      <c r="G52" s="2727" t="s">
        <v>184</v>
      </c>
      <c r="H52" s="2728" t="s">
        <v>185</v>
      </c>
      <c r="I52" s="2727" t="s">
        <v>186</v>
      </c>
      <c r="J52" s="2727" t="s">
        <v>187</v>
      </c>
      <c r="K52" s="2727" t="s">
        <v>188</v>
      </c>
      <c r="L52" s="2727" t="s">
        <v>189</v>
      </c>
      <c r="M52" s="2727" t="s">
        <v>191</v>
      </c>
      <c r="N52" s="2727" t="s">
        <v>192</v>
      </c>
      <c r="O52" s="2727" t="s">
        <v>702</v>
      </c>
      <c r="P52" s="2727" t="s">
        <v>194</v>
      </c>
      <c r="Q52" s="2727" t="s">
        <v>115</v>
      </c>
      <c r="R52" s="2727" t="s">
        <v>196</v>
      </c>
      <c r="S52" s="2727" t="s">
        <v>197</v>
      </c>
      <c r="T52" s="2727" t="s">
        <v>193</v>
      </c>
      <c r="U52" s="2727" t="s">
        <v>110</v>
      </c>
      <c r="V52" s="2730" t="s">
        <v>118</v>
      </c>
    </row>
    <row r="53" spans="1:24">
      <c r="A53" s="2504" t="s">
        <v>436</v>
      </c>
      <c r="B53" s="2731">
        <v>101656</v>
      </c>
      <c r="C53" s="2731">
        <v>724174</v>
      </c>
      <c r="D53" s="2731">
        <v>532586</v>
      </c>
      <c r="E53" s="2731">
        <v>112477</v>
      </c>
      <c r="F53" s="2731">
        <v>184615</v>
      </c>
      <c r="G53" s="2731"/>
      <c r="H53" s="2732">
        <v>1502828</v>
      </c>
      <c r="I53" s="2731">
        <v>16996.87629</v>
      </c>
      <c r="J53" s="2731">
        <v>-74.69</v>
      </c>
      <c r="K53" s="2731">
        <v>273743</v>
      </c>
      <c r="L53" s="2731">
        <v>354053</v>
      </c>
      <c r="M53" s="2731"/>
      <c r="N53" s="2731">
        <v>2148</v>
      </c>
      <c r="O53" s="2731"/>
      <c r="P53" s="2731"/>
      <c r="Q53" s="2731">
        <v>1524534.9330699998</v>
      </c>
      <c r="R53" s="2731">
        <v>2935</v>
      </c>
      <c r="S53" s="2731">
        <v>572134.05776999996</v>
      </c>
      <c r="T53" s="2731"/>
      <c r="U53" s="2731"/>
      <c r="V53" s="2731">
        <f>SUM(B53:U53)</f>
        <v>5904806.1771299997</v>
      </c>
      <c r="W53" s="58"/>
      <c r="X53" s="58"/>
    </row>
    <row r="54" spans="1:24">
      <c r="A54" s="2504" t="s">
        <v>437</v>
      </c>
      <c r="B54" s="2731">
        <v>25245</v>
      </c>
      <c r="C54" s="2731">
        <v>7290</v>
      </c>
      <c r="D54" s="2731">
        <v>82283</v>
      </c>
      <c r="E54" s="2731">
        <v>84729</v>
      </c>
      <c r="F54" s="2731">
        <v>10066</v>
      </c>
      <c r="G54" s="2731"/>
      <c r="H54" s="2731">
        <v>212170</v>
      </c>
      <c r="I54" s="2731">
        <v>9842.5018900000014</v>
      </c>
      <c r="J54" s="2731">
        <v>27.3</v>
      </c>
      <c r="K54" s="2731">
        <v>18825</v>
      </c>
      <c r="L54" s="2731">
        <v>39987</v>
      </c>
      <c r="M54" s="2731"/>
      <c r="N54" s="2731">
        <v>128</v>
      </c>
      <c r="O54" s="2731"/>
      <c r="P54" s="2731"/>
      <c r="Q54" s="2731">
        <v>270785.40514999995</v>
      </c>
      <c r="R54" s="2731">
        <v>0</v>
      </c>
      <c r="S54" s="2731">
        <v>131032.96777</v>
      </c>
      <c r="T54" s="2731"/>
      <c r="U54" s="2731"/>
      <c r="V54" s="2731">
        <f>SUM(B54:U54)</f>
        <v>892411.17481</v>
      </c>
      <c r="W54" s="58"/>
      <c r="X54" s="58"/>
    </row>
    <row r="55" spans="1:24">
      <c r="A55" s="2504" t="s">
        <v>438</v>
      </c>
      <c r="B55" s="2734">
        <v>23774</v>
      </c>
      <c r="C55" s="2734">
        <v>13315</v>
      </c>
      <c r="D55" s="2735">
        <v>31173</v>
      </c>
      <c r="E55" s="2734">
        <v>10222</v>
      </c>
      <c r="F55" s="2734">
        <v>1995</v>
      </c>
      <c r="G55" s="2731"/>
      <c r="H55" s="2731">
        <v>155417</v>
      </c>
      <c r="I55" s="2731">
        <v>13189.420330000001</v>
      </c>
      <c r="J55" s="2731">
        <v>7646.57</v>
      </c>
      <c r="K55" s="2731">
        <v>37176</v>
      </c>
      <c r="L55" s="2731">
        <v>73432</v>
      </c>
      <c r="M55" s="2731"/>
      <c r="N55" s="2731">
        <v>5411</v>
      </c>
      <c r="O55" s="2731"/>
      <c r="P55" s="2731"/>
      <c r="Q55" s="2731">
        <v>77061.244300000006</v>
      </c>
      <c r="R55" s="2731">
        <v>3672</v>
      </c>
      <c r="S55" s="2731">
        <v>80235.879799999995</v>
      </c>
      <c r="T55" s="2731"/>
      <c r="U55" s="2731"/>
      <c r="V55" s="2731">
        <f>SUM(B55:U55)</f>
        <v>533720.11443000007</v>
      </c>
      <c r="W55" s="58"/>
      <c r="X55" s="58"/>
    </row>
    <row r="56" spans="1:24">
      <c r="A56" s="2504" t="s">
        <v>722</v>
      </c>
      <c r="B56" s="2734">
        <v>0</v>
      </c>
      <c r="C56" s="2734">
        <v>0</v>
      </c>
      <c r="D56" s="2735">
        <v>6280</v>
      </c>
      <c r="E56" s="2734">
        <v>544</v>
      </c>
      <c r="F56" s="2734">
        <v>663</v>
      </c>
      <c r="G56" s="2731"/>
      <c r="H56" s="2731">
        <v>9202</v>
      </c>
      <c r="I56" s="2731">
        <v>0</v>
      </c>
      <c r="J56" s="2731">
        <v>0</v>
      </c>
      <c r="K56" s="2731">
        <v>1206</v>
      </c>
      <c r="L56" s="2731">
        <v>0</v>
      </c>
      <c r="M56" s="2731"/>
      <c r="N56" s="2731"/>
      <c r="O56" s="2731"/>
      <c r="P56" s="2731"/>
      <c r="Q56" s="2731">
        <v>5706.1039000000001</v>
      </c>
      <c r="R56" s="2731"/>
      <c r="S56" s="2731">
        <v>13183.327020000001</v>
      </c>
      <c r="T56" s="2731"/>
      <c r="U56" s="2731"/>
      <c r="V56" s="2731">
        <f>SUM(B56:U56)</f>
        <v>36784.430919999999</v>
      </c>
      <c r="W56" s="58"/>
      <c r="X56" s="58"/>
    </row>
    <row r="57" spans="1:24">
      <c r="A57" s="2504" t="s">
        <v>440</v>
      </c>
      <c r="B57" s="2734">
        <v>29625</v>
      </c>
      <c r="C57" s="2734">
        <v>164969</v>
      </c>
      <c r="D57" s="2735">
        <v>142599</v>
      </c>
      <c r="E57" s="2734">
        <v>49285</v>
      </c>
      <c r="F57" s="2734">
        <v>240853</v>
      </c>
      <c r="G57" s="2731"/>
      <c r="H57" s="2731">
        <v>243258</v>
      </c>
      <c r="I57" s="2731">
        <v>4926.8659600000001</v>
      </c>
      <c r="J57" s="2731">
        <v>-280.12</v>
      </c>
      <c r="K57" s="2731">
        <v>29509</v>
      </c>
      <c r="L57" s="2731">
        <v>87742</v>
      </c>
      <c r="M57" s="2731"/>
      <c r="N57" s="2731">
        <v>-4701</v>
      </c>
      <c r="O57" s="2731"/>
      <c r="P57" s="2731"/>
      <c r="Q57" s="2731">
        <v>795389.87997540005</v>
      </c>
      <c r="R57" s="2731">
        <v>13123</v>
      </c>
      <c r="S57" s="2731">
        <v>85306.418199999986</v>
      </c>
      <c r="T57" s="2731"/>
      <c r="U57" s="2731"/>
      <c r="V57" s="2731">
        <f>SUM(B57:U57)</f>
        <v>1881605.0441353999</v>
      </c>
      <c r="W57" s="58"/>
      <c r="X57" s="58"/>
    </row>
    <row r="58" spans="1:24">
      <c r="A58" s="2736" t="s">
        <v>118</v>
      </c>
      <c r="B58" s="2737">
        <f>SUM(B53:B57)</f>
        <v>180300</v>
      </c>
      <c r="C58" s="2737">
        <f t="shared" ref="C58:V58" si="5">SUM(C53:C57)</f>
        <v>909748</v>
      </c>
      <c r="D58" s="2737">
        <f>SUM(D53:D57)</f>
        <v>794921</v>
      </c>
      <c r="E58" s="2737">
        <f t="shared" si="5"/>
        <v>257257</v>
      </c>
      <c r="F58" s="2737">
        <f t="shared" si="5"/>
        <v>438192</v>
      </c>
      <c r="G58" s="2737">
        <f t="shared" si="5"/>
        <v>0</v>
      </c>
      <c r="H58" s="2737">
        <f t="shared" si="5"/>
        <v>2122875</v>
      </c>
      <c r="I58" s="2737">
        <f t="shared" si="5"/>
        <v>44955.664470000003</v>
      </c>
      <c r="J58" s="2737">
        <f t="shared" si="5"/>
        <v>7319.0599999999995</v>
      </c>
      <c r="K58" s="2737">
        <f t="shared" si="5"/>
        <v>360459</v>
      </c>
      <c r="L58" s="2737">
        <f t="shared" si="5"/>
        <v>555214</v>
      </c>
      <c r="M58" s="2737">
        <f t="shared" si="5"/>
        <v>0</v>
      </c>
      <c r="N58" s="2737">
        <f t="shared" si="5"/>
        <v>2986</v>
      </c>
      <c r="O58" s="2737">
        <f t="shared" si="5"/>
        <v>0</v>
      </c>
      <c r="P58" s="2737">
        <f t="shared" si="5"/>
        <v>0</v>
      </c>
      <c r="Q58" s="2737">
        <f t="shared" si="5"/>
        <v>2673477.5663953996</v>
      </c>
      <c r="R58" s="2737">
        <f t="shared" si="5"/>
        <v>19730</v>
      </c>
      <c r="S58" s="2737">
        <f t="shared" si="5"/>
        <v>881892.65055999986</v>
      </c>
      <c r="T58" s="2737">
        <f t="shared" si="5"/>
        <v>0</v>
      </c>
      <c r="U58" s="2737">
        <f t="shared" si="5"/>
        <v>0</v>
      </c>
      <c r="V58" s="2737">
        <f t="shared" si="5"/>
        <v>9249326.9414253999</v>
      </c>
      <c r="W58" s="375" t="e">
        <f>+#REF!</f>
        <v>#REF!</v>
      </c>
      <c r="X58" s="58" t="e">
        <f>+V58-W58</f>
        <v>#REF!</v>
      </c>
    </row>
    <row r="61" spans="1:24">
      <c r="J61" s="14"/>
    </row>
  </sheetData>
  <customSheetViews>
    <customSheetView guid="{2ACFE167-4169-43A6-9AB2-59D5A2DA2DB4}" showPageBreaks="1" state="hidden" topLeftCell="K43">
      <selection activeCell="V67" sqref="V67"/>
      <pageMargins left="0" right="0" top="0" bottom="0" header="0" footer="0"/>
      <pageSetup orientation="portrait" r:id="rId1"/>
    </customSheetView>
    <customSheetView guid="{967E0446-E234-427F-8E57-7FE287052E2E}" showPageBreaks="1" state="hidden" topLeftCell="K43">
      <selection activeCell="V67" sqref="V67"/>
      <pageMargins left="0" right="0" top="0" bottom="0" header="0" footer="0"/>
      <pageSetup orientation="portrait" r:id="rId2"/>
    </customSheetView>
    <customSheetView guid="{B2E1A0C6-5BA1-4CF1-B412-16D81FCDF11F}" state="hidden" topLeftCell="K43">
      <selection activeCell="V67" sqref="V67"/>
      <pageMargins left="0" right="0" top="0" bottom="0" header="0" footer="0"/>
      <pageSetup orientation="portrait" r:id="rId3"/>
    </customSheetView>
    <customSheetView guid="{46F31544-8E6F-41C5-8628-1D6EE074AF15}" state="hidden" topLeftCell="K43">
      <selection activeCell="V67" sqref="V67"/>
      <pageMargins left="0" right="0" top="0" bottom="0" header="0" footer="0"/>
      <pageSetup orientation="portrait" r:id="rId4"/>
    </customSheetView>
    <customSheetView guid="{B1E1B596-A9A1-411D-A882-A48CB025B978}" state="hidden" topLeftCell="K43">
      <selection activeCell="V67" sqref="V67"/>
      <pageMargins left="0" right="0" top="0" bottom="0" header="0" footer="0"/>
      <pageSetup orientation="portrait" r:id="rId5"/>
    </customSheetView>
    <customSheetView guid="{5E394B0B-7867-4722-9497-A93AB2A9A773}" showPageBreaks="1" state="hidden" topLeftCell="K43">
      <selection activeCell="V67" sqref="V67"/>
      <pageMargins left="0" right="0" top="0" bottom="0" header="0" footer="0"/>
      <pageSetup orientation="portrait" r:id="rId6"/>
    </customSheetView>
  </customSheetViews>
  <mergeCells count="4">
    <mergeCell ref="A5:A6"/>
    <mergeCell ref="A16:A17"/>
    <mergeCell ref="A40:A41"/>
    <mergeCell ref="A51:A52"/>
  </mergeCells>
  <pageMargins left="0.7" right="0.7" top="0.75" bottom="0.75" header="0.3" footer="0.3"/>
  <pageSetup orientation="portrait" r:id="rId7"/>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64"/>
  <dimension ref="A2:K421"/>
  <sheetViews>
    <sheetView view="pageBreakPreview" topLeftCell="C1" zoomScale="60" zoomScaleNormal="60" workbookViewId="0">
      <selection activeCell="F4" sqref="F4"/>
    </sheetView>
  </sheetViews>
  <sheetFormatPr defaultColWidth="9.140625" defaultRowHeight="14.45"/>
  <cols>
    <col min="1" max="1" width="3" hidden="1" customWidth="1"/>
    <col min="2" max="2" width="14.140625" hidden="1" customWidth="1"/>
    <col min="4" max="4" width="37.28515625" customWidth="1"/>
    <col min="5" max="5" width="15.42578125" customWidth="1"/>
    <col min="6" max="6" width="13.85546875" customWidth="1"/>
    <col min="7" max="7" width="12.28515625" bestFit="1" customWidth="1"/>
    <col min="8" max="8" width="14.7109375" customWidth="1"/>
    <col min="9" max="9" width="19" hidden="1" customWidth="1"/>
    <col min="10" max="10" width="14.7109375" hidden="1" customWidth="1"/>
    <col min="11" max="11" width="12.28515625" hidden="1" customWidth="1"/>
  </cols>
  <sheetData>
    <row r="2" spans="4:11">
      <c r="D2" s="259" t="s">
        <v>768</v>
      </c>
      <c r="E2" s="89"/>
    </row>
    <row r="3" spans="4:11">
      <c r="D3" s="89"/>
      <c r="E3" s="195" t="s">
        <v>769</v>
      </c>
      <c r="F3" t="s">
        <v>770</v>
      </c>
      <c r="G3" t="s">
        <v>771</v>
      </c>
    </row>
    <row r="4" spans="4:11">
      <c r="D4" s="1704" t="s">
        <v>226</v>
      </c>
      <c r="E4" s="2783">
        <f>+E5+E6+E7</f>
        <v>1903091.7616823949</v>
      </c>
      <c r="F4" s="2783" t="e">
        <f>+F5+F6+F7</f>
        <v>#REF!</v>
      </c>
      <c r="G4" s="14" t="e">
        <f>+E4+F4</f>
        <v>#REF!</v>
      </c>
      <c r="I4" t="s">
        <v>226</v>
      </c>
      <c r="J4" s="14">
        <f>+E4</f>
        <v>1903091.7616823949</v>
      </c>
      <c r="K4" s="9">
        <f t="shared" ref="K4:K9" si="0">+J4/$J$10*100</f>
        <v>56.203422813168082</v>
      </c>
    </row>
    <row r="5" spans="4:11">
      <c r="D5" s="2784" t="s">
        <v>649</v>
      </c>
      <c r="E5" s="2783">
        <f t="shared" ref="E5:E22" si="1">+E28+E50+E72+E94+E116+E138+E160+E182+E204+E226+E248+E270+E292+E314+E336+E358+E380+E402</f>
        <v>1230984.556053506</v>
      </c>
      <c r="F5" s="193" t="e">
        <f>VLOOKUP(D5,#REF!,11,0)</f>
        <v>#REF!</v>
      </c>
      <c r="G5" s="14" t="e">
        <f t="shared" ref="G5:G22" si="2">+E5+F5</f>
        <v>#REF!</v>
      </c>
      <c r="I5" t="s">
        <v>652</v>
      </c>
      <c r="J5" s="14">
        <f>+E8</f>
        <v>746090.20277000009</v>
      </c>
      <c r="K5" s="9">
        <f t="shared" si="0"/>
        <v>22.034052149947119</v>
      </c>
    </row>
    <row r="6" spans="4:11">
      <c r="D6" s="2784" t="s">
        <v>650</v>
      </c>
      <c r="E6" s="2783">
        <f t="shared" si="1"/>
        <v>419569.02813888894</v>
      </c>
      <c r="F6" s="193" t="e">
        <f>VLOOKUP(D6,#REF!,11,0)</f>
        <v>#REF!</v>
      </c>
      <c r="G6" s="14" t="e">
        <f t="shared" si="2"/>
        <v>#REF!</v>
      </c>
      <c r="I6" t="s">
        <v>655</v>
      </c>
      <c r="J6" s="14">
        <f>+E11</f>
        <v>276462.51550225273</v>
      </c>
      <c r="K6" s="9">
        <f t="shared" si="0"/>
        <v>8.1646823151758721</v>
      </c>
    </row>
    <row r="7" spans="4:11">
      <c r="D7" s="2784" t="s">
        <v>772</v>
      </c>
      <c r="E7" s="2783">
        <f t="shared" si="1"/>
        <v>252538.17748999997</v>
      </c>
      <c r="F7" s="193" t="e">
        <f>VLOOKUP(D7,#REF!,11,0)</f>
        <v>#REF!</v>
      </c>
      <c r="G7" s="14" t="e">
        <f t="shared" si="2"/>
        <v>#REF!</v>
      </c>
      <c r="I7" t="s">
        <v>660</v>
      </c>
      <c r="J7" s="14">
        <f>+E16</f>
        <v>420</v>
      </c>
      <c r="K7" s="9">
        <f t="shared" si="0"/>
        <v>1.2403730632863768E-2</v>
      </c>
    </row>
    <row r="8" spans="4:11">
      <c r="D8" s="2785" t="s">
        <v>652</v>
      </c>
      <c r="E8" s="2783">
        <f>+E9+E10</f>
        <v>746090.20277000009</v>
      </c>
      <c r="F8" s="2783" t="e">
        <f>+F9+F10</f>
        <v>#REF!</v>
      </c>
      <c r="G8" s="14" t="e">
        <f t="shared" si="2"/>
        <v>#REF!</v>
      </c>
      <c r="I8" t="s">
        <v>230</v>
      </c>
      <c r="J8" s="14">
        <f>+E17</f>
        <v>295890.64619</v>
      </c>
      <c r="K8" s="9">
        <f t="shared" si="0"/>
        <v>8.738447314582757</v>
      </c>
    </row>
    <row r="9" spans="4:11">
      <c r="D9" s="2784" t="s">
        <v>653</v>
      </c>
      <c r="E9" s="2783">
        <f t="shared" si="1"/>
        <v>123811.71694000004</v>
      </c>
      <c r="F9" s="193" t="e">
        <f>VLOOKUP(D9,#REF!,11,0)</f>
        <v>#REF!</v>
      </c>
      <c r="G9" s="14" t="e">
        <f t="shared" si="2"/>
        <v>#REF!</v>
      </c>
      <c r="I9" t="s">
        <v>773</v>
      </c>
      <c r="J9" s="14">
        <f>+E20+E21+E22</f>
        <v>164122.92111</v>
      </c>
      <c r="K9" s="9">
        <f t="shared" si="0"/>
        <v>4.8469916764933103</v>
      </c>
    </row>
    <row r="10" spans="4:11">
      <c r="D10" s="2784" t="s">
        <v>654</v>
      </c>
      <c r="E10" s="2783">
        <f t="shared" si="1"/>
        <v>622278.48583000002</v>
      </c>
      <c r="F10" s="193" t="e">
        <f>VLOOKUP(D10,#REF!,11,0)</f>
        <v>#REF!</v>
      </c>
      <c r="G10" s="14" t="e">
        <f t="shared" si="2"/>
        <v>#REF!</v>
      </c>
      <c r="J10" s="14">
        <f>SUM(J4:J9)</f>
        <v>3386078.0472546476</v>
      </c>
    </row>
    <row r="11" spans="4:11">
      <c r="D11" s="2785" t="s">
        <v>655</v>
      </c>
      <c r="E11" s="2783">
        <f>+E12+E13+E14+E15</f>
        <v>276462.51550225273</v>
      </c>
      <c r="F11" s="2783" t="e">
        <f>+F12+F13+F14+F15</f>
        <v>#REF!</v>
      </c>
      <c r="G11" s="14" t="e">
        <f t="shared" si="2"/>
        <v>#REF!</v>
      </c>
    </row>
    <row r="12" spans="4:11">
      <c r="D12" s="2784" t="s">
        <v>656</v>
      </c>
      <c r="E12" s="2783">
        <f t="shared" si="1"/>
        <v>207239.62583999999</v>
      </c>
      <c r="F12" s="193" t="e">
        <f>VLOOKUP(D12,#REF!,11,0)</f>
        <v>#REF!</v>
      </c>
      <c r="G12" s="14" t="e">
        <f t="shared" si="2"/>
        <v>#REF!</v>
      </c>
    </row>
    <row r="13" spans="4:11">
      <c r="D13" s="2784" t="s">
        <v>657</v>
      </c>
      <c r="E13" s="2783">
        <f t="shared" si="1"/>
        <v>36069.382442252747</v>
      </c>
      <c r="F13" s="193" t="e">
        <f>VLOOKUP(D13,#REF!,11,0)</f>
        <v>#REF!</v>
      </c>
      <c r="G13" s="14" t="e">
        <f t="shared" si="2"/>
        <v>#REF!</v>
      </c>
    </row>
    <row r="14" spans="4:11">
      <c r="D14" s="2784" t="s">
        <v>672</v>
      </c>
      <c r="E14" s="2783">
        <f t="shared" si="1"/>
        <v>0</v>
      </c>
      <c r="F14" s="193" t="e">
        <f>VLOOKUP(D14,#REF!,11,0)</f>
        <v>#REF!</v>
      </c>
      <c r="G14" s="14" t="e">
        <f t="shared" si="2"/>
        <v>#REF!</v>
      </c>
    </row>
    <row r="15" spans="4:11">
      <c r="D15" s="2784" t="s">
        <v>673</v>
      </c>
      <c r="E15" s="2783">
        <f t="shared" si="1"/>
        <v>33153.50722</v>
      </c>
      <c r="F15" s="193" t="e">
        <f>VLOOKUP(D15,#REF!,11,0)</f>
        <v>#REF!</v>
      </c>
      <c r="G15" s="14" t="e">
        <f t="shared" si="2"/>
        <v>#REF!</v>
      </c>
    </row>
    <row r="16" spans="4:11">
      <c r="D16" s="2785" t="s">
        <v>660</v>
      </c>
      <c r="E16" s="2783">
        <f>+E39+E61+E83+E105+E127+E149+E171+E193+E215+E237+E259+E281+E303+E325+E347+E369+E391+E413</f>
        <v>420</v>
      </c>
      <c r="F16" s="193" t="e">
        <f>VLOOKUP(D16,#REF!,11,0)</f>
        <v>#REF!</v>
      </c>
      <c r="G16" s="14" t="e">
        <f t="shared" si="2"/>
        <v>#REF!</v>
      </c>
    </row>
    <row r="17" spans="1:8">
      <c r="D17" s="2785" t="s">
        <v>230</v>
      </c>
      <c r="E17" s="2783">
        <f>+E18+E19</f>
        <v>295890.64619</v>
      </c>
      <c r="F17" s="2783" t="e">
        <f>+F18+F19</f>
        <v>#REF!</v>
      </c>
      <c r="G17" s="14" t="e">
        <f t="shared" si="2"/>
        <v>#REF!</v>
      </c>
    </row>
    <row r="18" spans="1:8">
      <c r="D18" s="2786" t="s">
        <v>662</v>
      </c>
      <c r="E18" s="2783">
        <f t="shared" si="1"/>
        <v>266970.12806999998</v>
      </c>
      <c r="F18" s="193" t="e">
        <f>VLOOKUP(D18,#REF!,11,0)</f>
        <v>#REF!</v>
      </c>
      <c r="G18" s="14" t="e">
        <f t="shared" si="2"/>
        <v>#REF!</v>
      </c>
    </row>
    <row r="19" spans="1:8">
      <c r="D19" s="2784" t="s">
        <v>663</v>
      </c>
      <c r="E19" s="2783">
        <f t="shared" si="1"/>
        <v>28920.518120000001</v>
      </c>
      <c r="F19" s="193" t="e">
        <f>VLOOKUP(D19,#REF!,11,0)</f>
        <v>#REF!</v>
      </c>
      <c r="G19" s="14" t="e">
        <f t="shared" si="2"/>
        <v>#REF!</v>
      </c>
    </row>
    <row r="20" spans="1:8">
      <c r="D20" s="2785" t="s">
        <v>664</v>
      </c>
      <c r="E20" s="2783">
        <f t="shared" si="1"/>
        <v>30015.711460000002</v>
      </c>
      <c r="F20" s="193" t="e">
        <f>VLOOKUP(D20,#REF!,11,0)</f>
        <v>#REF!</v>
      </c>
      <c r="G20" s="14" t="e">
        <f t="shared" si="2"/>
        <v>#REF!</v>
      </c>
    </row>
    <row r="21" spans="1:8">
      <c r="D21" s="2785" t="s">
        <v>665</v>
      </c>
      <c r="E21" s="2783">
        <f t="shared" si="1"/>
        <v>6369</v>
      </c>
      <c r="F21" s="193" t="e">
        <f>VLOOKUP(D21,#REF!,11,0)</f>
        <v>#REF!</v>
      </c>
      <c r="G21" s="14" t="e">
        <f t="shared" si="2"/>
        <v>#REF!</v>
      </c>
    </row>
    <row r="22" spans="1:8">
      <c r="D22" s="2785" t="s">
        <v>774</v>
      </c>
      <c r="E22" s="2783">
        <f t="shared" si="1"/>
        <v>127738.20965</v>
      </c>
      <c r="F22" s="193" t="e">
        <f>VLOOKUP(D22,#REF!,11,0)</f>
        <v>#REF!</v>
      </c>
      <c r="G22" s="14" t="e">
        <f t="shared" si="2"/>
        <v>#REF!</v>
      </c>
    </row>
    <row r="23" spans="1:8">
      <c r="D23" s="2787" t="s">
        <v>775</v>
      </c>
      <c r="E23" s="2783">
        <f>+E4+E8+E11+E16+E17+E20+E21+E22</f>
        <v>3386078.0472546476</v>
      </c>
      <c r="F23" s="14" t="e">
        <f>+F4+F8+F11+F16+F17+F20+F21+F22</f>
        <v>#REF!</v>
      </c>
      <c r="G23" s="14" t="e">
        <f>+G4+G8+G11+G16+G17+G20+G21+G22</f>
        <v>#REF!</v>
      </c>
      <c r="H23" s="193"/>
    </row>
    <row r="25" spans="1:8">
      <c r="A25" s="43">
        <v>1</v>
      </c>
      <c r="B25" s="1772" t="s">
        <v>177</v>
      </c>
      <c r="C25" s="2673" t="s">
        <v>776</v>
      </c>
      <c r="F25" s="193">
        <f>+'P &amp; L - GI - 2012 '!H24</f>
        <v>3386939.522284647</v>
      </c>
      <c r="G25" s="193">
        <f>+E23-F25</f>
        <v>-861.47502999939024</v>
      </c>
    </row>
    <row r="26" spans="1:8">
      <c r="D26" s="89"/>
      <c r="E26" s="195" t="s">
        <v>769</v>
      </c>
    </row>
    <row r="27" spans="1:8">
      <c r="D27" s="1704" t="s">
        <v>226</v>
      </c>
      <c r="E27" s="2595"/>
    </row>
    <row r="28" spans="1:8">
      <c r="D28" s="2784" t="s">
        <v>649</v>
      </c>
      <c r="E28" s="2788">
        <v>5679.0895</v>
      </c>
    </row>
    <row r="29" spans="1:8">
      <c r="D29" s="2784" t="s">
        <v>650</v>
      </c>
      <c r="E29" s="2788">
        <v>94.905000000000001</v>
      </c>
    </row>
    <row r="30" spans="1:8">
      <c r="D30" s="2784" t="s">
        <v>772</v>
      </c>
      <c r="E30" s="2788">
        <v>25639.571230000001</v>
      </c>
    </row>
    <row r="31" spans="1:8">
      <c r="D31" s="2785" t="s">
        <v>652</v>
      </c>
      <c r="E31" s="2788">
        <v>0</v>
      </c>
    </row>
    <row r="32" spans="1:8">
      <c r="D32" s="2784" t="s">
        <v>653</v>
      </c>
      <c r="E32" s="2788">
        <v>-275874.18642000004</v>
      </c>
    </row>
    <row r="33" spans="1:5">
      <c r="D33" s="2784" t="s">
        <v>654</v>
      </c>
      <c r="E33" s="2788">
        <v>34491.375030000003</v>
      </c>
    </row>
    <row r="34" spans="1:5">
      <c r="D34" s="2785" t="s">
        <v>655</v>
      </c>
      <c r="E34" s="2788">
        <v>0</v>
      </c>
    </row>
    <row r="35" spans="1:5">
      <c r="D35" s="2784" t="s">
        <v>656</v>
      </c>
      <c r="E35" s="2788">
        <v>0</v>
      </c>
    </row>
    <row r="36" spans="1:5">
      <c r="D36" s="2784" t="s">
        <v>657</v>
      </c>
      <c r="E36" s="2788">
        <v>13570.908359999999</v>
      </c>
    </row>
    <row r="37" spans="1:5">
      <c r="D37" s="2784" t="s">
        <v>672</v>
      </c>
      <c r="E37" s="2788">
        <v>0</v>
      </c>
    </row>
    <row r="38" spans="1:5">
      <c r="D38" s="2784" t="s">
        <v>673</v>
      </c>
      <c r="E38" s="2788">
        <v>0</v>
      </c>
    </row>
    <row r="39" spans="1:5">
      <c r="D39" s="2785" t="s">
        <v>660</v>
      </c>
      <c r="E39" s="2788">
        <v>0</v>
      </c>
    </row>
    <row r="40" spans="1:5">
      <c r="D40" s="2785" t="s">
        <v>230</v>
      </c>
      <c r="E40" s="2788">
        <v>0</v>
      </c>
    </row>
    <row r="41" spans="1:5">
      <c r="D41" s="2786" t="s">
        <v>662</v>
      </c>
      <c r="E41" s="2788">
        <v>765.70690999999999</v>
      </c>
    </row>
    <row r="42" spans="1:5">
      <c r="D42" s="2784" t="s">
        <v>663</v>
      </c>
      <c r="E42" s="2788">
        <v>0</v>
      </c>
    </row>
    <row r="43" spans="1:5">
      <c r="D43" s="2785" t="s">
        <v>664</v>
      </c>
      <c r="E43" s="2788">
        <v>0</v>
      </c>
    </row>
    <row r="44" spans="1:5">
      <c r="D44" s="2785" t="s">
        <v>665</v>
      </c>
      <c r="E44" s="2788">
        <v>0</v>
      </c>
    </row>
    <row r="45" spans="1:5">
      <c r="D45" s="2785" t="s">
        <v>774</v>
      </c>
      <c r="E45" s="2788">
        <v>0</v>
      </c>
    </row>
    <row r="46" spans="1:5">
      <c r="D46" s="2787" t="s">
        <v>775</v>
      </c>
      <c r="E46" s="2789">
        <f>SUM(E28:E45)</f>
        <v>-195632.63039000003</v>
      </c>
    </row>
    <row r="47" spans="1:5">
      <c r="A47" s="43">
        <v>2</v>
      </c>
      <c r="B47" s="1772" t="s">
        <v>179</v>
      </c>
      <c r="C47" s="2673" t="s">
        <v>777</v>
      </c>
    </row>
    <row r="48" spans="1:5">
      <c r="D48" s="89"/>
      <c r="E48" s="195" t="s">
        <v>769</v>
      </c>
    </row>
    <row r="49" spans="4:5">
      <c r="D49" s="1704" t="s">
        <v>226</v>
      </c>
      <c r="E49" s="2595"/>
    </row>
    <row r="50" spans="4:5">
      <c r="D50" s="2784" t="s">
        <v>649</v>
      </c>
      <c r="E50" s="2788">
        <v>94577</v>
      </c>
    </row>
    <row r="51" spans="4:5">
      <c r="D51" s="2784" t="s">
        <v>650</v>
      </c>
      <c r="E51" s="2788">
        <v>2136</v>
      </c>
    </row>
    <row r="52" spans="4:5">
      <c r="D52" s="2784" t="s">
        <v>772</v>
      </c>
      <c r="E52" s="2788">
        <v>3580</v>
      </c>
    </row>
    <row r="53" spans="4:5">
      <c r="D53" s="2785" t="s">
        <v>652</v>
      </c>
      <c r="E53" s="2788"/>
    </row>
    <row r="54" spans="4:5">
      <c r="D54" s="2784" t="s">
        <v>653</v>
      </c>
      <c r="E54" s="2788"/>
    </row>
    <row r="55" spans="4:5">
      <c r="D55" s="2784" t="s">
        <v>654</v>
      </c>
      <c r="E55" s="2788"/>
    </row>
    <row r="56" spans="4:5">
      <c r="D56" s="2785" t="s">
        <v>655</v>
      </c>
      <c r="E56" s="2788"/>
    </row>
    <row r="57" spans="4:5">
      <c r="D57" s="2784" t="s">
        <v>656</v>
      </c>
      <c r="E57" s="2788">
        <v>2300</v>
      </c>
    </row>
    <row r="58" spans="4:5">
      <c r="D58" s="2784" t="s">
        <v>657</v>
      </c>
      <c r="E58" s="2788">
        <v>575</v>
      </c>
    </row>
    <row r="59" spans="4:5">
      <c r="D59" s="2784" t="s">
        <v>672</v>
      </c>
      <c r="E59" s="2788"/>
    </row>
    <row r="60" spans="4:5">
      <c r="D60" s="2784" t="s">
        <v>673</v>
      </c>
      <c r="E60" s="2788"/>
    </row>
    <row r="61" spans="4:5">
      <c r="D61" s="2785" t="s">
        <v>660</v>
      </c>
      <c r="E61" s="2788"/>
    </row>
    <row r="62" spans="4:5">
      <c r="D62" s="2785" t="s">
        <v>230</v>
      </c>
      <c r="E62" s="2788"/>
    </row>
    <row r="63" spans="4:5">
      <c r="D63" s="2786" t="s">
        <v>662</v>
      </c>
      <c r="E63" s="2788">
        <v>2600</v>
      </c>
    </row>
    <row r="64" spans="4:5">
      <c r="D64" s="2784" t="s">
        <v>663</v>
      </c>
      <c r="E64" s="2788"/>
    </row>
    <row r="65" spans="1:5">
      <c r="D65" s="2785" t="s">
        <v>664</v>
      </c>
      <c r="E65" s="2788"/>
    </row>
    <row r="66" spans="1:5">
      <c r="D66" s="2785" t="s">
        <v>665</v>
      </c>
      <c r="E66" s="2788"/>
    </row>
    <row r="67" spans="1:5">
      <c r="D67" s="2785" t="s">
        <v>774</v>
      </c>
      <c r="E67" s="2788"/>
    </row>
    <row r="68" spans="1:5">
      <c r="D68" s="2787" t="s">
        <v>775</v>
      </c>
      <c r="E68" s="2789">
        <f>SUM(E50:E67)</f>
        <v>105768</v>
      </c>
    </row>
    <row r="69" spans="1:5">
      <c r="A69" s="43">
        <v>3</v>
      </c>
      <c r="B69" s="1772" t="s">
        <v>181</v>
      </c>
      <c r="C69" s="2673" t="s">
        <v>778</v>
      </c>
    </row>
    <row r="70" spans="1:5">
      <c r="D70" s="89"/>
      <c r="E70" s="195" t="s">
        <v>769</v>
      </c>
    </row>
    <row r="71" spans="1:5">
      <c r="D71" s="1704" t="s">
        <v>226</v>
      </c>
      <c r="E71" s="2595"/>
    </row>
    <row r="72" spans="1:5">
      <c r="D72" s="2784" t="s">
        <v>649</v>
      </c>
      <c r="E72" s="2788">
        <v>169070.06278000001</v>
      </c>
    </row>
    <row r="73" spans="1:5">
      <c r="D73" s="2784" t="s">
        <v>650</v>
      </c>
      <c r="E73" s="2788">
        <v>59498.034520000001</v>
      </c>
    </row>
    <row r="74" spans="1:5">
      <c r="D74" s="2784" t="s">
        <v>772</v>
      </c>
      <c r="E74" s="2788">
        <v>17823.08554</v>
      </c>
    </row>
    <row r="75" spans="1:5">
      <c r="D75" s="2785" t="s">
        <v>652</v>
      </c>
      <c r="E75" s="2788"/>
    </row>
    <row r="76" spans="1:5">
      <c r="D76" s="2784" t="s">
        <v>653</v>
      </c>
      <c r="E76" s="2788">
        <v>44241</v>
      </c>
    </row>
    <row r="77" spans="1:5">
      <c r="D77" s="2784" t="s">
        <v>654</v>
      </c>
      <c r="E77" s="2788">
        <v>11707.330099999999</v>
      </c>
    </row>
    <row r="78" spans="1:5">
      <c r="D78" s="2785" t="s">
        <v>655</v>
      </c>
      <c r="E78" s="2788"/>
    </row>
    <row r="79" spans="1:5">
      <c r="D79" s="2784" t="s">
        <v>656</v>
      </c>
      <c r="E79" s="2788">
        <v>9346.4383400000006</v>
      </c>
    </row>
    <row r="80" spans="1:5">
      <c r="D80" s="2784" t="s">
        <v>657</v>
      </c>
      <c r="E80" s="2788">
        <v>882.04908999999998</v>
      </c>
    </row>
    <row r="81" spans="1:5">
      <c r="D81" s="2784" t="s">
        <v>672</v>
      </c>
      <c r="E81" s="2788">
        <v>0</v>
      </c>
    </row>
    <row r="82" spans="1:5">
      <c r="D82" s="2784" t="s">
        <v>673</v>
      </c>
      <c r="E82" s="2788">
        <v>0</v>
      </c>
    </row>
    <row r="83" spans="1:5">
      <c r="D83" s="2785" t="s">
        <v>660</v>
      </c>
      <c r="E83" s="2788">
        <v>0</v>
      </c>
    </row>
    <row r="84" spans="1:5">
      <c r="D84" s="2785" t="s">
        <v>230</v>
      </c>
      <c r="E84" s="2788"/>
    </row>
    <row r="85" spans="1:5">
      <c r="D85" s="2786" t="s">
        <v>662</v>
      </c>
      <c r="E85" s="2788">
        <v>5193.6986399999996</v>
      </c>
    </row>
    <row r="86" spans="1:5">
      <c r="D86" s="2784" t="s">
        <v>663</v>
      </c>
      <c r="E86" s="2788">
        <v>0</v>
      </c>
    </row>
    <row r="87" spans="1:5">
      <c r="D87" s="2785" t="s">
        <v>664</v>
      </c>
      <c r="E87" s="2788"/>
    </row>
    <row r="88" spans="1:5">
      <c r="D88" s="2785" t="s">
        <v>665</v>
      </c>
      <c r="E88" s="2788">
        <v>0</v>
      </c>
    </row>
    <row r="89" spans="1:5">
      <c r="D89" s="2785" t="s">
        <v>774</v>
      </c>
      <c r="E89" s="2788"/>
    </row>
    <row r="90" spans="1:5">
      <c r="D90" s="2787" t="s">
        <v>775</v>
      </c>
      <c r="E90" s="2789">
        <f>SUM(E72:E89)</f>
        <v>317761.69901000004</v>
      </c>
    </row>
    <row r="91" spans="1:5">
      <c r="A91" s="43">
        <v>4</v>
      </c>
      <c r="B91" s="1772" t="s">
        <v>182</v>
      </c>
      <c r="C91" s="2673" t="s">
        <v>126</v>
      </c>
    </row>
    <row r="92" spans="1:5">
      <c r="D92" s="89"/>
      <c r="E92" s="195" t="s">
        <v>769</v>
      </c>
    </row>
    <row r="93" spans="1:5">
      <c r="D93" s="1704" t="s">
        <v>226</v>
      </c>
      <c r="E93" s="2595"/>
    </row>
    <row r="94" spans="1:5">
      <c r="D94" s="2784" t="s">
        <v>649</v>
      </c>
      <c r="E94" s="2788">
        <v>0</v>
      </c>
    </row>
    <row r="95" spans="1:5">
      <c r="D95" s="2784" t="s">
        <v>650</v>
      </c>
      <c r="E95" s="2788">
        <v>23027.239999999998</v>
      </c>
    </row>
    <row r="96" spans="1:5">
      <c r="D96" s="2784" t="s">
        <v>772</v>
      </c>
      <c r="E96" s="2788"/>
    </row>
    <row r="97" spans="4:5">
      <c r="D97" s="2785" t="s">
        <v>652</v>
      </c>
      <c r="E97" s="2788"/>
    </row>
    <row r="98" spans="4:5">
      <c r="D98" s="2784" t="s">
        <v>653</v>
      </c>
      <c r="E98" s="2788">
        <v>-44531.953000000001</v>
      </c>
    </row>
    <row r="99" spans="4:5">
      <c r="D99" s="2784" t="s">
        <v>654</v>
      </c>
      <c r="E99" s="2788">
        <v>31928.5</v>
      </c>
    </row>
    <row r="100" spans="4:5">
      <c r="D100" s="2785" t="s">
        <v>655</v>
      </c>
      <c r="E100" s="2788"/>
    </row>
    <row r="101" spans="4:5">
      <c r="D101" s="2784" t="s">
        <v>656</v>
      </c>
      <c r="E101" s="2788"/>
    </row>
    <row r="102" spans="4:5">
      <c r="D102" s="2784" t="s">
        <v>657</v>
      </c>
      <c r="E102" s="2788"/>
    </row>
    <row r="103" spans="4:5">
      <c r="D103" s="2784" t="s">
        <v>672</v>
      </c>
      <c r="E103" s="2788"/>
    </row>
    <row r="104" spans="4:5">
      <c r="D104" s="2784" t="s">
        <v>673</v>
      </c>
      <c r="E104" s="2788"/>
    </row>
    <row r="105" spans="4:5">
      <c r="D105" s="2785" t="s">
        <v>660</v>
      </c>
      <c r="E105" s="2788"/>
    </row>
    <row r="106" spans="4:5">
      <c r="D106" s="2785" t="s">
        <v>230</v>
      </c>
      <c r="E106" s="2788"/>
    </row>
    <row r="107" spans="4:5">
      <c r="D107" s="2786" t="s">
        <v>662</v>
      </c>
      <c r="E107" s="2788"/>
    </row>
    <row r="108" spans="4:5">
      <c r="D108" s="2784" t="s">
        <v>663</v>
      </c>
      <c r="E108" s="2788">
        <v>7890.5999999999995</v>
      </c>
    </row>
    <row r="109" spans="4:5">
      <c r="D109" s="2785" t="s">
        <v>664</v>
      </c>
      <c r="E109" s="2788"/>
    </row>
    <row r="110" spans="4:5">
      <c r="D110" s="2785" t="s">
        <v>665</v>
      </c>
      <c r="E110" s="2788">
        <v>6369</v>
      </c>
    </row>
    <row r="111" spans="4:5">
      <c r="D111" s="2785" t="s">
        <v>774</v>
      </c>
      <c r="E111" s="2788"/>
    </row>
    <row r="112" spans="4:5">
      <c r="D112" s="2787" t="s">
        <v>775</v>
      </c>
      <c r="E112" s="2789">
        <f>SUM(E93:E111)</f>
        <v>24683.386999999995</v>
      </c>
    </row>
    <row r="113" spans="1:5">
      <c r="A113" s="43">
        <v>5</v>
      </c>
      <c r="B113" s="1772" t="s">
        <v>183</v>
      </c>
      <c r="C113" s="2673" t="s">
        <v>127</v>
      </c>
    </row>
    <row r="114" spans="1:5">
      <c r="D114" s="89"/>
      <c r="E114" s="195" t="s">
        <v>769</v>
      </c>
    </row>
    <row r="115" spans="1:5">
      <c r="D115" s="1704" t="s">
        <v>226</v>
      </c>
      <c r="E115" s="2595"/>
    </row>
    <row r="116" spans="1:5">
      <c r="D116" s="2784" t="s">
        <v>649</v>
      </c>
      <c r="E116" s="2788">
        <v>32084.000000000004</v>
      </c>
    </row>
    <row r="117" spans="1:5">
      <c r="D117" s="2784" t="s">
        <v>650</v>
      </c>
      <c r="E117" s="2788">
        <v>0</v>
      </c>
    </row>
    <row r="118" spans="1:5">
      <c r="D118" s="2784" t="s">
        <v>772</v>
      </c>
      <c r="E118" s="2788">
        <v>0</v>
      </c>
    </row>
    <row r="119" spans="1:5">
      <c r="D119" s="2785" t="s">
        <v>652</v>
      </c>
      <c r="E119" s="2788"/>
    </row>
    <row r="120" spans="1:5">
      <c r="D120" s="2784" t="s">
        <v>653</v>
      </c>
      <c r="E120" s="2788">
        <v>0</v>
      </c>
    </row>
    <row r="121" spans="1:5">
      <c r="D121" s="2784" t="s">
        <v>654</v>
      </c>
      <c r="E121" s="2788">
        <v>0</v>
      </c>
    </row>
    <row r="122" spans="1:5">
      <c r="D122" s="2785" t="s">
        <v>655</v>
      </c>
      <c r="E122" s="2788"/>
    </row>
    <row r="123" spans="1:5">
      <c r="D123" s="2784" t="s">
        <v>656</v>
      </c>
      <c r="E123" s="2788">
        <v>0</v>
      </c>
    </row>
    <row r="124" spans="1:5">
      <c r="D124" s="2784" t="s">
        <v>657</v>
      </c>
      <c r="E124" s="2788">
        <v>0</v>
      </c>
    </row>
    <row r="125" spans="1:5">
      <c r="D125" s="2784" t="s">
        <v>672</v>
      </c>
      <c r="E125" s="2788">
        <v>0</v>
      </c>
    </row>
    <row r="126" spans="1:5">
      <c r="D126" s="2784" t="s">
        <v>673</v>
      </c>
      <c r="E126" s="2788">
        <v>0</v>
      </c>
    </row>
    <row r="127" spans="1:5">
      <c r="D127" s="2785" t="s">
        <v>660</v>
      </c>
      <c r="E127" s="2788">
        <v>0</v>
      </c>
    </row>
    <row r="128" spans="1:5">
      <c r="D128" s="2785" t="s">
        <v>230</v>
      </c>
      <c r="E128" s="2788"/>
    </row>
    <row r="129" spans="1:7">
      <c r="D129" s="2786" t="s">
        <v>662</v>
      </c>
      <c r="E129" s="2788">
        <v>2899</v>
      </c>
    </row>
    <row r="130" spans="1:7">
      <c r="D130" s="2784" t="s">
        <v>663</v>
      </c>
      <c r="E130" s="2788">
        <v>0</v>
      </c>
    </row>
    <row r="131" spans="1:7">
      <c r="D131" s="2785" t="s">
        <v>664</v>
      </c>
      <c r="E131" s="2788">
        <v>0</v>
      </c>
    </row>
    <row r="132" spans="1:7">
      <c r="D132" s="2785" t="s">
        <v>665</v>
      </c>
      <c r="E132" s="2788">
        <v>0</v>
      </c>
    </row>
    <row r="133" spans="1:7">
      <c r="D133" s="2785" t="s">
        <v>774</v>
      </c>
      <c r="E133" s="2788"/>
    </row>
    <row r="134" spans="1:7">
      <c r="D134" s="2787" t="s">
        <v>775</v>
      </c>
      <c r="E134" s="2789">
        <f>SUM(E115:E133)</f>
        <v>34983</v>
      </c>
      <c r="F134" t="s">
        <v>779</v>
      </c>
      <c r="G134">
        <v>863</v>
      </c>
    </row>
    <row r="135" spans="1:7">
      <c r="A135" s="43">
        <v>6</v>
      </c>
      <c r="B135" s="1772" t="s">
        <v>184</v>
      </c>
      <c r="C135" s="2673" t="s">
        <v>128</v>
      </c>
    </row>
    <row r="136" spans="1:7">
      <c r="D136" s="89"/>
      <c r="E136" s="195" t="s">
        <v>769</v>
      </c>
    </row>
    <row r="137" spans="1:7">
      <c r="D137" s="1704" t="s">
        <v>226</v>
      </c>
      <c r="E137" s="2595"/>
    </row>
    <row r="138" spans="1:7">
      <c r="D138" s="2784" t="s">
        <v>649</v>
      </c>
      <c r="E138" s="1817">
        <v>7826.8798635057819</v>
      </c>
    </row>
    <row r="139" spans="1:7">
      <c r="D139" s="2784" t="s">
        <v>650</v>
      </c>
      <c r="E139" s="1817">
        <v>31308.085238888889</v>
      </c>
    </row>
    <row r="140" spans="1:7">
      <c r="D140" s="2784" t="s">
        <v>772</v>
      </c>
      <c r="E140" s="1817">
        <v>0</v>
      </c>
    </row>
    <row r="141" spans="1:7">
      <c r="D141" s="2785" t="s">
        <v>652</v>
      </c>
      <c r="E141" s="1817">
        <v>0</v>
      </c>
    </row>
    <row r="142" spans="1:7">
      <c r="D142" s="2784" t="s">
        <v>653</v>
      </c>
      <c r="E142" s="1817">
        <v>41014.490210000004</v>
      </c>
    </row>
    <row r="143" spans="1:7">
      <c r="D143" s="2784" t="s">
        <v>654</v>
      </c>
      <c r="E143" s="1817">
        <v>2687.3735000000001</v>
      </c>
    </row>
    <row r="144" spans="1:7">
      <c r="D144" s="2785" t="s">
        <v>655</v>
      </c>
      <c r="E144" s="1817">
        <v>0</v>
      </c>
    </row>
    <row r="145" spans="1:5">
      <c r="D145" s="2784" t="s">
        <v>656</v>
      </c>
      <c r="E145" s="1817">
        <v>0</v>
      </c>
    </row>
    <row r="146" spans="1:5">
      <c r="D146" s="2784" t="s">
        <v>657</v>
      </c>
      <c r="E146" s="1817">
        <v>1479.3797222527471</v>
      </c>
    </row>
    <row r="147" spans="1:5">
      <c r="D147" s="2784" t="s">
        <v>672</v>
      </c>
      <c r="E147" s="1817">
        <v>0</v>
      </c>
    </row>
    <row r="148" spans="1:5">
      <c r="D148" s="2784" t="s">
        <v>673</v>
      </c>
      <c r="E148" s="1817">
        <v>0</v>
      </c>
    </row>
    <row r="149" spans="1:5">
      <c r="D149" s="2785" t="s">
        <v>660</v>
      </c>
      <c r="E149" s="1817">
        <v>0</v>
      </c>
    </row>
    <row r="150" spans="1:5">
      <c r="D150" s="2785" t="s">
        <v>230</v>
      </c>
      <c r="E150" s="1817">
        <v>0</v>
      </c>
    </row>
    <row r="151" spans="1:5">
      <c r="D151" s="2786" t="s">
        <v>662</v>
      </c>
      <c r="E151" s="1817">
        <v>1096.1093899999998</v>
      </c>
    </row>
    <row r="152" spans="1:5">
      <c r="D152" s="2784" t="s">
        <v>663</v>
      </c>
      <c r="E152" s="1817">
        <v>1064.9576600000003</v>
      </c>
    </row>
    <row r="153" spans="1:5">
      <c r="D153" s="2785" t="s">
        <v>664</v>
      </c>
      <c r="E153" s="1817">
        <v>0</v>
      </c>
    </row>
    <row r="154" spans="1:5">
      <c r="D154" s="2785" t="s">
        <v>665</v>
      </c>
      <c r="E154" s="1817">
        <v>0</v>
      </c>
    </row>
    <row r="155" spans="1:5">
      <c r="D155" s="2785" t="s">
        <v>774</v>
      </c>
      <c r="E155" s="1817">
        <v>0</v>
      </c>
    </row>
    <row r="156" spans="1:5">
      <c r="D156" s="2787" t="s">
        <v>775</v>
      </c>
      <c r="E156" s="2789">
        <f>SUM(E138:E155)</f>
        <v>86477.275584647432</v>
      </c>
    </row>
    <row r="157" spans="1:5">
      <c r="A157" s="43">
        <v>7</v>
      </c>
      <c r="B157" s="1772" t="s">
        <v>185</v>
      </c>
      <c r="C157" s="2673" t="s">
        <v>129</v>
      </c>
    </row>
    <row r="158" spans="1:5">
      <c r="D158" s="89"/>
      <c r="E158" s="195" t="s">
        <v>769</v>
      </c>
    </row>
    <row r="159" spans="1:5">
      <c r="D159" s="1704" t="s">
        <v>226</v>
      </c>
      <c r="E159" s="2595"/>
    </row>
    <row r="160" spans="1:5">
      <c r="D160" s="2784" t="s">
        <v>649</v>
      </c>
      <c r="E160" s="2788"/>
    </row>
    <row r="161" spans="4:5">
      <c r="D161" s="2784" t="s">
        <v>650</v>
      </c>
      <c r="E161" s="2788">
        <v>136460</v>
      </c>
    </row>
    <row r="162" spans="4:5">
      <c r="D162" s="2784" t="s">
        <v>772</v>
      </c>
      <c r="E162" s="2788"/>
    </row>
    <row r="163" spans="4:5">
      <c r="D163" s="2785" t="s">
        <v>652</v>
      </c>
      <c r="E163" s="2788"/>
    </row>
    <row r="164" spans="4:5">
      <c r="D164" s="2784" t="s">
        <v>653</v>
      </c>
      <c r="E164" s="2788"/>
    </row>
    <row r="165" spans="4:5">
      <c r="D165" s="2784" t="s">
        <v>654</v>
      </c>
      <c r="E165" s="2788">
        <v>67171</v>
      </c>
    </row>
    <row r="166" spans="4:5">
      <c r="D166" s="2785" t="s">
        <v>655</v>
      </c>
      <c r="E166" s="2788"/>
    </row>
    <row r="167" spans="4:5">
      <c r="D167" s="2784" t="s">
        <v>656</v>
      </c>
      <c r="E167" s="2788">
        <v>9162</v>
      </c>
    </row>
    <row r="168" spans="4:5">
      <c r="D168" s="2784" t="s">
        <v>657</v>
      </c>
      <c r="E168" s="2788">
        <v>-214</v>
      </c>
    </row>
    <row r="169" spans="4:5">
      <c r="D169" s="2784" t="s">
        <v>672</v>
      </c>
      <c r="E169" s="2788"/>
    </row>
    <row r="170" spans="4:5">
      <c r="D170" s="2784" t="s">
        <v>673</v>
      </c>
      <c r="E170" s="2788"/>
    </row>
    <row r="171" spans="4:5">
      <c r="D171" s="2785" t="s">
        <v>660</v>
      </c>
      <c r="E171" s="2788"/>
    </row>
    <row r="172" spans="4:5">
      <c r="D172" s="2785" t="s">
        <v>230</v>
      </c>
      <c r="E172" s="2788"/>
    </row>
    <row r="173" spans="4:5">
      <c r="D173" s="2786" t="s">
        <v>662</v>
      </c>
      <c r="E173" s="2788">
        <v>44435</v>
      </c>
    </row>
    <row r="174" spans="4:5">
      <c r="D174" s="2784" t="s">
        <v>663</v>
      </c>
      <c r="E174" s="2788"/>
    </row>
    <row r="175" spans="4:5">
      <c r="D175" s="2785" t="s">
        <v>664</v>
      </c>
      <c r="E175" s="2788"/>
    </row>
    <row r="176" spans="4:5">
      <c r="D176" s="2785" t="s">
        <v>665</v>
      </c>
      <c r="E176" s="2788"/>
    </row>
    <row r="177" spans="1:5">
      <c r="D177" s="2785" t="s">
        <v>774</v>
      </c>
      <c r="E177" s="2788">
        <v>788</v>
      </c>
    </row>
    <row r="178" spans="1:5">
      <c r="D178" s="2787" t="s">
        <v>775</v>
      </c>
      <c r="E178" s="2789">
        <f>SUM(E159:E177)</f>
        <v>257802</v>
      </c>
    </row>
    <row r="179" spans="1:5">
      <c r="A179" s="43">
        <v>8</v>
      </c>
      <c r="B179" s="1772" t="s">
        <v>186</v>
      </c>
      <c r="C179" s="2673" t="s">
        <v>130</v>
      </c>
    </row>
    <row r="180" spans="1:5">
      <c r="D180" s="89"/>
      <c r="E180" s="195" t="s">
        <v>769</v>
      </c>
    </row>
    <row r="181" spans="1:5">
      <c r="D181" s="1704" t="s">
        <v>226</v>
      </c>
      <c r="E181" s="2595"/>
    </row>
    <row r="182" spans="1:5">
      <c r="D182" s="2784" t="s">
        <v>649</v>
      </c>
      <c r="E182" s="2788">
        <v>17522.42236</v>
      </c>
    </row>
    <row r="183" spans="1:5">
      <c r="D183" s="2784" t="s">
        <v>650</v>
      </c>
      <c r="E183" s="2788">
        <v>19878.214359999998</v>
      </c>
    </row>
    <row r="184" spans="1:5">
      <c r="D184" s="2784" t="s">
        <v>772</v>
      </c>
      <c r="E184" s="2788">
        <v>21688.070869999996</v>
      </c>
    </row>
    <row r="185" spans="1:5">
      <c r="D185" s="2785" t="s">
        <v>652</v>
      </c>
      <c r="E185" s="2788">
        <v>0</v>
      </c>
    </row>
    <row r="186" spans="1:5">
      <c r="D186" s="2784" t="s">
        <v>653</v>
      </c>
      <c r="E186" s="2788">
        <v>0</v>
      </c>
    </row>
    <row r="187" spans="1:5">
      <c r="D187" s="2784" t="s">
        <v>654</v>
      </c>
      <c r="E187" s="2788">
        <v>0</v>
      </c>
    </row>
    <row r="188" spans="1:5">
      <c r="D188" s="2785" t="s">
        <v>655</v>
      </c>
      <c r="E188" s="2788">
        <v>0</v>
      </c>
    </row>
    <row r="189" spans="1:5">
      <c r="D189" s="2784" t="s">
        <v>656</v>
      </c>
      <c r="E189" s="2788">
        <v>2561.4623300000003</v>
      </c>
    </row>
    <row r="190" spans="1:5">
      <c r="D190" s="2784" t="s">
        <v>657</v>
      </c>
      <c r="E190" s="2788">
        <v>0</v>
      </c>
    </row>
    <row r="191" spans="1:5">
      <c r="D191" s="2784" t="s">
        <v>672</v>
      </c>
      <c r="E191" s="2788">
        <v>0</v>
      </c>
    </row>
    <row r="192" spans="1:5">
      <c r="D192" s="2784" t="s">
        <v>673</v>
      </c>
      <c r="E192" s="2788">
        <v>0</v>
      </c>
    </row>
    <row r="193" spans="1:5">
      <c r="D193" s="2785" t="s">
        <v>660</v>
      </c>
      <c r="E193" s="2788">
        <v>0</v>
      </c>
    </row>
    <row r="194" spans="1:5">
      <c r="D194" s="2785" t="s">
        <v>230</v>
      </c>
      <c r="E194" s="2788">
        <v>0</v>
      </c>
    </row>
    <row r="195" spans="1:5">
      <c r="D195" s="2786" t="s">
        <v>662</v>
      </c>
      <c r="E195" s="2788">
        <v>9580.1910100000005</v>
      </c>
    </row>
    <row r="196" spans="1:5">
      <c r="D196" s="2784" t="s">
        <v>663</v>
      </c>
      <c r="E196" s="2788">
        <v>20.861830000000001</v>
      </c>
    </row>
    <row r="197" spans="1:5">
      <c r="D197" s="2785" t="s">
        <v>664</v>
      </c>
      <c r="E197" s="2788">
        <v>0</v>
      </c>
    </row>
    <row r="198" spans="1:5">
      <c r="D198" s="2785" t="s">
        <v>665</v>
      </c>
      <c r="E198" s="2788">
        <v>0</v>
      </c>
    </row>
    <row r="199" spans="1:5">
      <c r="D199" s="2785" t="s">
        <v>774</v>
      </c>
      <c r="E199" s="2788">
        <v>0</v>
      </c>
    </row>
    <row r="200" spans="1:5">
      <c r="D200" s="2787" t="s">
        <v>775</v>
      </c>
      <c r="E200" s="2789">
        <f>SUM(E182:E199)</f>
        <v>71251.22275999999</v>
      </c>
    </row>
    <row r="201" spans="1:5">
      <c r="A201" s="43">
        <v>9</v>
      </c>
      <c r="B201" s="1772" t="s">
        <v>187</v>
      </c>
      <c r="C201" s="2673" t="s">
        <v>131</v>
      </c>
    </row>
    <row r="202" spans="1:5">
      <c r="D202" s="89"/>
      <c r="E202" s="195" t="s">
        <v>769</v>
      </c>
    </row>
    <row r="203" spans="1:5">
      <c r="D203" s="1704" t="s">
        <v>226</v>
      </c>
      <c r="E203" s="2595"/>
    </row>
    <row r="204" spans="1:5">
      <c r="D204" s="2784" t="s">
        <v>649</v>
      </c>
      <c r="E204" s="2788"/>
    </row>
    <row r="205" spans="1:5">
      <c r="D205" s="2784" t="s">
        <v>650</v>
      </c>
      <c r="E205" s="2788"/>
    </row>
    <row r="206" spans="1:5">
      <c r="D206" s="2784" t="s">
        <v>772</v>
      </c>
      <c r="E206" s="2788"/>
    </row>
    <row r="207" spans="1:5">
      <c r="D207" s="2785" t="s">
        <v>652</v>
      </c>
      <c r="E207" s="2788"/>
    </row>
    <row r="208" spans="1:5">
      <c r="D208" s="2784" t="s">
        <v>653</v>
      </c>
      <c r="E208" s="2788"/>
    </row>
    <row r="209" spans="1:5">
      <c r="D209" s="2784" t="s">
        <v>654</v>
      </c>
      <c r="E209" s="2788"/>
    </row>
    <row r="210" spans="1:5">
      <c r="D210" s="2785" t="s">
        <v>655</v>
      </c>
      <c r="E210" s="2788"/>
    </row>
    <row r="211" spans="1:5">
      <c r="D211" s="2784" t="s">
        <v>656</v>
      </c>
      <c r="E211" s="2788"/>
    </row>
    <row r="212" spans="1:5">
      <c r="D212" s="2784" t="s">
        <v>657</v>
      </c>
      <c r="E212" s="2788"/>
    </row>
    <row r="213" spans="1:5">
      <c r="D213" s="2784" t="s">
        <v>672</v>
      </c>
      <c r="E213" s="2788"/>
    </row>
    <row r="214" spans="1:5">
      <c r="D214" s="2784" t="s">
        <v>673</v>
      </c>
      <c r="E214" s="2788"/>
    </row>
    <row r="215" spans="1:5">
      <c r="D215" s="2785" t="s">
        <v>660</v>
      </c>
      <c r="E215" s="2788"/>
    </row>
    <row r="216" spans="1:5">
      <c r="D216" s="2785" t="s">
        <v>230</v>
      </c>
      <c r="E216" s="2788"/>
    </row>
    <row r="217" spans="1:5">
      <c r="D217" s="2786" t="s">
        <v>662</v>
      </c>
      <c r="E217" s="2788"/>
    </row>
    <row r="218" spans="1:5">
      <c r="D218" s="2784" t="s">
        <v>663</v>
      </c>
      <c r="E218" s="2788"/>
    </row>
    <row r="219" spans="1:5">
      <c r="D219" s="2785" t="s">
        <v>664</v>
      </c>
      <c r="E219" s="2788"/>
    </row>
    <row r="220" spans="1:5">
      <c r="D220" s="2785" t="s">
        <v>665</v>
      </c>
      <c r="E220" s="2788"/>
    </row>
    <row r="221" spans="1:5">
      <c r="D221" s="2785" t="s">
        <v>774</v>
      </c>
      <c r="E221" s="2788"/>
    </row>
    <row r="222" spans="1:5">
      <c r="D222" s="2787" t="s">
        <v>775</v>
      </c>
      <c r="E222" s="2789"/>
    </row>
    <row r="223" spans="1:5">
      <c r="A223" s="43">
        <v>10</v>
      </c>
      <c r="B223" s="1772" t="s">
        <v>188</v>
      </c>
      <c r="C223" s="2673" t="s">
        <v>780</v>
      </c>
    </row>
    <row r="224" spans="1:5">
      <c r="D224" s="89"/>
      <c r="E224" s="195" t="s">
        <v>769</v>
      </c>
    </row>
    <row r="225" spans="4:5">
      <c r="D225" s="1704" t="s">
        <v>226</v>
      </c>
      <c r="E225" s="2595"/>
    </row>
    <row r="226" spans="4:5">
      <c r="D226" s="2784" t="s">
        <v>649</v>
      </c>
      <c r="E226" s="2790">
        <v>38756.204519999999</v>
      </c>
    </row>
    <row r="227" spans="4:5">
      <c r="D227" s="2784" t="s">
        <v>650</v>
      </c>
      <c r="E227" s="2790">
        <v>30335.239020000001</v>
      </c>
    </row>
    <row r="228" spans="4:5">
      <c r="D228" s="2784" t="s">
        <v>772</v>
      </c>
      <c r="E228" s="2788">
        <f>+'[17]Sheet 2 - General Insurance'!$C$184+'[17]Sheet 2 - General Insurance'!$C$185</f>
        <v>11829.54952</v>
      </c>
    </row>
    <row r="229" spans="4:5">
      <c r="D229" s="2785" t="s">
        <v>652</v>
      </c>
      <c r="E229" s="2788"/>
    </row>
    <row r="230" spans="4:5">
      <c r="D230" s="2784" t="s">
        <v>653</v>
      </c>
      <c r="E230" s="2788">
        <v>-10447.07504</v>
      </c>
    </row>
    <row r="231" spans="4:5">
      <c r="D231" s="2784" t="s">
        <v>654</v>
      </c>
      <c r="E231" s="2790">
        <v>1495.5195800000001</v>
      </c>
    </row>
    <row r="232" spans="4:5">
      <c r="D232" s="2785" t="s">
        <v>655</v>
      </c>
      <c r="E232" s="2788"/>
    </row>
    <row r="233" spans="4:5">
      <c r="D233" s="2784" t="s">
        <v>656</v>
      </c>
      <c r="E233" s="2790">
        <v>17178.225999999999</v>
      </c>
    </row>
    <row r="234" spans="4:5">
      <c r="D234" s="2784" t="s">
        <v>657</v>
      </c>
      <c r="E234" s="2790">
        <v>2287.7883999999999</v>
      </c>
    </row>
    <row r="235" spans="4:5">
      <c r="D235" s="2784" t="s">
        <v>672</v>
      </c>
      <c r="E235" s="2790">
        <v>0</v>
      </c>
    </row>
    <row r="236" spans="4:5">
      <c r="D236" s="2784" t="s">
        <v>673</v>
      </c>
      <c r="E236" s="2790">
        <v>0</v>
      </c>
    </row>
    <row r="237" spans="4:5">
      <c r="D237" s="2785" t="s">
        <v>660</v>
      </c>
      <c r="E237" s="2788"/>
    </row>
    <row r="238" spans="4:5">
      <c r="D238" s="2785" t="s">
        <v>230</v>
      </c>
      <c r="E238" s="2788"/>
    </row>
    <row r="239" spans="4:5">
      <c r="D239" s="2786" t="s">
        <v>662</v>
      </c>
      <c r="E239" s="2790">
        <v>16718.564819999989</v>
      </c>
    </row>
    <row r="240" spans="4:5">
      <c r="D240" s="2784" t="s">
        <v>663</v>
      </c>
      <c r="E240" s="2790">
        <v>2693.962</v>
      </c>
    </row>
    <row r="241" spans="1:5">
      <c r="D241" s="2785" t="s">
        <v>664</v>
      </c>
      <c r="E241" s="2788">
        <f>+'[17]Sheet 2 - General Insurance'!$C$192</f>
        <v>2961</v>
      </c>
    </row>
    <row r="242" spans="1:5">
      <c r="D242" s="2785" t="s">
        <v>665</v>
      </c>
      <c r="E242" s="2788"/>
    </row>
    <row r="243" spans="1:5">
      <c r="D243" s="2785" t="s">
        <v>774</v>
      </c>
      <c r="E243" s="2788">
        <v>16672</v>
      </c>
    </row>
    <row r="244" spans="1:5">
      <c r="D244" s="2787" t="s">
        <v>775</v>
      </c>
      <c r="E244" s="2789">
        <f>SUM(E226:E243)</f>
        <v>130480.97881999999</v>
      </c>
    </row>
    <row r="245" spans="1:5">
      <c r="A245" s="43">
        <v>11</v>
      </c>
      <c r="B245" s="1772" t="s">
        <v>189</v>
      </c>
      <c r="C245" s="2673" t="s">
        <v>133</v>
      </c>
    </row>
    <row r="246" spans="1:5">
      <c r="D246" s="89"/>
      <c r="E246" s="195" t="s">
        <v>769</v>
      </c>
    </row>
    <row r="247" spans="1:5">
      <c r="D247" s="1704" t="s">
        <v>226</v>
      </c>
      <c r="E247" s="2595"/>
    </row>
    <row r="248" spans="1:5">
      <c r="D248" s="2784" t="s">
        <v>649</v>
      </c>
      <c r="E248" s="2788">
        <v>149781.302</v>
      </c>
    </row>
    <row r="249" spans="1:5">
      <c r="D249" s="2784" t="s">
        <v>650</v>
      </c>
      <c r="E249" s="2788"/>
    </row>
    <row r="250" spans="1:5">
      <c r="D250" s="2784" t="s">
        <v>772</v>
      </c>
      <c r="E250" s="2788">
        <v>37752.043859999998</v>
      </c>
    </row>
    <row r="251" spans="1:5">
      <c r="D251" s="2785" t="s">
        <v>652</v>
      </c>
      <c r="E251" s="2788"/>
    </row>
    <row r="252" spans="1:5">
      <c r="D252" s="2784" t="s">
        <v>653</v>
      </c>
      <c r="E252" s="2788"/>
    </row>
    <row r="253" spans="1:5">
      <c r="D253" s="2784" t="s">
        <v>654</v>
      </c>
      <c r="E253" s="2788">
        <v>117954.43897</v>
      </c>
    </row>
    <row r="254" spans="1:5">
      <c r="D254" s="2785" t="s">
        <v>655</v>
      </c>
      <c r="E254" s="2788"/>
    </row>
    <row r="255" spans="1:5">
      <c r="D255" s="2784" t="s">
        <v>656</v>
      </c>
      <c r="E255" s="2788">
        <v>34399.774189999996</v>
      </c>
    </row>
    <row r="256" spans="1:5">
      <c r="D256" s="2784" t="s">
        <v>657</v>
      </c>
      <c r="E256" s="2788">
        <v>6699.70921</v>
      </c>
    </row>
    <row r="257" spans="1:5">
      <c r="D257" s="2784" t="s">
        <v>672</v>
      </c>
      <c r="E257" s="2788"/>
    </row>
    <row r="258" spans="1:5">
      <c r="D258" s="2784" t="s">
        <v>673</v>
      </c>
      <c r="E258" s="2788">
        <v>27742.50722</v>
      </c>
    </row>
    <row r="259" spans="1:5">
      <c r="D259" s="2785" t="s">
        <v>660</v>
      </c>
      <c r="E259" s="2788">
        <v>420</v>
      </c>
    </row>
    <row r="260" spans="1:5">
      <c r="D260" s="2785" t="s">
        <v>230</v>
      </c>
      <c r="E260" s="2788"/>
    </row>
    <row r="261" spans="1:5">
      <c r="D261" s="2786" t="s">
        <v>662</v>
      </c>
      <c r="E261" s="2788">
        <v>43461.249060000002</v>
      </c>
    </row>
    <row r="262" spans="1:5">
      <c r="D262" s="2784" t="s">
        <v>663</v>
      </c>
      <c r="E262" s="2788">
        <v>17250.136630000001</v>
      </c>
    </row>
    <row r="263" spans="1:5">
      <c r="D263" s="2785" t="s">
        <v>664</v>
      </c>
      <c r="E263" s="2788">
        <v>27054.711460000002</v>
      </c>
    </row>
    <row r="264" spans="1:5">
      <c r="D264" s="2785" t="s">
        <v>665</v>
      </c>
      <c r="E264" s="2788"/>
    </row>
    <row r="265" spans="1:5">
      <c r="D265" s="2785" t="s">
        <v>774</v>
      </c>
      <c r="E265" s="2788">
        <v>110077.20965</v>
      </c>
    </row>
    <row r="266" spans="1:5">
      <c r="D266" s="2787" t="s">
        <v>775</v>
      </c>
      <c r="E266" s="2789">
        <f>SUM(E247:E265)</f>
        <v>572593.08225000009</v>
      </c>
    </row>
    <row r="267" spans="1:5">
      <c r="A267" s="43">
        <v>12</v>
      </c>
      <c r="B267" s="1772" t="s">
        <v>191</v>
      </c>
      <c r="C267" s="2673" t="s">
        <v>134</v>
      </c>
    </row>
    <row r="268" spans="1:5">
      <c r="D268" s="89"/>
      <c r="E268" s="195" t="s">
        <v>769</v>
      </c>
    </row>
    <row r="269" spans="1:5">
      <c r="D269" s="1704" t="s">
        <v>226</v>
      </c>
      <c r="E269" s="2595"/>
    </row>
    <row r="270" spans="1:5">
      <c r="D270" s="2784" t="s">
        <v>649</v>
      </c>
      <c r="E270" s="2788"/>
    </row>
    <row r="271" spans="1:5">
      <c r="D271" s="2784" t="s">
        <v>650</v>
      </c>
      <c r="E271" s="2788"/>
    </row>
    <row r="272" spans="1:5">
      <c r="D272" s="2784" t="s">
        <v>772</v>
      </c>
      <c r="E272" s="2791">
        <v>6713.5349699999997</v>
      </c>
    </row>
    <row r="273" spans="4:5">
      <c r="D273" s="2785" t="s">
        <v>652</v>
      </c>
      <c r="E273" s="2791"/>
    </row>
    <row r="274" spans="4:5">
      <c r="D274" s="2784" t="s">
        <v>653</v>
      </c>
      <c r="E274" s="2791"/>
    </row>
    <row r="275" spans="4:5">
      <c r="D275" s="2784" t="s">
        <v>654</v>
      </c>
      <c r="E275" s="2791"/>
    </row>
    <row r="276" spans="4:5">
      <c r="D276" s="2785" t="s">
        <v>655</v>
      </c>
      <c r="E276" s="2791"/>
    </row>
    <row r="277" spans="4:5">
      <c r="D277" s="2784" t="s">
        <v>656</v>
      </c>
      <c r="E277" s="2791"/>
    </row>
    <row r="278" spans="4:5">
      <c r="D278" s="2784" t="s">
        <v>657</v>
      </c>
      <c r="E278" s="2791"/>
    </row>
    <row r="279" spans="4:5">
      <c r="D279" s="2784" t="s">
        <v>672</v>
      </c>
      <c r="E279" s="2791"/>
    </row>
    <row r="280" spans="4:5">
      <c r="D280" s="2784" t="s">
        <v>673</v>
      </c>
      <c r="E280" s="2791"/>
    </row>
    <row r="281" spans="4:5">
      <c r="D281" s="2785" t="s">
        <v>660</v>
      </c>
      <c r="E281" s="2791"/>
    </row>
    <row r="282" spans="4:5">
      <c r="D282" s="2785" t="s">
        <v>230</v>
      </c>
      <c r="E282" s="2791"/>
    </row>
    <row r="283" spans="4:5">
      <c r="D283" s="2786" t="s">
        <v>662</v>
      </c>
      <c r="E283" s="2791">
        <v>5453.05843</v>
      </c>
    </row>
    <row r="284" spans="4:5">
      <c r="D284" s="2784" t="s">
        <v>663</v>
      </c>
      <c r="E284" s="2788"/>
    </row>
    <row r="285" spans="4:5">
      <c r="D285" s="2785" t="s">
        <v>664</v>
      </c>
      <c r="E285" s="2788"/>
    </row>
    <row r="286" spans="4:5">
      <c r="D286" s="2785" t="s">
        <v>665</v>
      </c>
      <c r="E286" s="2788"/>
    </row>
    <row r="287" spans="4:5">
      <c r="D287" s="2785" t="s">
        <v>774</v>
      </c>
      <c r="E287" s="2788"/>
    </row>
    <row r="288" spans="4:5">
      <c r="D288" s="2787" t="s">
        <v>775</v>
      </c>
      <c r="E288" s="2789"/>
    </row>
    <row r="289" spans="1:5">
      <c r="A289" s="43">
        <v>13</v>
      </c>
      <c r="B289" s="1772" t="s">
        <v>192</v>
      </c>
      <c r="C289" s="2673" t="s">
        <v>109</v>
      </c>
    </row>
    <row r="290" spans="1:5">
      <c r="D290" s="89"/>
      <c r="E290" s="195" t="s">
        <v>769</v>
      </c>
    </row>
    <row r="291" spans="1:5">
      <c r="D291" s="1704" t="s">
        <v>226</v>
      </c>
      <c r="E291" s="2595"/>
    </row>
    <row r="292" spans="1:5">
      <c r="D292" s="2784" t="s">
        <v>649</v>
      </c>
      <c r="E292" s="2792">
        <v>21019.735170000004</v>
      </c>
    </row>
    <row r="293" spans="1:5">
      <c r="D293" s="2784" t="s">
        <v>650</v>
      </c>
      <c r="E293" s="2792">
        <v>8963.5474800000011</v>
      </c>
    </row>
    <row r="294" spans="1:5">
      <c r="D294" s="2784" t="s">
        <v>772</v>
      </c>
      <c r="E294" s="2792">
        <v>1826.3819799999999</v>
      </c>
    </row>
    <row r="295" spans="1:5">
      <c r="D295" s="2785" t="s">
        <v>652</v>
      </c>
      <c r="E295" s="2792"/>
    </row>
    <row r="296" spans="1:5">
      <c r="D296" s="2784" t="s">
        <v>653</v>
      </c>
      <c r="E296" s="2792">
        <v>2945.0373500000001</v>
      </c>
    </row>
    <row r="297" spans="1:5">
      <c r="D297" s="2784" t="s">
        <v>654</v>
      </c>
      <c r="E297" s="2792">
        <v>557.73885999999993</v>
      </c>
    </row>
    <row r="298" spans="1:5">
      <c r="D298" s="2785" t="s">
        <v>655</v>
      </c>
      <c r="E298" s="2792">
        <v>0</v>
      </c>
    </row>
    <row r="299" spans="1:5">
      <c r="D299" s="2784" t="s">
        <v>656</v>
      </c>
      <c r="E299" s="2792">
        <v>1133.6118300000001</v>
      </c>
    </row>
    <row r="300" spans="1:5">
      <c r="D300" s="2784" t="s">
        <v>657</v>
      </c>
      <c r="E300" s="2792">
        <v>355.96497999999997</v>
      </c>
    </row>
    <row r="301" spans="1:5">
      <c r="D301" s="2784" t="s">
        <v>672</v>
      </c>
      <c r="E301" s="2792">
        <v>0</v>
      </c>
    </row>
    <row r="302" spans="1:5">
      <c r="D302" s="2784" t="s">
        <v>673</v>
      </c>
      <c r="E302" s="2792">
        <v>0</v>
      </c>
    </row>
    <row r="303" spans="1:5">
      <c r="D303" s="2785" t="s">
        <v>660</v>
      </c>
      <c r="E303" s="2792">
        <v>0</v>
      </c>
    </row>
    <row r="304" spans="1:5">
      <c r="D304" s="2785" t="s">
        <v>230</v>
      </c>
      <c r="E304" s="2792">
        <v>0</v>
      </c>
    </row>
    <row r="305" spans="1:5">
      <c r="D305" s="2786" t="s">
        <v>662</v>
      </c>
      <c r="E305" s="2792">
        <v>568.41273999999999</v>
      </c>
    </row>
    <row r="306" spans="1:5">
      <c r="D306" s="2784" t="s">
        <v>663</v>
      </c>
      <c r="E306" s="2792">
        <v>0</v>
      </c>
    </row>
    <row r="307" spans="1:5">
      <c r="D307" s="2785" t="s">
        <v>664</v>
      </c>
      <c r="E307" s="2792">
        <v>0</v>
      </c>
    </row>
    <row r="308" spans="1:5">
      <c r="D308" s="2785" t="s">
        <v>665</v>
      </c>
      <c r="E308" s="2792">
        <v>0</v>
      </c>
    </row>
    <row r="309" spans="1:5">
      <c r="D309" s="2785" t="s">
        <v>774</v>
      </c>
      <c r="E309" s="2792">
        <v>0</v>
      </c>
    </row>
    <row r="310" spans="1:5">
      <c r="D310" s="2787" t="s">
        <v>775</v>
      </c>
      <c r="E310" s="2789">
        <f>SUM(E292:E309)</f>
        <v>37370.430390000001</v>
      </c>
    </row>
    <row r="311" spans="1:5">
      <c r="A311" s="43">
        <v>14</v>
      </c>
      <c r="B311" s="1772" t="s">
        <v>193</v>
      </c>
      <c r="C311" s="2673" t="s">
        <v>111</v>
      </c>
    </row>
    <row r="312" spans="1:5">
      <c r="D312" s="89"/>
      <c r="E312" s="195" t="s">
        <v>769</v>
      </c>
    </row>
    <row r="313" spans="1:5">
      <c r="D313" s="1704" t="s">
        <v>226</v>
      </c>
      <c r="E313" s="2595"/>
    </row>
    <row r="314" spans="1:5">
      <c r="D314" s="2784" t="s">
        <v>649</v>
      </c>
      <c r="E314" s="2788"/>
    </row>
    <row r="315" spans="1:5">
      <c r="D315" s="2784" t="s">
        <v>650</v>
      </c>
      <c r="E315" s="2788"/>
    </row>
    <row r="316" spans="1:5">
      <c r="D316" s="2784" t="s">
        <v>772</v>
      </c>
      <c r="E316" s="2788">
        <f>+'[40]Sheet 2 - General Insurance'!$C$170</f>
        <v>19952.125469999999</v>
      </c>
    </row>
    <row r="317" spans="1:5">
      <c r="D317" s="2785" t="s">
        <v>652</v>
      </c>
      <c r="E317" s="2788"/>
    </row>
    <row r="318" spans="1:5">
      <c r="D318" s="2784" t="s">
        <v>653</v>
      </c>
      <c r="E318" s="2788"/>
    </row>
    <row r="319" spans="1:5">
      <c r="D319" s="2784" t="s">
        <v>654</v>
      </c>
      <c r="E319" s="2788"/>
    </row>
    <row r="320" spans="1:5">
      <c r="D320" s="2785" t="s">
        <v>655</v>
      </c>
      <c r="E320" s="2788"/>
    </row>
    <row r="321" spans="1:5">
      <c r="D321" s="2784" t="s">
        <v>656</v>
      </c>
      <c r="E321" s="2788"/>
    </row>
    <row r="322" spans="1:5">
      <c r="D322" s="2784" t="s">
        <v>657</v>
      </c>
      <c r="E322" s="2788"/>
    </row>
    <row r="323" spans="1:5">
      <c r="D323" s="2784" t="s">
        <v>672</v>
      </c>
      <c r="E323" s="2788"/>
    </row>
    <row r="324" spans="1:5">
      <c r="D324" s="2784" t="s">
        <v>673</v>
      </c>
      <c r="E324" s="2788"/>
    </row>
    <row r="325" spans="1:5">
      <c r="D325" s="2785" t="s">
        <v>660</v>
      </c>
      <c r="E325" s="2788"/>
    </row>
    <row r="326" spans="1:5">
      <c r="D326" s="2785" t="s">
        <v>230</v>
      </c>
      <c r="E326" s="2788"/>
    </row>
    <row r="327" spans="1:5">
      <c r="D327" s="2786" t="s">
        <v>662</v>
      </c>
      <c r="E327" s="2788">
        <f>+'[40]Sheet 2 - General Insurance'!$C$181</f>
        <v>2914.51253</v>
      </c>
    </row>
    <row r="328" spans="1:5">
      <c r="D328" s="2784" t="s">
        <v>663</v>
      </c>
      <c r="E328" s="2788"/>
    </row>
    <row r="329" spans="1:5">
      <c r="D329" s="2785" t="s">
        <v>664</v>
      </c>
      <c r="E329" s="2788"/>
    </row>
    <row r="330" spans="1:5">
      <c r="D330" s="2785" t="s">
        <v>665</v>
      </c>
      <c r="E330" s="2788"/>
    </row>
    <row r="331" spans="1:5">
      <c r="D331" s="2785" t="s">
        <v>774</v>
      </c>
      <c r="E331" s="2788"/>
    </row>
    <row r="332" spans="1:5">
      <c r="D332" s="2787" t="s">
        <v>775</v>
      </c>
      <c r="E332" s="2789">
        <f>SUM(E314:E331)</f>
        <v>22866.637999999999</v>
      </c>
    </row>
    <row r="333" spans="1:5">
      <c r="A333" s="43">
        <v>15</v>
      </c>
      <c r="B333" s="1772" t="s">
        <v>194</v>
      </c>
      <c r="C333" s="2673" t="s">
        <v>112</v>
      </c>
    </row>
    <row r="334" spans="1:5">
      <c r="D334" s="89"/>
      <c r="E334" s="195" t="s">
        <v>769</v>
      </c>
    </row>
    <row r="335" spans="1:5">
      <c r="D335" s="1704" t="s">
        <v>226</v>
      </c>
      <c r="E335" s="2595"/>
    </row>
    <row r="336" spans="1:5">
      <c r="D336" s="2784" t="s">
        <v>649</v>
      </c>
      <c r="E336" s="2788">
        <v>0</v>
      </c>
    </row>
    <row r="337" spans="4:5">
      <c r="D337" s="2784" t="s">
        <v>650</v>
      </c>
      <c r="E337" s="2788">
        <v>69666</v>
      </c>
    </row>
    <row r="338" spans="4:5">
      <c r="D338" s="2784" t="s">
        <v>772</v>
      </c>
      <c r="E338" s="2788">
        <v>12991</v>
      </c>
    </row>
    <row r="339" spans="4:5">
      <c r="D339" s="2785" t="s">
        <v>652</v>
      </c>
      <c r="E339" s="2788"/>
    </row>
    <row r="340" spans="4:5">
      <c r="D340" s="2784" t="s">
        <v>653</v>
      </c>
      <c r="E340" s="2788">
        <v>-2793</v>
      </c>
    </row>
    <row r="341" spans="4:5">
      <c r="D341" s="2784" t="s">
        <v>654</v>
      </c>
      <c r="E341" s="2788">
        <v>249</v>
      </c>
    </row>
    <row r="342" spans="4:5">
      <c r="D342" s="2785" t="s">
        <v>655</v>
      </c>
      <c r="E342" s="2788"/>
    </row>
    <row r="343" spans="4:5">
      <c r="D343" s="2784" t="s">
        <v>656</v>
      </c>
      <c r="E343" s="2788"/>
    </row>
    <row r="344" spans="4:5">
      <c r="D344" s="2784" t="s">
        <v>657</v>
      </c>
      <c r="E344" s="2788"/>
    </row>
    <row r="345" spans="4:5">
      <c r="D345" s="2784" t="s">
        <v>672</v>
      </c>
      <c r="E345" s="2788"/>
    </row>
    <row r="346" spans="4:5">
      <c r="D346" s="2784" t="s">
        <v>673</v>
      </c>
      <c r="E346" s="2788"/>
    </row>
    <row r="347" spans="4:5">
      <c r="D347" s="2785" t="s">
        <v>660</v>
      </c>
      <c r="E347" s="2788"/>
    </row>
    <row r="348" spans="4:5">
      <c r="D348" s="2785" t="s">
        <v>230</v>
      </c>
      <c r="E348" s="2788"/>
    </row>
    <row r="349" spans="4:5">
      <c r="D349" s="2786" t="s">
        <v>662</v>
      </c>
      <c r="E349" s="2788">
        <v>8665</v>
      </c>
    </row>
    <row r="350" spans="4:5">
      <c r="D350" s="2784" t="s">
        <v>663</v>
      </c>
      <c r="E350" s="2788"/>
    </row>
    <row r="351" spans="4:5">
      <c r="D351" s="2785" t="s">
        <v>664</v>
      </c>
      <c r="E351" s="2788"/>
    </row>
    <row r="352" spans="4:5">
      <c r="D352" s="2785" t="s">
        <v>665</v>
      </c>
      <c r="E352" s="2788"/>
    </row>
    <row r="353" spans="1:5">
      <c r="D353" s="2785" t="s">
        <v>774</v>
      </c>
      <c r="E353" s="2788">
        <v>201</v>
      </c>
    </row>
    <row r="354" spans="1:5">
      <c r="D354" s="2787" t="s">
        <v>775</v>
      </c>
      <c r="E354" s="2789">
        <f>SUM(E336:E353)</f>
        <v>88979</v>
      </c>
    </row>
    <row r="355" spans="1:5">
      <c r="A355" s="43">
        <v>16</v>
      </c>
      <c r="B355" s="1772" t="s">
        <v>195</v>
      </c>
      <c r="C355" s="2673" t="s">
        <v>115</v>
      </c>
    </row>
    <row r="356" spans="1:5">
      <c r="D356" s="89"/>
      <c r="E356" s="195" t="s">
        <v>769</v>
      </c>
    </row>
    <row r="357" spans="1:5">
      <c r="D357" s="1704" t="s">
        <v>226</v>
      </c>
      <c r="E357" s="2595"/>
    </row>
    <row r="358" spans="1:5">
      <c r="D358" s="2784" t="s">
        <v>649</v>
      </c>
      <c r="E358" s="2788">
        <v>365914.46322000003</v>
      </c>
    </row>
    <row r="359" spans="1:5">
      <c r="D359" s="2784" t="s">
        <v>650</v>
      </c>
      <c r="E359" s="2788">
        <v>8448.9742100000003</v>
      </c>
    </row>
    <row r="360" spans="1:5">
      <c r="D360" s="2784" t="s">
        <v>772</v>
      </c>
      <c r="E360" s="2788">
        <v>48755</v>
      </c>
    </row>
    <row r="361" spans="1:5">
      <c r="D361" s="2785" t="s">
        <v>652</v>
      </c>
      <c r="E361" s="2788">
        <v>0</v>
      </c>
    </row>
    <row r="362" spans="1:5">
      <c r="D362" s="2784" t="s">
        <v>653</v>
      </c>
      <c r="E362" s="2788">
        <v>388250.79091000004</v>
      </c>
    </row>
    <row r="363" spans="1:5">
      <c r="D363" s="2784" t="s">
        <v>654</v>
      </c>
      <c r="E363" s="2788">
        <v>352202.54345000006</v>
      </c>
    </row>
    <row r="364" spans="1:5">
      <c r="D364" s="2785" t="s">
        <v>655</v>
      </c>
      <c r="E364" s="2788">
        <v>0</v>
      </c>
    </row>
    <row r="365" spans="1:5">
      <c r="D365" s="2784" t="s">
        <v>656</v>
      </c>
      <c r="E365" s="2788">
        <v>93650.216339999999</v>
      </c>
    </row>
    <row r="366" spans="1:5">
      <c r="D366" s="2784" t="s">
        <v>657</v>
      </c>
      <c r="E366" s="2788">
        <v>1578.9041100000002</v>
      </c>
    </row>
    <row r="367" spans="1:5">
      <c r="D367" s="2784" t="s">
        <v>672</v>
      </c>
      <c r="E367" s="2788">
        <v>0</v>
      </c>
    </row>
    <row r="368" spans="1:5">
      <c r="D368" s="2784" t="s">
        <v>673</v>
      </c>
      <c r="E368" s="2788">
        <v>5411</v>
      </c>
    </row>
    <row r="369" spans="1:5">
      <c r="D369" s="2785" t="s">
        <v>660</v>
      </c>
      <c r="E369" s="2788"/>
    </row>
    <row r="370" spans="1:5">
      <c r="D370" s="2785" t="s">
        <v>230</v>
      </c>
      <c r="E370" s="2788">
        <v>0</v>
      </c>
    </row>
    <row r="371" spans="1:5">
      <c r="D371" s="2786" t="s">
        <v>662</v>
      </c>
      <c r="E371" s="2788">
        <v>107263</v>
      </c>
    </row>
    <row r="372" spans="1:5">
      <c r="D372" s="2784" t="s">
        <v>663</v>
      </c>
      <c r="E372" s="2788"/>
    </row>
    <row r="373" spans="1:5">
      <c r="D373" s="2785" t="s">
        <v>664</v>
      </c>
      <c r="E373" s="2788">
        <v>0</v>
      </c>
    </row>
    <row r="374" spans="1:5">
      <c r="D374" s="2785" t="s">
        <v>665</v>
      </c>
      <c r="E374" s="2788"/>
    </row>
    <row r="375" spans="1:5">
      <c r="D375" s="2785" t="s">
        <v>774</v>
      </c>
      <c r="E375" s="2788"/>
    </row>
    <row r="376" spans="1:5">
      <c r="D376" s="2787" t="s">
        <v>775</v>
      </c>
      <c r="E376" s="2789">
        <f>SUM(E358:E375)</f>
        <v>1371474.8922400002</v>
      </c>
    </row>
    <row r="377" spans="1:5">
      <c r="A377" s="43">
        <v>17</v>
      </c>
      <c r="B377" s="1772" t="s">
        <v>196</v>
      </c>
      <c r="C377" s="2673" t="s">
        <v>135</v>
      </c>
    </row>
    <row r="378" spans="1:5">
      <c r="D378" s="89"/>
      <c r="E378" s="195" t="s">
        <v>769</v>
      </c>
    </row>
    <row r="379" spans="1:5">
      <c r="D379" s="1704" t="s">
        <v>226</v>
      </c>
      <c r="E379" s="2595"/>
    </row>
    <row r="380" spans="1:5">
      <c r="D380" s="2784" t="s">
        <v>649</v>
      </c>
      <c r="E380" s="2788">
        <v>6229.8160000000007</v>
      </c>
    </row>
    <row r="381" spans="1:5">
      <c r="D381" s="2784" t="s">
        <v>650</v>
      </c>
      <c r="E381" s="2788">
        <v>9047.7420000000002</v>
      </c>
    </row>
    <row r="382" spans="1:5">
      <c r="D382" s="2784" t="s">
        <v>772</v>
      </c>
      <c r="E382" s="2788">
        <v>2186.9</v>
      </c>
    </row>
    <row r="383" spans="1:5">
      <c r="D383" s="2785" t="s">
        <v>652</v>
      </c>
      <c r="E383" s="2788"/>
    </row>
    <row r="384" spans="1:5">
      <c r="D384" s="2784" t="s">
        <v>653</v>
      </c>
      <c r="E384" s="2788"/>
    </row>
    <row r="385" spans="1:5">
      <c r="D385" s="2784" t="s">
        <v>654</v>
      </c>
      <c r="E385" s="2788">
        <v>762.20500000000004</v>
      </c>
    </row>
    <row r="386" spans="1:5">
      <c r="D386" s="2785" t="s">
        <v>655</v>
      </c>
      <c r="E386" s="2788"/>
    </row>
    <row r="387" spans="1:5">
      <c r="D387" s="2784" t="s">
        <v>656</v>
      </c>
      <c r="E387" s="2788">
        <v>481.99</v>
      </c>
    </row>
    <row r="388" spans="1:5">
      <c r="D388" s="2784" t="s">
        <v>657</v>
      </c>
      <c r="E388" s="2788">
        <v>2292.85</v>
      </c>
    </row>
    <row r="389" spans="1:5">
      <c r="D389" s="2784" t="s">
        <v>672</v>
      </c>
      <c r="E389" s="2788"/>
    </row>
    <row r="390" spans="1:5">
      <c r="D390" s="2784" t="s">
        <v>673</v>
      </c>
      <c r="E390" s="2788"/>
    </row>
    <row r="391" spans="1:5">
      <c r="D391" s="2785" t="s">
        <v>660</v>
      </c>
      <c r="E391" s="2788"/>
    </row>
    <row r="392" spans="1:5">
      <c r="D392" s="2785" t="s">
        <v>230</v>
      </c>
      <c r="E392" s="2788"/>
    </row>
    <row r="393" spans="1:5">
      <c r="D393" s="2786" t="s">
        <v>662</v>
      </c>
      <c r="E393" s="2788">
        <v>8867.9210000000003</v>
      </c>
    </row>
    <row r="394" spans="1:5">
      <c r="D394" s="2784" t="s">
        <v>663</v>
      </c>
      <c r="E394" s="2788"/>
    </row>
    <row r="395" spans="1:5">
      <c r="D395" s="2785" t="s">
        <v>664</v>
      </c>
      <c r="E395" s="2788"/>
    </row>
    <row r="396" spans="1:5">
      <c r="D396" s="2785" t="s">
        <v>665</v>
      </c>
      <c r="E396" s="2788"/>
    </row>
    <row r="397" spans="1:5">
      <c r="D397" s="2785" t="s">
        <v>774</v>
      </c>
      <c r="E397" s="2788"/>
    </row>
    <row r="398" spans="1:5">
      <c r="D398" s="2787" t="s">
        <v>775</v>
      </c>
      <c r="E398" s="2789">
        <f>SUM(E379:E397)</f>
        <v>29869.424000000006</v>
      </c>
    </row>
    <row r="399" spans="1:5">
      <c r="A399" s="43">
        <v>18</v>
      </c>
      <c r="B399" s="1772" t="s">
        <v>197</v>
      </c>
      <c r="C399" s="2673" t="s">
        <v>781</v>
      </c>
    </row>
    <row r="400" spans="1:5">
      <c r="D400" s="89"/>
      <c r="E400" s="195" t="s">
        <v>769</v>
      </c>
    </row>
    <row r="401" spans="4:5">
      <c r="D401" s="1704" t="s">
        <v>226</v>
      </c>
      <c r="E401" s="2595"/>
    </row>
    <row r="402" spans="4:5">
      <c r="D402" s="2784" t="s">
        <v>649</v>
      </c>
      <c r="E402" s="1817">
        <v>322523.58064</v>
      </c>
    </row>
    <row r="403" spans="4:5">
      <c r="D403" s="2784" t="s">
        <v>650</v>
      </c>
      <c r="E403" s="1817">
        <v>20705.046309999998</v>
      </c>
    </row>
    <row r="404" spans="4:5">
      <c r="D404" s="2784" t="s">
        <v>772</v>
      </c>
      <c r="E404" s="1817">
        <v>41800.914050000007</v>
      </c>
    </row>
    <row r="405" spans="4:5">
      <c r="D405" s="2785" t="s">
        <v>652</v>
      </c>
      <c r="E405" s="1817"/>
    </row>
    <row r="406" spans="4:5">
      <c r="D406" s="2784" t="s">
        <v>653</v>
      </c>
      <c r="E406" s="1817">
        <v>-18993.387070000001</v>
      </c>
    </row>
    <row r="407" spans="4:5">
      <c r="D407" s="2784" t="s">
        <v>654</v>
      </c>
      <c r="E407" s="1817">
        <v>1071.4613400000001</v>
      </c>
    </row>
    <row r="408" spans="4:5">
      <c r="D408" s="2785" t="s">
        <v>655</v>
      </c>
      <c r="E408" s="1817"/>
    </row>
    <row r="409" spans="4:5">
      <c r="D409" s="2784" t="s">
        <v>656</v>
      </c>
      <c r="E409" s="1817">
        <v>37025.90681</v>
      </c>
    </row>
    <row r="410" spans="4:5">
      <c r="D410" s="2784" t="s">
        <v>657</v>
      </c>
      <c r="E410" s="1817">
        <v>6560.8285700000006</v>
      </c>
    </row>
    <row r="411" spans="4:5">
      <c r="D411" s="2784" t="s">
        <v>672</v>
      </c>
      <c r="E411" s="1817"/>
    </row>
    <row r="412" spans="4:5">
      <c r="D412" s="2784" t="s">
        <v>673</v>
      </c>
      <c r="E412" s="1817"/>
    </row>
    <row r="413" spans="4:5">
      <c r="D413" s="2785" t="s">
        <v>660</v>
      </c>
      <c r="E413" s="1817"/>
    </row>
    <row r="414" spans="4:5">
      <c r="D414" s="2785" t="s">
        <v>230</v>
      </c>
      <c r="E414" s="1817"/>
    </row>
    <row r="415" spans="4:5">
      <c r="D415" s="2786" t="s">
        <v>662</v>
      </c>
      <c r="E415" s="1817">
        <v>6488.7035400000004</v>
      </c>
    </row>
    <row r="416" spans="4:5">
      <c r="D416" s="2784" t="s">
        <v>663</v>
      </c>
      <c r="E416" s="1817"/>
    </row>
    <row r="417" spans="2:5">
      <c r="D417" s="2785" t="s">
        <v>664</v>
      </c>
      <c r="E417" s="1817"/>
    </row>
    <row r="418" spans="2:5">
      <c r="D418" s="2785" t="s">
        <v>665</v>
      </c>
      <c r="E418" s="1817"/>
    </row>
    <row r="419" spans="2:5">
      <c r="D419" s="2785" t="s">
        <v>774</v>
      </c>
      <c r="E419" s="1817"/>
    </row>
    <row r="420" spans="2:5">
      <c r="D420" s="2787" t="s">
        <v>775</v>
      </c>
      <c r="E420" s="2789">
        <f>SUM(E401:E419)</f>
        <v>417183.05419000005</v>
      </c>
    </row>
    <row r="421" spans="2:5">
      <c r="B421" s="1777" t="s">
        <v>118</v>
      </c>
      <c r="C421" s="1777" t="s">
        <v>118</v>
      </c>
    </row>
  </sheetData>
  <customSheetViews>
    <customSheetView guid="{2ACFE167-4169-43A6-9AB2-59D5A2DA2DB4}" scale="60" hiddenColumns="1" state="hidden" topLeftCell="C1">
      <selection activeCell="F4" sqref="F4"/>
      <rowBreaks count="9" manualBreakCount="9">
        <brk id="46" max="16383" man="1"/>
        <brk id="90" max="16383" man="1"/>
        <brk id="134" max="16383" man="1"/>
        <brk id="178" max="16383" man="1"/>
        <brk id="222" max="16383" man="1"/>
        <brk id="266" max="16383" man="1"/>
        <brk id="310" max="16383" man="1"/>
        <brk id="354" max="16383" man="1"/>
        <brk id="398" max="16383" man="1"/>
      </rowBreaks>
      <pageMargins left="0" right="0" top="0" bottom="0" header="0" footer="0"/>
      <pageSetup orientation="portrait" r:id="rId1"/>
    </customSheetView>
    <customSheetView guid="{967E0446-E234-427F-8E57-7FE287052E2E}" scale="60" hiddenColumns="1" state="hidden" topLeftCell="C1">
      <selection activeCell="F4" sqref="F4"/>
      <rowBreaks count="9" manualBreakCount="9">
        <brk id="46" max="16383" man="1"/>
        <brk id="90" max="16383" man="1"/>
        <brk id="134" max="16383" man="1"/>
        <brk id="178" max="16383" man="1"/>
        <brk id="222" max="16383" man="1"/>
        <brk id="266" max="16383" man="1"/>
        <brk id="310" max="16383" man="1"/>
        <brk id="354" max="16383" man="1"/>
        <brk id="398" max="16383" man="1"/>
      </rowBreaks>
      <pageMargins left="0" right="0" top="0" bottom="0" header="0" footer="0"/>
      <pageSetup orientation="portrait" r:id="rId2"/>
    </customSheetView>
    <customSheetView guid="{B2E1A0C6-5BA1-4CF1-B412-16D81FCDF11F}" scale="60" hiddenColumns="1" state="hidden" topLeftCell="C1">
      <selection activeCell="F4" sqref="F4"/>
      <rowBreaks count="9" manualBreakCount="9">
        <brk id="46" max="16383" man="1"/>
        <brk id="90" max="16383" man="1"/>
        <brk id="134" max="16383" man="1"/>
        <brk id="178" max="16383" man="1"/>
        <brk id="222" max="16383" man="1"/>
        <brk id="266" max="16383" man="1"/>
        <brk id="310" max="16383" man="1"/>
        <brk id="354" max="16383" man="1"/>
        <brk id="398" max="16383" man="1"/>
      </rowBreaks>
      <pageMargins left="0" right="0" top="0" bottom="0" header="0" footer="0"/>
      <pageSetup orientation="portrait" r:id="rId3"/>
    </customSheetView>
    <customSheetView guid="{46F31544-8E6F-41C5-8628-1D6EE074AF15}" scale="60" hiddenColumns="1" state="hidden" topLeftCell="C1">
      <selection activeCell="F4" sqref="F4"/>
      <rowBreaks count="9" manualBreakCount="9">
        <brk id="46" max="16383" man="1"/>
        <brk id="90" max="16383" man="1"/>
        <brk id="134" max="16383" man="1"/>
        <brk id="178" max="16383" man="1"/>
        <brk id="222" max="16383" man="1"/>
        <brk id="266" max="16383" man="1"/>
        <brk id="310" max="16383" man="1"/>
        <brk id="354" max="16383" man="1"/>
        <brk id="398" max="16383" man="1"/>
      </rowBreaks>
      <pageMargins left="0" right="0" top="0" bottom="0" header="0" footer="0"/>
      <pageSetup orientation="portrait" r:id="rId4"/>
    </customSheetView>
    <customSheetView guid="{E82B35BE-4719-4C53-A9EF-1CC6F153A6F3}" scale="60" showPageBreaks="1" hiddenColumns="1" state="hidden" view="pageBreakPreview" topLeftCell="C1">
      <selection activeCell="F4" sqref="F4"/>
      <rowBreaks count="9" manualBreakCount="9">
        <brk id="46" max="16383" man="1"/>
        <brk id="90" max="16383" man="1"/>
        <brk id="134" max="16383" man="1"/>
        <brk id="178" max="16383" man="1"/>
        <brk id="222" max="16383" man="1"/>
        <brk id="266" max="16383" man="1"/>
        <brk id="310" max="16383" man="1"/>
        <brk id="354" max="16383" man="1"/>
        <brk id="398" max="16383" man="1"/>
      </rowBreaks>
      <pageMargins left="0" right="0" top="0" bottom="0" header="0" footer="0"/>
      <pageSetup orientation="portrait" r:id="rId5"/>
    </customSheetView>
    <customSheetView guid="{B1E1B596-A9A1-411D-A882-A48CB025B978}" scale="60" showPageBreaks="1" hiddenColumns="1" state="hidden" view="pageBreakPreview" topLeftCell="C1">
      <selection activeCell="F4" sqref="F4"/>
      <rowBreaks count="9" manualBreakCount="9">
        <brk id="46" max="16383" man="1"/>
        <brk id="90" max="16383" man="1"/>
        <brk id="134" max="16383" man="1"/>
        <brk id="178" max="16383" man="1"/>
        <brk id="222" max="16383" man="1"/>
        <brk id="266" max="16383" man="1"/>
        <brk id="310" max="16383" man="1"/>
        <brk id="354" max="16383" man="1"/>
        <brk id="398" max="16383" man="1"/>
      </rowBreaks>
      <pageMargins left="0" right="0" top="0" bottom="0" header="0" footer="0"/>
      <pageSetup orientation="portrait" r:id="rId6"/>
    </customSheetView>
    <customSheetView guid="{5E394B0B-7867-4722-9497-A93AB2A9A773}" scale="60" showPageBreaks="1" hiddenColumns="1" state="hidden" view="pageBreakPreview" topLeftCell="C1">
      <selection activeCell="F4" sqref="F4"/>
      <rowBreaks count="9" manualBreakCount="9">
        <brk id="46" max="16383" man="1"/>
        <brk id="90" max="16383" man="1"/>
        <brk id="134" max="16383" man="1"/>
        <brk id="178" max="16383" man="1"/>
        <brk id="222" max="16383" man="1"/>
        <brk id="266" max="16383" man="1"/>
        <brk id="310" max="16383" man="1"/>
        <brk id="354" max="16383" man="1"/>
        <brk id="398" max="16383" man="1"/>
      </rowBreaks>
      <pageMargins left="0" right="0" top="0" bottom="0" header="0" footer="0"/>
      <pageSetup orientation="portrait" r:id="rId7"/>
    </customSheetView>
  </customSheetViews>
  <pageMargins left="0.7" right="0.7" top="0.75" bottom="0.75" header="0.3" footer="0.3"/>
  <pageSetup orientation="portrait" r:id="rId8"/>
  <rowBreaks count="9" manualBreakCount="9">
    <brk id="46" max="16383" man="1"/>
    <brk id="90" max="16383" man="1"/>
    <brk id="134" max="16383" man="1"/>
    <brk id="178" max="16383" man="1"/>
    <brk id="222" max="16383" man="1"/>
    <brk id="266" max="16383" man="1"/>
    <brk id="310" max="16383" man="1"/>
    <brk id="354" max="16383" man="1"/>
    <brk id="398" max="16383" man="1"/>
  </rowBreaks>
  <ignoredErrors>
    <ignoredError sqref="E8:E17" formula="1"/>
  </ignoredErrors>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65"/>
  <dimension ref="A1:H180"/>
  <sheetViews>
    <sheetView workbookViewId="0">
      <selection activeCell="H83" sqref="H83"/>
    </sheetView>
  </sheetViews>
  <sheetFormatPr defaultColWidth="9.140625" defaultRowHeight="14.45"/>
  <cols>
    <col min="2" max="2" width="32.7109375" bestFit="1" customWidth="1"/>
    <col min="3" max="3" width="13" customWidth="1"/>
    <col min="4" max="4" width="13.28515625" customWidth="1"/>
    <col min="5" max="5" width="12.5703125" customWidth="1"/>
    <col min="6" max="6" width="13.140625" customWidth="1"/>
    <col min="7" max="7" width="12.85546875" customWidth="1"/>
    <col min="8" max="8" width="14.5703125" customWidth="1"/>
    <col min="9" max="11" width="8.85546875" customWidth="1"/>
  </cols>
  <sheetData>
    <row r="1" spans="1:8">
      <c r="B1" s="236" t="s">
        <v>782</v>
      </c>
    </row>
    <row r="2" spans="1:8">
      <c r="A2" s="76"/>
      <c r="G2" s="202"/>
    </row>
    <row r="3" spans="1:8" ht="26.45">
      <c r="A3" s="76"/>
      <c r="B3" s="2793" t="s">
        <v>783</v>
      </c>
      <c r="C3" s="2520" t="s">
        <v>784</v>
      </c>
      <c r="D3" s="2520" t="s">
        <v>678</v>
      </c>
      <c r="E3" s="2520" t="s">
        <v>679</v>
      </c>
      <c r="F3" s="2520" t="s">
        <v>785</v>
      </c>
      <c r="G3" s="2520" t="s">
        <v>786</v>
      </c>
      <c r="H3" s="2520" t="s">
        <v>682</v>
      </c>
    </row>
    <row r="4" spans="1:8">
      <c r="A4" s="297">
        <v>1</v>
      </c>
      <c r="B4" s="2640" t="s">
        <v>787</v>
      </c>
      <c r="C4" s="2794">
        <v>42883238.573771998</v>
      </c>
      <c r="D4" s="2794">
        <v>47969491.583116502</v>
      </c>
      <c r="E4" s="2794">
        <v>51386331.270086348</v>
      </c>
      <c r="F4" s="2794">
        <v>56757163.153614148</v>
      </c>
      <c r="G4" s="2794">
        <v>67337642.392237753</v>
      </c>
      <c r="H4" s="2543"/>
    </row>
    <row r="5" spans="1:8">
      <c r="A5" s="298">
        <v>2</v>
      </c>
      <c r="B5" s="2640" t="s">
        <v>788</v>
      </c>
      <c r="C5" s="2794">
        <f t="shared" ref="C5:H5" si="0">SUM(C6:C7)</f>
        <v>28754141.964156248</v>
      </c>
      <c r="D5" s="2794">
        <f t="shared" si="0"/>
        <v>31529731.12684251</v>
      </c>
      <c r="E5" s="2794">
        <f t="shared" si="0"/>
        <v>34396115.451945789</v>
      </c>
      <c r="F5" s="2794">
        <f t="shared" si="0"/>
        <v>37969857.406111829</v>
      </c>
      <c r="G5" s="2794">
        <f t="shared" si="0"/>
        <v>45002732.935120717</v>
      </c>
      <c r="H5" s="2794">
        <f t="shared" si="0"/>
        <v>0</v>
      </c>
    </row>
    <row r="6" spans="1:8" ht="27">
      <c r="A6" s="298"/>
      <c r="B6" s="2795" t="s">
        <v>789</v>
      </c>
      <c r="C6" s="2794">
        <v>21142877.199536249</v>
      </c>
      <c r="D6" s="2794">
        <v>23060246.55695251</v>
      </c>
      <c r="E6" s="2794">
        <v>25461259.134129602</v>
      </c>
      <c r="F6" s="2794">
        <v>31564754.814218275</v>
      </c>
      <c r="G6" s="2794">
        <v>33345981.360024761</v>
      </c>
      <c r="H6" s="2543"/>
    </row>
    <row r="7" spans="1:8">
      <c r="A7" s="298"/>
      <c r="B7" s="2640" t="s">
        <v>790</v>
      </c>
      <c r="C7" s="2794">
        <v>7611264.7646199986</v>
      </c>
      <c r="D7" s="2794">
        <v>8469484.5698899999</v>
      </c>
      <c r="E7" s="2794">
        <v>8934856.3178161848</v>
      </c>
      <c r="F7" s="2794">
        <v>6405102.5918935556</v>
      </c>
      <c r="G7" s="2794">
        <v>11656751.575095953</v>
      </c>
      <c r="H7" s="2543"/>
    </row>
    <row r="8" spans="1:8">
      <c r="A8" s="298">
        <v>3</v>
      </c>
      <c r="B8" s="2640" t="s">
        <v>791</v>
      </c>
      <c r="C8" s="2794">
        <v>14129096.609615751</v>
      </c>
      <c r="D8" s="2794">
        <v>16439760.401563991</v>
      </c>
      <c r="E8" s="2794">
        <v>15814935.439390555</v>
      </c>
      <c r="F8" s="2794">
        <v>16506379.610442314</v>
      </c>
      <c r="G8" s="2794">
        <v>22334909.31853703</v>
      </c>
      <c r="H8" s="2543"/>
    </row>
    <row r="9" spans="1:8">
      <c r="A9" s="298">
        <v>4</v>
      </c>
      <c r="B9" s="2640" t="s">
        <v>792</v>
      </c>
      <c r="C9" s="2794">
        <v>5438658.9222759996</v>
      </c>
      <c r="D9" s="2794">
        <v>5716640.0676380005</v>
      </c>
      <c r="E9" s="2794">
        <v>6710305.2888059998</v>
      </c>
      <c r="F9" s="2794">
        <v>8077740.8455428816</v>
      </c>
      <c r="G9" s="2794">
        <v>9094367.7783697769</v>
      </c>
      <c r="H9" s="2543"/>
    </row>
    <row r="10" spans="1:8">
      <c r="A10" s="299">
        <v>5</v>
      </c>
      <c r="B10" s="2640" t="s">
        <v>691</v>
      </c>
      <c r="C10" s="2796">
        <f t="shared" ref="C10:H10" si="1">C8/C9</f>
        <v>2.5979008449573686</v>
      </c>
      <c r="D10" s="2796">
        <f t="shared" si="1"/>
        <v>2.8757732176684976</v>
      </c>
      <c r="E10" s="2796">
        <f t="shared" si="1"/>
        <v>2.3568131044309895</v>
      </c>
      <c r="F10" s="2796">
        <f t="shared" si="1"/>
        <v>2.0434401060972598</v>
      </c>
      <c r="G10" s="2796">
        <f t="shared" si="1"/>
        <v>2.455905661926145</v>
      </c>
      <c r="H10" s="2796" t="e">
        <f t="shared" si="1"/>
        <v>#DIV/0!</v>
      </c>
    </row>
    <row r="11" spans="1:8">
      <c r="A11" s="300"/>
      <c r="B11" s="54"/>
      <c r="C11" s="301"/>
      <c r="D11" s="301"/>
      <c r="E11" s="301"/>
      <c r="F11" s="301"/>
      <c r="G11" s="301"/>
    </row>
    <row r="12" spans="1:8">
      <c r="A12" s="300"/>
      <c r="B12" s="54"/>
      <c r="C12" s="301"/>
      <c r="D12" s="301"/>
      <c r="E12" s="301"/>
      <c r="F12" s="301"/>
      <c r="G12" s="301"/>
    </row>
    <row r="13" spans="1:8" ht="22.9">
      <c r="A13" s="39">
        <v>1</v>
      </c>
      <c r="B13" s="2797" t="s">
        <v>125</v>
      </c>
      <c r="C13" s="2520" t="s">
        <v>793</v>
      </c>
      <c r="D13" s="2520" t="s">
        <v>692</v>
      </c>
      <c r="E13" s="2520" t="s">
        <v>693</v>
      </c>
      <c r="F13" s="2520" t="s">
        <v>694</v>
      </c>
      <c r="G13" s="2520" t="s">
        <v>786</v>
      </c>
      <c r="H13" s="2520" t="s">
        <v>682</v>
      </c>
    </row>
    <row r="14" spans="1:8">
      <c r="A14" s="261">
        <v>1</v>
      </c>
      <c r="B14" s="2640" t="s">
        <v>787</v>
      </c>
      <c r="C14" s="2647">
        <v>2514310</v>
      </c>
      <c r="D14" s="2647">
        <v>3678466</v>
      </c>
      <c r="E14" s="2647">
        <v>3956837</v>
      </c>
      <c r="F14" s="2647">
        <v>4964464</v>
      </c>
      <c r="G14" s="2647">
        <v>3547420</v>
      </c>
      <c r="H14" s="2543"/>
    </row>
    <row r="15" spans="1:8">
      <c r="A15" s="262">
        <v>2</v>
      </c>
      <c r="B15" s="2640" t="s">
        <v>788</v>
      </c>
      <c r="C15" s="2647">
        <f t="shared" ref="C15:H15" si="2">SUM(C16:C17)</f>
        <v>1725513</v>
      </c>
      <c r="D15" s="2647">
        <f t="shared" si="2"/>
        <v>2079423</v>
      </c>
      <c r="E15" s="2647">
        <f t="shared" si="2"/>
        <v>2234876</v>
      </c>
      <c r="F15" s="2647">
        <f t="shared" si="2"/>
        <v>2472458</v>
      </c>
      <c r="G15" s="2647">
        <f t="shared" si="2"/>
        <v>2183095</v>
      </c>
      <c r="H15" s="2647">
        <f t="shared" si="2"/>
        <v>0</v>
      </c>
    </row>
    <row r="16" spans="1:8" ht="27">
      <c r="A16" s="262"/>
      <c r="B16" s="2795" t="s">
        <v>789</v>
      </c>
      <c r="C16" s="2647">
        <v>1057476</v>
      </c>
      <c r="D16" s="2647">
        <v>1489125</v>
      </c>
      <c r="E16" s="2647">
        <v>1652459</v>
      </c>
      <c r="F16" s="2647">
        <v>1730784</v>
      </c>
      <c r="G16" s="2647">
        <v>1515737</v>
      </c>
      <c r="H16" s="2543"/>
    </row>
    <row r="17" spans="1:8">
      <c r="A17" s="262"/>
      <c r="B17" s="2640" t="s">
        <v>790</v>
      </c>
      <c r="C17" s="2647">
        <v>668037</v>
      </c>
      <c r="D17" s="2647">
        <v>590298</v>
      </c>
      <c r="E17" s="2647">
        <v>582417</v>
      </c>
      <c r="F17" s="2647">
        <v>741674</v>
      </c>
      <c r="G17" s="2647">
        <v>667358</v>
      </c>
      <c r="H17" s="2543"/>
    </row>
    <row r="18" spans="1:8">
      <c r="A18" s="262">
        <v>3</v>
      </c>
      <c r="B18" s="2640" t="s">
        <v>791</v>
      </c>
      <c r="C18" s="2647">
        <v>788797</v>
      </c>
      <c r="D18" s="2647">
        <v>1599043</v>
      </c>
      <c r="E18" s="2647">
        <v>1721961</v>
      </c>
      <c r="F18" s="2647">
        <v>2492006</v>
      </c>
      <c r="G18" s="2647">
        <v>1364325</v>
      </c>
      <c r="H18" s="2543"/>
    </row>
    <row r="19" spans="1:8">
      <c r="A19" s="262">
        <v>4</v>
      </c>
      <c r="B19" s="2640" t="s">
        <v>792</v>
      </c>
      <c r="C19" s="2647">
        <v>240193</v>
      </c>
      <c r="D19" s="2647">
        <v>341741</v>
      </c>
      <c r="E19" s="2647">
        <v>420950</v>
      </c>
      <c r="F19" s="2647">
        <v>442994</v>
      </c>
      <c r="G19" s="2647">
        <v>361071</v>
      </c>
      <c r="H19" s="2543"/>
    </row>
    <row r="20" spans="1:8">
      <c r="A20" s="303">
        <v>5</v>
      </c>
      <c r="B20" s="2640" t="s">
        <v>691</v>
      </c>
      <c r="C20" s="2652">
        <f t="shared" ref="C20:H20" si="3">C18/C19</f>
        <v>3.2840132726599025</v>
      </c>
      <c r="D20" s="2652">
        <f t="shared" si="3"/>
        <v>4.6791078623870126</v>
      </c>
      <c r="E20" s="2652">
        <f t="shared" si="3"/>
        <v>4.0906544720275564</v>
      </c>
      <c r="F20" s="2652">
        <f t="shared" si="3"/>
        <v>5.6253719011995651</v>
      </c>
      <c r="G20" s="2652">
        <f t="shared" si="3"/>
        <v>3.7785504789916664</v>
      </c>
      <c r="H20" s="2652" t="e">
        <f t="shared" si="3"/>
        <v>#DIV/0!</v>
      </c>
    </row>
    <row r="21" spans="1:8">
      <c r="A21" s="300"/>
      <c r="B21" s="54"/>
      <c r="C21" s="183"/>
      <c r="D21" s="183"/>
      <c r="E21" s="183"/>
      <c r="F21" s="183"/>
      <c r="G21" s="183"/>
    </row>
    <row r="22" spans="1:8">
      <c r="A22" s="300"/>
      <c r="B22" s="54"/>
      <c r="C22" s="183"/>
      <c r="D22" s="183"/>
      <c r="E22" s="183"/>
      <c r="F22" s="183"/>
      <c r="G22" s="183"/>
    </row>
    <row r="23" spans="1:8" ht="22.9">
      <c r="A23" s="39">
        <v>2</v>
      </c>
      <c r="B23" s="1804" t="s">
        <v>127</v>
      </c>
      <c r="C23" s="2520" t="s">
        <v>793</v>
      </c>
      <c r="D23" s="2520" t="s">
        <v>692</v>
      </c>
      <c r="E23" s="2520" t="s">
        <v>693</v>
      </c>
      <c r="F23" s="2520" t="s">
        <v>694</v>
      </c>
      <c r="G23" s="2520" t="s">
        <v>786</v>
      </c>
      <c r="H23" s="2520" t="s">
        <v>682</v>
      </c>
    </row>
    <row r="24" spans="1:8">
      <c r="A24" s="261">
        <v>1</v>
      </c>
      <c r="B24" s="2640" t="s">
        <v>787</v>
      </c>
      <c r="C24" s="2798">
        <v>675098</v>
      </c>
      <c r="D24" s="2798">
        <v>588028</v>
      </c>
      <c r="E24" s="2798">
        <v>649133</v>
      </c>
      <c r="F24" s="2798">
        <v>772722.54421401117</v>
      </c>
      <c r="G24" s="2798">
        <v>705867.22250597598</v>
      </c>
      <c r="H24" s="2543"/>
    </row>
    <row r="25" spans="1:8">
      <c r="A25" s="262">
        <v>2</v>
      </c>
      <c r="B25" s="2640" t="s">
        <v>788</v>
      </c>
      <c r="C25" s="2798">
        <f t="shared" ref="C25:H25" si="4">SUM(C26:C27)</f>
        <v>571542</v>
      </c>
      <c r="D25" s="2798">
        <f t="shared" si="4"/>
        <v>495842</v>
      </c>
      <c r="E25" s="2798">
        <f t="shared" si="4"/>
        <v>482842</v>
      </c>
      <c r="F25" s="2798">
        <f t="shared" si="4"/>
        <v>631972</v>
      </c>
      <c r="G25" s="2798">
        <f t="shared" si="4"/>
        <v>561348.46585580008</v>
      </c>
      <c r="H25" s="2798">
        <f t="shared" si="4"/>
        <v>0</v>
      </c>
    </row>
    <row r="26" spans="1:8" ht="27">
      <c r="A26" s="262"/>
      <c r="B26" s="2795" t="s">
        <v>789</v>
      </c>
      <c r="C26" s="2799">
        <v>571542</v>
      </c>
      <c r="D26" s="2799">
        <v>495842</v>
      </c>
      <c r="E26" s="2798">
        <v>252785</v>
      </c>
      <c r="F26" s="2798">
        <v>308930</v>
      </c>
      <c r="G26" s="2798">
        <v>304885.84989200009</v>
      </c>
      <c r="H26" s="2543"/>
    </row>
    <row r="27" spans="1:8">
      <c r="A27" s="262"/>
      <c r="B27" s="2640" t="s">
        <v>790</v>
      </c>
      <c r="C27" s="2799"/>
      <c r="D27" s="2799"/>
      <c r="E27" s="2798">
        <v>230057</v>
      </c>
      <c r="F27" s="2798">
        <v>323042</v>
      </c>
      <c r="G27" s="2798">
        <v>256462.61596379997</v>
      </c>
      <c r="H27" s="2543"/>
    </row>
    <row r="28" spans="1:8">
      <c r="A28" s="262">
        <v>3</v>
      </c>
      <c r="B28" s="2640" t="s">
        <v>791</v>
      </c>
      <c r="C28" s="2798">
        <v>103556</v>
      </c>
      <c r="D28" s="2798">
        <v>92186</v>
      </c>
      <c r="E28" s="2798">
        <v>166291</v>
      </c>
      <c r="F28" s="2798">
        <v>140750.54421401117</v>
      </c>
      <c r="G28" s="2798">
        <v>144518.7566501759</v>
      </c>
      <c r="H28" s="2543"/>
    </row>
    <row r="29" spans="1:8">
      <c r="A29" s="262">
        <v>4</v>
      </c>
      <c r="B29" s="2640" t="s">
        <v>792</v>
      </c>
      <c r="C29" s="2798">
        <v>77568</v>
      </c>
      <c r="D29" s="2798">
        <v>88219</v>
      </c>
      <c r="E29" s="2798">
        <v>92216</v>
      </c>
      <c r="F29" s="2798">
        <v>81395.680202000018</v>
      </c>
      <c r="G29" s="2798">
        <v>80552.962511999984</v>
      </c>
      <c r="H29" s="2543"/>
    </row>
    <row r="30" spans="1:8">
      <c r="A30" s="263">
        <v>5</v>
      </c>
      <c r="B30" s="2640" t="s">
        <v>691</v>
      </c>
      <c r="C30" s="2800">
        <f t="shared" ref="C30:H30" si="5">C28/C29</f>
        <v>1.3350350660066006</v>
      </c>
      <c r="D30" s="2800">
        <f t="shared" si="5"/>
        <v>1.044967637357032</v>
      </c>
      <c r="E30" s="2800">
        <f t="shared" si="5"/>
        <v>1.8032770885746507</v>
      </c>
      <c r="F30" s="2800">
        <f t="shared" si="5"/>
        <v>1.7292139320503241</v>
      </c>
      <c r="G30" s="2800">
        <f t="shared" si="5"/>
        <v>1.7940836952911188</v>
      </c>
      <c r="H30" s="2800" t="e">
        <f t="shared" si="5"/>
        <v>#DIV/0!</v>
      </c>
    </row>
    <row r="31" spans="1:8">
      <c r="A31" s="300"/>
      <c r="B31" s="54"/>
      <c r="C31" s="302"/>
      <c r="D31" s="302"/>
      <c r="E31" s="302"/>
      <c r="F31" s="302"/>
      <c r="G31" s="302"/>
    </row>
    <row r="32" spans="1:8">
      <c r="A32" s="300"/>
      <c r="B32" s="54"/>
      <c r="C32" s="302"/>
      <c r="D32" s="302"/>
      <c r="E32" s="302"/>
      <c r="F32" s="302"/>
      <c r="G32" s="302"/>
    </row>
    <row r="33" spans="1:8" ht="22.9">
      <c r="A33" s="39">
        <v>3</v>
      </c>
      <c r="B33" s="1738" t="s">
        <v>91</v>
      </c>
      <c r="C33" s="2520" t="s">
        <v>793</v>
      </c>
      <c r="D33" s="2520" t="s">
        <v>692</v>
      </c>
      <c r="E33" s="2520" t="s">
        <v>693</v>
      </c>
      <c r="F33" s="2520" t="s">
        <v>694</v>
      </c>
      <c r="G33" s="2520" t="s">
        <v>786</v>
      </c>
      <c r="H33" s="2520" t="s">
        <v>682</v>
      </c>
    </row>
    <row r="34" spans="1:8">
      <c r="A34" s="261">
        <v>1</v>
      </c>
      <c r="B34" s="2640" t="s">
        <v>787</v>
      </c>
      <c r="C34" s="2801">
        <v>574421</v>
      </c>
      <c r="D34" s="2801">
        <v>906991</v>
      </c>
      <c r="E34" s="2801">
        <v>1274325</v>
      </c>
      <c r="F34" s="2801">
        <v>1311097</v>
      </c>
      <c r="G34" s="2801">
        <v>1532568</v>
      </c>
      <c r="H34" s="2543"/>
    </row>
    <row r="35" spans="1:8">
      <c r="A35" s="262">
        <v>2</v>
      </c>
      <c r="B35" s="2640" t="s">
        <v>788</v>
      </c>
      <c r="C35" s="2801">
        <f t="shared" ref="C35:H35" si="6">SUM(C36:C37)</f>
        <v>307255</v>
      </c>
      <c r="D35" s="2801">
        <f t="shared" si="6"/>
        <v>607662</v>
      </c>
      <c r="E35" s="2801">
        <f t="shared" si="6"/>
        <v>800159</v>
      </c>
      <c r="F35" s="2801">
        <f t="shared" si="6"/>
        <v>706362</v>
      </c>
      <c r="G35" s="2801">
        <f t="shared" si="6"/>
        <v>899297</v>
      </c>
      <c r="H35" s="2801">
        <f t="shared" si="6"/>
        <v>0</v>
      </c>
    </row>
    <row r="36" spans="1:8" ht="27">
      <c r="A36" s="262"/>
      <c r="B36" s="2795" t="s">
        <v>789</v>
      </c>
      <c r="C36" s="2801">
        <v>158005</v>
      </c>
      <c r="D36" s="2801">
        <v>249268</v>
      </c>
      <c r="E36" s="2801">
        <v>333646</v>
      </c>
      <c r="F36" s="2801">
        <v>418054</v>
      </c>
      <c r="G36" s="2801">
        <v>486330</v>
      </c>
      <c r="H36" s="2543"/>
    </row>
    <row r="37" spans="1:8">
      <c r="A37" s="262"/>
      <c r="B37" s="2640" t="s">
        <v>790</v>
      </c>
      <c r="C37" s="2801">
        <v>149250</v>
      </c>
      <c r="D37" s="2801">
        <v>358394</v>
      </c>
      <c r="E37" s="2801">
        <v>466513</v>
      </c>
      <c r="F37" s="2801">
        <v>288308</v>
      </c>
      <c r="G37" s="2801">
        <v>412967</v>
      </c>
      <c r="H37" s="2543"/>
    </row>
    <row r="38" spans="1:8">
      <c r="A38" s="262">
        <v>3</v>
      </c>
      <c r="B38" s="2640" t="s">
        <v>791</v>
      </c>
      <c r="C38" s="2801">
        <v>267166</v>
      </c>
      <c r="D38" s="2801">
        <v>299329</v>
      </c>
      <c r="E38" s="2801">
        <v>474166</v>
      </c>
      <c r="F38" s="2801">
        <v>604735</v>
      </c>
      <c r="G38" s="2801">
        <v>633271</v>
      </c>
      <c r="H38" s="2543"/>
    </row>
    <row r="39" spans="1:8">
      <c r="A39" s="262">
        <v>4</v>
      </c>
      <c r="B39" s="2640" t="s">
        <v>792</v>
      </c>
      <c r="C39" s="2801">
        <v>50000</v>
      </c>
      <c r="D39" s="2801">
        <v>55563</v>
      </c>
      <c r="E39" s="2801">
        <v>61169</v>
      </c>
      <c r="F39" s="2801">
        <v>84076</v>
      </c>
      <c r="G39" s="2801">
        <v>104957</v>
      </c>
      <c r="H39" s="2543"/>
    </row>
    <row r="40" spans="1:8">
      <c r="A40" s="263">
        <v>5</v>
      </c>
      <c r="B40" s="2640" t="s">
        <v>691</v>
      </c>
      <c r="C40" s="2800">
        <f t="shared" ref="C40:H40" si="7">C38/C39</f>
        <v>5.3433200000000003</v>
      </c>
      <c r="D40" s="2800">
        <f t="shared" si="7"/>
        <v>5.387200115184565</v>
      </c>
      <c r="E40" s="2800">
        <f t="shared" si="7"/>
        <v>7.7517369909594729</v>
      </c>
      <c r="F40" s="2800">
        <f t="shared" si="7"/>
        <v>7.1927184927922356</v>
      </c>
      <c r="G40" s="2800">
        <f t="shared" si="7"/>
        <v>6.0336232933487048</v>
      </c>
      <c r="H40" s="2800" t="e">
        <f t="shared" si="7"/>
        <v>#DIV/0!</v>
      </c>
    </row>
    <row r="42" spans="1:8">
      <c r="A42" s="76"/>
      <c r="B42" s="236"/>
      <c r="C42" s="260"/>
      <c r="D42" s="260"/>
      <c r="E42" s="260"/>
      <c r="F42" s="260"/>
      <c r="G42" s="260"/>
    </row>
    <row r="43" spans="1:8" ht="22.9">
      <c r="A43" s="39">
        <v>4</v>
      </c>
      <c r="B43" s="1738" t="s">
        <v>126</v>
      </c>
      <c r="C43" s="2520" t="s">
        <v>793</v>
      </c>
      <c r="D43" s="2520" t="s">
        <v>692</v>
      </c>
      <c r="E43" s="2520" t="s">
        <v>693</v>
      </c>
      <c r="F43" s="2520" t="s">
        <v>694</v>
      </c>
      <c r="G43" s="2520" t="s">
        <v>786</v>
      </c>
      <c r="H43" s="2520" t="s">
        <v>682</v>
      </c>
    </row>
    <row r="44" spans="1:8">
      <c r="A44" s="261">
        <v>1</v>
      </c>
      <c r="B44" s="2640" t="s">
        <v>787</v>
      </c>
      <c r="C44" s="2798">
        <v>457912</v>
      </c>
      <c r="D44" s="2798">
        <v>460677</v>
      </c>
      <c r="E44" s="2798">
        <v>648667.60899999994</v>
      </c>
      <c r="F44" s="2798">
        <v>850762.53637273517</v>
      </c>
      <c r="G44" s="2798">
        <v>967551.48854433675</v>
      </c>
      <c r="H44" s="2543"/>
    </row>
    <row r="45" spans="1:8">
      <c r="A45" s="262">
        <v>2</v>
      </c>
      <c r="B45" s="2640" t="s">
        <v>788</v>
      </c>
      <c r="C45" s="2798">
        <f t="shared" ref="C45:H45" si="8">SUM(C46:C47)</f>
        <v>330754</v>
      </c>
      <c r="D45" s="2798">
        <f t="shared" si="8"/>
        <v>318691</v>
      </c>
      <c r="E45" s="2798">
        <f t="shared" si="8"/>
        <v>855746.52</v>
      </c>
      <c r="F45" s="2798">
        <f t="shared" si="8"/>
        <v>600677.77723999997</v>
      </c>
      <c r="G45" s="2798">
        <f t="shared" si="8"/>
        <v>589959.67290000001</v>
      </c>
      <c r="H45" s="2798">
        <f t="shared" si="8"/>
        <v>0</v>
      </c>
    </row>
    <row r="46" spans="1:8" ht="27">
      <c r="A46" s="262"/>
      <c r="B46" s="2795" t="s">
        <v>789</v>
      </c>
      <c r="C46" s="2798">
        <v>189277</v>
      </c>
      <c r="D46" s="2798">
        <v>295895</v>
      </c>
      <c r="E46" s="2798">
        <v>342520</v>
      </c>
      <c r="F46" s="2798">
        <v>401239.45699999994</v>
      </c>
      <c r="G46" s="2798">
        <v>476720.63</v>
      </c>
      <c r="H46" s="2543"/>
    </row>
    <row r="47" spans="1:8">
      <c r="A47" s="262"/>
      <c r="B47" s="2640" t="s">
        <v>790</v>
      </c>
      <c r="C47" s="2798">
        <v>141477</v>
      </c>
      <c r="D47" s="2798">
        <v>22796</v>
      </c>
      <c r="E47" s="2798">
        <v>513226.51999999996</v>
      </c>
      <c r="F47" s="2798">
        <v>199438.32024000003</v>
      </c>
      <c r="G47" s="2798">
        <v>113239.04290000003</v>
      </c>
      <c r="H47" s="2543"/>
    </row>
    <row r="48" spans="1:8">
      <c r="A48" s="262">
        <v>3</v>
      </c>
      <c r="B48" s="2640" t="s">
        <v>791</v>
      </c>
      <c r="C48" s="2798">
        <v>127158</v>
      </c>
      <c r="D48" s="2798">
        <v>141986</v>
      </c>
      <c r="E48" s="2798">
        <v>-207078.91100000008</v>
      </c>
      <c r="F48" s="2798">
        <v>250084.7591327352</v>
      </c>
      <c r="G48" s="2798">
        <v>377591.81564433675</v>
      </c>
      <c r="H48" s="2543"/>
    </row>
    <row r="49" spans="1:8">
      <c r="A49" s="262">
        <v>4</v>
      </c>
      <c r="B49" s="2640" t="s">
        <v>792</v>
      </c>
      <c r="C49" s="2798">
        <v>114873.8</v>
      </c>
      <c r="D49" s="2798">
        <v>139308.20000000001</v>
      </c>
      <c r="E49" s="2798">
        <v>146983.6</v>
      </c>
      <c r="F49" s="2798">
        <v>167500.40000000002</v>
      </c>
      <c r="G49" s="2798">
        <v>204437.26</v>
      </c>
      <c r="H49" s="2543"/>
    </row>
    <row r="50" spans="1:8">
      <c r="A50" s="263">
        <v>5</v>
      </c>
      <c r="B50" s="2640" t="s">
        <v>691</v>
      </c>
      <c r="C50" s="2800">
        <f t="shared" ref="C50:H50" si="9">C48/C49</f>
        <v>1.1069364815998077</v>
      </c>
      <c r="D50" s="2800">
        <f t="shared" si="9"/>
        <v>1.0192221276278064</v>
      </c>
      <c r="E50" s="2800">
        <f t="shared" si="9"/>
        <v>-1.4088572534622916</v>
      </c>
      <c r="F50" s="2800">
        <f t="shared" si="9"/>
        <v>1.4930397726377678</v>
      </c>
      <c r="G50" s="2800">
        <f t="shared" si="9"/>
        <v>1.8469813949000136</v>
      </c>
      <c r="H50" s="2800" t="e">
        <f t="shared" si="9"/>
        <v>#DIV/0!</v>
      </c>
    </row>
    <row r="51" spans="1:8">
      <c r="A51" s="300"/>
      <c r="B51" s="54"/>
      <c r="C51" s="302"/>
      <c r="D51" s="302"/>
      <c r="E51" s="302"/>
      <c r="F51" s="302"/>
      <c r="G51" s="302"/>
    </row>
    <row r="53" spans="1:8" ht="22.9">
      <c r="A53" s="304">
        <v>5</v>
      </c>
      <c r="B53" s="1738" t="s">
        <v>124</v>
      </c>
      <c r="C53" s="2520" t="s">
        <v>793</v>
      </c>
      <c r="D53" s="2520" t="s">
        <v>692</v>
      </c>
      <c r="E53" s="2520" t="s">
        <v>693</v>
      </c>
      <c r="F53" s="2520" t="s">
        <v>694</v>
      </c>
      <c r="G53" s="2520" t="s">
        <v>786</v>
      </c>
      <c r="H53" s="2520" t="s">
        <v>682</v>
      </c>
    </row>
    <row r="54" spans="1:8">
      <c r="A54" s="261">
        <v>1</v>
      </c>
      <c r="B54" s="2640" t="s">
        <v>787</v>
      </c>
      <c r="C54" s="2798">
        <v>648211</v>
      </c>
      <c r="D54" s="2798">
        <v>715779</v>
      </c>
      <c r="E54" s="2798">
        <v>1128716</v>
      </c>
      <c r="F54" s="2798">
        <v>1031026</v>
      </c>
      <c r="G54" s="2801">
        <v>1289432.13858</v>
      </c>
      <c r="H54" s="2543"/>
    </row>
    <row r="55" spans="1:8">
      <c r="A55" s="262">
        <v>2</v>
      </c>
      <c r="B55" s="2640" t="s">
        <v>788</v>
      </c>
      <c r="C55" s="2798">
        <f t="shared" ref="C55:H55" si="10">SUM(C56:C57)</f>
        <v>302209</v>
      </c>
      <c r="D55" s="2798">
        <f t="shared" si="10"/>
        <v>356908</v>
      </c>
      <c r="E55" s="2798">
        <f t="shared" si="10"/>
        <v>847264</v>
      </c>
      <c r="F55" s="2798">
        <f t="shared" si="10"/>
        <v>674686</v>
      </c>
      <c r="G55" s="2798">
        <f t="shared" si="10"/>
        <v>836682</v>
      </c>
      <c r="H55" s="2798">
        <f t="shared" si="10"/>
        <v>0</v>
      </c>
    </row>
    <row r="56" spans="1:8" ht="27">
      <c r="A56" s="262"/>
      <c r="B56" s="2795" t="s">
        <v>789</v>
      </c>
      <c r="C56" s="2798">
        <v>227693</v>
      </c>
      <c r="D56" s="2798">
        <v>246868</v>
      </c>
      <c r="E56" s="2798">
        <v>198119</v>
      </c>
      <c r="F56" s="2798">
        <v>323920</v>
      </c>
      <c r="G56" s="2801">
        <v>592088</v>
      </c>
      <c r="H56" s="2543"/>
    </row>
    <row r="57" spans="1:8">
      <c r="A57" s="262"/>
      <c r="B57" s="2640" t="s">
        <v>790</v>
      </c>
      <c r="C57" s="2798">
        <v>74516</v>
      </c>
      <c r="D57" s="2798">
        <v>110040</v>
      </c>
      <c r="E57" s="2798">
        <v>649145</v>
      </c>
      <c r="F57" s="2798">
        <v>350766</v>
      </c>
      <c r="G57" s="2801">
        <v>244594</v>
      </c>
      <c r="H57" s="2543"/>
    </row>
    <row r="58" spans="1:8">
      <c r="A58" s="262">
        <v>3</v>
      </c>
      <c r="B58" s="2640" t="s">
        <v>791</v>
      </c>
      <c r="C58" s="2798">
        <v>346002</v>
      </c>
      <c r="D58" s="2798">
        <v>358871</v>
      </c>
      <c r="E58" s="2798">
        <v>281452</v>
      </c>
      <c r="F58" s="2798">
        <v>356340</v>
      </c>
      <c r="G58" s="2801">
        <v>452750</v>
      </c>
      <c r="H58" s="2543"/>
    </row>
    <row r="59" spans="1:8">
      <c r="A59" s="262">
        <v>4</v>
      </c>
      <c r="B59" s="2640" t="s">
        <v>792</v>
      </c>
      <c r="C59" s="2798">
        <v>60020</v>
      </c>
      <c r="D59" s="2798">
        <v>63290</v>
      </c>
      <c r="E59" s="2798">
        <v>56548</v>
      </c>
      <c r="F59" s="2798">
        <v>92281.200000000012</v>
      </c>
      <c r="G59" s="2801">
        <v>191160</v>
      </c>
      <c r="H59" s="2543"/>
    </row>
    <row r="60" spans="1:8">
      <c r="A60" s="263">
        <v>5</v>
      </c>
      <c r="B60" s="2640" t="s">
        <v>691</v>
      </c>
      <c r="C60" s="2800">
        <f t="shared" ref="C60:H60" si="11">C58/C59</f>
        <v>5.7647784071976007</v>
      </c>
      <c r="D60" s="2800">
        <f t="shared" si="11"/>
        <v>5.6702638647495656</v>
      </c>
      <c r="E60" s="2800">
        <f t="shared" si="11"/>
        <v>4.977222890287897</v>
      </c>
      <c r="F60" s="2800">
        <f t="shared" si="11"/>
        <v>3.8614582385144534</v>
      </c>
      <c r="G60" s="2800">
        <f t="shared" si="11"/>
        <v>2.3684348189997908</v>
      </c>
      <c r="H60" s="2800" t="e">
        <f t="shared" si="11"/>
        <v>#DIV/0!</v>
      </c>
    </row>
    <row r="61" spans="1:8">
      <c r="A61" s="300"/>
      <c r="B61" s="54"/>
      <c r="C61" s="302"/>
      <c r="D61" s="302"/>
      <c r="E61" s="302"/>
      <c r="F61" s="302"/>
      <c r="G61" s="302"/>
    </row>
    <row r="63" spans="1:8" ht="22.9">
      <c r="A63" s="39">
        <v>6</v>
      </c>
      <c r="B63" s="1738" t="s">
        <v>129</v>
      </c>
      <c r="C63" s="2520" t="s">
        <v>793</v>
      </c>
      <c r="D63" s="2520" t="s">
        <v>692</v>
      </c>
      <c r="E63" s="2520" t="s">
        <v>693</v>
      </c>
      <c r="F63" s="2520" t="s">
        <v>694</v>
      </c>
      <c r="G63" s="2520" t="s">
        <v>786</v>
      </c>
      <c r="H63" s="2520" t="s">
        <v>682</v>
      </c>
    </row>
    <row r="64" spans="1:8">
      <c r="A64" s="261">
        <v>1</v>
      </c>
      <c r="B64" s="2640" t="s">
        <v>787</v>
      </c>
      <c r="C64" s="2798">
        <v>8497791</v>
      </c>
      <c r="D64" s="2798">
        <v>8824688</v>
      </c>
      <c r="E64" s="2798">
        <v>9622372</v>
      </c>
      <c r="F64" s="2798">
        <v>8304522</v>
      </c>
      <c r="G64" s="2798">
        <v>9253855</v>
      </c>
      <c r="H64" s="2543"/>
    </row>
    <row r="65" spans="1:8">
      <c r="A65" s="262">
        <v>2</v>
      </c>
      <c r="B65" s="2640" t="s">
        <v>788</v>
      </c>
      <c r="C65" s="2798">
        <f t="shared" ref="C65:H65" si="12">SUM(C66:C67)</f>
        <v>6046186</v>
      </c>
      <c r="D65" s="2798">
        <f t="shared" si="12"/>
        <v>5414226</v>
      </c>
      <c r="E65" s="2798">
        <f t="shared" si="12"/>
        <v>5616033</v>
      </c>
      <c r="F65" s="2798">
        <f t="shared" si="12"/>
        <v>6510054</v>
      </c>
      <c r="G65" s="2798">
        <f t="shared" si="12"/>
        <v>7249502</v>
      </c>
      <c r="H65" s="2798">
        <f t="shared" si="12"/>
        <v>0</v>
      </c>
    </row>
    <row r="66" spans="1:8" ht="27">
      <c r="A66" s="262"/>
      <c r="B66" s="2795" t="s">
        <v>789</v>
      </c>
      <c r="C66" s="2798">
        <v>4708226</v>
      </c>
      <c r="D66" s="2798">
        <v>3947707</v>
      </c>
      <c r="E66" s="2798">
        <v>4440609</v>
      </c>
      <c r="F66" s="2798">
        <v>5207922</v>
      </c>
      <c r="G66" s="2798">
        <v>5283307</v>
      </c>
      <c r="H66" s="2543"/>
    </row>
    <row r="67" spans="1:8">
      <c r="A67" s="262"/>
      <c r="B67" s="2640" t="s">
        <v>790</v>
      </c>
      <c r="C67" s="2798">
        <v>1337960</v>
      </c>
      <c r="D67" s="2798">
        <v>1466519</v>
      </c>
      <c r="E67" s="2798">
        <v>1175424</v>
      </c>
      <c r="F67" s="2798">
        <v>1302132</v>
      </c>
      <c r="G67" s="2798">
        <v>1966195</v>
      </c>
      <c r="H67" s="2543"/>
    </row>
    <row r="68" spans="1:8">
      <c r="A68" s="262">
        <v>3</v>
      </c>
      <c r="B68" s="2640" t="s">
        <v>791</v>
      </c>
      <c r="C68" s="2798">
        <f>+C64-C65</f>
        <v>2451605</v>
      </c>
      <c r="D68" s="2798">
        <f>+D64-D65</f>
        <v>3410462</v>
      </c>
      <c r="E68" s="2798">
        <f>+E64-E65</f>
        <v>4006339</v>
      </c>
      <c r="F68" s="2798">
        <f>+F64-F65</f>
        <v>1794468</v>
      </c>
      <c r="G68" s="2798">
        <f>+G64-G65</f>
        <v>2004353</v>
      </c>
      <c r="H68" s="2543"/>
    </row>
    <row r="69" spans="1:8">
      <c r="A69" s="262">
        <v>4</v>
      </c>
      <c r="B69" s="2640" t="s">
        <v>792</v>
      </c>
      <c r="C69" s="2798">
        <v>1737760</v>
      </c>
      <c r="D69" s="2798">
        <v>1391684</v>
      </c>
      <c r="E69" s="2798">
        <v>1511581</v>
      </c>
      <c r="F69" s="2798">
        <v>1641178</v>
      </c>
      <c r="G69" s="2798">
        <v>1769616</v>
      </c>
      <c r="H69" s="2543"/>
    </row>
    <row r="70" spans="1:8">
      <c r="A70" s="263">
        <v>5</v>
      </c>
      <c r="B70" s="2640" t="s">
        <v>691</v>
      </c>
      <c r="C70" s="2800">
        <f t="shared" ref="C70:H70" si="13">C68/C69</f>
        <v>1.4107845732437161</v>
      </c>
      <c r="D70" s="2800">
        <f t="shared" si="13"/>
        <v>2.4506008547917486</v>
      </c>
      <c r="E70" s="2800">
        <f t="shared" si="13"/>
        <v>2.6504295833303013</v>
      </c>
      <c r="F70" s="2800">
        <f t="shared" si="13"/>
        <v>1.09340242191889</v>
      </c>
      <c r="G70" s="2800">
        <f t="shared" si="13"/>
        <v>1.1326485520022422</v>
      </c>
      <c r="H70" s="2800" t="e">
        <f t="shared" si="13"/>
        <v>#DIV/0!</v>
      </c>
    </row>
    <row r="71" spans="1:8">
      <c r="A71" s="300"/>
      <c r="B71" s="54"/>
      <c r="C71" s="302"/>
      <c r="D71" s="302"/>
      <c r="E71" s="302"/>
      <c r="F71" s="302"/>
      <c r="G71" s="302"/>
    </row>
    <row r="72" spans="1:8">
      <c r="A72" s="76"/>
      <c r="B72" s="236"/>
      <c r="C72" s="260"/>
      <c r="D72" s="260"/>
      <c r="E72" s="260"/>
      <c r="F72" s="260"/>
      <c r="G72" s="260"/>
    </row>
    <row r="73" spans="1:8" ht="22.9">
      <c r="A73" s="39">
        <v>7</v>
      </c>
      <c r="B73" s="1738" t="s">
        <v>128</v>
      </c>
      <c r="C73" s="2520" t="s">
        <v>793</v>
      </c>
      <c r="D73" s="2520" t="s">
        <v>692</v>
      </c>
      <c r="E73" s="2520" t="s">
        <v>693</v>
      </c>
      <c r="F73" s="2520" t="s">
        <v>694</v>
      </c>
      <c r="G73" s="2520" t="s">
        <v>786</v>
      </c>
      <c r="H73" s="2520" t="s">
        <v>682</v>
      </c>
    </row>
    <row r="74" spans="1:8">
      <c r="A74" s="261">
        <v>1</v>
      </c>
      <c r="B74" s="2640" t="s">
        <v>787</v>
      </c>
      <c r="C74" s="2802"/>
      <c r="D74" s="2802"/>
      <c r="E74" s="2802">
        <v>603691</v>
      </c>
      <c r="F74" s="2802">
        <v>990534.68061416352</v>
      </c>
      <c r="G74" s="2802">
        <v>1127079.3780578277</v>
      </c>
      <c r="H74" s="2543"/>
    </row>
    <row r="75" spans="1:8">
      <c r="A75" s="262">
        <v>2</v>
      </c>
      <c r="B75" s="2640" t="s">
        <v>788</v>
      </c>
      <c r="C75" s="2802">
        <f t="shared" ref="C75:H75" si="14">+C76+C77</f>
        <v>0</v>
      </c>
      <c r="D75" s="2802">
        <f t="shared" si="14"/>
        <v>0</v>
      </c>
      <c r="E75" s="2802">
        <f t="shared" si="14"/>
        <v>344792</v>
      </c>
      <c r="F75" s="2802">
        <f t="shared" si="14"/>
        <v>737169.22448182781</v>
      </c>
      <c r="G75" s="2802">
        <f t="shared" si="14"/>
        <v>784969.66287163133</v>
      </c>
      <c r="H75" s="2802">
        <f t="shared" si="14"/>
        <v>0</v>
      </c>
    </row>
    <row r="76" spans="1:8" ht="27">
      <c r="A76" s="262"/>
      <c r="B76" s="2795" t="s">
        <v>789</v>
      </c>
      <c r="C76" s="2802"/>
      <c r="D76" s="2802"/>
      <c r="E76" s="2802">
        <v>222366.79824781598</v>
      </c>
      <c r="F76" s="2802">
        <v>573667.44348448655</v>
      </c>
      <c r="G76" s="2802">
        <v>619194.77793401096</v>
      </c>
      <c r="H76" s="2543"/>
    </row>
    <row r="77" spans="1:8">
      <c r="A77" s="262"/>
      <c r="B77" s="2640" t="s">
        <v>790</v>
      </c>
      <c r="C77" s="2802"/>
      <c r="D77" s="2802"/>
      <c r="E77" s="2802">
        <v>122425.20175218402</v>
      </c>
      <c r="F77" s="2802">
        <v>163501.78099734124</v>
      </c>
      <c r="G77" s="2802">
        <v>165774.88493762031</v>
      </c>
      <c r="H77" s="2543"/>
    </row>
    <row r="78" spans="1:8">
      <c r="A78" s="262">
        <v>3</v>
      </c>
      <c r="B78" s="2640" t="s">
        <v>791</v>
      </c>
      <c r="C78" s="2802"/>
      <c r="D78" s="2802"/>
      <c r="E78" s="2802">
        <v>258899</v>
      </c>
      <c r="F78" s="2802">
        <v>253365.45613233573</v>
      </c>
      <c r="G78" s="2802">
        <v>342109.71518619644</v>
      </c>
      <c r="H78" s="2543"/>
    </row>
    <row r="79" spans="1:8">
      <c r="A79" s="262">
        <v>4</v>
      </c>
      <c r="B79" s="2640" t="s">
        <v>792</v>
      </c>
      <c r="C79" s="2802"/>
      <c r="D79" s="2802"/>
      <c r="E79" s="2802">
        <v>50000</v>
      </c>
      <c r="F79" s="2802">
        <v>178633.62063288156</v>
      </c>
      <c r="G79" s="2802">
        <v>210849.28640000001</v>
      </c>
      <c r="H79" s="2543"/>
    </row>
    <row r="80" spans="1:8">
      <c r="A80" s="263">
        <v>5</v>
      </c>
      <c r="B80" s="2640" t="s">
        <v>691</v>
      </c>
      <c r="C80" s="2803"/>
      <c r="D80" s="2803"/>
      <c r="E80" s="2803">
        <f>E78/E79</f>
        <v>5.1779799999999998</v>
      </c>
      <c r="F80" s="2803">
        <f>F78/F79</f>
        <v>1.4183525768256084</v>
      </c>
      <c r="G80" s="2803">
        <f>G78/G79</f>
        <v>1.6225320039128974</v>
      </c>
      <c r="H80" s="2803" t="e">
        <f>H78/H79</f>
        <v>#DIV/0!</v>
      </c>
    </row>
    <row r="82" spans="1:8">
      <c r="A82" s="76"/>
      <c r="B82" s="236"/>
      <c r="C82" s="260"/>
      <c r="D82" s="260"/>
      <c r="E82" s="260"/>
      <c r="F82" s="260"/>
      <c r="G82" s="260"/>
    </row>
    <row r="83" spans="1:8" ht="22.9">
      <c r="A83" s="39">
        <v>8</v>
      </c>
      <c r="B83" s="1738" t="s">
        <v>130</v>
      </c>
      <c r="C83" s="2520" t="s">
        <v>793</v>
      </c>
      <c r="D83" s="2520" t="s">
        <v>692</v>
      </c>
      <c r="E83" s="2520" t="s">
        <v>693</v>
      </c>
      <c r="F83" s="2520" t="s">
        <v>694</v>
      </c>
      <c r="G83" s="2520" t="s">
        <v>786</v>
      </c>
      <c r="H83" s="2520" t="s">
        <v>682</v>
      </c>
    </row>
    <row r="84" spans="1:8">
      <c r="A84" s="261">
        <v>1</v>
      </c>
      <c r="B84" s="2640" t="s">
        <v>787</v>
      </c>
      <c r="C84" s="2802">
        <v>425583.21377200005</v>
      </c>
      <c r="D84" s="2802">
        <v>563039.77990599978</v>
      </c>
      <c r="E84" s="2802">
        <v>795155.47658999986</v>
      </c>
      <c r="F84" s="2802">
        <v>1103390.608</v>
      </c>
      <c r="G84" s="2802">
        <v>1340677.8407600005</v>
      </c>
      <c r="H84" s="2543"/>
    </row>
    <row r="85" spans="1:8">
      <c r="A85" s="262">
        <v>2</v>
      </c>
      <c r="B85" s="2640" t="s">
        <v>788</v>
      </c>
      <c r="C85" s="2802">
        <f t="shared" ref="C85:H85" si="15">SUM(C86:C87)</f>
        <v>318908.62415624998</v>
      </c>
      <c r="D85" s="2802">
        <f t="shared" si="15"/>
        <v>400153.12684250873</v>
      </c>
      <c r="E85" s="2802">
        <f t="shared" si="15"/>
        <v>466677.93194578745</v>
      </c>
      <c r="F85" s="2802">
        <f t="shared" si="15"/>
        <v>650961.37800000003</v>
      </c>
      <c r="G85" s="2802">
        <f t="shared" si="15"/>
        <v>852203.21797916654</v>
      </c>
      <c r="H85" s="2802">
        <f t="shared" si="15"/>
        <v>0</v>
      </c>
    </row>
    <row r="86" spans="1:8" ht="27">
      <c r="A86" s="262"/>
      <c r="B86" s="2795" t="s">
        <v>789</v>
      </c>
      <c r="C86" s="2802">
        <v>245459.15153624999</v>
      </c>
      <c r="D86" s="2802">
        <v>302463.55695250875</v>
      </c>
      <c r="E86" s="2802">
        <v>360509.33588178706</v>
      </c>
      <c r="F86" s="2802">
        <v>488561.27</v>
      </c>
      <c r="G86" s="2802">
        <v>634588.13927916659</v>
      </c>
      <c r="H86" s="2543"/>
    </row>
    <row r="87" spans="1:8">
      <c r="A87" s="262"/>
      <c r="B87" s="2640" t="s">
        <v>790</v>
      </c>
      <c r="C87" s="2802">
        <v>73449.47262</v>
      </c>
      <c r="D87" s="2802">
        <v>97689.569889999999</v>
      </c>
      <c r="E87" s="2802">
        <v>106168.59606400041</v>
      </c>
      <c r="F87" s="2802">
        <v>162400.10800000001</v>
      </c>
      <c r="G87" s="2802">
        <v>217615.07869999998</v>
      </c>
      <c r="H87" s="2543"/>
    </row>
    <row r="88" spans="1:8">
      <c r="A88" s="262">
        <v>3</v>
      </c>
      <c r="B88" s="2640" t="s">
        <v>791</v>
      </c>
      <c r="C88" s="2802">
        <v>106674.58961575007</v>
      </c>
      <c r="D88" s="2802">
        <v>162886.65306349105</v>
      </c>
      <c r="E88" s="2802">
        <v>328477.54464421241</v>
      </c>
      <c r="F88" s="2802">
        <v>452429.23</v>
      </c>
      <c r="G88" s="2802">
        <v>488474.62278083398</v>
      </c>
      <c r="H88" s="2543"/>
    </row>
    <row r="89" spans="1:8">
      <c r="A89" s="262">
        <v>4</v>
      </c>
      <c r="B89" s="2640" t="s">
        <v>792</v>
      </c>
      <c r="C89" s="2802">
        <v>96841.122276000009</v>
      </c>
      <c r="D89" s="2802">
        <v>110245.39841600001</v>
      </c>
      <c r="E89" s="2802">
        <v>121966.555582</v>
      </c>
      <c r="F89" s="2802">
        <v>176357.14799999999</v>
      </c>
      <c r="G89" s="2802">
        <v>216330.14456000002</v>
      </c>
      <c r="H89" s="2543"/>
    </row>
    <row r="90" spans="1:8">
      <c r="A90" s="263">
        <v>5</v>
      </c>
      <c r="B90" s="2640" t="s">
        <v>691</v>
      </c>
      <c r="C90" s="2803">
        <f t="shared" ref="C90:H90" si="16">C88/C89</f>
        <v>1.101542269530132</v>
      </c>
      <c r="D90" s="2803">
        <f t="shared" si="16"/>
        <v>1.4774916268963401</v>
      </c>
      <c r="E90" s="2803">
        <f t="shared" si="16"/>
        <v>2.69317718350562</v>
      </c>
      <c r="F90" s="2803">
        <f t="shared" si="16"/>
        <v>2.5654147571041466</v>
      </c>
      <c r="G90" s="2803">
        <f t="shared" si="16"/>
        <v>2.2580053453685629</v>
      </c>
      <c r="H90" s="2803" t="e">
        <f t="shared" si="16"/>
        <v>#DIV/0!</v>
      </c>
    </row>
    <row r="92" spans="1:8">
      <c r="A92" s="76"/>
      <c r="B92" s="236"/>
      <c r="C92" s="260"/>
      <c r="D92" s="260"/>
      <c r="E92" s="260"/>
      <c r="F92" s="260"/>
      <c r="G92" s="260"/>
    </row>
    <row r="93" spans="1:8" ht="22.9">
      <c r="A93" s="39">
        <v>9</v>
      </c>
      <c r="B93" s="1738" t="s">
        <v>132</v>
      </c>
      <c r="C93" s="2520" t="s">
        <v>793</v>
      </c>
      <c r="D93" s="2520" t="s">
        <v>692</v>
      </c>
      <c r="E93" s="2520" t="s">
        <v>693</v>
      </c>
      <c r="F93" s="2520" t="s">
        <v>694</v>
      </c>
      <c r="G93" s="2520" t="s">
        <v>794</v>
      </c>
      <c r="H93" s="2520" t="s">
        <v>682</v>
      </c>
    </row>
    <row r="94" spans="1:8">
      <c r="A94" s="261">
        <v>1</v>
      </c>
      <c r="B94" s="2640" t="s">
        <v>787</v>
      </c>
      <c r="C94" s="2804">
        <v>851614</v>
      </c>
      <c r="D94" s="2802">
        <v>1078537.8032105002</v>
      </c>
      <c r="E94" s="2802">
        <v>1300140.2531945</v>
      </c>
      <c r="F94" s="2802">
        <v>1927723.1090212879</v>
      </c>
      <c r="G94" s="2802">
        <v>2075641.29218067</v>
      </c>
      <c r="H94" s="2543"/>
    </row>
    <row r="95" spans="1:8">
      <c r="A95" s="262">
        <v>2</v>
      </c>
      <c r="B95" s="2640" t="s">
        <v>788</v>
      </c>
      <c r="C95" s="2804">
        <f t="shared" ref="C95:H95" si="17">+C96+C97</f>
        <v>591875</v>
      </c>
      <c r="D95" s="2804">
        <f t="shared" si="17"/>
        <v>793455</v>
      </c>
      <c r="E95" s="2804">
        <f t="shared" si="17"/>
        <v>901125</v>
      </c>
      <c r="F95" s="2804">
        <f t="shared" si="17"/>
        <v>1105779.30739</v>
      </c>
      <c r="G95" s="2804">
        <f t="shared" si="17"/>
        <v>1157259</v>
      </c>
      <c r="H95" s="2804">
        <f t="shared" si="17"/>
        <v>0</v>
      </c>
    </row>
    <row r="96" spans="1:8" ht="27">
      <c r="A96" s="262"/>
      <c r="B96" s="2795" t="s">
        <v>789</v>
      </c>
      <c r="C96" s="2804">
        <v>420934</v>
      </c>
      <c r="D96" s="2804">
        <v>550237</v>
      </c>
      <c r="E96" s="2804">
        <v>658899</v>
      </c>
      <c r="F96" s="2804">
        <v>834026.63296999992</v>
      </c>
      <c r="G96" s="2804">
        <v>855641</v>
      </c>
      <c r="H96" s="2543"/>
    </row>
    <row r="97" spans="1:8">
      <c r="A97" s="262"/>
      <c r="B97" s="2640" t="s">
        <v>790</v>
      </c>
      <c r="C97" s="2804">
        <v>170941</v>
      </c>
      <c r="D97" s="2804">
        <v>243218</v>
      </c>
      <c r="E97" s="2804">
        <v>242226</v>
      </c>
      <c r="F97" s="2804">
        <v>271752.67442</v>
      </c>
      <c r="G97" s="2804">
        <v>301618</v>
      </c>
      <c r="H97" s="2543"/>
    </row>
    <row r="98" spans="1:8">
      <c r="A98" s="262">
        <v>3</v>
      </c>
      <c r="B98" s="2640" t="s">
        <v>791</v>
      </c>
      <c r="C98" s="2804">
        <f>+C94-C95</f>
        <v>259739</v>
      </c>
      <c r="D98" s="2802">
        <v>285082.74850050011</v>
      </c>
      <c r="E98" s="2802">
        <v>399015.43405449996</v>
      </c>
      <c r="F98" s="2802">
        <v>821943.66457128804</v>
      </c>
      <c r="G98" s="2802">
        <v>918382.29218066996</v>
      </c>
      <c r="H98" s="2543"/>
    </row>
    <row r="99" spans="1:8">
      <c r="A99" s="262">
        <v>4</v>
      </c>
      <c r="B99" s="2640" t="s">
        <v>792</v>
      </c>
      <c r="C99" s="2804">
        <v>123150</v>
      </c>
      <c r="D99" s="2802">
        <v>154064.46922200004</v>
      </c>
      <c r="E99" s="2802">
        <v>198687.66480399991</v>
      </c>
      <c r="F99" s="2802">
        <v>260843.7840000001</v>
      </c>
      <c r="G99" s="2802">
        <v>263914.14463799994</v>
      </c>
      <c r="H99" s="2543"/>
    </row>
    <row r="100" spans="1:8">
      <c r="A100" s="263">
        <v>5</v>
      </c>
      <c r="B100" s="2640" t="s">
        <v>691</v>
      </c>
      <c r="C100" s="2805">
        <f t="shared" ref="C100:H100" si="18">+C98/C99</f>
        <v>2.1091270807957776</v>
      </c>
      <c r="D100" s="2805">
        <f t="shared" si="18"/>
        <v>1.8504120381559783</v>
      </c>
      <c r="E100" s="2805">
        <f t="shared" si="18"/>
        <v>2.0082546868126818</v>
      </c>
      <c r="F100" s="2805">
        <f t="shared" si="18"/>
        <v>3.1510954639857842</v>
      </c>
      <c r="G100" s="2805">
        <f t="shared" si="18"/>
        <v>3.4798524855133355</v>
      </c>
      <c r="H100" s="2805" t="e">
        <f t="shared" si="18"/>
        <v>#DIV/0!</v>
      </c>
    </row>
    <row r="102" spans="1:8">
      <c r="A102" s="76"/>
      <c r="B102" s="236"/>
      <c r="C102" s="260"/>
      <c r="D102" s="260"/>
      <c r="E102" s="260"/>
      <c r="F102" s="260"/>
      <c r="G102" s="260"/>
    </row>
    <row r="103" spans="1:8" ht="22.9">
      <c r="A103" s="39">
        <v>10</v>
      </c>
      <c r="B103" s="1738" t="s">
        <v>133</v>
      </c>
      <c r="C103" s="2520" t="s">
        <v>793</v>
      </c>
      <c r="D103" s="2520" t="s">
        <v>692</v>
      </c>
      <c r="E103" s="2520" t="s">
        <v>693</v>
      </c>
      <c r="F103" s="2520" t="s">
        <v>694</v>
      </c>
      <c r="G103" s="2520" t="s">
        <v>794</v>
      </c>
      <c r="H103" s="2520" t="s">
        <v>682</v>
      </c>
    </row>
    <row r="104" spans="1:8" ht="18" customHeight="1">
      <c r="A104" s="261">
        <v>1</v>
      </c>
      <c r="B104" s="2640" t="s">
        <v>787</v>
      </c>
      <c r="C104" s="2802">
        <f>+'[18]Sheet 2 - General Insurance'!$G$326/1000</f>
        <v>3125149</v>
      </c>
      <c r="D104" s="2802">
        <f>+'[18]Sheet 2 - General Insurance'!$F$326/1000</f>
        <v>4520969</v>
      </c>
      <c r="E104" s="2802">
        <f>+'[18]Sheet 2 - General Insurance'!$E$326/1000</f>
        <v>5574248.9313018434</v>
      </c>
      <c r="F104" s="2802">
        <f>+'[18]Sheet 2 - General Insurance'!$D$326/1000</f>
        <v>5617804.878176</v>
      </c>
      <c r="G104" s="2802">
        <f>+'[18]Sheet 2 - General Insurance'!$C$326/1000</f>
        <v>7026145.9678444006</v>
      </c>
      <c r="H104" s="2543"/>
    </row>
    <row r="105" spans="1:8">
      <c r="A105" s="262">
        <v>2</v>
      </c>
      <c r="B105" s="2640" t="s">
        <v>788</v>
      </c>
      <c r="C105" s="2802">
        <f t="shared" ref="C105:H105" si="19">SUM(C106:C107)</f>
        <v>3230414</v>
      </c>
      <c r="D105" s="2802">
        <f t="shared" si="19"/>
        <v>3404103</v>
      </c>
      <c r="E105" s="2802">
        <f t="shared" si="19"/>
        <v>3843100</v>
      </c>
      <c r="F105" s="2802">
        <f t="shared" si="19"/>
        <v>4256457.2351600006</v>
      </c>
      <c r="G105" s="2802">
        <f t="shared" si="19"/>
        <v>4706049.258820001</v>
      </c>
      <c r="H105" s="2802">
        <f t="shared" si="19"/>
        <v>0</v>
      </c>
    </row>
    <row r="106" spans="1:8" ht="27">
      <c r="A106" s="262"/>
      <c r="B106" s="2795" t="s">
        <v>789</v>
      </c>
      <c r="C106" s="2802">
        <f>+'[18]Sheet 2 - General Insurance'!$G$328/1000</f>
        <v>2215833</v>
      </c>
      <c r="D106" s="2802">
        <f>+'[18]Sheet 2 - General Insurance'!$F$328/1000</f>
        <v>2496519</v>
      </c>
      <c r="E106" s="2802">
        <f>+'[18]Sheet 2 - General Insurance'!$E$328/1000</f>
        <v>2819260</v>
      </c>
      <c r="F106" s="2802">
        <f>+'[18]Sheet 2 - General Insurance'!$D$328/1000</f>
        <v>3145394.3910937868</v>
      </c>
      <c r="G106" s="2802">
        <f>+'[18]Sheet 2 - General Insurance'!$C$328/1000</f>
        <v>3510173.8800599999</v>
      </c>
      <c r="H106" s="2543"/>
    </row>
    <row r="107" spans="1:8">
      <c r="A107" s="262"/>
      <c r="B107" s="2640" t="s">
        <v>790</v>
      </c>
      <c r="C107" s="2802">
        <f>+'[18]Sheet 2 - General Insurance'!$G$329/1000</f>
        <v>1014581</v>
      </c>
      <c r="D107" s="2802">
        <f>+'[18]Sheet 2 - General Insurance'!$F$329/1000</f>
        <v>907584</v>
      </c>
      <c r="E107" s="2802">
        <f>+'[18]Sheet 2 - General Insurance'!$E$329/1000</f>
        <v>1023840</v>
      </c>
      <c r="F107" s="2802">
        <f>+'[18]Sheet 2 - General Insurance'!$D$329/1000</f>
        <v>1111062.844066214</v>
      </c>
      <c r="G107" s="2802">
        <f>+'[18]Sheet 2 - General Insurance'!$C$329/1000</f>
        <v>1195875.3787600007</v>
      </c>
      <c r="H107" s="2543"/>
    </row>
    <row r="108" spans="1:8">
      <c r="A108" s="262">
        <v>3</v>
      </c>
      <c r="B108" s="2640" t="s">
        <v>791</v>
      </c>
      <c r="C108" s="2802">
        <f>+'[18]Sheet 2 - General Insurance'!$G$330/1000</f>
        <v>-105265</v>
      </c>
      <c r="D108" s="2802">
        <f>+'[18]Sheet 2 - General Insurance'!$F$330/1000</f>
        <v>1116866</v>
      </c>
      <c r="E108" s="2802">
        <f>+'[18]Sheet 2 - General Insurance'!$E$330/1000</f>
        <v>1731149.371691844</v>
      </c>
      <c r="F108" s="2802">
        <f>+'[18]Sheet 2 - General Insurance'!$D$330/1000</f>
        <v>1361347.6430159989</v>
      </c>
      <c r="G108" s="2802">
        <f>+'[18]Sheet 2 - General Insurance'!$C$330/1000</f>
        <v>2320096.7090244</v>
      </c>
      <c r="H108" s="2543"/>
    </row>
    <row r="109" spans="1:8">
      <c r="A109" s="262">
        <v>4</v>
      </c>
      <c r="B109" s="2640" t="s">
        <v>792</v>
      </c>
      <c r="C109" s="2802">
        <f>+'[18]Sheet 2 - General Insurance'!$G$331/1000</f>
        <v>662839</v>
      </c>
      <c r="D109" s="2802">
        <f>+'[18]Sheet 2 - General Insurance'!$F$331/1000</f>
        <v>743542</v>
      </c>
      <c r="E109" s="2802">
        <f>+'[18]Sheet 2 - General Insurance'!$E$331/1000</f>
        <v>783684.46842000005</v>
      </c>
      <c r="F109" s="2802">
        <f>+'[18]Sheet 2 - General Insurance'!$D$331/1000</f>
        <v>912385.49673400004</v>
      </c>
      <c r="G109" s="2802">
        <f>+'[18]Sheet 2 - General Insurance'!$C$331/1000</f>
        <v>1034815.557498</v>
      </c>
      <c r="H109" s="2543"/>
    </row>
    <row r="110" spans="1:8">
      <c r="A110" s="263">
        <v>5</v>
      </c>
      <c r="B110" s="2640" t="s">
        <v>691</v>
      </c>
      <c r="C110" s="2803">
        <f t="shared" ref="C110:H110" si="20">+C108/C109</f>
        <v>-0.15880930361671536</v>
      </c>
      <c r="D110" s="2803">
        <f t="shared" si="20"/>
        <v>1.5020886513472003</v>
      </c>
      <c r="E110" s="2803">
        <f t="shared" si="20"/>
        <v>2.2089877258663102</v>
      </c>
      <c r="F110" s="2803">
        <f t="shared" si="20"/>
        <v>1.4920750580638513</v>
      </c>
      <c r="G110" s="2803">
        <f t="shared" si="20"/>
        <v>2.2420388756369118</v>
      </c>
      <c r="H110" s="2803" t="e">
        <f t="shared" si="20"/>
        <v>#DIV/0!</v>
      </c>
    </row>
    <row r="112" spans="1:8">
      <c r="A112" s="76"/>
      <c r="B112" s="236"/>
      <c r="C112" s="260"/>
      <c r="D112" s="260"/>
      <c r="E112" s="260"/>
      <c r="F112" s="260"/>
      <c r="G112" s="260"/>
    </row>
    <row r="113" spans="1:8" ht="22.9">
      <c r="A113" s="39">
        <v>11</v>
      </c>
      <c r="B113" s="1804" t="s">
        <v>134</v>
      </c>
      <c r="C113" s="2520" t="s">
        <v>793</v>
      </c>
      <c r="D113" s="2520" t="s">
        <v>692</v>
      </c>
      <c r="E113" s="2520" t="s">
        <v>693</v>
      </c>
      <c r="F113" s="2520" t="s">
        <v>694</v>
      </c>
      <c r="G113" s="2520" t="s">
        <v>794</v>
      </c>
      <c r="H113" s="2520" t="s">
        <v>682</v>
      </c>
    </row>
    <row r="114" spans="1:8">
      <c r="A114" s="261">
        <v>1</v>
      </c>
      <c r="B114" s="2640" t="s">
        <v>787</v>
      </c>
      <c r="C114" s="2806"/>
      <c r="D114" s="2806"/>
      <c r="E114" s="2806"/>
      <c r="F114" s="2802">
        <v>443616.47788000002</v>
      </c>
      <c r="G114" s="2802">
        <v>1466373.3332069116</v>
      </c>
      <c r="H114" s="2543"/>
    </row>
    <row r="115" spans="1:8">
      <c r="A115" s="262">
        <v>2</v>
      </c>
      <c r="B115" s="2640" t="s">
        <v>788</v>
      </c>
      <c r="C115" s="2806"/>
      <c r="D115" s="2806"/>
      <c r="E115" s="2806"/>
      <c r="F115" s="2802">
        <f>SUM(F116:F117)</f>
        <v>357466.80938999995</v>
      </c>
      <c r="G115" s="2802">
        <f>SUM(G116:G117)</f>
        <v>1171302.0290299999</v>
      </c>
      <c r="H115" s="2802">
        <f>SUM(H116:H117)</f>
        <v>0</v>
      </c>
    </row>
    <row r="116" spans="1:8" ht="27">
      <c r="A116" s="262"/>
      <c r="B116" s="2795" t="s">
        <v>789</v>
      </c>
      <c r="C116" s="2806"/>
      <c r="D116" s="2806"/>
      <c r="E116" s="2806"/>
      <c r="F116" s="2802">
        <v>318331.61966999999</v>
      </c>
      <c r="G116" s="2804">
        <v>883882.81852999993</v>
      </c>
      <c r="H116" s="2543"/>
    </row>
    <row r="117" spans="1:8">
      <c r="A117" s="262"/>
      <c r="B117" s="2640" t="s">
        <v>790</v>
      </c>
      <c r="C117" s="2806"/>
      <c r="D117" s="2806"/>
      <c r="E117" s="2806"/>
      <c r="F117" s="2802">
        <v>39135.189719999995</v>
      </c>
      <c r="G117" s="2802">
        <v>287419.21049999999</v>
      </c>
      <c r="H117" s="2543"/>
    </row>
    <row r="118" spans="1:8">
      <c r="A118" s="262">
        <v>3</v>
      </c>
      <c r="B118" s="2640" t="s">
        <v>791</v>
      </c>
      <c r="C118" s="2806"/>
      <c r="D118" s="2806"/>
      <c r="E118" s="2806"/>
      <c r="F118" s="2802">
        <v>86149.668490000069</v>
      </c>
      <c r="G118" s="2804">
        <v>295071.30417691171</v>
      </c>
      <c r="H118" s="2543"/>
    </row>
    <row r="119" spans="1:8">
      <c r="A119" s="262">
        <v>4</v>
      </c>
      <c r="B119" s="2640" t="s">
        <v>792</v>
      </c>
      <c r="C119" s="2806"/>
      <c r="D119" s="2806"/>
      <c r="E119" s="2806"/>
      <c r="F119" s="2802">
        <v>70192.768309999999</v>
      </c>
      <c r="G119" s="2802">
        <v>240374.48532000001</v>
      </c>
      <c r="H119" s="2543"/>
    </row>
    <row r="120" spans="1:8">
      <c r="A120" s="263">
        <v>5</v>
      </c>
      <c r="B120" s="2640" t="s">
        <v>691</v>
      </c>
      <c r="C120" s="2807"/>
      <c r="D120" s="2807"/>
      <c r="E120" s="2807"/>
      <c r="F120" s="2803">
        <f>F118/F119</f>
        <v>1.2273296888580867</v>
      </c>
      <c r="G120" s="2803">
        <f>G118/G119</f>
        <v>1.2275483555756603</v>
      </c>
      <c r="H120" s="2803" t="e">
        <f>H118/H119</f>
        <v>#DIV/0!</v>
      </c>
    </row>
    <row r="122" spans="1:8">
      <c r="A122" s="76"/>
      <c r="B122" s="236"/>
      <c r="C122" s="260"/>
      <c r="D122" s="260"/>
      <c r="E122" s="260"/>
      <c r="F122" s="260"/>
      <c r="G122" s="260"/>
    </row>
    <row r="123" spans="1:8" ht="22.9">
      <c r="A123" s="39">
        <v>12</v>
      </c>
      <c r="B123" s="1804" t="s">
        <v>109</v>
      </c>
      <c r="C123" s="2520" t="s">
        <v>793</v>
      </c>
      <c r="D123" s="2520" t="s">
        <v>692</v>
      </c>
      <c r="E123" s="2520" t="s">
        <v>693</v>
      </c>
      <c r="F123" s="2520" t="s">
        <v>694</v>
      </c>
      <c r="G123" s="2520" t="s">
        <v>794</v>
      </c>
      <c r="H123" s="2520" t="s">
        <v>682</v>
      </c>
    </row>
    <row r="124" spans="1:8">
      <c r="A124" s="261">
        <v>1</v>
      </c>
      <c r="B124" s="2640" t="s">
        <v>787</v>
      </c>
      <c r="C124" s="2804">
        <v>236852.36</v>
      </c>
      <c r="D124" s="2802">
        <v>314253</v>
      </c>
      <c r="E124" s="2802">
        <v>467332</v>
      </c>
      <c r="F124" s="2802">
        <v>593188.32073880453</v>
      </c>
      <c r="G124" s="2802">
        <v>867778.63137713703</v>
      </c>
      <c r="H124" s="2543"/>
    </row>
    <row r="125" spans="1:8">
      <c r="A125" s="262">
        <v>2</v>
      </c>
      <c r="B125" s="2640" t="s">
        <v>788</v>
      </c>
      <c r="C125" s="2804">
        <f t="shared" ref="C125:H125" si="21">SUM(C126:C127)</f>
        <v>214014.34</v>
      </c>
      <c r="D125" s="2804">
        <f t="shared" si="21"/>
        <v>245306</v>
      </c>
      <c r="E125" s="2804">
        <f t="shared" si="21"/>
        <v>389419</v>
      </c>
      <c r="F125" s="2804">
        <f t="shared" si="21"/>
        <v>440448</v>
      </c>
      <c r="G125" s="2804">
        <f t="shared" si="21"/>
        <v>668338.75649000017</v>
      </c>
      <c r="H125" s="2804">
        <f t="shared" si="21"/>
        <v>0</v>
      </c>
    </row>
    <row r="126" spans="1:8" ht="27">
      <c r="A126" s="262"/>
      <c r="B126" s="2795" t="s">
        <v>789</v>
      </c>
      <c r="C126" s="2804">
        <v>108835.95</v>
      </c>
      <c r="D126" s="2802">
        <v>181568</v>
      </c>
      <c r="E126" s="2802">
        <v>233941</v>
      </c>
      <c r="F126" s="2802">
        <v>322967</v>
      </c>
      <c r="G126" s="2802">
        <v>518510.70156000019</v>
      </c>
      <c r="H126" s="2543"/>
    </row>
    <row r="127" spans="1:8">
      <c r="A127" s="262"/>
      <c r="B127" s="2640" t="s">
        <v>790</v>
      </c>
      <c r="C127" s="2804">
        <v>105178.39</v>
      </c>
      <c r="D127" s="2802">
        <v>63738</v>
      </c>
      <c r="E127" s="2802">
        <v>155478</v>
      </c>
      <c r="F127" s="2802">
        <v>117481</v>
      </c>
      <c r="G127" s="2802">
        <v>149828.05492999998</v>
      </c>
      <c r="H127" s="2543"/>
    </row>
    <row r="128" spans="1:8">
      <c r="A128" s="262">
        <v>3</v>
      </c>
      <c r="B128" s="2640" t="s">
        <v>791</v>
      </c>
      <c r="C128" s="2804">
        <v>22838.01999999999</v>
      </c>
      <c r="D128" s="2802">
        <f>+D124-D125</f>
        <v>68947</v>
      </c>
      <c r="E128" s="2802">
        <f>+E124-E125</f>
        <v>77913</v>
      </c>
      <c r="F128" s="2802">
        <f>+F124-F125</f>
        <v>152740.32073880453</v>
      </c>
      <c r="G128" s="2802">
        <f>+G124-G125</f>
        <v>199439.87488713686</v>
      </c>
      <c r="H128" s="2543"/>
    </row>
    <row r="129" spans="1:8">
      <c r="A129" s="262">
        <v>4</v>
      </c>
      <c r="B129" s="2640" t="s">
        <v>792</v>
      </c>
      <c r="C129" s="2804">
        <v>50000</v>
      </c>
      <c r="D129" s="2802">
        <v>54859</v>
      </c>
      <c r="E129" s="2802">
        <v>73709</v>
      </c>
      <c r="F129" s="2802">
        <v>99220</v>
      </c>
      <c r="G129" s="2802">
        <v>187715.94649199999</v>
      </c>
      <c r="H129" s="2543"/>
    </row>
    <row r="130" spans="1:8">
      <c r="A130" s="263">
        <v>5</v>
      </c>
      <c r="B130" s="2640" t="s">
        <v>691</v>
      </c>
      <c r="C130" s="2805">
        <f t="shared" ref="C130:H130" si="22">C128/C129</f>
        <v>0.45676039999999979</v>
      </c>
      <c r="D130" s="2805">
        <f t="shared" si="22"/>
        <v>1.2568038061211468</v>
      </c>
      <c r="E130" s="2805">
        <f t="shared" si="22"/>
        <v>1.0570350974779199</v>
      </c>
      <c r="F130" s="2805">
        <f t="shared" si="22"/>
        <v>1.5394106101471934</v>
      </c>
      <c r="G130" s="2805">
        <f t="shared" si="22"/>
        <v>1.0624556869793507</v>
      </c>
      <c r="H130" s="2805" t="e">
        <f t="shared" si="22"/>
        <v>#DIV/0!</v>
      </c>
    </row>
    <row r="132" spans="1:8">
      <c r="A132" s="76"/>
      <c r="B132" s="236"/>
      <c r="C132" s="260"/>
      <c r="D132" s="260"/>
      <c r="E132" s="260"/>
      <c r="F132" s="260"/>
      <c r="G132" s="260"/>
    </row>
    <row r="133" spans="1:8" ht="22.9">
      <c r="A133" s="39">
        <v>13</v>
      </c>
      <c r="B133" s="1738" t="s">
        <v>111</v>
      </c>
      <c r="C133" s="2520" t="s">
        <v>793</v>
      </c>
      <c r="D133" s="2520" t="s">
        <v>692</v>
      </c>
      <c r="E133" s="2520" t="s">
        <v>693</v>
      </c>
      <c r="F133" s="2520" t="s">
        <v>694</v>
      </c>
      <c r="G133" s="2520" t="s">
        <v>794</v>
      </c>
      <c r="H133" s="2520" t="s">
        <v>682</v>
      </c>
    </row>
    <row r="134" spans="1:8">
      <c r="A134" s="261">
        <v>1</v>
      </c>
      <c r="B134" s="2640" t="s">
        <v>787</v>
      </c>
      <c r="C134" s="2806"/>
      <c r="D134" s="2806"/>
      <c r="E134" s="2806"/>
      <c r="F134" s="2808">
        <v>746055</v>
      </c>
      <c r="G134" s="2808">
        <v>823961.48928387114</v>
      </c>
      <c r="H134" s="2543"/>
    </row>
    <row r="135" spans="1:8">
      <c r="A135" s="262">
        <v>2</v>
      </c>
      <c r="B135" s="2640" t="s">
        <v>788</v>
      </c>
      <c r="C135" s="2806"/>
      <c r="D135" s="2806"/>
      <c r="E135" s="2806"/>
      <c r="F135" s="2808">
        <f>+F136+F137</f>
        <v>43185</v>
      </c>
      <c r="G135" s="2808">
        <f>+G136+G137</f>
        <v>247772.26210453326</v>
      </c>
      <c r="H135" s="2808">
        <f>+H136+H137</f>
        <v>0</v>
      </c>
    </row>
    <row r="136" spans="1:8" ht="27">
      <c r="A136" s="262"/>
      <c r="B136" s="2795" t="s">
        <v>789</v>
      </c>
      <c r="C136" s="2806"/>
      <c r="D136" s="2806"/>
      <c r="E136" s="2806"/>
      <c r="F136" s="2808">
        <v>1498</v>
      </c>
      <c r="G136" s="2808">
        <v>165938.34723999997</v>
      </c>
      <c r="H136" s="2543"/>
    </row>
    <row r="137" spans="1:8">
      <c r="A137" s="262"/>
      <c r="B137" s="2640" t="s">
        <v>790</v>
      </c>
      <c r="C137" s="2806"/>
      <c r="D137" s="2806"/>
      <c r="E137" s="2806"/>
      <c r="F137" s="2808">
        <v>41687</v>
      </c>
      <c r="G137" s="2808">
        <v>81833.914864533275</v>
      </c>
      <c r="H137" s="2543"/>
    </row>
    <row r="138" spans="1:8">
      <c r="A138" s="262">
        <v>3</v>
      </c>
      <c r="B138" s="2640" t="s">
        <v>791</v>
      </c>
      <c r="C138" s="2806"/>
      <c r="D138" s="2806"/>
      <c r="E138" s="2806"/>
      <c r="F138" s="2808">
        <f>+F134-F135</f>
        <v>702870</v>
      </c>
      <c r="G138" s="2808">
        <f>+G134-G135</f>
        <v>576189.22717933787</v>
      </c>
      <c r="H138" s="2543"/>
    </row>
    <row r="139" spans="1:8">
      <c r="A139" s="262">
        <v>4</v>
      </c>
      <c r="B139" s="2640" t="s">
        <v>792</v>
      </c>
      <c r="C139" s="2806"/>
      <c r="D139" s="2806"/>
      <c r="E139" s="2806"/>
      <c r="F139" s="2808">
        <v>50000</v>
      </c>
      <c r="G139" s="2808">
        <v>50664.990949776642</v>
      </c>
      <c r="H139" s="2543"/>
    </row>
    <row r="140" spans="1:8">
      <c r="A140" s="263">
        <v>5</v>
      </c>
      <c r="B140" s="2640" t="s">
        <v>691</v>
      </c>
      <c r="C140" s="2807"/>
      <c r="D140" s="2807"/>
      <c r="E140" s="2807"/>
      <c r="F140" s="2809">
        <f>+F138/F139</f>
        <v>14.057399999999999</v>
      </c>
      <c r="G140" s="2809">
        <f>+G138/G139</f>
        <v>11.372531927431007</v>
      </c>
      <c r="H140" s="2809" t="e">
        <f>+H138/H139</f>
        <v>#DIV/0!</v>
      </c>
    </row>
    <row r="142" spans="1:8">
      <c r="A142" s="76"/>
      <c r="B142" s="236"/>
      <c r="C142" s="260"/>
      <c r="D142" s="260"/>
      <c r="E142" s="260"/>
      <c r="F142" s="260"/>
      <c r="G142" s="260"/>
    </row>
    <row r="143" spans="1:8" ht="22.9">
      <c r="A143" s="39">
        <v>14</v>
      </c>
      <c r="B143" s="1738" t="s">
        <v>112</v>
      </c>
      <c r="C143" s="2520" t="s">
        <v>793</v>
      </c>
      <c r="D143" s="2520" t="s">
        <v>692</v>
      </c>
      <c r="E143" s="2520" t="s">
        <v>693</v>
      </c>
      <c r="F143" s="2520" t="s">
        <v>694</v>
      </c>
      <c r="G143" s="2520" t="s">
        <v>794</v>
      </c>
      <c r="H143" s="2520" t="s">
        <v>682</v>
      </c>
    </row>
    <row r="144" spans="1:8">
      <c r="A144" s="261">
        <v>1</v>
      </c>
      <c r="B144" s="2640" t="s">
        <v>787</v>
      </c>
      <c r="C144" s="2806"/>
      <c r="D144" s="2806"/>
      <c r="E144" s="2808">
        <v>832428</v>
      </c>
      <c r="F144" s="2808">
        <v>2143830</v>
      </c>
      <c r="G144" s="2808">
        <v>2961699.6098966142</v>
      </c>
      <c r="H144" s="2543"/>
    </row>
    <row r="145" spans="1:8">
      <c r="A145" s="262">
        <v>2</v>
      </c>
      <c r="B145" s="2640" t="s">
        <v>788</v>
      </c>
      <c r="C145" s="2806"/>
      <c r="D145" s="2806"/>
      <c r="E145" s="2808">
        <f>SUM(E146:E147)</f>
        <v>650785</v>
      </c>
      <c r="F145" s="2808">
        <f>SUM(F146:F147)</f>
        <v>1658298</v>
      </c>
      <c r="G145" s="2808">
        <f>SUM(G146:G147)</f>
        <v>2163095</v>
      </c>
      <c r="H145" s="2808">
        <f>SUM(H146:H147)</f>
        <v>0</v>
      </c>
    </row>
    <row r="146" spans="1:8" ht="27">
      <c r="A146" s="262"/>
      <c r="B146" s="2795" t="s">
        <v>789</v>
      </c>
      <c r="C146" s="2806"/>
      <c r="D146" s="2806"/>
      <c r="E146" s="2808">
        <v>567648</v>
      </c>
      <c r="F146" s="2808">
        <v>1459227</v>
      </c>
      <c r="G146" s="2808">
        <v>1878856</v>
      </c>
      <c r="H146" s="2543"/>
    </row>
    <row r="147" spans="1:8">
      <c r="A147" s="262"/>
      <c r="B147" s="2640" t="s">
        <v>790</v>
      </c>
      <c r="C147" s="2806"/>
      <c r="D147" s="2806"/>
      <c r="E147" s="2808">
        <v>83137</v>
      </c>
      <c r="F147" s="2808">
        <v>199071</v>
      </c>
      <c r="G147" s="2808">
        <v>284239</v>
      </c>
      <c r="H147" s="2543"/>
    </row>
    <row r="148" spans="1:8">
      <c r="A148" s="262">
        <v>3</v>
      </c>
      <c r="B148" s="2640" t="s">
        <v>791</v>
      </c>
      <c r="C148" s="2806"/>
      <c r="D148" s="2806"/>
      <c r="E148" s="2808">
        <v>181643</v>
      </c>
      <c r="F148" s="2808">
        <v>485532</v>
      </c>
      <c r="G148" s="2808">
        <v>798604.60989661422</v>
      </c>
      <c r="H148" s="2543"/>
    </row>
    <row r="149" spans="1:8">
      <c r="A149" s="262">
        <v>4</v>
      </c>
      <c r="B149" s="2640" t="s">
        <v>792</v>
      </c>
      <c r="C149" s="2806"/>
      <c r="D149" s="2806"/>
      <c r="E149" s="2808">
        <v>152178</v>
      </c>
      <c r="F149" s="2808">
        <v>434397</v>
      </c>
      <c r="G149" s="2808">
        <v>527566</v>
      </c>
      <c r="H149" s="2543"/>
    </row>
    <row r="150" spans="1:8">
      <c r="A150" s="263">
        <v>5</v>
      </c>
      <c r="B150" s="2640" t="s">
        <v>691</v>
      </c>
      <c r="C150" s="2807"/>
      <c r="D150" s="2807"/>
      <c r="E150" s="2809">
        <f>E148/E149</f>
        <v>1.1936219427249668</v>
      </c>
      <c r="F150" s="2809">
        <f>F148/F149</f>
        <v>1.1177149013460037</v>
      </c>
      <c r="G150" s="2809">
        <f>G148/G149</f>
        <v>1.5137529899512367</v>
      </c>
      <c r="H150" s="2809" t="e">
        <f>H148/H149</f>
        <v>#DIV/0!</v>
      </c>
    </row>
    <row r="151" spans="1:8">
      <c r="A151" s="300"/>
      <c r="B151" s="54"/>
      <c r="C151" s="302"/>
      <c r="D151" s="302"/>
      <c r="E151" s="302"/>
      <c r="F151" s="302"/>
      <c r="G151" s="302"/>
    </row>
    <row r="153" spans="1:8" ht="22.9">
      <c r="A153" s="39">
        <v>15</v>
      </c>
      <c r="B153" s="1738" t="s">
        <v>135</v>
      </c>
      <c r="C153" s="2810" t="s">
        <v>793</v>
      </c>
      <c r="D153" s="2810" t="s">
        <v>692</v>
      </c>
      <c r="E153" s="2810" t="s">
        <v>693</v>
      </c>
      <c r="F153" s="2810" t="s">
        <v>694</v>
      </c>
      <c r="G153" s="2810" t="s">
        <v>794</v>
      </c>
      <c r="H153" s="2520" t="s">
        <v>682</v>
      </c>
    </row>
    <row r="154" spans="1:8">
      <c r="A154" s="261">
        <v>1</v>
      </c>
      <c r="B154" s="2640" t="s">
        <v>787</v>
      </c>
      <c r="C154" s="2808">
        <v>241493</v>
      </c>
      <c r="D154" s="2808">
        <v>247895</v>
      </c>
      <c r="E154" s="2808">
        <v>278832</v>
      </c>
      <c r="F154" s="2808">
        <v>248715</v>
      </c>
      <c r="G154" s="2808">
        <v>281996</v>
      </c>
      <c r="H154" s="2543"/>
    </row>
    <row r="155" spans="1:8">
      <c r="A155" s="262">
        <v>2</v>
      </c>
      <c r="B155" s="2640" t="s">
        <v>788</v>
      </c>
      <c r="C155" s="2808">
        <f t="shared" ref="C155:H155" si="23">SUM(C156:C157)</f>
        <v>156526</v>
      </c>
      <c r="D155" s="2808">
        <f t="shared" si="23"/>
        <v>146727</v>
      </c>
      <c r="E155" s="2808">
        <f t="shared" si="23"/>
        <v>159487</v>
      </c>
      <c r="F155" s="2808">
        <f t="shared" si="23"/>
        <v>187438</v>
      </c>
      <c r="G155" s="2808">
        <f t="shared" si="23"/>
        <v>207090.21552958334</v>
      </c>
      <c r="H155" s="2808">
        <f t="shared" si="23"/>
        <v>0</v>
      </c>
    </row>
    <row r="156" spans="1:8" ht="27">
      <c r="A156" s="262"/>
      <c r="B156" s="2795" t="s">
        <v>789</v>
      </c>
      <c r="C156" s="2808">
        <v>109026</v>
      </c>
      <c r="D156" s="2808">
        <v>118671</v>
      </c>
      <c r="E156" s="2808">
        <v>116561</v>
      </c>
      <c r="F156" s="2808">
        <v>118252</v>
      </c>
      <c r="G156" s="2808">
        <v>133417.21552958334</v>
      </c>
      <c r="H156" s="2543"/>
    </row>
    <row r="157" spans="1:8">
      <c r="A157" s="262"/>
      <c r="B157" s="2640" t="s">
        <v>790</v>
      </c>
      <c r="C157" s="2808">
        <v>47500</v>
      </c>
      <c r="D157" s="2808">
        <v>28056</v>
      </c>
      <c r="E157" s="2808">
        <v>42926</v>
      </c>
      <c r="F157" s="2808">
        <v>69186</v>
      </c>
      <c r="G157" s="2808">
        <v>73673</v>
      </c>
      <c r="H157" s="2543"/>
    </row>
    <row r="158" spans="1:8">
      <c r="A158" s="262">
        <v>3</v>
      </c>
      <c r="B158" s="2640" t="s">
        <v>791</v>
      </c>
      <c r="C158" s="2808">
        <v>84967</v>
      </c>
      <c r="D158" s="2808">
        <v>101168</v>
      </c>
      <c r="E158" s="2808">
        <v>119345</v>
      </c>
      <c r="F158" s="2808">
        <f>+F154-F155</f>
        <v>61277</v>
      </c>
      <c r="G158" s="2808">
        <v>74905.784470416664</v>
      </c>
      <c r="H158" s="2543"/>
    </row>
    <row r="159" spans="1:8">
      <c r="A159" s="262">
        <v>4</v>
      </c>
      <c r="B159" s="2640" t="s">
        <v>792</v>
      </c>
      <c r="C159" s="2808">
        <v>50000</v>
      </c>
      <c r="D159" s="2808">
        <v>50000</v>
      </c>
      <c r="E159" s="2808">
        <v>50000</v>
      </c>
      <c r="F159" s="2808">
        <v>50000</v>
      </c>
      <c r="G159" s="2808">
        <v>50000</v>
      </c>
      <c r="H159" s="2543"/>
    </row>
    <row r="160" spans="1:8">
      <c r="A160" s="263">
        <v>5</v>
      </c>
      <c r="B160" s="2640" t="s">
        <v>691</v>
      </c>
      <c r="C160" s="2809">
        <f t="shared" ref="C160:H160" si="24">C158/C159</f>
        <v>1.6993400000000001</v>
      </c>
      <c r="D160" s="2809">
        <f t="shared" si="24"/>
        <v>2.0233599999999998</v>
      </c>
      <c r="E160" s="2809">
        <f t="shared" si="24"/>
        <v>2.3868999999999998</v>
      </c>
      <c r="F160" s="2809">
        <f t="shared" si="24"/>
        <v>1.2255400000000001</v>
      </c>
      <c r="G160" s="2809">
        <f t="shared" si="24"/>
        <v>1.4981156894083332</v>
      </c>
      <c r="H160" s="2809" t="e">
        <f t="shared" si="24"/>
        <v>#DIV/0!</v>
      </c>
    </row>
    <row r="161" spans="1:8">
      <c r="A161" s="300"/>
      <c r="B161" s="54"/>
      <c r="C161" s="302"/>
      <c r="D161" s="302"/>
      <c r="E161" s="302"/>
      <c r="F161" s="301"/>
      <c r="G161" s="302"/>
    </row>
    <row r="162" spans="1:8">
      <c r="A162" s="76"/>
      <c r="B162" s="236"/>
      <c r="C162" s="260"/>
      <c r="D162" s="260"/>
      <c r="E162" s="260"/>
      <c r="F162" s="260"/>
      <c r="G162" s="260"/>
    </row>
    <row r="163" spans="1:8" ht="22.9">
      <c r="A163" s="39">
        <v>16</v>
      </c>
      <c r="B163" s="1804" t="s">
        <v>115</v>
      </c>
      <c r="C163" s="2520" t="s">
        <v>793</v>
      </c>
      <c r="D163" s="2520" t="s">
        <v>692</v>
      </c>
      <c r="E163" s="2520" t="s">
        <v>693</v>
      </c>
      <c r="F163" s="2520" t="s">
        <v>694</v>
      </c>
      <c r="G163" s="2520" t="s">
        <v>794</v>
      </c>
      <c r="H163" s="2520" t="s">
        <v>682</v>
      </c>
    </row>
    <row r="164" spans="1:8">
      <c r="A164" s="261">
        <v>1</v>
      </c>
      <c r="B164" s="2640" t="s">
        <v>787</v>
      </c>
      <c r="C164" s="2808">
        <v>21225670</v>
      </c>
      <c r="D164" s="2808">
        <v>22684845</v>
      </c>
      <c r="E164" s="2808">
        <v>19778468</v>
      </c>
      <c r="F164" s="2808">
        <v>20817021</v>
      </c>
      <c r="G164" s="2808">
        <v>26348453</v>
      </c>
      <c r="H164" s="2543"/>
    </row>
    <row r="165" spans="1:8">
      <c r="A165" s="262">
        <v>2</v>
      </c>
      <c r="B165" s="2640" t="s">
        <v>788</v>
      </c>
      <c r="C165" s="2808">
        <f t="shared" ref="C165:H165" si="25">SUM(C166:C167)</f>
        <v>12648357</v>
      </c>
      <c r="D165" s="2808">
        <f t="shared" si="25"/>
        <v>14595318</v>
      </c>
      <c r="E165" s="2808">
        <f t="shared" si="25"/>
        <v>13444195</v>
      </c>
      <c r="F165" s="2808">
        <f t="shared" si="25"/>
        <v>13359262</v>
      </c>
      <c r="G165" s="2808">
        <f t="shared" si="25"/>
        <v>16563152</v>
      </c>
      <c r="H165" s="2808">
        <f t="shared" si="25"/>
        <v>0</v>
      </c>
    </row>
    <row r="166" spans="1:8" ht="27">
      <c r="A166" s="262"/>
      <c r="B166" s="2795" t="s">
        <v>789</v>
      </c>
      <c r="C166" s="2808">
        <v>9590895.0980000012</v>
      </c>
      <c r="D166" s="2808">
        <v>10862239</v>
      </c>
      <c r="E166" s="2808">
        <v>11001617</v>
      </c>
      <c r="F166" s="2808">
        <v>13359262</v>
      </c>
      <c r="G166" s="2808">
        <v>12614203</v>
      </c>
      <c r="H166" s="2543"/>
    </row>
    <row r="167" spans="1:8">
      <c r="A167" s="262"/>
      <c r="B167" s="2640" t="s">
        <v>790</v>
      </c>
      <c r="C167" s="2808">
        <v>3057461.9019999988</v>
      </c>
      <c r="D167" s="2808">
        <v>3733079</v>
      </c>
      <c r="E167" s="2808">
        <v>2442578</v>
      </c>
      <c r="F167" s="2808"/>
      <c r="G167" s="2808">
        <v>3948949</v>
      </c>
      <c r="H167" s="2543"/>
    </row>
    <row r="168" spans="1:8">
      <c r="A168" s="262">
        <v>3</v>
      </c>
      <c r="B168" s="2640" t="s">
        <v>791</v>
      </c>
      <c r="C168" s="2808">
        <v>8577313</v>
      </c>
      <c r="D168" s="2808">
        <v>8089527</v>
      </c>
      <c r="E168" s="2808">
        <v>5158992</v>
      </c>
      <c r="F168" s="2808">
        <v>5176833</v>
      </c>
      <c r="G168" s="2808">
        <v>9785301</v>
      </c>
      <c r="H168" s="2543"/>
    </row>
    <row r="169" spans="1:8">
      <c r="A169" s="262">
        <v>4</v>
      </c>
      <c r="B169" s="2640" t="s">
        <v>792</v>
      </c>
      <c r="C169" s="2808">
        <v>1749589</v>
      </c>
      <c r="D169" s="2808">
        <v>2058459</v>
      </c>
      <c r="E169" s="2808">
        <v>2442578</v>
      </c>
      <c r="F169" s="2808">
        <v>2667495</v>
      </c>
      <c r="G169" s="2808">
        <v>2857512</v>
      </c>
      <c r="H169" s="2543"/>
    </row>
    <row r="170" spans="1:8">
      <c r="A170" s="263">
        <v>5</v>
      </c>
      <c r="B170" s="2640" t="s">
        <v>691</v>
      </c>
      <c r="C170" s="2811">
        <f t="shared" ref="C170:H170" si="26">C168/C169</f>
        <v>4.9024730951097659</v>
      </c>
      <c r="D170" s="2811">
        <f t="shared" si="26"/>
        <v>3.9298946444889116</v>
      </c>
      <c r="E170" s="2811">
        <f t="shared" si="26"/>
        <v>2.1121094188189691</v>
      </c>
      <c r="F170" s="2811">
        <f t="shared" si="26"/>
        <v>1.9407095420984857</v>
      </c>
      <c r="G170" s="2811">
        <f t="shared" si="26"/>
        <v>3.4244129158512719</v>
      </c>
      <c r="H170" s="2811" t="e">
        <f t="shared" si="26"/>
        <v>#DIV/0!</v>
      </c>
    </row>
    <row r="172" spans="1:8">
      <c r="A172" s="76"/>
      <c r="B172" s="236"/>
      <c r="C172" s="260"/>
      <c r="D172" s="260"/>
      <c r="E172" s="260"/>
      <c r="F172" s="260"/>
      <c r="G172" s="260"/>
    </row>
    <row r="173" spans="1:8" ht="22.9">
      <c r="A173" s="39">
        <v>17</v>
      </c>
      <c r="B173" s="1804" t="s">
        <v>136</v>
      </c>
      <c r="C173" s="2520" t="s">
        <v>793</v>
      </c>
      <c r="D173" s="2520" t="s">
        <v>692</v>
      </c>
      <c r="E173" s="2520" t="s">
        <v>693</v>
      </c>
      <c r="F173" s="2520" t="s">
        <v>694</v>
      </c>
      <c r="G173" s="2520" t="s">
        <v>794</v>
      </c>
      <c r="H173" s="2520" t="s">
        <v>682</v>
      </c>
    </row>
    <row r="174" spans="1:8">
      <c r="A174" s="261">
        <v>1</v>
      </c>
      <c r="B174" s="2640" t="s">
        <v>787</v>
      </c>
      <c r="C174" s="2808">
        <v>3409134</v>
      </c>
      <c r="D174" s="2808">
        <v>3385323</v>
      </c>
      <c r="E174" s="2808">
        <v>4475985</v>
      </c>
      <c r="F174" s="2808">
        <v>4890689.9985971432</v>
      </c>
      <c r="G174" s="2808">
        <v>5721142</v>
      </c>
      <c r="H174" s="2543"/>
    </row>
    <row r="175" spans="1:8">
      <c r="A175" s="262">
        <v>2</v>
      </c>
      <c r="B175" s="2640" t="s">
        <v>788</v>
      </c>
      <c r="C175" s="2808">
        <f t="shared" ref="C175:H175" si="27">SUM(C176:C177)</f>
        <v>2310588</v>
      </c>
      <c r="D175" s="2808">
        <f t="shared" si="27"/>
        <v>2671917</v>
      </c>
      <c r="E175" s="2808">
        <f t="shared" si="27"/>
        <v>3359614</v>
      </c>
      <c r="F175" s="2808">
        <f t="shared" si="27"/>
        <v>3577182.6744499998</v>
      </c>
      <c r="G175" s="2808">
        <f t="shared" si="27"/>
        <v>4161617.3935400001</v>
      </c>
      <c r="H175" s="2808">
        <f t="shared" si="27"/>
        <v>0</v>
      </c>
    </row>
    <row r="176" spans="1:8" ht="27">
      <c r="A176" s="262"/>
      <c r="B176" s="2795" t="s">
        <v>789</v>
      </c>
      <c r="C176" s="2808">
        <v>1539675</v>
      </c>
      <c r="D176" s="2808">
        <v>1823844</v>
      </c>
      <c r="E176" s="2808">
        <v>2260319</v>
      </c>
      <c r="F176" s="2808">
        <v>2552718</v>
      </c>
      <c r="G176" s="2808">
        <v>2872507</v>
      </c>
      <c r="H176" s="2543"/>
    </row>
    <row r="177" spans="1:8">
      <c r="A177" s="262"/>
      <c r="B177" s="2640" t="s">
        <v>790</v>
      </c>
      <c r="C177" s="2808">
        <v>770913</v>
      </c>
      <c r="D177" s="2808">
        <v>848073</v>
      </c>
      <c r="E177" s="2808">
        <v>1099295</v>
      </c>
      <c r="F177" s="2808">
        <v>1024464.6744499998</v>
      </c>
      <c r="G177" s="2808">
        <v>1289110.3935400001</v>
      </c>
      <c r="H177" s="2543"/>
    </row>
    <row r="178" spans="1:8">
      <c r="A178" s="262">
        <v>3</v>
      </c>
      <c r="B178" s="2640" t="s">
        <v>791</v>
      </c>
      <c r="C178" s="2808">
        <v>1098546</v>
      </c>
      <c r="D178" s="2808">
        <v>713406</v>
      </c>
      <c r="E178" s="2808">
        <v>1116371</v>
      </c>
      <c r="F178" s="2808">
        <v>1313507.3241471434</v>
      </c>
      <c r="G178" s="2808">
        <v>1559524.6064599999</v>
      </c>
      <c r="H178" s="2543"/>
    </row>
    <row r="179" spans="1:8">
      <c r="A179" s="262">
        <v>4</v>
      </c>
      <c r="B179" s="2640" t="s">
        <v>792</v>
      </c>
      <c r="C179" s="2808">
        <v>425825</v>
      </c>
      <c r="D179" s="2808">
        <v>465665</v>
      </c>
      <c r="E179" s="2808">
        <v>548054</v>
      </c>
      <c r="F179" s="2808">
        <v>668790.74766400002</v>
      </c>
      <c r="G179" s="2808">
        <v>742831</v>
      </c>
      <c r="H179" s="2543"/>
    </row>
    <row r="180" spans="1:8">
      <c r="A180" s="263">
        <v>5</v>
      </c>
      <c r="B180" s="2640" t="s">
        <v>691</v>
      </c>
      <c r="C180" s="2809">
        <f t="shared" ref="C180:H180" si="28">C178/C179</f>
        <v>2.5798062584394996</v>
      </c>
      <c r="D180" s="2809">
        <f t="shared" si="28"/>
        <v>1.5320155047083204</v>
      </c>
      <c r="E180" s="2809">
        <f t="shared" si="28"/>
        <v>2.0369726340835026</v>
      </c>
      <c r="F180" s="2809">
        <f t="shared" si="28"/>
        <v>1.9640034326656812</v>
      </c>
      <c r="G180" s="2809">
        <f t="shared" si="28"/>
        <v>2.0994339310825745</v>
      </c>
      <c r="H180" s="2809" t="e">
        <f t="shared" si="28"/>
        <v>#DIV/0!</v>
      </c>
    </row>
  </sheetData>
  <customSheetViews>
    <customSheetView guid="{2ACFE167-4169-43A6-9AB2-59D5A2DA2DB4}" showPageBreaks="1" state="hidden">
      <selection activeCell="H83" sqref="H83"/>
      <rowBreaks count="3" manualBreakCount="3">
        <brk id="50" max="16383" man="1"/>
        <brk id="100" max="16383" man="1"/>
        <brk id="140" max="16383" man="1"/>
      </rowBreaks>
      <pageMargins left="0" right="0" top="0" bottom="0" header="0" footer="0"/>
      <pageSetup scale="79" orientation="portrait" r:id="rId1"/>
    </customSheetView>
    <customSheetView guid="{967E0446-E234-427F-8E57-7FE287052E2E}" showPageBreaks="1" state="hidden">
      <selection activeCell="H83" sqref="H83"/>
      <rowBreaks count="3" manualBreakCount="3">
        <brk id="50" max="16383" man="1"/>
        <brk id="100" max="16383" man="1"/>
        <brk id="140" max="16383" man="1"/>
      </rowBreaks>
      <pageMargins left="0" right="0" top="0" bottom="0" header="0" footer="0"/>
      <pageSetup scale="79" orientation="portrait" r:id="rId2"/>
    </customSheetView>
    <customSheetView guid="{B2E1A0C6-5BA1-4CF1-B412-16D81FCDF11F}" showPageBreaks="1" state="hidden">
      <selection activeCell="H83" sqref="H83"/>
      <rowBreaks count="3" manualBreakCount="3">
        <brk id="50" max="16383" man="1"/>
        <brk id="100" max="16383" man="1"/>
        <brk id="140" max="16383" man="1"/>
      </rowBreaks>
      <pageMargins left="0" right="0" top="0" bottom="0" header="0" footer="0"/>
      <pageSetup scale="79" orientation="portrait" r:id="rId3"/>
    </customSheetView>
    <customSheetView guid="{46F31544-8E6F-41C5-8628-1D6EE074AF15}" state="hidden">
      <selection activeCell="H83" sqref="H83"/>
      <rowBreaks count="3" manualBreakCount="3">
        <brk id="50" max="16383" man="1"/>
        <brk id="100" max="16383" man="1"/>
        <brk id="140" max="16383" man="1"/>
      </rowBreaks>
      <pageMargins left="0" right="0" top="0" bottom="0" header="0" footer="0"/>
      <pageSetup scale="79" orientation="portrait" r:id="rId4"/>
    </customSheetView>
    <customSheetView guid="{E82B35BE-4719-4C53-A9EF-1CC6F153A6F3}" showPageBreaks="1" topLeftCell="A4">
      <selection activeCell="F3" sqref="F3"/>
      <rowBreaks count="3" manualBreakCount="3">
        <brk id="50" max="16383" man="1"/>
        <brk id="100" max="16383" man="1"/>
        <brk id="140" max="16383" man="1"/>
      </rowBreaks>
      <pageMargins left="0" right="0" top="0" bottom="0" header="0" footer="0"/>
      <pageSetup scale="79" orientation="portrait" r:id="rId5"/>
    </customSheetView>
    <customSheetView guid="{B1E1B596-A9A1-411D-A882-A48CB025B978}" showPageBreaks="1" state="hidden">
      <selection activeCell="H83" sqref="H83"/>
      <rowBreaks count="3" manualBreakCount="3">
        <brk id="50" max="16383" man="1"/>
        <brk id="100" max="16383" man="1"/>
        <brk id="140" max="16383" man="1"/>
      </rowBreaks>
      <pageMargins left="0" right="0" top="0" bottom="0" header="0" footer="0"/>
      <pageSetup scale="79" orientation="portrait" r:id="rId6"/>
    </customSheetView>
    <customSheetView guid="{5E394B0B-7867-4722-9497-A93AB2A9A773}" showPageBreaks="1" state="hidden">
      <selection activeCell="H83" sqref="H83"/>
      <rowBreaks count="3" manualBreakCount="3">
        <brk id="50" max="16383" man="1"/>
        <brk id="100" max="16383" man="1"/>
        <brk id="140" max="16383" man="1"/>
      </rowBreaks>
      <pageMargins left="0" right="0" top="0" bottom="0" header="0" footer="0"/>
      <pageSetup scale="79" orientation="portrait" r:id="rId7"/>
    </customSheetView>
  </customSheetViews>
  <pageMargins left="0.7" right="0.7" top="0.75" bottom="0.75" header="0.3" footer="0.3"/>
  <pageSetup scale="79" orientation="portrait" r:id="rId8"/>
  <rowBreaks count="3" manualBreakCount="3">
    <brk id="50" max="16383" man="1"/>
    <brk id="100" max="16383" man="1"/>
    <brk id="140" max="16383" man="1"/>
  </rowBreaks>
  <legacyDrawing r:id="rId9"/>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7">
    <tabColor rgb="FFFFC000"/>
  </sheetPr>
  <dimension ref="A2:F245"/>
  <sheetViews>
    <sheetView topLeftCell="A121" workbookViewId="0">
      <selection activeCell="A2" sqref="A2"/>
    </sheetView>
  </sheetViews>
  <sheetFormatPr defaultColWidth="9.140625" defaultRowHeight="14.45"/>
  <cols>
    <col min="1" max="1" width="26.85546875" bestFit="1" customWidth="1"/>
    <col min="2" max="2" width="20" customWidth="1"/>
    <col min="3" max="3" width="16.28515625" customWidth="1"/>
    <col min="4" max="4" width="18.42578125" customWidth="1"/>
    <col min="5" max="6" width="16.7109375" customWidth="1"/>
    <col min="8" max="8" width="11.85546875" customWidth="1"/>
  </cols>
  <sheetData>
    <row r="2" spans="1:6">
      <c r="A2" s="82" t="s">
        <v>795</v>
      </c>
      <c r="B2" s="75"/>
      <c r="C2" s="75"/>
      <c r="D2" s="75"/>
      <c r="E2" s="75"/>
      <c r="F2" s="75"/>
    </row>
    <row r="3" spans="1:6">
      <c r="A3" s="83"/>
      <c r="B3" s="75"/>
      <c r="C3" s="75"/>
      <c r="D3" s="75"/>
      <c r="E3" s="75"/>
      <c r="F3" s="75"/>
    </row>
    <row r="4" spans="1:6">
      <c r="A4" s="3619" t="s">
        <v>796</v>
      </c>
      <c r="B4" s="3621" t="s">
        <v>797</v>
      </c>
      <c r="C4" s="3621"/>
      <c r="D4" s="3621"/>
      <c r="E4" s="3621"/>
      <c r="F4" s="3621"/>
    </row>
    <row r="5" spans="1:6">
      <c r="A5" s="3620"/>
      <c r="B5" s="2537">
        <v>2008</v>
      </c>
      <c r="C5" s="2537">
        <v>2009</v>
      </c>
      <c r="D5" s="2537">
        <v>2010</v>
      </c>
      <c r="E5" s="2537">
        <v>2011</v>
      </c>
      <c r="F5" s="2532">
        <v>2012</v>
      </c>
    </row>
    <row r="6" spans="1:6">
      <c r="A6" s="2504" t="s">
        <v>798</v>
      </c>
      <c r="B6" s="2812">
        <f>+B16/$B$21*100</f>
        <v>23.659062134947821</v>
      </c>
      <c r="C6" s="2812">
        <f>+C16/$C$21*100</f>
        <v>25.489895172144401</v>
      </c>
      <c r="D6" s="2812">
        <f>+D16/$D$21*100</f>
        <v>24.232418912218389</v>
      </c>
      <c r="E6" s="2812">
        <f>+E16/$E$21*100</f>
        <v>23.462655218384107</v>
      </c>
      <c r="F6" s="2812">
        <f>+F16/$F$21*100</f>
        <v>23.710184465086623</v>
      </c>
    </row>
    <row r="7" spans="1:6">
      <c r="A7" s="2504" t="s">
        <v>799</v>
      </c>
      <c r="B7" s="2812">
        <f>+B17/$B$21*100</f>
        <v>25.18072941386842</v>
      </c>
      <c r="C7" s="2812">
        <f>+C17/$C$21*100</f>
        <v>27.421939026681503</v>
      </c>
      <c r="D7" s="2812">
        <f>+D17/$D$21*100</f>
        <v>27.57170060230057</v>
      </c>
      <c r="E7" s="2812">
        <f>+E17/$E$21*100</f>
        <v>25.263880892554408</v>
      </c>
      <c r="F7" s="2812">
        <f>+F17/$F$21*100</f>
        <v>25.359014431262651</v>
      </c>
    </row>
    <row r="8" spans="1:6">
      <c r="A8" s="2504" t="s">
        <v>800</v>
      </c>
      <c r="B8" s="2812">
        <f>+B18/$B$21*100</f>
        <v>19.251080086647899</v>
      </c>
      <c r="C8" s="2812">
        <f>+C18/$C$21*100</f>
        <v>22.033294621205457</v>
      </c>
      <c r="D8" s="2812">
        <f>+D18/$D$21*100</f>
        <v>19.892628443293983</v>
      </c>
      <c r="E8" s="2812">
        <f>+E18/$E$21*100</f>
        <v>22.929884616075629</v>
      </c>
      <c r="F8" s="2812">
        <f>+F18/$F$21*100</f>
        <v>23.436597678156915</v>
      </c>
    </row>
    <row r="9" spans="1:6">
      <c r="A9" s="2504" t="s">
        <v>801</v>
      </c>
      <c r="B9" s="2812">
        <f>+(B19+B20)/B21*100</f>
        <v>31.909128364535878</v>
      </c>
      <c r="C9" s="2812">
        <f>+(C19+C20)/C21*100</f>
        <v>25.054871179968639</v>
      </c>
      <c r="D9" s="2812">
        <f>+(D19+D20)/D21*100</f>
        <v>28.303252042187072</v>
      </c>
      <c r="E9" s="2812">
        <f>+(E19+E20)/E21*100</f>
        <v>28.343579272985853</v>
      </c>
      <c r="F9" s="2812">
        <f>+(F19+F20)/F21*100</f>
        <v>27.494203425493811</v>
      </c>
    </row>
    <row r="10" spans="1:6" ht="15" thickBot="1">
      <c r="A10" s="76" t="s">
        <v>118</v>
      </c>
      <c r="B10" s="84">
        <f>SUM(B6:B9)</f>
        <v>100.00000000000001</v>
      </c>
      <c r="C10" s="84">
        <f>SUM(C6:C9)</f>
        <v>100</v>
      </c>
      <c r="D10" s="84">
        <f>SUM(D6:D9)</f>
        <v>100.00000000000001</v>
      </c>
      <c r="E10" s="84">
        <f>SUM(E6:E9)</f>
        <v>99.999999999999986</v>
      </c>
      <c r="F10" s="84">
        <f>SUM(F6:F9)</f>
        <v>100</v>
      </c>
    </row>
    <row r="11" spans="1:6" ht="15" thickTop="1"/>
    <row r="12" spans="1:6">
      <c r="A12" s="82" t="s">
        <v>802</v>
      </c>
      <c r="B12" s="75"/>
      <c r="C12" s="75"/>
      <c r="D12" s="75"/>
      <c r="E12" s="75"/>
      <c r="F12" s="75"/>
    </row>
    <row r="13" spans="1:6">
      <c r="A13" s="83"/>
      <c r="B13" s="75"/>
      <c r="C13" s="75"/>
      <c r="D13" s="75"/>
      <c r="E13" s="75"/>
      <c r="F13" s="75"/>
    </row>
    <row r="14" spans="1:6">
      <c r="A14" s="3619" t="s">
        <v>796</v>
      </c>
      <c r="B14" s="3621" t="s">
        <v>797</v>
      </c>
      <c r="C14" s="3621"/>
      <c r="D14" s="3621"/>
      <c r="E14" s="3621"/>
      <c r="F14" s="3621"/>
    </row>
    <row r="15" spans="1:6">
      <c r="A15" s="3620"/>
      <c r="B15" s="2813">
        <v>2008</v>
      </c>
      <c r="C15" s="2813">
        <v>2009</v>
      </c>
      <c r="D15" s="2813">
        <v>2010</v>
      </c>
      <c r="E15" s="2813">
        <v>2011</v>
      </c>
      <c r="F15" s="2814">
        <v>2012</v>
      </c>
    </row>
    <row r="16" spans="1:6">
      <c r="A16" s="2504" t="s">
        <v>798</v>
      </c>
      <c r="B16" s="2815">
        <f>+F30+F41+F52+F63+F74+F85+F96+F107+F118+F129+F140+F151+F162+F173+F184+F195+F206+F217+F228+F239</f>
        <v>7202349.178313015</v>
      </c>
      <c r="C16" s="2815">
        <f>+E30+E41+E52+E63+E74+E85+E96+E107+E118+E129+E140+E151+E162+E173+E184+E195+E206+E217+E228+E239</f>
        <v>8544198.7104313709</v>
      </c>
      <c r="D16" s="2815">
        <f>+D30+D41+D52+D63+D74+D85+D96+D107+D118+D129+D140+D151+D162+D173+D184+D195+D206+D217+D228+D239</f>
        <v>9044365.3892890457</v>
      </c>
      <c r="E16" s="2815">
        <f>+C30+C41+C52+C63+C74+C85+C96+C107+C118+C129+C140+C151+C162+C173+C184+C195+C206+C217+C228+C239</f>
        <v>10674329.371317729</v>
      </c>
      <c r="F16" s="2815">
        <f>+B30+B41+B52+B63+B74+B85+B96+B107+B118+B129+B140+B151+B162+B173+B184+B195+B206+B217+B228+B239</f>
        <v>12353267.745762428</v>
      </c>
    </row>
    <row r="17" spans="1:6">
      <c r="A17" s="2504" t="s">
        <v>799</v>
      </c>
      <c r="B17" s="2815">
        <f>+F31+F42+F53+F64+F75+F86+F97+F108+F119+F130+F141+F152+F163+F174+F185+F196+F207+F218+F229+F240</f>
        <v>7665578.8284778325</v>
      </c>
      <c r="C17" s="2815">
        <f>+E31+E42+E53+E64+E75+E86+E97+E108+E119+E130+E141+E152+E163+E174+E185+E196+E207+E218+E229+E240</f>
        <v>9191818.7378559094</v>
      </c>
      <c r="D17" s="2815">
        <f>+D31+D42+D53+D64+D75+D86+D97+D108+D119+D130+D141+D152+D163+D174+D185+D196+D207+D218+D229+D240</f>
        <v>10290699.230424389</v>
      </c>
      <c r="E17" s="2815">
        <f>+C31+C42+C53+C64+C75+C86+C97+C108+C119+C130+C141+C152+C163+C174+C185+C196+C207+C218+C229+C240</f>
        <v>11493796.560312709</v>
      </c>
      <c r="F17" s="2815">
        <f>+B31+B42+B53+B64+B75+B86+B97+B108+B119+B130+B141+B152+B163+B174+B185+B196+B207+B218+B229+B240</f>
        <v>13212326.352809602</v>
      </c>
    </row>
    <row r="18" spans="1:6">
      <c r="A18" s="2504" t="s">
        <v>800</v>
      </c>
      <c r="B18" s="2815">
        <f>+F32+F43+F54+F65+F76+F87+F98+F109+F120+F131+F142+F153+F164+F175+F186+F197+F208+F219+F230+F241</f>
        <v>5860460.5733249346</v>
      </c>
      <c r="C18" s="2815">
        <f>+E32+E43+E54+E65+E76+E87+E98+E109+E120+E131+E142+E153+E164+E175+E186+E197+E208+E219+E230+E241</f>
        <v>7385548.1247638483</v>
      </c>
      <c r="D18" s="2815">
        <f>+D32+D43+D54+D65+D76+D87+D98+D109+D120+D131+D142+D153+D164+D175+D186+D197+D208+D219+D230+D241</f>
        <v>7424607.5410902621</v>
      </c>
      <c r="E18" s="2815">
        <f>+C32+C43+C54+C65+C76+C87+C98+C109+C120+C131+C142+C153+C164+C175+C186+C197+C208+C219+C230+C241</f>
        <v>10431945.513418304</v>
      </c>
      <c r="F18" s="2815">
        <f>+B32+B43+B54+B65+B76+B87+B98+B109+B120+B131+B142+B153+B164+B175+B186+B197+B208+B219+B230+B241</f>
        <v>12210726.010769933</v>
      </c>
    </row>
    <row r="19" spans="1:6">
      <c r="A19" s="2504" t="s">
        <v>803</v>
      </c>
      <c r="B19" s="2815">
        <f>+F33+F44+F55+F66+F77+F88+F99+F110+F121+F132+F143+F154+F165+F176+F187+F198+F209+F220+F231+F242</f>
        <v>757601.41017000005</v>
      </c>
      <c r="C19" s="2815">
        <f>+E33+E44+E55+E66+E77+E88+E99+E110+E121+E132+E143+E154+E165+E176+E187+E198+E209+E220+E231+E242</f>
        <v>1062256.9287299989</v>
      </c>
      <c r="D19" s="2815">
        <f>+D33+D44+D55+D66+D77+D88+D99+D110+D121+D132+D143+D154+D165+D176+D187+D198+D209+D220+D231+D242</f>
        <v>1510608.5020135699</v>
      </c>
      <c r="E19" s="2815">
        <f>+C33+C44+C55+C66+C77+C88+C99+C110+C121+C132+C143+C154+C165+C176+C187+C198+C209+C220+C231+C242</f>
        <v>1801476.0055157265</v>
      </c>
      <c r="F19" s="2815">
        <f>+B33+B44+B55+B66+B77+B88+B99+B110+B121+B132+B143+B154+B165+B176+B187+B198+B209+B220+B231+B242</f>
        <v>1387460.8875148722</v>
      </c>
    </row>
    <row r="20" spans="1:6">
      <c r="A20" s="2504" t="s">
        <v>804</v>
      </c>
      <c r="B20" s="2815">
        <f>+F34+F45+F56+F67+F78+F89+F100+F111+F122+F133+F144+F155+F166+F177+F188+F199+F210+F221+F232+F243</f>
        <v>8956252.9745108467</v>
      </c>
      <c r="C20" s="2815">
        <f>+E34+E45+E56+E67+E78+E89+E100+E111+E122+E133+E144+E155+E166+E177+E188+E199+E210+E221+E232+E243</f>
        <v>7336121.9810371194</v>
      </c>
      <c r="D20" s="2815">
        <f>+D34+D45+D56+D67+D78+D89+D100+D111+D122+D133+D144+D155+D166+D177+D188+D199+D210+D221+D232+D243</f>
        <v>9053130.6815150455</v>
      </c>
      <c r="E20" s="2815">
        <f>+C34+C45+C56+C67+C78+C89+C100+C111+C122+C133+C144+C155+C166+C177+C188+C199+C210+C221+C232+C243</f>
        <v>11093428.595257847</v>
      </c>
      <c r="F20" s="2815">
        <f>+B34+B45+B56+B67+B78+B89+B100+B111+B122+B133+B144+B155+B166+B177+B188+B199+B210+B221+B232+B243</f>
        <v>12937322.492880592</v>
      </c>
    </row>
    <row r="21" spans="1:6">
      <c r="A21" s="76" t="s">
        <v>118</v>
      </c>
      <c r="B21" s="1116">
        <f>SUM(B16:B20)</f>
        <v>30442242.964796625</v>
      </c>
      <c r="C21" s="1116">
        <f>SUM(C16:C20)</f>
        <v>33519944.482818246</v>
      </c>
      <c r="D21" s="1116">
        <f>SUM(D16:D20)</f>
        <v>37323411.344332308</v>
      </c>
      <c r="E21" s="1116">
        <f>SUM(E16:E20)</f>
        <v>45494976.045822315</v>
      </c>
      <c r="F21" s="1116">
        <f>SUM(F16:F20)</f>
        <v>52101103.489737429</v>
      </c>
    </row>
    <row r="22" spans="1:6">
      <c r="A22" s="2504" t="s">
        <v>805</v>
      </c>
      <c r="B22" s="2815" t="e">
        <f>+#REF!</f>
        <v>#REF!</v>
      </c>
      <c r="C22" s="2815" t="e">
        <f>+#REF!</f>
        <v>#REF!</v>
      </c>
      <c r="D22" s="2815" t="e">
        <f>+#REF!</f>
        <v>#REF!</v>
      </c>
      <c r="E22" s="2815" t="e">
        <f>+#REF!</f>
        <v>#REF!</v>
      </c>
      <c r="F22" s="2815" t="e">
        <f>+#REF!</f>
        <v>#REF!</v>
      </c>
    </row>
    <row r="23" spans="1:6">
      <c r="A23" s="2816" t="s">
        <v>806</v>
      </c>
      <c r="B23" s="2759" t="e">
        <f>+B21-B22</f>
        <v>#REF!</v>
      </c>
      <c r="C23" s="2759" t="e">
        <f>+C21-C22</f>
        <v>#REF!</v>
      </c>
      <c r="D23" s="2759" t="e">
        <f>+D21-D22</f>
        <v>#REF!</v>
      </c>
      <c r="E23" s="2759" t="e">
        <f>+E21-E22</f>
        <v>#REF!</v>
      </c>
      <c r="F23" s="2759" t="e">
        <f>+F21-F22</f>
        <v>#REF!</v>
      </c>
    </row>
    <row r="24" spans="1:6" ht="31.5" customHeight="1">
      <c r="A24" s="2817" t="s">
        <v>807</v>
      </c>
      <c r="B24" s="2818"/>
      <c r="C24" s="2818"/>
      <c r="D24" s="2818"/>
      <c r="E24" s="2818">
        <f>+'Co Ins Outward'!J51</f>
        <v>-2166105.4411881268</v>
      </c>
      <c r="F24" s="2818">
        <f>+'Co Ins Outward'!J26</f>
        <v>589410.951128043</v>
      </c>
    </row>
    <row r="25" spans="1:6">
      <c r="B25" s="14"/>
      <c r="C25" s="14"/>
      <c r="D25" s="14"/>
      <c r="E25" s="14"/>
      <c r="F25" s="14"/>
    </row>
    <row r="26" spans="1:6">
      <c r="B26" s="14"/>
      <c r="C26" s="14"/>
      <c r="D26" s="14"/>
      <c r="E26" s="14"/>
      <c r="F26" s="14"/>
    </row>
    <row r="27" spans="1:6">
      <c r="A27">
        <v>1</v>
      </c>
      <c r="B27" s="1772" t="s">
        <v>177</v>
      </c>
    </row>
    <row r="28" spans="1:6">
      <c r="A28" s="3619" t="s">
        <v>796</v>
      </c>
      <c r="B28" s="3621" t="s">
        <v>797</v>
      </c>
      <c r="C28" s="3621"/>
      <c r="D28" s="3621"/>
      <c r="E28" s="3621"/>
      <c r="F28" s="3621"/>
    </row>
    <row r="29" spans="1:6">
      <c r="A29" s="3620"/>
      <c r="B29" s="2532">
        <v>2012</v>
      </c>
      <c r="C29" s="2537">
        <v>2011</v>
      </c>
      <c r="D29" s="2537">
        <v>2010</v>
      </c>
      <c r="E29" s="2537">
        <v>2009</v>
      </c>
      <c r="F29" s="2537">
        <v>2008</v>
      </c>
    </row>
    <row r="30" spans="1:6">
      <c r="A30" s="2504" t="s">
        <v>798</v>
      </c>
      <c r="B30" s="2815">
        <v>315794.83120999997</v>
      </c>
      <c r="C30" s="2815">
        <v>286752.49471</v>
      </c>
      <c r="D30" s="2815">
        <v>326282.27091000002</v>
      </c>
      <c r="E30" s="2815">
        <v>266545.51387999998</v>
      </c>
      <c r="F30" s="2815">
        <v>274710.02755</v>
      </c>
    </row>
    <row r="31" spans="1:6">
      <c r="A31" s="2504" t="s">
        <v>799</v>
      </c>
      <c r="B31" s="2815">
        <v>488967.15191000002</v>
      </c>
      <c r="C31" s="2815">
        <v>230501.57606999998</v>
      </c>
      <c r="D31" s="2815">
        <v>2973.1581299999998</v>
      </c>
      <c r="E31" s="2815">
        <v>69522.015440000003</v>
      </c>
      <c r="F31" s="2815">
        <v>74466.334470000002</v>
      </c>
    </row>
    <row r="32" spans="1:6">
      <c r="A32" s="2504" t="s">
        <v>800</v>
      </c>
      <c r="B32" s="2815">
        <v>385629.70668</v>
      </c>
      <c r="C32" s="2815">
        <v>110909.34813</v>
      </c>
      <c r="D32" s="2815">
        <v>101410.31981</v>
      </c>
      <c r="E32" s="2815">
        <v>160681.45756000001</v>
      </c>
      <c r="F32" s="2815">
        <v>110594.63798</v>
      </c>
    </row>
    <row r="33" spans="1:6">
      <c r="A33" s="2504" t="s">
        <v>803</v>
      </c>
      <c r="B33" s="2815">
        <v>0</v>
      </c>
      <c r="C33" s="2815">
        <v>0</v>
      </c>
      <c r="D33" s="2815">
        <v>0</v>
      </c>
      <c r="E33" s="2815">
        <v>0</v>
      </c>
      <c r="F33" s="2815">
        <v>0</v>
      </c>
    </row>
    <row r="34" spans="1:6">
      <c r="A34" s="2504" t="s">
        <v>804</v>
      </c>
      <c r="B34" s="2815">
        <v>0</v>
      </c>
      <c r="C34" s="2815">
        <v>0</v>
      </c>
      <c r="D34" s="2815">
        <v>0</v>
      </c>
      <c r="E34" s="2815">
        <v>0</v>
      </c>
      <c r="F34" s="2815">
        <v>0</v>
      </c>
    </row>
    <row r="35" spans="1:6" ht="15" thickBot="1">
      <c r="A35" s="76" t="s">
        <v>118</v>
      </c>
      <c r="B35" s="84">
        <f>SUM(B30:B34)</f>
        <v>1190391.6898000001</v>
      </c>
      <c r="C35" s="84">
        <f>SUM(C30:C34)</f>
        <v>628163.41891000001</v>
      </c>
      <c r="D35" s="84">
        <f>SUM(D30:D34)</f>
        <v>430665.74885000003</v>
      </c>
      <c r="E35" s="84">
        <f>SUM(E30:E34)</f>
        <v>496748.98687999998</v>
      </c>
      <c r="F35" s="84">
        <f>SUM(F30:F34)</f>
        <v>459771</v>
      </c>
    </row>
    <row r="36" spans="1:6" ht="15" thickTop="1">
      <c r="A36" s="76"/>
      <c r="B36" s="1116" t="e">
        <f>+#REF!</f>
        <v>#REF!</v>
      </c>
      <c r="C36" s="102" t="e">
        <f>+#REF!</f>
        <v>#REF!</v>
      </c>
      <c r="D36" s="102" t="e">
        <f>+#REF!</f>
        <v>#REF!</v>
      </c>
      <c r="E36" s="102" t="e">
        <f>+#REF!</f>
        <v>#REF!</v>
      </c>
      <c r="F36" s="102" t="e">
        <f>+#REF!</f>
        <v>#REF!</v>
      </c>
    </row>
    <row r="37" spans="1:6">
      <c r="A37" s="76"/>
      <c r="B37" s="1117" t="e">
        <f>+B35-B36</f>
        <v>#REF!</v>
      </c>
      <c r="C37" s="1117" t="e">
        <f>+C35-C36</f>
        <v>#REF!</v>
      </c>
      <c r="D37" s="1117" t="e">
        <f>+D35-D36</f>
        <v>#REF!</v>
      </c>
      <c r="E37" s="1117" t="e">
        <f>+E35-E36</f>
        <v>#REF!</v>
      </c>
      <c r="F37" s="1117" t="e">
        <f>+F35-F36</f>
        <v>#REF!</v>
      </c>
    </row>
    <row r="38" spans="1:6">
      <c r="A38">
        <v>2</v>
      </c>
      <c r="B38" s="1772" t="s">
        <v>179</v>
      </c>
    </row>
    <row r="39" spans="1:6">
      <c r="A39" s="3619" t="s">
        <v>796</v>
      </c>
      <c r="B39" s="3621" t="s">
        <v>797</v>
      </c>
      <c r="C39" s="3621"/>
      <c r="D39" s="3621"/>
      <c r="E39" s="3621"/>
      <c r="F39" s="3621"/>
    </row>
    <row r="40" spans="1:6">
      <c r="A40" s="3620"/>
      <c r="B40" s="2532">
        <v>2012</v>
      </c>
      <c r="C40" s="2537">
        <v>2011</v>
      </c>
      <c r="D40" s="2537">
        <v>2010</v>
      </c>
      <c r="E40" s="2537">
        <v>2009</v>
      </c>
      <c r="F40" s="2537">
        <v>2008</v>
      </c>
    </row>
    <row r="41" spans="1:6">
      <c r="A41" s="2504" t="s">
        <v>798</v>
      </c>
      <c r="B41" s="2819">
        <v>0</v>
      </c>
      <c r="C41" s="2819">
        <v>1713</v>
      </c>
      <c r="D41" s="2819">
        <v>2696</v>
      </c>
      <c r="E41" s="2819">
        <v>7455</v>
      </c>
      <c r="F41" s="2815">
        <v>3348</v>
      </c>
    </row>
    <row r="42" spans="1:6">
      <c r="A42" s="2504" t="s">
        <v>799</v>
      </c>
      <c r="B42" s="2819">
        <v>419314</v>
      </c>
      <c r="C42" s="2819">
        <v>380386</v>
      </c>
      <c r="D42" s="2819">
        <v>554286</v>
      </c>
      <c r="E42" s="2819">
        <v>472526</v>
      </c>
      <c r="F42" s="2815">
        <v>252838</v>
      </c>
    </row>
    <row r="43" spans="1:6">
      <c r="A43" s="2504" t="s">
        <v>800</v>
      </c>
      <c r="B43" s="2819">
        <v>629683</v>
      </c>
      <c r="C43" s="2819">
        <v>711345</v>
      </c>
      <c r="D43" s="2819">
        <v>493964</v>
      </c>
      <c r="E43" s="2819">
        <v>403547</v>
      </c>
      <c r="F43" s="2815">
        <v>184986</v>
      </c>
    </row>
    <row r="44" spans="1:6">
      <c r="A44" s="2504" t="s">
        <v>803</v>
      </c>
      <c r="B44" s="2819">
        <v>137899</v>
      </c>
      <c r="C44" s="2819">
        <v>89004</v>
      </c>
      <c r="D44" s="2819">
        <v>62887</v>
      </c>
      <c r="E44" s="2819">
        <v>42493</v>
      </c>
      <c r="F44" s="2815">
        <v>33299</v>
      </c>
    </row>
    <row r="45" spans="1:6">
      <c r="A45" s="2504" t="s">
        <v>804</v>
      </c>
      <c r="B45" s="2819">
        <v>335162</v>
      </c>
      <c r="C45" s="2819">
        <v>318852</v>
      </c>
      <c r="D45" s="2819">
        <v>355705</v>
      </c>
      <c r="E45" s="2819">
        <v>248801</v>
      </c>
      <c r="F45" s="2815">
        <v>126632</v>
      </c>
    </row>
    <row r="46" spans="1:6" ht="15" thickBot="1">
      <c r="A46" s="76" t="s">
        <v>118</v>
      </c>
      <c r="B46" s="84">
        <f>SUM(B41:B45)</f>
        <v>1522058</v>
      </c>
      <c r="C46" s="84">
        <f>SUM(C41:C45)</f>
        <v>1501300</v>
      </c>
      <c r="D46" s="84">
        <f>SUM(D41:D45)</f>
        <v>1469538</v>
      </c>
      <c r="E46" s="84">
        <f>SUM(E41:E45)</f>
        <v>1174822</v>
      </c>
      <c r="F46" s="84">
        <f>SUM(F41:F45)</f>
        <v>601103</v>
      </c>
    </row>
    <row r="47" spans="1:6" ht="15" thickTop="1">
      <c r="A47" s="76"/>
      <c r="B47" s="1116" t="e">
        <f>+#REF!</f>
        <v>#REF!</v>
      </c>
      <c r="C47" s="102" t="e">
        <f>+#REF!</f>
        <v>#REF!</v>
      </c>
      <c r="D47" s="102" t="e">
        <f>+#REF!</f>
        <v>#REF!</v>
      </c>
      <c r="E47" s="102" t="e">
        <f>+#REF!</f>
        <v>#REF!</v>
      </c>
      <c r="F47" s="102" t="e">
        <f>+#REF!</f>
        <v>#REF!</v>
      </c>
    </row>
    <row r="48" spans="1:6">
      <c r="A48" s="76"/>
      <c r="B48" s="1117" t="e">
        <f>+B46-B47</f>
        <v>#REF!</v>
      </c>
      <c r="C48" s="1117" t="e">
        <f>+C46-C47</f>
        <v>#REF!</v>
      </c>
      <c r="D48" s="1117" t="e">
        <f>+D46-D47</f>
        <v>#REF!</v>
      </c>
      <c r="E48" s="1117" t="e">
        <f>+E46-E47</f>
        <v>#REF!</v>
      </c>
      <c r="F48" s="1117" t="e">
        <f>+F46-F47</f>
        <v>#REF!</v>
      </c>
    </row>
    <row r="49" spans="1:6">
      <c r="A49">
        <v>3</v>
      </c>
      <c r="B49" s="1772" t="s">
        <v>181</v>
      </c>
    </row>
    <row r="50" spans="1:6">
      <c r="A50" s="3619" t="s">
        <v>796</v>
      </c>
      <c r="B50" s="3621" t="s">
        <v>797</v>
      </c>
      <c r="C50" s="3621"/>
      <c r="D50" s="3621"/>
      <c r="E50" s="3621"/>
      <c r="F50" s="3621"/>
    </row>
    <row r="51" spans="1:6">
      <c r="A51" s="3620"/>
      <c r="B51" s="2532">
        <v>2012</v>
      </c>
      <c r="C51" s="2537">
        <v>2011</v>
      </c>
      <c r="D51" s="2537">
        <v>2010</v>
      </c>
      <c r="E51" s="2537">
        <v>2009</v>
      </c>
      <c r="F51" s="2537">
        <v>2008</v>
      </c>
    </row>
    <row r="52" spans="1:6">
      <c r="A52" s="2504" t="s">
        <v>798</v>
      </c>
      <c r="B52" s="2815">
        <v>1036361.4066</v>
      </c>
      <c r="C52" s="2815">
        <v>903768.31818999304</v>
      </c>
      <c r="D52" s="2815">
        <v>736853.50532999996</v>
      </c>
      <c r="E52" s="2815">
        <v>516177.43075</v>
      </c>
      <c r="F52" s="2815">
        <v>527036.37558999995</v>
      </c>
    </row>
    <row r="53" spans="1:6">
      <c r="A53" s="2504" t="s">
        <v>799</v>
      </c>
      <c r="B53" s="2815">
        <v>901795.76939000003</v>
      </c>
      <c r="C53" s="2815">
        <v>761299.69425999804</v>
      </c>
      <c r="D53" s="2815">
        <v>1098069.3475200001</v>
      </c>
      <c r="E53" s="2815">
        <v>1242818.10781</v>
      </c>
      <c r="F53" s="2815">
        <v>1132667.3293399999</v>
      </c>
    </row>
    <row r="54" spans="1:6">
      <c r="A54" s="2504" t="s">
        <v>800</v>
      </c>
      <c r="B54" s="2815">
        <v>191601.36429999999</v>
      </c>
      <c r="C54" s="2815">
        <v>163062.99150999999</v>
      </c>
      <c r="D54" s="2815">
        <v>162628.65390999999</v>
      </c>
      <c r="E54" s="2815">
        <v>247441.8143</v>
      </c>
      <c r="F54" s="2815">
        <v>173976.98454</v>
      </c>
    </row>
    <row r="55" spans="1:6">
      <c r="A55" s="2504" t="s">
        <v>803</v>
      </c>
      <c r="B55" s="2815">
        <v>270564.90321000002</v>
      </c>
      <c r="C55" s="2815">
        <v>863805.93622006499</v>
      </c>
      <c r="D55" s="2815">
        <v>849252.70279999205</v>
      </c>
      <c r="E55" s="2815">
        <v>497190.971729999</v>
      </c>
      <c r="F55" s="2815">
        <v>211571.31052999999</v>
      </c>
    </row>
    <row r="56" spans="1:6">
      <c r="A56" s="2504" t="s">
        <v>804</v>
      </c>
      <c r="B56" s="2815"/>
      <c r="C56" s="2815"/>
      <c r="D56" s="2815"/>
      <c r="E56" s="2815"/>
      <c r="F56" s="2815"/>
    </row>
    <row r="57" spans="1:6" ht="15" thickBot="1">
      <c r="A57" s="76" t="s">
        <v>118</v>
      </c>
      <c r="B57" s="84">
        <f>SUM(B52:B56)</f>
        <v>2400323.4435000001</v>
      </c>
      <c r="C57" s="84">
        <f>SUM(C52:C56)</f>
        <v>2691936.9401800558</v>
      </c>
      <c r="D57" s="84">
        <f>SUM(D52:D56)</f>
        <v>2846804.209559992</v>
      </c>
      <c r="E57" s="84">
        <f>SUM(E52:E56)</f>
        <v>2503628.3245899989</v>
      </c>
      <c r="F57" s="84">
        <f>SUM(F52:F56)</f>
        <v>2045252</v>
      </c>
    </row>
    <row r="58" spans="1:6" ht="15" thickTop="1">
      <c r="A58" s="76"/>
      <c r="B58" s="1116" t="e">
        <f>+#REF!</f>
        <v>#REF!</v>
      </c>
      <c r="C58" s="102" t="e">
        <f>+#REF!</f>
        <v>#REF!</v>
      </c>
      <c r="D58" s="102" t="e">
        <f>+#REF!</f>
        <v>#REF!</v>
      </c>
      <c r="E58" s="102" t="e">
        <f>+#REF!</f>
        <v>#REF!</v>
      </c>
      <c r="F58" s="102" t="e">
        <f>+#REF!</f>
        <v>#REF!</v>
      </c>
    </row>
    <row r="59" spans="1:6">
      <c r="A59" s="76"/>
      <c r="B59" s="1117" t="e">
        <f>+B57-B58</f>
        <v>#REF!</v>
      </c>
      <c r="C59" s="1117" t="e">
        <f>+C57-C58</f>
        <v>#REF!</v>
      </c>
      <c r="D59" s="1117" t="e">
        <f>+D57-D58</f>
        <v>#REF!</v>
      </c>
      <c r="E59" s="1117" t="e">
        <f>+E57-E58</f>
        <v>#REF!</v>
      </c>
      <c r="F59" s="1117" t="e">
        <f>+F57-F58</f>
        <v>#REF!</v>
      </c>
    </row>
    <row r="60" spans="1:6">
      <c r="A60">
        <v>4</v>
      </c>
      <c r="B60" s="1772" t="s">
        <v>182</v>
      </c>
    </row>
    <row r="61" spans="1:6">
      <c r="A61" s="3619" t="s">
        <v>796</v>
      </c>
      <c r="B61" s="3621" t="s">
        <v>797</v>
      </c>
      <c r="C61" s="3621"/>
      <c r="D61" s="3621"/>
      <c r="E61" s="3621"/>
      <c r="F61" s="3621"/>
    </row>
    <row r="62" spans="1:6">
      <c r="A62" s="3620"/>
      <c r="B62" s="2532">
        <v>2012</v>
      </c>
      <c r="C62" s="2537">
        <v>2011</v>
      </c>
      <c r="D62" s="2537">
        <v>2010</v>
      </c>
      <c r="E62" s="2537">
        <v>2009</v>
      </c>
      <c r="F62" s="2537">
        <v>2008</v>
      </c>
    </row>
    <row r="63" spans="1:6">
      <c r="A63" s="2504" t="s">
        <v>798</v>
      </c>
      <c r="B63" s="2815">
        <v>22255.376390000201</v>
      </c>
      <c r="C63" s="2815">
        <v>7544.5394299999998</v>
      </c>
      <c r="D63" s="2815">
        <v>48552.575819999998</v>
      </c>
      <c r="E63" s="2815">
        <v>148836.90297999998</v>
      </c>
      <c r="F63" s="2815">
        <v>173866.69755000001</v>
      </c>
    </row>
    <row r="64" spans="1:6">
      <c r="A64" s="2504" t="s">
        <v>799</v>
      </c>
      <c r="B64" s="2815">
        <v>112598.38820000111</v>
      </c>
      <c r="C64" s="2815">
        <v>52970.903539999999</v>
      </c>
      <c r="D64" s="2815">
        <v>91774.793860000005</v>
      </c>
      <c r="E64" s="2815">
        <v>68297.733489999999</v>
      </c>
      <c r="F64" s="2815">
        <v>54041.379919999999</v>
      </c>
    </row>
    <row r="65" spans="1:6">
      <c r="A65" s="2504" t="s">
        <v>800</v>
      </c>
      <c r="B65" s="2815">
        <v>1059033.2568417999</v>
      </c>
      <c r="C65" s="2815">
        <v>904787.05440000002</v>
      </c>
      <c r="D65" s="2815">
        <v>792865.01941999991</v>
      </c>
      <c r="E65" s="2815">
        <v>736663.71979</v>
      </c>
      <c r="F65" s="2815">
        <v>607278.67979999993</v>
      </c>
    </row>
    <row r="66" spans="1:6">
      <c r="A66" s="2504" t="s">
        <v>803</v>
      </c>
      <c r="B66" s="2815">
        <v>0</v>
      </c>
      <c r="C66" s="2815">
        <v>0</v>
      </c>
      <c r="D66" s="2815">
        <v>0</v>
      </c>
      <c r="E66" s="2815">
        <v>0</v>
      </c>
      <c r="F66" s="2815">
        <v>0</v>
      </c>
    </row>
    <row r="67" spans="1:6">
      <c r="A67" s="2504" t="s">
        <v>804</v>
      </c>
      <c r="B67" s="2815">
        <v>0</v>
      </c>
      <c r="C67" s="2815"/>
      <c r="D67" s="2815"/>
      <c r="E67" s="2815"/>
      <c r="F67" s="2815"/>
    </row>
    <row r="68" spans="1:6" ht="15" thickBot="1">
      <c r="A68" s="76" t="s">
        <v>118</v>
      </c>
      <c r="B68" s="84">
        <f>SUM(B63:B67)</f>
        <v>1193887.0214318014</v>
      </c>
      <c r="C68" s="84">
        <f>SUM(C63:C67)</f>
        <v>965302.49737</v>
      </c>
      <c r="D68" s="84">
        <f>SUM(D63:D67)</f>
        <v>933192.38909999991</v>
      </c>
      <c r="E68" s="84">
        <f>SUM(E63:E67)</f>
        <v>953798.35626000003</v>
      </c>
      <c r="F68" s="84">
        <f>SUM(F63:F67)</f>
        <v>835186.75726999994</v>
      </c>
    </row>
    <row r="69" spans="1:6" ht="15" thickTop="1">
      <c r="A69" s="76"/>
      <c r="B69" s="1116" t="e">
        <f>+#REF!</f>
        <v>#REF!</v>
      </c>
      <c r="C69" s="102" t="e">
        <f>+#REF!</f>
        <v>#REF!</v>
      </c>
      <c r="D69" s="102" t="e">
        <f>+#REF!</f>
        <v>#REF!</v>
      </c>
      <c r="E69" s="102" t="e">
        <f>+#REF!</f>
        <v>#REF!</v>
      </c>
      <c r="F69" s="102" t="e">
        <f>+#REF!</f>
        <v>#REF!</v>
      </c>
    </row>
    <row r="70" spans="1:6">
      <c r="A70" s="76"/>
      <c r="B70" s="1117" t="e">
        <f>+B68-B69</f>
        <v>#REF!</v>
      </c>
      <c r="C70" s="1117" t="e">
        <f>+C68-C69</f>
        <v>#REF!</v>
      </c>
      <c r="D70" s="1117" t="e">
        <f>+D68-D69</f>
        <v>#REF!</v>
      </c>
      <c r="E70" s="1117" t="e">
        <f>+E68-E69</f>
        <v>#REF!</v>
      </c>
      <c r="F70" s="1117" t="e">
        <f>+F68-F69</f>
        <v>#REF!</v>
      </c>
    </row>
    <row r="71" spans="1:6">
      <c r="A71">
        <v>5</v>
      </c>
      <c r="B71" s="1772" t="s">
        <v>183</v>
      </c>
    </row>
    <row r="72" spans="1:6">
      <c r="A72" s="3619" t="s">
        <v>796</v>
      </c>
      <c r="B72" s="3621" t="s">
        <v>797</v>
      </c>
      <c r="C72" s="3621"/>
      <c r="D72" s="3621"/>
      <c r="E72" s="3621"/>
      <c r="F72" s="3621"/>
    </row>
    <row r="73" spans="1:6">
      <c r="A73" s="3620"/>
      <c r="B73" s="2532">
        <v>2012</v>
      </c>
      <c r="C73" s="2537">
        <v>2011</v>
      </c>
      <c r="D73" s="2537">
        <v>2010</v>
      </c>
      <c r="E73" s="2537">
        <v>2009</v>
      </c>
      <c r="F73" s="2537">
        <v>2008</v>
      </c>
    </row>
    <row r="74" spans="1:6">
      <c r="A74" s="2504" t="s">
        <v>798</v>
      </c>
      <c r="B74" s="2815">
        <v>7563</v>
      </c>
      <c r="C74" s="2815">
        <v>12856.148130000001</v>
      </c>
      <c r="D74" s="2815">
        <v>14860.111220000001</v>
      </c>
      <c r="E74" s="2815">
        <v>23892.842170000004</v>
      </c>
      <c r="F74" s="2815">
        <v>51815.318020000006</v>
      </c>
    </row>
    <row r="75" spans="1:6">
      <c r="A75" s="2504" t="s">
        <v>799</v>
      </c>
      <c r="B75" s="2815">
        <v>317327</v>
      </c>
      <c r="C75" s="2815">
        <v>353710.48861</v>
      </c>
      <c r="D75" s="2815">
        <v>424703.75073600002</v>
      </c>
      <c r="E75" s="2815">
        <v>460714.617126</v>
      </c>
      <c r="F75" s="2815">
        <v>541234.69641999993</v>
      </c>
    </row>
    <row r="76" spans="1:6">
      <c r="A76" s="2504" t="s">
        <v>800</v>
      </c>
      <c r="B76" s="2815">
        <v>351389</v>
      </c>
      <c r="C76" s="2815">
        <v>382269.72512999998</v>
      </c>
      <c r="D76" s="2815">
        <v>297805.34899000003</v>
      </c>
      <c r="E76" s="2815">
        <v>237901.26566</v>
      </c>
      <c r="F76" s="2815">
        <v>175897.33168</v>
      </c>
    </row>
    <row r="77" spans="1:6">
      <c r="A77" s="2504" t="s">
        <v>803</v>
      </c>
      <c r="B77" s="2815">
        <v>83082</v>
      </c>
      <c r="C77" s="2815">
        <v>69848.053450000007</v>
      </c>
      <c r="D77" s="2815">
        <v>47294.59706</v>
      </c>
      <c r="E77" s="2815">
        <v>46339.957000000002</v>
      </c>
      <c r="F77" s="2815">
        <v>29454.09964</v>
      </c>
    </row>
    <row r="78" spans="1:6">
      <c r="A78" s="2504" t="s">
        <v>804</v>
      </c>
      <c r="B78" s="2815">
        <v>79013</v>
      </c>
      <c r="C78" s="2815">
        <v>157104.93307999999</v>
      </c>
      <c r="D78" s="2815">
        <v>182357</v>
      </c>
      <c r="E78" s="2815">
        <v>110436</v>
      </c>
      <c r="F78" s="2815">
        <v>134328</v>
      </c>
    </row>
    <row r="79" spans="1:6" ht="15" thickBot="1">
      <c r="A79" s="76" t="s">
        <v>118</v>
      </c>
      <c r="B79" s="84">
        <f>SUM(B74:B78)</f>
        <v>838374</v>
      </c>
      <c r="C79" s="84">
        <f>SUM(C74:C78)</f>
        <v>975789.3483999999</v>
      </c>
      <c r="D79" s="84">
        <f>SUM(D74:D78)</f>
        <v>967020.80800600001</v>
      </c>
      <c r="E79" s="84">
        <f>SUM(E74:E78)</f>
        <v>879284.68195600004</v>
      </c>
      <c r="F79" s="84">
        <f>SUM(F74:F78)</f>
        <v>932729.44575999992</v>
      </c>
    </row>
    <row r="80" spans="1:6" ht="15" thickTop="1">
      <c r="A80" s="76"/>
      <c r="B80" s="1116" t="e">
        <f>+#REF!</f>
        <v>#REF!</v>
      </c>
      <c r="C80" s="102" t="e">
        <f>+#REF!</f>
        <v>#REF!</v>
      </c>
      <c r="D80" s="102" t="e">
        <f>+#REF!</f>
        <v>#REF!</v>
      </c>
      <c r="E80" s="102" t="e">
        <f>+#REF!</f>
        <v>#REF!</v>
      </c>
      <c r="F80" s="102" t="e">
        <f>+#REF!</f>
        <v>#REF!</v>
      </c>
    </row>
    <row r="81" spans="1:6">
      <c r="A81" s="76"/>
      <c r="B81" s="1117" t="e">
        <f>+B79-B80</f>
        <v>#REF!</v>
      </c>
      <c r="C81" s="1117" t="e">
        <f>+C79-C80</f>
        <v>#REF!</v>
      </c>
      <c r="D81" s="1117" t="e">
        <f>+D79-D80</f>
        <v>#REF!</v>
      </c>
      <c r="E81" s="1117" t="e">
        <f>+E79-E80</f>
        <v>#REF!</v>
      </c>
      <c r="F81" s="1117" t="e">
        <f>+F79-F80</f>
        <v>#REF!</v>
      </c>
    </row>
    <row r="82" spans="1:6">
      <c r="A82">
        <v>6</v>
      </c>
      <c r="B82" s="1772" t="s">
        <v>184</v>
      </c>
    </row>
    <row r="83" spans="1:6">
      <c r="A83" s="3619" t="s">
        <v>796</v>
      </c>
      <c r="B83" s="3621" t="s">
        <v>797</v>
      </c>
      <c r="C83" s="3621"/>
      <c r="D83" s="3621"/>
      <c r="E83" s="3621"/>
      <c r="F83" s="3621"/>
    </row>
    <row r="84" spans="1:6">
      <c r="A84" s="3620"/>
      <c r="B84" s="2532">
        <v>2012</v>
      </c>
      <c r="C84" s="2537">
        <v>2011</v>
      </c>
      <c r="D84" s="2537">
        <v>2010</v>
      </c>
      <c r="E84" s="2537">
        <v>2009</v>
      </c>
      <c r="F84" s="2537">
        <v>2008</v>
      </c>
    </row>
    <row r="85" spans="1:6">
      <c r="A85" s="2504" t="s">
        <v>798</v>
      </c>
      <c r="B85" s="2815">
        <v>12938.37916</v>
      </c>
      <c r="C85" s="2815">
        <v>30051.319</v>
      </c>
      <c r="D85" s="2815">
        <v>2775.7148299999999</v>
      </c>
      <c r="E85" s="2815"/>
      <c r="F85" s="2815"/>
    </row>
    <row r="86" spans="1:6">
      <c r="A86" s="2504" t="s">
        <v>799</v>
      </c>
      <c r="B86" s="2815">
        <v>469394</v>
      </c>
      <c r="C86" s="2815">
        <v>521816.21299999999</v>
      </c>
      <c r="D86" s="2815">
        <v>260669.46493000002</v>
      </c>
      <c r="E86" s="2815"/>
      <c r="F86" s="2815"/>
    </row>
    <row r="87" spans="1:6">
      <c r="A87" s="2504" t="s">
        <v>800</v>
      </c>
      <c r="B87" s="2815">
        <v>338655</v>
      </c>
      <c r="C87" s="2815">
        <v>674177.37</v>
      </c>
      <c r="D87" s="2815">
        <v>177566.30424</v>
      </c>
      <c r="E87" s="2815"/>
      <c r="F87" s="2815"/>
    </row>
    <row r="88" spans="1:6">
      <c r="A88" s="2504" t="s">
        <v>803</v>
      </c>
      <c r="B88" s="2815">
        <v>0</v>
      </c>
      <c r="C88" s="2815">
        <v>0</v>
      </c>
      <c r="D88" s="2815">
        <v>0</v>
      </c>
      <c r="E88" s="2815"/>
      <c r="F88" s="2815"/>
    </row>
    <row r="89" spans="1:6">
      <c r="A89" s="2504" t="s">
        <v>804</v>
      </c>
      <c r="B89" s="2815">
        <v>821684.06746999989</v>
      </c>
      <c r="C89" s="2815">
        <v>0</v>
      </c>
      <c r="D89" s="2815">
        <v>0</v>
      </c>
      <c r="E89" s="2815"/>
      <c r="F89" s="2815"/>
    </row>
    <row r="90" spans="1:6" ht="15" thickBot="1">
      <c r="A90" s="76" t="s">
        <v>118</v>
      </c>
      <c r="B90" s="84">
        <f>SUM(B85:B89)</f>
        <v>1642671.4466299999</v>
      </c>
      <c r="C90" s="84">
        <f>SUM(C85:C89)</f>
        <v>1226044.902</v>
      </c>
      <c r="D90" s="84">
        <f>SUM(D85:D89)</f>
        <v>441011.48400000005</v>
      </c>
      <c r="E90" s="84">
        <f>SUM(E85:E89)</f>
        <v>0</v>
      </c>
      <c r="F90" s="84">
        <f>SUM(F85:F89)</f>
        <v>0</v>
      </c>
    </row>
    <row r="91" spans="1:6" ht="15" thickTop="1">
      <c r="A91" s="76"/>
      <c r="B91" s="1116" t="e">
        <f>+#REF!</f>
        <v>#REF!</v>
      </c>
      <c r="C91" s="1116" t="e">
        <f>+#REF!</f>
        <v>#REF!</v>
      </c>
      <c r="D91" s="102">
        <v>0</v>
      </c>
      <c r="E91" s="102">
        <v>0</v>
      </c>
      <c r="F91" s="102">
        <v>0</v>
      </c>
    </row>
    <row r="92" spans="1:6">
      <c r="A92" s="76"/>
      <c r="B92" s="1117" t="e">
        <f>+B90-B91</f>
        <v>#REF!</v>
      </c>
      <c r="C92" s="1117" t="e">
        <f>+C90-C91</f>
        <v>#REF!</v>
      </c>
      <c r="D92" s="1117">
        <f>+D90-D91</f>
        <v>441011.48400000005</v>
      </c>
      <c r="E92" s="1117">
        <f>+E90-E91</f>
        <v>0</v>
      </c>
      <c r="F92" s="1117">
        <f>+F90-F91</f>
        <v>0</v>
      </c>
    </row>
    <row r="93" spans="1:6">
      <c r="A93">
        <v>7</v>
      </c>
      <c r="B93" s="1772" t="s">
        <v>185</v>
      </c>
    </row>
    <row r="94" spans="1:6">
      <c r="A94" s="3619" t="s">
        <v>796</v>
      </c>
      <c r="B94" s="3621" t="s">
        <v>797</v>
      </c>
      <c r="C94" s="3621"/>
      <c r="D94" s="3621"/>
      <c r="E94" s="3621"/>
      <c r="F94" s="3621"/>
    </row>
    <row r="95" spans="1:6">
      <c r="A95" s="3620"/>
      <c r="B95" s="2532">
        <v>2012</v>
      </c>
      <c r="C95" s="2537">
        <v>2011</v>
      </c>
      <c r="D95" s="2537">
        <v>2010</v>
      </c>
      <c r="E95" s="2537">
        <v>2009</v>
      </c>
      <c r="F95" s="2537">
        <v>2008</v>
      </c>
    </row>
    <row r="96" spans="1:6">
      <c r="A96" s="2504" t="s">
        <v>798</v>
      </c>
      <c r="B96" s="2815">
        <v>1502781</v>
      </c>
      <c r="C96" s="2815">
        <v>1405770</v>
      </c>
      <c r="D96" s="2815">
        <v>1106953</v>
      </c>
      <c r="E96" s="2815">
        <v>1180569</v>
      </c>
      <c r="F96" s="2815">
        <v>1354468</v>
      </c>
    </row>
    <row r="97" spans="1:6">
      <c r="A97" s="2504" t="s">
        <v>799</v>
      </c>
      <c r="B97" s="2815">
        <v>854321</v>
      </c>
      <c r="C97" s="2815">
        <v>803297</v>
      </c>
      <c r="D97" s="2815">
        <v>553476</v>
      </c>
      <c r="E97" s="2815">
        <v>454065</v>
      </c>
      <c r="F97" s="2815">
        <v>677234</v>
      </c>
    </row>
    <row r="98" spans="1:6">
      <c r="A98" s="2504" t="s">
        <v>800</v>
      </c>
      <c r="B98" s="2815">
        <v>1971452</v>
      </c>
      <c r="C98" s="2815">
        <v>1807418</v>
      </c>
      <c r="D98" s="2815">
        <v>1752676</v>
      </c>
      <c r="E98" s="2815">
        <v>1997885</v>
      </c>
      <c r="F98" s="2815">
        <v>2144574</v>
      </c>
    </row>
    <row r="99" spans="1:6">
      <c r="A99" s="2504" t="s">
        <v>803</v>
      </c>
      <c r="B99" s="2815"/>
      <c r="C99" s="2815"/>
      <c r="D99" s="2815"/>
      <c r="E99" s="2815"/>
      <c r="F99" s="2815"/>
    </row>
    <row r="100" spans="1:6">
      <c r="A100" s="2504" t="s">
        <v>804</v>
      </c>
      <c r="B100" s="2815">
        <v>6765029</v>
      </c>
      <c r="C100" s="2815">
        <v>6024727</v>
      </c>
      <c r="D100" s="2815">
        <v>5811503</v>
      </c>
      <c r="E100" s="2815">
        <v>5448778</v>
      </c>
      <c r="F100" s="2815">
        <v>7110957</v>
      </c>
    </row>
    <row r="101" spans="1:6" ht="15" thickBot="1">
      <c r="A101" s="76" t="s">
        <v>118</v>
      </c>
      <c r="B101" s="84">
        <f>SUM(B96:B100)</f>
        <v>11093583</v>
      </c>
      <c r="C101" s="84">
        <f>SUM(C96:C100)</f>
        <v>10041212</v>
      </c>
      <c r="D101" s="84">
        <f>SUM(D96:D100)</f>
        <v>9224608</v>
      </c>
      <c r="E101" s="84">
        <f>SUM(E96:E100)</f>
        <v>9081297</v>
      </c>
      <c r="F101" s="84">
        <f>SUM(F96:F100)</f>
        <v>11287233</v>
      </c>
    </row>
    <row r="102" spans="1:6" ht="15" thickTop="1">
      <c r="A102" s="76"/>
      <c r="B102" s="1116" t="e">
        <f>+#REF!</f>
        <v>#REF!</v>
      </c>
      <c r="C102" s="102" t="e">
        <f>+#REF!</f>
        <v>#REF!</v>
      </c>
      <c r="D102" s="102" t="e">
        <f>+#REF!</f>
        <v>#REF!</v>
      </c>
      <c r="E102" s="102" t="e">
        <f>+#REF!</f>
        <v>#REF!</v>
      </c>
      <c r="F102" s="102" t="e">
        <f>+#REF!</f>
        <v>#REF!</v>
      </c>
    </row>
    <row r="103" spans="1:6">
      <c r="A103" s="76"/>
      <c r="B103" s="1117" t="e">
        <f>+B101-B102</f>
        <v>#REF!</v>
      </c>
      <c r="C103" s="1117" t="e">
        <f>+C101-C102</f>
        <v>#REF!</v>
      </c>
      <c r="D103" s="1117" t="e">
        <f>+D101-D102</f>
        <v>#REF!</v>
      </c>
      <c r="E103" s="1117" t="e">
        <f>+E101-E102</f>
        <v>#REF!</v>
      </c>
      <c r="F103" s="1117" t="e">
        <f>+F101-F102</f>
        <v>#REF!</v>
      </c>
    </row>
    <row r="104" spans="1:6">
      <c r="A104">
        <v>8</v>
      </c>
      <c r="B104" s="1772" t="s">
        <v>186</v>
      </c>
    </row>
    <row r="105" spans="1:6">
      <c r="A105" s="3619" t="s">
        <v>796</v>
      </c>
      <c r="B105" s="3621" t="s">
        <v>797</v>
      </c>
      <c r="C105" s="3621"/>
      <c r="D105" s="3621"/>
      <c r="E105" s="3621"/>
      <c r="F105" s="3621"/>
    </row>
    <row r="106" spans="1:6">
      <c r="A106" s="3620"/>
      <c r="B106" s="2532">
        <v>2012</v>
      </c>
      <c r="C106" s="2537">
        <v>2011</v>
      </c>
      <c r="D106" s="2537">
        <v>2010</v>
      </c>
      <c r="E106" s="2537">
        <v>2009</v>
      </c>
      <c r="F106" s="2537">
        <v>2008</v>
      </c>
    </row>
    <row r="107" spans="1:6">
      <c r="A107" s="2504" t="s">
        <v>798</v>
      </c>
      <c r="B107" s="2815">
        <v>924514.98400000005</v>
      </c>
      <c r="C107" s="2815">
        <v>734542.799</v>
      </c>
      <c r="D107" s="2815">
        <v>478909.598</v>
      </c>
      <c r="E107" s="2815">
        <v>466811.99400000001</v>
      </c>
      <c r="F107" s="2815">
        <v>440729.68400000001</v>
      </c>
    </row>
    <row r="108" spans="1:6">
      <c r="A108" s="2504" t="s">
        <v>799</v>
      </c>
      <c r="B108" s="2815">
        <v>230432.25700000001</v>
      </c>
      <c r="C108" s="2815">
        <v>126374.504</v>
      </c>
      <c r="D108" s="2815">
        <v>95813.369000000006</v>
      </c>
      <c r="E108" s="2815">
        <v>110914.897</v>
      </c>
      <c r="F108" s="2815">
        <v>81719.027000000002</v>
      </c>
    </row>
    <row r="109" spans="1:6">
      <c r="A109" s="2504" t="s">
        <v>800</v>
      </c>
      <c r="B109" s="2815">
        <v>1964.826</v>
      </c>
      <c r="C109" s="2815">
        <v>77197.342999999993</v>
      </c>
      <c r="D109" s="2815">
        <v>42197.986000000004</v>
      </c>
      <c r="E109" s="2815">
        <v>18456.126</v>
      </c>
      <c r="F109" s="2815"/>
    </row>
    <row r="110" spans="1:6">
      <c r="A110" s="2504" t="s">
        <v>803</v>
      </c>
      <c r="B110" s="2815"/>
      <c r="C110" s="2815"/>
      <c r="D110" s="2815"/>
      <c r="E110" s="2815"/>
      <c r="F110" s="2815"/>
    </row>
    <row r="111" spans="1:6">
      <c r="A111" s="2504" t="s">
        <v>804</v>
      </c>
      <c r="B111" s="2815"/>
      <c r="C111" s="2815"/>
      <c r="D111" s="2815"/>
      <c r="E111" s="2815"/>
      <c r="F111" s="2815"/>
    </row>
    <row r="112" spans="1:6" ht="15" thickBot="1">
      <c r="A112" s="76" t="s">
        <v>118</v>
      </c>
      <c r="B112" s="84">
        <f>SUM(B107:B111)</f>
        <v>1156912.067</v>
      </c>
      <c r="C112" s="84">
        <f>SUM(C107:C111)</f>
        <v>938114.64599999995</v>
      </c>
      <c r="D112" s="84">
        <f>SUM(D107:D111)</f>
        <v>616920.95299999998</v>
      </c>
      <c r="E112" s="84">
        <f>SUM(E107:E111)</f>
        <v>596183.01700000011</v>
      </c>
      <c r="F112" s="84">
        <f>SUM(F107:F111)</f>
        <v>522448.71100000001</v>
      </c>
    </row>
    <row r="113" spans="1:6" ht="15" thickTop="1">
      <c r="A113" s="76"/>
      <c r="B113" s="1116" t="e">
        <f>+#REF!</f>
        <v>#REF!</v>
      </c>
      <c r="C113" s="102" t="e">
        <f>+#REF!</f>
        <v>#REF!</v>
      </c>
      <c r="D113" s="102" t="e">
        <f>+#REF!</f>
        <v>#REF!</v>
      </c>
      <c r="E113" s="102" t="e">
        <f>+#REF!</f>
        <v>#REF!</v>
      </c>
      <c r="F113" s="102" t="e">
        <f>+#REF!</f>
        <v>#REF!</v>
      </c>
    </row>
    <row r="114" spans="1:6">
      <c r="A114" s="76"/>
      <c r="B114" s="1117" t="e">
        <f>+B112-B113</f>
        <v>#REF!</v>
      </c>
      <c r="C114" s="1117" t="e">
        <f>+C112-C113</f>
        <v>#REF!</v>
      </c>
      <c r="D114" s="1117" t="e">
        <f>+D112-D113</f>
        <v>#REF!</v>
      </c>
      <c r="E114" s="1117" t="e">
        <f>+E112-E113</f>
        <v>#REF!</v>
      </c>
      <c r="F114" s="1117" t="e">
        <f>+F112-F113</f>
        <v>#REF!</v>
      </c>
    </row>
    <row r="115" spans="1:6">
      <c r="A115">
        <v>9</v>
      </c>
      <c r="B115" s="1772" t="s">
        <v>187</v>
      </c>
    </row>
    <row r="116" spans="1:6">
      <c r="A116" s="3619" t="s">
        <v>796</v>
      </c>
      <c r="B116" s="3621" t="s">
        <v>797</v>
      </c>
      <c r="C116" s="3621"/>
      <c r="D116" s="3621"/>
      <c r="E116" s="3621"/>
      <c r="F116" s="3621"/>
    </row>
    <row r="117" spans="1:6">
      <c r="A117" s="3620"/>
      <c r="B117" s="2532">
        <v>2012</v>
      </c>
      <c r="C117" s="2537">
        <v>2011</v>
      </c>
      <c r="D117" s="2537">
        <v>2010</v>
      </c>
      <c r="E117" s="2537">
        <v>2009</v>
      </c>
      <c r="F117" s="2537">
        <v>2008</v>
      </c>
    </row>
    <row r="118" spans="1:6">
      <c r="A118" s="2504" t="s">
        <v>798</v>
      </c>
      <c r="B118" s="2815"/>
      <c r="C118" s="2815"/>
      <c r="D118" s="2815"/>
      <c r="E118" s="2815"/>
      <c r="F118" s="2815"/>
    </row>
    <row r="119" spans="1:6">
      <c r="A119" s="2504" t="s">
        <v>799</v>
      </c>
      <c r="B119" s="2815"/>
      <c r="C119" s="2815"/>
      <c r="D119" s="2815"/>
      <c r="E119" s="2815"/>
      <c r="F119" s="2815"/>
    </row>
    <row r="120" spans="1:6">
      <c r="A120" s="2504" t="s">
        <v>800</v>
      </c>
      <c r="B120" s="2815"/>
      <c r="C120" s="2815"/>
      <c r="D120" s="2815"/>
      <c r="E120" s="2815"/>
      <c r="F120" s="2815"/>
    </row>
    <row r="121" spans="1:6">
      <c r="A121" s="2504" t="s">
        <v>803</v>
      </c>
      <c r="B121" s="2815"/>
      <c r="C121" s="2815"/>
      <c r="D121" s="2815"/>
      <c r="E121" s="2815"/>
      <c r="F121" s="2815"/>
    </row>
    <row r="122" spans="1:6">
      <c r="A122" s="2504" t="s">
        <v>804</v>
      </c>
      <c r="B122" s="2815"/>
      <c r="C122" s="2815"/>
      <c r="D122" s="2815"/>
      <c r="E122" s="2815"/>
      <c r="F122" s="2815"/>
    </row>
    <row r="123" spans="1:6" ht="15" thickBot="1">
      <c r="A123" s="76" t="s">
        <v>118</v>
      </c>
      <c r="B123" s="84">
        <f>SUM(B118:B122)</f>
        <v>0</v>
      </c>
      <c r="C123" s="84">
        <f>SUM(C118:C122)</f>
        <v>0</v>
      </c>
      <c r="D123" s="84">
        <f>SUM(D118:D122)</f>
        <v>0</v>
      </c>
      <c r="E123" s="84">
        <f>SUM(E118:E122)</f>
        <v>0</v>
      </c>
      <c r="F123" s="84">
        <f>SUM(F118:F122)</f>
        <v>0</v>
      </c>
    </row>
    <row r="124" spans="1:6" ht="15" thickTop="1">
      <c r="A124" s="76"/>
      <c r="B124" s="1116" t="e">
        <f>+#REF!</f>
        <v>#REF!</v>
      </c>
      <c r="C124" s="102" t="e">
        <f>+#REF!</f>
        <v>#REF!</v>
      </c>
      <c r="D124" s="102" t="e">
        <f>+#REF!</f>
        <v>#REF!</v>
      </c>
      <c r="E124" s="102" t="e">
        <f>+#REF!</f>
        <v>#REF!</v>
      </c>
      <c r="F124" s="102" t="e">
        <f>+#REF!</f>
        <v>#REF!</v>
      </c>
    </row>
    <row r="125" spans="1:6">
      <c r="A125" s="76"/>
      <c r="B125" s="1117" t="e">
        <f>+B123-B124</f>
        <v>#REF!</v>
      </c>
      <c r="C125" s="1117" t="e">
        <f>+C123-C124</f>
        <v>#REF!</v>
      </c>
      <c r="D125" s="1117" t="e">
        <f>+D123-D124</f>
        <v>#REF!</v>
      </c>
      <c r="E125" s="1117" t="e">
        <f>+E123-E124</f>
        <v>#REF!</v>
      </c>
      <c r="F125" s="1117" t="e">
        <f>+F123-F124</f>
        <v>#REF!</v>
      </c>
    </row>
    <row r="126" spans="1:6">
      <c r="A126">
        <v>10</v>
      </c>
      <c r="B126" s="1772" t="s">
        <v>188</v>
      </c>
    </row>
    <row r="127" spans="1:6">
      <c r="A127" s="3619" t="s">
        <v>796</v>
      </c>
      <c r="B127" s="3621" t="s">
        <v>797</v>
      </c>
      <c r="C127" s="3621"/>
      <c r="D127" s="3621"/>
      <c r="E127" s="3621"/>
      <c r="F127" s="3621"/>
    </row>
    <row r="128" spans="1:6">
      <c r="A128" s="3620"/>
      <c r="B128" s="2532">
        <v>2012</v>
      </c>
      <c r="C128" s="2537">
        <v>2011</v>
      </c>
      <c r="D128" s="2537">
        <v>2010</v>
      </c>
      <c r="E128" s="2537">
        <v>2009</v>
      </c>
      <c r="F128" s="2537">
        <v>2008</v>
      </c>
    </row>
    <row r="129" spans="1:6">
      <c r="A129" s="2504" t="s">
        <v>798</v>
      </c>
      <c r="B129" s="2815">
        <v>189228.60439344952</v>
      </c>
      <c r="C129" s="2815">
        <v>169851.06087000002</v>
      </c>
      <c r="D129" s="2815">
        <v>121626</v>
      </c>
      <c r="E129" s="2815">
        <v>73613</v>
      </c>
      <c r="F129" s="2815">
        <v>113630</v>
      </c>
    </row>
    <row r="130" spans="1:6">
      <c r="A130" s="2504" t="s">
        <v>799</v>
      </c>
      <c r="B130" s="2815">
        <v>437134.27351506799</v>
      </c>
      <c r="C130" s="2815">
        <v>433180.53217000002</v>
      </c>
      <c r="D130" s="2815">
        <v>359794</v>
      </c>
      <c r="E130" s="2815">
        <v>332887</v>
      </c>
      <c r="F130" s="2815">
        <v>138113</v>
      </c>
    </row>
    <row r="131" spans="1:6">
      <c r="A131" s="2504" t="s">
        <v>800</v>
      </c>
      <c r="B131" s="2815">
        <v>349576.82871982391</v>
      </c>
      <c r="C131" s="2815">
        <v>366292.25143</v>
      </c>
      <c r="D131" s="2815">
        <v>311188</v>
      </c>
      <c r="E131" s="2815">
        <v>248048</v>
      </c>
      <c r="F131" s="2815">
        <v>189689</v>
      </c>
    </row>
    <row r="132" spans="1:6">
      <c r="A132" s="2504" t="s">
        <v>803</v>
      </c>
      <c r="B132" s="2815">
        <v>735263.79816162505</v>
      </c>
      <c r="C132" s="2815">
        <v>725020.10063999996</v>
      </c>
      <c r="D132" s="2815">
        <v>551095</v>
      </c>
      <c r="E132" s="2815">
        <v>476233</v>
      </c>
      <c r="F132" s="2815">
        <v>483277</v>
      </c>
    </row>
    <row r="133" spans="1:6">
      <c r="A133" s="2504" t="s">
        <v>804</v>
      </c>
      <c r="B133" s="2815"/>
      <c r="C133" s="2815"/>
      <c r="D133" s="2815"/>
      <c r="E133" s="2815"/>
      <c r="F133" s="2815"/>
    </row>
    <row r="134" spans="1:6" ht="15" thickBot="1">
      <c r="A134" s="76" t="s">
        <v>118</v>
      </c>
      <c r="B134" s="84">
        <f>SUM(B129:B133)</f>
        <v>1711203.5047899666</v>
      </c>
      <c r="C134" s="84">
        <f>SUM(C129:C133)</f>
        <v>1694343.9451100002</v>
      </c>
      <c r="D134" s="84">
        <f>SUM(D129:D133)</f>
        <v>1343703</v>
      </c>
      <c r="E134" s="84">
        <f>SUM(E129:E133)</f>
        <v>1130781</v>
      </c>
      <c r="F134" s="84">
        <f>SUM(F129:F133)</f>
        <v>924709</v>
      </c>
    </row>
    <row r="135" spans="1:6" ht="15" thickTop="1">
      <c r="A135" s="76"/>
      <c r="B135" s="1116" t="e">
        <f>+#REF!</f>
        <v>#REF!</v>
      </c>
      <c r="C135" s="102" t="e">
        <f>+#REF!</f>
        <v>#REF!</v>
      </c>
      <c r="D135" s="102" t="e">
        <f>+#REF!</f>
        <v>#REF!</v>
      </c>
      <c r="E135" s="102" t="e">
        <f>+#REF!</f>
        <v>#REF!</v>
      </c>
      <c r="F135" s="102" t="e">
        <f>+#REF!</f>
        <v>#REF!</v>
      </c>
    </row>
    <row r="136" spans="1:6">
      <c r="A136" s="76"/>
      <c r="B136" s="1117" t="e">
        <f>+B134-B135</f>
        <v>#REF!</v>
      </c>
      <c r="C136" s="1117" t="e">
        <f>+C134-C135</f>
        <v>#REF!</v>
      </c>
      <c r="D136" s="1117" t="e">
        <f>+D134-D135</f>
        <v>#REF!</v>
      </c>
      <c r="E136" s="1117" t="e">
        <f>+E134-E135</f>
        <v>#REF!</v>
      </c>
      <c r="F136" s="1117" t="e">
        <f>+F134-F135</f>
        <v>#REF!</v>
      </c>
    </row>
    <row r="137" spans="1:6">
      <c r="A137">
        <v>11</v>
      </c>
      <c r="B137" s="1772" t="s">
        <v>189</v>
      </c>
    </row>
    <row r="138" spans="1:6">
      <c r="A138" s="3619" t="s">
        <v>796</v>
      </c>
      <c r="B138" s="3621" t="s">
        <v>797</v>
      </c>
      <c r="C138" s="3621"/>
      <c r="D138" s="3621"/>
      <c r="E138" s="3621"/>
      <c r="F138" s="3621"/>
    </row>
    <row r="139" spans="1:6">
      <c r="A139" s="3620"/>
      <c r="B139" s="2532">
        <v>2012</v>
      </c>
      <c r="C139" s="2537">
        <v>2011</v>
      </c>
      <c r="D139" s="2537">
        <v>2010</v>
      </c>
      <c r="E139" s="2537">
        <v>2009</v>
      </c>
      <c r="F139" s="2537">
        <v>2008</v>
      </c>
    </row>
    <row r="140" spans="1:6">
      <c r="A140" s="2504" t="s">
        <v>798</v>
      </c>
      <c r="B140" s="2815">
        <v>2152065.6727197948</v>
      </c>
      <c r="C140" s="2815">
        <v>1135642.1044199923</v>
      </c>
      <c r="D140" s="2815">
        <v>1626585.6364999998</v>
      </c>
      <c r="E140" s="2815">
        <v>1595825.4856399801</v>
      </c>
      <c r="F140" s="2815"/>
    </row>
    <row r="141" spans="1:6">
      <c r="A141" s="2504" t="s">
        <v>799</v>
      </c>
      <c r="B141" s="2815">
        <v>1808224.1240399207</v>
      </c>
      <c r="C141" s="2815">
        <v>1710486</v>
      </c>
      <c r="D141" s="2815">
        <v>1498348</v>
      </c>
      <c r="E141" s="2815">
        <v>1377283</v>
      </c>
      <c r="F141" s="2815"/>
    </row>
    <row r="142" spans="1:6">
      <c r="A142" s="2504" t="s">
        <v>800</v>
      </c>
      <c r="B142" s="2815">
        <v>1999837.700469821</v>
      </c>
      <c r="C142" s="2815">
        <v>2410282.8955800077</v>
      </c>
      <c r="D142" s="2815">
        <v>1347321.3635</v>
      </c>
      <c r="E142" s="2815">
        <v>1299817.5143600197</v>
      </c>
      <c r="F142" s="2815"/>
    </row>
    <row r="143" spans="1:6">
      <c r="A143" s="2504" t="s">
        <v>803</v>
      </c>
      <c r="B143" s="2815"/>
      <c r="C143" s="2815"/>
      <c r="D143" s="2815"/>
      <c r="E143" s="2815"/>
      <c r="F143" s="2815"/>
    </row>
    <row r="144" spans="1:6">
      <c r="A144" s="2504" t="s">
        <v>804</v>
      </c>
      <c r="B144" s="2815"/>
      <c r="C144" s="2815"/>
      <c r="D144" s="2815"/>
      <c r="E144" s="2815"/>
      <c r="F144" s="2815"/>
    </row>
    <row r="145" spans="1:6" ht="15" thickBot="1">
      <c r="A145" s="76" t="s">
        <v>118</v>
      </c>
      <c r="B145" s="84">
        <f>SUM(B140:B144)</f>
        <v>5960127.4972295361</v>
      </c>
      <c r="C145" s="84">
        <f>SUM(C140:C144)</f>
        <v>5256411</v>
      </c>
      <c r="D145" s="84">
        <f>SUM(D140:D144)</f>
        <v>4472255</v>
      </c>
      <c r="E145" s="84">
        <f>SUM(E140:E144)</f>
        <v>4272926</v>
      </c>
      <c r="F145" s="84">
        <f>SUM(F140:F144)</f>
        <v>0</v>
      </c>
    </row>
    <row r="146" spans="1:6" ht="15" thickTop="1">
      <c r="A146" s="76"/>
      <c r="B146" s="1116" t="e">
        <f>+#REF!</f>
        <v>#REF!</v>
      </c>
      <c r="C146" s="102" t="e">
        <f>+#REF!</f>
        <v>#REF!</v>
      </c>
      <c r="D146" s="102" t="e">
        <f>+#REF!</f>
        <v>#REF!</v>
      </c>
      <c r="E146" s="102" t="e">
        <f>+#REF!</f>
        <v>#REF!</v>
      </c>
      <c r="F146" s="102" t="e">
        <f>+#REF!</f>
        <v>#REF!</v>
      </c>
    </row>
    <row r="147" spans="1:6">
      <c r="A147" s="76"/>
      <c r="B147" s="1117" t="e">
        <f>+B145-B146</f>
        <v>#REF!</v>
      </c>
      <c r="C147" s="1117" t="e">
        <f>+C145-C146</f>
        <v>#REF!</v>
      </c>
      <c r="D147" s="1117" t="e">
        <f>+D145-D146</f>
        <v>#REF!</v>
      </c>
      <c r="E147" s="1117" t="e">
        <f>+E145-E146</f>
        <v>#REF!</v>
      </c>
      <c r="F147" s="1117" t="e">
        <f>+F145-F146</f>
        <v>#REF!</v>
      </c>
    </row>
    <row r="148" spans="1:6">
      <c r="A148">
        <v>12</v>
      </c>
      <c r="B148" s="1772" t="s">
        <v>702</v>
      </c>
    </row>
    <row r="149" spans="1:6">
      <c r="A149" s="3619" t="s">
        <v>796</v>
      </c>
      <c r="B149" s="3621" t="s">
        <v>797</v>
      </c>
      <c r="C149" s="3621"/>
      <c r="D149" s="3621"/>
      <c r="E149" s="3621"/>
      <c r="F149" s="3621"/>
    </row>
    <row r="150" spans="1:6">
      <c r="A150" s="3620"/>
      <c r="B150" s="2532">
        <v>2012</v>
      </c>
      <c r="C150" s="2537">
        <v>2011</v>
      </c>
      <c r="D150" s="2537">
        <v>2010</v>
      </c>
      <c r="E150" s="2537">
        <v>2009</v>
      </c>
      <c r="F150" s="2537">
        <v>2008</v>
      </c>
    </row>
    <row r="151" spans="1:6">
      <c r="A151" s="2504" t="s">
        <v>798</v>
      </c>
      <c r="B151" s="2815"/>
      <c r="C151" s="2815"/>
      <c r="D151" s="2815"/>
      <c r="E151" s="2815"/>
      <c r="F151" s="2815"/>
    </row>
    <row r="152" spans="1:6">
      <c r="A152" s="2504" t="s">
        <v>799</v>
      </c>
      <c r="B152" s="2815"/>
      <c r="C152" s="2815"/>
      <c r="D152" s="2815"/>
      <c r="E152" s="2815"/>
      <c r="F152" s="2815"/>
    </row>
    <row r="153" spans="1:6">
      <c r="A153" s="2504" t="s">
        <v>800</v>
      </c>
      <c r="B153" s="2815"/>
      <c r="C153" s="2815"/>
      <c r="D153" s="2815"/>
      <c r="E153" s="2815"/>
      <c r="F153" s="2815"/>
    </row>
    <row r="154" spans="1:6">
      <c r="A154" s="2504" t="s">
        <v>803</v>
      </c>
      <c r="B154" s="2815"/>
      <c r="C154" s="2815"/>
      <c r="D154" s="2815"/>
      <c r="E154" s="2815"/>
      <c r="F154" s="2815"/>
    </row>
    <row r="155" spans="1:6">
      <c r="A155" s="2504" t="s">
        <v>804</v>
      </c>
      <c r="B155" s="2815"/>
      <c r="C155" s="2815"/>
      <c r="D155" s="2815"/>
      <c r="E155" s="2815"/>
      <c r="F155" s="2815"/>
    </row>
    <row r="156" spans="1:6" ht="15" thickBot="1">
      <c r="A156" s="76" t="s">
        <v>118</v>
      </c>
      <c r="B156" s="84">
        <f>SUM(B151:B155)</f>
        <v>0</v>
      </c>
      <c r="C156" s="84">
        <f>SUM(C151:C155)</f>
        <v>0</v>
      </c>
      <c r="D156" s="84">
        <f>SUM(D151:D155)</f>
        <v>0</v>
      </c>
      <c r="E156" s="84">
        <f>SUM(E151:E155)</f>
        <v>0</v>
      </c>
      <c r="F156" s="84">
        <f>SUM(F151:F155)</f>
        <v>0</v>
      </c>
    </row>
    <row r="157" spans="1:6" ht="15" thickTop="1">
      <c r="A157" s="76"/>
      <c r="B157" s="1116">
        <v>0</v>
      </c>
      <c r="C157" s="102"/>
      <c r="D157" s="102"/>
      <c r="E157" s="102"/>
      <c r="F157" s="102">
        <v>0</v>
      </c>
    </row>
    <row r="158" spans="1:6">
      <c r="A158" s="76"/>
      <c r="B158" s="1117">
        <v>0</v>
      </c>
      <c r="C158" s="1117">
        <f>+C156-C157</f>
        <v>0</v>
      </c>
      <c r="D158" s="1117">
        <f>+D156-D157</f>
        <v>0</v>
      </c>
      <c r="E158" s="1117">
        <f>+E156-E157</f>
        <v>0</v>
      </c>
      <c r="F158" s="1117">
        <f>+F156-F157</f>
        <v>0</v>
      </c>
    </row>
    <row r="159" spans="1:6">
      <c r="A159">
        <v>13</v>
      </c>
      <c r="B159" s="1772" t="s">
        <v>191</v>
      </c>
    </row>
    <row r="160" spans="1:6">
      <c r="A160" s="3619" t="s">
        <v>796</v>
      </c>
      <c r="B160" s="3621" t="s">
        <v>797</v>
      </c>
      <c r="C160" s="3621"/>
      <c r="D160" s="3621"/>
      <c r="E160" s="3621"/>
      <c r="F160" s="3621"/>
    </row>
    <row r="161" spans="1:6">
      <c r="A161" s="3620"/>
      <c r="B161" s="2532">
        <v>2012</v>
      </c>
      <c r="C161" s="2537">
        <v>2011</v>
      </c>
      <c r="D161" s="2537">
        <v>2010</v>
      </c>
      <c r="E161" s="2537">
        <v>2009</v>
      </c>
      <c r="F161" s="2537">
        <v>2008</v>
      </c>
    </row>
    <row r="162" spans="1:6">
      <c r="A162" s="2504" t="s">
        <v>798</v>
      </c>
      <c r="B162" s="2815">
        <v>0</v>
      </c>
      <c r="C162" s="2815">
        <v>0</v>
      </c>
      <c r="D162" s="2815"/>
      <c r="E162" s="2815"/>
      <c r="F162" s="2815"/>
    </row>
    <row r="163" spans="1:6">
      <c r="A163" s="2504" t="s">
        <v>799</v>
      </c>
      <c r="B163" s="2815">
        <v>218626.65461999996</v>
      </c>
      <c r="C163" s="2815">
        <v>54691.539549999994</v>
      </c>
      <c r="D163" s="2815"/>
      <c r="E163" s="2815"/>
      <c r="F163" s="2815"/>
    </row>
    <row r="164" spans="1:6">
      <c r="A164" s="2504" t="s">
        <v>800</v>
      </c>
      <c r="B164" s="2815">
        <v>1095090.2658499996</v>
      </c>
      <c r="C164" s="2815">
        <v>310043.54693999997</v>
      </c>
      <c r="D164" s="2815"/>
      <c r="E164" s="2815"/>
      <c r="F164" s="2815"/>
    </row>
    <row r="165" spans="1:6">
      <c r="A165" s="2504" t="s">
        <v>803</v>
      </c>
      <c r="B165" s="2815">
        <v>380.22106000000002</v>
      </c>
      <c r="C165" s="2815">
        <v>0</v>
      </c>
      <c r="D165" s="2815"/>
      <c r="E165" s="2815"/>
      <c r="F165" s="2815"/>
    </row>
    <row r="166" spans="1:6">
      <c r="A166" s="2504" t="s">
        <v>804</v>
      </c>
      <c r="B166" s="2815">
        <v>0</v>
      </c>
      <c r="C166" s="2815">
        <v>0</v>
      </c>
      <c r="D166" s="2815"/>
      <c r="E166" s="2815"/>
      <c r="F166" s="2815"/>
    </row>
    <row r="167" spans="1:6" ht="15" thickBot="1">
      <c r="A167" s="76" t="s">
        <v>118</v>
      </c>
      <c r="B167" s="84">
        <f>SUM(B162:B166)</f>
        <v>1314097.1415299994</v>
      </c>
      <c r="C167" s="84">
        <f>SUM(C162:C166)</f>
        <v>364735.08648999996</v>
      </c>
      <c r="D167" s="84">
        <f>SUM(D162:D166)</f>
        <v>0</v>
      </c>
      <c r="E167" s="84">
        <f>SUM(E162:E166)</f>
        <v>0</v>
      </c>
      <c r="F167" s="84">
        <f>SUM(F162:F166)</f>
        <v>0</v>
      </c>
    </row>
    <row r="168" spans="1:6" ht="15" thickTop="1">
      <c r="A168" s="76"/>
      <c r="B168" s="1116" t="e">
        <f>+#REF!</f>
        <v>#REF!</v>
      </c>
      <c r="C168" s="102"/>
      <c r="D168" s="102"/>
      <c r="E168" s="102"/>
      <c r="F168" s="102" t="e">
        <f>+#REF!</f>
        <v>#REF!</v>
      </c>
    </row>
    <row r="169" spans="1:6">
      <c r="A169" s="76"/>
      <c r="B169" s="1117" t="e">
        <f>+B167-B168</f>
        <v>#REF!</v>
      </c>
      <c r="C169" s="1117">
        <f>+C167-C168</f>
        <v>364735.08648999996</v>
      </c>
      <c r="D169" s="1117">
        <f>+D167-D168</f>
        <v>0</v>
      </c>
      <c r="E169" s="1117">
        <f>+E167-E168</f>
        <v>0</v>
      </c>
      <c r="F169" s="1117" t="e">
        <f>+F167-F168</f>
        <v>#REF!</v>
      </c>
    </row>
    <row r="170" spans="1:6">
      <c r="A170">
        <v>14</v>
      </c>
      <c r="B170" s="1772" t="s">
        <v>192</v>
      </c>
    </row>
    <row r="171" spans="1:6">
      <c r="A171" s="3619" t="s">
        <v>796</v>
      </c>
      <c r="B171" s="3621" t="s">
        <v>797</v>
      </c>
      <c r="C171" s="3621"/>
      <c r="D171" s="3621"/>
      <c r="E171" s="3621"/>
      <c r="F171" s="3621"/>
    </row>
    <row r="172" spans="1:6">
      <c r="A172" s="3620"/>
      <c r="B172" s="2532">
        <v>2012</v>
      </c>
      <c r="C172" s="2537">
        <v>2011</v>
      </c>
      <c r="D172" s="2537">
        <v>2010</v>
      </c>
      <c r="E172" s="2537">
        <v>2009</v>
      </c>
      <c r="F172" s="2537">
        <v>2008</v>
      </c>
    </row>
    <row r="173" spans="1:6">
      <c r="A173" s="2504" t="s">
        <v>798</v>
      </c>
      <c r="B173" s="2819">
        <v>280016.39118079742</v>
      </c>
      <c r="C173" s="2819">
        <v>211697.00666999997</v>
      </c>
      <c r="D173" s="2819">
        <v>33258.19</v>
      </c>
      <c r="E173" s="2819">
        <v>27111</v>
      </c>
      <c r="F173" s="2819">
        <v>91630.281547766528</v>
      </c>
    </row>
    <row r="174" spans="1:6">
      <c r="A174" s="2504" t="s">
        <v>799</v>
      </c>
      <c r="B174" s="2819">
        <v>269572.52429999993</v>
      </c>
      <c r="C174" s="2819">
        <v>214728.15588000001</v>
      </c>
      <c r="D174" s="2819">
        <v>14253.51</v>
      </c>
      <c r="E174" s="2819">
        <v>54261.8</v>
      </c>
      <c r="F174" s="2819">
        <v>92942.274853172843</v>
      </c>
    </row>
    <row r="175" spans="1:6">
      <c r="A175" s="2504" t="s">
        <v>800</v>
      </c>
      <c r="B175" s="2819">
        <v>16867.657249999887</v>
      </c>
      <c r="C175" s="2819">
        <v>28977.075370000002</v>
      </c>
      <c r="D175" s="2819">
        <v>42760.53</v>
      </c>
      <c r="E175" s="2819">
        <v>35290.17</v>
      </c>
      <c r="F175" s="2819">
        <v>12542.348219041787</v>
      </c>
    </row>
    <row r="176" spans="1:6">
      <c r="A176" s="2504" t="s">
        <v>803</v>
      </c>
      <c r="B176" s="2819"/>
      <c r="C176" s="2819"/>
      <c r="D176" s="2819"/>
      <c r="E176" s="2819"/>
      <c r="F176" s="2819"/>
    </row>
    <row r="177" spans="1:6">
      <c r="A177" s="2504" t="s">
        <v>804</v>
      </c>
      <c r="B177" s="2819">
        <v>513182.59648329916</v>
      </c>
      <c r="C177" s="2819">
        <v>224569.78508</v>
      </c>
      <c r="D177" s="2819">
        <v>384844.77</v>
      </c>
      <c r="E177" s="2819">
        <v>154646.13</v>
      </c>
      <c r="F177" s="2819">
        <v>97202.095380018829</v>
      </c>
    </row>
    <row r="178" spans="1:6" ht="15" thickBot="1">
      <c r="A178" s="76" t="s">
        <v>118</v>
      </c>
      <c r="B178" s="84">
        <f>SUM(B173:B177)</f>
        <v>1079639.1692140964</v>
      </c>
      <c r="C178" s="84">
        <f>SUM(C173:C177)</f>
        <v>679972.02300000004</v>
      </c>
      <c r="D178" s="84">
        <f>SUM(D173:D177)</f>
        <v>475117</v>
      </c>
      <c r="E178" s="84">
        <f>SUM(E173:E177)</f>
        <v>271309.09999999998</v>
      </c>
      <c r="F178" s="84">
        <f>SUM(F173:F177)</f>
        <v>294317</v>
      </c>
    </row>
    <row r="179" spans="1:6" ht="15" thickTop="1">
      <c r="A179" s="76"/>
      <c r="B179" s="1116" t="e">
        <f>+#REF!</f>
        <v>#REF!</v>
      </c>
      <c r="C179" s="102" t="e">
        <f>+#REF!</f>
        <v>#REF!</v>
      </c>
      <c r="D179" s="102" t="e">
        <f>+#REF!</f>
        <v>#REF!</v>
      </c>
      <c r="E179" s="102" t="e">
        <f>+#REF!</f>
        <v>#REF!</v>
      </c>
      <c r="F179" s="102" t="e">
        <f>+#REF!</f>
        <v>#REF!</v>
      </c>
    </row>
    <row r="180" spans="1:6">
      <c r="A180" s="76"/>
      <c r="B180" s="1117" t="e">
        <f>+B178-B179</f>
        <v>#REF!</v>
      </c>
      <c r="C180" s="1117" t="e">
        <f>+C178-C179</f>
        <v>#REF!</v>
      </c>
      <c r="D180" s="1117" t="e">
        <f>+D178-D179</f>
        <v>#REF!</v>
      </c>
      <c r="E180" s="1117" t="e">
        <f>+E178-E179</f>
        <v>#REF!</v>
      </c>
      <c r="F180" s="1117" t="e">
        <f>+F178-F179</f>
        <v>#REF!</v>
      </c>
    </row>
    <row r="181" spans="1:6">
      <c r="A181">
        <v>15</v>
      </c>
      <c r="B181" s="1772" t="s">
        <v>194</v>
      </c>
    </row>
    <row r="182" spans="1:6">
      <c r="A182" s="3619" t="s">
        <v>796</v>
      </c>
      <c r="B182" s="3621" t="s">
        <v>797</v>
      </c>
      <c r="C182" s="3621"/>
      <c r="D182" s="3621"/>
      <c r="E182" s="3621"/>
      <c r="F182" s="3621"/>
    </row>
    <row r="183" spans="1:6">
      <c r="A183" s="3620"/>
      <c r="B183" s="2532">
        <v>2012</v>
      </c>
      <c r="C183" s="2537">
        <v>2011</v>
      </c>
      <c r="D183" s="2537">
        <v>2010</v>
      </c>
      <c r="E183" s="2537">
        <v>2009</v>
      </c>
      <c r="F183" s="2537">
        <v>2008</v>
      </c>
    </row>
    <row r="184" spans="1:6">
      <c r="A184" s="2504" t="s">
        <v>798</v>
      </c>
      <c r="B184" s="2815">
        <v>0</v>
      </c>
      <c r="C184" s="2815">
        <v>0</v>
      </c>
      <c r="D184" s="2815">
        <v>0</v>
      </c>
      <c r="E184" s="2815">
        <v>0</v>
      </c>
      <c r="F184" s="2815">
        <v>0</v>
      </c>
    </row>
    <row r="185" spans="1:6">
      <c r="A185" s="2504" t="s">
        <v>799</v>
      </c>
      <c r="B185" s="2815">
        <v>1497</v>
      </c>
      <c r="C185" s="2815">
        <v>1680</v>
      </c>
      <c r="D185" s="2815">
        <v>0</v>
      </c>
      <c r="E185" s="2815">
        <v>0</v>
      </c>
      <c r="F185" s="2815">
        <v>0</v>
      </c>
    </row>
    <row r="186" spans="1:6">
      <c r="A186" s="2504" t="s">
        <v>800</v>
      </c>
      <c r="B186" s="2815">
        <v>477412</v>
      </c>
      <c r="C186" s="2815">
        <v>402062</v>
      </c>
      <c r="D186" s="2815">
        <v>41272</v>
      </c>
      <c r="E186" s="2815">
        <v>0</v>
      </c>
      <c r="F186" s="2815">
        <v>0</v>
      </c>
    </row>
    <row r="187" spans="1:6">
      <c r="A187" s="2504" t="s">
        <v>803</v>
      </c>
      <c r="B187" s="2815">
        <v>0</v>
      </c>
      <c r="C187" s="2815">
        <v>0</v>
      </c>
      <c r="D187" s="2815">
        <v>0</v>
      </c>
      <c r="E187" s="2815">
        <v>0</v>
      </c>
      <c r="F187" s="2815">
        <v>0</v>
      </c>
    </row>
    <row r="188" spans="1:6">
      <c r="A188" s="2504" t="s">
        <v>804</v>
      </c>
      <c r="B188" s="2815">
        <v>2465578</v>
      </c>
      <c r="C188" s="2815">
        <v>2011046</v>
      </c>
      <c r="D188" s="2815">
        <v>891880</v>
      </c>
      <c r="E188" s="2815">
        <v>0</v>
      </c>
      <c r="F188" s="2815">
        <v>0</v>
      </c>
    </row>
    <row r="189" spans="1:6" ht="15" thickBot="1">
      <c r="A189" s="76" t="s">
        <v>118</v>
      </c>
      <c r="B189" s="84">
        <f>SUM(B184:B188)</f>
        <v>2944487</v>
      </c>
      <c r="C189" s="84">
        <f>SUM(C184:C188)</f>
        <v>2414788</v>
      </c>
      <c r="D189" s="84">
        <f>SUM(D184:D188)</f>
        <v>933152</v>
      </c>
      <c r="E189" s="84">
        <f>SUM(E184:E188)</f>
        <v>0</v>
      </c>
      <c r="F189" s="84">
        <f>SUM(F184:F188)</f>
        <v>0</v>
      </c>
    </row>
    <row r="190" spans="1:6" ht="15" thickTop="1">
      <c r="A190" s="76"/>
      <c r="B190" s="1116" t="e">
        <f>+#REF!</f>
        <v>#REF!</v>
      </c>
      <c r="C190" s="102" t="e">
        <f>+#REF!</f>
        <v>#REF!</v>
      </c>
      <c r="D190" s="102">
        <v>0</v>
      </c>
      <c r="E190" s="102" t="e">
        <f>+#REF!</f>
        <v>#REF!</v>
      </c>
      <c r="F190" s="102" t="e">
        <f>+#REF!</f>
        <v>#REF!</v>
      </c>
    </row>
    <row r="191" spans="1:6">
      <c r="A191" s="76"/>
      <c r="B191" s="1117" t="e">
        <f>+B189-B190</f>
        <v>#REF!</v>
      </c>
      <c r="C191" s="1117" t="e">
        <f>+C189-C190</f>
        <v>#REF!</v>
      </c>
      <c r="D191" s="1117">
        <f>+D189-D190</f>
        <v>933152</v>
      </c>
      <c r="E191" s="1117" t="e">
        <f>+E189-E190</f>
        <v>#REF!</v>
      </c>
      <c r="F191" s="1117" t="e">
        <f>+F189-F190</f>
        <v>#REF!</v>
      </c>
    </row>
    <row r="192" spans="1:6">
      <c r="A192">
        <v>16</v>
      </c>
      <c r="B192" s="1772" t="s">
        <v>195</v>
      </c>
    </row>
    <row r="193" spans="1:6">
      <c r="A193" s="3619" t="s">
        <v>796</v>
      </c>
      <c r="B193" s="3621" t="s">
        <v>797</v>
      </c>
      <c r="C193" s="3621"/>
      <c r="D193" s="3621"/>
      <c r="E193" s="3621"/>
      <c r="F193" s="3621"/>
    </row>
    <row r="194" spans="1:6">
      <c r="A194" s="3620"/>
      <c r="B194" s="2532">
        <v>2012</v>
      </c>
      <c r="C194" s="2537">
        <v>2011</v>
      </c>
      <c r="D194" s="2537">
        <v>2010</v>
      </c>
      <c r="E194" s="2537">
        <v>2009</v>
      </c>
      <c r="F194" s="2537">
        <v>2008</v>
      </c>
    </row>
    <row r="195" spans="1:6">
      <c r="A195" s="2504" t="s">
        <v>798</v>
      </c>
      <c r="B195" s="2815">
        <v>4580472.1721453872</v>
      </c>
      <c r="C195" s="2815">
        <v>4755551.0983147444</v>
      </c>
      <c r="D195" s="2815">
        <v>3787826.7866790453</v>
      </c>
      <c r="E195" s="2815">
        <v>3448053.5410113921</v>
      </c>
      <c r="F195" s="2815">
        <v>3508569.7940552486</v>
      </c>
    </row>
    <row r="196" spans="1:6">
      <c r="A196" s="2504" t="s">
        <v>799</v>
      </c>
      <c r="B196" s="2815">
        <v>4886706.4824776128</v>
      </c>
      <c r="C196" s="2815">
        <v>4188092.9325427101</v>
      </c>
      <c r="D196" s="2815">
        <v>3830537.8362483899</v>
      </c>
      <c r="E196" s="2815">
        <v>3325310.5669899099</v>
      </c>
      <c r="F196" s="2815">
        <v>3464322.78647466</v>
      </c>
    </row>
    <row r="197" spans="1:6">
      <c r="A197" s="2504" t="s">
        <v>800</v>
      </c>
      <c r="B197" s="2815">
        <v>2027568.39216849</v>
      </c>
      <c r="C197" s="2815">
        <v>1384143.0840482952</v>
      </c>
      <c r="D197" s="2815">
        <v>904353.01522026176</v>
      </c>
      <c r="E197" s="2815">
        <v>1127714.0570938285</v>
      </c>
      <c r="F197" s="2815">
        <v>1117818.5911058935</v>
      </c>
    </row>
    <row r="198" spans="1:6">
      <c r="A198" s="2504" t="s">
        <v>803</v>
      </c>
      <c r="B198" s="2815">
        <v>160259.96508324723</v>
      </c>
      <c r="C198" s="2815">
        <v>53797.915205661397</v>
      </c>
      <c r="D198" s="2815">
        <v>79.202153577923767</v>
      </c>
      <c r="E198" s="2815">
        <v>0</v>
      </c>
      <c r="F198" s="2815">
        <v>0</v>
      </c>
    </row>
    <row r="199" spans="1:6">
      <c r="A199" s="2504" t="s">
        <v>804</v>
      </c>
      <c r="B199" s="2815">
        <v>1148483.6777272928</v>
      </c>
      <c r="C199" s="2815">
        <v>1240533.8770978467</v>
      </c>
      <c r="D199" s="2815">
        <v>743840.91151504626</v>
      </c>
      <c r="E199" s="2815">
        <v>863460.85103711963</v>
      </c>
      <c r="F199" s="2815">
        <v>1050133.8791308284</v>
      </c>
    </row>
    <row r="200" spans="1:6" ht="15" thickBot="1">
      <c r="A200" s="76" t="s">
        <v>118</v>
      </c>
      <c r="B200" s="84">
        <f>SUM(B195:B199)</f>
        <v>12803490.68960203</v>
      </c>
      <c r="C200" s="84">
        <f>SUM(C195:C199)</f>
        <v>11622118.907209259</v>
      </c>
      <c r="D200" s="84">
        <f>SUM(D195:D199)</f>
        <v>9266637.7518163212</v>
      </c>
      <c r="E200" s="84">
        <f>SUM(E195:E199)</f>
        <v>8764539.0161322504</v>
      </c>
      <c r="F200" s="84">
        <f>SUM(F195:F199)</f>
        <v>9140845.0507666301</v>
      </c>
    </row>
    <row r="201" spans="1:6" ht="15" thickTop="1">
      <c r="A201" s="76"/>
      <c r="B201" s="1116" t="e">
        <f>+#REF!</f>
        <v>#REF!</v>
      </c>
      <c r="C201" s="102" t="e">
        <f>+#REF!</f>
        <v>#REF!</v>
      </c>
      <c r="D201" s="102" t="e">
        <f>+#REF!</f>
        <v>#REF!</v>
      </c>
      <c r="E201" s="102" t="e">
        <f>+#REF!</f>
        <v>#REF!</v>
      </c>
      <c r="F201" s="102" t="e">
        <f>+#REF!</f>
        <v>#REF!</v>
      </c>
    </row>
    <row r="202" spans="1:6">
      <c r="A202" s="76"/>
      <c r="B202" s="1117" t="e">
        <f>+B200-B201</f>
        <v>#REF!</v>
      </c>
      <c r="C202" s="1117" t="e">
        <f>+C200-C201</f>
        <v>#REF!</v>
      </c>
      <c r="D202" s="1117" t="e">
        <f>+D200-D201</f>
        <v>#REF!</v>
      </c>
      <c r="E202" s="1117" t="e">
        <f>+E200-E201</f>
        <v>#REF!</v>
      </c>
      <c r="F202" s="1117" t="e">
        <f>+F200-F201</f>
        <v>#REF!</v>
      </c>
    </row>
    <row r="203" spans="1:6">
      <c r="A203">
        <v>17</v>
      </c>
      <c r="B203" s="1772" t="s">
        <v>196</v>
      </c>
    </row>
    <row r="204" spans="1:6">
      <c r="A204" s="3619" t="s">
        <v>796</v>
      </c>
      <c r="B204" s="3621" t="s">
        <v>797</v>
      </c>
      <c r="C204" s="3621"/>
      <c r="D204" s="3621"/>
      <c r="E204" s="3621"/>
      <c r="F204" s="3621"/>
    </row>
    <row r="205" spans="1:6">
      <c r="A205" s="3620"/>
      <c r="B205" s="2532">
        <v>2012</v>
      </c>
      <c r="C205" s="2537">
        <v>2011</v>
      </c>
      <c r="D205" s="2537">
        <v>2010</v>
      </c>
      <c r="E205" s="2537">
        <v>2009</v>
      </c>
      <c r="F205" s="2537">
        <v>2008</v>
      </c>
    </row>
    <row r="206" spans="1:6">
      <c r="A206" s="2504" t="s">
        <v>798</v>
      </c>
      <c r="B206" s="2815">
        <v>56310</v>
      </c>
      <c r="C206" s="2815">
        <v>45119</v>
      </c>
      <c r="D206" s="2815">
        <v>176186</v>
      </c>
      <c r="E206" s="2815">
        <v>138307</v>
      </c>
      <c r="F206" s="2815">
        <v>162309</v>
      </c>
    </row>
    <row r="207" spans="1:6">
      <c r="A207" s="2504" t="s">
        <v>799</v>
      </c>
      <c r="B207" s="2815">
        <v>316</v>
      </c>
      <c r="C207" s="2815">
        <v>79.819999999999993</v>
      </c>
      <c r="D207" s="2815"/>
      <c r="E207" s="2815"/>
      <c r="F207" s="2815"/>
    </row>
    <row r="208" spans="1:6">
      <c r="A208" s="2504" t="s">
        <v>800</v>
      </c>
      <c r="B208" s="2815">
        <v>49699.77</v>
      </c>
      <c r="C208" s="2815">
        <v>87579.9</v>
      </c>
      <c r="D208" s="2815">
        <v>58729</v>
      </c>
      <c r="E208" s="2815">
        <v>46102</v>
      </c>
      <c r="F208" s="2815">
        <v>54103</v>
      </c>
    </row>
    <row r="209" spans="1:6">
      <c r="A209" s="2504" t="s">
        <v>803</v>
      </c>
      <c r="B209" s="2815">
        <v>11</v>
      </c>
      <c r="C209" s="2815"/>
      <c r="D209" s="2815"/>
      <c r="E209" s="2815"/>
      <c r="F209" s="2815"/>
    </row>
    <row r="210" spans="1:6">
      <c r="A210" s="2504" t="s">
        <v>804</v>
      </c>
      <c r="B210" s="2815">
        <v>190688</v>
      </c>
      <c r="C210" s="2815">
        <v>99595</v>
      </c>
      <c r="D210" s="2815"/>
      <c r="E210" s="2815"/>
      <c r="F210" s="2815"/>
    </row>
    <row r="211" spans="1:6" ht="15" thickBot="1">
      <c r="A211" s="76" t="s">
        <v>118</v>
      </c>
      <c r="B211" s="84">
        <f>SUM(B206:B210)</f>
        <v>297024.77</v>
      </c>
      <c r="C211" s="84">
        <f>SUM(C206:C210)</f>
        <v>232373.72</v>
      </c>
      <c r="D211" s="84">
        <f>SUM(D206:D210)</f>
        <v>234915</v>
      </c>
      <c r="E211" s="84">
        <f>SUM(E206:E210)</f>
        <v>184409</v>
      </c>
      <c r="F211" s="84">
        <f>SUM(F206:F210)</f>
        <v>216412</v>
      </c>
    </row>
    <row r="212" spans="1:6" ht="15" thickTop="1">
      <c r="A212" s="76"/>
      <c r="B212" s="1116" t="e">
        <f>+#REF!</f>
        <v>#REF!</v>
      </c>
      <c r="C212" s="102"/>
      <c r="D212" s="102"/>
      <c r="E212" s="102"/>
      <c r="F212" s="102" t="e">
        <f>+#REF!</f>
        <v>#REF!</v>
      </c>
    </row>
    <row r="213" spans="1:6">
      <c r="A213" s="76"/>
      <c r="B213" s="1117" t="e">
        <f>+B211-B212</f>
        <v>#REF!</v>
      </c>
      <c r="C213" s="1117">
        <f>+C211-C212</f>
        <v>232373.72</v>
      </c>
      <c r="D213" s="1117">
        <f>+D211-D212</f>
        <v>234915</v>
      </c>
      <c r="E213" s="1117">
        <f>+E211-E212</f>
        <v>184409</v>
      </c>
      <c r="F213" s="1117" t="e">
        <f>+F211-F212</f>
        <v>#REF!</v>
      </c>
    </row>
    <row r="214" spans="1:6">
      <c r="A214">
        <v>18</v>
      </c>
      <c r="B214" s="1772" t="s">
        <v>197</v>
      </c>
    </row>
    <row r="215" spans="1:6">
      <c r="A215" s="3619" t="s">
        <v>796</v>
      </c>
      <c r="B215" s="3621" t="s">
        <v>797</v>
      </c>
      <c r="C215" s="3621"/>
      <c r="D215" s="3621"/>
      <c r="E215" s="3621"/>
      <c r="F215" s="3621"/>
    </row>
    <row r="216" spans="1:6">
      <c r="A216" s="3620"/>
      <c r="B216" s="2532">
        <v>2012</v>
      </c>
      <c r="C216" s="2537">
        <v>2011</v>
      </c>
      <c r="D216" s="2537">
        <v>2010</v>
      </c>
      <c r="E216" s="2537">
        <v>2009</v>
      </c>
      <c r="F216" s="2537">
        <v>2008</v>
      </c>
    </row>
    <row r="217" spans="1:6">
      <c r="A217" s="2504" t="s">
        <v>798</v>
      </c>
      <c r="B217" s="2815">
        <v>1102617.3829799979</v>
      </c>
      <c r="C217" s="2815">
        <v>973000</v>
      </c>
      <c r="D217" s="2815">
        <v>581000</v>
      </c>
      <c r="E217" s="2815">
        <v>651000</v>
      </c>
      <c r="F217" s="2815">
        <v>500236</v>
      </c>
    </row>
    <row r="218" spans="1:6">
      <c r="A218" s="2504" t="s">
        <v>799</v>
      </c>
      <c r="B218" s="2815">
        <v>1692828.8276799966</v>
      </c>
      <c r="C218" s="2815">
        <v>1659549</v>
      </c>
      <c r="D218" s="2815">
        <v>1506000</v>
      </c>
      <c r="E218" s="2815">
        <v>1223218</v>
      </c>
      <c r="F218" s="2815">
        <v>1156000</v>
      </c>
    </row>
    <row r="219" spans="1:6">
      <c r="A219" s="2504" t="s">
        <v>800</v>
      </c>
      <c r="B219" s="2815">
        <v>1212080.1090599981</v>
      </c>
      <c r="C219" s="2815">
        <v>611000</v>
      </c>
      <c r="D219" s="2815">
        <v>897870</v>
      </c>
      <c r="E219" s="2815">
        <v>826000</v>
      </c>
      <c r="F219" s="2815">
        <v>1089000</v>
      </c>
    </row>
    <row r="220" spans="1:6">
      <c r="A220" s="2504" t="s">
        <v>803</v>
      </c>
      <c r="B220" s="2815">
        <v>0</v>
      </c>
      <c r="C220" s="2815">
        <v>0</v>
      </c>
      <c r="D220" s="2815">
        <v>0</v>
      </c>
      <c r="E220" s="2815">
        <v>0</v>
      </c>
      <c r="F220" s="2815">
        <v>0</v>
      </c>
    </row>
    <row r="221" spans="1:6">
      <c r="A221" s="2504" t="s">
        <v>804</v>
      </c>
      <c r="B221" s="2815">
        <v>618502.15120000031</v>
      </c>
      <c r="C221" s="2815">
        <v>1017000</v>
      </c>
      <c r="D221" s="2815">
        <v>683000</v>
      </c>
      <c r="E221" s="2815">
        <v>510000</v>
      </c>
      <c r="F221" s="2815">
        <v>437000</v>
      </c>
    </row>
    <row r="222" spans="1:6" ht="15" thickBot="1">
      <c r="A222" s="76" t="s">
        <v>118</v>
      </c>
      <c r="B222" s="84">
        <f>SUM(B217:B221)</f>
        <v>4626028.4709199928</v>
      </c>
      <c r="C222" s="84">
        <f>SUM(C217:C221)</f>
        <v>4260549</v>
      </c>
      <c r="D222" s="84">
        <f>SUM(D217:D221)</f>
        <v>3667870</v>
      </c>
      <c r="E222" s="84">
        <f>SUM(E217:E221)</f>
        <v>3210218</v>
      </c>
      <c r="F222" s="84">
        <f>SUM(F217:F221)</f>
        <v>3182236</v>
      </c>
    </row>
    <row r="223" spans="1:6" ht="15" thickTop="1">
      <c r="A223" s="76"/>
      <c r="B223" s="1116" t="e">
        <f>+#REF!</f>
        <v>#REF!</v>
      </c>
      <c r="C223" s="102" t="e">
        <f>+#REF!</f>
        <v>#REF!</v>
      </c>
      <c r="D223" s="102" t="e">
        <f>+#REF!</f>
        <v>#REF!</v>
      </c>
      <c r="E223" s="102" t="e">
        <f>+#REF!</f>
        <v>#REF!</v>
      </c>
      <c r="F223" s="102" t="e">
        <f>+#REF!</f>
        <v>#REF!</v>
      </c>
    </row>
    <row r="224" spans="1:6">
      <c r="A224" s="76"/>
      <c r="B224" s="1117" t="e">
        <f>+B222-B223</f>
        <v>#REF!</v>
      </c>
      <c r="C224" s="1117" t="e">
        <f>+C222-C223</f>
        <v>#REF!</v>
      </c>
      <c r="D224" s="1117" t="e">
        <f>+D222-D223</f>
        <v>#REF!</v>
      </c>
      <c r="E224" s="1117" t="e">
        <f>+E222-E223</f>
        <v>#REF!</v>
      </c>
      <c r="F224" s="1117" t="e">
        <f>+F222-F223</f>
        <v>#REF!</v>
      </c>
    </row>
    <row r="225" spans="1:6">
      <c r="A225">
        <v>19</v>
      </c>
      <c r="B225" s="1772" t="s">
        <v>193</v>
      </c>
    </row>
    <row r="226" spans="1:6">
      <c r="A226" s="3619" t="s">
        <v>796</v>
      </c>
      <c r="B226" s="3621" t="s">
        <v>797</v>
      </c>
      <c r="C226" s="3621"/>
      <c r="D226" s="3621"/>
      <c r="E226" s="3621"/>
      <c r="F226" s="3621"/>
    </row>
    <row r="227" spans="1:6">
      <c r="A227" s="3620"/>
      <c r="B227" s="2532">
        <v>2012</v>
      </c>
      <c r="C227" s="2537">
        <v>2011</v>
      </c>
      <c r="D227" s="2537">
        <v>2010</v>
      </c>
      <c r="E227" s="2537">
        <v>2009</v>
      </c>
      <c r="F227" s="2537">
        <v>2008</v>
      </c>
    </row>
    <row r="228" spans="1:6">
      <c r="A228" s="2504" t="s">
        <v>798</v>
      </c>
      <c r="B228" s="2820">
        <v>170348.54498300006</v>
      </c>
      <c r="C228" s="2820">
        <v>470.48258299999998</v>
      </c>
      <c r="D228" s="2815"/>
      <c r="E228" s="2815"/>
      <c r="F228" s="2815"/>
    </row>
    <row r="229" spans="1:6">
      <c r="A229" s="2504" t="s">
        <v>799</v>
      </c>
      <c r="B229" s="2820">
        <v>103270.89967700002</v>
      </c>
      <c r="C229" s="2820">
        <v>952.20069000000001</v>
      </c>
      <c r="D229" s="2815"/>
      <c r="E229" s="2815"/>
      <c r="F229" s="2815"/>
    </row>
    <row r="230" spans="1:6">
      <c r="A230" s="2504" t="s">
        <v>800</v>
      </c>
      <c r="B230" s="2820">
        <v>53185.13342999998</v>
      </c>
      <c r="C230" s="2820">
        <v>397.92788000000002</v>
      </c>
      <c r="D230" s="2815"/>
      <c r="E230" s="2815"/>
      <c r="F230" s="2815"/>
    </row>
    <row r="231" spans="1:6">
      <c r="A231" s="2504" t="s">
        <v>803</v>
      </c>
      <c r="B231" s="2820">
        <v>0</v>
      </c>
      <c r="C231" s="2820">
        <v>0</v>
      </c>
      <c r="D231" s="2815"/>
      <c r="E231" s="2815"/>
      <c r="F231" s="2815"/>
    </row>
    <row r="232" spans="1:6">
      <c r="A232" s="2504" t="s">
        <v>804</v>
      </c>
      <c r="B232" s="2820">
        <v>0</v>
      </c>
      <c r="C232" s="2820">
        <v>0</v>
      </c>
      <c r="D232" s="2815"/>
      <c r="E232" s="2815"/>
      <c r="F232" s="2815"/>
    </row>
    <row r="233" spans="1:6" ht="15" thickBot="1">
      <c r="A233" s="76" t="s">
        <v>118</v>
      </c>
      <c r="B233" s="84">
        <f>SUM(B228:B232)</f>
        <v>326804.57809000008</v>
      </c>
      <c r="C233" s="84">
        <f>SUM(C228:C232)</f>
        <v>1820.6111530000001</v>
      </c>
      <c r="D233" s="84">
        <f>SUM(D228:D232)</f>
        <v>0</v>
      </c>
      <c r="E233" s="84">
        <f>SUM(E228:E232)</f>
        <v>0</v>
      </c>
      <c r="F233" s="84">
        <f>SUM(F228:F232)</f>
        <v>0</v>
      </c>
    </row>
    <row r="234" spans="1:6" ht="15" thickTop="1">
      <c r="A234" s="76"/>
      <c r="B234" s="1116"/>
      <c r="C234" s="102"/>
      <c r="D234" s="102"/>
      <c r="E234" s="102"/>
      <c r="F234" s="102" t="e">
        <f>+#REF!</f>
        <v>#REF!</v>
      </c>
    </row>
    <row r="235" spans="1:6">
      <c r="A235" s="76"/>
      <c r="B235" s="1116"/>
      <c r="C235" s="102"/>
      <c r="D235" s="102"/>
      <c r="E235" s="102"/>
      <c r="F235" s="102"/>
    </row>
    <row r="236" spans="1:6">
      <c r="A236">
        <v>20</v>
      </c>
      <c r="B236" s="1772" t="s">
        <v>110</v>
      </c>
    </row>
    <row r="237" spans="1:6">
      <c r="A237" s="3619" t="s">
        <v>796</v>
      </c>
      <c r="B237" s="3621" t="s">
        <v>797</v>
      </c>
      <c r="C237" s="3621"/>
      <c r="D237" s="3621"/>
      <c r="E237" s="3621"/>
      <c r="F237" s="3621"/>
    </row>
    <row r="238" spans="1:6">
      <c r="A238" s="3620"/>
      <c r="B238" s="2532">
        <v>2012</v>
      </c>
      <c r="C238" s="2537">
        <v>2011</v>
      </c>
      <c r="D238" s="2537">
        <v>2010</v>
      </c>
      <c r="E238" s="2537">
        <v>2009</v>
      </c>
      <c r="F238" s="2537">
        <v>2008</v>
      </c>
    </row>
    <row r="239" spans="1:6">
      <c r="A239" s="2504" t="s">
        <v>798</v>
      </c>
      <c r="B239" s="2815"/>
      <c r="C239" s="2815"/>
      <c r="D239" s="2815"/>
      <c r="E239" s="2815"/>
      <c r="F239" s="2815"/>
    </row>
    <row r="240" spans="1:6">
      <c r="A240" s="2504" t="s">
        <v>799</v>
      </c>
      <c r="B240" s="2815"/>
      <c r="C240" s="2815"/>
      <c r="D240" s="2815"/>
      <c r="E240" s="2815"/>
      <c r="F240" s="2815"/>
    </row>
    <row r="241" spans="1:6">
      <c r="A241" s="2504" t="s">
        <v>800</v>
      </c>
      <c r="B241" s="2815"/>
      <c r="C241" s="2815"/>
      <c r="D241" s="2815"/>
      <c r="E241" s="2815"/>
      <c r="F241" s="2815"/>
    </row>
    <row r="242" spans="1:6">
      <c r="A242" s="2504" t="s">
        <v>803</v>
      </c>
      <c r="B242" s="2815"/>
      <c r="C242" s="2815"/>
      <c r="D242" s="2815"/>
      <c r="E242" s="2815"/>
      <c r="F242" s="2815"/>
    </row>
    <row r="243" spans="1:6">
      <c r="A243" s="2504" t="s">
        <v>804</v>
      </c>
      <c r="B243" s="2815"/>
      <c r="C243" s="2815"/>
      <c r="D243" s="2815"/>
      <c r="E243" s="2815"/>
      <c r="F243" s="2815"/>
    </row>
    <row r="244" spans="1:6" ht="15" thickBot="1">
      <c r="A244" s="76" t="s">
        <v>118</v>
      </c>
      <c r="B244" s="84">
        <f>SUM(B239:B243)</f>
        <v>0</v>
      </c>
      <c r="C244" s="84">
        <f>SUM(C239:C243)</f>
        <v>0</v>
      </c>
      <c r="D244" s="84">
        <f>SUM(D239:D243)</f>
        <v>0</v>
      </c>
      <c r="E244" s="84">
        <f>SUM(E239:E243)</f>
        <v>0</v>
      </c>
      <c r="F244" s="84">
        <f>SUM(F239:F243)</f>
        <v>0</v>
      </c>
    </row>
    <row r="245" spans="1:6" ht="15" thickTop="1"/>
  </sheetData>
  <customSheetViews>
    <customSheetView guid="{2ACFE167-4169-43A6-9AB2-59D5A2DA2DB4}" showPageBreaks="1" printArea="1" state="hidden" topLeftCell="A121">
      <selection activeCell="A2" sqref="A2"/>
      <rowBreaks count="2" manualBreakCount="2">
        <brk id="70" max="5" man="1"/>
        <brk id="136" max="5" man="1"/>
      </rowBreaks>
      <pageMargins left="0" right="0" top="0" bottom="0" header="0" footer="0"/>
      <pageSetup scale="70" orientation="portrait" r:id="rId1"/>
    </customSheetView>
    <customSheetView guid="{967E0446-E234-427F-8E57-7FE287052E2E}" showPageBreaks="1" printArea="1" state="hidden" topLeftCell="A121">
      <selection activeCell="A2" sqref="A2"/>
      <rowBreaks count="2" manualBreakCount="2">
        <brk id="70" max="5" man="1"/>
        <brk id="136" max="5" man="1"/>
      </rowBreaks>
      <pageMargins left="0" right="0" top="0" bottom="0" header="0" footer="0"/>
      <pageSetup scale="70" orientation="portrait" r:id="rId2"/>
    </customSheetView>
    <customSheetView guid="{B2E1A0C6-5BA1-4CF1-B412-16D81FCDF11F}" showPageBreaks="1" printArea="1" state="hidden" topLeftCell="A121">
      <selection activeCell="A2" sqref="A2"/>
      <rowBreaks count="2" manualBreakCount="2">
        <brk id="70" max="5" man="1"/>
        <brk id="136" max="5" man="1"/>
      </rowBreaks>
      <pageMargins left="0" right="0" top="0" bottom="0" header="0" footer="0"/>
      <pageSetup scale="70" orientation="portrait" r:id="rId3"/>
    </customSheetView>
    <customSheetView guid="{46F31544-8E6F-41C5-8628-1D6EE074AF15}" state="hidden" topLeftCell="A121">
      <selection activeCell="A2" sqref="A2"/>
      <rowBreaks count="2" manualBreakCount="2">
        <brk id="70" max="5" man="1"/>
        <brk id="136" max="5" man="1"/>
      </rowBreaks>
      <pageMargins left="0" right="0" top="0" bottom="0" header="0" footer="0"/>
      <pageSetup scale="70" orientation="portrait" r:id="rId4"/>
    </customSheetView>
    <customSheetView guid="{E82B35BE-4719-4C53-A9EF-1CC6F153A6F3}" showPageBreaks="1" printArea="1" state="hidden" topLeftCell="A121">
      <selection activeCell="A2" sqref="A2"/>
      <rowBreaks count="2" manualBreakCount="2">
        <brk id="70" max="5" man="1"/>
        <brk id="136" max="5" man="1"/>
      </rowBreaks>
      <pageMargins left="0" right="0" top="0" bottom="0" header="0" footer="0"/>
      <pageSetup scale="70" orientation="portrait" r:id="rId5"/>
    </customSheetView>
    <customSheetView guid="{B1E1B596-A9A1-411D-A882-A48CB025B978}" showPageBreaks="1" printArea="1" state="hidden" topLeftCell="A121">
      <selection activeCell="A2" sqref="A2"/>
      <rowBreaks count="2" manualBreakCount="2">
        <brk id="70" max="5" man="1"/>
        <brk id="136" max="5" man="1"/>
      </rowBreaks>
      <pageMargins left="0" right="0" top="0" bottom="0" header="0" footer="0"/>
      <pageSetup scale="70" orientation="portrait" r:id="rId6"/>
    </customSheetView>
    <customSheetView guid="{5E394B0B-7867-4722-9497-A93AB2A9A773}" showPageBreaks="1" printArea="1" state="hidden" topLeftCell="A121">
      <selection activeCell="A2" sqref="A2"/>
      <rowBreaks count="2" manualBreakCount="2">
        <brk id="70" max="5" man="1"/>
        <brk id="136" max="5" man="1"/>
      </rowBreaks>
      <pageMargins left="0" right="0" top="0" bottom="0" header="0" footer="0"/>
      <pageSetup scale="70" orientation="portrait" r:id="rId7"/>
    </customSheetView>
  </customSheetViews>
  <mergeCells count="44">
    <mergeCell ref="A237:A238"/>
    <mergeCell ref="B237:F237"/>
    <mergeCell ref="A204:A205"/>
    <mergeCell ref="B204:F204"/>
    <mergeCell ref="A215:A216"/>
    <mergeCell ref="B215:F215"/>
    <mergeCell ref="A226:A227"/>
    <mergeCell ref="B226:F226"/>
    <mergeCell ref="A171:A172"/>
    <mergeCell ref="B171:F171"/>
    <mergeCell ref="A182:A183"/>
    <mergeCell ref="B182:F182"/>
    <mergeCell ref="A193:A194"/>
    <mergeCell ref="B193:F193"/>
    <mergeCell ref="A138:A139"/>
    <mergeCell ref="B138:F138"/>
    <mergeCell ref="A149:A150"/>
    <mergeCell ref="B149:F149"/>
    <mergeCell ref="A160:A161"/>
    <mergeCell ref="B160:F160"/>
    <mergeCell ref="A105:A106"/>
    <mergeCell ref="B105:F105"/>
    <mergeCell ref="A116:A117"/>
    <mergeCell ref="B116:F116"/>
    <mergeCell ref="A127:A128"/>
    <mergeCell ref="B127:F127"/>
    <mergeCell ref="A72:A73"/>
    <mergeCell ref="B72:F72"/>
    <mergeCell ref="A83:A84"/>
    <mergeCell ref="B83:F83"/>
    <mergeCell ref="A94:A95"/>
    <mergeCell ref="B94:F94"/>
    <mergeCell ref="A39:A40"/>
    <mergeCell ref="B39:F39"/>
    <mergeCell ref="A50:A51"/>
    <mergeCell ref="B50:F50"/>
    <mergeCell ref="A61:A62"/>
    <mergeCell ref="B61:F61"/>
    <mergeCell ref="A4:A5"/>
    <mergeCell ref="B4:F4"/>
    <mergeCell ref="A14:A15"/>
    <mergeCell ref="B14:F14"/>
    <mergeCell ref="A28:A29"/>
    <mergeCell ref="B28:F28"/>
  </mergeCells>
  <pageMargins left="0.7" right="0.7" top="0.75" bottom="0.75" header="0.3" footer="0.3"/>
  <pageSetup scale="70" orientation="portrait" r:id="rId8"/>
  <rowBreaks count="2" manualBreakCount="2">
    <brk id="70" max="5" man="1"/>
    <brk id="136" max="5" man="1"/>
  </rowBreaks>
  <ignoredErrors>
    <ignoredError sqref="B200 C200:F200 B35:F35 D189:F189 C189" formulaRange="1"/>
  </ignoredError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tabColor rgb="FF92D050"/>
    <pageSetUpPr autoPageBreaks="0"/>
  </sheetPr>
  <dimension ref="B1:N54"/>
  <sheetViews>
    <sheetView showGridLines="0" view="pageBreakPreview" zoomScaleNormal="100" zoomScaleSheetLayoutView="100" workbookViewId="0">
      <pane xSplit="2" topLeftCell="C1" activePane="topRight" state="frozen"/>
      <selection pane="topRight" activeCell="G21" sqref="G21"/>
    </sheetView>
  </sheetViews>
  <sheetFormatPr defaultColWidth="9.140625" defaultRowHeight="13.15"/>
  <cols>
    <col min="1" max="1" width="3" style="292" customWidth="1"/>
    <col min="2" max="2" width="18" style="292" customWidth="1"/>
    <col min="3" max="7" width="18.28515625" style="292" customWidth="1"/>
    <col min="8" max="8" width="15.28515625" style="292" customWidth="1"/>
    <col min="9" max="9" width="9.5703125" style="292" bestFit="1" customWidth="1"/>
    <col min="10" max="10" width="9.7109375" style="292" bestFit="1" customWidth="1"/>
    <col min="11" max="11" width="10.7109375" style="292" bestFit="1" customWidth="1"/>
    <col min="12" max="12" width="9.7109375" style="292" bestFit="1" customWidth="1"/>
    <col min="13" max="13" width="10.7109375" style="292" bestFit="1" customWidth="1"/>
    <col min="14" max="14" width="9.28515625" style="292" bestFit="1" customWidth="1"/>
    <col min="15" max="16384" width="9.140625" style="292"/>
  </cols>
  <sheetData>
    <row r="1" spans="2:14">
      <c r="C1" s="468"/>
      <c r="D1" s="468"/>
      <c r="E1" s="468"/>
      <c r="F1" s="468"/>
      <c r="G1" s="468"/>
      <c r="H1" s="468"/>
      <c r="I1" s="468"/>
      <c r="J1" s="468"/>
      <c r="K1" s="468"/>
      <c r="L1" s="468"/>
      <c r="M1" s="293"/>
      <c r="N1" s="514"/>
    </row>
    <row r="2" spans="2:14">
      <c r="B2" s="295" t="s">
        <v>808</v>
      </c>
      <c r="C2" s="468"/>
      <c r="D2" s="468"/>
      <c r="E2" s="468"/>
      <c r="F2" s="468"/>
      <c r="G2" s="468"/>
      <c r="H2" s="468"/>
      <c r="I2" s="468"/>
      <c r="J2" s="468"/>
      <c r="K2" s="468"/>
      <c r="L2" s="468"/>
      <c r="M2" s="293"/>
      <c r="N2" s="514"/>
    </row>
    <row r="3" spans="2:14">
      <c r="B3" s="295"/>
    </row>
    <row r="4" spans="2:14">
      <c r="B4" s="2821" t="s">
        <v>84</v>
      </c>
      <c r="C4" s="1590">
        <v>2018</v>
      </c>
      <c r="D4" s="1551">
        <v>2019</v>
      </c>
      <c r="E4" s="1590">
        <v>2020</v>
      </c>
      <c r="F4" s="1551" t="s">
        <v>138</v>
      </c>
      <c r="G4" s="1551" t="s">
        <v>139</v>
      </c>
    </row>
    <row r="5" spans="2:14">
      <c r="B5" s="1683" t="s">
        <v>90</v>
      </c>
      <c r="C5" s="1624">
        <v>285037</v>
      </c>
      <c r="D5" s="1624">
        <v>288901</v>
      </c>
      <c r="E5" s="1624">
        <v>291415</v>
      </c>
      <c r="F5" s="1626">
        <v>300568</v>
      </c>
      <c r="G5" s="1715">
        <v>294026</v>
      </c>
    </row>
    <row r="6" spans="2:14">
      <c r="B6" s="1683" t="s">
        <v>92</v>
      </c>
      <c r="C6" s="1678">
        <v>37475</v>
      </c>
      <c r="D6" s="1684">
        <v>40721</v>
      </c>
      <c r="E6" s="1684">
        <v>40844</v>
      </c>
      <c r="F6" s="1742">
        <v>61774</v>
      </c>
      <c r="G6" s="1715">
        <v>40337</v>
      </c>
    </row>
    <row r="7" spans="2:14" ht="14.45">
      <c r="B7" s="1683" t="s">
        <v>93</v>
      </c>
      <c r="C7" s="2822">
        <v>15318</v>
      </c>
      <c r="D7" s="1684">
        <v>14795</v>
      </c>
      <c r="E7" s="1684">
        <v>12909</v>
      </c>
      <c r="F7" s="1742">
        <v>13946</v>
      </c>
      <c r="G7" s="1715">
        <v>13496</v>
      </c>
    </row>
    <row r="8" spans="2:14">
      <c r="B8" s="1683" t="s">
        <v>95</v>
      </c>
      <c r="C8" s="1684">
        <v>20598</v>
      </c>
      <c r="D8" s="1684">
        <v>24109</v>
      </c>
      <c r="E8" s="1684">
        <v>26760</v>
      </c>
      <c r="F8" s="1742">
        <v>30137</v>
      </c>
      <c r="G8" s="1715">
        <v>28630</v>
      </c>
    </row>
    <row r="9" spans="2:14">
      <c r="B9" s="1683" t="s">
        <v>96</v>
      </c>
      <c r="C9" s="1684">
        <v>908973</v>
      </c>
      <c r="D9" s="1684">
        <v>884139</v>
      </c>
      <c r="E9" s="1684">
        <v>865562</v>
      </c>
      <c r="F9" s="1742">
        <v>870519</v>
      </c>
      <c r="G9" s="1715">
        <v>851121</v>
      </c>
    </row>
    <row r="10" spans="2:14">
      <c r="B10" s="1683" t="s">
        <v>99</v>
      </c>
      <c r="C10" s="2609"/>
      <c r="D10" s="2609"/>
      <c r="E10" s="2609"/>
      <c r="F10" s="2609"/>
      <c r="G10" s="1715">
        <v>10</v>
      </c>
    </row>
    <row r="11" spans="2:14">
      <c r="B11" s="1683" t="s">
        <v>239</v>
      </c>
      <c r="C11" s="1678">
        <v>35192</v>
      </c>
      <c r="D11" s="1678">
        <v>34032</v>
      </c>
      <c r="E11" s="1678">
        <v>42168</v>
      </c>
      <c r="F11" s="1742">
        <v>43522</v>
      </c>
      <c r="G11" s="1715">
        <v>42047</v>
      </c>
    </row>
    <row r="12" spans="2:14">
      <c r="B12" s="1683" t="s">
        <v>103</v>
      </c>
      <c r="C12" s="1684">
        <v>147234</v>
      </c>
      <c r="D12" s="1684">
        <v>150689</v>
      </c>
      <c r="E12" s="1684">
        <v>148809</v>
      </c>
      <c r="F12" s="1742">
        <v>158202</v>
      </c>
      <c r="G12" s="1715">
        <v>166686</v>
      </c>
    </row>
    <row r="13" spans="2:14">
      <c r="B13" s="1683" t="s">
        <v>105</v>
      </c>
      <c r="C13" s="1678">
        <f>255376+2584</f>
        <v>257960</v>
      </c>
      <c r="D13" s="1684">
        <v>247429</v>
      </c>
      <c r="E13" s="1684">
        <f>228461+996</f>
        <v>229457</v>
      </c>
      <c r="F13" s="1742">
        <v>208424</v>
      </c>
      <c r="G13" s="1715">
        <v>190861</v>
      </c>
    </row>
    <row r="14" spans="2:14">
      <c r="B14" s="1683" t="s">
        <v>106</v>
      </c>
      <c r="C14" s="1684">
        <v>28436</v>
      </c>
      <c r="D14" s="1684">
        <v>30589</v>
      </c>
      <c r="E14" s="1684">
        <v>30816</v>
      </c>
      <c r="F14" s="1742">
        <v>30608</v>
      </c>
      <c r="G14" s="1715">
        <v>27512</v>
      </c>
    </row>
    <row r="15" spans="2:14">
      <c r="B15" s="1683" t="s">
        <v>107</v>
      </c>
      <c r="C15" s="1684">
        <v>218321</v>
      </c>
      <c r="D15" s="1684">
        <v>259735</v>
      </c>
      <c r="E15" s="1684">
        <v>287187</v>
      </c>
      <c r="F15" s="1742">
        <v>299847</v>
      </c>
      <c r="G15" s="1715">
        <v>270936</v>
      </c>
    </row>
    <row r="16" spans="2:14">
      <c r="B16" s="1683" t="s">
        <v>109</v>
      </c>
      <c r="C16" s="1684">
        <v>17692</v>
      </c>
      <c r="D16" s="1684">
        <v>16571</v>
      </c>
      <c r="E16" s="1684">
        <v>13172</v>
      </c>
      <c r="F16" s="1742">
        <v>11126</v>
      </c>
      <c r="G16" s="1715">
        <v>8266</v>
      </c>
    </row>
    <row r="17" spans="2:7">
      <c r="B17" s="1683" t="s">
        <v>113</v>
      </c>
      <c r="C17" s="1684">
        <v>154618</v>
      </c>
      <c r="D17" s="1684">
        <v>142977</v>
      </c>
      <c r="E17" s="1684">
        <v>137259</v>
      </c>
      <c r="F17" s="1742">
        <v>131419</v>
      </c>
      <c r="G17" s="1715">
        <v>115480</v>
      </c>
    </row>
    <row r="18" spans="2:7">
      <c r="B18" s="1683" t="s">
        <v>115</v>
      </c>
      <c r="C18" s="1684">
        <v>511763</v>
      </c>
      <c r="D18" s="1684">
        <v>500409</v>
      </c>
      <c r="E18" s="1684">
        <v>1037559</v>
      </c>
      <c r="F18" s="1742">
        <v>1097234</v>
      </c>
      <c r="G18" s="1715">
        <v>1018095</v>
      </c>
    </row>
    <row r="19" spans="2:7">
      <c r="B19" s="1683" t="s">
        <v>116</v>
      </c>
      <c r="C19" s="1678">
        <v>311873</v>
      </c>
      <c r="D19" s="1684">
        <v>500374</v>
      </c>
      <c r="E19" s="1684">
        <v>649986</v>
      </c>
      <c r="F19" s="1742">
        <v>794870</v>
      </c>
      <c r="G19" s="1715">
        <v>815437</v>
      </c>
    </row>
    <row r="20" spans="2:7">
      <c r="B20" s="1683" t="s">
        <v>117</v>
      </c>
      <c r="C20" s="1678">
        <v>248864</v>
      </c>
      <c r="D20" s="1684">
        <v>247820</v>
      </c>
      <c r="E20" s="1684">
        <v>249665</v>
      </c>
      <c r="F20" s="1742">
        <v>265499</v>
      </c>
      <c r="G20" s="1715">
        <v>256480</v>
      </c>
    </row>
    <row r="21" spans="2:7">
      <c r="B21" s="2392" t="s">
        <v>118</v>
      </c>
      <c r="C21" s="1737">
        <f>SUM(C5:C20)</f>
        <v>3199354</v>
      </c>
      <c r="D21" s="1737">
        <f>SUM(D5:D20)</f>
        <v>3383290</v>
      </c>
      <c r="E21" s="1737">
        <f>SUM(E5:E20)</f>
        <v>4063568</v>
      </c>
      <c r="F21" s="1737">
        <f>SUM(F5:F20)</f>
        <v>4317695</v>
      </c>
      <c r="G21" s="1737">
        <f>SUM(G5:G20)</f>
        <v>4139420</v>
      </c>
    </row>
    <row r="22" spans="2:7">
      <c r="B22" s="214"/>
    </row>
    <row r="23" spans="2:7">
      <c r="C23" s="293"/>
      <c r="D23" s="293"/>
      <c r="G23" s="293">
        <v>181</v>
      </c>
    </row>
    <row r="24" spans="2:7">
      <c r="B24" s="37"/>
    </row>
    <row r="25" spans="2:7">
      <c r="B25" s="489"/>
      <c r="C25" s="468"/>
    </row>
    <row r="26" spans="2:7">
      <c r="B26" s="384"/>
      <c r="C26" s="468"/>
    </row>
    <row r="27" spans="2:7">
      <c r="B27" s="384"/>
      <c r="C27" s="396"/>
    </row>
    <row r="28" spans="2:7">
      <c r="B28" s="384"/>
    </row>
    <row r="29" spans="2:7">
      <c r="B29" s="384"/>
    </row>
    <row r="30" spans="2:7">
      <c r="B30" s="384"/>
    </row>
    <row r="31" spans="2:7">
      <c r="B31" s="384"/>
    </row>
    <row r="32" spans="2:7">
      <c r="B32" s="384"/>
    </row>
    <row r="33" spans="2:2">
      <c r="B33" s="384"/>
    </row>
    <row r="34" spans="2:2">
      <c r="B34" s="384"/>
    </row>
    <row r="35" spans="2:2">
      <c r="B35" s="384"/>
    </row>
    <row r="36" spans="2:2">
      <c r="B36" s="384"/>
    </row>
    <row r="37" spans="2:2">
      <c r="B37" s="384"/>
    </row>
    <row r="38" spans="2:2">
      <c r="B38" s="384"/>
    </row>
    <row r="52" spans="2:2">
      <c r="B52" s="589"/>
    </row>
    <row r="53" spans="2:2">
      <c r="B53" s="589"/>
    </row>
    <row r="54" spans="2:2">
      <c r="B54" s="589"/>
    </row>
  </sheetData>
  <sortState xmlns:xlrd2="http://schemas.microsoft.com/office/spreadsheetml/2017/richdata2" ref="B5:H20">
    <sortCondition ref="B5"/>
  </sortState>
  <pageMargins left="0.87" right="0.2" top="0.75" bottom="0.75" header="0.3" footer="0.3"/>
  <pageSetup paperSize="9" scale="70"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tabColor rgb="FF92D050"/>
  </sheetPr>
  <dimension ref="A2:P328"/>
  <sheetViews>
    <sheetView showGridLines="0" view="pageBreakPreview" zoomScale="85" zoomScaleNormal="100" zoomScaleSheetLayoutView="85" workbookViewId="0">
      <selection activeCell="G161" sqref="G161"/>
    </sheetView>
  </sheetViews>
  <sheetFormatPr defaultColWidth="9.140625" defaultRowHeight="13.15"/>
  <cols>
    <col min="1" max="1" width="1.28515625" style="292" customWidth="1"/>
    <col min="2" max="2" width="16.5703125" style="292" customWidth="1"/>
    <col min="3" max="4" width="22.42578125" style="413" customWidth="1"/>
    <col min="5" max="7" width="22.42578125" style="292" customWidth="1"/>
    <col min="8" max="8" width="22.28515625" style="292" customWidth="1"/>
    <col min="9" max="10" width="10.5703125" style="292" customWidth="1"/>
    <col min="11" max="16" width="14.140625" style="292" customWidth="1"/>
    <col min="17" max="16384" width="9.140625" style="292"/>
  </cols>
  <sheetData>
    <row r="2" spans="1:16">
      <c r="B2" s="3341" t="s">
        <v>809</v>
      </c>
      <c r="C2" s="3341"/>
      <c r="D2" s="3341"/>
      <c r="E2" s="3341"/>
      <c r="F2" s="3341"/>
    </row>
    <row r="3" spans="1:16" s="52" customFormat="1">
      <c r="A3" s="37"/>
      <c r="B3" s="314"/>
      <c r="C3" s="413"/>
      <c r="D3" s="413"/>
    </row>
    <row r="4" spans="1:16" s="52" customFormat="1">
      <c r="A4" s="37"/>
      <c r="B4" s="3638" t="s">
        <v>256</v>
      </c>
      <c r="C4" s="3639"/>
      <c r="D4" s="3640"/>
    </row>
    <row r="5" spans="1:16" s="52" customFormat="1">
      <c r="A5" s="37"/>
      <c r="B5" s="3487" t="s">
        <v>810</v>
      </c>
      <c r="C5" s="3641" t="s">
        <v>811</v>
      </c>
      <c r="D5" s="3499" t="s">
        <v>812</v>
      </c>
      <c r="E5" s="3643" t="s">
        <v>342</v>
      </c>
      <c r="F5" s="3644"/>
      <c r="G5" s="3644"/>
      <c r="H5" s="3645"/>
    </row>
    <row r="6" spans="1:16" s="52" customFormat="1" ht="26.45">
      <c r="A6" s="37"/>
      <c r="B6" s="3625"/>
      <c r="C6" s="3642"/>
      <c r="D6" s="3500"/>
      <c r="E6" s="2825" t="s">
        <v>813</v>
      </c>
      <c r="F6" s="1659" t="s">
        <v>814</v>
      </c>
      <c r="G6" s="3173" t="s">
        <v>815</v>
      </c>
      <c r="H6" s="3174" t="s">
        <v>118</v>
      </c>
      <c r="I6" s="116"/>
      <c r="J6" s="196"/>
    </row>
    <row r="7" spans="1:16" s="52" customFormat="1">
      <c r="A7" s="37"/>
      <c r="B7" s="3488"/>
      <c r="C7" s="1821" t="s">
        <v>816</v>
      </c>
      <c r="D7" s="2437" t="s">
        <v>220</v>
      </c>
      <c r="E7" s="2826" t="s">
        <v>220</v>
      </c>
      <c r="F7" s="2823" t="s">
        <v>220</v>
      </c>
      <c r="G7" s="1662" t="s">
        <v>220</v>
      </c>
      <c r="H7" s="2824" t="s">
        <v>220</v>
      </c>
      <c r="I7" s="116"/>
      <c r="J7" s="196"/>
    </row>
    <row r="8" spans="1:16" s="52" customFormat="1">
      <c r="A8" s="37"/>
      <c r="B8" s="1616">
        <v>2022</v>
      </c>
      <c r="C8" s="1715">
        <f t="shared" ref="C8:H8" si="0">+C16+C24+C32+C43+C51+C59+C67+C77+C85+C93+C103+C110+C117+C124+C131+C139</f>
        <v>637912</v>
      </c>
      <c r="D8" s="1715">
        <f t="shared" si="0"/>
        <v>1469614002.1413543</v>
      </c>
      <c r="E8" s="1715">
        <f t="shared" si="0"/>
        <v>4848661.5811000001</v>
      </c>
      <c r="F8" s="1715">
        <f t="shared" si="0"/>
        <v>36709608.13212797</v>
      </c>
      <c r="G8" s="1715">
        <f t="shared" si="0"/>
        <v>304089.07001999987</v>
      </c>
      <c r="H8" s="1715">
        <f t="shared" si="0"/>
        <v>41862358.78324797</v>
      </c>
      <c r="I8" s="116"/>
      <c r="J8" s="196"/>
    </row>
    <row r="9" spans="1:16" s="52" customFormat="1">
      <c r="A9" s="37"/>
      <c r="B9" s="2827">
        <v>2021</v>
      </c>
      <c r="C9" s="1742">
        <f t="shared" ref="C9:H9" si="1">+C17+C25+C33+C44+C52+C60+C68+C78+C86+C94+C104+C111+C118+C125+C132</f>
        <v>892660</v>
      </c>
      <c r="D9" s="1742">
        <f t="shared" si="1"/>
        <v>1774308684.4802854</v>
      </c>
      <c r="E9" s="1742">
        <f t="shared" si="1"/>
        <v>3372537.4838496195</v>
      </c>
      <c r="F9" s="1742">
        <f t="shared" si="1"/>
        <v>36518984.297388569</v>
      </c>
      <c r="G9" s="1742">
        <f t="shared" si="1"/>
        <v>291431.11028400029</v>
      </c>
      <c r="H9" s="1742">
        <f t="shared" si="1"/>
        <v>40182952.891522191</v>
      </c>
      <c r="I9" s="497"/>
      <c r="J9" s="497"/>
      <c r="K9" s="497"/>
      <c r="L9" s="497"/>
      <c r="M9" s="497"/>
      <c r="N9" s="497"/>
      <c r="O9" s="497"/>
    </row>
    <row r="10" spans="1:16" s="52" customFormat="1">
      <c r="A10" s="37"/>
      <c r="B10" s="196"/>
      <c r="C10" s="413"/>
      <c r="D10" s="413"/>
      <c r="E10" s="315"/>
      <c r="F10" s="315"/>
      <c r="G10" s="315"/>
      <c r="H10" s="315"/>
      <c r="I10" s="315"/>
      <c r="J10" s="305"/>
    </row>
    <row r="11" spans="1:16" s="52" customFormat="1">
      <c r="A11" s="37"/>
      <c r="B11" s="196"/>
      <c r="C11" s="413"/>
      <c r="D11" s="413"/>
      <c r="E11" s="315"/>
      <c r="F11" s="315"/>
      <c r="G11" s="315"/>
      <c r="H11" s="315"/>
      <c r="I11" s="315"/>
      <c r="J11" s="305"/>
      <c r="K11" s="305"/>
      <c r="L11" s="305"/>
      <c r="M11" s="305"/>
      <c r="N11" s="305"/>
      <c r="O11" s="305"/>
      <c r="P11" s="305"/>
    </row>
    <row r="12" spans="1:16" s="52" customFormat="1">
      <c r="A12" s="37"/>
      <c r="B12" s="3635" t="s">
        <v>90</v>
      </c>
      <c r="C12" s="3636"/>
      <c r="D12" s="3637"/>
      <c r="J12" s="305"/>
      <c r="K12" s="305"/>
      <c r="L12" s="305"/>
      <c r="M12" s="305"/>
      <c r="N12" s="305"/>
      <c r="O12" s="305"/>
      <c r="P12" s="305"/>
    </row>
    <row r="13" spans="1:16" s="52" customFormat="1">
      <c r="A13" s="37"/>
      <c r="B13" s="3504" t="s">
        <v>810</v>
      </c>
      <c r="C13" s="3626" t="s">
        <v>811</v>
      </c>
      <c r="D13" s="3628" t="s">
        <v>812</v>
      </c>
      <c r="E13" s="3630" t="s">
        <v>342</v>
      </c>
      <c r="F13" s="3631"/>
      <c r="G13" s="3631"/>
      <c r="H13" s="3632"/>
      <c r="K13" s="305"/>
    </row>
    <row r="14" spans="1:16" s="52" customFormat="1" ht="26.45">
      <c r="A14" s="37"/>
      <c r="B14" s="3486"/>
      <c r="C14" s="3627"/>
      <c r="D14" s="3629"/>
      <c r="E14" s="2828" t="s">
        <v>813</v>
      </c>
      <c r="F14" s="1660" t="s">
        <v>814</v>
      </c>
      <c r="G14" s="2829" t="s">
        <v>815</v>
      </c>
      <c r="H14" s="3175" t="s">
        <v>118</v>
      </c>
      <c r="I14" s="116"/>
      <c r="J14" s="196"/>
    </row>
    <row r="15" spans="1:16" s="52" customFormat="1">
      <c r="A15" s="37"/>
      <c r="B15" s="3505"/>
      <c r="C15" s="2531" t="s">
        <v>816</v>
      </c>
      <c r="D15" s="2793" t="s">
        <v>220</v>
      </c>
      <c r="E15" s="2829" t="s">
        <v>220</v>
      </c>
      <c r="F15" s="2829" t="s">
        <v>220</v>
      </c>
      <c r="G15" s="1661" t="s">
        <v>220</v>
      </c>
      <c r="H15" s="2829" t="s">
        <v>220</v>
      </c>
      <c r="I15" s="116"/>
      <c r="J15" s="196"/>
    </row>
    <row r="16" spans="1:16" s="52" customFormat="1">
      <c r="A16" s="37"/>
      <c r="B16" s="1614">
        <v>2022</v>
      </c>
      <c r="C16" s="1678">
        <v>47581</v>
      </c>
      <c r="D16" s="3063">
        <v>76667309.400490001</v>
      </c>
      <c r="E16" s="1789"/>
      <c r="F16" s="1678">
        <v>4041423.16023</v>
      </c>
      <c r="G16" s="1678">
        <v>34699.33928</v>
      </c>
      <c r="H16" s="1678">
        <v>4076122.49951</v>
      </c>
      <c r="I16" s="116"/>
      <c r="J16" s="196"/>
      <c r="K16" s="690"/>
      <c r="L16" s="690"/>
      <c r="M16" s="410"/>
    </row>
    <row r="17" spans="1:14" s="52" customFormat="1">
      <c r="A17" s="37"/>
      <c r="B17" s="2617">
        <v>2021</v>
      </c>
      <c r="C17" s="3064">
        <v>56481</v>
      </c>
      <c r="D17" s="3065">
        <v>78078377.736400008</v>
      </c>
      <c r="E17" s="1789"/>
      <c r="F17" s="1678">
        <v>4162666.5256499997</v>
      </c>
      <c r="G17" s="1678">
        <v>30437.407230000001</v>
      </c>
      <c r="H17" s="1678">
        <v>4193103.9328799997</v>
      </c>
      <c r="I17" s="497"/>
      <c r="J17" s="497"/>
      <c r="K17" s="497"/>
      <c r="L17" s="497"/>
      <c r="M17" s="497"/>
      <c r="N17" s="497"/>
    </row>
    <row r="18" spans="1:14" s="52" customFormat="1">
      <c r="A18" s="37"/>
      <c r="B18" s="196"/>
      <c r="C18" s="413"/>
      <c r="D18" s="413"/>
      <c r="E18" s="264"/>
      <c r="F18" s="264"/>
      <c r="G18" s="264"/>
      <c r="H18" s="264"/>
      <c r="I18" s="264"/>
      <c r="J18" s="305"/>
    </row>
    <row r="19" spans="1:14" s="52" customFormat="1">
      <c r="A19" s="37"/>
      <c r="B19" s="196"/>
      <c r="C19" s="413"/>
      <c r="D19" s="413"/>
      <c r="E19" s="264"/>
      <c r="F19" s="264"/>
      <c r="G19" s="264"/>
      <c r="H19" s="264"/>
      <c r="I19" s="264"/>
      <c r="J19" s="305"/>
    </row>
    <row r="20" spans="1:14" s="52" customFormat="1">
      <c r="A20" s="37"/>
      <c r="B20" s="3622" t="s">
        <v>92</v>
      </c>
      <c r="C20" s="3623"/>
      <c r="D20" s="3624"/>
    </row>
    <row r="21" spans="1:14" s="52" customFormat="1">
      <c r="A21" s="37"/>
      <c r="B21" s="3625" t="s">
        <v>810</v>
      </c>
      <c r="C21" s="3626" t="s">
        <v>811</v>
      </c>
      <c r="D21" s="3628" t="s">
        <v>812</v>
      </c>
      <c r="E21" s="3630" t="s">
        <v>342</v>
      </c>
      <c r="F21" s="3631"/>
      <c r="G21" s="3631"/>
      <c r="H21" s="3632"/>
    </row>
    <row r="22" spans="1:14" s="52" customFormat="1" ht="26.45">
      <c r="A22" s="37"/>
      <c r="B22" s="3625"/>
      <c r="C22" s="3627"/>
      <c r="D22" s="3629"/>
      <c r="E22" s="2828" t="s">
        <v>813</v>
      </c>
      <c r="F22" s="1660" t="s">
        <v>814</v>
      </c>
      <c r="G22" s="2829" t="s">
        <v>815</v>
      </c>
      <c r="H22" s="3175" t="s">
        <v>118</v>
      </c>
      <c r="I22" s="116"/>
      <c r="J22" s="196"/>
    </row>
    <row r="23" spans="1:14" s="52" customFormat="1">
      <c r="A23" s="37"/>
      <c r="B23" s="3488"/>
      <c r="C23" s="2531" t="s">
        <v>816</v>
      </c>
      <c r="D23" s="2793" t="s">
        <v>220</v>
      </c>
      <c r="E23" s="2829" t="s">
        <v>220</v>
      </c>
      <c r="F23" s="2829" t="s">
        <v>220</v>
      </c>
      <c r="G23" s="1661" t="s">
        <v>220</v>
      </c>
      <c r="H23" s="2829" t="s">
        <v>220</v>
      </c>
      <c r="I23" s="116"/>
      <c r="J23" s="196"/>
    </row>
    <row r="24" spans="1:14" s="52" customFormat="1">
      <c r="A24" s="37"/>
      <c r="B24" s="1614">
        <v>2022</v>
      </c>
      <c r="C24" s="1678">
        <v>9868</v>
      </c>
      <c r="D24" s="1678">
        <v>79356544.175000012</v>
      </c>
      <c r="E24" s="2830"/>
      <c r="F24" s="1678">
        <v>833564.75168999983</v>
      </c>
      <c r="G24" s="1678">
        <v>17282.775600000001</v>
      </c>
      <c r="H24" s="1678">
        <v>850847.52728999988</v>
      </c>
      <c r="I24" s="116"/>
      <c r="J24" s="196"/>
    </row>
    <row r="25" spans="1:14" s="52" customFormat="1">
      <c r="A25" s="37"/>
      <c r="B25" s="2617">
        <v>2021</v>
      </c>
      <c r="C25" s="1678">
        <v>30838</v>
      </c>
      <c r="D25" s="1678">
        <v>44783912.684488751</v>
      </c>
      <c r="E25" s="2830"/>
      <c r="F25" s="1678">
        <v>581266.82722999994</v>
      </c>
      <c r="G25" s="1678">
        <v>37434.290280000001</v>
      </c>
      <c r="H25" s="1678">
        <v>618701.11750999989</v>
      </c>
      <c r="I25" s="497"/>
      <c r="J25" s="497"/>
      <c r="K25" s="497"/>
      <c r="L25" s="497"/>
      <c r="M25" s="497"/>
      <c r="N25" s="497"/>
    </row>
    <row r="26" spans="1:14" s="52" customFormat="1">
      <c r="A26" s="37"/>
      <c r="B26" s="196"/>
      <c r="C26" s="413"/>
      <c r="D26" s="413"/>
      <c r="E26" s="264"/>
      <c r="F26" s="264"/>
      <c r="G26" s="264"/>
      <c r="H26" s="264"/>
      <c r="I26" s="264"/>
      <c r="J26" s="305"/>
    </row>
    <row r="28" spans="1:14" s="52" customFormat="1">
      <c r="A28" s="37"/>
      <c r="B28" s="3622" t="s">
        <v>93</v>
      </c>
      <c r="C28" s="3623"/>
      <c r="D28" s="3624"/>
    </row>
    <row r="29" spans="1:14" s="52" customFormat="1">
      <c r="A29" s="37"/>
      <c r="B29" s="3625" t="s">
        <v>810</v>
      </c>
      <c r="C29" s="3626" t="s">
        <v>811</v>
      </c>
      <c r="D29" s="3628" t="s">
        <v>812</v>
      </c>
      <c r="E29" s="3630" t="s">
        <v>342</v>
      </c>
      <c r="F29" s="3631"/>
      <c r="G29" s="3631"/>
      <c r="H29" s="3632"/>
    </row>
    <row r="30" spans="1:14" s="52" customFormat="1" ht="26.45">
      <c r="A30" s="37"/>
      <c r="B30" s="3625"/>
      <c r="C30" s="3627"/>
      <c r="D30" s="3629"/>
      <c r="E30" s="2828" t="s">
        <v>813</v>
      </c>
      <c r="F30" s="1660" t="s">
        <v>814</v>
      </c>
      <c r="G30" s="2829" t="s">
        <v>815</v>
      </c>
      <c r="H30" s="3175" t="s">
        <v>118</v>
      </c>
      <c r="I30" s="116"/>
      <c r="J30" s="196"/>
    </row>
    <row r="31" spans="1:14" s="52" customFormat="1">
      <c r="A31" s="37"/>
      <c r="B31" s="3488"/>
      <c r="C31" s="2531" t="s">
        <v>816</v>
      </c>
      <c r="D31" s="2793" t="s">
        <v>220</v>
      </c>
      <c r="E31" s="2829" t="s">
        <v>220</v>
      </c>
      <c r="F31" s="2829" t="s">
        <v>220</v>
      </c>
      <c r="G31" s="1661" t="s">
        <v>220</v>
      </c>
      <c r="H31" s="2829" t="s">
        <v>220</v>
      </c>
      <c r="I31" s="116"/>
      <c r="J31" s="685"/>
      <c r="K31" s="685"/>
      <c r="L31" s="410"/>
    </row>
    <row r="32" spans="1:14" s="52" customFormat="1">
      <c r="A32" s="37"/>
      <c r="B32" s="1614">
        <v>2022</v>
      </c>
      <c r="C32" s="1678">
        <v>4476</v>
      </c>
      <c r="D32" s="1678">
        <v>6610255.2306779763</v>
      </c>
      <c r="E32" s="2793"/>
      <c r="F32" s="1678">
        <v>12066.799947999994</v>
      </c>
      <c r="G32" s="1678">
        <v>252106.95513999986</v>
      </c>
      <c r="H32" s="1678">
        <v>264173.75508799986</v>
      </c>
      <c r="I32" s="116"/>
      <c r="J32" s="685"/>
      <c r="K32" s="685"/>
      <c r="L32" s="410"/>
    </row>
    <row r="33" spans="1:14" s="52" customFormat="1">
      <c r="A33" s="37"/>
      <c r="B33" s="2617">
        <v>2021</v>
      </c>
      <c r="C33" s="1678">
        <v>4969</v>
      </c>
      <c r="D33" s="1678">
        <v>7919334.8986948207</v>
      </c>
      <c r="E33" s="2830"/>
      <c r="F33" s="1678">
        <v>16325.674397999994</v>
      </c>
      <c r="G33" s="1678">
        <v>223559.41277400029</v>
      </c>
      <c r="H33" s="1678">
        <v>239885.08717200029</v>
      </c>
      <c r="I33" s="497"/>
      <c r="J33" s="497"/>
      <c r="K33" s="497"/>
      <c r="L33" s="497"/>
      <c r="M33" s="497"/>
      <c r="N33" s="497"/>
    </row>
    <row r="34" spans="1:14" s="52" customFormat="1">
      <c r="A34" s="37"/>
      <c r="B34" s="196"/>
      <c r="C34" s="590"/>
      <c r="D34" s="590"/>
      <c r="F34" s="590"/>
      <c r="G34" s="460"/>
      <c r="H34" s="590"/>
      <c r="I34" s="196"/>
      <c r="J34" s="196"/>
    </row>
    <row r="35" spans="1:14" s="52" customFormat="1">
      <c r="A35" s="37"/>
      <c r="B35" s="196"/>
      <c r="C35" s="413"/>
      <c r="D35" s="413"/>
      <c r="H35" s="52">
        <v>182</v>
      </c>
    </row>
    <row r="36" spans="1:14" s="52" customFormat="1">
      <c r="A36" s="37"/>
      <c r="B36" s="196"/>
      <c r="C36" s="413"/>
      <c r="D36" s="413"/>
      <c r="E36" s="196"/>
      <c r="F36" s="196"/>
      <c r="G36" s="196"/>
      <c r="H36" s="196"/>
      <c r="I36" s="196"/>
      <c r="J36" s="196"/>
    </row>
    <row r="37" spans="1:14" s="52" customFormat="1">
      <c r="A37" s="37"/>
      <c r="B37" s="51" t="s">
        <v>817</v>
      </c>
      <c r="C37" s="413"/>
      <c r="D37" s="413"/>
      <c r="E37" s="196"/>
      <c r="F37" s="196"/>
      <c r="G37" s="196"/>
      <c r="H37" s="196"/>
      <c r="I37" s="196"/>
      <c r="J37" s="196"/>
    </row>
    <row r="38" spans="1:14" s="52" customFormat="1">
      <c r="A38" s="37"/>
      <c r="B38" s="196"/>
      <c r="C38" s="413"/>
      <c r="D38" s="413"/>
      <c r="E38" s="196"/>
      <c r="F38" s="196"/>
      <c r="G38" s="196"/>
      <c r="H38" s="196"/>
      <c r="I38" s="196"/>
      <c r="J38" s="196"/>
    </row>
    <row r="39" spans="1:14" s="52" customFormat="1">
      <c r="A39" s="37"/>
      <c r="B39" s="3622" t="s">
        <v>323</v>
      </c>
      <c r="C39" s="3623"/>
      <c r="D39" s="3624"/>
    </row>
    <row r="40" spans="1:14" s="52" customFormat="1">
      <c r="A40" s="37"/>
      <c r="B40" s="3625" t="s">
        <v>810</v>
      </c>
      <c r="C40" s="3626" t="s">
        <v>811</v>
      </c>
      <c r="D40" s="3628" t="s">
        <v>812</v>
      </c>
      <c r="E40" s="3630" t="s">
        <v>342</v>
      </c>
      <c r="F40" s="3631"/>
      <c r="G40" s="3631"/>
      <c r="H40" s="3632"/>
    </row>
    <row r="41" spans="1:14" s="52" customFormat="1" ht="26.45">
      <c r="A41" s="37"/>
      <c r="B41" s="3625"/>
      <c r="C41" s="3627"/>
      <c r="D41" s="3629"/>
      <c r="E41" s="2828" t="s">
        <v>813</v>
      </c>
      <c r="F41" s="1660" t="s">
        <v>814</v>
      </c>
      <c r="G41" s="2829" t="s">
        <v>815</v>
      </c>
      <c r="H41" s="3175" t="s">
        <v>118</v>
      </c>
      <c r="I41" s="116"/>
      <c r="J41" s="196"/>
    </row>
    <row r="42" spans="1:14" s="52" customFormat="1">
      <c r="A42" s="37"/>
      <c r="B42" s="3488"/>
      <c r="C42" s="2531" t="s">
        <v>816</v>
      </c>
      <c r="D42" s="2793" t="s">
        <v>220</v>
      </c>
      <c r="E42" s="2829" t="s">
        <v>220</v>
      </c>
      <c r="F42" s="2829" t="s">
        <v>220</v>
      </c>
      <c r="G42" s="1661" t="s">
        <v>220</v>
      </c>
      <c r="H42" s="2829" t="s">
        <v>220</v>
      </c>
      <c r="I42" s="116"/>
      <c r="J42" s="196"/>
    </row>
    <row r="43" spans="1:14" s="52" customFormat="1">
      <c r="A43" s="37"/>
      <c r="B43" s="1614">
        <v>2022</v>
      </c>
      <c r="C43" s="1678">
        <v>16774</v>
      </c>
      <c r="D43" s="1678">
        <v>11116387.107630001</v>
      </c>
      <c r="E43" s="2830"/>
      <c r="F43" s="2126">
        <v>1073138</v>
      </c>
      <c r="G43" s="2830"/>
      <c r="H43" s="1678">
        <v>1073138</v>
      </c>
      <c r="I43" s="116"/>
      <c r="J43" s="705"/>
      <c r="K43" s="705"/>
      <c r="L43" s="305"/>
    </row>
    <row r="44" spans="1:14" s="52" customFormat="1">
      <c r="A44" s="37"/>
      <c r="B44" s="2617">
        <v>2021</v>
      </c>
      <c r="C44" s="1678">
        <v>22186</v>
      </c>
      <c r="D44" s="1678">
        <v>12094096.414000001</v>
      </c>
      <c r="E44" s="2830"/>
      <c r="F44" s="2126">
        <v>1299627.7938399999</v>
      </c>
      <c r="G44" s="2830"/>
      <c r="H44" s="1678">
        <v>1299627.7938399999</v>
      </c>
      <c r="I44" s="497"/>
      <c r="J44" s="686"/>
      <c r="K44" s="686"/>
      <c r="L44" s="305"/>
      <c r="M44" s="305"/>
      <c r="N44" s="305"/>
    </row>
    <row r="45" spans="1:14" s="52" customFormat="1">
      <c r="A45" s="37"/>
      <c r="B45" s="196"/>
      <c r="C45" s="413"/>
      <c r="D45" s="413"/>
      <c r="E45" s="196"/>
      <c r="F45" s="196"/>
      <c r="G45" s="196"/>
      <c r="H45" s="196"/>
      <c r="I45" s="196"/>
      <c r="J45" s="196"/>
    </row>
    <row r="46" spans="1:14" s="52" customFormat="1">
      <c r="A46" s="37"/>
      <c r="B46" s="196"/>
      <c r="C46" s="413"/>
      <c r="D46" s="413"/>
      <c r="E46" s="460"/>
      <c r="F46" s="460"/>
      <c r="G46" s="460"/>
      <c r="H46" s="460"/>
      <c r="I46" s="460"/>
      <c r="J46" s="264"/>
    </row>
    <row r="47" spans="1:14" s="52" customFormat="1">
      <c r="A47" s="37"/>
      <c r="B47" s="3622" t="s">
        <v>96</v>
      </c>
      <c r="C47" s="3623"/>
      <c r="D47" s="3624"/>
    </row>
    <row r="48" spans="1:14" s="52" customFormat="1">
      <c r="A48" s="37"/>
      <c r="B48" s="3625" t="s">
        <v>810</v>
      </c>
      <c r="C48" s="3626" t="s">
        <v>811</v>
      </c>
      <c r="D48" s="3628" t="s">
        <v>812</v>
      </c>
      <c r="E48" s="3630" t="s">
        <v>342</v>
      </c>
      <c r="F48" s="3631"/>
      <c r="G48" s="3631"/>
      <c r="H48" s="3632"/>
    </row>
    <row r="49" spans="1:14" s="52" customFormat="1" ht="26.45">
      <c r="A49" s="37"/>
      <c r="B49" s="3625"/>
      <c r="C49" s="3627"/>
      <c r="D49" s="3629"/>
      <c r="E49" s="2828" t="s">
        <v>813</v>
      </c>
      <c r="F49" s="1660" t="s">
        <v>814</v>
      </c>
      <c r="G49" s="2829" t="s">
        <v>815</v>
      </c>
      <c r="H49" s="3175" t="s">
        <v>118</v>
      </c>
      <c r="I49" s="116"/>
      <c r="J49" s="196"/>
    </row>
    <row r="50" spans="1:14" s="52" customFormat="1">
      <c r="A50" s="37"/>
      <c r="B50" s="3488"/>
      <c r="C50" s="2531" t="s">
        <v>816</v>
      </c>
      <c r="D50" s="2793" t="s">
        <v>220</v>
      </c>
      <c r="E50" s="2829" t="s">
        <v>220</v>
      </c>
      <c r="F50" s="2829" t="s">
        <v>220</v>
      </c>
      <c r="G50" s="1661" t="s">
        <v>220</v>
      </c>
      <c r="H50" s="2829" t="s">
        <v>220</v>
      </c>
      <c r="I50" s="116"/>
      <c r="J50" s="196"/>
    </row>
    <row r="51" spans="1:14" s="52" customFormat="1">
      <c r="A51" s="37"/>
      <c r="B51" s="1614">
        <v>2022</v>
      </c>
      <c r="C51" s="1678">
        <v>96163</v>
      </c>
      <c r="D51" s="1678">
        <v>54995888.493629999</v>
      </c>
      <c r="E51" s="1678">
        <v>186355.57500000001</v>
      </c>
      <c r="F51" s="2126">
        <v>844991.98245000001</v>
      </c>
      <c r="G51" s="2830"/>
      <c r="H51" s="1678">
        <v>1031347.5574500001</v>
      </c>
      <c r="I51" s="116"/>
      <c r="J51" s="843"/>
      <c r="K51" s="705"/>
      <c r="L51" s="305"/>
    </row>
    <row r="52" spans="1:14" s="52" customFormat="1">
      <c r="A52" s="37"/>
      <c r="B52" s="2617">
        <v>2021</v>
      </c>
      <c r="C52" s="1678">
        <v>115868</v>
      </c>
      <c r="D52" s="1678">
        <v>60349876.880070001</v>
      </c>
      <c r="E52" s="1678">
        <v>146856.68404093347</v>
      </c>
      <c r="F52" s="2126">
        <v>790811.22706906637</v>
      </c>
      <c r="G52" s="2830"/>
      <c r="H52" s="1678">
        <v>937667.91110999987</v>
      </c>
      <c r="I52" s="497"/>
      <c r="J52" s="705"/>
      <c r="K52" s="706"/>
      <c r="L52" s="305"/>
      <c r="M52" s="305"/>
      <c r="N52" s="305"/>
    </row>
    <row r="53" spans="1:14" s="52" customFormat="1">
      <c r="A53" s="37"/>
      <c r="B53" s="196"/>
      <c r="C53" s="413"/>
      <c r="D53" s="413"/>
      <c r="E53" s="460"/>
      <c r="F53" s="460"/>
      <c r="G53" s="264"/>
      <c r="H53" s="264"/>
      <c r="J53" s="264"/>
    </row>
    <row r="54" spans="1:14" s="52" customFormat="1">
      <c r="A54" s="37"/>
      <c r="B54" s="196"/>
      <c r="C54" s="413"/>
      <c r="D54" s="413"/>
      <c r="E54" s="264"/>
      <c r="F54" s="264"/>
      <c r="G54" s="264"/>
      <c r="H54" s="264"/>
      <c r="I54" s="264"/>
      <c r="J54" s="264"/>
    </row>
    <row r="55" spans="1:14" s="52" customFormat="1">
      <c r="A55" s="37"/>
      <c r="B55" s="3622" t="s">
        <v>239</v>
      </c>
      <c r="C55" s="3623"/>
      <c r="D55" s="3624"/>
    </row>
    <row r="56" spans="1:14" s="52" customFormat="1">
      <c r="A56" s="37"/>
      <c r="B56" s="3625" t="s">
        <v>810</v>
      </c>
      <c r="C56" s="3626" t="s">
        <v>811</v>
      </c>
      <c r="D56" s="3628" t="s">
        <v>812</v>
      </c>
      <c r="E56" s="3630" t="s">
        <v>342</v>
      </c>
      <c r="F56" s="3631"/>
      <c r="G56" s="3631"/>
      <c r="H56" s="3632"/>
    </row>
    <row r="57" spans="1:14" s="52" customFormat="1" ht="26.45">
      <c r="A57" s="37"/>
      <c r="B57" s="3625"/>
      <c r="C57" s="3627"/>
      <c r="D57" s="3629"/>
      <c r="E57" s="2828" t="s">
        <v>813</v>
      </c>
      <c r="F57" s="1660" t="s">
        <v>814</v>
      </c>
      <c r="G57" s="2829" t="s">
        <v>815</v>
      </c>
      <c r="H57" s="3175" t="s">
        <v>118</v>
      </c>
      <c r="I57" s="116"/>
      <c r="J57" s="196"/>
    </row>
    <row r="58" spans="1:14" s="52" customFormat="1">
      <c r="A58" s="37"/>
      <c r="B58" s="3488"/>
      <c r="C58" s="2531" t="s">
        <v>816</v>
      </c>
      <c r="D58" s="2793" t="s">
        <v>220</v>
      </c>
      <c r="E58" s="2829" t="s">
        <v>220</v>
      </c>
      <c r="F58" s="2829" t="s">
        <v>220</v>
      </c>
      <c r="G58" s="1661" t="s">
        <v>220</v>
      </c>
      <c r="H58" s="2829" t="s">
        <v>220</v>
      </c>
      <c r="I58" s="116"/>
      <c r="J58" s="196"/>
    </row>
    <row r="59" spans="1:14" s="52" customFormat="1">
      <c r="A59" s="37"/>
      <c r="B59" s="1614">
        <v>2022</v>
      </c>
      <c r="C59" s="1678">
        <v>5417</v>
      </c>
      <c r="D59" s="1678">
        <v>3702548</v>
      </c>
      <c r="E59" s="1678">
        <v>1317.0904599999999</v>
      </c>
      <c r="F59" s="1678">
        <v>408588.29353999998</v>
      </c>
      <c r="G59" s="2830"/>
      <c r="H59" s="1678">
        <f>SUM(E59:G59)</f>
        <v>409905.38399999996</v>
      </c>
      <c r="I59" s="116"/>
      <c r="J59" s="844"/>
      <c r="K59" s="685"/>
      <c r="L59" s="410"/>
    </row>
    <row r="60" spans="1:14" s="52" customFormat="1">
      <c r="A60" s="37"/>
      <c r="B60" s="2617">
        <v>2021</v>
      </c>
      <c r="C60" s="1678">
        <v>5392</v>
      </c>
      <c r="D60" s="1678">
        <v>3642828</v>
      </c>
      <c r="E60" s="1678">
        <v>1834</v>
      </c>
      <c r="F60" s="2126">
        <v>199460</v>
      </c>
      <c r="G60" s="2830"/>
      <c r="H60" s="1678">
        <f>SUM(E60:G60)</f>
        <v>201294</v>
      </c>
      <c r="I60" s="497"/>
      <c r="J60" s="844"/>
      <c r="K60" s="685"/>
      <c r="L60" s="410"/>
      <c r="M60" s="305"/>
      <c r="N60" s="305"/>
    </row>
    <row r="61" spans="1:14" s="52" customFormat="1">
      <c r="A61" s="37"/>
      <c r="B61" s="196"/>
      <c r="C61" s="315"/>
      <c r="D61" s="315"/>
      <c r="E61" s="264"/>
      <c r="F61" s="315"/>
      <c r="G61" s="264"/>
      <c r="H61" s="315"/>
      <c r="I61" s="196"/>
      <c r="J61" s="196"/>
    </row>
    <row r="62" spans="1:14" s="52" customFormat="1">
      <c r="A62" s="37"/>
      <c r="B62" s="51"/>
      <c r="C62" s="413"/>
      <c r="D62" s="413"/>
    </row>
    <row r="63" spans="1:14" s="52" customFormat="1">
      <c r="A63" s="37"/>
      <c r="B63" s="3622" t="s">
        <v>103</v>
      </c>
      <c r="C63" s="3623"/>
      <c r="D63" s="3624"/>
    </row>
    <row r="64" spans="1:14" s="52" customFormat="1">
      <c r="A64" s="37"/>
      <c r="B64" s="3625" t="s">
        <v>810</v>
      </c>
      <c r="C64" s="3626" t="s">
        <v>811</v>
      </c>
      <c r="D64" s="3633" t="s">
        <v>812</v>
      </c>
      <c r="E64" s="3630" t="s">
        <v>342</v>
      </c>
      <c r="F64" s="3631"/>
      <c r="G64" s="3631"/>
      <c r="H64" s="3632"/>
    </row>
    <row r="65" spans="1:14" s="52" customFormat="1" ht="26.45">
      <c r="A65" s="37"/>
      <c r="B65" s="3625"/>
      <c r="C65" s="3627"/>
      <c r="D65" s="3634"/>
      <c r="E65" s="2828" t="s">
        <v>813</v>
      </c>
      <c r="F65" s="1660" t="s">
        <v>814</v>
      </c>
      <c r="G65" s="2829" t="s">
        <v>815</v>
      </c>
      <c r="H65" s="3175" t="s">
        <v>118</v>
      </c>
      <c r="I65" s="116"/>
      <c r="J65" s="196"/>
    </row>
    <row r="66" spans="1:14" s="52" customFormat="1">
      <c r="A66" s="37"/>
      <c r="B66" s="3488"/>
      <c r="C66" s="2531" t="s">
        <v>816</v>
      </c>
      <c r="D66" s="2793" t="s">
        <v>220</v>
      </c>
      <c r="E66" s="2829" t="s">
        <v>220</v>
      </c>
      <c r="F66" s="2829" t="s">
        <v>220</v>
      </c>
      <c r="G66" s="1661" t="s">
        <v>220</v>
      </c>
      <c r="H66" s="2829" t="s">
        <v>220</v>
      </c>
      <c r="I66" s="116"/>
      <c r="J66" s="196"/>
    </row>
    <row r="67" spans="1:14" s="52" customFormat="1">
      <c r="A67" s="37"/>
      <c r="B67" s="1614">
        <v>2022</v>
      </c>
      <c r="C67" s="1678">
        <v>39932</v>
      </c>
      <c r="D67" s="1678">
        <v>78983861.78253457</v>
      </c>
      <c r="E67" s="1678">
        <v>3236.2176399999835</v>
      </c>
      <c r="F67" s="1678">
        <v>3910943.3117700005</v>
      </c>
      <c r="G67" s="2830"/>
      <c r="H67" s="1678">
        <f>SUM(E67:G67)</f>
        <v>3914179.5294100004</v>
      </c>
      <c r="I67" s="116"/>
      <c r="J67" s="685"/>
      <c r="K67" s="685"/>
      <c r="L67" s="410"/>
    </row>
    <row r="68" spans="1:14" s="52" customFormat="1">
      <c r="A68" s="37"/>
      <c r="B68" s="2617">
        <v>2021</v>
      </c>
      <c r="C68" s="1678">
        <v>34371</v>
      </c>
      <c r="D68" s="1678">
        <v>75884940</v>
      </c>
      <c r="E68" s="1678">
        <v>6361.8582986859992</v>
      </c>
      <c r="F68" s="2126">
        <v>2789353.15082131</v>
      </c>
      <c r="G68" s="2830"/>
      <c r="H68" s="1678">
        <f>SUM(E68:G68)</f>
        <v>2795715.0091199959</v>
      </c>
      <c r="I68" s="497"/>
      <c r="J68" s="685"/>
      <c r="K68" s="685"/>
      <c r="L68" s="410"/>
      <c r="M68" s="305"/>
      <c r="N68" s="305"/>
    </row>
    <row r="69" spans="1:14" s="52" customFormat="1">
      <c r="A69" s="37"/>
      <c r="B69" s="196"/>
      <c r="C69" s="413"/>
      <c r="D69" s="413"/>
      <c r="E69" s="116"/>
      <c r="F69" s="116"/>
      <c r="G69" s="116"/>
      <c r="H69" s="116"/>
      <c r="I69" s="116"/>
      <c r="J69" s="196"/>
    </row>
    <row r="70" spans="1:14" s="52" customFormat="1">
      <c r="A70" s="37"/>
      <c r="B70" s="196"/>
      <c r="C70" s="413"/>
      <c r="D70" s="413"/>
      <c r="E70" s="116"/>
      <c r="F70" s="116"/>
      <c r="G70" s="116"/>
      <c r="H70" s="292">
        <v>183</v>
      </c>
      <c r="I70" s="116"/>
      <c r="J70" s="196"/>
    </row>
    <row r="71" spans="1:14" s="52" customFormat="1">
      <c r="A71" s="37"/>
      <c r="B71" s="51" t="s">
        <v>817</v>
      </c>
      <c r="C71" s="413"/>
      <c r="D71" s="413"/>
      <c r="E71" s="116"/>
      <c r="F71" s="116"/>
      <c r="G71" s="116"/>
      <c r="H71" s="292"/>
      <c r="I71" s="116"/>
      <c r="J71" s="196"/>
    </row>
    <row r="72" spans="1:14" s="52" customFormat="1">
      <c r="A72" s="37"/>
      <c r="B72" s="196"/>
      <c r="C72" s="413"/>
      <c r="D72" s="413"/>
      <c r="E72" s="497"/>
      <c r="F72" s="497"/>
      <c r="G72" s="497"/>
      <c r="H72" s="497"/>
      <c r="I72" s="196"/>
    </row>
    <row r="73" spans="1:14" s="52" customFormat="1">
      <c r="A73" s="37"/>
      <c r="B73" s="3622" t="s">
        <v>105</v>
      </c>
      <c r="C73" s="3623"/>
      <c r="D73" s="3624"/>
      <c r="I73" s="497"/>
      <c r="J73" s="264"/>
    </row>
    <row r="74" spans="1:14" s="52" customFormat="1">
      <c r="A74" s="37"/>
      <c r="B74" s="3625" t="s">
        <v>810</v>
      </c>
      <c r="C74" s="3626" t="s">
        <v>811</v>
      </c>
      <c r="D74" s="3628" t="s">
        <v>812</v>
      </c>
      <c r="E74" s="3630" t="s">
        <v>342</v>
      </c>
      <c r="F74" s="3631"/>
      <c r="G74" s="3631"/>
      <c r="H74" s="3632"/>
    </row>
    <row r="75" spans="1:14" s="52" customFormat="1" ht="26.45">
      <c r="A75" s="37"/>
      <c r="B75" s="3625"/>
      <c r="C75" s="3627"/>
      <c r="D75" s="3629"/>
      <c r="E75" s="2828" t="s">
        <v>813</v>
      </c>
      <c r="F75" s="1660" t="s">
        <v>814</v>
      </c>
      <c r="G75" s="2829" t="s">
        <v>815</v>
      </c>
      <c r="H75" s="3175" t="s">
        <v>118</v>
      </c>
    </row>
    <row r="76" spans="1:14" s="52" customFormat="1">
      <c r="A76" s="37"/>
      <c r="B76" s="3488"/>
      <c r="C76" s="2531" t="s">
        <v>816</v>
      </c>
      <c r="D76" s="2793" t="s">
        <v>220</v>
      </c>
      <c r="E76" s="2829" t="s">
        <v>220</v>
      </c>
      <c r="F76" s="2829" t="s">
        <v>220</v>
      </c>
      <c r="G76" s="1661" t="s">
        <v>220</v>
      </c>
      <c r="H76" s="2829" t="s">
        <v>220</v>
      </c>
      <c r="I76" s="116"/>
      <c r="J76" s="196"/>
    </row>
    <row r="77" spans="1:14" s="52" customFormat="1">
      <c r="A77" s="37"/>
      <c r="B77" s="1614">
        <v>2022</v>
      </c>
      <c r="C77" s="1678">
        <v>25058</v>
      </c>
      <c r="D77" s="1678">
        <v>65919912.876429997</v>
      </c>
      <c r="E77" s="2830"/>
      <c r="F77" s="1678">
        <v>2439943.5952699683</v>
      </c>
      <c r="G77" s="2830"/>
      <c r="H77" s="1678">
        <f>SUM(E77:G77)</f>
        <v>2439943.5952699683</v>
      </c>
      <c r="I77" s="116"/>
      <c r="J77" s="685"/>
      <c r="K77" s="685"/>
      <c r="L77" s="410"/>
    </row>
    <row r="78" spans="1:14" s="52" customFormat="1">
      <c r="A78" s="37"/>
      <c r="B78" s="2617">
        <v>2021</v>
      </c>
      <c r="C78" s="1678">
        <v>30096</v>
      </c>
      <c r="D78" s="1678">
        <v>90761164.277710006</v>
      </c>
      <c r="E78" s="2830"/>
      <c r="F78" s="2126">
        <v>2931618.0938901901</v>
      </c>
      <c r="G78" s="2830"/>
      <c r="H78" s="1678">
        <f>SUM(E78:G78)</f>
        <v>2931618.0938901901</v>
      </c>
      <c r="I78" s="626"/>
      <c r="J78" s="685"/>
      <c r="K78" s="685"/>
      <c r="L78" s="410"/>
      <c r="M78" s="305"/>
      <c r="N78" s="305"/>
    </row>
    <row r="79" spans="1:14" s="52" customFormat="1">
      <c r="A79" s="37"/>
      <c r="B79" s="196"/>
      <c r="C79" s="413"/>
      <c r="D79" s="413"/>
      <c r="E79" s="497"/>
      <c r="F79" s="497"/>
      <c r="G79" s="497"/>
      <c r="H79" s="497"/>
      <c r="I79" s="196"/>
      <c r="J79" s="196"/>
    </row>
    <row r="80" spans="1:14" s="52" customFormat="1">
      <c r="A80" s="37"/>
      <c r="B80" s="196"/>
      <c r="C80" s="413"/>
      <c r="D80" s="413"/>
      <c r="E80" s="264"/>
      <c r="F80" s="264"/>
      <c r="G80" s="264"/>
      <c r="H80" s="264"/>
      <c r="I80" s="497"/>
      <c r="J80" s="264"/>
    </row>
    <row r="81" spans="1:14" s="52" customFormat="1">
      <c r="A81" s="37"/>
      <c r="B81" s="3622" t="s">
        <v>106</v>
      </c>
      <c r="C81" s="3623"/>
      <c r="D81" s="3624"/>
      <c r="I81" s="590"/>
      <c r="J81" s="264"/>
    </row>
    <row r="82" spans="1:14" s="52" customFormat="1">
      <c r="A82" s="37"/>
      <c r="B82" s="3625" t="s">
        <v>810</v>
      </c>
      <c r="C82" s="3626" t="s">
        <v>811</v>
      </c>
      <c r="D82" s="3628" t="s">
        <v>812</v>
      </c>
      <c r="E82" s="3630" t="s">
        <v>342</v>
      </c>
      <c r="F82" s="3631"/>
      <c r="G82" s="3631"/>
      <c r="H82" s="3632"/>
      <c r="I82" s="305"/>
      <c r="J82" s="264"/>
    </row>
    <row r="83" spans="1:14" s="52" customFormat="1" ht="26.45">
      <c r="A83" s="37"/>
      <c r="B83" s="3625"/>
      <c r="C83" s="3627"/>
      <c r="D83" s="3629"/>
      <c r="E83" s="2828" t="s">
        <v>813</v>
      </c>
      <c r="F83" s="1660" t="s">
        <v>814</v>
      </c>
      <c r="G83" s="2829" t="s">
        <v>815</v>
      </c>
      <c r="H83" s="3175" t="s">
        <v>118</v>
      </c>
    </row>
    <row r="84" spans="1:14" s="52" customFormat="1">
      <c r="A84" s="37"/>
      <c r="B84" s="3488"/>
      <c r="C84" s="2531" t="s">
        <v>816</v>
      </c>
      <c r="D84" s="2793" t="s">
        <v>220</v>
      </c>
      <c r="E84" s="2829" t="s">
        <v>220</v>
      </c>
      <c r="F84" s="2829" t="s">
        <v>220</v>
      </c>
      <c r="G84" s="1661" t="s">
        <v>220</v>
      </c>
      <c r="H84" s="2829" t="s">
        <v>220</v>
      </c>
    </row>
    <row r="85" spans="1:14" s="52" customFormat="1">
      <c r="A85" s="37"/>
      <c r="B85" s="1614">
        <v>2022</v>
      </c>
      <c r="C85" s="1678">
        <v>4925</v>
      </c>
      <c r="D85" s="1678">
        <v>1186718</v>
      </c>
      <c r="E85" s="1678">
        <v>110080</v>
      </c>
      <c r="F85" s="1678">
        <v>172799</v>
      </c>
      <c r="G85" s="2830"/>
      <c r="H85" s="1678">
        <f>SUM(E85:G85)</f>
        <v>282879</v>
      </c>
    </row>
    <row r="86" spans="1:14" s="52" customFormat="1">
      <c r="A86" s="37"/>
      <c r="B86" s="2617">
        <v>2021</v>
      </c>
      <c r="C86" s="1678">
        <v>6257</v>
      </c>
      <c r="D86" s="1678">
        <v>1454394</v>
      </c>
      <c r="E86" s="1678">
        <v>355587</v>
      </c>
      <c r="F86" s="1678">
        <v>378308</v>
      </c>
      <c r="G86" s="2830"/>
      <c r="H86" s="1678">
        <f>SUM(E86:G86)</f>
        <v>733895</v>
      </c>
      <c r="I86" s="626"/>
      <c r="J86" s="626"/>
      <c r="K86" s="626"/>
      <c r="L86" s="305"/>
      <c r="M86" s="305"/>
      <c r="N86" s="305"/>
    </row>
    <row r="87" spans="1:14" s="52" customFormat="1">
      <c r="A87" s="37"/>
      <c r="B87" s="196"/>
      <c r="C87" s="413"/>
      <c r="D87" s="413"/>
      <c r="E87" s="264"/>
      <c r="F87" s="264"/>
      <c r="G87" s="264"/>
      <c r="H87" s="264"/>
      <c r="I87" s="196"/>
      <c r="J87" s="196"/>
    </row>
    <row r="88" spans="1:14" s="52" customFormat="1">
      <c r="A88" s="37"/>
      <c r="B88" s="196"/>
      <c r="C88" s="413"/>
      <c r="D88" s="413"/>
      <c r="E88" s="264"/>
      <c r="F88" s="264"/>
      <c r="G88" s="264"/>
      <c r="H88" s="264"/>
      <c r="I88" s="196"/>
      <c r="J88" s="196"/>
    </row>
    <row r="89" spans="1:14" s="52" customFormat="1">
      <c r="A89" s="37"/>
      <c r="B89" s="3622" t="s">
        <v>107</v>
      </c>
      <c r="C89" s="3623"/>
      <c r="D89" s="3624"/>
      <c r="J89" s="264"/>
    </row>
    <row r="90" spans="1:14" s="52" customFormat="1">
      <c r="A90" s="37"/>
      <c r="B90" s="3625" t="s">
        <v>810</v>
      </c>
      <c r="C90" s="3626" t="s">
        <v>811</v>
      </c>
      <c r="D90" s="3628" t="s">
        <v>812</v>
      </c>
      <c r="E90" s="3630" t="s">
        <v>342</v>
      </c>
      <c r="F90" s="3631"/>
      <c r="G90" s="3631"/>
      <c r="H90" s="3632"/>
    </row>
    <row r="91" spans="1:14" s="52" customFormat="1" ht="26.45">
      <c r="A91" s="37"/>
      <c r="B91" s="3625"/>
      <c r="C91" s="3627"/>
      <c r="D91" s="3629"/>
      <c r="E91" s="2828" t="s">
        <v>813</v>
      </c>
      <c r="F91" s="1660" t="s">
        <v>814</v>
      </c>
      <c r="G91" s="2829" t="s">
        <v>815</v>
      </c>
      <c r="H91" s="3175" t="s">
        <v>118</v>
      </c>
    </row>
    <row r="92" spans="1:14" s="52" customFormat="1">
      <c r="A92" s="37"/>
      <c r="B92" s="3488"/>
      <c r="C92" s="2531" t="s">
        <v>816</v>
      </c>
      <c r="D92" s="2793" t="s">
        <v>220</v>
      </c>
      <c r="E92" s="2829" t="s">
        <v>220</v>
      </c>
      <c r="F92" s="2829" t="s">
        <v>220</v>
      </c>
      <c r="G92" s="1661" t="s">
        <v>220</v>
      </c>
      <c r="H92" s="2829" t="s">
        <v>220</v>
      </c>
    </row>
    <row r="93" spans="1:14" s="52" customFormat="1">
      <c r="A93" s="37"/>
      <c r="B93" s="1614">
        <v>2022</v>
      </c>
      <c r="C93" s="1678">
        <v>57324</v>
      </c>
      <c r="D93" s="1678">
        <v>138653807.06404999</v>
      </c>
      <c r="E93" s="2830"/>
      <c r="F93" s="1678">
        <v>3325393.5279999999</v>
      </c>
      <c r="G93" s="2830"/>
      <c r="H93" s="1678">
        <f>SUM(E93:G93)</f>
        <v>3325393.5279999999</v>
      </c>
      <c r="J93" s="685"/>
      <c r="K93" s="685"/>
      <c r="L93" s="410"/>
    </row>
    <row r="94" spans="1:14" s="52" customFormat="1">
      <c r="A94" s="37"/>
      <c r="B94" s="2617">
        <v>2021</v>
      </c>
      <c r="C94" s="1678">
        <v>88783</v>
      </c>
      <c r="D94" s="1678">
        <v>176696754.59892002</v>
      </c>
      <c r="E94" s="2830"/>
      <c r="F94" s="2126">
        <v>3136722.5635499996</v>
      </c>
      <c r="G94" s="2830"/>
      <c r="H94" s="1678">
        <f>SUM(E94:G94)</f>
        <v>3136722.5635499996</v>
      </c>
      <c r="I94" s="626"/>
      <c r="J94" s="685"/>
      <c r="K94" s="685"/>
      <c r="L94" s="410"/>
      <c r="M94" s="305"/>
      <c r="N94" s="305"/>
    </row>
    <row r="95" spans="1:14" s="52" customFormat="1">
      <c r="A95" s="37"/>
      <c r="B95" s="196"/>
      <c r="C95" s="315"/>
      <c r="D95" s="315"/>
      <c r="E95" s="264"/>
      <c r="F95" s="315"/>
      <c r="G95" s="264"/>
      <c r="H95" s="315"/>
      <c r="I95" s="196"/>
      <c r="J95" s="196"/>
    </row>
    <row r="96" spans="1:14" s="52" customFormat="1">
      <c r="A96" s="292"/>
      <c r="B96" s="292"/>
      <c r="C96" s="413"/>
      <c r="D96" s="413"/>
      <c r="E96" s="292"/>
      <c r="F96" s="292"/>
      <c r="G96" s="292"/>
      <c r="H96" s="292">
        <v>184</v>
      </c>
      <c r="I96" s="196"/>
      <c r="J96" s="196"/>
    </row>
    <row r="97" spans="1:14">
      <c r="B97" s="51" t="s">
        <v>817</v>
      </c>
    </row>
    <row r="98" spans="1:14">
      <c r="A98" s="37"/>
      <c r="B98" s="196"/>
      <c r="E98" s="52"/>
      <c r="F98" s="52"/>
      <c r="G98" s="52"/>
      <c r="H98" s="52"/>
    </row>
    <row r="99" spans="1:14">
      <c r="A99" s="37"/>
      <c r="B99" s="3622" t="s">
        <v>109</v>
      </c>
      <c r="C99" s="3623"/>
      <c r="D99" s="3624"/>
      <c r="E99" s="52"/>
      <c r="F99" s="52"/>
      <c r="G99" s="52"/>
      <c r="H99" s="52"/>
    </row>
    <row r="100" spans="1:14" s="52" customFormat="1">
      <c r="A100" s="37"/>
      <c r="B100" s="3625" t="s">
        <v>810</v>
      </c>
      <c r="C100" s="3626" t="s">
        <v>811</v>
      </c>
      <c r="D100" s="3628" t="s">
        <v>812</v>
      </c>
      <c r="E100" s="3630" t="s">
        <v>342</v>
      </c>
      <c r="F100" s="3631"/>
      <c r="G100" s="3631"/>
      <c r="H100" s="3632"/>
    </row>
    <row r="101" spans="1:14" s="52" customFormat="1" ht="26.45">
      <c r="A101" s="37"/>
      <c r="B101" s="3625"/>
      <c r="C101" s="3627"/>
      <c r="D101" s="3629"/>
      <c r="E101" s="2828" t="s">
        <v>813</v>
      </c>
      <c r="F101" s="1660" t="s">
        <v>814</v>
      </c>
      <c r="G101" s="2829" t="s">
        <v>815</v>
      </c>
      <c r="H101" s="3175" t="s">
        <v>118</v>
      </c>
    </row>
    <row r="102" spans="1:14" s="52" customFormat="1">
      <c r="A102" s="37"/>
      <c r="B102" s="3488"/>
      <c r="C102" s="2531" t="s">
        <v>816</v>
      </c>
      <c r="D102" s="2793" t="s">
        <v>220</v>
      </c>
      <c r="E102" s="2829" t="s">
        <v>220</v>
      </c>
      <c r="F102" s="2829" t="s">
        <v>220</v>
      </c>
      <c r="G102" s="1661" t="s">
        <v>220</v>
      </c>
      <c r="H102" s="2829" t="s">
        <v>220</v>
      </c>
    </row>
    <row r="103" spans="1:14" s="52" customFormat="1">
      <c r="A103" s="37"/>
      <c r="B103" s="1614">
        <v>2021</v>
      </c>
      <c r="C103" s="2830"/>
      <c r="D103" s="2830"/>
      <c r="E103" s="2830"/>
      <c r="F103" s="2830"/>
      <c r="G103" s="2830"/>
      <c r="H103" s="1678"/>
    </row>
    <row r="104" spans="1:14" s="52" customFormat="1">
      <c r="A104" s="37"/>
      <c r="B104" s="2617">
        <v>2020</v>
      </c>
      <c r="C104" s="1678"/>
      <c r="D104" s="1678"/>
      <c r="E104" s="1686"/>
      <c r="F104" s="1678"/>
      <c r="G104" s="653"/>
      <c r="H104" s="1678"/>
      <c r="I104" s="626"/>
      <c r="J104" s="626"/>
      <c r="K104" s="626"/>
      <c r="L104" s="305"/>
      <c r="M104" s="305"/>
      <c r="N104" s="305"/>
    </row>
    <row r="105" spans="1:14" s="52" customFormat="1">
      <c r="A105" s="37"/>
      <c r="B105" s="196"/>
      <c r="C105" s="413"/>
      <c r="D105" s="413"/>
      <c r="E105" s="590"/>
      <c r="F105" s="590"/>
      <c r="G105" s="590"/>
      <c r="H105" s="590"/>
      <c r="I105" s="196"/>
      <c r="J105" s="196"/>
    </row>
    <row r="106" spans="1:14" s="52" customFormat="1">
      <c r="A106" s="37"/>
      <c r="B106" s="3622" t="s">
        <v>113</v>
      </c>
      <c r="C106" s="3623"/>
      <c r="D106" s="3624"/>
      <c r="I106" s="116"/>
      <c r="J106" s="196"/>
    </row>
    <row r="107" spans="1:14" s="52" customFormat="1">
      <c r="A107" s="37"/>
      <c r="B107" s="3625" t="s">
        <v>810</v>
      </c>
      <c r="C107" s="3626" t="s">
        <v>811</v>
      </c>
      <c r="D107" s="3628" t="s">
        <v>812</v>
      </c>
      <c r="E107" s="3630" t="s">
        <v>342</v>
      </c>
      <c r="F107" s="3631"/>
      <c r="G107" s="3631"/>
      <c r="H107" s="3632"/>
      <c r="I107" s="590"/>
      <c r="J107" s="590"/>
    </row>
    <row r="108" spans="1:14" s="52" customFormat="1" ht="26.45">
      <c r="A108" s="37"/>
      <c r="B108" s="3625"/>
      <c r="C108" s="3627"/>
      <c r="D108" s="3629"/>
      <c r="E108" s="2828" t="s">
        <v>813</v>
      </c>
      <c r="F108" s="1660" t="s">
        <v>814</v>
      </c>
      <c r="G108" s="2829" t="s">
        <v>815</v>
      </c>
      <c r="H108" s="3175" t="s">
        <v>118</v>
      </c>
    </row>
    <row r="109" spans="1:14" s="52" customFormat="1">
      <c r="A109" s="37"/>
      <c r="B109" s="3488"/>
      <c r="C109" s="2531" t="s">
        <v>816</v>
      </c>
      <c r="D109" s="2793" t="s">
        <v>220</v>
      </c>
      <c r="E109" s="2829" t="s">
        <v>220</v>
      </c>
      <c r="F109" s="2829" t="s">
        <v>220</v>
      </c>
      <c r="G109" s="1661" t="s">
        <v>220</v>
      </c>
      <c r="H109" s="2829" t="s">
        <v>220</v>
      </c>
    </row>
    <row r="110" spans="1:14" s="52" customFormat="1">
      <c r="A110" s="37"/>
      <c r="B110" s="1614">
        <v>2022</v>
      </c>
      <c r="C110" s="1678">
        <v>30356</v>
      </c>
      <c r="D110" s="1678">
        <v>18134250.416000001</v>
      </c>
      <c r="E110" s="1678">
        <v>3172.623</v>
      </c>
      <c r="F110" s="1678">
        <v>1815491.6610000001</v>
      </c>
      <c r="G110" s="2830"/>
      <c r="H110" s="1678">
        <f>SUM(E110:G110)</f>
        <v>1818664.284</v>
      </c>
    </row>
    <row r="111" spans="1:14" s="52" customFormat="1">
      <c r="A111" s="37"/>
      <c r="B111" s="2617">
        <v>2021</v>
      </c>
      <c r="C111" s="1678">
        <v>24959</v>
      </c>
      <c r="D111" s="1678">
        <v>11793897</v>
      </c>
      <c r="E111" s="2830">
        <v>721.54399999999998</v>
      </c>
      <c r="F111" s="1678">
        <v>707010.23800000001</v>
      </c>
      <c r="G111" s="2830"/>
      <c r="H111" s="1678">
        <f>SUM(E111:G111)</f>
        <v>707731.78200000001</v>
      </c>
      <c r="I111" s="626"/>
      <c r="J111" s="626"/>
      <c r="K111" s="626"/>
      <c r="L111" s="305"/>
      <c r="M111" s="305"/>
      <c r="N111" s="305"/>
    </row>
    <row r="112" spans="1:14" s="52" customFormat="1">
      <c r="A112" s="37"/>
      <c r="B112" s="196"/>
      <c r="C112" s="413"/>
      <c r="D112" s="413"/>
      <c r="I112" s="196"/>
      <c r="J112" s="196"/>
    </row>
    <row r="113" spans="1:14">
      <c r="A113" s="37"/>
      <c r="B113" s="3622" t="s">
        <v>115</v>
      </c>
      <c r="C113" s="3623"/>
      <c r="D113" s="3624"/>
      <c r="E113" s="52"/>
      <c r="F113" s="52"/>
      <c r="G113" s="52"/>
      <c r="H113" s="52"/>
    </row>
    <row r="114" spans="1:14" s="52" customFormat="1">
      <c r="A114" s="37"/>
      <c r="B114" s="3625" t="s">
        <v>810</v>
      </c>
      <c r="C114" s="3626" t="s">
        <v>811</v>
      </c>
      <c r="D114" s="3628" t="s">
        <v>812</v>
      </c>
      <c r="E114" s="3630" t="s">
        <v>342</v>
      </c>
      <c r="F114" s="3631"/>
      <c r="G114" s="3631"/>
      <c r="H114" s="3632"/>
    </row>
    <row r="115" spans="1:14" s="52" customFormat="1" ht="26.45">
      <c r="A115" s="37"/>
      <c r="B115" s="3625"/>
      <c r="C115" s="3627"/>
      <c r="D115" s="3629"/>
      <c r="E115" s="2828" t="s">
        <v>813</v>
      </c>
      <c r="F115" s="1660" t="s">
        <v>814</v>
      </c>
      <c r="G115" s="2829" t="s">
        <v>815</v>
      </c>
      <c r="H115" s="3175" t="s">
        <v>118</v>
      </c>
    </row>
    <row r="116" spans="1:14" s="52" customFormat="1">
      <c r="A116" s="37"/>
      <c r="B116" s="3488"/>
      <c r="C116" s="2531" t="s">
        <v>816</v>
      </c>
      <c r="D116" s="2793" t="s">
        <v>220</v>
      </c>
      <c r="E116" s="2829" t="s">
        <v>220</v>
      </c>
      <c r="F116" s="2829" t="s">
        <v>220</v>
      </c>
      <c r="G116" s="1661" t="s">
        <v>220</v>
      </c>
      <c r="H116" s="2829" t="s">
        <v>220</v>
      </c>
    </row>
    <row r="117" spans="1:14" s="52" customFormat="1">
      <c r="A117" s="37"/>
      <c r="B117" s="3066">
        <v>2022</v>
      </c>
      <c r="C117" s="1678">
        <v>111816</v>
      </c>
      <c r="D117" s="1678">
        <v>138475239</v>
      </c>
      <c r="E117" s="1678">
        <v>2935721</v>
      </c>
      <c r="F117" s="2831">
        <v>4377510</v>
      </c>
      <c r="G117" s="2830"/>
      <c r="H117" s="1678">
        <f>SUM(E117:G117)</f>
        <v>7313231</v>
      </c>
      <c r="J117" s="705"/>
      <c r="K117" s="705"/>
      <c r="L117" s="305"/>
    </row>
    <row r="118" spans="1:14" s="52" customFormat="1">
      <c r="A118" s="37"/>
      <c r="B118" s="3067">
        <v>2021</v>
      </c>
      <c r="C118" s="1678">
        <v>170624</v>
      </c>
      <c r="D118" s="1678">
        <v>296516511.43099999</v>
      </c>
      <c r="E118" s="1678">
        <v>1481424</v>
      </c>
      <c r="F118" s="704">
        <v>6333840.6999999993</v>
      </c>
      <c r="G118" s="2830"/>
      <c r="H118" s="1678">
        <f>SUM(E118:G118)</f>
        <v>7815264.6999999993</v>
      </c>
      <c r="I118" s="626"/>
      <c r="J118" s="686"/>
      <c r="K118" s="686"/>
      <c r="L118" s="305"/>
      <c r="M118" s="305"/>
      <c r="N118" s="305"/>
    </row>
    <row r="119" spans="1:14" s="52" customFormat="1">
      <c r="A119" s="37"/>
      <c r="B119" s="196"/>
      <c r="C119" s="413"/>
      <c r="D119" s="413"/>
      <c r="E119" s="438"/>
      <c r="F119" s="438"/>
      <c r="G119" s="116"/>
      <c r="H119" s="116"/>
      <c r="I119" s="196"/>
      <c r="J119" s="196"/>
    </row>
    <row r="120" spans="1:14" s="52" customFormat="1">
      <c r="A120" s="37"/>
      <c r="B120" s="3622" t="s">
        <v>116</v>
      </c>
      <c r="C120" s="3623"/>
      <c r="D120" s="3624"/>
    </row>
    <row r="121" spans="1:14" s="52" customFormat="1">
      <c r="A121" s="37"/>
      <c r="B121" s="3625" t="s">
        <v>810</v>
      </c>
      <c r="C121" s="3626" t="s">
        <v>811</v>
      </c>
      <c r="D121" s="3628" t="s">
        <v>812</v>
      </c>
      <c r="E121" s="3630" t="s">
        <v>342</v>
      </c>
      <c r="F121" s="3631"/>
      <c r="G121" s="3631"/>
      <c r="H121" s="3632"/>
    </row>
    <row r="122" spans="1:14" s="52" customFormat="1" ht="26.45">
      <c r="A122" s="37"/>
      <c r="B122" s="3625"/>
      <c r="C122" s="3627"/>
      <c r="D122" s="3629"/>
      <c r="E122" s="2828" t="s">
        <v>813</v>
      </c>
      <c r="F122" s="1660" t="s">
        <v>814</v>
      </c>
      <c r="G122" s="2829" t="s">
        <v>815</v>
      </c>
      <c r="H122" s="3175" t="s">
        <v>118</v>
      </c>
      <c r="I122" s="116"/>
      <c r="J122" s="196"/>
    </row>
    <row r="123" spans="1:14" s="52" customFormat="1">
      <c r="A123" s="37"/>
      <c r="B123" s="3488"/>
      <c r="C123" s="2531" t="s">
        <v>816</v>
      </c>
      <c r="D123" s="2793" t="s">
        <v>220</v>
      </c>
      <c r="E123" s="2829" t="s">
        <v>220</v>
      </c>
      <c r="F123" s="2829" t="s">
        <v>220</v>
      </c>
      <c r="G123" s="1661" t="s">
        <v>220</v>
      </c>
      <c r="H123" s="2829" t="s">
        <v>220</v>
      </c>
      <c r="I123" s="116"/>
      <c r="J123" s="196"/>
    </row>
    <row r="124" spans="1:14" s="52" customFormat="1">
      <c r="A124" s="37"/>
      <c r="B124" s="1614">
        <v>2022</v>
      </c>
      <c r="C124" s="1678">
        <v>132420</v>
      </c>
      <c r="D124" s="1678">
        <v>731229262.33745503</v>
      </c>
      <c r="E124" s="1678">
        <v>1608779.075</v>
      </c>
      <c r="F124" s="1678">
        <v>10331342.042229999</v>
      </c>
      <c r="G124" s="2830"/>
      <c r="H124" s="1678">
        <f>SUM(E124:G124)</f>
        <v>11940121.117229998</v>
      </c>
      <c r="I124" s="116"/>
      <c r="J124" s="686"/>
      <c r="K124" s="686"/>
      <c r="L124" s="305"/>
    </row>
    <row r="125" spans="1:14" s="52" customFormat="1">
      <c r="A125" s="37"/>
      <c r="B125" s="2617">
        <v>2021</v>
      </c>
      <c r="C125" s="1678">
        <v>237453</v>
      </c>
      <c r="D125" s="1678">
        <v>834190628.77850139</v>
      </c>
      <c r="E125" s="1678">
        <v>1379752.39751</v>
      </c>
      <c r="F125" s="1678">
        <v>9432390.8579400014</v>
      </c>
      <c r="G125" s="2830"/>
      <c r="H125" s="1678">
        <f>SUM(E125:G125)</f>
        <v>10812143.255450001</v>
      </c>
      <c r="I125" s="497"/>
      <c r="J125" s="686"/>
      <c r="K125" s="686"/>
      <c r="L125" s="305"/>
      <c r="M125" s="305"/>
      <c r="N125" s="305"/>
    </row>
    <row r="126" spans="1:14" s="52" customFormat="1">
      <c r="A126" s="37"/>
      <c r="B126" s="196"/>
      <c r="C126" s="413"/>
      <c r="D126" s="1628"/>
      <c r="E126" s="196"/>
      <c r="F126" s="196"/>
      <c r="G126" s="196"/>
      <c r="H126" s="196"/>
      <c r="I126" s="196"/>
      <c r="J126" s="196"/>
    </row>
    <row r="127" spans="1:14" s="52" customFormat="1">
      <c r="A127" s="37"/>
      <c r="B127" s="3622" t="s">
        <v>117</v>
      </c>
      <c r="C127" s="3623"/>
      <c r="D127" s="3624"/>
      <c r="I127" s="116"/>
      <c r="J127" s="196"/>
    </row>
    <row r="128" spans="1:14" s="52" customFormat="1">
      <c r="A128" s="37"/>
      <c r="B128" s="3625" t="s">
        <v>810</v>
      </c>
      <c r="C128" s="3626" t="s">
        <v>811</v>
      </c>
      <c r="D128" s="3628" t="s">
        <v>812</v>
      </c>
      <c r="E128" s="3630" t="s">
        <v>342</v>
      </c>
      <c r="F128" s="3631"/>
      <c r="G128" s="3631"/>
      <c r="H128" s="3632"/>
      <c r="I128" s="196"/>
    </row>
    <row r="129" spans="1:14" s="52" customFormat="1" ht="26.45">
      <c r="A129" s="37"/>
      <c r="B129" s="3625"/>
      <c r="C129" s="3627"/>
      <c r="D129" s="3629"/>
      <c r="E129" s="2828" t="s">
        <v>813</v>
      </c>
      <c r="F129" s="1660" t="s">
        <v>814</v>
      </c>
      <c r="G129" s="2829" t="s">
        <v>815</v>
      </c>
      <c r="H129" s="3175" t="s">
        <v>118</v>
      </c>
    </row>
    <row r="130" spans="1:14" s="52" customFormat="1">
      <c r="A130" s="37"/>
      <c r="B130" s="3488"/>
      <c r="C130" s="2531" t="s">
        <v>816</v>
      </c>
      <c r="D130" s="2793" t="s">
        <v>220</v>
      </c>
      <c r="E130" s="2829" t="s">
        <v>220</v>
      </c>
      <c r="F130" s="2829" t="s">
        <v>220</v>
      </c>
      <c r="G130" s="1661" t="s">
        <v>220</v>
      </c>
      <c r="H130" s="2829" t="s">
        <v>220</v>
      </c>
      <c r="J130" s="685"/>
      <c r="K130" s="685"/>
      <c r="L130" s="410"/>
    </row>
    <row r="131" spans="1:14" s="52" customFormat="1">
      <c r="A131" s="37"/>
      <c r="B131" s="1614">
        <v>2022</v>
      </c>
      <c r="C131" s="1678">
        <v>55792</v>
      </c>
      <c r="D131" s="1678">
        <v>59366663.25745669</v>
      </c>
      <c r="E131" s="2830"/>
      <c r="F131" s="1678">
        <v>3112080.2030000002</v>
      </c>
      <c r="G131" s="1678"/>
      <c r="H131" s="1678">
        <f>SUM(E131:G131)</f>
        <v>3112080.2030000002</v>
      </c>
      <c r="J131" s="685"/>
      <c r="K131" s="685"/>
      <c r="L131" s="410"/>
    </row>
    <row r="132" spans="1:14" s="52" customFormat="1">
      <c r="A132" s="37"/>
      <c r="B132" s="2617">
        <v>2021</v>
      </c>
      <c r="C132" s="1678">
        <v>64383</v>
      </c>
      <c r="D132" s="1678">
        <v>80141967.780500397</v>
      </c>
      <c r="E132" s="2830"/>
      <c r="F132" s="1678">
        <v>3759582.645</v>
      </c>
      <c r="G132" s="1678"/>
      <c r="H132" s="1678">
        <f>SUM(E132:G132)</f>
        <v>3759582.645</v>
      </c>
      <c r="I132" s="626"/>
      <c r="J132" s="626"/>
      <c r="K132" s="626"/>
      <c r="L132" s="305"/>
      <c r="M132" s="305"/>
      <c r="N132" s="305"/>
    </row>
    <row r="133" spans="1:14" s="52" customFormat="1">
      <c r="A133" s="37"/>
      <c r="B133" s="37"/>
      <c r="C133" s="315"/>
      <c r="D133" s="315"/>
      <c r="E133" s="315"/>
      <c r="F133" s="315"/>
      <c r="G133" s="315"/>
      <c r="H133" s="315"/>
      <c r="I133" s="196"/>
      <c r="J133" s="196"/>
    </row>
    <row r="134" spans="1:14" s="52" customFormat="1">
      <c r="A134" s="37"/>
      <c r="B134" s="196"/>
      <c r="C134" s="413"/>
      <c r="D134" s="413"/>
      <c r="E134" s="497"/>
      <c r="F134" s="497"/>
      <c r="G134" s="497"/>
      <c r="H134" s="497">
        <v>185</v>
      </c>
      <c r="I134" s="497"/>
      <c r="J134" s="315"/>
    </row>
    <row r="135" spans="1:14" s="52" customFormat="1">
      <c r="A135" s="37"/>
      <c r="B135" s="3622" t="s">
        <v>99</v>
      </c>
      <c r="C135" s="3623"/>
      <c r="D135" s="3624"/>
      <c r="I135" s="497"/>
      <c r="J135" s="315"/>
    </row>
    <row r="136" spans="1:14" s="52" customFormat="1">
      <c r="A136" s="37"/>
      <c r="B136" s="3625" t="s">
        <v>810</v>
      </c>
      <c r="C136" s="3626" t="s">
        <v>811</v>
      </c>
      <c r="D136" s="3628" t="s">
        <v>812</v>
      </c>
      <c r="E136" s="3630" t="s">
        <v>342</v>
      </c>
      <c r="F136" s="3631"/>
      <c r="G136" s="3631"/>
      <c r="H136" s="3632"/>
      <c r="I136" s="315"/>
      <c r="J136" s="315"/>
      <c r="K136" s="305"/>
    </row>
    <row r="137" spans="1:14" s="52" customFormat="1" ht="26.45">
      <c r="A137" s="37"/>
      <c r="B137" s="3625"/>
      <c r="C137" s="3627"/>
      <c r="D137" s="3629"/>
      <c r="E137" s="2828" t="s">
        <v>813</v>
      </c>
      <c r="F137" s="1660" t="s">
        <v>814</v>
      </c>
      <c r="G137" s="2829" t="s">
        <v>815</v>
      </c>
      <c r="H137" s="3175" t="s">
        <v>118</v>
      </c>
      <c r="I137" s="315"/>
      <c r="J137" s="315"/>
    </row>
    <row r="138" spans="1:14" s="52" customFormat="1">
      <c r="A138" s="37"/>
      <c r="B138" s="3488"/>
      <c r="C138" s="2531" t="s">
        <v>816</v>
      </c>
      <c r="D138" s="2793" t="s">
        <v>220</v>
      </c>
      <c r="E138" s="2829" t="s">
        <v>220</v>
      </c>
      <c r="F138" s="2829" t="s">
        <v>220</v>
      </c>
      <c r="G138" s="1661" t="s">
        <v>220</v>
      </c>
      <c r="H138" s="2829" t="s">
        <v>220</v>
      </c>
      <c r="I138" s="264"/>
      <c r="J138" s="315"/>
    </row>
    <row r="139" spans="1:14" s="52" customFormat="1">
      <c r="A139" s="37"/>
      <c r="B139" s="1614">
        <v>2022</v>
      </c>
      <c r="C139" s="1678">
        <v>10</v>
      </c>
      <c r="D139" s="1678">
        <v>5215355</v>
      </c>
      <c r="E139" s="2830"/>
      <c r="F139" s="1678">
        <v>10331.803</v>
      </c>
      <c r="G139" s="1678"/>
      <c r="H139" s="1678">
        <f>SUM(E139:G139)</f>
        <v>10331.803</v>
      </c>
      <c r="I139" s="264"/>
      <c r="J139" s="315"/>
    </row>
    <row r="140" spans="1:14" s="52" customFormat="1">
      <c r="A140" s="37"/>
      <c r="B140" s="196"/>
      <c r="C140" s="413"/>
      <c r="D140" s="413"/>
      <c r="E140" s="264"/>
      <c r="F140" s="264"/>
      <c r="G140" s="264"/>
      <c r="H140" s="264"/>
      <c r="I140" s="264"/>
      <c r="J140" s="315"/>
    </row>
    <row r="141" spans="1:14" s="52" customFormat="1">
      <c r="A141" s="37"/>
      <c r="B141" s="196"/>
      <c r="C141" s="413"/>
      <c r="D141" s="413"/>
      <c r="E141" s="264"/>
      <c r="F141" s="264"/>
      <c r="G141" s="264"/>
      <c r="H141" s="264"/>
      <c r="I141" s="264"/>
      <c r="J141" s="315"/>
    </row>
    <row r="142" spans="1:14">
      <c r="B142" s="3646"/>
      <c r="C142" s="3646"/>
      <c r="D142" s="3646"/>
    </row>
    <row r="145" spans="1:10" s="52" customFormat="1">
      <c r="A145" s="37"/>
      <c r="B145" s="196"/>
      <c r="C145" s="413"/>
      <c r="D145" s="413"/>
    </row>
    <row r="146" spans="1:10" s="52" customFormat="1">
      <c r="A146" s="37"/>
      <c r="B146" s="196"/>
      <c r="C146" s="413"/>
      <c r="D146" s="413"/>
      <c r="E146" s="438"/>
      <c r="F146" s="438"/>
      <c r="G146" s="116"/>
      <c r="H146" s="116"/>
      <c r="I146" s="116"/>
      <c r="J146" s="196"/>
    </row>
    <row r="147" spans="1:10" s="52" customFormat="1">
      <c r="A147" s="37"/>
      <c r="B147" s="196"/>
      <c r="C147" s="413"/>
      <c r="D147" s="413"/>
      <c r="E147" s="116"/>
      <c r="F147" s="116"/>
      <c r="G147" s="116"/>
      <c r="H147" s="116"/>
      <c r="I147" s="116"/>
      <c r="J147" s="196"/>
    </row>
    <row r="148" spans="1:10" s="52" customFormat="1">
      <c r="A148" s="37"/>
      <c r="B148" s="196"/>
      <c r="C148" s="413"/>
      <c r="D148" s="413"/>
      <c r="E148" s="196"/>
      <c r="F148" s="196"/>
      <c r="G148" s="196"/>
      <c r="H148" s="196"/>
      <c r="I148" s="196"/>
    </row>
    <row r="149" spans="1:10" s="52" customFormat="1">
      <c r="A149" s="37"/>
      <c r="B149" s="196"/>
      <c r="C149" s="413"/>
      <c r="D149" s="413"/>
      <c r="E149" s="196"/>
      <c r="F149" s="196"/>
      <c r="G149" s="196"/>
      <c r="H149" s="196"/>
      <c r="I149" s="196"/>
      <c r="J149" s="196"/>
    </row>
    <row r="150" spans="1:10" s="52" customFormat="1">
      <c r="A150" s="37"/>
      <c r="B150" s="196"/>
      <c r="F150" s="591"/>
      <c r="G150" s="591"/>
      <c r="H150" s="591"/>
      <c r="I150" s="591"/>
      <c r="J150" s="591"/>
    </row>
    <row r="151" spans="1:10" s="52" customFormat="1">
      <c r="A151" s="37"/>
      <c r="B151" s="196"/>
      <c r="C151" s="413"/>
      <c r="D151" s="413"/>
      <c r="E151" s="592"/>
      <c r="F151" s="592"/>
      <c r="G151" s="592"/>
      <c r="H151" s="592"/>
      <c r="I151" s="592"/>
      <c r="J151" s="285"/>
    </row>
    <row r="152" spans="1:10" s="52" customFormat="1">
      <c r="A152" s="37"/>
      <c r="B152" s="196"/>
      <c r="C152" s="413"/>
      <c r="D152" s="413"/>
      <c r="E152" s="590"/>
      <c r="F152" s="590"/>
      <c r="G152" s="590"/>
      <c r="H152" s="590"/>
      <c r="I152" s="590"/>
      <c r="J152" s="264"/>
    </row>
    <row r="153" spans="1:10" s="52" customFormat="1">
      <c r="A153" s="37"/>
      <c r="B153" s="196"/>
      <c r="C153" s="413"/>
      <c r="D153" s="413"/>
      <c r="E153" s="460"/>
      <c r="F153" s="460"/>
      <c r="G153" s="460"/>
      <c r="H153" s="460"/>
      <c r="I153" s="460"/>
      <c r="J153" s="264"/>
    </row>
    <row r="154" spans="1:10" s="52" customFormat="1">
      <c r="A154" s="37"/>
      <c r="B154" s="196"/>
      <c r="C154" s="413"/>
      <c r="D154" s="413"/>
      <c r="E154" s="264"/>
      <c r="F154" s="264"/>
      <c r="G154" s="264"/>
      <c r="H154" s="264"/>
      <c r="I154" s="264"/>
      <c r="J154" s="264"/>
    </row>
    <row r="155" spans="1:10" s="52" customFormat="1">
      <c r="A155" s="37"/>
      <c r="B155" s="196"/>
      <c r="C155" s="413"/>
      <c r="D155" s="413"/>
      <c r="E155" s="264"/>
      <c r="F155" s="264"/>
      <c r="G155" s="264"/>
      <c r="H155" s="264"/>
      <c r="J155" s="264"/>
    </row>
    <row r="156" spans="1:10" s="52" customFormat="1">
      <c r="A156" s="37"/>
      <c r="B156" s="196"/>
      <c r="C156" s="413"/>
      <c r="D156" s="413"/>
      <c r="E156" s="264"/>
      <c r="F156" s="264"/>
      <c r="G156" s="264"/>
      <c r="H156" s="264"/>
      <c r="J156" s="264"/>
    </row>
    <row r="157" spans="1:10" s="52" customFormat="1">
      <c r="A157" s="37"/>
      <c r="B157" s="196"/>
      <c r="C157" s="413"/>
      <c r="D157" s="413"/>
      <c r="E157" s="264"/>
      <c r="F157" s="264"/>
      <c r="G157" s="264"/>
      <c r="H157" s="264"/>
      <c r="J157" s="264"/>
    </row>
    <row r="158" spans="1:10" s="52" customFormat="1">
      <c r="A158" s="37"/>
      <c r="B158" s="196"/>
      <c r="C158" s="413"/>
      <c r="D158" s="413"/>
      <c r="E158" s="264"/>
      <c r="F158" s="264"/>
      <c r="G158" s="264"/>
      <c r="H158" s="264"/>
      <c r="J158" s="264"/>
    </row>
    <row r="162" spans="1:10" s="52" customFormat="1">
      <c r="A162" s="37"/>
      <c r="B162" s="196"/>
      <c r="C162" s="413"/>
      <c r="D162" s="413"/>
    </row>
    <row r="163" spans="1:10" s="52" customFormat="1">
      <c r="A163" s="37"/>
      <c r="B163" s="196"/>
      <c r="C163" s="413"/>
      <c r="D163" s="413"/>
      <c r="E163" s="438"/>
      <c r="F163" s="438"/>
      <c r="G163" s="116"/>
      <c r="H163" s="116"/>
      <c r="I163" s="116"/>
      <c r="J163" s="196"/>
    </row>
    <row r="164" spans="1:10" s="52" customFormat="1">
      <c r="A164" s="37"/>
      <c r="B164" s="196"/>
      <c r="C164" s="413"/>
      <c r="D164" s="413"/>
      <c r="E164" s="116"/>
      <c r="F164" s="116"/>
      <c r="G164" s="116"/>
      <c r="H164" s="116"/>
      <c r="I164" s="116"/>
      <c r="J164" s="196"/>
    </row>
    <row r="165" spans="1:10" s="52" customFormat="1">
      <c r="A165" s="37"/>
      <c r="B165" s="196"/>
      <c r="C165" s="413"/>
      <c r="D165" s="413"/>
      <c r="E165" s="196"/>
      <c r="F165" s="196"/>
      <c r="G165" s="196"/>
      <c r="H165" s="196"/>
      <c r="I165" s="196"/>
    </row>
    <row r="166" spans="1:10" s="52" customFormat="1">
      <c r="A166" s="37"/>
      <c r="B166" s="196"/>
      <c r="C166" s="413"/>
      <c r="D166" s="413"/>
      <c r="E166" s="196"/>
      <c r="F166" s="196"/>
      <c r="G166" s="196"/>
      <c r="H166" s="196"/>
      <c r="I166" s="196"/>
      <c r="J166" s="196"/>
    </row>
    <row r="167" spans="1:10" s="52" customFormat="1">
      <c r="A167" s="37"/>
      <c r="B167" s="196"/>
      <c r="C167" s="413"/>
      <c r="D167" s="413"/>
      <c r="E167" s="497"/>
      <c r="F167" s="497"/>
      <c r="G167" s="497"/>
      <c r="H167" s="497"/>
      <c r="I167" s="497"/>
      <c r="J167" s="305"/>
    </row>
    <row r="168" spans="1:10" s="52" customFormat="1">
      <c r="A168" s="37"/>
      <c r="B168" s="196"/>
      <c r="C168" s="413"/>
      <c r="D168" s="413"/>
      <c r="E168" s="497"/>
      <c r="F168" s="497"/>
      <c r="G168" s="497"/>
      <c r="H168" s="497"/>
      <c r="I168" s="497"/>
      <c r="J168" s="264"/>
    </row>
    <row r="169" spans="1:10" s="52" customFormat="1">
      <c r="A169" s="37"/>
      <c r="B169" s="196"/>
      <c r="C169" s="413"/>
      <c r="D169" s="413"/>
      <c r="E169" s="590"/>
      <c r="F169" s="590"/>
      <c r="G169" s="590"/>
      <c r="H169" s="590"/>
      <c r="I169" s="590"/>
      <c r="J169" s="264"/>
    </row>
    <row r="170" spans="1:10" s="52" customFormat="1">
      <c r="A170" s="37"/>
      <c r="B170" s="196"/>
      <c r="C170" s="413"/>
      <c r="D170" s="413"/>
      <c r="E170" s="460"/>
      <c r="F170" s="460"/>
      <c r="G170" s="460"/>
      <c r="H170" s="460"/>
      <c r="I170" s="460"/>
      <c r="J170" s="264"/>
    </row>
    <row r="171" spans="1:10" s="52" customFormat="1">
      <c r="A171" s="37"/>
      <c r="B171" s="196"/>
      <c r="C171" s="413"/>
      <c r="D171" s="413"/>
      <c r="E171" s="264"/>
      <c r="F171" s="264"/>
      <c r="G171" s="264"/>
      <c r="H171" s="264"/>
      <c r="I171" s="264"/>
      <c r="J171" s="264"/>
    </row>
    <row r="172" spans="1:10" s="52" customFormat="1">
      <c r="A172" s="37"/>
      <c r="B172" s="196"/>
      <c r="C172" s="413"/>
      <c r="D172" s="413"/>
      <c r="E172" s="264"/>
      <c r="F172" s="264"/>
      <c r="G172" s="264"/>
      <c r="H172" s="264"/>
      <c r="I172" s="264"/>
      <c r="J172" s="264"/>
    </row>
    <row r="173" spans="1:10" s="52" customFormat="1">
      <c r="A173" s="37"/>
      <c r="B173" s="196"/>
      <c r="C173" s="413"/>
      <c r="D173" s="413"/>
      <c r="E173" s="264"/>
      <c r="F173" s="264"/>
      <c r="G173" s="264"/>
      <c r="H173" s="264"/>
      <c r="I173" s="264"/>
      <c r="J173" s="264"/>
    </row>
    <row r="174" spans="1:10" s="52" customFormat="1">
      <c r="A174" s="37"/>
      <c r="B174" s="196"/>
      <c r="C174" s="413"/>
      <c r="D174" s="413"/>
      <c r="E174" s="264"/>
      <c r="F174" s="264"/>
      <c r="G174" s="264"/>
      <c r="H174" s="264"/>
      <c r="I174" s="264"/>
      <c r="J174" s="264"/>
    </row>
    <row r="175" spans="1:10" s="52" customFormat="1">
      <c r="A175" s="37"/>
      <c r="B175" s="196"/>
      <c r="C175" s="413"/>
      <c r="D175" s="413"/>
      <c r="E175" s="264"/>
      <c r="F175" s="264"/>
      <c r="G175" s="264"/>
      <c r="H175" s="264"/>
      <c r="I175" s="264"/>
      <c r="J175" s="264"/>
    </row>
    <row r="179" spans="1:10" s="52" customFormat="1">
      <c r="A179" s="37"/>
      <c r="B179" s="196"/>
      <c r="C179" s="413"/>
      <c r="D179" s="413"/>
    </row>
    <row r="180" spans="1:10" s="52" customFormat="1">
      <c r="A180" s="37"/>
      <c r="B180" s="196"/>
      <c r="C180" s="413"/>
      <c r="D180" s="413"/>
      <c r="E180" s="438"/>
      <c r="F180" s="438"/>
      <c r="G180" s="116"/>
      <c r="H180" s="116"/>
      <c r="I180" s="116"/>
      <c r="J180" s="196"/>
    </row>
    <row r="181" spans="1:10" s="52" customFormat="1">
      <c r="A181" s="37"/>
      <c r="B181" s="196"/>
      <c r="C181" s="413"/>
      <c r="D181" s="413"/>
      <c r="E181" s="116"/>
      <c r="F181" s="116"/>
      <c r="G181" s="116"/>
      <c r="H181" s="116"/>
      <c r="I181" s="116"/>
      <c r="J181" s="196"/>
    </row>
    <row r="182" spans="1:10" s="52" customFormat="1">
      <c r="A182" s="37"/>
      <c r="B182" s="196"/>
      <c r="C182" s="413"/>
      <c r="D182" s="413"/>
      <c r="E182" s="196"/>
      <c r="F182" s="196"/>
      <c r="G182" s="196"/>
      <c r="H182" s="196"/>
      <c r="I182" s="196"/>
    </row>
    <row r="183" spans="1:10" s="52" customFormat="1">
      <c r="A183" s="37"/>
      <c r="B183" s="196"/>
      <c r="C183" s="413"/>
      <c r="D183" s="413"/>
      <c r="E183" s="196"/>
      <c r="F183" s="196"/>
      <c r="G183" s="196"/>
      <c r="H183" s="196"/>
      <c r="I183" s="196"/>
      <c r="J183" s="196"/>
    </row>
    <row r="184" spans="1:10" s="52" customFormat="1">
      <c r="A184" s="37"/>
      <c r="B184" s="196"/>
      <c r="C184" s="413"/>
      <c r="D184" s="413"/>
      <c r="E184" s="497"/>
      <c r="F184" s="497"/>
      <c r="G184" s="497"/>
      <c r="H184" s="497"/>
      <c r="I184" s="497"/>
      <c r="J184" s="590"/>
    </row>
    <row r="185" spans="1:10" s="52" customFormat="1">
      <c r="A185" s="37"/>
      <c r="B185" s="196"/>
      <c r="C185" s="413"/>
      <c r="D185" s="413"/>
      <c r="E185" s="497"/>
      <c r="F185" s="497"/>
      <c r="G185" s="497"/>
      <c r="H185" s="497"/>
      <c r="I185" s="497"/>
      <c r="J185" s="590"/>
    </row>
    <row r="186" spans="1:10" s="52" customFormat="1">
      <c r="A186" s="37"/>
      <c r="B186" s="196"/>
      <c r="C186" s="413"/>
      <c r="D186" s="413"/>
      <c r="E186" s="593"/>
      <c r="F186" s="593"/>
      <c r="G186" s="590"/>
      <c r="H186" s="590"/>
      <c r="I186" s="590"/>
      <c r="J186" s="593"/>
    </row>
    <row r="187" spans="1:10" s="52" customFormat="1">
      <c r="A187" s="37"/>
      <c r="B187" s="196"/>
      <c r="C187" s="413"/>
      <c r="D187" s="413"/>
      <c r="E187" s="315"/>
      <c r="F187" s="315"/>
      <c r="G187" s="315"/>
      <c r="H187" s="315"/>
      <c r="I187" s="315"/>
      <c r="J187" s="264"/>
    </row>
    <row r="188" spans="1:10" s="52" customFormat="1">
      <c r="A188" s="37"/>
      <c r="B188" s="196"/>
      <c r="C188" s="413"/>
      <c r="D188" s="413"/>
      <c r="E188" s="264"/>
      <c r="F188" s="264"/>
      <c r="G188" s="264"/>
      <c r="H188" s="264"/>
      <c r="I188" s="264"/>
      <c r="J188" s="264"/>
    </row>
    <row r="189" spans="1:10" s="52" customFormat="1">
      <c r="A189" s="37"/>
      <c r="B189" s="196"/>
      <c r="C189" s="413"/>
      <c r="D189" s="413"/>
      <c r="E189" s="264"/>
      <c r="F189" s="264"/>
      <c r="G189" s="264"/>
      <c r="H189" s="264"/>
      <c r="I189" s="264"/>
      <c r="J189" s="264"/>
    </row>
    <row r="190" spans="1:10" s="52" customFormat="1">
      <c r="A190" s="37"/>
      <c r="B190" s="196"/>
      <c r="C190" s="413"/>
      <c r="D190" s="413"/>
      <c r="E190" s="264"/>
      <c r="F190" s="264"/>
      <c r="G190" s="264"/>
      <c r="H190" s="264"/>
      <c r="I190" s="264"/>
      <c r="J190" s="264"/>
    </row>
    <row r="191" spans="1:10" s="52" customFormat="1">
      <c r="A191" s="37"/>
      <c r="B191" s="196"/>
      <c r="C191" s="413"/>
      <c r="D191" s="413"/>
      <c r="E191" s="264"/>
      <c r="F191" s="264"/>
      <c r="G191" s="264"/>
      <c r="H191" s="264"/>
      <c r="I191" s="264"/>
      <c r="J191" s="264"/>
    </row>
    <row r="192" spans="1:10" s="52" customFormat="1">
      <c r="A192" s="37"/>
      <c r="B192" s="196"/>
      <c r="C192" s="413"/>
      <c r="D192" s="413"/>
      <c r="E192" s="264"/>
      <c r="F192" s="264"/>
      <c r="G192" s="264"/>
      <c r="H192" s="264"/>
      <c r="I192" s="264"/>
      <c r="J192" s="264"/>
    </row>
    <row r="196" spans="1:10" s="52" customFormat="1">
      <c r="A196" s="37"/>
      <c r="B196" s="196"/>
      <c r="C196" s="413"/>
      <c r="D196" s="413"/>
    </row>
    <row r="197" spans="1:10" s="52" customFormat="1">
      <c r="A197" s="37"/>
      <c r="B197" s="196"/>
      <c r="C197" s="413"/>
      <c r="D197" s="413"/>
      <c r="E197" s="438"/>
      <c r="F197" s="438"/>
      <c r="G197" s="116"/>
      <c r="H197" s="116"/>
      <c r="I197" s="116"/>
      <c r="J197" s="196"/>
    </row>
    <row r="198" spans="1:10" s="52" customFormat="1">
      <c r="A198" s="37"/>
      <c r="B198" s="196"/>
      <c r="C198" s="413"/>
      <c r="D198" s="413"/>
      <c r="E198" s="116"/>
      <c r="F198" s="116"/>
      <c r="G198" s="116"/>
      <c r="H198" s="116"/>
      <c r="I198" s="116"/>
      <c r="J198" s="196"/>
    </row>
    <row r="199" spans="1:10" s="52" customFormat="1">
      <c r="A199" s="37"/>
      <c r="B199" s="196"/>
      <c r="C199" s="413"/>
      <c r="D199" s="413"/>
      <c r="E199" s="196"/>
      <c r="F199" s="196"/>
      <c r="G199" s="196"/>
      <c r="H199" s="196"/>
      <c r="I199" s="196"/>
    </row>
    <row r="200" spans="1:10" s="52" customFormat="1">
      <c r="A200" s="37"/>
      <c r="B200" s="196"/>
      <c r="C200" s="413"/>
      <c r="D200" s="413"/>
      <c r="E200" s="196"/>
      <c r="F200" s="196"/>
      <c r="G200" s="196"/>
      <c r="H200" s="196"/>
      <c r="I200" s="196"/>
      <c r="J200" s="196"/>
    </row>
    <row r="201" spans="1:10" s="52" customFormat="1">
      <c r="A201" s="37"/>
      <c r="B201" s="196"/>
      <c r="C201" s="413"/>
      <c r="D201" s="413"/>
      <c r="E201" s="592"/>
      <c r="F201" s="592"/>
      <c r="G201" s="592"/>
      <c r="H201" s="592"/>
      <c r="I201" s="592"/>
      <c r="J201" s="264"/>
    </row>
    <row r="202" spans="1:10" s="52" customFormat="1">
      <c r="A202" s="37"/>
      <c r="B202" s="196"/>
      <c r="C202" s="413"/>
      <c r="D202" s="413"/>
      <c r="E202" s="592"/>
      <c r="F202" s="592"/>
      <c r="G202" s="592"/>
      <c r="H202" s="592"/>
      <c r="I202" s="592"/>
      <c r="J202" s="264"/>
    </row>
    <row r="203" spans="1:10" s="52" customFormat="1">
      <c r="A203" s="37"/>
      <c r="B203" s="196"/>
      <c r="C203" s="413"/>
      <c r="D203" s="413"/>
      <c r="E203" s="590"/>
      <c r="F203" s="590"/>
      <c r="G203" s="590"/>
      <c r="H203" s="590"/>
      <c r="I203" s="590"/>
      <c r="J203" s="264"/>
    </row>
    <row r="204" spans="1:10" s="52" customFormat="1">
      <c r="A204" s="37"/>
      <c r="B204" s="196"/>
      <c r="C204" s="413"/>
      <c r="D204" s="413"/>
      <c r="E204" s="460"/>
      <c r="F204" s="460"/>
      <c r="G204" s="460"/>
      <c r="H204" s="460"/>
      <c r="I204" s="460"/>
      <c r="J204" s="264"/>
    </row>
    <row r="205" spans="1:10" s="52" customFormat="1">
      <c r="A205" s="37"/>
      <c r="B205" s="196"/>
      <c r="C205" s="413"/>
      <c r="D205" s="413"/>
      <c r="E205" s="264"/>
      <c r="F205" s="264"/>
      <c r="G205" s="264"/>
      <c r="H205" s="264"/>
      <c r="I205" s="264"/>
      <c r="J205" s="264"/>
    </row>
    <row r="206" spans="1:10" s="52" customFormat="1">
      <c r="A206" s="37"/>
      <c r="B206" s="196"/>
      <c r="C206" s="413"/>
      <c r="D206" s="413"/>
      <c r="E206" s="264"/>
      <c r="F206" s="264"/>
      <c r="G206" s="264"/>
      <c r="H206" s="264"/>
      <c r="I206" s="264"/>
      <c r="J206" s="264"/>
    </row>
    <row r="207" spans="1:10" s="52" customFormat="1">
      <c r="A207" s="37"/>
      <c r="B207" s="196"/>
      <c r="C207" s="413"/>
      <c r="D207" s="413"/>
      <c r="E207" s="264"/>
      <c r="F207" s="264"/>
      <c r="G207" s="264"/>
      <c r="H207" s="264"/>
      <c r="I207" s="264"/>
      <c r="J207" s="264"/>
    </row>
    <row r="208" spans="1:10" s="52" customFormat="1">
      <c r="A208" s="37"/>
      <c r="B208" s="196"/>
      <c r="C208" s="413"/>
      <c r="D208" s="413"/>
      <c r="E208" s="264"/>
      <c r="F208" s="264"/>
      <c r="G208" s="264"/>
      <c r="H208" s="264"/>
      <c r="I208" s="264"/>
      <c r="J208" s="264"/>
    </row>
    <row r="209" spans="1:10" s="52" customFormat="1">
      <c r="A209" s="37"/>
      <c r="B209" s="196"/>
      <c r="C209" s="413"/>
      <c r="D209" s="413"/>
      <c r="E209" s="264"/>
      <c r="F209" s="264"/>
      <c r="G209" s="264"/>
      <c r="H209" s="264"/>
      <c r="I209" s="264"/>
      <c r="J209" s="264"/>
    </row>
    <row r="213" spans="1:10" s="52" customFormat="1">
      <c r="A213" s="37"/>
      <c r="B213" s="196"/>
      <c r="C213" s="413"/>
      <c r="D213" s="413"/>
    </row>
    <row r="214" spans="1:10" s="52" customFormat="1">
      <c r="A214" s="37"/>
      <c r="B214" s="196"/>
      <c r="C214" s="413"/>
      <c r="D214" s="413"/>
      <c r="E214" s="438"/>
      <c r="F214" s="438"/>
      <c r="G214" s="116"/>
      <c r="H214" s="116"/>
      <c r="I214" s="116"/>
      <c r="J214" s="196"/>
    </row>
    <row r="215" spans="1:10" s="52" customFormat="1">
      <c r="A215" s="37"/>
      <c r="B215" s="196"/>
      <c r="C215" s="413"/>
      <c r="D215" s="413"/>
      <c r="E215" s="116"/>
      <c r="F215" s="116"/>
      <c r="G215" s="116"/>
      <c r="H215" s="116"/>
      <c r="I215" s="116"/>
      <c r="J215" s="196"/>
    </row>
    <row r="216" spans="1:10" s="52" customFormat="1">
      <c r="A216" s="37"/>
      <c r="B216" s="196"/>
      <c r="C216" s="413"/>
      <c r="D216" s="413"/>
      <c r="E216" s="196"/>
      <c r="F216" s="196"/>
      <c r="G216" s="196"/>
      <c r="H216" s="196"/>
      <c r="I216" s="196"/>
    </row>
    <row r="217" spans="1:10" s="52" customFormat="1">
      <c r="A217" s="37"/>
      <c r="B217" s="196"/>
      <c r="C217" s="413"/>
      <c r="D217" s="413"/>
      <c r="E217" s="196"/>
      <c r="F217" s="196"/>
      <c r="G217" s="196"/>
      <c r="H217" s="196"/>
      <c r="I217" s="196"/>
      <c r="J217" s="196"/>
    </row>
    <row r="218" spans="1:10" s="52" customFormat="1">
      <c r="A218" s="37"/>
      <c r="B218" s="196"/>
      <c r="C218" s="413"/>
      <c r="D218" s="413"/>
      <c r="E218" s="594"/>
      <c r="F218" s="594"/>
      <c r="G218" s="594"/>
      <c r="H218" s="594"/>
      <c r="I218" s="594"/>
      <c r="J218" s="305"/>
    </row>
    <row r="219" spans="1:10" s="52" customFormat="1">
      <c r="A219" s="37"/>
      <c r="B219" s="196"/>
      <c r="C219" s="413"/>
      <c r="D219" s="413"/>
      <c r="E219" s="595"/>
      <c r="F219" s="595"/>
      <c r="G219" s="595"/>
      <c r="H219" s="595"/>
      <c r="I219" s="595"/>
      <c r="J219" s="305"/>
    </row>
    <row r="220" spans="1:10" s="52" customFormat="1">
      <c r="A220" s="37"/>
      <c r="B220" s="196"/>
      <c r="C220" s="413"/>
      <c r="D220" s="413"/>
      <c r="E220" s="460"/>
      <c r="F220" s="460"/>
      <c r="G220" s="460"/>
      <c r="H220" s="460"/>
      <c r="I220" s="590"/>
      <c r="J220" s="305"/>
    </row>
    <row r="221" spans="1:10" s="52" customFormat="1">
      <c r="A221" s="37"/>
      <c r="B221" s="196"/>
      <c r="C221" s="413"/>
      <c r="D221" s="413"/>
      <c r="E221" s="315"/>
      <c r="F221" s="315"/>
      <c r="G221" s="315"/>
      <c r="H221" s="315"/>
      <c r="I221" s="315"/>
      <c r="J221" s="305"/>
    </row>
    <row r="222" spans="1:10" s="52" customFormat="1">
      <c r="A222" s="37"/>
      <c r="B222" s="196"/>
      <c r="C222" s="413"/>
      <c r="D222" s="413"/>
      <c r="E222" s="460"/>
      <c r="F222" s="460"/>
      <c r="G222" s="590"/>
      <c r="H222" s="590"/>
      <c r="I222" s="590"/>
      <c r="J222" s="305"/>
    </row>
    <row r="223" spans="1:10" s="52" customFormat="1">
      <c r="A223" s="37"/>
      <c r="B223" s="196"/>
      <c r="C223" s="413"/>
      <c r="D223" s="413"/>
      <c r="E223" s="264"/>
      <c r="F223" s="264"/>
      <c r="G223" s="264"/>
      <c r="H223" s="264"/>
      <c r="J223" s="305"/>
    </row>
    <row r="224" spans="1:10" s="52" customFormat="1">
      <c r="A224" s="37"/>
      <c r="B224" s="196"/>
      <c r="C224" s="413"/>
      <c r="D224" s="413"/>
      <c r="E224" s="264"/>
      <c r="F224" s="264"/>
      <c r="G224" s="264"/>
      <c r="H224" s="264"/>
      <c r="J224" s="305"/>
    </row>
    <row r="225" spans="1:10" s="52" customFormat="1">
      <c r="A225" s="37"/>
      <c r="B225" s="196"/>
      <c r="C225" s="413"/>
      <c r="D225" s="413"/>
      <c r="E225" s="264"/>
      <c r="F225" s="264"/>
      <c r="G225" s="264"/>
      <c r="H225" s="264"/>
      <c r="J225" s="305"/>
    </row>
    <row r="226" spans="1:10" s="52" customFormat="1">
      <c r="A226" s="37"/>
      <c r="B226" s="196"/>
      <c r="C226" s="413"/>
      <c r="D226" s="413"/>
      <c r="E226" s="264"/>
      <c r="F226" s="264"/>
      <c r="G226" s="264"/>
      <c r="H226" s="264"/>
      <c r="J226" s="305"/>
    </row>
    <row r="230" spans="1:10" s="52" customFormat="1">
      <c r="A230" s="37"/>
      <c r="B230" s="196"/>
      <c r="C230" s="413"/>
      <c r="D230" s="413"/>
    </row>
    <row r="231" spans="1:10" s="52" customFormat="1">
      <c r="A231" s="37"/>
      <c r="B231" s="196"/>
      <c r="C231" s="413"/>
      <c r="D231" s="413"/>
      <c r="E231" s="438"/>
      <c r="F231" s="438"/>
      <c r="G231" s="116"/>
      <c r="H231" s="116"/>
      <c r="I231" s="116"/>
      <c r="J231" s="196"/>
    </row>
    <row r="232" spans="1:10" s="52" customFormat="1">
      <c r="A232" s="37"/>
      <c r="B232" s="196"/>
      <c r="C232" s="413"/>
      <c r="D232" s="413"/>
      <c r="E232" s="116"/>
      <c r="F232" s="116"/>
      <c r="G232" s="116"/>
      <c r="H232" s="116"/>
      <c r="I232" s="116"/>
      <c r="J232" s="196"/>
    </row>
    <row r="233" spans="1:10" s="52" customFormat="1">
      <c r="A233" s="37"/>
      <c r="B233" s="196"/>
      <c r="C233" s="413"/>
      <c r="D233" s="413"/>
      <c r="E233" s="196"/>
      <c r="F233" s="196"/>
      <c r="G233" s="196"/>
      <c r="H233" s="196"/>
      <c r="I233" s="196"/>
    </row>
    <row r="234" spans="1:10" s="52" customFormat="1">
      <c r="A234" s="37"/>
      <c r="B234" s="196"/>
      <c r="C234" s="413"/>
      <c r="D234" s="413"/>
      <c r="E234" s="196"/>
      <c r="F234" s="196"/>
      <c r="G234" s="196"/>
      <c r="H234" s="196"/>
      <c r="I234" s="196"/>
      <c r="J234" s="196"/>
    </row>
    <row r="235" spans="1:10" s="52" customFormat="1">
      <c r="A235" s="37"/>
      <c r="B235" s="196"/>
      <c r="C235" s="413"/>
      <c r="D235" s="413"/>
      <c r="E235" s="592"/>
      <c r="F235" s="592"/>
      <c r="G235" s="592"/>
      <c r="H235" s="592"/>
      <c r="I235" s="592"/>
      <c r="J235" s="592"/>
    </row>
    <row r="236" spans="1:10" s="52" customFormat="1">
      <c r="A236" s="37"/>
      <c r="B236" s="196"/>
      <c r="C236" s="413"/>
      <c r="D236" s="413"/>
      <c r="E236" s="592"/>
      <c r="F236" s="592"/>
      <c r="G236" s="592"/>
      <c r="H236" s="592"/>
      <c r="I236" s="592"/>
      <c r="J236" s="461"/>
    </row>
    <row r="237" spans="1:10" s="52" customFormat="1">
      <c r="A237" s="37"/>
      <c r="B237" s="196"/>
      <c r="C237" s="413"/>
      <c r="D237" s="413"/>
      <c r="E237" s="590"/>
      <c r="F237" s="590"/>
      <c r="G237" s="590"/>
      <c r="H237" s="590"/>
      <c r="I237" s="590"/>
      <c r="J237" s="590"/>
    </row>
    <row r="238" spans="1:10" s="52" customFormat="1">
      <c r="A238" s="37"/>
      <c r="B238" s="196"/>
      <c r="C238" s="413"/>
      <c r="D238" s="413"/>
      <c r="E238" s="460"/>
      <c r="F238" s="460"/>
      <c r="G238" s="460"/>
      <c r="H238" s="460"/>
      <c r="I238" s="460"/>
      <c r="J238" s="590"/>
    </row>
    <row r="239" spans="1:10" s="52" customFormat="1">
      <c r="A239" s="37"/>
      <c r="B239" s="196"/>
      <c r="C239" s="413"/>
      <c r="D239" s="413"/>
      <c r="E239" s="460"/>
      <c r="F239" s="460"/>
      <c r="G239" s="460"/>
      <c r="H239" s="460"/>
      <c r="I239" s="460"/>
      <c r="J239" s="590"/>
    </row>
    <row r="240" spans="1:10" s="52" customFormat="1">
      <c r="A240" s="37"/>
      <c r="B240" s="196"/>
      <c r="C240" s="413"/>
      <c r="D240" s="413"/>
      <c r="E240" s="264"/>
      <c r="F240" s="264"/>
      <c r="G240" s="264"/>
      <c r="H240" s="264"/>
      <c r="J240" s="590"/>
    </row>
    <row r="241" spans="1:10" s="52" customFormat="1">
      <c r="A241" s="37"/>
      <c r="B241" s="196"/>
      <c r="C241" s="413"/>
      <c r="D241" s="413"/>
      <c r="E241" s="264"/>
      <c r="F241" s="264"/>
      <c r="G241" s="264"/>
      <c r="H241" s="264"/>
      <c r="J241" s="590"/>
    </row>
    <row r="242" spans="1:10" s="52" customFormat="1">
      <c r="A242" s="37"/>
      <c r="B242" s="196"/>
      <c r="C242" s="413"/>
      <c r="D242" s="413"/>
      <c r="E242" s="264"/>
      <c r="F242" s="264"/>
      <c r="G242" s="264"/>
      <c r="H242" s="264"/>
      <c r="J242" s="590"/>
    </row>
    <row r="243" spans="1:10" s="52" customFormat="1">
      <c r="A243" s="37"/>
      <c r="B243" s="196"/>
      <c r="C243" s="413"/>
      <c r="D243" s="413"/>
      <c r="E243" s="264"/>
      <c r="F243" s="264"/>
      <c r="G243" s="264"/>
      <c r="H243" s="264"/>
      <c r="J243" s="590"/>
    </row>
    <row r="247" spans="1:10" s="52" customFormat="1">
      <c r="A247" s="37"/>
      <c r="B247" s="196"/>
      <c r="C247" s="413"/>
      <c r="D247" s="413"/>
    </row>
    <row r="248" spans="1:10" s="52" customFormat="1">
      <c r="A248" s="37"/>
      <c r="B248" s="196"/>
      <c r="C248" s="413"/>
      <c r="D248" s="413"/>
      <c r="E248" s="438"/>
      <c r="F248" s="438"/>
      <c r="G248" s="116"/>
      <c r="H248" s="116"/>
      <c r="I248" s="116"/>
      <c r="J248" s="196"/>
    </row>
    <row r="249" spans="1:10" s="52" customFormat="1">
      <c r="A249" s="37"/>
      <c r="B249" s="196"/>
      <c r="C249" s="413"/>
      <c r="D249" s="413"/>
      <c r="E249" s="116"/>
      <c r="F249" s="116"/>
      <c r="G249" s="116"/>
      <c r="H249" s="116"/>
      <c r="I249" s="116"/>
      <c r="J249" s="196"/>
    </row>
    <row r="250" spans="1:10" s="52" customFormat="1">
      <c r="A250" s="37"/>
      <c r="B250" s="196"/>
      <c r="C250" s="413"/>
      <c r="D250" s="413"/>
      <c r="E250" s="196"/>
      <c r="F250" s="196"/>
      <c r="G250" s="196"/>
      <c r="H250" s="196"/>
      <c r="I250" s="196"/>
    </row>
    <row r="251" spans="1:10" s="52" customFormat="1">
      <c r="A251" s="37"/>
      <c r="B251" s="196"/>
      <c r="C251" s="413"/>
      <c r="D251" s="413"/>
      <c r="E251" s="196"/>
      <c r="F251" s="196"/>
      <c r="G251" s="196"/>
      <c r="H251" s="196"/>
      <c r="I251" s="196"/>
      <c r="J251" s="196"/>
    </row>
    <row r="252" spans="1:10" s="52" customFormat="1">
      <c r="A252" s="37"/>
      <c r="B252" s="196"/>
      <c r="C252" s="413"/>
      <c r="D252" s="413"/>
      <c r="E252" s="196"/>
      <c r="F252" s="196"/>
      <c r="G252" s="196"/>
      <c r="H252" s="196"/>
      <c r="I252" s="196"/>
    </row>
    <row r="253" spans="1:10" s="52" customFormat="1">
      <c r="A253" s="37"/>
      <c r="B253" s="196"/>
      <c r="C253" s="413"/>
      <c r="D253" s="413"/>
      <c r="E253" s="196"/>
      <c r="F253" s="196"/>
      <c r="G253" s="196"/>
      <c r="H253" s="196"/>
      <c r="I253" s="196"/>
    </row>
    <row r="254" spans="1:10" s="52" customFormat="1">
      <c r="A254" s="37"/>
      <c r="B254" s="196"/>
      <c r="C254" s="413"/>
      <c r="D254" s="413"/>
      <c r="E254" s="196"/>
      <c r="F254" s="196"/>
      <c r="G254" s="196"/>
      <c r="H254" s="196"/>
      <c r="I254" s="196"/>
    </row>
    <row r="255" spans="1:10" s="52" customFormat="1">
      <c r="A255" s="37"/>
      <c r="B255" s="196"/>
      <c r="C255" s="413"/>
      <c r="D255" s="413"/>
      <c r="E255" s="196"/>
      <c r="F255" s="196"/>
      <c r="G255" s="196"/>
      <c r="H255" s="196"/>
      <c r="I255" s="196"/>
    </row>
    <row r="256" spans="1:10" s="52" customFormat="1">
      <c r="A256" s="37"/>
      <c r="B256" s="196"/>
      <c r="C256" s="413"/>
      <c r="D256" s="413"/>
      <c r="E256" s="264"/>
      <c r="F256" s="264"/>
      <c r="G256" s="264"/>
      <c r="H256" s="264"/>
    </row>
    <row r="257" spans="1:10" s="52" customFormat="1">
      <c r="A257" s="37"/>
      <c r="B257" s="196"/>
      <c r="C257" s="413"/>
      <c r="D257" s="413"/>
      <c r="E257" s="264"/>
      <c r="F257" s="264"/>
      <c r="G257" s="264"/>
      <c r="H257" s="264"/>
    </row>
    <row r="258" spans="1:10" s="52" customFormat="1">
      <c r="A258" s="37"/>
      <c r="B258" s="196"/>
      <c r="C258" s="413"/>
      <c r="D258" s="413"/>
      <c r="E258" s="264"/>
      <c r="F258" s="264"/>
      <c r="G258" s="264"/>
      <c r="H258" s="264"/>
    </row>
    <row r="259" spans="1:10" s="52" customFormat="1">
      <c r="A259" s="37"/>
      <c r="B259" s="196"/>
      <c r="C259" s="413"/>
      <c r="D259" s="413"/>
      <c r="E259" s="264"/>
      <c r="F259" s="264"/>
      <c r="G259" s="264"/>
      <c r="H259" s="264"/>
    </row>
    <row r="260" spans="1:10" s="52" customFormat="1">
      <c r="A260" s="37"/>
      <c r="B260" s="196"/>
      <c r="C260" s="413"/>
      <c r="D260" s="413"/>
      <c r="E260" s="264"/>
      <c r="F260" s="264"/>
      <c r="G260" s="264"/>
      <c r="H260" s="264"/>
    </row>
    <row r="261" spans="1:10" s="52" customFormat="1">
      <c r="A261" s="37"/>
      <c r="B261" s="196"/>
      <c r="C261" s="413"/>
      <c r="D261" s="413"/>
      <c r="E261" s="264"/>
      <c r="F261" s="264"/>
      <c r="G261" s="264"/>
      <c r="H261" s="264"/>
    </row>
    <row r="262" spans="1:10" s="52" customFormat="1">
      <c r="A262" s="37"/>
      <c r="B262" s="196"/>
      <c r="C262" s="413"/>
      <c r="D262" s="413"/>
      <c r="E262" s="264"/>
      <c r="F262" s="264"/>
      <c r="G262" s="264"/>
      <c r="H262" s="264"/>
    </row>
    <row r="264" spans="1:10" s="52" customFormat="1">
      <c r="A264" s="37"/>
      <c r="B264" s="196"/>
      <c r="C264" s="413"/>
      <c r="D264" s="413"/>
    </row>
    <row r="265" spans="1:10" s="52" customFormat="1">
      <c r="A265" s="37"/>
      <c r="B265" s="196"/>
      <c r="C265" s="413"/>
      <c r="D265" s="413"/>
      <c r="E265" s="438"/>
      <c r="F265" s="438"/>
      <c r="G265" s="116"/>
      <c r="H265" s="116"/>
      <c r="I265" s="116"/>
      <c r="J265" s="196"/>
    </row>
    <row r="266" spans="1:10" s="52" customFormat="1">
      <c r="A266" s="37"/>
      <c r="B266" s="196"/>
      <c r="C266" s="413"/>
      <c r="D266" s="413"/>
      <c r="E266" s="116"/>
      <c r="F266" s="116"/>
      <c r="G266" s="116"/>
      <c r="H266" s="116"/>
      <c r="I266" s="116"/>
      <c r="J266" s="196"/>
    </row>
    <row r="267" spans="1:10" s="52" customFormat="1">
      <c r="A267" s="37"/>
      <c r="B267" s="196"/>
      <c r="C267" s="413"/>
      <c r="D267" s="413"/>
      <c r="E267" s="196"/>
      <c r="F267" s="196"/>
      <c r="G267" s="196"/>
      <c r="H267" s="196"/>
      <c r="I267" s="196"/>
    </row>
    <row r="268" spans="1:10" s="52" customFormat="1">
      <c r="A268" s="37"/>
      <c r="B268" s="196"/>
      <c r="C268" s="413"/>
      <c r="D268" s="413"/>
      <c r="E268" s="196"/>
      <c r="F268" s="196"/>
      <c r="G268" s="196"/>
      <c r="H268" s="196"/>
      <c r="I268" s="196"/>
      <c r="J268" s="196"/>
    </row>
    <row r="269" spans="1:10" s="52" customFormat="1">
      <c r="A269" s="37"/>
      <c r="B269" s="196"/>
      <c r="C269" s="413"/>
      <c r="D269" s="413"/>
      <c r="E269" s="497"/>
      <c r="F269" s="497"/>
      <c r="G269" s="497"/>
      <c r="H269" s="497"/>
      <c r="I269" s="497"/>
      <c r="J269" s="305"/>
    </row>
    <row r="270" spans="1:10" s="52" customFormat="1">
      <c r="A270" s="37"/>
      <c r="B270" s="196"/>
      <c r="C270" s="413"/>
      <c r="D270" s="413"/>
      <c r="E270" s="497"/>
      <c r="F270" s="497"/>
      <c r="G270" s="497"/>
      <c r="H270" s="497"/>
      <c r="I270" s="497"/>
      <c r="J270" s="590"/>
    </row>
    <row r="271" spans="1:10" s="52" customFormat="1">
      <c r="A271" s="37"/>
      <c r="B271" s="196"/>
      <c r="C271" s="413"/>
      <c r="D271" s="413"/>
      <c r="E271" s="590"/>
      <c r="F271" s="596"/>
      <c r="G271" s="590"/>
      <c r="H271" s="590"/>
      <c r="I271" s="590"/>
      <c r="J271" s="590"/>
    </row>
    <row r="272" spans="1:10" s="52" customFormat="1">
      <c r="A272" s="37"/>
      <c r="B272" s="196"/>
      <c r="C272" s="413"/>
      <c r="D272" s="413"/>
      <c r="E272" s="460"/>
      <c r="F272" s="460"/>
      <c r="G272" s="460"/>
      <c r="H272" s="460"/>
      <c r="I272" s="460"/>
      <c r="J272" s="590"/>
    </row>
    <row r="273" spans="1:10" s="52" customFormat="1">
      <c r="A273" s="37"/>
      <c r="B273" s="196"/>
      <c r="C273" s="413"/>
      <c r="D273" s="413"/>
      <c r="E273" s="460"/>
      <c r="F273" s="460"/>
      <c r="G273" s="460"/>
      <c r="H273" s="460"/>
      <c r="I273" s="460"/>
      <c r="J273" s="590"/>
    </row>
    <row r="274" spans="1:10" s="52" customFormat="1">
      <c r="A274" s="37"/>
      <c r="B274" s="196"/>
      <c r="C274" s="413"/>
      <c r="D274" s="413"/>
      <c r="E274" s="460"/>
      <c r="F274" s="460"/>
      <c r="G274" s="460"/>
      <c r="H274" s="460"/>
      <c r="J274" s="590"/>
    </row>
    <row r="275" spans="1:10" s="52" customFormat="1">
      <c r="A275" s="37"/>
      <c r="B275" s="196"/>
      <c r="C275" s="413"/>
      <c r="D275" s="413"/>
      <c r="E275" s="460"/>
      <c r="F275" s="460"/>
      <c r="G275" s="460"/>
      <c r="H275" s="460"/>
      <c r="J275" s="590"/>
    </row>
    <row r="276" spans="1:10" s="52" customFormat="1">
      <c r="A276" s="37"/>
      <c r="B276" s="196"/>
      <c r="C276" s="413"/>
      <c r="D276" s="413"/>
      <c r="E276" s="460"/>
      <c r="F276" s="460"/>
      <c r="G276" s="460"/>
      <c r="H276" s="460"/>
      <c r="J276" s="590"/>
    </row>
    <row r="277" spans="1:10" s="52" customFormat="1">
      <c r="A277" s="37"/>
      <c r="B277" s="196"/>
      <c r="C277" s="413"/>
      <c r="D277" s="413"/>
      <c r="E277" s="460"/>
      <c r="F277" s="460"/>
      <c r="G277" s="460"/>
      <c r="H277" s="460"/>
      <c r="J277" s="590"/>
    </row>
    <row r="281" spans="1:10" s="52" customFormat="1">
      <c r="A281" s="37"/>
      <c r="B281" s="196"/>
      <c r="C281" s="413"/>
      <c r="D281" s="413"/>
    </row>
    <row r="282" spans="1:10" s="52" customFormat="1">
      <c r="A282" s="37"/>
      <c r="B282" s="196"/>
      <c r="C282" s="413"/>
      <c r="D282" s="413"/>
      <c r="E282" s="438"/>
      <c r="F282" s="438"/>
      <c r="G282" s="116"/>
      <c r="H282" s="116"/>
      <c r="I282" s="116"/>
      <c r="J282" s="196"/>
    </row>
    <row r="283" spans="1:10" s="52" customFormat="1">
      <c r="A283" s="37"/>
      <c r="B283" s="196"/>
      <c r="C283" s="413"/>
      <c r="D283" s="413"/>
      <c r="E283" s="116"/>
      <c r="F283" s="116"/>
      <c r="G283" s="116"/>
      <c r="H283" s="116"/>
      <c r="I283" s="116"/>
      <c r="J283" s="196"/>
    </row>
    <row r="284" spans="1:10" s="52" customFormat="1">
      <c r="A284" s="37"/>
      <c r="B284" s="196"/>
      <c r="C284" s="413"/>
      <c r="D284" s="413"/>
      <c r="E284" s="196"/>
      <c r="F284" s="196"/>
      <c r="G284" s="196"/>
      <c r="H284" s="196"/>
      <c r="I284" s="196"/>
    </row>
    <row r="285" spans="1:10" s="52" customFormat="1">
      <c r="A285" s="37"/>
      <c r="B285" s="196"/>
      <c r="C285" s="413"/>
      <c r="D285" s="413"/>
      <c r="E285" s="196"/>
      <c r="F285" s="196"/>
      <c r="G285" s="196"/>
      <c r="H285" s="196"/>
      <c r="I285" s="196"/>
      <c r="J285" s="196"/>
    </row>
    <row r="286" spans="1:10" s="52" customFormat="1">
      <c r="A286" s="37"/>
      <c r="B286" s="196"/>
      <c r="C286" s="413"/>
      <c r="D286" s="413"/>
      <c r="E286" s="592"/>
      <c r="F286" s="592"/>
      <c r="G286" s="592"/>
      <c r="H286" s="592"/>
      <c r="I286" s="592"/>
      <c r="J286" s="592"/>
    </row>
    <row r="287" spans="1:10" s="52" customFormat="1">
      <c r="A287" s="37"/>
      <c r="B287" s="196"/>
      <c r="C287" s="413"/>
      <c r="D287" s="413"/>
      <c r="E287" s="592"/>
      <c r="F287" s="592"/>
      <c r="G287" s="592"/>
      <c r="H287" s="592"/>
      <c r="I287" s="592"/>
      <c r="J287" s="285"/>
    </row>
    <row r="288" spans="1:10" s="52" customFormat="1">
      <c r="A288" s="37"/>
      <c r="B288" s="196"/>
      <c r="C288" s="413"/>
      <c r="D288" s="413"/>
      <c r="E288" s="590"/>
      <c r="F288" s="590"/>
      <c r="G288" s="590"/>
      <c r="H288" s="590"/>
      <c r="I288" s="590"/>
      <c r="J288" s="264"/>
    </row>
    <row r="289" spans="1:10" s="52" customFormat="1">
      <c r="A289" s="37"/>
      <c r="B289" s="196"/>
      <c r="C289" s="413"/>
      <c r="D289" s="413"/>
      <c r="E289" s="460"/>
      <c r="F289" s="460"/>
      <c r="G289" s="460"/>
      <c r="H289" s="460"/>
      <c r="I289" s="460"/>
      <c r="J289" s="264"/>
    </row>
    <row r="290" spans="1:10" s="52" customFormat="1">
      <c r="A290" s="37"/>
      <c r="B290" s="196"/>
      <c r="C290" s="413"/>
      <c r="D290" s="413"/>
      <c r="E290" s="264"/>
      <c r="F290" s="264"/>
      <c r="G290" s="264"/>
      <c r="H290" s="264"/>
      <c r="I290" s="264"/>
      <c r="J290" s="264"/>
    </row>
    <row r="291" spans="1:10" s="52" customFormat="1">
      <c r="A291" s="37"/>
      <c r="B291" s="196"/>
      <c r="C291" s="413"/>
      <c r="D291" s="413"/>
      <c r="E291" s="264"/>
      <c r="F291" s="264"/>
      <c r="G291" s="264"/>
      <c r="H291" s="264"/>
      <c r="J291" s="264"/>
    </row>
    <row r="292" spans="1:10" s="52" customFormat="1">
      <c r="A292" s="37"/>
      <c r="B292" s="196"/>
      <c r="C292" s="413"/>
      <c r="D292" s="413"/>
      <c r="E292" s="264"/>
      <c r="F292" s="264"/>
      <c r="G292" s="264"/>
      <c r="H292" s="264"/>
      <c r="J292" s="264"/>
    </row>
    <row r="293" spans="1:10" s="52" customFormat="1">
      <c r="A293" s="37"/>
      <c r="B293" s="196"/>
      <c r="C293" s="413"/>
      <c r="D293" s="413"/>
      <c r="E293" s="264"/>
      <c r="F293" s="264"/>
      <c r="G293" s="264"/>
      <c r="H293" s="264"/>
      <c r="J293" s="264"/>
    </row>
    <row r="294" spans="1:10" s="52" customFormat="1">
      <c r="A294" s="37"/>
      <c r="B294" s="196"/>
      <c r="C294" s="413"/>
      <c r="D294" s="413"/>
      <c r="E294" s="264"/>
      <c r="F294" s="264"/>
      <c r="G294" s="264"/>
      <c r="H294" s="264"/>
      <c r="J294" s="264"/>
    </row>
    <row r="298" spans="1:10" s="52" customFormat="1">
      <c r="A298" s="37"/>
      <c r="B298" s="196"/>
      <c r="C298" s="413"/>
      <c r="D298" s="413"/>
    </row>
    <row r="299" spans="1:10" s="52" customFormat="1">
      <c r="A299" s="37"/>
      <c r="B299" s="196"/>
      <c r="C299" s="413"/>
      <c r="D299" s="413"/>
      <c r="E299" s="438"/>
      <c r="F299" s="438"/>
      <c r="G299" s="116"/>
      <c r="H299" s="116"/>
      <c r="I299" s="116"/>
      <c r="J299" s="196"/>
    </row>
    <row r="300" spans="1:10" s="52" customFormat="1">
      <c r="A300" s="37"/>
      <c r="B300" s="196"/>
      <c r="C300" s="413"/>
      <c r="D300" s="413"/>
      <c r="E300" s="116"/>
      <c r="F300" s="116"/>
      <c r="G300" s="116"/>
      <c r="H300" s="116"/>
      <c r="I300" s="116"/>
      <c r="J300" s="196"/>
    </row>
    <row r="301" spans="1:10" s="52" customFormat="1">
      <c r="A301" s="37"/>
      <c r="B301" s="196"/>
      <c r="C301" s="413"/>
      <c r="D301" s="413"/>
      <c r="E301" s="196"/>
      <c r="F301" s="196"/>
      <c r="G301" s="196"/>
      <c r="H301" s="196"/>
      <c r="I301" s="196"/>
    </row>
    <row r="302" spans="1:10" s="52" customFormat="1">
      <c r="A302" s="37"/>
      <c r="B302" s="196"/>
      <c r="C302" s="413"/>
      <c r="D302" s="413"/>
      <c r="E302" s="196"/>
      <c r="F302" s="196"/>
      <c r="G302" s="196"/>
      <c r="H302" s="196"/>
      <c r="I302" s="196"/>
      <c r="J302" s="196"/>
    </row>
    <row r="303" spans="1:10" s="52" customFormat="1">
      <c r="A303" s="37"/>
      <c r="B303" s="196"/>
      <c r="C303" s="413"/>
      <c r="D303" s="413"/>
      <c r="E303" s="497"/>
      <c r="F303" s="497"/>
      <c r="G303" s="497"/>
      <c r="H303" s="497"/>
      <c r="I303" s="497"/>
      <c r="J303" s="305"/>
    </row>
    <row r="304" spans="1:10" s="52" customFormat="1">
      <c r="A304" s="37"/>
      <c r="B304" s="196"/>
      <c r="C304" s="413"/>
      <c r="D304" s="413"/>
      <c r="E304" s="497"/>
      <c r="F304" s="497"/>
      <c r="G304" s="497"/>
      <c r="H304" s="497"/>
      <c r="I304" s="497"/>
      <c r="J304" s="264"/>
    </row>
    <row r="305" spans="1:10" s="52" customFormat="1">
      <c r="A305" s="37"/>
      <c r="B305" s="196"/>
      <c r="C305" s="413"/>
      <c r="D305" s="413"/>
      <c r="E305" s="497"/>
      <c r="F305" s="497"/>
      <c r="G305" s="497"/>
      <c r="H305" s="497"/>
      <c r="I305" s="497"/>
      <c r="J305" s="264"/>
    </row>
    <row r="306" spans="1:10" s="52" customFormat="1">
      <c r="A306" s="37"/>
      <c r="B306" s="196"/>
      <c r="C306" s="413"/>
      <c r="D306" s="413"/>
      <c r="E306" s="315"/>
      <c r="F306" s="315"/>
      <c r="G306" s="315"/>
      <c r="H306" s="315"/>
      <c r="I306" s="315"/>
      <c r="J306" s="264"/>
    </row>
    <row r="307" spans="1:10" s="52" customFormat="1">
      <c r="A307" s="37"/>
      <c r="B307" s="196"/>
      <c r="C307" s="413"/>
      <c r="D307" s="413"/>
      <c r="E307" s="264"/>
      <c r="F307" s="264"/>
      <c r="G307" s="264"/>
      <c r="H307" s="264"/>
      <c r="I307" s="264"/>
      <c r="J307" s="264"/>
    </row>
    <row r="308" spans="1:10" s="52" customFormat="1">
      <c r="A308" s="37"/>
      <c r="B308" s="196"/>
      <c r="C308" s="413"/>
      <c r="D308" s="413"/>
      <c r="E308" s="264"/>
      <c r="F308" s="264"/>
      <c r="G308" s="264"/>
      <c r="H308" s="264"/>
      <c r="J308" s="264"/>
    </row>
    <row r="309" spans="1:10" s="52" customFormat="1">
      <c r="A309" s="37"/>
      <c r="B309" s="196"/>
      <c r="C309" s="413"/>
      <c r="D309" s="413"/>
      <c r="E309" s="264"/>
      <c r="F309" s="264"/>
      <c r="G309" s="264"/>
      <c r="H309" s="264"/>
      <c r="J309" s="264"/>
    </row>
    <row r="310" spans="1:10" s="52" customFormat="1">
      <c r="A310" s="37"/>
      <c r="B310" s="196"/>
      <c r="C310" s="413"/>
      <c r="D310" s="413"/>
      <c r="E310" s="264"/>
      <c r="F310" s="264"/>
      <c r="G310" s="264"/>
      <c r="H310" s="264"/>
      <c r="J310" s="264"/>
    </row>
    <row r="311" spans="1:10" s="52" customFormat="1">
      <c r="A311" s="37"/>
      <c r="B311" s="196"/>
      <c r="C311" s="413"/>
      <c r="D311" s="413"/>
      <c r="E311" s="264"/>
      <c r="F311" s="264"/>
      <c r="G311" s="264"/>
      <c r="H311" s="264"/>
      <c r="J311" s="264"/>
    </row>
    <row r="315" spans="1:10" s="52" customFormat="1">
      <c r="A315" s="37"/>
      <c r="B315" s="196"/>
      <c r="C315" s="413"/>
      <c r="D315" s="413"/>
    </row>
    <row r="316" spans="1:10" s="52" customFormat="1">
      <c r="A316" s="37"/>
      <c r="B316" s="196"/>
      <c r="C316" s="413"/>
      <c r="D316" s="413"/>
      <c r="E316" s="438"/>
      <c r="F316" s="438"/>
      <c r="G316" s="116"/>
      <c r="H316" s="116"/>
      <c r="I316" s="116"/>
      <c r="J316" s="196"/>
    </row>
    <row r="317" spans="1:10" s="52" customFormat="1">
      <c r="A317" s="37"/>
      <c r="B317" s="196"/>
      <c r="C317" s="413"/>
      <c r="D317" s="413"/>
      <c r="E317" s="116"/>
      <c r="F317" s="116"/>
      <c r="G317" s="116"/>
      <c r="H317" s="116"/>
      <c r="I317" s="116"/>
      <c r="J317" s="196"/>
    </row>
    <row r="318" spans="1:10" s="52" customFormat="1">
      <c r="A318" s="37"/>
      <c r="B318" s="196"/>
      <c r="C318" s="413"/>
      <c r="D318" s="413"/>
      <c r="E318" s="196"/>
      <c r="F318" s="196"/>
      <c r="G318" s="196"/>
      <c r="H318" s="196"/>
      <c r="I318" s="196"/>
    </row>
    <row r="319" spans="1:10" s="52" customFormat="1">
      <c r="A319" s="37"/>
      <c r="B319" s="196"/>
      <c r="C319" s="413"/>
      <c r="D319" s="413"/>
      <c r="E319" s="196"/>
      <c r="F319" s="196"/>
      <c r="G319" s="196"/>
      <c r="H319" s="196"/>
      <c r="I319" s="196"/>
      <c r="J319" s="196"/>
    </row>
    <row r="320" spans="1:10" s="52" customFormat="1">
      <c r="A320" s="37"/>
      <c r="B320" s="196"/>
      <c r="C320" s="413"/>
      <c r="D320" s="413"/>
      <c r="E320" s="196"/>
      <c r="F320" s="497"/>
      <c r="G320" s="196"/>
      <c r="H320" s="196"/>
      <c r="I320" s="196"/>
      <c r="J320" s="305"/>
    </row>
    <row r="321" spans="1:10" s="52" customFormat="1">
      <c r="A321" s="37"/>
      <c r="B321" s="196"/>
      <c r="C321" s="413"/>
      <c r="D321" s="413"/>
      <c r="E321" s="497"/>
      <c r="F321" s="497"/>
      <c r="G321" s="497"/>
      <c r="H321" s="497"/>
      <c r="I321" s="497"/>
      <c r="J321" s="305"/>
    </row>
    <row r="322" spans="1:10" s="52" customFormat="1">
      <c r="A322" s="37"/>
      <c r="B322" s="196"/>
      <c r="C322" s="413"/>
      <c r="D322" s="413"/>
      <c r="E322" s="315"/>
      <c r="F322" s="315"/>
      <c r="G322" s="590"/>
      <c r="H322" s="590"/>
      <c r="I322" s="590"/>
      <c r="J322" s="305"/>
    </row>
    <row r="323" spans="1:10" s="52" customFormat="1">
      <c r="A323" s="37"/>
      <c r="B323" s="196"/>
      <c r="C323" s="413"/>
      <c r="D323" s="413"/>
      <c r="E323" s="315"/>
      <c r="F323" s="315"/>
      <c r="G323" s="460"/>
      <c r="H323" s="460"/>
      <c r="I323" s="460"/>
      <c r="J323" s="264"/>
    </row>
    <row r="324" spans="1:10" s="52" customFormat="1">
      <c r="A324" s="37"/>
      <c r="B324" s="196"/>
      <c r="C324" s="413"/>
      <c r="D324" s="413"/>
      <c r="E324" s="264"/>
      <c r="F324" s="264"/>
      <c r="G324" s="264"/>
      <c r="H324" s="264"/>
    </row>
    <row r="325" spans="1:10" s="52" customFormat="1">
      <c r="A325" s="37"/>
      <c r="B325" s="196"/>
      <c r="C325" s="413"/>
      <c r="D325" s="413"/>
      <c r="E325" s="264"/>
      <c r="F325" s="264"/>
      <c r="G325" s="264"/>
      <c r="H325" s="264"/>
    </row>
    <row r="326" spans="1:10" s="52" customFormat="1">
      <c r="A326" s="37"/>
      <c r="B326" s="196"/>
      <c r="C326" s="413"/>
      <c r="D326" s="413"/>
      <c r="E326" s="264"/>
      <c r="F326" s="264"/>
      <c r="G326" s="264"/>
      <c r="H326" s="264"/>
    </row>
    <row r="327" spans="1:10" s="52" customFormat="1">
      <c r="A327" s="37"/>
      <c r="B327" s="196"/>
      <c r="C327" s="413"/>
      <c r="D327" s="413"/>
      <c r="E327" s="264"/>
      <c r="F327" s="264"/>
      <c r="G327" s="264"/>
      <c r="H327" s="264"/>
    </row>
    <row r="328" spans="1:10" s="52" customFormat="1">
      <c r="A328" s="37"/>
      <c r="B328" s="196"/>
      <c r="C328" s="413"/>
      <c r="D328" s="413"/>
      <c r="E328" s="264"/>
      <c r="F328" s="264"/>
      <c r="G328" s="264"/>
      <c r="H328" s="264"/>
    </row>
  </sheetData>
  <mergeCells count="87">
    <mergeCell ref="B142:D142"/>
    <mergeCell ref="E100:H100"/>
    <mergeCell ref="E107:H107"/>
    <mergeCell ref="E114:H114"/>
    <mergeCell ref="E121:H121"/>
    <mergeCell ref="E128:H128"/>
    <mergeCell ref="B106:D106"/>
    <mergeCell ref="B107:B109"/>
    <mergeCell ref="C107:C108"/>
    <mergeCell ref="D107:D108"/>
    <mergeCell ref="B120:D120"/>
    <mergeCell ref="B113:D113"/>
    <mergeCell ref="B114:B116"/>
    <mergeCell ref="C114:C115"/>
    <mergeCell ref="D114:D115"/>
    <mergeCell ref="B121:B123"/>
    <mergeCell ref="B2:F2"/>
    <mergeCell ref="B4:D4"/>
    <mergeCell ref="B5:B7"/>
    <mergeCell ref="C5:C6"/>
    <mergeCell ref="D5:D6"/>
    <mergeCell ref="E5:H5"/>
    <mergeCell ref="B12:D12"/>
    <mergeCell ref="B13:B15"/>
    <mergeCell ref="C13:C14"/>
    <mergeCell ref="D13:D14"/>
    <mergeCell ref="E13:H13"/>
    <mergeCell ref="E21:H21"/>
    <mergeCell ref="E29:H29"/>
    <mergeCell ref="E40:H40"/>
    <mergeCell ref="E48:H48"/>
    <mergeCell ref="B20:D20"/>
    <mergeCell ref="B21:B23"/>
    <mergeCell ref="C21:C22"/>
    <mergeCell ref="D21:D22"/>
    <mergeCell ref="B28:D28"/>
    <mergeCell ref="B29:B31"/>
    <mergeCell ref="C29:C30"/>
    <mergeCell ref="D29:D30"/>
    <mergeCell ref="B47:D47"/>
    <mergeCell ref="B48:B50"/>
    <mergeCell ref="B39:D39"/>
    <mergeCell ref="B40:B42"/>
    <mergeCell ref="C40:C41"/>
    <mergeCell ref="D40:D41"/>
    <mergeCell ref="C48:C49"/>
    <mergeCell ref="D48:D49"/>
    <mergeCell ref="B55:D55"/>
    <mergeCell ref="B56:B58"/>
    <mergeCell ref="C56:C57"/>
    <mergeCell ref="D56:D57"/>
    <mergeCell ref="E56:H56"/>
    <mergeCell ref="B73:D73"/>
    <mergeCell ref="B63:D63"/>
    <mergeCell ref="B64:B66"/>
    <mergeCell ref="C64:C65"/>
    <mergeCell ref="D64:D65"/>
    <mergeCell ref="E64:H64"/>
    <mergeCell ref="E90:H90"/>
    <mergeCell ref="B81:D81"/>
    <mergeCell ref="B82:B84"/>
    <mergeCell ref="C82:C83"/>
    <mergeCell ref="D82:D83"/>
    <mergeCell ref="B74:B76"/>
    <mergeCell ref="C74:C75"/>
    <mergeCell ref="D74:D75"/>
    <mergeCell ref="E74:H74"/>
    <mergeCell ref="E82:H82"/>
    <mergeCell ref="B99:D99"/>
    <mergeCell ref="B100:B102"/>
    <mergeCell ref="C100:C101"/>
    <mergeCell ref="D100:D101"/>
    <mergeCell ref="B89:D89"/>
    <mergeCell ref="B90:B92"/>
    <mergeCell ref="C90:C91"/>
    <mergeCell ref="D90:D91"/>
    <mergeCell ref="C121:C122"/>
    <mergeCell ref="D121:D122"/>
    <mergeCell ref="B127:D127"/>
    <mergeCell ref="B128:B130"/>
    <mergeCell ref="C128:C129"/>
    <mergeCell ref="D128:D129"/>
    <mergeCell ref="B135:D135"/>
    <mergeCell ref="B136:B138"/>
    <mergeCell ref="C136:C137"/>
    <mergeCell ref="D136:D137"/>
    <mergeCell ref="E136:H136"/>
  </mergeCells>
  <pageMargins left="0.47" right="0.51" top="0.75" bottom="0.75" header="0.3" footer="0.3"/>
  <pageSetup paperSize="9" scale="68" orientation="landscape" r:id="rId1"/>
  <rowBreaks count="3" manualBreakCount="3">
    <brk id="35" max="16383" man="1"/>
    <brk id="70" max="7" man="1"/>
    <brk id="96" max="7"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pageSetUpPr autoPageBreaks="0"/>
  </sheetPr>
  <dimension ref="B2:AC45"/>
  <sheetViews>
    <sheetView showGridLines="0" view="pageBreakPreview" zoomScale="70" zoomScaleNormal="100" zoomScaleSheetLayoutView="70" workbookViewId="0">
      <pane xSplit="2" topLeftCell="G1" activePane="topRight" state="frozen"/>
      <selection pane="topRight" activeCell="G23" sqref="G23"/>
    </sheetView>
  </sheetViews>
  <sheetFormatPr defaultColWidth="9.140625" defaultRowHeight="13.15"/>
  <cols>
    <col min="1" max="1" width="3.7109375" style="292" customWidth="1"/>
    <col min="2" max="2" width="18.5703125" style="292" customWidth="1"/>
    <col min="3" max="3" width="14.7109375" style="444" customWidth="1"/>
    <col min="4" max="4" width="11.5703125" style="444" customWidth="1"/>
    <col min="5" max="5" width="14.7109375" style="444" customWidth="1"/>
    <col min="6" max="6" width="11.5703125" style="444" customWidth="1"/>
    <col min="7" max="7" width="15.85546875" style="444" customWidth="1"/>
    <col min="8" max="8" width="11.5703125" style="444" customWidth="1"/>
    <col min="9" max="9" width="16.42578125" style="444" customWidth="1"/>
    <col min="10" max="10" width="11.5703125" style="444" customWidth="1"/>
    <col min="11" max="11" width="15.85546875" style="444" customWidth="1"/>
    <col min="12" max="12" width="13.5703125" style="444" customWidth="1"/>
    <col min="13" max="13" width="7" style="444" customWidth="1"/>
    <col min="14" max="14" width="13.140625" style="444" customWidth="1"/>
    <col min="15" max="15" width="9.5703125" style="444" customWidth="1"/>
    <col min="16" max="21" width="7" style="444" customWidth="1"/>
    <col min="22" max="29" width="9.140625" style="444"/>
    <col min="30" max="16384" width="9.140625" style="292"/>
  </cols>
  <sheetData>
    <row r="2" spans="2:25" ht="12.75" customHeight="1">
      <c r="B2" s="295" t="s">
        <v>137</v>
      </c>
      <c r="C2" s="458"/>
      <c r="D2" s="458"/>
      <c r="E2" s="442"/>
      <c r="F2" s="442"/>
      <c r="G2" s="442"/>
      <c r="H2" s="442"/>
      <c r="I2" s="442"/>
      <c r="J2" s="442"/>
      <c r="K2" s="442"/>
      <c r="L2" s="442"/>
      <c r="M2" s="442"/>
      <c r="N2" s="442"/>
      <c r="P2" s="441"/>
      <c r="Q2" s="442"/>
      <c r="R2" s="442"/>
      <c r="S2" s="442"/>
      <c r="T2" s="442"/>
      <c r="U2" s="442"/>
      <c r="V2" s="442"/>
      <c r="W2" s="442"/>
      <c r="X2" s="442"/>
    </row>
    <row r="3" spans="2:25" ht="15.75" customHeight="1">
      <c r="B3" s="458"/>
      <c r="C3" s="458"/>
      <c r="D3" s="458"/>
      <c r="E3" s="442"/>
      <c r="F3" s="442"/>
      <c r="G3" s="442"/>
      <c r="H3" s="442"/>
      <c r="I3" s="442"/>
      <c r="J3" s="442"/>
      <c r="K3" s="442"/>
      <c r="L3" s="442"/>
      <c r="M3" s="442"/>
      <c r="N3" s="442"/>
      <c r="P3" s="442"/>
      <c r="Q3" s="442"/>
      <c r="R3" s="442"/>
      <c r="S3" s="442"/>
      <c r="T3" s="442"/>
      <c r="U3" s="442"/>
      <c r="V3" s="442"/>
      <c r="W3" s="442"/>
      <c r="X3" s="442"/>
      <c r="Y3" s="442"/>
    </row>
    <row r="4" spans="2:25" ht="36" customHeight="1">
      <c r="B4" s="3211" t="s">
        <v>84</v>
      </c>
      <c r="C4" s="3202">
        <v>2018</v>
      </c>
      <c r="D4" s="3203"/>
      <c r="E4" s="3202">
        <v>2019</v>
      </c>
      <c r="F4" s="3208"/>
      <c r="G4" s="3203">
        <v>2020</v>
      </c>
      <c r="H4" s="3203"/>
      <c r="I4" s="3202" t="s">
        <v>138</v>
      </c>
      <c r="J4" s="3208"/>
      <c r="K4" s="3203" t="s">
        <v>139</v>
      </c>
      <c r="L4" s="3203"/>
      <c r="M4" s="442"/>
      <c r="N4" s="442"/>
      <c r="P4" s="448"/>
      <c r="Q4" s="448"/>
      <c r="R4" s="448"/>
      <c r="S4" s="442"/>
      <c r="T4" s="442"/>
      <c r="U4" s="442"/>
      <c r="V4" s="442"/>
      <c r="W4" s="442"/>
      <c r="X4" s="442"/>
      <c r="Y4" s="442"/>
    </row>
    <row r="5" spans="2:25" ht="26.45">
      <c r="B5" s="3212"/>
      <c r="C5" s="1591" t="s">
        <v>140</v>
      </c>
      <c r="D5" s="1540" t="s">
        <v>141</v>
      </c>
      <c r="E5" s="1122" t="s">
        <v>140</v>
      </c>
      <c r="F5" s="1122" t="s">
        <v>141</v>
      </c>
      <c r="G5" s="1122" t="s">
        <v>140</v>
      </c>
      <c r="H5" s="1122" t="s">
        <v>141</v>
      </c>
      <c r="I5" s="1122" t="s">
        <v>140</v>
      </c>
      <c r="J5" s="1122" t="s">
        <v>141</v>
      </c>
      <c r="K5" s="1122" t="s">
        <v>140</v>
      </c>
      <c r="L5" s="1122" t="s">
        <v>141</v>
      </c>
      <c r="M5" s="442"/>
      <c r="N5" s="442"/>
      <c r="O5" s="442"/>
      <c r="P5" s="448"/>
      <c r="Q5" s="448"/>
      <c r="R5" s="448"/>
      <c r="S5" s="442"/>
      <c r="T5" s="442"/>
      <c r="U5" s="442"/>
      <c r="V5" s="442"/>
      <c r="W5" s="442"/>
      <c r="X5" s="442"/>
      <c r="Y5" s="442"/>
    </row>
    <row r="6" spans="2:25" ht="20.100000000000001" customHeight="1">
      <c r="B6" s="3213"/>
      <c r="C6" s="1592" t="s">
        <v>142</v>
      </c>
      <c r="D6" s="1708" t="s">
        <v>143</v>
      </c>
      <c r="E6" s="1118" t="s">
        <v>142</v>
      </c>
      <c r="F6" s="1118" t="s">
        <v>143</v>
      </c>
      <c r="G6" s="1118" t="s">
        <v>142</v>
      </c>
      <c r="H6" s="1118" t="s">
        <v>143</v>
      </c>
      <c r="I6" s="1118" t="s">
        <v>142</v>
      </c>
      <c r="J6" s="1118" t="s">
        <v>143</v>
      </c>
      <c r="K6" s="1118" t="s">
        <v>142</v>
      </c>
      <c r="L6" s="1118" t="s">
        <v>143</v>
      </c>
      <c r="M6" s="445"/>
      <c r="N6" s="445"/>
      <c r="S6" s="446"/>
      <c r="T6" s="446"/>
      <c r="U6" s="446"/>
      <c r="V6" s="446"/>
      <c r="W6" s="446"/>
      <c r="X6" s="446"/>
      <c r="Y6" s="447"/>
    </row>
    <row r="7" spans="2:25" ht="21.6" customHeight="1">
      <c r="B7" s="1593" t="s">
        <v>90</v>
      </c>
      <c r="C7" s="1709">
        <v>12739351.071560001</v>
      </c>
      <c r="D7" s="1710">
        <f>(C7/$C$23)*100</f>
        <v>15.865889546674367</v>
      </c>
      <c r="E7" s="1709">
        <v>13848283.046369998</v>
      </c>
      <c r="F7" s="1710">
        <f>(E7/$E$23)*100</f>
        <v>15.59718959672945</v>
      </c>
      <c r="G7" s="1711">
        <v>14049559</v>
      </c>
      <c r="H7" s="1712">
        <f>(G7/$G$23)*100</f>
        <v>13.640318361926127</v>
      </c>
      <c r="I7" s="1713">
        <v>16517327.69294</v>
      </c>
      <c r="J7" s="1714">
        <f>(I7/$I$23)*100</f>
        <v>13.254579446315946</v>
      </c>
      <c r="K7" s="1715">
        <f>+VLOOKUP(B7,'1. GWP - LT + GI  (Final) '!B6:C33,2,)</f>
        <v>17568324.862730004</v>
      </c>
      <c r="L7" s="1716">
        <f>+VLOOKUP(B7,'1. GWP - LT + GI  (Final) '!B6:F33,5,'1. GWP - LT + GI  (Final) '!A18)</f>
        <v>12.892195179526725</v>
      </c>
      <c r="M7" s="445"/>
      <c r="N7" s="284"/>
      <c r="O7" s="845"/>
      <c r="P7" s="447"/>
      <c r="Q7" s="445"/>
      <c r="R7" s="445"/>
      <c r="S7" s="445"/>
      <c r="T7" s="445"/>
      <c r="U7" s="445"/>
      <c r="V7" s="445"/>
      <c r="W7" s="445"/>
      <c r="X7" s="446"/>
      <c r="Y7" s="447"/>
    </row>
    <row r="8" spans="2:25" ht="21.6" customHeight="1">
      <c r="B8" s="1683" t="s">
        <v>92</v>
      </c>
      <c r="C8" s="1709">
        <v>1301253.7999999998</v>
      </c>
      <c r="D8" s="1710">
        <f t="shared" ref="D8:D22" si="0">(C8/$C$23)*100</f>
        <v>1.6206123017584864</v>
      </c>
      <c r="E8" s="1709">
        <v>1403858</v>
      </c>
      <c r="F8" s="1710">
        <f t="shared" ref="F8:F22" si="1">(E8/$E$23)*100</f>
        <v>1.581151924723621</v>
      </c>
      <c r="G8" s="1711">
        <v>1476069.0338000001</v>
      </c>
      <c r="H8" s="1712">
        <f t="shared" ref="H8:H22" si="2">(G8/$G$23)*100</f>
        <v>1.4330735609005734</v>
      </c>
      <c r="I8" s="1713">
        <v>1886702.56736</v>
      </c>
      <c r="J8" s="1714">
        <f t="shared" ref="J8:J22" si="3">(I8/$I$23)*100</f>
        <v>1.5140130132146201</v>
      </c>
      <c r="K8" s="1715">
        <f>+VLOOKUP(B8,'1. GWP - LT + GI  (Final) '!B7:C34,2,)</f>
        <v>2307274.1605399996</v>
      </c>
      <c r="L8" s="1716">
        <f>+VLOOKUP(B8,'1. GWP - LT + GI  (Final) '!B7:F34,5,'1. GWP - LT + GI  (Final) '!A19)</f>
        <v>1.6931511138813291</v>
      </c>
      <c r="M8" s="445"/>
      <c r="N8" s="284"/>
      <c r="O8" s="845"/>
      <c r="P8" s="447"/>
      <c r="Q8" s="445"/>
      <c r="R8" s="445"/>
      <c r="S8" s="445"/>
      <c r="T8" s="445"/>
      <c r="U8" s="445"/>
      <c r="V8" s="445"/>
      <c r="W8" s="445"/>
      <c r="X8" s="446"/>
      <c r="Y8" s="447"/>
    </row>
    <row r="9" spans="2:25" ht="21.6" customHeight="1">
      <c r="B9" s="1683" t="s">
        <v>93</v>
      </c>
      <c r="C9" s="1709">
        <v>827947.50699999998</v>
      </c>
      <c r="D9" s="1710">
        <f t="shared" si="0"/>
        <v>1.0311454345451061</v>
      </c>
      <c r="E9" s="1717">
        <v>851292.85400000005</v>
      </c>
      <c r="F9" s="1710">
        <f t="shared" si="1"/>
        <v>0.95880305173711622</v>
      </c>
      <c r="G9" s="1711">
        <v>767231.68499999994</v>
      </c>
      <c r="H9" s="1712">
        <f t="shared" si="2"/>
        <v>0.74488348287352091</v>
      </c>
      <c r="I9" s="1713">
        <v>929830.47899000009</v>
      </c>
      <c r="J9" s="1714">
        <f t="shared" si="3"/>
        <v>0.74615653236975077</v>
      </c>
      <c r="K9" s="1715">
        <f>+VLOOKUP(B9,'1. GWP - LT + GI  (Final) '!B8:C35,2,)</f>
        <v>1059623.6349760001</v>
      </c>
      <c r="L9" s="1716">
        <f>+VLOOKUP(B9,'1. GWP - LT + GI  (Final) '!B8:F35,5,'1. GWP - LT + GI  (Final) '!A20)</f>
        <v>0.77758550264122128</v>
      </c>
      <c r="M9" s="445"/>
      <c r="N9" s="284"/>
      <c r="O9" s="845"/>
      <c r="P9" s="447"/>
      <c r="Q9" s="445"/>
      <c r="R9" s="445"/>
      <c r="S9" s="445"/>
      <c r="T9" s="445"/>
      <c r="U9" s="445"/>
      <c r="V9" s="445"/>
      <c r="W9" s="445"/>
      <c r="X9" s="446"/>
      <c r="Y9" s="447"/>
    </row>
    <row r="10" spans="2:25" ht="21.6" customHeight="1">
      <c r="B10" s="1683" t="s">
        <v>95</v>
      </c>
      <c r="C10" s="1709">
        <v>1387432</v>
      </c>
      <c r="D10" s="1710">
        <f t="shared" si="0"/>
        <v>1.7279406731057236</v>
      </c>
      <c r="E10" s="1717">
        <v>1633155.997</v>
      </c>
      <c r="F10" s="1710">
        <f t="shared" si="1"/>
        <v>1.8394080797562675</v>
      </c>
      <c r="G10" s="1711">
        <v>1836100.2600100003</v>
      </c>
      <c r="H10" s="1712">
        <f>(G10/$G$23)*100</f>
        <v>1.7826176672842005</v>
      </c>
      <c r="I10" s="1713">
        <v>2311632.9299545996</v>
      </c>
      <c r="J10" s="1714">
        <f t="shared" si="3"/>
        <v>1.8550048101243204</v>
      </c>
      <c r="K10" s="1715">
        <f>+VLOOKUP(B10,'1. GWP - LT + GI  (Final) '!B9:C36,2,)</f>
        <v>2318578.3563300003</v>
      </c>
      <c r="L10" s="1716">
        <f>+VLOOKUP(B10,'1. GWP - LT + GI  (Final) '!B9:F36,5,'1. GWP - LT + GI  (Final) '!A21)</f>
        <v>1.7014464920469188</v>
      </c>
      <c r="M10" s="445"/>
      <c r="N10" s="284"/>
      <c r="O10" s="845"/>
      <c r="P10" s="447"/>
      <c r="Q10" s="445"/>
      <c r="R10" s="445"/>
      <c r="S10" s="445"/>
      <c r="T10" s="445"/>
      <c r="U10" s="445"/>
      <c r="V10" s="445"/>
      <c r="W10" s="445"/>
      <c r="X10" s="446"/>
      <c r="Y10" s="446"/>
    </row>
    <row r="11" spans="2:25" ht="21.6" customHeight="1">
      <c r="B11" s="1683" t="s">
        <v>96</v>
      </c>
      <c r="C11" s="1709">
        <v>17812774.184009999</v>
      </c>
      <c r="D11" s="1710">
        <f t="shared" si="0"/>
        <v>22.1844508512118</v>
      </c>
      <c r="E11" s="1717">
        <v>18718553.16866</v>
      </c>
      <c r="F11" s="1710">
        <f t="shared" si="1"/>
        <v>21.082528553933656</v>
      </c>
      <c r="G11" s="1711">
        <v>22076250.385849994</v>
      </c>
      <c r="H11" s="1712">
        <f t="shared" si="2"/>
        <v>21.433205376808512</v>
      </c>
      <c r="I11" s="1713">
        <v>25565050.494479999</v>
      </c>
      <c r="J11" s="1714">
        <f t="shared" si="3"/>
        <v>20.515061463180889</v>
      </c>
      <c r="K11" s="1715">
        <f>+VLOOKUP(B11,'1. GWP - LT + GI  (Final) '!B10:C37,2,)</f>
        <v>29160164.109129999</v>
      </c>
      <c r="L11" s="1716">
        <f>+VLOOKUP(B11,'1. GWP - LT + GI  (Final) '!B10:F37,5,'1. GWP - LT + GI  (Final) '!A22)</f>
        <v>21.398655255940866</v>
      </c>
      <c r="M11" s="445"/>
      <c r="N11" s="284"/>
      <c r="O11" s="845"/>
      <c r="P11" s="447"/>
      <c r="Q11" s="445"/>
      <c r="R11" s="445"/>
      <c r="S11" s="445"/>
      <c r="T11" s="445"/>
      <c r="U11" s="445"/>
      <c r="V11" s="445"/>
      <c r="W11" s="445"/>
      <c r="X11" s="446"/>
      <c r="Y11" s="446"/>
    </row>
    <row r="12" spans="2:25" ht="21.6" customHeight="1">
      <c r="B12" s="1681" t="s">
        <v>99</v>
      </c>
      <c r="C12" s="1685"/>
      <c r="D12" s="1685"/>
      <c r="E12" s="1685"/>
      <c r="F12" s="1685"/>
      <c r="G12" s="1685"/>
      <c r="H12" s="1685"/>
      <c r="I12" s="1685"/>
      <c r="J12" s="1685"/>
      <c r="K12" s="1715">
        <f>+VLOOKUP(B12,'1. GWP - LT + GI  (Final) '!B11:C38,2,)</f>
        <v>10331.803</v>
      </c>
      <c r="L12" s="1716">
        <f>+VLOOKUP(B12,'1. GWP - LT + GI  (Final) '!B11:F38,5,'1. GWP - LT + GI  (Final) '!A23)</f>
        <v>7.5818054295542781E-3</v>
      </c>
      <c r="M12" s="445"/>
      <c r="N12" s="284"/>
      <c r="O12" s="845"/>
      <c r="P12" s="447"/>
      <c r="Q12" s="445"/>
      <c r="R12" s="445"/>
      <c r="S12" s="445"/>
      <c r="T12" s="445"/>
      <c r="U12" s="445"/>
      <c r="V12" s="445"/>
      <c r="W12" s="445"/>
      <c r="X12" s="446"/>
      <c r="Y12" s="446"/>
    </row>
    <row r="13" spans="2:25" ht="21.6" customHeight="1">
      <c r="B13" s="1683" t="s">
        <v>100</v>
      </c>
      <c r="C13" s="1709">
        <v>619881</v>
      </c>
      <c r="D13" s="1710">
        <f t="shared" si="0"/>
        <v>0.77201447882523178</v>
      </c>
      <c r="E13" s="1717">
        <v>772782</v>
      </c>
      <c r="F13" s="1710">
        <f t="shared" si="1"/>
        <v>0.87037702295514885</v>
      </c>
      <c r="G13" s="1711">
        <v>775410.10019999999</v>
      </c>
      <c r="H13" s="1712">
        <f t="shared" si="2"/>
        <v>0.75282367423639684</v>
      </c>
      <c r="I13" s="1713">
        <v>840558.51451000082</v>
      </c>
      <c r="J13" s="1714">
        <f t="shared" si="3"/>
        <v>0.67451889415575528</v>
      </c>
      <c r="K13" s="1715">
        <f>+VLOOKUP(B13,'1. GWP - LT + GI  (Final) '!B11:C38,2,)</f>
        <v>1114508</v>
      </c>
      <c r="L13" s="1716">
        <f>+VLOOKUP(B13,'1. GWP - LT + GI  (Final) '!B11:F38,5,'1. GWP - LT + GI  (Final) '!A23)</f>
        <v>0.81786139415179326</v>
      </c>
      <c r="M13" s="445"/>
      <c r="N13" s="284"/>
      <c r="O13" s="845"/>
      <c r="P13" s="447"/>
      <c r="Q13" s="445"/>
      <c r="R13" s="445"/>
      <c r="S13" s="445"/>
      <c r="T13" s="445"/>
      <c r="U13" s="445"/>
      <c r="V13" s="445"/>
      <c r="W13" s="445"/>
      <c r="X13" s="446"/>
      <c r="Y13" s="446"/>
    </row>
    <row r="14" spans="2:25" ht="21.6" customHeight="1">
      <c r="B14" s="1683" t="s">
        <v>103</v>
      </c>
      <c r="C14" s="1709">
        <v>4420513</v>
      </c>
      <c r="D14" s="1710">
        <f t="shared" si="0"/>
        <v>5.5054115867967592</v>
      </c>
      <c r="E14" s="1717">
        <v>5175044</v>
      </c>
      <c r="F14" s="1710">
        <f t="shared" si="1"/>
        <v>5.8286028794432392</v>
      </c>
      <c r="G14" s="1711">
        <v>5487039</v>
      </c>
      <c r="H14" s="1712">
        <f t="shared" si="2"/>
        <v>5.3272105426444183</v>
      </c>
      <c r="I14" s="1713">
        <v>7091470</v>
      </c>
      <c r="J14" s="1714">
        <f t="shared" si="3"/>
        <v>5.6906573662240882</v>
      </c>
      <c r="K14" s="1715">
        <f>+VLOOKUP(B14,'1. GWP - LT + GI  (Final) '!B12:C39,2,)</f>
        <v>8911460</v>
      </c>
      <c r="L14" s="1716">
        <f>+VLOOKUP(B14,'1. GWP - LT + GI  (Final) '!B12:F39,5,'1. GWP - LT + GI  (Final) '!A24)</f>
        <v>6.5395125916798609</v>
      </c>
      <c r="M14" s="445"/>
      <c r="N14" s="284"/>
      <c r="O14" s="845"/>
      <c r="P14" s="447"/>
      <c r="Q14" s="445"/>
      <c r="R14" s="445"/>
      <c r="S14" s="445"/>
      <c r="T14" s="445"/>
      <c r="U14" s="445"/>
      <c r="V14" s="445"/>
      <c r="W14" s="445"/>
      <c r="X14" s="446"/>
      <c r="Y14" s="446"/>
    </row>
    <row r="15" spans="2:25" ht="21.6" customHeight="1">
      <c r="B15" s="1683" t="s">
        <v>105</v>
      </c>
      <c r="C15" s="1709">
        <v>3008841.7831899999</v>
      </c>
      <c r="D15" s="1710">
        <f t="shared" si="0"/>
        <v>3.7472828189878524</v>
      </c>
      <c r="E15" s="1717">
        <v>3511660.4193100003</v>
      </c>
      <c r="F15" s="1710">
        <f t="shared" si="1"/>
        <v>3.9551497594256433</v>
      </c>
      <c r="G15" s="1711">
        <v>3819817.1688100002</v>
      </c>
      <c r="H15" s="1712">
        <f t="shared" si="2"/>
        <v>3.7085521522006291</v>
      </c>
      <c r="I15" s="1713">
        <v>5460891.8889800003</v>
      </c>
      <c r="J15" s="1714">
        <f t="shared" si="3"/>
        <v>4.3821752971072874</v>
      </c>
      <c r="K15" s="1715">
        <f>+VLOOKUP(B15,'1. GWP - LT + GI  (Final) '!B13:C40,2,)</f>
        <v>4811414.1280300003</v>
      </c>
      <c r="L15" s="1716">
        <f>+VLOOKUP(B15,'1. GWP - LT + GI  (Final) '!B13:F40,5,'1. GWP - LT + GI  (Final) '!A25)+0.001</f>
        <v>3.5317686141259195</v>
      </c>
      <c r="M15" s="445"/>
      <c r="N15" s="284"/>
      <c r="O15" s="845"/>
      <c r="P15" s="447"/>
      <c r="Q15" s="445"/>
      <c r="R15" s="445"/>
      <c r="S15" s="445"/>
      <c r="T15" s="445"/>
      <c r="U15" s="445"/>
      <c r="V15" s="445"/>
      <c r="W15" s="445"/>
      <c r="X15" s="446"/>
      <c r="Y15" s="446"/>
    </row>
    <row r="16" spans="2:25" ht="21.6" customHeight="1">
      <c r="B16" s="1683" t="s">
        <v>106</v>
      </c>
      <c r="C16" s="1709">
        <v>522698.42400000006</v>
      </c>
      <c r="D16" s="1710">
        <f t="shared" si="0"/>
        <v>0.65098099697704892</v>
      </c>
      <c r="E16" s="1717">
        <v>598896.37226999993</v>
      </c>
      <c r="F16" s="1710">
        <f t="shared" si="1"/>
        <v>0.67453129285490743</v>
      </c>
      <c r="G16" s="1711">
        <v>714127.02539999993</v>
      </c>
      <c r="H16" s="1712">
        <f t="shared" si="2"/>
        <v>0.69332567501309506</v>
      </c>
      <c r="I16" s="1713">
        <v>1004700.367</v>
      </c>
      <c r="J16" s="1714">
        <f t="shared" si="3"/>
        <v>0.80623700647631524</v>
      </c>
      <c r="K16" s="1715">
        <f>+VLOOKUP(B16,'1. GWP - LT + GI  (Final) '!B14:C41,2,)</f>
        <v>753996.95799999987</v>
      </c>
      <c r="L16" s="1716">
        <f>+VLOOKUP(B16,'1. GWP - LT + GI  (Final) '!B14:F41,5,'1. GWP - LT + GI  (Final) '!A26)</f>
        <v>0.55330693297499067</v>
      </c>
      <c r="M16" s="445"/>
      <c r="N16" s="284"/>
      <c r="O16" s="845"/>
      <c r="P16" s="447"/>
      <c r="Q16" s="445"/>
      <c r="R16" s="445"/>
      <c r="S16" s="445"/>
      <c r="T16" s="445"/>
      <c r="U16" s="445"/>
      <c r="V16" s="445"/>
      <c r="W16" s="445"/>
      <c r="X16" s="446"/>
      <c r="Y16" s="446"/>
    </row>
    <row r="17" spans="2:25" ht="21.6" customHeight="1">
      <c r="B17" s="1683" t="s">
        <v>107</v>
      </c>
      <c r="C17" s="1709">
        <v>2610784.7358000004</v>
      </c>
      <c r="D17" s="1710">
        <f t="shared" si="0"/>
        <v>3.2515331444801627</v>
      </c>
      <c r="E17" s="1717">
        <v>2682522.0977100004</v>
      </c>
      <c r="F17" s="1710">
        <f t="shared" si="1"/>
        <v>3.0212991469990644</v>
      </c>
      <c r="G17" s="1711">
        <v>3236480.3351400001</v>
      </c>
      <c r="H17" s="1712">
        <f t="shared" si="2"/>
        <v>3.1422069648892874</v>
      </c>
      <c r="I17" s="1713">
        <v>4420081.2318200003</v>
      </c>
      <c r="J17" s="1714">
        <f t="shared" si="3"/>
        <v>3.5469610420921649</v>
      </c>
      <c r="K17" s="1715">
        <f>+VLOOKUP(B17,'1. GWP - LT + GI  (Final) '!B16:C42,2,)</f>
        <v>4961325.5269299997</v>
      </c>
      <c r="L17" s="1716">
        <f>+VLOOKUP(B17,'1. GWP - LT + GI  (Final) '!B16:F42,5,'1. GWP - LT + GI  (Final) '!A27)</f>
        <v>3.6407783634535145</v>
      </c>
      <c r="M17" s="445"/>
      <c r="N17" s="284"/>
      <c r="O17" s="845"/>
      <c r="P17" s="447"/>
      <c r="Q17" s="445"/>
      <c r="R17" s="445"/>
      <c r="S17" s="445"/>
      <c r="T17" s="445"/>
      <c r="U17" s="445"/>
      <c r="V17" s="445"/>
      <c r="W17" s="445"/>
    </row>
    <row r="18" spans="2:25" ht="21.6" customHeight="1">
      <c r="B18" s="1683" t="s">
        <v>109</v>
      </c>
      <c r="C18" s="1709">
        <v>65839.044110000003</v>
      </c>
      <c r="D18" s="1710">
        <f t="shared" si="0"/>
        <v>8.1997504883894012E-2</v>
      </c>
      <c r="E18" s="1717">
        <v>54756.782999999996</v>
      </c>
      <c r="F18" s="1710">
        <f t="shared" si="1"/>
        <v>6.167204434645359E-2</v>
      </c>
      <c r="G18" s="1711">
        <v>40995.975449999998</v>
      </c>
      <c r="H18" s="1712">
        <f t="shared" si="2"/>
        <v>3.9801829843606321E-2</v>
      </c>
      <c r="I18" s="1713">
        <v>40369.636539999992</v>
      </c>
      <c r="J18" s="1714">
        <f t="shared" si="3"/>
        <v>3.2395225467800055E-2</v>
      </c>
      <c r="K18" s="1715">
        <f>+VLOOKUP(B18,'1. GWP - LT + GI  (Final) '!B17:C43,2,)</f>
        <v>36849.434659999992</v>
      </c>
      <c r="L18" s="1716">
        <f>+VLOOKUP(B18,'1. GWP - LT + GI  (Final) '!B17:F43,5,'1. GWP - LT + GI  (Final) '!A28)</f>
        <v>2.7041286383527981E-2</v>
      </c>
      <c r="M18" s="445"/>
      <c r="N18" s="284"/>
      <c r="O18" s="845"/>
      <c r="P18" s="447"/>
      <c r="Q18" s="445"/>
      <c r="R18" s="445"/>
      <c r="S18" s="445"/>
      <c r="T18" s="445"/>
      <c r="U18" s="445"/>
      <c r="V18" s="445"/>
      <c r="W18" s="445"/>
    </row>
    <row r="19" spans="2:25" ht="21.6" customHeight="1">
      <c r="B19" s="1683" t="s">
        <v>113</v>
      </c>
      <c r="C19" s="1709">
        <v>521193.24899999995</v>
      </c>
      <c r="D19" s="1710">
        <f t="shared" si="0"/>
        <v>0.64910641638308675</v>
      </c>
      <c r="E19" s="1717">
        <v>537171.14145000023</v>
      </c>
      <c r="F19" s="1710">
        <f t="shared" si="1"/>
        <v>0.60501075194902365</v>
      </c>
      <c r="G19" s="1711">
        <v>694430.13576199999</v>
      </c>
      <c r="H19" s="1712">
        <f t="shared" si="2"/>
        <v>0.6742025235033543</v>
      </c>
      <c r="I19" s="1713">
        <v>1111941.1018479997</v>
      </c>
      <c r="J19" s="1714">
        <f t="shared" si="3"/>
        <v>0.89229395626557673</v>
      </c>
      <c r="K19" s="1715">
        <f>+VLOOKUP(B19,'1. GWP - LT + GI  (Final) '!B18:C44,2,)</f>
        <v>2568558</v>
      </c>
      <c r="L19" s="1716">
        <f>+VLOOKUP(B19,'1. GWP - LT + GI  (Final) '!B18:F44,5,'1. GWP - LT + GI  (Final) '!A29)</f>
        <v>1.8848894999764394</v>
      </c>
      <c r="M19" s="445"/>
      <c r="N19" s="284"/>
      <c r="O19" s="845"/>
      <c r="P19" s="447"/>
      <c r="Q19" s="445"/>
      <c r="R19" s="445"/>
      <c r="S19" s="445"/>
      <c r="T19" s="445"/>
      <c r="U19" s="445"/>
      <c r="V19" s="445"/>
      <c r="W19" s="445"/>
    </row>
    <row r="20" spans="2:25" ht="21.6" customHeight="1">
      <c r="B20" s="1683" t="s">
        <v>115</v>
      </c>
      <c r="C20" s="1709">
        <v>13205802.388500001</v>
      </c>
      <c r="D20" s="1710">
        <f t="shared" si="0"/>
        <v>16.446819064347558</v>
      </c>
      <c r="E20" s="1717">
        <v>14820024.634720001</v>
      </c>
      <c r="F20" s="1710">
        <f t="shared" si="1"/>
        <v>16.691652913356627</v>
      </c>
      <c r="G20" s="1711">
        <v>19257996.801399998</v>
      </c>
      <c r="H20" s="1712">
        <f t="shared" si="2"/>
        <v>18.697042902489041</v>
      </c>
      <c r="I20" s="1713">
        <v>21975987.715000004</v>
      </c>
      <c r="J20" s="1714">
        <f t="shared" si="3"/>
        <v>17.634963748054329</v>
      </c>
      <c r="K20" s="1715">
        <f>+VLOOKUP(B20,'1. GWP - LT + GI  (Final) '!B19:C45,2,)</f>
        <v>20930125.200769998</v>
      </c>
      <c r="L20" s="1716">
        <f>+VLOOKUP(B20,'1. GWP - LT + GI  (Final) '!B19:F45,5,'1. GWP - LT + GI  (Final) '!A30)</f>
        <v>15.359191119734744</v>
      </c>
      <c r="M20" s="445"/>
      <c r="N20" s="284"/>
      <c r="O20" s="845"/>
      <c r="P20" s="447"/>
      <c r="Q20" s="445"/>
      <c r="R20" s="445"/>
      <c r="S20" s="445"/>
      <c r="T20" s="445"/>
      <c r="U20" s="445"/>
      <c r="V20" s="445"/>
      <c r="W20" s="445"/>
    </row>
    <row r="21" spans="2:25" ht="21.6" customHeight="1">
      <c r="B21" s="1683" t="s">
        <v>144</v>
      </c>
      <c r="C21" s="1678">
        <v>10005733</v>
      </c>
      <c r="D21" s="1710">
        <f t="shared" si="0"/>
        <v>12.46137685662155</v>
      </c>
      <c r="E21" s="1678">
        <v>12531283</v>
      </c>
      <c r="F21" s="1710">
        <f t="shared" si="1"/>
        <v>14.113864959779686</v>
      </c>
      <c r="G21" s="1711">
        <v>15660116</v>
      </c>
      <c r="H21" s="1712">
        <f t="shared" si="2"/>
        <v>15.203962474885735</v>
      </c>
      <c r="I21" s="1713">
        <v>20053301.699699998</v>
      </c>
      <c r="J21" s="1714">
        <f t="shared" si="3"/>
        <v>16.092075272758937</v>
      </c>
      <c r="K21" s="1715">
        <f>+VLOOKUP(B21,'1. GWP - LT + GI  (Final) '!B20:C46,2,)</f>
        <v>23083425</v>
      </c>
      <c r="L21" s="1716">
        <f>+VLOOKUP(B21,'1. GWP - LT + GI  (Final) '!B20:F46,5,'1. GWP - LT + GI  (Final) '!A31)</f>
        <v>16.939350953333985</v>
      </c>
      <c r="M21" s="445"/>
      <c r="N21" s="284"/>
      <c r="O21" s="845"/>
      <c r="P21" s="447"/>
      <c r="Q21" s="445"/>
      <c r="R21" s="445"/>
      <c r="S21" s="445"/>
      <c r="T21" s="445"/>
      <c r="U21" s="445"/>
      <c r="V21" s="445"/>
      <c r="W21" s="445"/>
      <c r="X21" s="446"/>
      <c r="Y21" s="447"/>
    </row>
    <row r="22" spans="2:25" ht="21.6" customHeight="1">
      <c r="B22" s="1683" t="s">
        <v>117</v>
      </c>
      <c r="C22" s="1709">
        <v>11243915.224462166</v>
      </c>
      <c r="D22" s="1710">
        <f t="shared" si="0"/>
        <v>14.003438324401374</v>
      </c>
      <c r="E22" s="1709">
        <v>11647757</v>
      </c>
      <c r="F22" s="1710">
        <f t="shared" si="1"/>
        <v>13.118758022010082</v>
      </c>
      <c r="G22" s="1711">
        <v>13108605</v>
      </c>
      <c r="H22" s="1712">
        <f t="shared" si="2"/>
        <v>12.726772810501499</v>
      </c>
      <c r="I22" s="1713">
        <v>15406161</v>
      </c>
      <c r="J22" s="1714">
        <f t="shared" si="3"/>
        <v>12.36290692619221</v>
      </c>
      <c r="K22" s="1715">
        <f>+VLOOKUP(B22,'1. GWP - LT + GI  (Final) '!B21:C47,2,)</f>
        <v>16675053</v>
      </c>
      <c r="L22" s="1716">
        <f>+VLOOKUP(B22,'1. GWP - LT + GI  (Final) '!B21:F47,5,'1. GWP - LT + GI  (Final) '!A32)</f>
        <v>12.236683894718603</v>
      </c>
      <c r="M22" s="445"/>
      <c r="N22" s="284"/>
      <c r="O22" s="845"/>
      <c r="P22" s="447"/>
      <c r="Q22" s="445"/>
      <c r="R22" s="445"/>
      <c r="S22" s="445"/>
      <c r="T22" s="445"/>
      <c r="U22" s="445"/>
      <c r="V22" s="445"/>
      <c r="W22" s="445"/>
    </row>
    <row r="23" spans="2:25" ht="21.6" customHeight="1">
      <c r="B23" s="1718" t="s">
        <v>118</v>
      </c>
      <c r="C23" s="1719">
        <f>SUM(C7:C22)</f>
        <v>80293960.411632165</v>
      </c>
      <c r="D23" s="1719">
        <v>99.999999999999986</v>
      </c>
      <c r="E23" s="1719">
        <f>SUM(E7:E22)</f>
        <v>88787040.514490008</v>
      </c>
      <c r="F23" s="1719">
        <v>100.00000000000001</v>
      </c>
      <c r="G23" s="1690">
        <f>SUM(G7:G22)</f>
        <v>103000227.906822</v>
      </c>
      <c r="H23" s="1720">
        <f>G23/G23*100</f>
        <v>100</v>
      </c>
      <c r="I23" s="1690">
        <f>SUM(I7:I22)</f>
        <v>124616007.31912261</v>
      </c>
      <c r="J23" s="1720">
        <f>I23/I23*100</f>
        <v>100</v>
      </c>
      <c r="K23" s="1691">
        <f>SUM(K7:K22)</f>
        <v>136271012.17509601</v>
      </c>
      <c r="L23" s="1691">
        <f>+SUM(L7:L22)</f>
        <v>100.00099999999998</v>
      </c>
      <c r="M23" s="445"/>
      <c r="N23" s="284"/>
      <c r="O23" s="845"/>
      <c r="P23" s="445"/>
      <c r="Q23" s="445"/>
      <c r="R23" s="445"/>
      <c r="S23" s="445"/>
      <c r="T23" s="445"/>
      <c r="U23" s="445"/>
      <c r="V23" s="445"/>
      <c r="W23" s="445"/>
    </row>
    <row r="24" spans="2:25" ht="21.6" customHeight="1">
      <c r="B24" s="3209" t="s">
        <v>145</v>
      </c>
      <c r="C24" s="3204">
        <v>12.19</v>
      </c>
      <c r="D24" s="3205"/>
      <c r="E24" s="3204">
        <f>+(E23-C23)/C23*100</f>
        <v>10.577483112450201</v>
      </c>
      <c r="F24" s="3205"/>
      <c r="G24" s="3204">
        <f>+(G23-E23)/E23*100</f>
        <v>16.00817789394884</v>
      </c>
      <c r="H24" s="3205"/>
      <c r="I24" s="3204">
        <f>+(I23-G23)/G23*100</f>
        <v>20.986147168387909</v>
      </c>
      <c r="J24" s="3205"/>
      <c r="K24" s="3204">
        <f>+(K23-I23)/I23*100</f>
        <v>9.3527349388804435</v>
      </c>
      <c r="L24" s="3205"/>
      <c r="N24" s="284"/>
      <c r="O24" s="845"/>
    </row>
    <row r="25" spans="2:25" ht="21.6" customHeight="1">
      <c r="B25" s="3210"/>
      <c r="C25" s="3206"/>
      <c r="D25" s="3207"/>
      <c r="E25" s="3206"/>
      <c r="F25" s="3207"/>
      <c r="G25" s="3206"/>
      <c r="H25" s="3207"/>
      <c r="I25" s="3206"/>
      <c r="J25" s="3207"/>
      <c r="K25" s="3206"/>
      <c r="L25" s="3207"/>
      <c r="N25" s="284"/>
      <c r="O25" s="845"/>
    </row>
    <row r="26" spans="2:25">
      <c r="B26" s="614"/>
      <c r="D26" s="292"/>
      <c r="F26" s="412"/>
      <c r="G26" s="419"/>
      <c r="H26" s="52"/>
      <c r="I26" s="52"/>
      <c r="J26" s="52"/>
      <c r="O26" s="845">
        <f t="shared" ref="O23:O26" si="4">N26-F26</f>
        <v>0</v>
      </c>
    </row>
    <row r="27" spans="2:25">
      <c r="D27" s="52"/>
      <c r="F27" s="619"/>
      <c r="G27" s="305"/>
      <c r="H27" s="292"/>
      <c r="I27" s="52"/>
      <c r="L27" s="52">
        <v>2</v>
      </c>
    </row>
    <row r="28" spans="2:25">
      <c r="E28" s="491"/>
      <c r="F28" s="619"/>
      <c r="G28" s="491"/>
    </row>
    <row r="30" spans="2:25">
      <c r="C30" s="396"/>
      <c r="D30" s="396"/>
      <c r="E30" s="396"/>
      <c r="F30" s="396"/>
      <c r="G30" s="396"/>
      <c r="H30" s="396"/>
      <c r="I30" s="396"/>
      <c r="J30" s="396"/>
      <c r="W30" s="449"/>
    </row>
    <row r="31" spans="2:25">
      <c r="C31" s="396"/>
      <c r="D31" s="396"/>
      <c r="E31" s="396"/>
      <c r="F31" s="396"/>
      <c r="G31" s="305"/>
      <c r="H31" s="305"/>
      <c r="I31" s="305"/>
      <c r="J31" s="305"/>
      <c r="K31" s="305">
        <f>+K23-'1. GWP - LT + GI  (Final) '!C34</f>
        <v>0</v>
      </c>
      <c r="L31" s="52"/>
      <c r="W31" s="449"/>
    </row>
    <row r="32" spans="2:25">
      <c r="C32" s="396"/>
      <c r="D32" s="396"/>
      <c r="E32" s="396"/>
      <c r="F32" s="396"/>
      <c r="G32" s="305"/>
      <c r="H32" s="305"/>
      <c r="I32" s="305"/>
      <c r="J32" s="305"/>
      <c r="K32" s="52"/>
      <c r="L32" s="52"/>
    </row>
    <row r="33" spans="3:10">
      <c r="C33" s="396"/>
      <c r="D33" s="396"/>
      <c r="E33" s="396"/>
      <c r="F33" s="396"/>
      <c r="G33" s="396"/>
      <c r="H33" s="396"/>
      <c r="I33" s="396"/>
      <c r="J33" s="396"/>
    </row>
    <row r="34" spans="3:10">
      <c r="C34" s="396"/>
      <c r="D34" s="396"/>
      <c r="E34" s="396"/>
      <c r="F34" s="396"/>
      <c r="G34" s="396"/>
      <c r="H34" s="396"/>
      <c r="I34" s="396"/>
      <c r="J34" s="396"/>
    </row>
    <row r="35" spans="3:10">
      <c r="C35" s="396"/>
      <c r="D35" s="396"/>
      <c r="E35" s="396"/>
      <c r="F35" s="396"/>
      <c r="G35" s="396"/>
      <c r="H35" s="396"/>
      <c r="I35" s="396"/>
      <c r="J35" s="396"/>
    </row>
    <row r="36" spans="3:10">
      <c r="C36" s="396"/>
      <c r="D36" s="396"/>
      <c r="E36" s="396"/>
      <c r="F36" s="396"/>
      <c r="G36" s="396"/>
      <c r="H36" s="396"/>
      <c r="I36" s="396"/>
      <c r="J36" s="396"/>
    </row>
    <row r="37" spans="3:10">
      <c r="C37" s="396"/>
      <c r="D37" s="396"/>
      <c r="E37" s="396"/>
      <c r="F37" s="396"/>
      <c r="G37" s="396"/>
      <c r="H37" s="396"/>
      <c r="I37" s="396"/>
      <c r="J37" s="396"/>
    </row>
    <row r="38" spans="3:10">
      <c r="C38" s="396"/>
      <c r="D38" s="396"/>
      <c r="E38" s="396"/>
      <c r="F38" s="396"/>
      <c r="G38" s="396"/>
      <c r="H38" s="396"/>
      <c r="I38" s="396"/>
      <c r="J38" s="396"/>
    </row>
    <row r="39" spans="3:10">
      <c r="C39" s="396"/>
      <c r="D39" s="396"/>
      <c r="E39" s="396"/>
      <c r="F39" s="396"/>
      <c r="G39" s="396"/>
      <c r="H39" s="396"/>
      <c r="I39" s="396"/>
      <c r="J39" s="396"/>
    </row>
    <row r="40" spans="3:10">
      <c r="C40" s="396"/>
      <c r="D40" s="396"/>
      <c r="E40" s="396"/>
      <c r="F40" s="396"/>
      <c r="G40" s="396"/>
      <c r="H40" s="396"/>
      <c r="I40" s="396"/>
      <c r="J40" s="396"/>
    </row>
    <row r="41" spans="3:10">
      <c r="C41" s="396"/>
      <c r="D41" s="396"/>
      <c r="E41" s="396"/>
      <c r="F41" s="396"/>
      <c r="G41" s="396"/>
      <c r="H41" s="396"/>
      <c r="I41" s="396"/>
      <c r="J41" s="396"/>
    </row>
    <row r="42" spans="3:10">
      <c r="C42" s="396"/>
      <c r="D42" s="396"/>
      <c r="E42" s="396"/>
      <c r="F42" s="396"/>
      <c r="G42" s="396"/>
      <c r="H42" s="396"/>
      <c r="I42" s="396"/>
      <c r="J42" s="396"/>
    </row>
    <row r="43" spans="3:10">
      <c r="C43" s="396"/>
      <c r="D43" s="396"/>
      <c r="E43" s="396"/>
      <c r="F43" s="396"/>
      <c r="G43" s="396"/>
      <c r="H43" s="396"/>
      <c r="I43" s="396"/>
      <c r="J43" s="396"/>
    </row>
    <row r="44" spans="3:10">
      <c r="C44" s="396"/>
      <c r="D44" s="396"/>
      <c r="E44" s="396"/>
      <c r="F44" s="396"/>
      <c r="G44" s="396"/>
      <c r="H44" s="396"/>
      <c r="I44" s="396"/>
      <c r="J44" s="396"/>
    </row>
    <row r="45" spans="3:10">
      <c r="C45" s="396"/>
      <c r="D45" s="396"/>
      <c r="E45" s="396"/>
      <c r="F45" s="396"/>
      <c r="G45" s="396"/>
      <c r="H45" s="396"/>
      <c r="I45" s="396"/>
      <c r="J45" s="396"/>
    </row>
  </sheetData>
  <mergeCells count="12">
    <mergeCell ref="E4:F4"/>
    <mergeCell ref="B24:B25"/>
    <mergeCell ref="C24:D25"/>
    <mergeCell ref="E24:F25"/>
    <mergeCell ref="C4:D4"/>
    <mergeCell ref="B4:B6"/>
    <mergeCell ref="K4:L4"/>
    <mergeCell ref="K24:L25"/>
    <mergeCell ref="I4:J4"/>
    <mergeCell ref="I24:J25"/>
    <mergeCell ref="G4:H4"/>
    <mergeCell ref="G24:H25"/>
  </mergeCells>
  <pageMargins left="0.5" right="0.2" top="0.75" bottom="0.1" header="0.3" footer="0.3"/>
  <pageSetup paperSize="9" scale="69" orientation="landscape" r:id="rId1"/>
  <rowBreaks count="1" manualBreakCount="1">
    <brk id="31" max="16383" man="1"/>
  </rowBreak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13">
    <tabColor rgb="FFFFC000"/>
  </sheetPr>
  <dimension ref="A1:K170"/>
  <sheetViews>
    <sheetView topLeftCell="A97" workbookViewId="0">
      <selection activeCell="K103" sqref="K103"/>
    </sheetView>
  </sheetViews>
  <sheetFormatPr defaultRowHeight="14.45"/>
  <cols>
    <col min="2" max="2" width="13.7109375" customWidth="1"/>
    <col min="3" max="3" width="13.85546875" customWidth="1"/>
    <col min="4" max="4" width="12.7109375" customWidth="1"/>
    <col min="5" max="5" width="12.85546875" customWidth="1"/>
    <col min="6" max="6" width="12.7109375" customWidth="1"/>
    <col min="7" max="7" width="13.28515625" customWidth="1"/>
    <col min="8" max="8" width="13.42578125" customWidth="1"/>
    <col min="9" max="9" width="12.5703125" customWidth="1"/>
    <col min="10" max="10" width="13.140625" customWidth="1"/>
    <col min="11" max="11" width="16.140625" customWidth="1"/>
  </cols>
  <sheetData>
    <row r="1" spans="1:11">
      <c r="B1" s="150"/>
    </row>
    <row r="2" spans="1:11" s="52" customFormat="1" ht="20.25" customHeight="1">
      <c r="A2" s="402"/>
      <c r="B2" s="406" t="s">
        <v>818</v>
      </c>
      <c r="C2" s="407"/>
      <c r="D2" s="405"/>
      <c r="E2" s="405"/>
      <c r="F2" s="405"/>
      <c r="G2" s="405"/>
      <c r="H2" s="405"/>
    </row>
    <row r="3" spans="1:11" s="54" customFormat="1" ht="13.15">
      <c r="A3" s="53"/>
      <c r="C3" s="54" t="s">
        <v>677</v>
      </c>
    </row>
    <row r="4" spans="1:11" s="54" customFormat="1" ht="13.15">
      <c r="A4" s="53"/>
      <c r="B4" s="3599" t="s">
        <v>810</v>
      </c>
      <c r="C4" s="3653" t="s">
        <v>811</v>
      </c>
      <c r="D4" s="3649" t="s">
        <v>819</v>
      </c>
      <c r="E4" s="3650"/>
      <c r="F4" s="3650"/>
      <c r="G4" s="3650"/>
      <c r="H4" s="3650"/>
      <c r="I4" s="3650"/>
      <c r="J4" s="3650"/>
      <c r="K4" s="3651"/>
    </row>
    <row r="5" spans="1:11" s="54" customFormat="1" ht="115.15">
      <c r="A5" s="53"/>
      <c r="B5" s="3599"/>
      <c r="C5" s="3653"/>
      <c r="D5" s="56" t="s">
        <v>820</v>
      </c>
      <c r="E5" s="56" t="s">
        <v>821</v>
      </c>
      <c r="F5" s="56" t="s">
        <v>822</v>
      </c>
      <c r="G5" s="2832" t="s">
        <v>823</v>
      </c>
      <c r="H5" s="2643" t="s">
        <v>824</v>
      </c>
      <c r="I5" s="2643" t="s">
        <v>825</v>
      </c>
      <c r="J5" s="2643" t="s">
        <v>826</v>
      </c>
      <c r="K5" s="2696" t="s">
        <v>118</v>
      </c>
    </row>
    <row r="6" spans="1:11" s="54" customFormat="1" ht="18.75" customHeight="1">
      <c r="A6" s="53"/>
      <c r="B6" s="2696">
        <v>2013</v>
      </c>
      <c r="C6" s="56"/>
      <c r="D6" s="56"/>
      <c r="E6" s="56"/>
      <c r="F6" s="56"/>
      <c r="G6" s="2832"/>
      <c r="H6" s="2643"/>
      <c r="I6" s="2643"/>
      <c r="J6" s="2643"/>
      <c r="K6" s="2833">
        <f>SUM(D6:J6)</f>
        <v>0</v>
      </c>
    </row>
    <row r="7" spans="1:11" s="52" customFormat="1" ht="20.100000000000001" customHeight="1">
      <c r="A7" s="37"/>
      <c r="B7" s="296">
        <v>2012</v>
      </c>
      <c r="C7" s="235">
        <v>514472</v>
      </c>
      <c r="D7" s="1678">
        <v>13879602.7457377</v>
      </c>
      <c r="E7" s="1678">
        <v>1943912.6645899999</v>
      </c>
      <c r="F7" s="1678">
        <v>246384.57386999999</v>
      </c>
      <c r="G7" s="1678">
        <v>1240117.24306</v>
      </c>
      <c r="H7" s="1678">
        <v>0</v>
      </c>
      <c r="I7" s="1678">
        <v>13913</v>
      </c>
      <c r="J7" s="1678">
        <v>1746</v>
      </c>
      <c r="K7" s="1711">
        <f>SUM(D7:J7)</f>
        <v>17325676.227257699</v>
      </c>
    </row>
    <row r="8" spans="1:11" s="52" customFormat="1" ht="20.100000000000001" customHeight="1">
      <c r="A8" s="37"/>
      <c r="B8" s="2696">
        <v>2011</v>
      </c>
      <c r="C8" s="1678">
        <v>526023</v>
      </c>
      <c r="D8" s="1678">
        <v>10855730.399096599</v>
      </c>
      <c r="E8" s="1678">
        <v>2991408.6</v>
      </c>
      <c r="F8" s="1678">
        <v>176329.26988000001</v>
      </c>
      <c r="G8" s="1678">
        <v>1015245</v>
      </c>
      <c r="H8" s="1678">
        <v>0</v>
      </c>
      <c r="I8" s="1678">
        <v>10722</v>
      </c>
      <c r="J8" s="1678">
        <v>2561</v>
      </c>
      <c r="K8" s="1711">
        <f>SUM(D8:J8)</f>
        <v>15051996.268976599</v>
      </c>
    </row>
    <row r="9" spans="1:11" s="52" customFormat="1" ht="20.100000000000001" customHeight="1">
      <c r="A9" s="37"/>
      <c r="B9" s="2696">
        <v>2010</v>
      </c>
      <c r="C9" s="1678">
        <v>516139</v>
      </c>
      <c r="D9" s="1678">
        <v>8595701.2015300002</v>
      </c>
      <c r="E9" s="1678">
        <v>2186148</v>
      </c>
      <c r="F9" s="1678">
        <v>143053</v>
      </c>
      <c r="G9" s="1678">
        <v>630302</v>
      </c>
      <c r="H9" s="1678">
        <v>0</v>
      </c>
      <c r="I9" s="1678">
        <v>398</v>
      </c>
      <c r="J9" s="1678">
        <v>1700</v>
      </c>
      <c r="K9" s="1711">
        <f>SUM(D9:J9)</f>
        <v>11557302.20153</v>
      </c>
    </row>
    <row r="10" spans="1:11" s="52" customFormat="1" ht="20.100000000000001" customHeight="1">
      <c r="A10" s="37"/>
      <c r="B10" s="2696">
        <v>2009</v>
      </c>
      <c r="C10" s="1678">
        <v>468317</v>
      </c>
      <c r="D10" s="1678">
        <v>6504464.7420000006</v>
      </c>
      <c r="E10" s="1678">
        <v>397054</v>
      </c>
      <c r="F10" s="1678">
        <v>102278</v>
      </c>
      <c r="G10" s="1678">
        <v>510352</v>
      </c>
      <c r="H10" s="1678">
        <v>0</v>
      </c>
      <c r="I10" s="1678">
        <v>343</v>
      </c>
      <c r="J10" s="1678">
        <v>2061</v>
      </c>
      <c r="K10" s="1711">
        <f>SUM(D10:J10)</f>
        <v>7516552.7420000006</v>
      </c>
    </row>
    <row r="11" spans="1:11" s="52" customFormat="1" ht="20.100000000000001" customHeight="1">
      <c r="A11" s="37"/>
      <c r="B11" s="196"/>
      <c r="C11" s="264"/>
      <c r="D11" s="264"/>
      <c r="E11" s="264"/>
      <c r="F11" s="264"/>
      <c r="G11" s="264"/>
      <c r="H11" s="264"/>
      <c r="I11" s="264"/>
      <c r="J11" s="264"/>
      <c r="K11" s="305"/>
    </row>
    <row r="12" spans="1:11" s="52" customFormat="1" ht="20.100000000000001" customHeight="1">
      <c r="A12" s="37"/>
      <c r="B12" s="196"/>
      <c r="C12" s="264"/>
      <c r="D12" s="264"/>
      <c r="E12" s="264"/>
      <c r="F12" s="264"/>
      <c r="G12" s="264"/>
      <c r="H12" s="264"/>
      <c r="I12" s="264"/>
      <c r="J12" s="264"/>
      <c r="K12" s="305"/>
    </row>
    <row r="13" spans="1:11">
      <c r="B13">
        <v>1</v>
      </c>
      <c r="C13" s="306" t="s">
        <v>125</v>
      </c>
    </row>
    <row r="14" spans="1:11" s="54" customFormat="1" ht="13.15">
      <c r="A14" s="53"/>
      <c r="B14" s="3647" t="s">
        <v>810</v>
      </c>
      <c r="C14" s="3654" t="s">
        <v>811</v>
      </c>
      <c r="D14" s="3649" t="s">
        <v>819</v>
      </c>
      <c r="E14" s="3650"/>
      <c r="F14" s="3650"/>
      <c r="G14" s="3650"/>
      <c r="H14" s="3650"/>
      <c r="I14" s="3650"/>
      <c r="J14" s="3650"/>
      <c r="K14" s="3651"/>
    </row>
    <row r="15" spans="1:11" s="54" customFormat="1" ht="115.15">
      <c r="A15" s="53"/>
      <c r="B15" s="3648"/>
      <c r="C15" s="3655"/>
      <c r="D15" s="56" t="s">
        <v>820</v>
      </c>
      <c r="E15" s="56" t="s">
        <v>821</v>
      </c>
      <c r="F15" s="56" t="s">
        <v>822</v>
      </c>
      <c r="G15" s="57" t="s">
        <v>823</v>
      </c>
      <c r="H15" s="2643" t="s">
        <v>827</v>
      </c>
      <c r="I15" s="2643" t="s">
        <v>828</v>
      </c>
      <c r="J15" s="2643" t="s">
        <v>826</v>
      </c>
      <c r="K15" s="2696" t="s">
        <v>118</v>
      </c>
    </row>
    <row r="16" spans="1:11" s="54" customFormat="1">
      <c r="A16" s="53"/>
      <c r="B16" s="2696">
        <v>2013</v>
      </c>
      <c r="C16" s="56"/>
      <c r="D16" s="56"/>
      <c r="E16" s="56"/>
      <c r="F16" s="56"/>
      <c r="G16" s="57"/>
      <c r="H16" s="2643"/>
      <c r="I16" s="2643"/>
      <c r="J16" s="2643"/>
      <c r="K16" s="2833">
        <f>SUM(D16:J16)</f>
        <v>0</v>
      </c>
    </row>
    <row r="17" spans="1:11" s="52" customFormat="1" ht="20.100000000000001" customHeight="1">
      <c r="A17" s="37"/>
      <c r="B17" s="296">
        <v>2012</v>
      </c>
      <c r="C17" s="2708">
        <v>65608</v>
      </c>
      <c r="D17" s="2708">
        <v>806424.48422999994</v>
      </c>
      <c r="E17" s="2708">
        <v>986538.66458999994</v>
      </c>
      <c r="F17" s="2708">
        <v>0</v>
      </c>
      <c r="G17" s="2708">
        <v>348958.24305999995</v>
      </c>
      <c r="H17" s="2708"/>
      <c r="I17" s="2708"/>
      <c r="J17" s="2708"/>
      <c r="K17" s="2712">
        <f>SUM(D17:J17)</f>
        <v>2141921.3918799995</v>
      </c>
    </row>
    <row r="18" spans="1:11" s="52" customFormat="1" ht="20.100000000000001" customHeight="1">
      <c r="A18" s="37"/>
      <c r="B18" s="2696">
        <v>2011</v>
      </c>
      <c r="C18" s="2710">
        <v>55158</v>
      </c>
      <c r="D18" s="2710">
        <v>473251</v>
      </c>
      <c r="E18" s="2710">
        <v>2228585</v>
      </c>
      <c r="F18" s="2710">
        <v>0</v>
      </c>
      <c r="G18" s="2710">
        <v>226596</v>
      </c>
      <c r="H18" s="2710"/>
      <c r="I18" s="2710"/>
      <c r="J18" s="2710"/>
      <c r="K18" s="2712">
        <f>SUM(D18:J18)</f>
        <v>2928432</v>
      </c>
    </row>
    <row r="19" spans="1:11" s="52" customFormat="1" ht="20.100000000000001" customHeight="1">
      <c r="A19" s="37"/>
      <c r="B19" s="2696">
        <v>2010</v>
      </c>
      <c r="C19" s="1684">
        <v>64078</v>
      </c>
      <c r="D19" s="1684">
        <v>477366</v>
      </c>
      <c r="E19" s="1684">
        <v>1837271</v>
      </c>
      <c r="F19" s="1684">
        <v>0</v>
      </c>
      <c r="G19" s="1684">
        <v>290036</v>
      </c>
      <c r="H19" s="1684"/>
      <c r="I19" s="1684"/>
      <c r="J19" s="1789"/>
      <c r="K19" s="2712">
        <f>SUM(D19:J19)</f>
        <v>2604673</v>
      </c>
    </row>
    <row r="20" spans="1:11" s="52" customFormat="1" ht="20.100000000000001" customHeight="1">
      <c r="A20" s="37"/>
      <c r="B20" s="2696">
        <v>2009</v>
      </c>
      <c r="C20" s="1684">
        <v>57369</v>
      </c>
      <c r="D20" s="1684">
        <v>414141</v>
      </c>
      <c r="E20" s="1684">
        <v>395503</v>
      </c>
      <c r="F20" s="1684">
        <v>0</v>
      </c>
      <c r="G20" s="1684">
        <v>264688</v>
      </c>
      <c r="H20" s="1684"/>
      <c r="I20" s="1684"/>
      <c r="J20" s="1789"/>
      <c r="K20" s="2712">
        <f>SUM(D20:J20)</f>
        <v>1074332</v>
      </c>
    </row>
    <row r="21" spans="1:11" s="54" customFormat="1" ht="13.15">
      <c r="A21" s="53"/>
      <c r="B21" s="196"/>
      <c r="C21" s="90"/>
      <c r="D21" s="90"/>
      <c r="E21" s="90"/>
      <c r="F21" s="90"/>
      <c r="G21" s="90"/>
      <c r="H21" s="90"/>
      <c r="I21" s="90"/>
      <c r="K21" s="305"/>
    </row>
    <row r="22" spans="1:11" s="54" customFormat="1" ht="13.15">
      <c r="A22" s="53"/>
      <c r="B22" s="196"/>
      <c r="C22" s="90"/>
      <c r="D22" s="90"/>
      <c r="E22" s="90"/>
      <c r="F22" s="90"/>
      <c r="G22" s="90"/>
      <c r="H22" s="90"/>
      <c r="I22" s="90"/>
      <c r="K22" s="305"/>
    </row>
    <row r="23" spans="1:11">
      <c r="B23">
        <v>2</v>
      </c>
      <c r="C23" s="307" t="s">
        <v>92</v>
      </c>
    </row>
    <row r="24" spans="1:11" s="54" customFormat="1" ht="13.15">
      <c r="A24" s="53"/>
      <c r="B24" s="3599" t="s">
        <v>810</v>
      </c>
      <c r="C24" s="3653" t="s">
        <v>811</v>
      </c>
      <c r="D24" s="3649" t="s">
        <v>819</v>
      </c>
      <c r="E24" s="3650"/>
      <c r="F24" s="3650"/>
      <c r="G24" s="3650"/>
      <c r="H24" s="3650"/>
      <c r="I24" s="3650"/>
      <c r="J24" s="3650"/>
      <c r="K24" s="3651"/>
    </row>
    <row r="25" spans="1:11" s="54" customFormat="1" ht="115.15">
      <c r="A25" s="53"/>
      <c r="B25" s="3599"/>
      <c r="C25" s="3653"/>
      <c r="D25" s="2834" t="s">
        <v>820</v>
      </c>
      <c r="E25" s="2643" t="s">
        <v>821</v>
      </c>
      <c r="F25" s="2643" t="s">
        <v>822</v>
      </c>
      <c r="G25" s="2832" t="s">
        <v>823</v>
      </c>
      <c r="H25" s="2643" t="s">
        <v>827</v>
      </c>
      <c r="I25" s="2643" t="s">
        <v>828</v>
      </c>
      <c r="J25" s="2643" t="s">
        <v>826</v>
      </c>
      <c r="K25" s="2696" t="s">
        <v>118</v>
      </c>
    </row>
    <row r="26" spans="1:11" s="54" customFormat="1">
      <c r="A26" s="53"/>
      <c r="B26" s="2696">
        <v>2013</v>
      </c>
      <c r="C26" s="2643"/>
      <c r="D26" s="2834"/>
      <c r="E26" s="2643"/>
      <c r="F26" s="2643"/>
      <c r="G26" s="332"/>
      <c r="H26" s="56"/>
      <c r="I26" s="56"/>
      <c r="J26" s="56"/>
      <c r="K26" s="333">
        <f>SUM(D26:J26)</f>
        <v>0</v>
      </c>
    </row>
    <row r="27" spans="1:11" s="52" customFormat="1" ht="20.100000000000001" customHeight="1">
      <c r="A27" s="37"/>
      <c r="B27" s="296">
        <v>2012</v>
      </c>
      <c r="C27" s="320">
        <v>11666</v>
      </c>
      <c r="D27" s="320">
        <v>215736.28183000002</v>
      </c>
      <c r="E27" s="320">
        <v>0</v>
      </c>
      <c r="F27" s="320">
        <v>0</v>
      </c>
      <c r="G27" s="323">
        <v>0</v>
      </c>
      <c r="H27" s="323">
        <v>0</v>
      </c>
      <c r="I27" s="323">
        <v>0</v>
      </c>
      <c r="J27" s="323">
        <v>0</v>
      </c>
      <c r="K27" s="321">
        <f>SUM(D27:J27)</f>
        <v>215736.28183000002</v>
      </c>
    </row>
    <row r="28" spans="1:11" s="52" customFormat="1" ht="20.100000000000001" customHeight="1">
      <c r="A28" s="37"/>
      <c r="B28" s="2696">
        <v>2011</v>
      </c>
      <c r="C28" s="2835">
        <v>8705</v>
      </c>
      <c r="D28" s="2835">
        <v>151998.15895999991</v>
      </c>
      <c r="E28" s="2835">
        <v>0</v>
      </c>
      <c r="F28" s="2835">
        <v>0</v>
      </c>
      <c r="G28" s="2835">
        <v>0</v>
      </c>
      <c r="H28" s="2835">
        <v>0</v>
      </c>
      <c r="I28" s="2835">
        <v>0</v>
      </c>
      <c r="J28" s="2712">
        <v>0</v>
      </c>
      <c r="K28" s="321">
        <f>SUM(D28:J28)</f>
        <v>151998.15895999991</v>
      </c>
    </row>
    <row r="29" spans="1:11" s="52" customFormat="1" ht="20.100000000000001" customHeight="1">
      <c r="A29" s="37"/>
      <c r="B29" s="2696">
        <v>2010</v>
      </c>
      <c r="C29" s="1684">
        <v>6562</v>
      </c>
      <c r="D29" s="1684">
        <v>108700.31298000002</v>
      </c>
      <c r="E29" s="1684"/>
      <c r="F29" s="1684"/>
      <c r="G29" s="1684"/>
      <c r="H29" s="1684"/>
      <c r="I29" s="1684"/>
      <c r="J29" s="1789"/>
      <c r="K29" s="321">
        <f>SUM(D29:J29)</f>
        <v>108700.31298000002</v>
      </c>
    </row>
    <row r="30" spans="1:11" s="52" customFormat="1" ht="20.100000000000001" customHeight="1">
      <c r="A30" s="37"/>
      <c r="B30" s="2696">
        <v>2009</v>
      </c>
      <c r="C30" s="1684">
        <v>5885</v>
      </c>
      <c r="D30" s="1684">
        <v>84782.741999999998</v>
      </c>
      <c r="E30" s="1684"/>
      <c r="F30" s="1684"/>
      <c r="G30" s="1684"/>
      <c r="H30" s="1684"/>
      <c r="I30" s="1684"/>
      <c r="J30" s="1789"/>
      <c r="K30" s="321">
        <f>SUM(D30:J30)</f>
        <v>84782.741999999998</v>
      </c>
    </row>
    <row r="31" spans="1:11" s="54" customFormat="1" ht="13.15">
      <c r="A31" s="53"/>
      <c r="B31" s="196"/>
      <c r="C31" s="90"/>
      <c r="D31" s="90"/>
      <c r="E31" s="90"/>
      <c r="F31" s="90"/>
      <c r="G31" s="90"/>
      <c r="H31" s="90"/>
      <c r="I31" s="90"/>
      <c r="K31" s="305"/>
    </row>
    <row r="32" spans="1:11" s="54" customFormat="1" ht="13.15">
      <c r="A32" s="53"/>
      <c r="B32" s="196"/>
      <c r="C32" s="90"/>
      <c r="D32" s="90"/>
      <c r="E32" s="90"/>
      <c r="F32" s="90"/>
      <c r="G32" s="90"/>
      <c r="H32" s="90"/>
      <c r="I32" s="90"/>
      <c r="K32" s="305"/>
    </row>
    <row r="33" spans="1:11">
      <c r="B33">
        <v>3</v>
      </c>
      <c r="C33" s="307" t="s">
        <v>126</v>
      </c>
    </row>
    <row r="34" spans="1:11" s="54" customFormat="1" ht="13.15">
      <c r="A34" s="53"/>
      <c r="B34" s="3599" t="s">
        <v>810</v>
      </c>
      <c r="C34" s="3653" t="s">
        <v>811</v>
      </c>
      <c r="D34" s="3649" t="s">
        <v>819</v>
      </c>
      <c r="E34" s="3650"/>
      <c r="F34" s="3650"/>
      <c r="G34" s="3650"/>
      <c r="H34" s="3650"/>
      <c r="I34" s="3650"/>
      <c r="J34" s="3650"/>
      <c r="K34" s="3651"/>
    </row>
    <row r="35" spans="1:11" s="54" customFormat="1" ht="115.15">
      <c r="A35" s="53"/>
      <c r="B35" s="3599"/>
      <c r="C35" s="3653"/>
      <c r="D35" s="2643" t="s">
        <v>820</v>
      </c>
      <c r="E35" s="2643" t="s">
        <v>821</v>
      </c>
      <c r="F35" s="2643" t="s">
        <v>822</v>
      </c>
      <c r="G35" s="2832" t="s">
        <v>823</v>
      </c>
      <c r="H35" s="2643" t="s">
        <v>827</v>
      </c>
      <c r="I35" s="2643" t="s">
        <v>828</v>
      </c>
      <c r="J35" s="2643" t="s">
        <v>826</v>
      </c>
      <c r="K35" s="2696" t="s">
        <v>118</v>
      </c>
    </row>
    <row r="36" spans="1:11" s="54" customFormat="1">
      <c r="A36" s="53"/>
      <c r="B36" s="2696">
        <v>2013</v>
      </c>
      <c r="C36" s="2643"/>
      <c r="D36" s="2643"/>
      <c r="E36" s="2643"/>
      <c r="F36" s="2643"/>
      <c r="G36" s="332"/>
      <c r="H36" s="56"/>
      <c r="I36" s="56"/>
      <c r="J36" s="56"/>
      <c r="K36" s="333">
        <f>SUM(D36:J36)</f>
        <v>0</v>
      </c>
    </row>
    <row r="37" spans="1:11" s="52" customFormat="1" ht="20.100000000000001" customHeight="1">
      <c r="A37" s="37"/>
      <c r="B37" s="296">
        <v>2012</v>
      </c>
      <c r="C37" s="320">
        <v>3927</v>
      </c>
      <c r="D37" s="320">
        <v>28471</v>
      </c>
      <c r="E37" s="320">
        <v>109190</v>
      </c>
      <c r="F37" s="320"/>
      <c r="G37" s="323"/>
      <c r="H37" s="323"/>
      <c r="I37" s="323">
        <v>6353</v>
      </c>
      <c r="J37" s="323"/>
      <c r="K37" s="321">
        <f>SUM(D37:J37)</f>
        <v>144014</v>
      </c>
    </row>
    <row r="38" spans="1:11" s="52" customFormat="1" ht="20.100000000000001" customHeight="1">
      <c r="A38" s="37"/>
      <c r="B38" s="2696">
        <v>2011</v>
      </c>
      <c r="C38" s="2835">
        <v>2783</v>
      </c>
      <c r="D38" s="2835">
        <v>39671</v>
      </c>
      <c r="E38" s="2835">
        <v>59436</v>
      </c>
      <c r="F38" s="2835"/>
      <c r="G38" s="2835"/>
      <c r="H38" s="2835"/>
      <c r="I38" s="2835">
        <v>3065</v>
      </c>
      <c r="J38" s="2835"/>
      <c r="K38" s="321">
        <f>SUM(D38:J38)</f>
        <v>102172</v>
      </c>
    </row>
    <row r="39" spans="1:11" s="52" customFormat="1" ht="20.100000000000001" customHeight="1">
      <c r="A39" s="37"/>
      <c r="B39" s="2696">
        <v>2010</v>
      </c>
      <c r="C39" s="1684">
        <v>3077</v>
      </c>
      <c r="D39" s="1684">
        <v>59527</v>
      </c>
      <c r="E39" s="1684">
        <v>0</v>
      </c>
      <c r="F39" s="1684">
        <v>0</v>
      </c>
      <c r="G39" s="1684">
        <v>0</v>
      </c>
      <c r="H39" s="1684">
        <v>0</v>
      </c>
      <c r="I39" s="1684">
        <v>398</v>
      </c>
      <c r="J39" s="1684">
        <v>0</v>
      </c>
      <c r="K39" s="321">
        <f>SUM(D39:J39)</f>
        <v>59925</v>
      </c>
    </row>
    <row r="40" spans="1:11" s="52" customFormat="1" ht="20.100000000000001" customHeight="1">
      <c r="A40" s="37"/>
      <c r="B40" s="2696">
        <v>2009</v>
      </c>
      <c r="C40" s="1684">
        <v>3112</v>
      </c>
      <c r="D40" s="1684">
        <v>34317</v>
      </c>
      <c r="E40" s="1684">
        <v>0</v>
      </c>
      <c r="F40" s="1684">
        <v>0</v>
      </c>
      <c r="G40" s="1684">
        <v>0</v>
      </c>
      <c r="H40" s="1684">
        <v>0</v>
      </c>
      <c r="I40" s="1684">
        <v>343</v>
      </c>
      <c r="J40" s="1684">
        <v>0</v>
      </c>
      <c r="K40" s="321">
        <f>SUM(D40:J40)</f>
        <v>34660</v>
      </c>
    </row>
    <row r="41" spans="1:11" s="54" customFormat="1" ht="13.15">
      <c r="A41" s="53"/>
      <c r="B41" s="196"/>
      <c r="C41" s="90"/>
      <c r="D41" s="90"/>
      <c r="E41" s="90"/>
      <c r="F41" s="90"/>
      <c r="G41" s="90"/>
      <c r="H41" s="90"/>
      <c r="I41" s="90"/>
      <c r="J41" s="90"/>
      <c r="K41" s="305"/>
    </row>
    <row r="42" spans="1:11" s="54" customFormat="1" ht="13.15">
      <c r="A42" s="53"/>
      <c r="B42" s="196"/>
      <c r="C42" s="90"/>
      <c r="D42" s="90"/>
      <c r="E42" s="90"/>
      <c r="F42" s="90"/>
      <c r="G42" s="90"/>
      <c r="H42" s="90"/>
      <c r="I42" s="90"/>
      <c r="J42" s="90"/>
      <c r="K42" s="305"/>
    </row>
    <row r="43" spans="1:11">
      <c r="B43">
        <v>4</v>
      </c>
      <c r="C43" s="306" t="s">
        <v>95</v>
      </c>
    </row>
    <row r="44" spans="1:11" s="54" customFormat="1" ht="13.15">
      <c r="A44" s="53"/>
      <c r="B44" s="3599" t="s">
        <v>810</v>
      </c>
      <c r="C44" s="3653" t="s">
        <v>811</v>
      </c>
      <c r="D44" s="3649" t="s">
        <v>819</v>
      </c>
      <c r="E44" s="3650"/>
      <c r="F44" s="3650"/>
      <c r="G44" s="3650"/>
      <c r="H44" s="3650"/>
      <c r="I44" s="3650"/>
      <c r="J44" s="3650"/>
      <c r="K44" s="3651"/>
    </row>
    <row r="45" spans="1:11" s="54" customFormat="1" ht="115.15">
      <c r="A45" s="53"/>
      <c r="B45" s="3599"/>
      <c r="C45" s="3653"/>
      <c r="D45" s="308" t="s">
        <v>820</v>
      </c>
      <c r="E45" s="308" t="s">
        <v>821</v>
      </c>
      <c r="F45" s="308" t="s">
        <v>822</v>
      </c>
      <c r="G45" s="57" t="s">
        <v>823</v>
      </c>
      <c r="H45" s="3176" t="s">
        <v>827</v>
      </c>
      <c r="I45" s="3176" t="s">
        <v>828</v>
      </c>
      <c r="J45" s="3176" t="s">
        <v>826</v>
      </c>
      <c r="K45" s="3177" t="s">
        <v>118</v>
      </c>
    </row>
    <row r="46" spans="1:11" s="54" customFormat="1">
      <c r="A46" s="53"/>
      <c r="B46" s="296">
        <v>2013</v>
      </c>
      <c r="C46" s="308"/>
      <c r="D46" s="2643"/>
      <c r="E46" s="2643"/>
      <c r="F46" s="2643"/>
      <c r="G46" s="2836"/>
      <c r="H46" s="3176"/>
      <c r="I46" s="3176"/>
      <c r="J46" s="3176"/>
      <c r="K46" s="3178">
        <f>SUM(D46:J46)</f>
        <v>0</v>
      </c>
    </row>
    <row r="47" spans="1:11" s="52" customFormat="1" ht="20.100000000000001" customHeight="1">
      <c r="A47" s="37"/>
      <c r="B47" s="296">
        <v>2012</v>
      </c>
      <c r="C47" s="309">
        <v>3110</v>
      </c>
      <c r="D47" s="2837">
        <v>100279.87854770001</v>
      </c>
      <c r="E47" s="2838"/>
      <c r="F47" s="2838"/>
      <c r="G47" s="2838"/>
      <c r="H47" s="2838"/>
      <c r="I47" s="2838"/>
      <c r="J47" s="2838"/>
      <c r="K47" s="3179">
        <f>SUM(D47:J47)</f>
        <v>100279.87854770001</v>
      </c>
    </row>
    <row r="48" spans="1:11" s="52" customFormat="1" ht="20.100000000000001" customHeight="1">
      <c r="A48" s="37"/>
      <c r="B48" s="2696">
        <v>2011</v>
      </c>
      <c r="C48" s="1684"/>
      <c r="D48" s="1684"/>
      <c r="E48" s="1684"/>
      <c r="F48" s="1684"/>
      <c r="G48" s="1684"/>
      <c r="H48" s="1684"/>
      <c r="I48" s="1684"/>
      <c r="J48" s="1789"/>
      <c r="K48" s="3179">
        <f>SUM(D48:J48)</f>
        <v>0</v>
      </c>
    </row>
    <row r="49" spans="1:11" s="52" customFormat="1" ht="20.100000000000001" customHeight="1">
      <c r="A49" s="37"/>
      <c r="B49" s="2696">
        <v>2010</v>
      </c>
      <c r="C49" s="1684"/>
      <c r="D49" s="1684"/>
      <c r="E49" s="1684"/>
      <c r="F49" s="1684"/>
      <c r="G49" s="1684"/>
      <c r="H49" s="1684"/>
      <c r="I49" s="1684"/>
      <c r="J49" s="1789"/>
      <c r="K49" s="3179">
        <f>SUM(D49:J49)</f>
        <v>0</v>
      </c>
    </row>
    <row r="50" spans="1:11" s="52" customFormat="1" ht="20.100000000000001" customHeight="1">
      <c r="A50" s="37"/>
      <c r="B50" s="2696">
        <v>2009</v>
      </c>
      <c r="C50" s="1684"/>
      <c r="D50" s="1684"/>
      <c r="E50" s="1684"/>
      <c r="F50" s="1684"/>
      <c r="G50" s="1684"/>
      <c r="H50" s="1684"/>
      <c r="I50" s="1684"/>
      <c r="J50" s="1789"/>
      <c r="K50" s="2838">
        <f>SUM(D50:J50)</f>
        <v>0</v>
      </c>
    </row>
    <row r="51" spans="1:11" s="54" customFormat="1" ht="13.15">
      <c r="A51" s="53"/>
      <c r="B51" s="196"/>
      <c r="C51" s="90"/>
      <c r="D51" s="90"/>
      <c r="E51" s="90"/>
      <c r="F51" s="90"/>
      <c r="G51" s="90"/>
      <c r="H51" s="90"/>
      <c r="I51" s="90"/>
      <c r="K51" s="305"/>
    </row>
    <row r="52" spans="1:11" s="52" customFormat="1" ht="20.100000000000001" customHeight="1">
      <c r="A52" s="37"/>
    </row>
    <row r="53" spans="1:11">
      <c r="B53">
        <v>5</v>
      </c>
      <c r="C53" s="307" t="s">
        <v>124</v>
      </c>
    </row>
    <row r="54" spans="1:11" s="54" customFormat="1" ht="13.15">
      <c r="A54" s="53"/>
      <c r="B54" s="3599" t="s">
        <v>810</v>
      </c>
      <c r="C54" s="3653" t="s">
        <v>811</v>
      </c>
      <c r="D54" s="3649" t="s">
        <v>819</v>
      </c>
      <c r="E54" s="3650"/>
      <c r="F54" s="3650"/>
      <c r="G54" s="3650"/>
      <c r="H54" s="3650"/>
      <c r="I54" s="3650"/>
      <c r="J54" s="3650"/>
      <c r="K54" s="3651"/>
    </row>
    <row r="55" spans="1:11" s="54" customFormat="1" ht="115.15">
      <c r="A55" s="53"/>
      <c r="B55" s="3599"/>
      <c r="C55" s="3653"/>
      <c r="D55" s="56" t="s">
        <v>820</v>
      </c>
      <c r="E55" s="56" t="s">
        <v>821</v>
      </c>
      <c r="F55" s="56" t="s">
        <v>822</v>
      </c>
      <c r="G55" s="2832" t="s">
        <v>823</v>
      </c>
      <c r="H55" s="2643" t="s">
        <v>829</v>
      </c>
      <c r="I55" s="2643" t="s">
        <v>828</v>
      </c>
      <c r="J55" s="2643" t="s">
        <v>826</v>
      </c>
      <c r="K55" s="2696" t="s">
        <v>118</v>
      </c>
    </row>
    <row r="56" spans="1:11" s="54" customFormat="1" ht="20.25" customHeight="1">
      <c r="A56" s="53"/>
      <c r="B56" s="296">
        <v>2013</v>
      </c>
      <c r="C56" s="56"/>
      <c r="D56" s="56"/>
      <c r="E56" s="56"/>
      <c r="F56" s="56"/>
      <c r="G56" s="2832"/>
      <c r="H56" s="2643"/>
      <c r="I56" s="2643"/>
      <c r="J56" s="2643"/>
      <c r="K56" s="2833">
        <f>SUM(D56:J56)</f>
        <v>0</v>
      </c>
    </row>
    <row r="57" spans="1:11" s="52" customFormat="1" ht="20.100000000000001" customHeight="1">
      <c r="A57" s="37"/>
      <c r="B57" s="2696">
        <v>2012</v>
      </c>
      <c r="C57" s="325">
        <v>13531</v>
      </c>
      <c r="D57" s="2708">
        <v>2018927.16</v>
      </c>
      <c r="E57" s="2839"/>
      <c r="F57" s="2839"/>
      <c r="G57" s="2839"/>
      <c r="H57" s="2839"/>
      <c r="I57" s="2839"/>
      <c r="J57" s="2839"/>
      <c r="K57" s="2712">
        <f>SUM(D57:J57)</f>
        <v>2018927.16</v>
      </c>
    </row>
    <row r="58" spans="1:11" s="52" customFormat="1" ht="20.100000000000001" customHeight="1">
      <c r="A58" s="37"/>
      <c r="B58" s="2696">
        <v>2011</v>
      </c>
      <c r="C58" s="2710">
        <v>12132</v>
      </c>
      <c r="D58" s="2710">
        <v>1574298.6969999999</v>
      </c>
      <c r="E58" s="2126"/>
      <c r="F58" s="2126"/>
      <c r="G58" s="2126"/>
      <c r="H58" s="2126"/>
      <c r="I58" s="2126"/>
      <c r="J58" s="2126"/>
      <c r="K58" s="2712">
        <f>SUM(D58:J58)</f>
        <v>1574298.6969999999</v>
      </c>
    </row>
    <row r="59" spans="1:11" s="52" customFormat="1" ht="20.100000000000001" customHeight="1">
      <c r="A59" s="37"/>
      <c r="B59" s="2696">
        <v>2010</v>
      </c>
      <c r="C59" s="1684">
        <v>11415</v>
      </c>
      <c r="D59" s="1684">
        <v>233320</v>
      </c>
      <c r="E59" s="1684"/>
      <c r="F59" s="1684"/>
      <c r="G59" s="1684"/>
      <c r="H59" s="1684"/>
      <c r="I59" s="1684"/>
      <c r="J59" s="1789"/>
      <c r="K59" s="2712">
        <f>SUM(D59:J59)</f>
        <v>233320</v>
      </c>
    </row>
    <row r="60" spans="1:11" s="52" customFormat="1" ht="20.100000000000001" customHeight="1">
      <c r="A60" s="37"/>
      <c r="B60" s="2696">
        <v>2009</v>
      </c>
      <c r="C60" s="1684">
        <v>10082</v>
      </c>
      <c r="D60" s="1684">
        <v>155482</v>
      </c>
      <c r="E60" s="1684"/>
      <c r="F60" s="1684"/>
      <c r="G60" s="1684"/>
      <c r="H60" s="1684"/>
      <c r="I60" s="1684"/>
      <c r="J60" s="1789"/>
      <c r="K60" s="2712">
        <f>SUM(D60:J60)</f>
        <v>155482</v>
      </c>
    </row>
    <row r="61" spans="1:11" s="54" customFormat="1" ht="13.15">
      <c r="A61" s="53"/>
      <c r="B61" s="61"/>
      <c r="C61" s="90"/>
      <c r="D61" s="90"/>
      <c r="E61" s="90"/>
      <c r="F61" s="90"/>
      <c r="G61" s="90"/>
      <c r="H61" s="90"/>
      <c r="I61" s="90"/>
      <c r="J61" s="90"/>
    </row>
    <row r="63" spans="1:11">
      <c r="B63">
        <v>6</v>
      </c>
      <c r="C63" s="307" t="s">
        <v>129</v>
      </c>
    </row>
    <row r="64" spans="1:11" s="54" customFormat="1" ht="13.15">
      <c r="A64" s="53"/>
      <c r="B64" s="3599" t="s">
        <v>810</v>
      </c>
      <c r="C64" s="3653" t="s">
        <v>811</v>
      </c>
      <c r="D64" s="3649" t="s">
        <v>819</v>
      </c>
      <c r="E64" s="3650"/>
      <c r="F64" s="3650"/>
      <c r="G64" s="3650"/>
      <c r="H64" s="3650"/>
      <c r="I64" s="3650"/>
      <c r="J64" s="3650"/>
      <c r="K64" s="3651"/>
    </row>
    <row r="65" spans="1:11" s="54" customFormat="1" ht="115.15">
      <c r="A65" s="53"/>
      <c r="B65" s="3599"/>
      <c r="C65" s="3653"/>
      <c r="D65" s="308" t="s">
        <v>820</v>
      </c>
      <c r="E65" s="308" t="s">
        <v>821</v>
      </c>
      <c r="F65" s="308" t="s">
        <v>822</v>
      </c>
      <c r="G65" s="57" t="s">
        <v>823</v>
      </c>
      <c r="H65" s="3176" t="s">
        <v>827</v>
      </c>
      <c r="I65" s="3176" t="s">
        <v>828</v>
      </c>
      <c r="J65" s="3176" t="s">
        <v>826</v>
      </c>
      <c r="K65" s="3177" t="s">
        <v>118</v>
      </c>
    </row>
    <row r="66" spans="1:11" s="54" customFormat="1">
      <c r="A66" s="53"/>
      <c r="B66" s="2696">
        <v>2013</v>
      </c>
      <c r="C66" s="308"/>
      <c r="D66" s="2643"/>
      <c r="E66" s="2643"/>
      <c r="F66" s="2643"/>
      <c r="G66" s="2836"/>
      <c r="H66" s="3176"/>
      <c r="I66" s="3176"/>
      <c r="J66" s="3176"/>
      <c r="K66" s="3178">
        <f t="shared" ref="K66:K71" si="0">SUM(D66:J66)</f>
        <v>0</v>
      </c>
    </row>
    <row r="67" spans="1:11" s="52" customFormat="1" ht="20.100000000000001" customHeight="1">
      <c r="A67" s="37"/>
      <c r="B67" s="296">
        <v>2012</v>
      </c>
      <c r="C67" s="327">
        <v>154197</v>
      </c>
      <c r="D67" s="2840">
        <v>3718771.0192999998</v>
      </c>
      <c r="E67" s="2840">
        <v>9796</v>
      </c>
      <c r="F67" s="2837"/>
      <c r="G67" s="2837"/>
      <c r="H67" s="2837"/>
      <c r="I67" s="2837"/>
      <c r="J67" s="2837"/>
      <c r="K67" s="2712">
        <f>SUM(D67:J67)</f>
        <v>3728567.0192999998</v>
      </c>
    </row>
    <row r="68" spans="1:11" s="52" customFormat="1" ht="20.100000000000001" customHeight="1">
      <c r="A68" s="37"/>
      <c r="B68" s="2696">
        <v>2011</v>
      </c>
      <c r="C68" s="2835">
        <v>143436</v>
      </c>
      <c r="D68" s="2835">
        <v>2089691.7168565998</v>
      </c>
      <c r="E68" s="2835">
        <v>8117.6</v>
      </c>
      <c r="F68" s="1684"/>
      <c r="G68" s="1684"/>
      <c r="H68" s="1684"/>
      <c r="I68" s="1684"/>
      <c r="J68" s="1684"/>
      <c r="K68" s="2712">
        <f t="shared" si="0"/>
        <v>2097809.3168565999</v>
      </c>
    </row>
    <row r="69" spans="1:11" s="52" customFormat="1" ht="20.100000000000001" customHeight="1">
      <c r="A69" s="37"/>
      <c r="B69" s="2696">
        <v>2010</v>
      </c>
      <c r="C69" s="1684">
        <v>157682</v>
      </c>
      <c r="D69" s="1684">
        <v>3030784</v>
      </c>
      <c r="E69" s="1684">
        <v>1574</v>
      </c>
      <c r="F69" s="1684">
        <v>0</v>
      </c>
      <c r="G69" s="1684"/>
      <c r="H69" s="1684"/>
      <c r="I69" s="1684"/>
      <c r="J69" s="1684"/>
      <c r="K69" s="2712">
        <f t="shared" si="0"/>
        <v>3032358</v>
      </c>
    </row>
    <row r="70" spans="1:11" s="52" customFormat="1" ht="20.100000000000001" customHeight="1">
      <c r="A70" s="37"/>
      <c r="B70" s="2696">
        <v>2009</v>
      </c>
      <c r="C70" s="1684">
        <v>163049</v>
      </c>
      <c r="D70" s="1684">
        <v>2299029</v>
      </c>
      <c r="E70" s="1684">
        <v>1551</v>
      </c>
      <c r="F70" s="1684"/>
      <c r="G70" s="1684"/>
      <c r="H70" s="1684"/>
      <c r="I70" s="1684"/>
      <c r="J70" s="1684"/>
      <c r="K70" s="2712">
        <f t="shared" si="0"/>
        <v>2300580</v>
      </c>
    </row>
    <row r="71" spans="1:11" s="52" customFormat="1" ht="20.100000000000001" customHeight="1">
      <c r="A71" s="37"/>
      <c r="B71" s="2696">
        <v>2008</v>
      </c>
      <c r="C71" s="1684">
        <v>197245</v>
      </c>
      <c r="D71" s="1684">
        <v>3205468</v>
      </c>
      <c r="E71" s="1684">
        <v>77000</v>
      </c>
      <c r="F71" s="1684"/>
      <c r="G71" s="1684"/>
      <c r="H71" s="1684"/>
      <c r="I71" s="1684"/>
      <c r="J71" s="1684"/>
      <c r="K71" s="2712">
        <f t="shared" si="0"/>
        <v>3282468</v>
      </c>
    </row>
    <row r="74" spans="1:11">
      <c r="B74">
        <v>7</v>
      </c>
      <c r="C74" s="307" t="s">
        <v>130</v>
      </c>
    </row>
    <row r="75" spans="1:11" s="54" customFormat="1" ht="13.15">
      <c r="A75" s="53"/>
      <c r="B75" s="3647" t="s">
        <v>810</v>
      </c>
      <c r="C75" s="3653" t="s">
        <v>811</v>
      </c>
      <c r="D75" s="3649" t="s">
        <v>819</v>
      </c>
      <c r="E75" s="3650"/>
      <c r="F75" s="3650"/>
      <c r="G75" s="3650"/>
      <c r="H75" s="3650"/>
      <c r="I75" s="3650"/>
      <c r="J75" s="3650"/>
      <c r="K75" s="3651"/>
    </row>
    <row r="76" spans="1:11" s="54" customFormat="1" ht="115.15">
      <c r="A76" s="53"/>
      <c r="B76" s="3648"/>
      <c r="C76" s="3653"/>
      <c r="D76" s="2643" t="s">
        <v>820</v>
      </c>
      <c r="E76" s="2643" t="s">
        <v>821</v>
      </c>
      <c r="F76" s="2643" t="s">
        <v>822</v>
      </c>
      <c r="G76" s="2832" t="s">
        <v>823</v>
      </c>
      <c r="H76" s="2643" t="s">
        <v>827</v>
      </c>
      <c r="I76" s="2643" t="s">
        <v>828</v>
      </c>
      <c r="J76" s="2643" t="s">
        <v>826</v>
      </c>
      <c r="K76" s="2696" t="s">
        <v>118</v>
      </c>
    </row>
    <row r="77" spans="1:11" s="54" customFormat="1">
      <c r="A77" s="53"/>
      <c r="B77" s="2696">
        <v>2013</v>
      </c>
      <c r="C77" s="2643"/>
      <c r="D77" s="2643"/>
      <c r="E77" s="2643"/>
      <c r="F77" s="2643"/>
      <c r="G77" s="2832"/>
      <c r="H77" s="2643"/>
      <c r="I77" s="2643"/>
      <c r="J77" s="2643"/>
      <c r="K77" s="2833">
        <f t="shared" ref="K77:K82" si="1">SUM(D77:J77)</f>
        <v>0</v>
      </c>
    </row>
    <row r="78" spans="1:11" s="52" customFormat="1" ht="20.100000000000001" customHeight="1">
      <c r="A78" s="37"/>
      <c r="B78" s="296">
        <v>2012</v>
      </c>
      <c r="C78" s="317">
        <v>10913</v>
      </c>
      <c r="D78" s="317">
        <v>56645</v>
      </c>
      <c r="E78" s="317"/>
      <c r="F78" s="317"/>
      <c r="G78" s="318"/>
      <c r="H78" s="318"/>
      <c r="I78" s="318"/>
      <c r="J78" s="318"/>
      <c r="K78" s="319">
        <f t="shared" si="1"/>
        <v>56645</v>
      </c>
    </row>
    <row r="79" spans="1:11" s="52" customFormat="1" ht="20.100000000000001" customHeight="1">
      <c r="A79" s="37"/>
      <c r="B79" s="2696">
        <v>2011</v>
      </c>
      <c r="C79" s="2841">
        <v>11600</v>
      </c>
      <c r="D79" s="2841">
        <v>52837</v>
      </c>
      <c r="E79" s="2841"/>
      <c r="F79" s="2841"/>
      <c r="G79" s="2841"/>
      <c r="H79" s="2841"/>
      <c r="I79" s="2841"/>
      <c r="J79" s="2841"/>
      <c r="K79" s="319">
        <f t="shared" si="1"/>
        <v>52837</v>
      </c>
    </row>
    <row r="80" spans="1:11" s="52" customFormat="1" ht="20.100000000000001" customHeight="1">
      <c r="A80" s="37"/>
      <c r="B80" s="2696">
        <v>2010</v>
      </c>
      <c r="C80" s="1684">
        <v>12901</v>
      </c>
      <c r="D80" s="1684">
        <v>68517</v>
      </c>
      <c r="E80" s="1684"/>
      <c r="F80" s="1684"/>
      <c r="G80" s="1684"/>
      <c r="H80" s="1684"/>
      <c r="I80" s="1684"/>
      <c r="J80" s="1789"/>
      <c r="K80" s="319">
        <f t="shared" si="1"/>
        <v>68517</v>
      </c>
    </row>
    <row r="81" spans="1:11" s="52" customFormat="1" ht="20.100000000000001" customHeight="1">
      <c r="A81" s="37"/>
      <c r="B81" s="2696">
        <v>2009</v>
      </c>
      <c r="C81" s="1684">
        <v>10213</v>
      </c>
      <c r="D81" s="1684">
        <v>39699</v>
      </c>
      <c r="E81" s="1684"/>
      <c r="F81" s="1684"/>
      <c r="G81" s="1684"/>
      <c r="H81" s="1684"/>
      <c r="I81" s="1684"/>
      <c r="J81" s="1789"/>
      <c r="K81" s="319">
        <f t="shared" si="1"/>
        <v>39699</v>
      </c>
    </row>
    <row r="82" spans="1:11" s="52" customFormat="1" ht="20.100000000000001" customHeight="1">
      <c r="A82" s="37"/>
      <c r="B82" s="2696">
        <v>2008</v>
      </c>
      <c r="C82" s="1684">
        <v>8396</v>
      </c>
      <c r="D82" s="1684">
        <v>37946</v>
      </c>
      <c r="E82" s="1684"/>
      <c r="F82" s="1684"/>
      <c r="G82" s="1684"/>
      <c r="H82" s="1684"/>
      <c r="I82" s="1684"/>
      <c r="J82" s="1789"/>
      <c r="K82" s="319">
        <f t="shared" si="1"/>
        <v>37946</v>
      </c>
    </row>
    <row r="85" spans="1:11">
      <c r="B85">
        <v>8</v>
      </c>
      <c r="C85" s="307" t="s">
        <v>132</v>
      </c>
    </row>
    <row r="86" spans="1:11" s="54" customFormat="1" ht="13.15">
      <c r="A86" s="53"/>
      <c r="B86" s="3647" t="s">
        <v>810</v>
      </c>
      <c r="C86" s="3653" t="s">
        <v>811</v>
      </c>
      <c r="D86" s="3649" t="s">
        <v>819</v>
      </c>
      <c r="E86" s="3650"/>
      <c r="F86" s="3650"/>
      <c r="G86" s="3650"/>
      <c r="H86" s="3650"/>
      <c r="I86" s="3650"/>
      <c r="J86" s="3650"/>
      <c r="K86" s="3651"/>
    </row>
    <row r="87" spans="1:11" s="54" customFormat="1" ht="115.15">
      <c r="A87" s="53"/>
      <c r="B87" s="3652"/>
      <c r="C87" s="3654"/>
      <c r="D87" s="3176" t="s">
        <v>820</v>
      </c>
      <c r="E87" s="3176" t="s">
        <v>821</v>
      </c>
      <c r="F87" s="3176" t="s">
        <v>822</v>
      </c>
      <c r="G87" s="57" t="s">
        <v>823</v>
      </c>
      <c r="H87" s="3176" t="s">
        <v>827</v>
      </c>
      <c r="I87" s="3176" t="s">
        <v>828</v>
      </c>
      <c r="J87" s="3176" t="s">
        <v>826</v>
      </c>
      <c r="K87" s="3177" t="s">
        <v>118</v>
      </c>
    </row>
    <row r="88" spans="1:11" s="54" customFormat="1">
      <c r="A88" s="53"/>
      <c r="B88" s="2696">
        <v>2013</v>
      </c>
      <c r="C88" s="2643"/>
      <c r="D88" s="2643"/>
      <c r="E88" s="2643"/>
      <c r="F88" s="2643"/>
      <c r="G88" s="3180"/>
      <c r="H88" s="2643"/>
      <c r="I88" s="2643"/>
      <c r="J88" s="3176"/>
      <c r="K88" s="3178">
        <f t="shared" ref="K88:K93" si="2">SUM(D88:J88)</f>
        <v>0</v>
      </c>
    </row>
    <row r="89" spans="1:11" s="52" customFormat="1" ht="20.100000000000001" customHeight="1">
      <c r="A89" s="37"/>
      <c r="B89" s="296">
        <v>2012</v>
      </c>
      <c r="C89" s="322">
        <v>24562</v>
      </c>
      <c r="D89" s="334">
        <v>438951.58899999998</v>
      </c>
      <c r="E89" s="335">
        <v>0</v>
      </c>
      <c r="F89" s="335">
        <v>0</v>
      </c>
      <c r="G89" s="335">
        <v>0</v>
      </c>
      <c r="H89" s="335">
        <v>0</v>
      </c>
      <c r="I89" s="335">
        <v>0</v>
      </c>
      <c r="J89" s="2838">
        <v>0</v>
      </c>
      <c r="K89" s="2717">
        <f t="shared" si="2"/>
        <v>438951.58899999998</v>
      </c>
    </row>
    <row r="90" spans="1:11" s="52" customFormat="1" ht="20.100000000000001" customHeight="1">
      <c r="A90" s="37"/>
      <c r="B90" s="2696">
        <v>2011</v>
      </c>
      <c r="C90" s="2841">
        <v>28104</v>
      </c>
      <c r="D90" s="2841">
        <v>431974.25716000004</v>
      </c>
      <c r="E90" s="1684">
        <v>0</v>
      </c>
      <c r="F90" s="1684">
        <v>0</v>
      </c>
      <c r="G90" s="1684">
        <v>0</v>
      </c>
      <c r="H90" s="1684">
        <v>0</v>
      </c>
      <c r="I90" s="1684">
        <v>0</v>
      </c>
      <c r="J90" s="1684">
        <v>0</v>
      </c>
      <c r="K90" s="2717">
        <f t="shared" si="2"/>
        <v>431974.25716000004</v>
      </c>
    </row>
    <row r="91" spans="1:11" s="52" customFormat="1" ht="20.100000000000001" customHeight="1">
      <c r="A91" s="37"/>
      <c r="B91" s="2696">
        <v>2010</v>
      </c>
      <c r="C91" s="1684">
        <v>25501</v>
      </c>
      <c r="D91" s="1684">
        <v>640270.88855000003</v>
      </c>
      <c r="E91" s="1684">
        <v>0</v>
      </c>
      <c r="F91" s="1684">
        <v>0</v>
      </c>
      <c r="G91" s="1684">
        <v>0</v>
      </c>
      <c r="H91" s="1684">
        <v>0</v>
      </c>
      <c r="I91" s="1684">
        <v>0</v>
      </c>
      <c r="J91" s="1684">
        <v>0</v>
      </c>
      <c r="K91" s="2717">
        <f t="shared" si="2"/>
        <v>640270.88855000003</v>
      </c>
    </row>
    <row r="92" spans="1:11" s="52" customFormat="1" ht="20.100000000000001" customHeight="1">
      <c r="A92" s="37"/>
      <c r="B92" s="2696">
        <v>2009</v>
      </c>
      <c r="C92" s="1684">
        <v>23980</v>
      </c>
      <c r="D92" s="1684">
        <v>645359</v>
      </c>
      <c r="E92" s="1684">
        <v>0</v>
      </c>
      <c r="F92" s="1684">
        <v>0</v>
      </c>
      <c r="G92" s="1684">
        <v>0</v>
      </c>
      <c r="H92" s="1684">
        <v>0</v>
      </c>
      <c r="I92" s="1684">
        <v>0</v>
      </c>
      <c r="J92" s="1684">
        <v>0</v>
      </c>
      <c r="K92" s="2717">
        <f t="shared" si="2"/>
        <v>645359</v>
      </c>
    </row>
    <row r="93" spans="1:11" s="52" customFormat="1" ht="20.100000000000001" customHeight="1">
      <c r="A93" s="37"/>
      <c r="B93" s="2696">
        <v>2008</v>
      </c>
      <c r="C93" s="1684">
        <v>27708</v>
      </c>
      <c r="D93" s="1684">
        <v>628232.75750000007</v>
      </c>
      <c r="E93" s="1684">
        <v>0</v>
      </c>
      <c r="F93" s="1684">
        <v>0</v>
      </c>
      <c r="G93" s="1684">
        <v>0</v>
      </c>
      <c r="H93" s="1684">
        <v>0</v>
      </c>
      <c r="I93" s="1684">
        <v>0</v>
      </c>
      <c r="J93" s="1684">
        <v>0</v>
      </c>
      <c r="K93" s="2717">
        <f t="shared" si="2"/>
        <v>628232.75750000007</v>
      </c>
    </row>
    <row r="96" spans="1:11">
      <c r="B96">
        <v>9</v>
      </c>
      <c r="C96" s="307" t="s">
        <v>133</v>
      </c>
    </row>
    <row r="97" spans="1:11" s="54" customFormat="1" ht="13.15">
      <c r="A97" s="53"/>
      <c r="B97" s="3647" t="s">
        <v>810</v>
      </c>
      <c r="C97" s="3653" t="s">
        <v>811</v>
      </c>
      <c r="D97" s="3649" t="s">
        <v>819</v>
      </c>
      <c r="E97" s="3650"/>
      <c r="F97" s="3650"/>
      <c r="G97" s="3650"/>
      <c r="H97" s="3650"/>
      <c r="I97" s="3650"/>
      <c r="J97" s="3650"/>
      <c r="K97" s="3651"/>
    </row>
    <row r="98" spans="1:11" s="54" customFormat="1" ht="115.15">
      <c r="A98" s="53"/>
      <c r="B98" s="3652"/>
      <c r="C98" s="3654"/>
      <c r="D98" s="3176" t="s">
        <v>820</v>
      </c>
      <c r="E98" s="3176" t="s">
        <v>821</v>
      </c>
      <c r="F98" s="3176" t="s">
        <v>822</v>
      </c>
      <c r="G98" s="57" t="s">
        <v>823</v>
      </c>
      <c r="H98" s="3176" t="s">
        <v>827</v>
      </c>
      <c r="I98" s="3176" t="s">
        <v>828</v>
      </c>
      <c r="J98" s="3176" t="s">
        <v>826</v>
      </c>
      <c r="K98" s="3177" t="s">
        <v>118</v>
      </c>
    </row>
    <row r="99" spans="1:11" s="54" customFormat="1">
      <c r="A99" s="53"/>
      <c r="B99" s="2696">
        <v>2013</v>
      </c>
      <c r="C99" s="2643"/>
      <c r="D99" s="2643"/>
      <c r="E99" s="2643"/>
      <c r="F99" s="2643"/>
      <c r="G99" s="3180"/>
      <c r="H99" s="2643"/>
      <c r="I99" s="2643"/>
      <c r="J99" s="2643"/>
      <c r="K99" s="3178"/>
    </row>
    <row r="100" spans="1:11" s="52" customFormat="1" ht="20.100000000000001" customHeight="1">
      <c r="A100" s="37"/>
      <c r="B100" s="296">
        <v>2012</v>
      </c>
      <c r="C100" s="317">
        <v>29929</v>
      </c>
      <c r="D100" s="318">
        <v>718514</v>
      </c>
      <c r="E100" s="311"/>
      <c r="F100" s="311"/>
      <c r="G100" s="311"/>
      <c r="H100" s="311"/>
      <c r="I100" s="311"/>
      <c r="J100" s="318">
        <v>1746</v>
      </c>
      <c r="K100" s="2717">
        <f>SUM(D100:J100)</f>
        <v>720260</v>
      </c>
    </row>
    <row r="101" spans="1:11" s="52" customFormat="1" ht="20.100000000000001" customHeight="1">
      <c r="A101" s="37"/>
      <c r="B101" s="2696">
        <v>2011</v>
      </c>
      <c r="C101" s="2842">
        <v>46690</v>
      </c>
      <c r="D101" s="2842">
        <v>774783</v>
      </c>
      <c r="E101" s="2843"/>
      <c r="F101" s="2843"/>
      <c r="G101" s="2843"/>
      <c r="H101" s="2843"/>
      <c r="I101" s="2843"/>
      <c r="J101" s="2842">
        <v>2561</v>
      </c>
      <c r="K101" s="2717">
        <f>SUM(D101:J101)</f>
        <v>777344</v>
      </c>
    </row>
    <row r="102" spans="1:11" s="52" customFormat="1" ht="20.100000000000001" customHeight="1">
      <c r="A102" s="37"/>
      <c r="B102" s="2696">
        <v>2010</v>
      </c>
      <c r="C102" s="2844">
        <v>45721</v>
      </c>
      <c r="D102" s="2844">
        <v>690394</v>
      </c>
      <c r="E102" s="2844"/>
      <c r="F102" s="2844"/>
      <c r="G102" s="2844"/>
      <c r="H102" s="2844"/>
      <c r="I102" s="2844"/>
      <c r="J102" s="2844">
        <v>1700</v>
      </c>
      <c r="K102" s="2717">
        <f>SUM(D102:J102)</f>
        <v>692094</v>
      </c>
    </row>
    <row r="103" spans="1:11" s="52" customFormat="1" ht="20.100000000000001" customHeight="1">
      <c r="A103" s="37"/>
      <c r="B103" s="2696">
        <v>2009</v>
      </c>
      <c r="C103" s="2844">
        <v>53402</v>
      </c>
      <c r="D103" s="2844">
        <v>501689</v>
      </c>
      <c r="E103" s="2844"/>
      <c r="F103" s="2844"/>
      <c r="G103" s="2844"/>
      <c r="H103" s="2844"/>
      <c r="I103" s="2844"/>
      <c r="J103" s="2844">
        <v>2061</v>
      </c>
      <c r="K103" s="2717">
        <f>SUM(D103:J103)</f>
        <v>503750</v>
      </c>
    </row>
    <row r="104" spans="1:11" s="52" customFormat="1" ht="20.100000000000001" customHeight="1">
      <c r="A104" s="37"/>
      <c r="B104" s="2696">
        <v>2008</v>
      </c>
      <c r="C104" s="2844">
        <v>95111</v>
      </c>
      <c r="D104" s="2844">
        <v>624150</v>
      </c>
      <c r="E104" s="2844"/>
      <c r="F104" s="2844"/>
      <c r="G104" s="2844"/>
      <c r="H104" s="2844"/>
      <c r="I104" s="2844"/>
      <c r="J104" s="2844">
        <v>3567</v>
      </c>
      <c r="K104" s="2717">
        <f>SUM(D104:J104)</f>
        <v>627717</v>
      </c>
    </row>
    <row r="107" spans="1:11">
      <c r="B107">
        <v>10</v>
      </c>
      <c r="C107" s="307" t="s">
        <v>106</v>
      </c>
    </row>
    <row r="108" spans="1:11" s="54" customFormat="1" ht="13.15">
      <c r="A108" s="53"/>
      <c r="B108" s="3647" t="s">
        <v>810</v>
      </c>
      <c r="C108" s="3653" t="s">
        <v>811</v>
      </c>
      <c r="D108" s="3649" t="s">
        <v>819</v>
      </c>
      <c r="E108" s="3650"/>
      <c r="F108" s="3650"/>
      <c r="G108" s="3650"/>
      <c r="H108" s="3650"/>
      <c r="I108" s="3650"/>
      <c r="J108" s="3650"/>
      <c r="K108" s="3651"/>
    </row>
    <row r="109" spans="1:11" s="54" customFormat="1" ht="115.15">
      <c r="A109" s="53"/>
      <c r="B109" s="3648"/>
      <c r="C109" s="3653"/>
      <c r="D109" s="2643" t="s">
        <v>820</v>
      </c>
      <c r="E109" s="2643" t="s">
        <v>821</v>
      </c>
      <c r="F109" s="2643" t="s">
        <v>822</v>
      </c>
      <c r="G109" s="2832" t="s">
        <v>823</v>
      </c>
      <c r="H109" s="2643" t="s">
        <v>827</v>
      </c>
      <c r="I109" s="2643" t="s">
        <v>828</v>
      </c>
      <c r="J109" s="2643" t="s">
        <v>826</v>
      </c>
      <c r="K109" s="2696" t="s">
        <v>118</v>
      </c>
    </row>
    <row r="110" spans="1:11" s="54" customFormat="1" ht="21.75" customHeight="1">
      <c r="A110" s="53"/>
      <c r="B110" s="2696">
        <v>2013</v>
      </c>
      <c r="C110" s="2643"/>
      <c r="D110" s="2643"/>
      <c r="E110" s="2643"/>
      <c r="F110" s="2643"/>
      <c r="G110" s="332"/>
      <c r="H110" s="56"/>
      <c r="I110" s="56"/>
      <c r="J110" s="56"/>
      <c r="K110" s="333">
        <f t="shared" ref="K110:K115" si="3">SUM(D110:J110)</f>
        <v>0</v>
      </c>
    </row>
    <row r="111" spans="1:11" s="52" customFormat="1" ht="20.100000000000001" customHeight="1">
      <c r="A111" s="37"/>
      <c r="B111" s="296">
        <v>2012</v>
      </c>
      <c r="C111" s="317">
        <v>6447</v>
      </c>
      <c r="D111" s="317">
        <v>301721</v>
      </c>
      <c r="E111" s="310"/>
      <c r="F111" s="310"/>
      <c r="G111" s="311"/>
      <c r="H111" s="311"/>
      <c r="I111" s="311"/>
      <c r="J111" s="311"/>
      <c r="K111" s="319">
        <f t="shared" si="3"/>
        <v>301721</v>
      </c>
    </row>
    <row r="112" spans="1:11" s="52" customFormat="1" ht="20.100000000000001" customHeight="1">
      <c r="A112" s="37"/>
      <c r="B112" s="2696">
        <v>2011</v>
      </c>
      <c r="C112" s="2841">
        <v>5030</v>
      </c>
      <c r="D112" s="2841">
        <v>295855</v>
      </c>
      <c r="E112" s="1678"/>
      <c r="F112" s="1678"/>
      <c r="G112" s="1678"/>
      <c r="H112" s="1678"/>
      <c r="I112" s="1678"/>
      <c r="J112" s="1678"/>
      <c r="K112" s="319">
        <f t="shared" si="3"/>
        <v>295855</v>
      </c>
    </row>
    <row r="113" spans="1:11" s="52" customFormat="1" ht="20.100000000000001" customHeight="1">
      <c r="A113" s="37"/>
      <c r="B113" s="2696">
        <v>2010</v>
      </c>
      <c r="C113" s="1684">
        <v>3417</v>
      </c>
      <c r="D113" s="1684">
        <v>49466</v>
      </c>
      <c r="E113" s="1684"/>
      <c r="F113" s="1684"/>
      <c r="G113" s="1684"/>
      <c r="H113" s="1684"/>
      <c r="I113" s="1684"/>
      <c r="J113" s="1684"/>
      <c r="K113" s="319">
        <f t="shared" si="3"/>
        <v>49466</v>
      </c>
    </row>
    <row r="114" spans="1:11" s="52" customFormat="1" ht="20.100000000000001" customHeight="1">
      <c r="A114" s="37"/>
      <c r="B114" s="2696">
        <v>2009</v>
      </c>
      <c r="C114" s="1684">
        <v>4291</v>
      </c>
      <c r="D114" s="1684">
        <v>43481</v>
      </c>
      <c r="E114" s="1684"/>
      <c r="F114" s="1684"/>
      <c r="G114" s="1684"/>
      <c r="H114" s="1684"/>
      <c r="I114" s="1684"/>
      <c r="J114" s="1684"/>
      <c r="K114" s="319">
        <f t="shared" si="3"/>
        <v>43481</v>
      </c>
    </row>
    <row r="115" spans="1:11" s="52" customFormat="1" ht="20.100000000000001" customHeight="1">
      <c r="A115" s="37"/>
      <c r="B115" s="2696">
        <v>2008</v>
      </c>
      <c r="C115" s="1684">
        <v>8831</v>
      </c>
      <c r="D115" s="1684">
        <v>40773</v>
      </c>
      <c r="E115" s="1684"/>
      <c r="F115" s="1684"/>
      <c r="G115" s="1684"/>
      <c r="H115" s="1684"/>
      <c r="I115" s="1684"/>
      <c r="J115" s="1684"/>
      <c r="K115" s="319">
        <f t="shared" si="3"/>
        <v>40773</v>
      </c>
    </row>
    <row r="118" spans="1:11">
      <c r="B118">
        <v>11</v>
      </c>
      <c r="C118" s="307" t="s">
        <v>134</v>
      </c>
    </row>
    <row r="119" spans="1:11" s="54" customFormat="1" ht="13.15">
      <c r="A119" s="53"/>
      <c r="B119" s="3647" t="s">
        <v>810</v>
      </c>
      <c r="C119" s="3653" t="s">
        <v>811</v>
      </c>
      <c r="D119" s="3649" t="s">
        <v>819</v>
      </c>
      <c r="E119" s="3650"/>
      <c r="F119" s="3650"/>
      <c r="G119" s="3650"/>
      <c r="H119" s="3650"/>
      <c r="I119" s="3650"/>
      <c r="J119" s="3650"/>
      <c r="K119" s="3651"/>
    </row>
    <row r="120" spans="1:11" s="54" customFormat="1" ht="115.15">
      <c r="A120" s="53"/>
      <c r="B120" s="3652"/>
      <c r="C120" s="3654"/>
      <c r="D120" s="308" t="s">
        <v>820</v>
      </c>
      <c r="E120" s="308" t="s">
        <v>821</v>
      </c>
      <c r="F120" s="308" t="s">
        <v>822</v>
      </c>
      <c r="G120" s="57" t="s">
        <v>823</v>
      </c>
      <c r="H120" s="3176" t="s">
        <v>827</v>
      </c>
      <c r="I120" s="3176" t="s">
        <v>828</v>
      </c>
      <c r="J120" s="3176" t="s">
        <v>826</v>
      </c>
      <c r="K120" s="3177" t="s">
        <v>118</v>
      </c>
    </row>
    <row r="121" spans="1:11" s="54" customFormat="1">
      <c r="A121" s="53"/>
      <c r="B121" s="2696">
        <v>2013</v>
      </c>
      <c r="C121" s="2643"/>
      <c r="D121" s="2643"/>
      <c r="E121" s="2643"/>
      <c r="F121" s="2643"/>
      <c r="G121" s="3180"/>
      <c r="H121" s="2643"/>
      <c r="I121" s="3176"/>
      <c r="J121" s="3176"/>
      <c r="K121" s="3178">
        <f t="shared" ref="K121:K126" si="4">SUM(D121:J121)</f>
        <v>0</v>
      </c>
    </row>
    <row r="122" spans="1:11" s="52" customFormat="1" ht="20.100000000000001" customHeight="1">
      <c r="A122" s="37"/>
      <c r="B122" s="296">
        <v>2012</v>
      </c>
      <c r="C122" s="336">
        <v>801</v>
      </c>
      <c r="D122" s="336">
        <v>106237.90670000001</v>
      </c>
      <c r="E122" s="337">
        <v>0</v>
      </c>
      <c r="F122" s="337">
        <v>0</v>
      </c>
      <c r="G122" s="337">
        <v>0</v>
      </c>
      <c r="H122" s="337">
        <v>0</v>
      </c>
      <c r="I122" s="2845">
        <v>0</v>
      </c>
      <c r="J122" s="2845">
        <v>0</v>
      </c>
      <c r="K122" s="2717">
        <f t="shared" si="4"/>
        <v>106237.90670000001</v>
      </c>
    </row>
    <row r="123" spans="1:11" s="52" customFormat="1" ht="20.100000000000001" customHeight="1">
      <c r="A123" s="37"/>
      <c r="B123" s="2696">
        <v>2011</v>
      </c>
      <c r="C123" s="2846">
        <v>81</v>
      </c>
      <c r="D123" s="2846">
        <v>51426.839</v>
      </c>
      <c r="E123" s="2847">
        <v>0</v>
      </c>
      <c r="F123" s="2847">
        <v>0</v>
      </c>
      <c r="G123" s="2845">
        <v>0</v>
      </c>
      <c r="H123" s="2845">
        <v>0</v>
      </c>
      <c r="I123" s="2848">
        <v>0</v>
      </c>
      <c r="J123" s="2848">
        <v>0</v>
      </c>
      <c r="K123" s="2717">
        <f t="shared" si="4"/>
        <v>51426.839</v>
      </c>
    </row>
    <row r="124" spans="1:11" s="52" customFormat="1" ht="20.100000000000001" customHeight="1">
      <c r="A124" s="37"/>
      <c r="B124" s="2696">
        <v>2010</v>
      </c>
      <c r="C124" s="1684">
        <v>0</v>
      </c>
      <c r="D124" s="1684">
        <v>0</v>
      </c>
      <c r="E124" s="1684">
        <v>0</v>
      </c>
      <c r="F124" s="1684">
        <v>0</v>
      </c>
      <c r="G124" s="1684">
        <v>0</v>
      </c>
      <c r="H124" s="1684">
        <v>0</v>
      </c>
      <c r="I124" s="1684">
        <v>0</v>
      </c>
      <c r="J124" s="1684">
        <v>0</v>
      </c>
      <c r="K124" s="2717">
        <f t="shared" si="4"/>
        <v>0</v>
      </c>
    </row>
    <row r="125" spans="1:11" s="52" customFormat="1" ht="20.100000000000001" customHeight="1">
      <c r="A125" s="37"/>
      <c r="B125" s="2696">
        <v>2009</v>
      </c>
      <c r="C125" s="1684">
        <v>0</v>
      </c>
      <c r="D125" s="1684">
        <v>0</v>
      </c>
      <c r="E125" s="1684">
        <v>0</v>
      </c>
      <c r="F125" s="1684">
        <v>0</v>
      </c>
      <c r="G125" s="1684">
        <v>0</v>
      </c>
      <c r="H125" s="1684">
        <v>0</v>
      </c>
      <c r="I125" s="1684">
        <v>0</v>
      </c>
      <c r="J125" s="1684">
        <v>0</v>
      </c>
      <c r="K125" s="2717">
        <f t="shared" si="4"/>
        <v>0</v>
      </c>
    </row>
    <row r="126" spans="1:11" s="52" customFormat="1" ht="20.100000000000001" customHeight="1">
      <c r="A126" s="37"/>
      <c r="B126" s="2696">
        <v>2008</v>
      </c>
      <c r="C126" s="1684">
        <v>0</v>
      </c>
      <c r="D126" s="1684">
        <v>0</v>
      </c>
      <c r="E126" s="1684">
        <v>0</v>
      </c>
      <c r="F126" s="1684">
        <v>0</v>
      </c>
      <c r="G126" s="1684">
        <v>0</v>
      </c>
      <c r="H126" s="1684">
        <v>0</v>
      </c>
      <c r="I126" s="1684">
        <v>0</v>
      </c>
      <c r="J126" s="1684">
        <v>0</v>
      </c>
      <c r="K126" s="2717">
        <f t="shared" si="4"/>
        <v>0</v>
      </c>
    </row>
    <row r="129" spans="1:11">
      <c r="B129">
        <v>12</v>
      </c>
      <c r="C129" s="307" t="s">
        <v>109</v>
      </c>
    </row>
    <row r="130" spans="1:11" s="54" customFormat="1" ht="13.15">
      <c r="A130" s="53"/>
      <c r="B130" s="3647" t="s">
        <v>810</v>
      </c>
      <c r="C130" s="3653" t="s">
        <v>811</v>
      </c>
      <c r="D130" s="3649" t="s">
        <v>819</v>
      </c>
      <c r="E130" s="3650"/>
      <c r="F130" s="3650"/>
      <c r="G130" s="3650"/>
      <c r="H130" s="3650"/>
      <c r="I130" s="3650"/>
      <c r="J130" s="3650"/>
      <c r="K130" s="3651"/>
    </row>
    <row r="131" spans="1:11" s="54" customFormat="1" ht="115.15">
      <c r="A131" s="53"/>
      <c r="B131" s="3652"/>
      <c r="C131" s="3654"/>
      <c r="D131" s="308" t="s">
        <v>820</v>
      </c>
      <c r="E131" s="308" t="s">
        <v>821</v>
      </c>
      <c r="F131" s="308" t="s">
        <v>822</v>
      </c>
      <c r="G131" s="57" t="s">
        <v>823</v>
      </c>
      <c r="H131" s="3176" t="s">
        <v>827</v>
      </c>
      <c r="I131" s="3176" t="s">
        <v>828</v>
      </c>
      <c r="J131" s="3176" t="s">
        <v>826</v>
      </c>
      <c r="K131" s="3177" t="s">
        <v>118</v>
      </c>
    </row>
    <row r="132" spans="1:11" s="54" customFormat="1">
      <c r="A132" s="53"/>
      <c r="B132" s="2696">
        <v>2013</v>
      </c>
      <c r="C132" s="2643"/>
      <c r="D132" s="2643"/>
      <c r="E132" s="2643"/>
      <c r="F132" s="2643"/>
      <c r="G132" s="3180"/>
      <c r="H132" s="2643"/>
      <c r="I132" s="2643"/>
      <c r="J132" s="2643"/>
      <c r="K132" s="3177"/>
    </row>
    <row r="133" spans="1:11" s="52" customFormat="1" ht="20.100000000000001" customHeight="1">
      <c r="A133" s="37"/>
      <c r="B133" s="296">
        <v>2012</v>
      </c>
      <c r="C133" s="338">
        <v>8217</v>
      </c>
      <c r="D133" s="338">
        <v>52801</v>
      </c>
      <c r="E133" s="339"/>
      <c r="F133" s="339"/>
      <c r="G133" s="339"/>
      <c r="H133" s="339"/>
      <c r="I133" s="338">
        <v>7560</v>
      </c>
      <c r="J133" s="339"/>
      <c r="K133" s="2717">
        <f>SUM(D133:J133)</f>
        <v>60361</v>
      </c>
    </row>
    <row r="134" spans="1:11" s="52" customFormat="1" ht="20.100000000000001" customHeight="1">
      <c r="A134" s="37"/>
      <c r="B134" s="2696">
        <v>2011</v>
      </c>
      <c r="C134" s="2716">
        <v>6467</v>
      </c>
      <c r="D134" s="2716">
        <v>32203</v>
      </c>
      <c r="E134" s="2126"/>
      <c r="F134" s="2126"/>
      <c r="G134" s="2126"/>
      <c r="H134" s="2126"/>
      <c r="I134" s="2716">
        <v>7657</v>
      </c>
      <c r="J134" s="2126"/>
      <c r="K134" s="2717">
        <f>SUM(D134:J134)</f>
        <v>39860</v>
      </c>
    </row>
    <row r="135" spans="1:11" s="52" customFormat="1" ht="20.100000000000001" customHeight="1">
      <c r="A135" s="37"/>
      <c r="B135" s="2696">
        <v>2010</v>
      </c>
      <c r="C135" s="1684">
        <v>6322</v>
      </c>
      <c r="D135" s="1684">
        <v>30723</v>
      </c>
      <c r="E135" s="1684"/>
      <c r="F135" s="1684"/>
      <c r="G135" s="1684"/>
      <c r="H135" s="1684"/>
      <c r="I135" s="1684"/>
      <c r="J135" s="1789"/>
      <c r="K135" s="2717">
        <f>SUM(D135:J135)</f>
        <v>30723</v>
      </c>
    </row>
    <row r="136" spans="1:11" s="52" customFormat="1" ht="20.100000000000001" customHeight="1">
      <c r="A136" s="37"/>
      <c r="B136" s="2696">
        <v>2009</v>
      </c>
      <c r="C136" s="1684">
        <v>3122</v>
      </c>
      <c r="D136" s="1684">
        <v>14976</v>
      </c>
      <c r="E136" s="1684"/>
      <c r="F136" s="1684"/>
      <c r="G136" s="1684"/>
      <c r="H136" s="1684"/>
      <c r="I136" s="1684"/>
      <c r="J136" s="1789"/>
      <c r="K136" s="2717">
        <f>SUM(D136:J136)</f>
        <v>14976</v>
      </c>
    </row>
    <row r="137" spans="1:11" s="52" customFormat="1" ht="20.100000000000001" customHeight="1">
      <c r="A137" s="37"/>
      <c r="B137" s="2696">
        <v>2008</v>
      </c>
      <c r="C137" s="1684">
        <v>3256</v>
      </c>
      <c r="D137" s="1684">
        <v>12923</v>
      </c>
      <c r="E137" s="1684"/>
      <c r="F137" s="1684"/>
      <c r="G137" s="1684"/>
      <c r="H137" s="1684"/>
      <c r="I137" s="1684"/>
      <c r="J137" s="1789"/>
      <c r="K137" s="2717">
        <f>SUM(D137:J137)</f>
        <v>12923</v>
      </c>
    </row>
    <row r="140" spans="1:11">
      <c r="B140">
        <v>13</v>
      </c>
      <c r="C140" s="307" t="s">
        <v>135</v>
      </c>
    </row>
    <row r="141" spans="1:11" s="54" customFormat="1" ht="13.15">
      <c r="A141" s="53"/>
      <c r="B141" s="3647" t="s">
        <v>810</v>
      </c>
      <c r="C141" s="3653" t="s">
        <v>811</v>
      </c>
      <c r="D141" s="3649" t="s">
        <v>819</v>
      </c>
      <c r="E141" s="3650"/>
      <c r="F141" s="3650"/>
      <c r="G141" s="3650"/>
      <c r="H141" s="3650"/>
      <c r="I141" s="3650"/>
      <c r="J141" s="3650"/>
      <c r="K141" s="3651"/>
    </row>
    <row r="142" spans="1:11" s="54" customFormat="1" ht="115.15">
      <c r="A142" s="53"/>
      <c r="B142" s="3648"/>
      <c r="C142" s="3654"/>
      <c r="D142" s="308" t="s">
        <v>820</v>
      </c>
      <c r="E142" s="308" t="s">
        <v>821</v>
      </c>
      <c r="F142" s="308" t="s">
        <v>822</v>
      </c>
      <c r="G142" s="57" t="s">
        <v>823</v>
      </c>
      <c r="H142" s="3176" t="s">
        <v>827</v>
      </c>
      <c r="I142" s="3176" t="s">
        <v>828</v>
      </c>
      <c r="J142" s="3176" t="s">
        <v>826</v>
      </c>
      <c r="K142" s="3177" t="s">
        <v>118</v>
      </c>
    </row>
    <row r="143" spans="1:11" s="54" customFormat="1">
      <c r="A143" s="53"/>
      <c r="B143" s="296">
        <v>2013</v>
      </c>
      <c r="C143" s="2643"/>
      <c r="D143" s="2643"/>
      <c r="E143" s="2643"/>
      <c r="F143" s="2643"/>
      <c r="G143" s="2836"/>
      <c r="H143" s="3176"/>
      <c r="I143" s="3176"/>
      <c r="J143" s="3176"/>
      <c r="K143" s="3178">
        <f t="shared" ref="K143:K148" si="5">SUM(D143:J143)</f>
        <v>0</v>
      </c>
    </row>
    <row r="144" spans="1:11" s="52" customFormat="1" ht="20.100000000000001" customHeight="1">
      <c r="A144" s="37"/>
      <c r="B144" s="2696">
        <v>2012</v>
      </c>
      <c r="C144" s="324">
        <v>41195</v>
      </c>
      <c r="D144" s="326">
        <v>161000</v>
      </c>
      <c r="E144" s="341"/>
      <c r="F144" s="341"/>
      <c r="G144" s="341"/>
      <c r="H144" s="2837"/>
      <c r="I144" s="2837"/>
      <c r="J144" s="2837"/>
      <c r="K144" s="2849">
        <f t="shared" si="5"/>
        <v>161000</v>
      </c>
    </row>
    <row r="145" spans="1:11" s="52" customFormat="1" ht="20.100000000000001" customHeight="1">
      <c r="A145" s="37"/>
      <c r="B145" s="2696">
        <v>2011</v>
      </c>
      <c r="C145" s="1715">
        <v>45290</v>
      </c>
      <c r="D145" s="1715">
        <v>97333</v>
      </c>
      <c r="E145" s="1684"/>
      <c r="F145" s="1684"/>
      <c r="G145" s="1684"/>
      <c r="H145" s="1684"/>
      <c r="I145" s="1684"/>
      <c r="J145" s="1684"/>
      <c r="K145" s="2849">
        <f t="shared" si="5"/>
        <v>97333</v>
      </c>
    </row>
    <row r="146" spans="1:11" s="52" customFormat="1" ht="20.100000000000001" customHeight="1">
      <c r="A146" s="37"/>
      <c r="B146" s="2696">
        <v>2010</v>
      </c>
      <c r="C146" s="1684">
        <v>12555</v>
      </c>
      <c r="D146" s="1684">
        <v>37074</v>
      </c>
      <c r="E146" s="1684"/>
      <c r="F146" s="1684"/>
      <c r="G146" s="1684"/>
      <c r="H146" s="1684"/>
      <c r="I146" s="1684"/>
      <c r="J146" s="1789"/>
      <c r="K146" s="2849">
        <f t="shared" si="5"/>
        <v>37074</v>
      </c>
    </row>
    <row r="147" spans="1:11" s="52" customFormat="1" ht="20.100000000000001" customHeight="1">
      <c r="A147" s="37"/>
      <c r="B147" s="2696">
        <v>2009</v>
      </c>
      <c r="C147" s="1684">
        <v>10546</v>
      </c>
      <c r="D147" s="1684">
        <v>21084</v>
      </c>
      <c r="E147" s="1684"/>
      <c r="F147" s="1684"/>
      <c r="G147" s="1684"/>
      <c r="H147" s="1684"/>
      <c r="I147" s="1684"/>
      <c r="J147" s="1789"/>
      <c r="K147" s="2849">
        <f t="shared" si="5"/>
        <v>21084</v>
      </c>
    </row>
    <row r="148" spans="1:11" s="52" customFormat="1" ht="20.100000000000001" customHeight="1">
      <c r="A148" s="37"/>
      <c r="B148" s="2696">
        <v>2008</v>
      </c>
      <c r="C148" s="1684">
        <v>8503</v>
      </c>
      <c r="D148" s="1684">
        <v>22272</v>
      </c>
      <c r="E148" s="1684"/>
      <c r="F148" s="1684"/>
      <c r="G148" s="1684"/>
      <c r="H148" s="1684"/>
      <c r="I148" s="1684"/>
      <c r="J148" s="1789"/>
      <c r="K148" s="2849">
        <f t="shared" si="5"/>
        <v>22272</v>
      </c>
    </row>
    <row r="149" spans="1:11" s="54" customFormat="1" ht="13.15">
      <c r="A149" s="53"/>
      <c r="B149" s="61"/>
      <c r="C149" s="90"/>
      <c r="D149" s="90"/>
      <c r="E149" s="90"/>
      <c r="F149" s="90"/>
      <c r="G149" s="90"/>
      <c r="H149" s="90"/>
      <c r="I149" s="90"/>
    </row>
    <row r="150" spans="1:11" s="54" customFormat="1" ht="13.15">
      <c r="A150" s="53"/>
      <c r="B150" s="61"/>
      <c r="C150" s="90"/>
      <c r="D150" s="90"/>
      <c r="E150" s="90"/>
      <c r="F150" s="90"/>
      <c r="G150" s="90"/>
      <c r="H150" s="90"/>
      <c r="I150" s="90"/>
    </row>
    <row r="151" spans="1:11">
      <c r="B151">
        <v>14</v>
      </c>
      <c r="C151" s="307" t="s">
        <v>115</v>
      </c>
    </row>
    <row r="152" spans="1:11" s="54" customFormat="1" ht="13.15">
      <c r="A152" s="53"/>
      <c r="B152" s="3647" t="s">
        <v>810</v>
      </c>
      <c r="C152" s="3653" t="s">
        <v>811</v>
      </c>
      <c r="D152" s="3649" t="s">
        <v>819</v>
      </c>
      <c r="E152" s="3650"/>
      <c r="F152" s="3650"/>
      <c r="G152" s="3650"/>
      <c r="H152" s="3650"/>
      <c r="I152" s="3650"/>
      <c r="J152" s="3650"/>
      <c r="K152" s="3651"/>
    </row>
    <row r="153" spans="1:11" s="54" customFormat="1" ht="115.15">
      <c r="A153" s="53"/>
      <c r="B153" s="3652"/>
      <c r="C153" s="3654"/>
      <c r="D153" s="308" t="s">
        <v>820</v>
      </c>
      <c r="E153" s="308" t="s">
        <v>821</v>
      </c>
      <c r="F153" s="308" t="s">
        <v>822</v>
      </c>
      <c r="G153" s="57" t="s">
        <v>823</v>
      </c>
      <c r="H153" s="3176" t="s">
        <v>827</v>
      </c>
      <c r="I153" s="3176" t="s">
        <v>828</v>
      </c>
      <c r="J153" s="3176" t="s">
        <v>826</v>
      </c>
      <c r="K153" s="3177" t="s">
        <v>118</v>
      </c>
    </row>
    <row r="154" spans="1:11" s="54" customFormat="1">
      <c r="A154" s="53"/>
      <c r="B154" s="2696">
        <v>2013</v>
      </c>
      <c r="C154" s="2643"/>
      <c r="D154" s="2643"/>
      <c r="E154" s="2643"/>
      <c r="F154" s="2643"/>
      <c r="G154" s="2836"/>
      <c r="H154" s="3176"/>
      <c r="I154" s="3176"/>
      <c r="J154" s="3176"/>
      <c r="K154" s="3178">
        <f t="shared" ref="K154:K159" si="6">SUM(D154:J154)</f>
        <v>0</v>
      </c>
    </row>
    <row r="155" spans="1:11" s="52" customFormat="1" ht="20.100000000000001" customHeight="1">
      <c r="A155" s="37"/>
      <c r="B155" s="296">
        <v>2012</v>
      </c>
      <c r="C155" s="340">
        <v>66733</v>
      </c>
      <c r="D155" s="340">
        <v>1787728</v>
      </c>
      <c r="E155" s="340"/>
      <c r="F155" s="340">
        <v>237002</v>
      </c>
      <c r="G155" s="340"/>
      <c r="H155" s="2722"/>
      <c r="I155" s="2722"/>
      <c r="J155" s="2722"/>
      <c r="K155" s="2849">
        <f t="shared" si="6"/>
        <v>2024730</v>
      </c>
    </row>
    <row r="156" spans="1:11" s="52" customFormat="1" ht="20.100000000000001" customHeight="1">
      <c r="A156" s="37"/>
      <c r="B156" s="2696">
        <v>2011</v>
      </c>
      <c r="C156" s="2720">
        <v>81956</v>
      </c>
      <c r="D156" s="2720">
        <v>1813335</v>
      </c>
      <c r="E156" s="2720"/>
      <c r="F156" s="2720">
        <v>165694</v>
      </c>
      <c r="G156" s="2720"/>
      <c r="H156" s="2720"/>
      <c r="I156" s="2720"/>
      <c r="J156" s="2720"/>
      <c r="K156" s="2849">
        <f t="shared" si="6"/>
        <v>1979029</v>
      </c>
    </row>
    <row r="157" spans="1:11" s="52" customFormat="1" ht="20.100000000000001" customHeight="1">
      <c r="A157" s="37"/>
      <c r="B157" s="2696">
        <v>2010</v>
      </c>
      <c r="C157" s="2850">
        <v>91081</v>
      </c>
      <c r="D157" s="2126">
        <v>1644220</v>
      </c>
      <c r="E157" s="2126"/>
      <c r="F157" s="2126">
        <v>135763</v>
      </c>
      <c r="G157" s="2126"/>
      <c r="H157" s="2126"/>
      <c r="I157" s="2126"/>
      <c r="J157" s="1789"/>
      <c r="K157" s="2849">
        <f t="shared" si="6"/>
        <v>1779983</v>
      </c>
    </row>
    <row r="158" spans="1:11" s="52" customFormat="1" ht="20.100000000000001" customHeight="1">
      <c r="A158" s="37"/>
      <c r="B158" s="2696">
        <v>2009</v>
      </c>
      <c r="C158" s="2850">
        <v>67045</v>
      </c>
      <c r="D158" s="2126">
        <v>998878</v>
      </c>
      <c r="E158" s="2126"/>
      <c r="F158" s="2126">
        <v>94450</v>
      </c>
      <c r="G158" s="2126"/>
      <c r="H158" s="2126"/>
      <c r="I158" s="2126"/>
      <c r="J158" s="1789"/>
      <c r="K158" s="2849">
        <f t="shared" si="6"/>
        <v>1093328</v>
      </c>
    </row>
    <row r="159" spans="1:11" s="52" customFormat="1" ht="20.100000000000001" customHeight="1">
      <c r="A159" s="37"/>
      <c r="B159" s="2696">
        <v>2008</v>
      </c>
      <c r="C159" s="2850">
        <v>77163</v>
      </c>
      <c r="D159" s="2126">
        <v>1112754</v>
      </c>
      <c r="E159" s="2126"/>
      <c r="F159" s="2126">
        <v>110561</v>
      </c>
      <c r="G159" s="2126"/>
      <c r="H159" s="2126"/>
      <c r="I159" s="2126"/>
      <c r="J159" s="1789"/>
      <c r="K159" s="2849">
        <f t="shared" si="6"/>
        <v>1223315</v>
      </c>
    </row>
    <row r="162" spans="1:11">
      <c r="B162">
        <v>15</v>
      </c>
      <c r="C162" s="307" t="s">
        <v>136</v>
      </c>
    </row>
    <row r="163" spans="1:11" s="54" customFormat="1" ht="13.15">
      <c r="A163" s="53"/>
      <c r="B163" s="3647" t="s">
        <v>810</v>
      </c>
      <c r="C163" s="3653" t="s">
        <v>811</v>
      </c>
      <c r="D163" s="3649" t="s">
        <v>819</v>
      </c>
      <c r="E163" s="3650"/>
      <c r="F163" s="3650"/>
      <c r="G163" s="3650"/>
      <c r="H163" s="3650"/>
      <c r="I163" s="3650"/>
      <c r="J163" s="3650"/>
      <c r="K163" s="3651"/>
    </row>
    <row r="164" spans="1:11" s="54" customFormat="1" ht="115.15">
      <c r="A164" s="53"/>
      <c r="B164" s="3648"/>
      <c r="C164" s="3653"/>
      <c r="D164" s="2643" t="s">
        <v>820</v>
      </c>
      <c r="E164" s="2643" t="s">
        <v>821</v>
      </c>
      <c r="F164" s="2643" t="s">
        <v>822</v>
      </c>
      <c r="G164" s="2832" t="s">
        <v>823</v>
      </c>
      <c r="H164" s="2643" t="s">
        <v>827</v>
      </c>
      <c r="I164" s="2643" t="s">
        <v>828</v>
      </c>
      <c r="J164" s="2643" t="s">
        <v>826</v>
      </c>
      <c r="K164" s="2696" t="s">
        <v>118</v>
      </c>
    </row>
    <row r="165" spans="1:11" s="54" customFormat="1">
      <c r="A165" s="53"/>
      <c r="B165" s="2696">
        <v>2013</v>
      </c>
      <c r="C165" s="2643"/>
      <c r="D165" s="308"/>
      <c r="E165" s="308"/>
      <c r="F165" s="308"/>
      <c r="G165" s="332"/>
      <c r="H165" s="56"/>
      <c r="I165" s="56"/>
      <c r="J165" s="56"/>
      <c r="K165" s="335">
        <f t="shared" ref="K165:K170" si="7">SUM(D165:J165)</f>
        <v>0</v>
      </c>
    </row>
    <row r="166" spans="1:11" s="52" customFormat="1" ht="20.100000000000001" customHeight="1">
      <c r="A166" s="37"/>
      <c r="B166" s="296">
        <v>2012</v>
      </c>
      <c r="C166" s="2851">
        <v>73636</v>
      </c>
      <c r="D166" s="324">
        <v>3367394.4261299996</v>
      </c>
      <c r="E166" s="324">
        <v>838388</v>
      </c>
      <c r="F166" s="324">
        <v>9382.5738699999984</v>
      </c>
      <c r="G166" s="326">
        <v>891159</v>
      </c>
      <c r="H166" s="326">
        <v>0</v>
      </c>
      <c r="I166" s="326">
        <v>0</v>
      </c>
      <c r="J166" s="326">
        <v>0</v>
      </c>
      <c r="K166" s="335">
        <f t="shared" si="7"/>
        <v>5106324</v>
      </c>
    </row>
    <row r="167" spans="1:11" s="52" customFormat="1" ht="20.100000000000001" customHeight="1">
      <c r="A167" s="37"/>
      <c r="B167" s="2696">
        <v>2011</v>
      </c>
      <c r="C167" s="1715">
        <v>78591</v>
      </c>
      <c r="D167" s="1715">
        <v>2977072.73012</v>
      </c>
      <c r="E167" s="1715">
        <v>695270</v>
      </c>
      <c r="F167" s="1715">
        <v>10635.26988</v>
      </c>
      <c r="G167" s="1715">
        <v>788649</v>
      </c>
      <c r="H167" s="1715">
        <v>0</v>
      </c>
      <c r="I167" s="1715">
        <v>0</v>
      </c>
      <c r="J167" s="1715">
        <v>0</v>
      </c>
      <c r="K167" s="335">
        <f t="shared" si="7"/>
        <v>4471627</v>
      </c>
    </row>
    <row r="168" spans="1:11" s="52" customFormat="1" ht="20.100000000000001" customHeight="1">
      <c r="A168" s="37"/>
      <c r="B168" s="2696">
        <v>2010</v>
      </c>
      <c r="C168" s="1684">
        <v>75827</v>
      </c>
      <c r="D168" s="1684">
        <v>1525339</v>
      </c>
      <c r="E168" s="1684">
        <v>347303</v>
      </c>
      <c r="F168" s="1684">
        <v>7290</v>
      </c>
      <c r="G168" s="1684">
        <v>340266</v>
      </c>
      <c r="H168" s="1684">
        <v>0</v>
      </c>
      <c r="I168" s="1684">
        <v>0</v>
      </c>
      <c r="J168" s="1684">
        <v>0</v>
      </c>
      <c r="K168" s="335">
        <f t="shared" si="7"/>
        <v>2220198</v>
      </c>
    </row>
    <row r="169" spans="1:11" s="52" customFormat="1" ht="20.100000000000001" customHeight="1">
      <c r="A169" s="37"/>
      <c r="B169" s="2696">
        <v>2009</v>
      </c>
      <c r="C169" s="1684">
        <v>56221</v>
      </c>
      <c r="D169" s="1684">
        <v>1251547</v>
      </c>
      <c r="E169" s="1684">
        <v>0</v>
      </c>
      <c r="F169" s="1684">
        <v>7828</v>
      </c>
      <c r="G169" s="1684">
        <v>245664</v>
      </c>
      <c r="H169" s="1684">
        <v>0</v>
      </c>
      <c r="I169" s="1684">
        <v>0</v>
      </c>
      <c r="J169" s="1684">
        <v>0</v>
      </c>
      <c r="K169" s="335">
        <f t="shared" si="7"/>
        <v>1505039</v>
      </c>
    </row>
    <row r="170" spans="1:11" s="52" customFormat="1" ht="20.100000000000001" customHeight="1">
      <c r="A170" s="37"/>
      <c r="B170" s="2696">
        <v>2008</v>
      </c>
      <c r="C170" s="1684">
        <v>58510</v>
      </c>
      <c r="D170" s="1684">
        <v>1181961</v>
      </c>
      <c r="E170" s="1684">
        <v>0</v>
      </c>
      <c r="F170" s="1684">
        <v>6834</v>
      </c>
      <c r="G170" s="1684">
        <v>243634</v>
      </c>
      <c r="H170" s="1684">
        <v>0</v>
      </c>
      <c r="I170" s="1684">
        <v>0</v>
      </c>
      <c r="J170" s="1684">
        <v>0</v>
      </c>
      <c r="K170" s="335">
        <f t="shared" si="7"/>
        <v>1432429</v>
      </c>
    </row>
  </sheetData>
  <customSheetViews>
    <customSheetView guid="{2ACFE167-4169-43A6-9AB2-59D5A2DA2DB4}" showPageBreaks="1" printArea="1" state="hidden" topLeftCell="A16">
      <selection activeCell="C7" sqref="C7"/>
      <rowBreaks count="3" manualBreakCount="3">
        <brk id="40" min="1" max="10" man="1"/>
        <brk id="82" min="1" max="10" man="1"/>
        <brk id="126" min="1" max="10" man="1"/>
      </rowBreaks>
      <pageMargins left="0" right="0" top="0" bottom="0" header="0" footer="0"/>
      <pageSetup scale="57" orientation="portrait" r:id="rId1"/>
    </customSheetView>
    <customSheetView guid="{967E0446-E234-427F-8E57-7FE287052E2E}" showPageBreaks="1" printArea="1" state="hidden" topLeftCell="A16">
      <selection activeCell="C7" sqref="C7"/>
      <rowBreaks count="3" manualBreakCount="3">
        <brk id="40" min="1" max="10" man="1"/>
        <brk id="82" min="1" max="10" man="1"/>
        <brk id="126" min="1" max="10" man="1"/>
      </rowBreaks>
      <pageMargins left="0" right="0" top="0" bottom="0" header="0" footer="0"/>
      <pageSetup scale="57" orientation="portrait" r:id="rId2"/>
    </customSheetView>
    <customSheetView guid="{B2E1A0C6-5BA1-4CF1-B412-16D81FCDF11F}" showPageBreaks="1" printArea="1" state="hidden" topLeftCell="A16">
      <selection activeCell="C7" sqref="C7"/>
      <rowBreaks count="3" manualBreakCount="3">
        <brk id="40" min="1" max="10" man="1"/>
        <brk id="82" min="1" max="10" man="1"/>
        <brk id="126" min="1" max="10" man="1"/>
      </rowBreaks>
      <pageMargins left="0" right="0" top="0" bottom="0" header="0" footer="0"/>
      <pageSetup scale="57" orientation="portrait" r:id="rId3"/>
    </customSheetView>
    <customSheetView guid="{46F31544-8E6F-41C5-8628-1D6EE074AF15}" state="hidden" topLeftCell="A16">
      <selection activeCell="C7" sqref="C7"/>
      <rowBreaks count="3" manualBreakCount="3">
        <brk id="40" min="1" max="10" man="1"/>
        <brk id="82" min="1" max="10" man="1"/>
        <brk id="126" min="1" max="10" man="1"/>
      </rowBreaks>
      <pageMargins left="0" right="0" top="0" bottom="0" header="0" footer="0"/>
      <pageSetup scale="57" orientation="portrait" r:id="rId4"/>
    </customSheetView>
    <customSheetView guid="{B4A67912-05A8-4D20-958A-E8812294BB39}">
      <pageMargins left="0" right="0" top="0" bottom="0" header="0" footer="0"/>
    </customSheetView>
    <customSheetView guid="{E82B35BE-4719-4C53-A9EF-1CC6F153A6F3}" showPageBreaks="1" printArea="1">
      <selection activeCell="D154" sqref="D154:K154"/>
      <rowBreaks count="3" manualBreakCount="3">
        <brk id="40" min="1" max="10" man="1"/>
        <brk id="80" min="1" max="10" man="1"/>
        <brk id="120" min="1" max="10" man="1"/>
      </rowBreaks>
      <pageMargins left="0" right="0" top="0" bottom="0" header="0" footer="0"/>
      <pageSetup scale="57" orientation="portrait" r:id="rId5"/>
    </customSheetView>
    <customSheetView guid="{B1E1B596-A9A1-411D-A882-A48CB025B978}" showPageBreaks="1" printArea="1" state="hidden" topLeftCell="A16">
      <selection activeCell="C7" sqref="C7"/>
      <rowBreaks count="3" manualBreakCount="3">
        <brk id="40" min="1" max="10" man="1"/>
        <brk id="82" min="1" max="10" man="1"/>
        <brk id="126" min="1" max="10" man="1"/>
      </rowBreaks>
      <pageMargins left="0" right="0" top="0" bottom="0" header="0" footer="0"/>
      <pageSetup scale="57" orientation="portrait" r:id="rId6"/>
    </customSheetView>
    <customSheetView guid="{5E394B0B-7867-4722-9497-A93AB2A9A773}" showPageBreaks="1" printArea="1" state="hidden" topLeftCell="A16">
      <selection activeCell="C7" sqref="C7"/>
      <rowBreaks count="3" manualBreakCount="3">
        <brk id="40" min="1" max="10" man="1"/>
        <brk id="82" min="1" max="10" man="1"/>
        <brk id="126" min="1" max="10" man="1"/>
      </rowBreaks>
      <pageMargins left="0" right="0" top="0" bottom="0" header="0" footer="0"/>
      <pageSetup scale="57" orientation="portrait" r:id="rId7"/>
    </customSheetView>
  </customSheetViews>
  <mergeCells count="48">
    <mergeCell ref="C44:C45"/>
    <mergeCell ref="D44:K44"/>
    <mergeCell ref="C4:C5"/>
    <mergeCell ref="C54:C55"/>
    <mergeCell ref="D54:K54"/>
    <mergeCell ref="C14:C15"/>
    <mergeCell ref="D14:K14"/>
    <mergeCell ref="C24:C25"/>
    <mergeCell ref="D24:K24"/>
    <mergeCell ref="C34:C35"/>
    <mergeCell ref="D34:K34"/>
    <mergeCell ref="C97:C98"/>
    <mergeCell ref="C108:C109"/>
    <mergeCell ref="C75:C76"/>
    <mergeCell ref="C86:C87"/>
    <mergeCell ref="C64:C65"/>
    <mergeCell ref="C141:C142"/>
    <mergeCell ref="C163:C164"/>
    <mergeCell ref="C152:C153"/>
    <mergeCell ref="C119:C120"/>
    <mergeCell ref="C130:C131"/>
    <mergeCell ref="B4:B5"/>
    <mergeCell ref="B54:B55"/>
    <mergeCell ref="B14:B15"/>
    <mergeCell ref="B24:B25"/>
    <mergeCell ref="B34:B35"/>
    <mergeCell ref="B44:B45"/>
    <mergeCell ref="B64:B65"/>
    <mergeCell ref="B75:B76"/>
    <mergeCell ref="B86:B87"/>
    <mergeCell ref="B97:B98"/>
    <mergeCell ref="B108:B109"/>
    <mergeCell ref="B163:B164"/>
    <mergeCell ref="D4:K4"/>
    <mergeCell ref="D163:K163"/>
    <mergeCell ref="D152:K152"/>
    <mergeCell ref="D141:K141"/>
    <mergeCell ref="D130:K130"/>
    <mergeCell ref="D119:K119"/>
    <mergeCell ref="D108:K108"/>
    <mergeCell ref="D97:K97"/>
    <mergeCell ref="D86:K86"/>
    <mergeCell ref="D75:K75"/>
    <mergeCell ref="D64:K64"/>
    <mergeCell ref="B119:B120"/>
    <mergeCell ref="B130:B131"/>
    <mergeCell ref="B141:B142"/>
    <mergeCell ref="B152:B153"/>
  </mergeCells>
  <pageMargins left="0.7" right="0.7" top="0.75" bottom="0.75" header="0.3" footer="0.3"/>
  <pageSetup scale="57" orientation="portrait" r:id="rId8"/>
  <rowBreaks count="3" manualBreakCount="3">
    <brk id="40" min="1" max="10" man="1"/>
    <brk id="82" min="1" max="10" man="1"/>
    <brk id="126" min="1" max="10" man="1"/>
  </row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24">
    <tabColor rgb="FFFFC000"/>
  </sheetPr>
  <dimension ref="A1:I206"/>
  <sheetViews>
    <sheetView workbookViewId="0">
      <selection activeCell="A2" sqref="A2"/>
    </sheetView>
  </sheetViews>
  <sheetFormatPr defaultRowHeight="14.45"/>
  <cols>
    <col min="1" max="1" width="26.85546875" bestFit="1" customWidth="1"/>
    <col min="2" max="2" width="18.85546875" customWidth="1"/>
    <col min="3" max="3" width="15" customWidth="1"/>
    <col min="4" max="4" width="15.5703125" customWidth="1"/>
    <col min="5" max="5" width="17.42578125" customWidth="1"/>
    <col min="6" max="6" width="16.7109375" customWidth="1"/>
    <col min="8" max="8" width="14.140625" customWidth="1"/>
  </cols>
  <sheetData>
    <row r="1" spans="1:6">
      <c r="A1" s="82" t="s">
        <v>830</v>
      </c>
      <c r="B1" s="75"/>
      <c r="C1" s="75"/>
      <c r="D1" s="75"/>
      <c r="E1" s="75"/>
      <c r="F1" s="75"/>
    </row>
    <row r="2" spans="1:6">
      <c r="A2" s="83"/>
      <c r="B2" s="75"/>
      <c r="C2" s="75"/>
      <c r="D2" s="75"/>
      <c r="E2" s="75"/>
      <c r="F2" s="75"/>
    </row>
    <row r="3" spans="1:6">
      <c r="A3" s="3656" t="s">
        <v>796</v>
      </c>
      <c r="B3" s="3658" t="s">
        <v>797</v>
      </c>
      <c r="C3" s="3658"/>
      <c r="D3" s="3658"/>
      <c r="E3" s="3658"/>
      <c r="F3" s="3658"/>
    </row>
    <row r="4" spans="1:6">
      <c r="A4" s="3657"/>
      <c r="B4" s="2852">
        <v>2008</v>
      </c>
      <c r="C4" s="2852">
        <v>2009</v>
      </c>
      <c r="D4" s="2852">
        <v>2010</v>
      </c>
      <c r="E4" s="2852">
        <v>2011</v>
      </c>
      <c r="F4" s="2853">
        <v>2012</v>
      </c>
    </row>
    <row r="5" spans="1:6">
      <c r="A5" s="2854" t="s">
        <v>798</v>
      </c>
      <c r="B5" s="2855">
        <f>+B17/$B$22*100</f>
        <v>94.263039323199607</v>
      </c>
      <c r="C5" s="2855">
        <f>+C17/$C$22*100</f>
        <v>92.957552155146303</v>
      </c>
      <c r="D5" s="2855">
        <f>+D17/$D$22*100</f>
        <v>86.050768082841671</v>
      </c>
      <c r="E5" s="2855">
        <f>+E17/$E$22*100</f>
        <v>90.205601946774664</v>
      </c>
      <c r="F5" s="2855">
        <f>+F17/$F$22*100</f>
        <v>92.739829613911411</v>
      </c>
    </row>
    <row r="6" spans="1:6">
      <c r="A6" s="2854" t="s">
        <v>799</v>
      </c>
      <c r="B6" s="2855">
        <f>+B18/$B$22*100</f>
        <v>0.91101961656182584</v>
      </c>
      <c r="C6" s="2855">
        <f>+C18/$C$22*100</f>
        <v>0.69246828388602621</v>
      </c>
      <c r="D6" s="2855">
        <f>+D18/$D$22*100</f>
        <v>0.82759732341490777</v>
      </c>
      <c r="E6" s="2855">
        <f>+E18/$E$22*100</f>
        <v>0.76199329794234849</v>
      </c>
      <c r="F6" s="2855">
        <f>+F18/$F$22*100</f>
        <v>0.52244592789788913</v>
      </c>
    </row>
    <row r="7" spans="1:6">
      <c r="A7" s="2854" t="s">
        <v>800</v>
      </c>
      <c r="B7" s="2855">
        <f>+B19/$B$22*100</f>
        <v>1.4036696093349883</v>
      </c>
      <c r="C7" s="2855">
        <f>+C19/$C$22*100</f>
        <v>1.7311881895423473</v>
      </c>
      <c r="D7" s="2855">
        <f>+D19/$D$22*100</f>
        <v>4.7292327750281231</v>
      </c>
      <c r="E7" s="2855">
        <f>+E19/$E$22*100</f>
        <v>4.4962367840319404</v>
      </c>
      <c r="F7" s="2855">
        <f>+F19/$F$22*100</f>
        <v>4.8406114786146714</v>
      </c>
    </row>
    <row r="8" spans="1:6">
      <c r="A8" s="2854" t="s">
        <v>803</v>
      </c>
      <c r="B8" s="2855">
        <f>+B20/$B$22*100</f>
        <v>1.7145769871970731</v>
      </c>
      <c r="C8" s="2855">
        <f>+C20/$C$22*100</f>
        <v>2.7385247414073004</v>
      </c>
      <c r="D8" s="2855">
        <f>+D20/$D$22*100</f>
        <v>7.9157362537632237</v>
      </c>
      <c r="E8" s="2855">
        <f>+E20/$E$22*100</f>
        <v>4.4234037090086824</v>
      </c>
      <c r="F8" s="2855">
        <f>+F20/$F$22*100</f>
        <v>1.8971129795760229</v>
      </c>
    </row>
    <row r="9" spans="1:6">
      <c r="A9" s="2854" t="s">
        <v>381</v>
      </c>
      <c r="B9" s="2855">
        <f>+B21/$B$22*100</f>
        <v>1.7076944637065179</v>
      </c>
      <c r="C9" s="2855">
        <f>+C21/$C$22*100</f>
        <v>1.8802666300180195</v>
      </c>
      <c r="D9" s="2855">
        <f>+D21/$D$22*100</f>
        <v>0.47666556495206314</v>
      </c>
      <c r="E9" s="2855">
        <f>+E21/$E$22*100</f>
        <v>0.11276426224236022</v>
      </c>
      <c r="F9" s="2855">
        <f>+F21/$F$22*100</f>
        <v>0</v>
      </c>
    </row>
    <row r="10" spans="1:6" ht="15" thickBot="1">
      <c r="A10" s="85" t="s">
        <v>118</v>
      </c>
      <c r="B10" s="105">
        <f>SUM(B5:B9)</f>
        <v>100.00000000000001</v>
      </c>
      <c r="C10" s="105">
        <f>SUM(C5:C9)</f>
        <v>100</v>
      </c>
      <c r="D10" s="105">
        <f>SUM(D5:D9)</f>
        <v>99.999999999999986</v>
      </c>
      <c r="E10" s="105">
        <f>SUM(E5:E9)</f>
        <v>100</v>
      </c>
      <c r="F10" s="105">
        <f>SUM(F5:F9)</f>
        <v>100</v>
      </c>
    </row>
    <row r="11" spans="1:6" ht="15" thickTop="1"/>
    <row r="13" spans="1:6">
      <c r="A13" s="82" t="s">
        <v>802</v>
      </c>
      <c r="B13" s="75"/>
      <c r="C13" s="75"/>
      <c r="D13" s="75"/>
      <c r="E13" s="75"/>
      <c r="F13" s="75"/>
    </row>
    <row r="14" spans="1:6">
      <c r="A14" s="83"/>
      <c r="B14" s="75"/>
      <c r="C14" s="75"/>
      <c r="D14" s="75"/>
      <c r="E14" s="75"/>
      <c r="F14" s="75"/>
    </row>
    <row r="15" spans="1:6">
      <c r="A15" s="3656" t="s">
        <v>796</v>
      </c>
      <c r="B15" s="3658" t="s">
        <v>797</v>
      </c>
      <c r="C15" s="3658"/>
      <c r="D15" s="3658"/>
      <c r="E15" s="3658"/>
      <c r="F15" s="3658"/>
    </row>
    <row r="16" spans="1:6">
      <c r="A16" s="3657"/>
      <c r="B16" s="2852">
        <v>2008</v>
      </c>
      <c r="C16" s="2852">
        <v>2009</v>
      </c>
      <c r="D16" s="2852">
        <v>2010</v>
      </c>
      <c r="E16" s="2852">
        <v>2011</v>
      </c>
      <c r="F16" s="2853">
        <v>2012</v>
      </c>
    </row>
    <row r="17" spans="1:6">
      <c r="A17" s="2854" t="s">
        <v>798</v>
      </c>
      <c r="B17" s="2856">
        <f>+F29+F38+F47+F56+F65+F74+F83+F92+F101+F110+F119+F128+F137+F146+F155+F164+F173+F182+F191+F200</f>
        <v>18449245.224314563</v>
      </c>
      <c r="C17" s="2856">
        <f>+E29+E38+E47+E56+E65+E74+E83+E92+E101+E110+E119+E128+E137+E146+E155+E164+E173+E182+E191+E200</f>
        <v>18224433.72264</v>
      </c>
      <c r="D17" s="2856">
        <f>+D29+D38+D47+D56+D65+D74+D83+D92+D101+D110+D119+D128+D137+D146+D155+D164+D173+D182+D191+D200</f>
        <v>23824769.036785007</v>
      </c>
      <c r="E17" s="2856">
        <f>+C29+C38+C47+C56+C65+C74+C83+C92+C101+C110+C119+C128+C137+C146+C155+C164+C173+C182+C191+C200</f>
        <v>31717957.853548001</v>
      </c>
      <c r="F17" s="2856">
        <f>+B29+B38+B47+B56+B65+B74+B83+B92+B101+B110+B119+B128+B137+B146+B155+B164+B173+B182+B191+B200</f>
        <v>34748335.997617707</v>
      </c>
    </row>
    <row r="18" spans="1:6">
      <c r="A18" s="2854" t="s">
        <v>799</v>
      </c>
      <c r="B18" s="2856">
        <f>+F30+F39+F48+F57+F66+F75+F84+F93+F102+F111+F120+F129+F138+F147+F156+F165+F174+F183+F192+F201</f>
        <v>178305.56314317283</v>
      </c>
      <c r="C18" s="2856">
        <f>+E30+E39+E48+E57+E66+E75+E84+E93+E102+E111+E120+E129+E138+E147+E156+E165+E174+E183+E192+E201</f>
        <v>135759.19387000002</v>
      </c>
      <c r="D18" s="2856">
        <f>+D30+D39+D48+D57+D66+D75+D84+D93+D102+D111+D120+D129+D138+D147+D156+D165+D174+D183+D192+D201</f>
        <v>229135.84068000002</v>
      </c>
      <c r="E18" s="2856">
        <f>+C30+C39+C48+C57+C66+C75+C84+C93+C102+C111+C120+C129+C138+C147+C156+C165+C174+C183+C192+C201</f>
        <v>267930.93541000003</v>
      </c>
      <c r="F18" s="2856">
        <f>+B30+B39+B48+B57+B66+B75+B84+B93+B102+B111+B120+B129+B138+B147+B156+B165+B174+B183+B192+B201</f>
        <v>195753.28873</v>
      </c>
    </row>
    <row r="19" spans="1:6">
      <c r="A19" s="2854" t="s">
        <v>800</v>
      </c>
      <c r="B19" s="2856">
        <f>+F31+F40+F49+F58+F67+F76+F85+F94+F103+F112+F121+F130+F139+F148+F157+F166+F175+F184+F193+F202</f>
        <v>274727.45439224824</v>
      </c>
      <c r="C19" s="2856">
        <f>+E31+E40+E49+E58+E67+E76+E85+E94+E103+E112+E121+E130+E139+E148+E157+E166+E175+E184+E193+E202</f>
        <v>339401.41161499999</v>
      </c>
      <c r="D19" s="2856">
        <f>+D31+D40+D49+D58+D67+D76+D85+D94+D103+D112+D121+D130+D139+D148+D157+D166+D175+D184+D193+D202</f>
        <v>1309376.791126</v>
      </c>
      <c r="E19" s="2856">
        <f>+C31+C40+C49+C58+C67+C76+C85+C94+C103+C112+C121+C130+C139+C148+C157+C166+C175+C184+C193+C202</f>
        <v>1580960.0040099998</v>
      </c>
      <c r="F19" s="2856">
        <f>+B31+B40+B49+B58+B67+B76+B85+B94+B103+B112+B121+B130+B139+B148+B157+B166+B175+B184+B193+B202</f>
        <v>1813710.4067699988</v>
      </c>
    </row>
    <row r="20" spans="1:6">
      <c r="A20" s="2854" t="s">
        <v>803</v>
      </c>
      <c r="B20" s="2856">
        <f>+F32+F41+F50+F59+F68+F77+F86+F95+F104+F113+F122+F131+F140+F149+F158+F167+F176+F185+F194+F203</f>
        <v>335578.52069999999</v>
      </c>
      <c r="C20" s="2856">
        <f>+E32+E41+E50+E59+E68+E77+E86+E95+E104+E113+E122+E131+E140+E149+E158+E167+E176+E185+E194+E203</f>
        <v>536890.88718999992</v>
      </c>
      <c r="D20" s="2856">
        <f>+D32+D41+D50+D59+D68+D77+D86+D95+D104+D113+D122+D131+D140+D149+D158+D167+D176+D185+D194+D203</f>
        <v>2191620.0424899999</v>
      </c>
      <c r="E20" s="2856">
        <f>+C32+C41+C50+C59+C68+C77+C86+C95+C104+C113+C122+C131+C140+C149+C158+C167+C176+C185+C194+C203</f>
        <v>1555350.5479000001</v>
      </c>
      <c r="F20" s="2856">
        <f>+B32+B41+B50+B59+B68+B77+B86+B95+B104+B113+B122+B131+B140+B149+B158+B167+B176+B185+B194+B203</f>
        <v>710822.08705999993</v>
      </c>
    </row>
    <row r="21" spans="1:6">
      <c r="A21" s="2854" t="s">
        <v>804</v>
      </c>
      <c r="B21" s="2856">
        <f>+F33+F42+F51+F60+F69+F78+F87+F96+F105+F114+F123+F132+F141+F150+F159+F168+F177+F186+F195+F204</f>
        <v>334231.46713000006</v>
      </c>
      <c r="C21" s="2856">
        <f>+E33+E42+E51+E60+E69+E78+E87+E96+E105+E114+E123+E132+E141+E150+E159+E168+E177+E186+E195+E204</f>
        <v>368628.40925999999</v>
      </c>
      <c r="D21" s="2856">
        <f>+D33+D42+D51+D60+D69+D78+D87+D96+D105+D114+D123+D132+D141+D150+D159+D168+D177+D186+D195+D204</f>
        <v>131973.80158000003</v>
      </c>
      <c r="E21" s="2856">
        <f>+C33+C42+C51+C60+C69+C78+C87+C96+C105+C114+C123+C132+C141+C150+C159+C168+C177+C186+C195+C204</f>
        <v>39650</v>
      </c>
      <c r="F21" s="2856">
        <f>+B33+B42+B51+B60+B69+B78+B87+B96+B105+B114+B123+B132+B141+B150+B159+B168+B177+B186+B195+B204</f>
        <v>0</v>
      </c>
    </row>
    <row r="22" spans="1:6" ht="15" thickBot="1">
      <c r="A22" s="85" t="s">
        <v>118</v>
      </c>
      <c r="B22" s="86">
        <f>SUM(B17:B21)</f>
        <v>19572088.229679983</v>
      </c>
      <c r="C22" s="86">
        <f>SUM(C17:C21)</f>
        <v>19605113.624575</v>
      </c>
      <c r="D22" s="86">
        <f>SUM(D17:D21)</f>
        <v>27686875.512661006</v>
      </c>
      <c r="E22" s="86">
        <f>SUM(E17:E21)</f>
        <v>35161849.340868004</v>
      </c>
      <c r="F22" s="86">
        <f>SUM(F17:F21)</f>
        <v>37468621.780177705</v>
      </c>
    </row>
    <row r="23" spans="1:6" ht="15" thickTop="1">
      <c r="A23" s="155" t="s">
        <v>831</v>
      </c>
      <c r="B23" s="154" t="e">
        <f>+#REF!</f>
        <v>#REF!</v>
      </c>
      <c r="C23" s="154" t="e">
        <f>+#REF!</f>
        <v>#REF!</v>
      </c>
      <c r="D23" s="154" t="e">
        <f>+#REF!</f>
        <v>#REF!</v>
      </c>
      <c r="E23" s="154" t="e">
        <f>+#REF!</f>
        <v>#REF!</v>
      </c>
      <c r="F23" s="154" t="e">
        <f>+#REF!</f>
        <v>#REF!</v>
      </c>
    </row>
    <row r="24" spans="1:6">
      <c r="A24" s="155" t="s">
        <v>832</v>
      </c>
      <c r="B24" s="14" t="e">
        <f>+B22-B23</f>
        <v>#REF!</v>
      </c>
      <c r="C24" s="14" t="e">
        <f>+C22-C23</f>
        <v>#REF!</v>
      </c>
      <c r="D24" s="14" t="e">
        <f>+D22-D23</f>
        <v>#REF!</v>
      </c>
      <c r="E24" s="14" t="e">
        <f>+E22-E23</f>
        <v>#REF!</v>
      </c>
      <c r="F24" s="14" t="e">
        <f>+F22-F23</f>
        <v>#REF!</v>
      </c>
    </row>
    <row r="26" spans="1:6">
      <c r="A26">
        <v>1</v>
      </c>
      <c r="B26" s="2553" t="s">
        <v>177</v>
      </c>
    </row>
    <row r="27" spans="1:6">
      <c r="A27" s="3619" t="s">
        <v>796</v>
      </c>
      <c r="B27" s="3621" t="s">
        <v>797</v>
      </c>
      <c r="C27" s="3621"/>
      <c r="D27" s="3621"/>
      <c r="E27" s="3621"/>
      <c r="F27" s="3621"/>
    </row>
    <row r="28" spans="1:6">
      <c r="A28" s="3620"/>
      <c r="B28" s="2532">
        <v>2012</v>
      </c>
      <c r="C28" s="2537">
        <v>2011</v>
      </c>
      <c r="D28" s="2537">
        <v>2010</v>
      </c>
      <c r="E28" s="2537">
        <v>2009</v>
      </c>
      <c r="F28" s="2537">
        <v>2008</v>
      </c>
    </row>
    <row r="29" spans="1:6">
      <c r="A29" s="2504" t="s">
        <v>798</v>
      </c>
      <c r="B29" s="2815">
        <v>2007578.047</v>
      </c>
      <c r="C29" s="2815">
        <v>1557955.1370000001</v>
      </c>
      <c r="D29" s="2815">
        <v>1221052.895</v>
      </c>
      <c r="E29" s="2815">
        <v>994147.27</v>
      </c>
      <c r="F29" s="2815">
        <v>951911.92599999998</v>
      </c>
    </row>
    <row r="30" spans="1:6">
      <c r="A30" s="2504" t="s">
        <v>799</v>
      </c>
      <c r="B30" s="2815">
        <v>15585.936100000001</v>
      </c>
      <c r="C30" s="2815">
        <v>13476.37824</v>
      </c>
      <c r="D30" s="2815">
        <v>17298.397679999998</v>
      </c>
      <c r="E30" s="2815">
        <v>13439.393870000002</v>
      </c>
      <c r="F30" s="2815">
        <v>16694.28829</v>
      </c>
    </row>
    <row r="31" spans="1:6">
      <c r="A31" s="2504" t="s">
        <v>800</v>
      </c>
      <c r="B31" s="2815">
        <v>10920.016900000095</v>
      </c>
      <c r="C31" s="2815">
        <v>7759.4847599999903</v>
      </c>
      <c r="D31" s="2815">
        <v>4256.7073199999331</v>
      </c>
      <c r="E31" s="2815">
        <v>1444.3361299999999</v>
      </c>
      <c r="F31" s="2815">
        <v>1470.7857100000381</v>
      </c>
    </row>
    <row r="32" spans="1:6">
      <c r="A32" s="2504" t="s">
        <v>803</v>
      </c>
      <c r="B32" s="2815"/>
      <c r="C32" s="2815"/>
      <c r="D32" s="2815"/>
      <c r="E32" s="2815"/>
      <c r="F32" s="2815"/>
    </row>
    <row r="33" spans="1:9">
      <c r="A33" s="2504" t="s">
        <v>804</v>
      </c>
      <c r="B33" s="2815"/>
      <c r="C33" s="2815"/>
      <c r="D33" s="2815"/>
      <c r="E33" s="2815"/>
      <c r="F33" s="2815"/>
    </row>
    <row r="34" spans="1:9" ht="15" thickBot="1">
      <c r="A34" s="76" t="s">
        <v>118</v>
      </c>
      <c r="B34" s="84">
        <f>SUM(B29:B33)</f>
        <v>2034084.0000000002</v>
      </c>
      <c r="C34" s="84">
        <f>SUM(C29:C33)</f>
        <v>1579191</v>
      </c>
      <c r="D34" s="84">
        <f>SUM(D29:D33)</f>
        <v>1242608</v>
      </c>
      <c r="E34" s="84">
        <f>SUM(E29:E33)</f>
        <v>1009031</v>
      </c>
      <c r="F34" s="84">
        <f>SUM(F29:F33)</f>
        <v>970077.00000000012</v>
      </c>
    </row>
    <row r="35" spans="1:9" ht="15" thickTop="1">
      <c r="A35">
        <v>2</v>
      </c>
      <c r="B35" s="2556" t="s">
        <v>180</v>
      </c>
      <c r="I35" s="3"/>
    </row>
    <row r="36" spans="1:9">
      <c r="A36" s="3619" t="s">
        <v>796</v>
      </c>
      <c r="B36" s="3621" t="s">
        <v>797</v>
      </c>
      <c r="C36" s="3621"/>
      <c r="D36" s="3621"/>
      <c r="E36" s="3621"/>
      <c r="F36" s="3621"/>
    </row>
    <row r="37" spans="1:9">
      <c r="A37" s="3620"/>
      <c r="B37" s="2532">
        <v>2012</v>
      </c>
      <c r="C37" s="2537">
        <v>2011</v>
      </c>
      <c r="D37" s="2537">
        <v>2010</v>
      </c>
      <c r="E37" s="2537">
        <v>2009</v>
      </c>
      <c r="F37" s="2537">
        <v>2008</v>
      </c>
    </row>
    <row r="38" spans="1:9">
      <c r="A38" s="2504" t="s">
        <v>798</v>
      </c>
      <c r="B38" s="2815">
        <v>516209.76767999999</v>
      </c>
      <c r="C38" s="2815">
        <v>333591.35365</v>
      </c>
      <c r="D38" s="2815">
        <v>200073</v>
      </c>
      <c r="E38" s="2815">
        <v>96459</v>
      </c>
      <c r="F38" s="2815">
        <v>4013</v>
      </c>
    </row>
    <row r="39" spans="1:9">
      <c r="A39" s="2504" t="s">
        <v>799</v>
      </c>
      <c r="B39" s="2815">
        <v>993.95753000000002</v>
      </c>
      <c r="C39" s="2815">
        <v>4651.0028300000004</v>
      </c>
      <c r="D39" s="2815">
        <v>2032</v>
      </c>
      <c r="E39" s="2815">
        <v>4442</v>
      </c>
      <c r="F39" s="2815">
        <v>0</v>
      </c>
    </row>
    <row r="40" spans="1:9">
      <c r="A40" s="2504" t="s">
        <v>800</v>
      </c>
      <c r="B40" s="2815">
        <v>8518.4987000000001</v>
      </c>
      <c r="C40" s="2815">
        <v>0</v>
      </c>
      <c r="D40" s="2815">
        <v>0</v>
      </c>
      <c r="E40" s="2815">
        <v>0</v>
      </c>
      <c r="F40" s="2815">
        <v>0</v>
      </c>
    </row>
    <row r="41" spans="1:9">
      <c r="A41" s="2504" t="s">
        <v>803</v>
      </c>
      <c r="B41" s="2815">
        <v>6419.5949000000001</v>
      </c>
      <c r="C41" s="2815">
        <v>13056.978999999999</v>
      </c>
      <c r="D41" s="2815">
        <v>2709</v>
      </c>
      <c r="E41" s="2815">
        <v>915</v>
      </c>
      <c r="F41" s="2815">
        <v>0</v>
      </c>
    </row>
    <row r="42" spans="1:9">
      <c r="A42" s="2504" t="s">
        <v>804</v>
      </c>
      <c r="B42" s="2815">
        <v>0</v>
      </c>
      <c r="C42" s="2815">
        <v>0</v>
      </c>
      <c r="D42" s="2815">
        <v>0</v>
      </c>
      <c r="E42" s="2815">
        <v>0</v>
      </c>
      <c r="F42" s="2815">
        <v>0</v>
      </c>
    </row>
    <row r="43" spans="1:9" ht="15" thickBot="1">
      <c r="A43" s="76" t="s">
        <v>118</v>
      </c>
      <c r="B43" s="84">
        <f>SUM(B38:B42)</f>
        <v>532141.81881000008</v>
      </c>
      <c r="C43" s="84">
        <f>SUM(C38:C42)</f>
        <v>351299.33548000001</v>
      </c>
      <c r="D43" s="84">
        <f>SUM(D38:D42)</f>
        <v>204814</v>
      </c>
      <c r="E43" s="84">
        <f>SUM(E38:E42)</f>
        <v>101816</v>
      </c>
      <c r="F43" s="84">
        <f>SUM(F38:F42)</f>
        <v>4013</v>
      </c>
    </row>
    <row r="44" spans="1:9" ht="15" thickTop="1">
      <c r="A44">
        <v>3</v>
      </c>
      <c r="B44" s="2553" t="s">
        <v>181</v>
      </c>
    </row>
    <row r="45" spans="1:9">
      <c r="A45" s="3619" t="s">
        <v>796</v>
      </c>
      <c r="B45" s="3621" t="s">
        <v>797</v>
      </c>
      <c r="C45" s="3621"/>
      <c r="D45" s="3621"/>
      <c r="E45" s="3621"/>
      <c r="F45" s="3621"/>
    </row>
    <row r="46" spans="1:9">
      <c r="A46" s="3620"/>
      <c r="B46" s="2532">
        <v>2012</v>
      </c>
      <c r="C46" s="2537">
        <v>2011</v>
      </c>
      <c r="D46" s="2537">
        <v>2010</v>
      </c>
      <c r="E46" s="2537">
        <v>2009</v>
      </c>
      <c r="F46" s="2537">
        <v>2008</v>
      </c>
    </row>
    <row r="47" spans="1:9">
      <c r="A47" s="2504" t="s">
        <v>798</v>
      </c>
      <c r="B47" s="2815">
        <v>6026738.84712</v>
      </c>
      <c r="C47" s="2815">
        <v>6551868.2004199997</v>
      </c>
      <c r="D47" s="2815">
        <v>5603660.0224400004</v>
      </c>
      <c r="E47" s="2815">
        <v>3789518.0017300001</v>
      </c>
      <c r="F47" s="2815">
        <v>3744908.39555</v>
      </c>
    </row>
    <row r="48" spans="1:9">
      <c r="A48" s="2504" t="s">
        <v>799</v>
      </c>
      <c r="B48" s="2815">
        <v>57747.310790000003</v>
      </c>
      <c r="C48" s="2815">
        <v>37023.336340000009</v>
      </c>
      <c r="D48" s="2815">
        <v>37215</v>
      </c>
      <c r="E48" s="2815">
        <v>29076</v>
      </c>
      <c r="F48" s="2815">
        <v>29881</v>
      </c>
    </row>
    <row r="49" spans="1:6">
      <c r="A49" s="2504" t="s">
        <v>800</v>
      </c>
      <c r="B49" s="2815">
        <v>243643.55231999999</v>
      </c>
      <c r="C49" s="2815">
        <v>137496.23077999998</v>
      </c>
      <c r="D49" s="2815">
        <v>0</v>
      </c>
      <c r="E49" s="2815">
        <v>0</v>
      </c>
      <c r="F49" s="2815">
        <v>0</v>
      </c>
    </row>
    <row r="50" spans="1:6">
      <c r="A50" s="2504" t="s">
        <v>803</v>
      </c>
      <c r="B50" s="2815">
        <v>167733.21176000001</v>
      </c>
      <c r="C50" s="2815">
        <v>1120059.2324600001</v>
      </c>
      <c r="D50" s="2815">
        <v>2011076.3001699997</v>
      </c>
      <c r="E50" s="2815">
        <v>445267.88718999998</v>
      </c>
      <c r="F50" s="2815">
        <v>233197.52069999999</v>
      </c>
    </row>
    <row r="51" spans="1:6">
      <c r="A51" s="2504" t="s">
        <v>804</v>
      </c>
      <c r="B51" s="2815"/>
      <c r="C51" s="2815"/>
      <c r="D51" s="2815">
        <v>131973.80158000003</v>
      </c>
      <c r="E51" s="2815">
        <v>368628.40925999999</v>
      </c>
      <c r="F51" s="2815">
        <v>334231.46713000006</v>
      </c>
    </row>
    <row r="52" spans="1:6" ht="15" thickBot="1">
      <c r="A52" s="76" t="s">
        <v>118</v>
      </c>
      <c r="B52" s="84">
        <f>SUM(B47:B51)</f>
        <v>6495862.9219899997</v>
      </c>
      <c r="C52" s="84">
        <f>SUM(C47:C51)</f>
        <v>7846447</v>
      </c>
      <c r="D52" s="84">
        <f>SUM(D47:D51)</f>
        <v>7783925.1241899999</v>
      </c>
      <c r="E52" s="84">
        <f>SUM(E47:E51)</f>
        <v>4632490.2981799999</v>
      </c>
      <c r="F52" s="84">
        <f>SUM(F47:F51)</f>
        <v>4342218.3833799995</v>
      </c>
    </row>
    <row r="53" spans="1:6" ht="15" thickTop="1">
      <c r="A53">
        <v>4</v>
      </c>
      <c r="B53" s="2553" t="s">
        <v>182</v>
      </c>
    </row>
    <row r="54" spans="1:6">
      <c r="A54" s="3619" t="s">
        <v>796</v>
      </c>
      <c r="B54" s="3621" t="s">
        <v>797</v>
      </c>
      <c r="C54" s="3621"/>
      <c r="D54" s="3621"/>
      <c r="E54" s="3621"/>
      <c r="F54" s="3621"/>
    </row>
    <row r="55" spans="1:6">
      <c r="A55" s="3620"/>
      <c r="B55" s="2532">
        <v>2012</v>
      </c>
      <c r="C55" s="2537">
        <v>2011</v>
      </c>
      <c r="D55" s="2537">
        <v>2010</v>
      </c>
      <c r="E55" s="2537">
        <v>2009</v>
      </c>
      <c r="F55" s="2537">
        <v>2008</v>
      </c>
    </row>
    <row r="56" spans="1:6">
      <c r="A56" s="2504" t="s">
        <v>798</v>
      </c>
      <c r="B56" s="2815">
        <v>343191.58519999997</v>
      </c>
      <c r="C56" s="2815">
        <v>283667.76847800001</v>
      </c>
      <c r="D56" s="2815">
        <v>220784.33334499999</v>
      </c>
      <c r="E56" s="2815">
        <v>193283.93291</v>
      </c>
      <c r="F56" s="2815">
        <v>176147.00821679403</v>
      </c>
    </row>
    <row r="57" spans="1:6">
      <c r="A57" s="2504" t="s">
        <v>799</v>
      </c>
      <c r="B57" s="2815">
        <v>0</v>
      </c>
      <c r="C57" s="2815">
        <v>0</v>
      </c>
      <c r="D57" s="2815">
        <v>0</v>
      </c>
      <c r="E57" s="2815">
        <v>0</v>
      </c>
      <c r="F57" s="2815">
        <v>0</v>
      </c>
    </row>
    <row r="58" spans="1:6">
      <c r="A58" s="2504" t="s">
        <v>800</v>
      </c>
      <c r="B58" s="2815">
        <v>10374.06774</v>
      </c>
      <c r="C58" s="2815">
        <v>20118.640910000002</v>
      </c>
      <c r="D58" s="2815">
        <v>19371.447125999999</v>
      </c>
      <c r="E58" s="2815">
        <v>13812.914484999999</v>
      </c>
      <c r="F58" s="2815">
        <v>12529.2184632064</v>
      </c>
    </row>
    <row r="59" spans="1:6">
      <c r="A59" s="2504" t="s">
        <v>803</v>
      </c>
      <c r="B59" s="2815">
        <v>6353.2307499999997</v>
      </c>
      <c r="C59" s="2815">
        <v>0</v>
      </c>
      <c r="D59" s="2815">
        <v>0</v>
      </c>
      <c r="E59" s="2815">
        <v>0</v>
      </c>
      <c r="F59" s="2815">
        <v>0</v>
      </c>
    </row>
    <row r="60" spans="1:6">
      <c r="A60" s="2504" t="s">
        <v>804</v>
      </c>
      <c r="B60" s="2815">
        <v>0</v>
      </c>
      <c r="C60" s="2815">
        <v>0</v>
      </c>
      <c r="D60" s="2815">
        <v>0</v>
      </c>
      <c r="E60" s="2815">
        <v>0</v>
      </c>
      <c r="F60" s="2815">
        <v>0</v>
      </c>
    </row>
    <row r="61" spans="1:6" ht="15" thickBot="1">
      <c r="A61" s="76" t="s">
        <v>118</v>
      </c>
      <c r="B61" s="84">
        <f>SUM(B56:B60)</f>
        <v>359918.88368999999</v>
      </c>
      <c r="C61" s="84">
        <f>SUM(C56:C60)</f>
        <v>303786.40938800003</v>
      </c>
      <c r="D61" s="84">
        <f>SUM(D56:D60)</f>
        <v>240155.78047100001</v>
      </c>
      <c r="E61" s="84">
        <f>SUM(E56:E60)</f>
        <v>207096.84739499999</v>
      </c>
      <c r="F61" s="84">
        <f>SUM(F56:F60)</f>
        <v>188676.22668000043</v>
      </c>
    </row>
    <row r="62" spans="1:6" ht="15" thickTop="1">
      <c r="A62">
        <v>5</v>
      </c>
      <c r="B62" s="2556" t="s">
        <v>190</v>
      </c>
    </row>
    <row r="63" spans="1:6">
      <c r="A63" s="3619" t="s">
        <v>796</v>
      </c>
      <c r="B63" s="3621" t="s">
        <v>797</v>
      </c>
      <c r="C63" s="3621"/>
      <c r="D63" s="3621"/>
      <c r="E63" s="3621"/>
      <c r="F63" s="3621"/>
    </row>
    <row r="64" spans="1:6">
      <c r="A64" s="3620"/>
      <c r="B64" s="2532">
        <v>2012</v>
      </c>
      <c r="C64" s="2537">
        <v>2011</v>
      </c>
      <c r="D64" s="2537">
        <v>2010</v>
      </c>
      <c r="E64" s="2537">
        <v>2009</v>
      </c>
      <c r="F64" s="2537">
        <v>2008</v>
      </c>
    </row>
    <row r="65" spans="1:7">
      <c r="A65" s="2504" t="s">
        <v>798</v>
      </c>
      <c r="B65" s="2815">
        <v>272938.592</v>
      </c>
      <c r="C65" s="2815">
        <v>271783.02399999998</v>
      </c>
      <c r="D65" s="2815">
        <v>233609.769</v>
      </c>
      <c r="E65" s="2857"/>
      <c r="F65" s="2857"/>
      <c r="G65" t="s">
        <v>833</v>
      </c>
    </row>
    <row r="66" spans="1:7">
      <c r="A66" s="2504" t="s">
        <v>799</v>
      </c>
      <c r="B66" s="2815">
        <v>21566.913</v>
      </c>
      <c r="C66" s="2815">
        <v>16724.089</v>
      </c>
      <c r="D66" s="2815">
        <v>13308.079</v>
      </c>
      <c r="E66" s="2857"/>
      <c r="F66" s="2857"/>
    </row>
    <row r="67" spans="1:7">
      <c r="A67" s="2504" t="s">
        <v>800</v>
      </c>
      <c r="B67" s="2815">
        <v>7216.0219999999999</v>
      </c>
      <c r="C67" s="2815">
        <v>7348.6289999999999</v>
      </c>
      <c r="D67" s="2815">
        <v>5744.2780000000002</v>
      </c>
      <c r="E67" s="2857"/>
      <c r="F67" s="2857"/>
    </row>
    <row r="68" spans="1:7">
      <c r="A68" s="2504" t="s">
        <v>803</v>
      </c>
      <c r="B68" s="2815"/>
      <c r="C68" s="2815"/>
      <c r="D68" s="2815"/>
      <c r="E68" s="2857"/>
      <c r="F68" s="2857"/>
    </row>
    <row r="69" spans="1:7">
      <c r="A69" s="2504" t="s">
        <v>804</v>
      </c>
      <c r="B69" s="2815"/>
      <c r="C69" s="2815"/>
      <c r="D69" s="2815"/>
      <c r="E69" s="2857"/>
      <c r="F69" s="2857"/>
    </row>
    <row r="70" spans="1:7" ht="15" thickBot="1">
      <c r="A70" s="76" t="s">
        <v>118</v>
      </c>
      <c r="B70" s="84">
        <f>SUM(B65:B69)</f>
        <v>301721.527</v>
      </c>
      <c r="C70" s="84">
        <f>SUM(C65:C69)</f>
        <v>295855.74199999997</v>
      </c>
      <c r="D70" s="84">
        <f>SUM(D65:D69)</f>
        <v>252662.12599999999</v>
      </c>
      <c r="E70" s="84">
        <f>SUM(E65:E69)</f>
        <v>0</v>
      </c>
      <c r="F70" s="84">
        <f>SUM(F65:F69)</f>
        <v>0</v>
      </c>
    </row>
    <row r="71" spans="1:7" ht="15" thickTop="1">
      <c r="A71">
        <v>6</v>
      </c>
      <c r="B71" s="2554" t="s">
        <v>184</v>
      </c>
    </row>
    <row r="72" spans="1:7">
      <c r="A72" s="3619" t="s">
        <v>796</v>
      </c>
      <c r="B72" s="3621" t="s">
        <v>797</v>
      </c>
      <c r="C72" s="3621"/>
      <c r="D72" s="3621"/>
      <c r="E72" s="3621"/>
      <c r="F72" s="3621"/>
    </row>
    <row r="73" spans="1:7">
      <c r="A73" s="3620"/>
      <c r="B73" s="2532">
        <v>2012</v>
      </c>
      <c r="C73" s="2537">
        <v>2011</v>
      </c>
      <c r="D73" s="2537">
        <v>2010</v>
      </c>
      <c r="E73" s="2537">
        <v>2009</v>
      </c>
      <c r="F73" s="2537">
        <v>2008</v>
      </c>
    </row>
    <row r="74" spans="1:7">
      <c r="A74" s="2504" t="s">
        <v>798</v>
      </c>
      <c r="B74" s="2815"/>
      <c r="C74" s="2815"/>
      <c r="D74" s="2815"/>
      <c r="E74" s="2815"/>
      <c r="F74" s="2815"/>
    </row>
    <row r="75" spans="1:7">
      <c r="A75" s="2504" t="s">
        <v>799</v>
      </c>
      <c r="B75" s="2815"/>
      <c r="C75" s="2815"/>
      <c r="D75" s="2815"/>
      <c r="E75" s="2815"/>
      <c r="F75" s="2815"/>
    </row>
    <row r="76" spans="1:7">
      <c r="A76" s="2504" t="s">
        <v>800</v>
      </c>
      <c r="B76" s="2815"/>
      <c r="C76" s="2815"/>
      <c r="D76" s="2815"/>
      <c r="E76" s="2815"/>
      <c r="F76" s="2815"/>
    </row>
    <row r="77" spans="1:7">
      <c r="A77" s="2504" t="s">
        <v>803</v>
      </c>
      <c r="B77" s="2815"/>
      <c r="C77" s="2815"/>
      <c r="D77" s="2815"/>
      <c r="E77" s="2815"/>
      <c r="F77" s="2815"/>
    </row>
    <row r="78" spans="1:7">
      <c r="A78" s="2504" t="s">
        <v>804</v>
      </c>
      <c r="B78" s="2815"/>
      <c r="C78" s="2815"/>
      <c r="D78" s="2815"/>
      <c r="E78" s="2815"/>
      <c r="F78" s="2815"/>
    </row>
    <row r="79" spans="1:7" ht="15" thickBot="1">
      <c r="A79" s="76" t="s">
        <v>118</v>
      </c>
      <c r="B79" s="84">
        <f>SUM(B74:B78)</f>
        <v>0</v>
      </c>
      <c r="C79" s="84">
        <f>SUM(C74:C78)</f>
        <v>0</v>
      </c>
      <c r="D79" s="84">
        <f>SUM(D74:D78)</f>
        <v>0</v>
      </c>
      <c r="E79" s="84">
        <f>SUM(E74:E78)</f>
        <v>0</v>
      </c>
      <c r="F79" s="84">
        <f>SUM(F74:F78)</f>
        <v>0</v>
      </c>
    </row>
    <row r="80" spans="1:7" ht="15" thickTop="1">
      <c r="A80">
        <v>7</v>
      </c>
      <c r="B80" s="2553" t="s">
        <v>185</v>
      </c>
    </row>
    <row r="81" spans="1:6">
      <c r="A81" s="3619" t="s">
        <v>796</v>
      </c>
      <c r="B81" s="3621" t="s">
        <v>797</v>
      </c>
      <c r="C81" s="3621"/>
      <c r="D81" s="3621"/>
      <c r="E81" s="3621"/>
      <c r="F81" s="3621"/>
    </row>
    <row r="82" spans="1:6">
      <c r="A82" s="3620"/>
      <c r="B82" s="2532">
        <v>2012</v>
      </c>
      <c r="C82" s="2537">
        <v>2011</v>
      </c>
      <c r="D82" s="2537">
        <v>2010</v>
      </c>
      <c r="E82" s="2537">
        <v>2009</v>
      </c>
      <c r="F82" s="2537">
        <v>2008</v>
      </c>
    </row>
    <row r="83" spans="1:6">
      <c r="A83" s="2504" t="s">
        <v>798</v>
      </c>
      <c r="B83" s="2815">
        <v>10829470.126840003</v>
      </c>
      <c r="C83" s="2815">
        <v>9815943</v>
      </c>
      <c r="D83" s="2815">
        <v>8786121</v>
      </c>
      <c r="E83" s="2815">
        <v>7522328</v>
      </c>
      <c r="F83" s="2815">
        <v>8257279</v>
      </c>
    </row>
    <row r="84" spans="1:6">
      <c r="A84" s="2504" t="s">
        <v>799</v>
      </c>
      <c r="B84" s="2815"/>
      <c r="C84" s="2815"/>
      <c r="D84" s="2815"/>
      <c r="E84" s="2815"/>
      <c r="F84" s="2815"/>
    </row>
    <row r="85" spans="1:6">
      <c r="A85" s="2504" t="s">
        <v>800</v>
      </c>
      <c r="B85" s="2815"/>
      <c r="C85" s="2815"/>
      <c r="D85" s="2815"/>
      <c r="E85" s="2815"/>
      <c r="F85" s="2815"/>
    </row>
    <row r="86" spans="1:6">
      <c r="A86" s="2504" t="s">
        <v>803</v>
      </c>
      <c r="B86" s="2815"/>
      <c r="C86" s="2815"/>
      <c r="D86" s="2815"/>
      <c r="E86" s="2815"/>
      <c r="F86" s="2815"/>
    </row>
    <row r="87" spans="1:6">
      <c r="A87" s="2504" t="s">
        <v>804</v>
      </c>
      <c r="B87" s="2815"/>
      <c r="C87" s="2815"/>
      <c r="D87" s="2815"/>
      <c r="E87" s="2815"/>
      <c r="F87" s="2815"/>
    </row>
    <row r="88" spans="1:6" ht="15" thickBot="1">
      <c r="A88" s="76" t="s">
        <v>118</v>
      </c>
      <c r="B88" s="84">
        <f>SUM(B83:B87)</f>
        <v>10829470.126840003</v>
      </c>
      <c r="C88" s="84">
        <f>SUM(C83:C87)</f>
        <v>9815943</v>
      </c>
      <c r="D88" s="84">
        <f>SUM(D83:D87)</f>
        <v>8786121</v>
      </c>
      <c r="E88" s="84">
        <f>SUM(E83:E87)</f>
        <v>7522328</v>
      </c>
      <c r="F88" s="84">
        <f>SUM(F83:F87)</f>
        <v>8257279</v>
      </c>
    </row>
    <row r="89" spans="1:6" ht="15" thickTop="1">
      <c r="A89">
        <v>8</v>
      </c>
      <c r="B89" s="2553" t="s">
        <v>186</v>
      </c>
    </row>
    <row r="90" spans="1:6">
      <c r="A90" s="3619" t="s">
        <v>796</v>
      </c>
      <c r="B90" s="3621" t="s">
        <v>797</v>
      </c>
      <c r="C90" s="3621"/>
      <c r="D90" s="3621"/>
      <c r="E90" s="3621"/>
      <c r="F90" s="3621"/>
    </row>
    <row r="91" spans="1:6">
      <c r="A91" s="3620"/>
      <c r="B91" s="2532">
        <v>2012</v>
      </c>
      <c r="C91" s="2537">
        <v>2011</v>
      </c>
      <c r="D91" s="2537">
        <v>2010</v>
      </c>
      <c r="E91" s="2537">
        <v>2009</v>
      </c>
      <c r="F91" s="2537">
        <v>2008</v>
      </c>
    </row>
    <row r="92" spans="1:6">
      <c r="A92" s="2504" t="s">
        <v>798</v>
      </c>
      <c r="B92" s="2815">
        <v>310756.54200000002</v>
      </c>
      <c r="C92" s="2815">
        <v>266811.15700000001</v>
      </c>
      <c r="D92" s="2815">
        <v>231120.03400000001</v>
      </c>
      <c r="E92" s="2815">
        <v>147258.51800000001</v>
      </c>
      <c r="F92" s="2815">
        <v>126880.613</v>
      </c>
    </row>
    <row r="93" spans="1:6">
      <c r="A93" s="2504" t="s">
        <v>799</v>
      </c>
      <c r="B93" s="2815">
        <v>0</v>
      </c>
      <c r="C93" s="2815">
        <v>0</v>
      </c>
      <c r="D93" s="2815">
        <v>0</v>
      </c>
      <c r="E93" s="2815">
        <v>0</v>
      </c>
      <c r="F93" s="2815">
        <v>0</v>
      </c>
    </row>
    <row r="94" spans="1:6">
      <c r="A94" s="2504" t="s">
        <v>800</v>
      </c>
      <c r="B94" s="2815">
        <v>1299.345</v>
      </c>
      <c r="C94" s="2815">
        <v>2767.395</v>
      </c>
      <c r="D94" s="2815">
        <v>2419.5479999999998</v>
      </c>
      <c r="E94" s="2815">
        <v>2141.991</v>
      </c>
      <c r="F94" s="2815">
        <v>4123.1019999999999</v>
      </c>
    </row>
    <row r="95" spans="1:6">
      <c r="A95" s="2504" t="s">
        <v>803</v>
      </c>
      <c r="B95" s="2815"/>
      <c r="C95" s="2815"/>
      <c r="D95" s="2815"/>
      <c r="E95" s="2815"/>
      <c r="F95" s="2815"/>
    </row>
    <row r="96" spans="1:6">
      <c r="A96" s="2504" t="s">
        <v>804</v>
      </c>
      <c r="B96" s="2815"/>
      <c r="C96" s="2815"/>
      <c r="D96" s="2815"/>
      <c r="E96" s="2815"/>
      <c r="F96" s="2815"/>
    </row>
    <row r="97" spans="1:6" ht="15" thickBot="1">
      <c r="A97" s="76" t="s">
        <v>118</v>
      </c>
      <c r="B97" s="84">
        <f>SUM(B92:B96)</f>
        <v>312055.88699999999</v>
      </c>
      <c r="C97" s="84">
        <f>SUM(C92:C96)</f>
        <v>269578.55200000003</v>
      </c>
      <c r="D97" s="84">
        <f>SUM(D92:D96)</f>
        <v>233539.58200000002</v>
      </c>
      <c r="E97" s="84">
        <f>SUM(E92:E96)</f>
        <v>149400.50900000002</v>
      </c>
      <c r="F97" s="84">
        <f>SUM(F92:F96)</f>
        <v>131003.715</v>
      </c>
    </row>
    <row r="98" spans="1:6" ht="15" thickTop="1">
      <c r="A98">
        <v>9</v>
      </c>
      <c r="B98" s="2554" t="s">
        <v>187</v>
      </c>
    </row>
    <row r="99" spans="1:6">
      <c r="A99" s="3619" t="s">
        <v>796</v>
      </c>
      <c r="B99" s="3613" t="s">
        <v>797</v>
      </c>
      <c r="C99" s="3614"/>
      <c r="D99" s="3614"/>
      <c r="E99" s="3614"/>
      <c r="F99" s="3615"/>
    </row>
    <row r="100" spans="1:6">
      <c r="A100" s="3620"/>
      <c r="B100" s="2532">
        <v>2012</v>
      </c>
      <c r="C100" s="2537">
        <v>2011</v>
      </c>
      <c r="D100" s="2537">
        <v>2010</v>
      </c>
      <c r="E100" s="2537">
        <v>2009</v>
      </c>
      <c r="F100" s="2537">
        <v>2008</v>
      </c>
    </row>
    <row r="101" spans="1:6">
      <c r="A101" s="2504" t="s">
        <v>798</v>
      </c>
      <c r="B101" s="2815"/>
      <c r="C101" s="2815"/>
      <c r="D101" s="2815"/>
      <c r="E101" s="2815"/>
      <c r="F101" s="2815"/>
    </row>
    <row r="102" spans="1:6">
      <c r="A102" s="2504" t="s">
        <v>799</v>
      </c>
      <c r="B102" s="2815"/>
      <c r="C102" s="2815"/>
      <c r="D102" s="2815"/>
      <c r="E102" s="2815"/>
      <c r="F102" s="2815"/>
    </row>
    <row r="103" spans="1:6">
      <c r="A103" s="2504" t="s">
        <v>800</v>
      </c>
      <c r="B103" s="2815"/>
      <c r="C103" s="2815"/>
      <c r="D103" s="2815"/>
      <c r="E103" s="2815"/>
      <c r="F103" s="2815"/>
    </row>
    <row r="104" spans="1:6">
      <c r="A104" s="2504" t="s">
        <v>803</v>
      </c>
      <c r="B104" s="2815"/>
      <c r="C104" s="2815"/>
      <c r="D104" s="2815"/>
      <c r="E104" s="2815"/>
      <c r="F104" s="2815"/>
    </row>
    <row r="105" spans="1:6">
      <c r="A105" s="2504" t="s">
        <v>804</v>
      </c>
      <c r="B105" s="2815"/>
      <c r="C105" s="2815"/>
      <c r="D105" s="2815"/>
      <c r="E105" s="2815"/>
      <c r="F105" s="2815"/>
    </row>
    <row r="106" spans="1:6" ht="15" thickBot="1">
      <c r="A106" s="76" t="s">
        <v>118</v>
      </c>
      <c r="B106" s="84">
        <f>SUM(B101:B105)</f>
        <v>0</v>
      </c>
      <c r="C106" s="84">
        <f>SUM(C101:C105)</f>
        <v>0</v>
      </c>
      <c r="D106" s="84">
        <f>SUM(D101:D105)</f>
        <v>0</v>
      </c>
      <c r="E106" s="84">
        <f>SUM(E101:E105)</f>
        <v>0</v>
      </c>
      <c r="F106" s="84">
        <f>SUM(F101:F105)</f>
        <v>0</v>
      </c>
    </row>
    <row r="107" spans="1:6" ht="15" thickTop="1">
      <c r="A107">
        <v>10</v>
      </c>
      <c r="B107" s="2553" t="s">
        <v>188</v>
      </c>
    </row>
    <row r="108" spans="1:6">
      <c r="A108" s="3619" t="s">
        <v>796</v>
      </c>
      <c r="B108" s="3621" t="s">
        <v>797</v>
      </c>
      <c r="C108" s="3621"/>
      <c r="D108" s="3621"/>
      <c r="E108" s="3621"/>
      <c r="F108" s="3621"/>
    </row>
    <row r="109" spans="1:6">
      <c r="A109" s="3620"/>
      <c r="B109" s="2532">
        <v>2012</v>
      </c>
      <c r="C109" s="2537">
        <v>2011</v>
      </c>
      <c r="D109" s="2537">
        <v>2010</v>
      </c>
      <c r="E109" s="2537">
        <v>2009</v>
      </c>
      <c r="F109" s="2537">
        <v>2008</v>
      </c>
    </row>
    <row r="110" spans="1:6">
      <c r="A110" s="2504" t="s">
        <v>798</v>
      </c>
      <c r="B110" s="2815">
        <v>1175283.5970599998</v>
      </c>
      <c r="C110" s="2815">
        <v>972718</v>
      </c>
      <c r="D110" s="2815">
        <v>805127</v>
      </c>
      <c r="E110" s="2815">
        <v>809947</v>
      </c>
      <c r="F110" s="2815">
        <v>778162</v>
      </c>
    </row>
    <row r="111" spans="1:6">
      <c r="A111" s="2504" t="s">
        <v>799</v>
      </c>
      <c r="B111" s="2815">
        <v>6340.1442900000002</v>
      </c>
      <c r="C111" s="2815">
        <v>10868</v>
      </c>
      <c r="D111" s="2815">
        <v>5678</v>
      </c>
      <c r="E111" s="2815">
        <v>2179</v>
      </c>
      <c r="F111" s="2815">
        <v>1325</v>
      </c>
    </row>
    <row r="112" spans="1:6">
      <c r="A112" s="2504" t="s">
        <v>800</v>
      </c>
      <c r="B112" s="2815">
        <v>46818.929989999997</v>
      </c>
      <c r="C112" s="2815">
        <v>39734</v>
      </c>
      <c r="D112" s="2815">
        <v>115903</v>
      </c>
      <c r="E112" s="2815">
        <v>83872</v>
      </c>
      <c r="F112" s="2815">
        <v>34936</v>
      </c>
    </row>
    <row r="113" spans="1:6">
      <c r="A113" s="2504" t="s">
        <v>803</v>
      </c>
      <c r="B113" s="2815">
        <v>271585.04964999994</v>
      </c>
      <c r="C113" s="2815">
        <v>267047</v>
      </c>
      <c r="D113" s="2815">
        <v>157772</v>
      </c>
      <c r="E113" s="2815">
        <v>88868</v>
      </c>
      <c r="F113" s="2815">
        <v>99747</v>
      </c>
    </row>
    <row r="114" spans="1:6">
      <c r="A114" s="2504" t="s">
        <v>804</v>
      </c>
      <c r="B114" s="2815">
        <v>0</v>
      </c>
      <c r="C114" s="2815">
        <v>0</v>
      </c>
      <c r="D114" s="2815">
        <v>0</v>
      </c>
      <c r="E114" s="2815">
        <v>0</v>
      </c>
      <c r="F114" s="2815">
        <v>0</v>
      </c>
    </row>
    <row r="115" spans="1:6" ht="15" thickBot="1">
      <c r="A115" s="76" t="s">
        <v>118</v>
      </c>
      <c r="B115" s="84">
        <f>SUM(B110:B114)</f>
        <v>1500027.7209899998</v>
      </c>
      <c r="C115" s="84">
        <f>SUM(C110:C114)</f>
        <v>1290367</v>
      </c>
      <c r="D115" s="84">
        <f>SUM(D110:D114)</f>
        <v>1084480</v>
      </c>
      <c r="E115" s="84">
        <f>SUM(E110:E114)</f>
        <v>984866</v>
      </c>
      <c r="F115" s="84">
        <f>SUM(F110:F114)</f>
        <v>914170</v>
      </c>
    </row>
    <row r="116" spans="1:6" ht="15" thickTop="1">
      <c r="A116">
        <v>11</v>
      </c>
      <c r="B116" s="2553" t="s">
        <v>189</v>
      </c>
    </row>
    <row r="117" spans="1:6">
      <c r="A117" s="3619" t="s">
        <v>796</v>
      </c>
      <c r="B117" s="3621" t="s">
        <v>797</v>
      </c>
      <c r="C117" s="3621"/>
      <c r="D117" s="3621"/>
      <c r="E117" s="3621"/>
      <c r="F117" s="3621"/>
    </row>
    <row r="118" spans="1:6">
      <c r="A118" s="3620"/>
      <c r="B118" s="2532">
        <v>2012</v>
      </c>
      <c r="C118" s="2537">
        <v>2011</v>
      </c>
      <c r="D118" s="2537">
        <v>2010</v>
      </c>
      <c r="E118" s="2537">
        <v>2009</v>
      </c>
      <c r="F118" s="2537">
        <v>2008</v>
      </c>
    </row>
    <row r="119" spans="1:6">
      <c r="A119" s="2504" t="s">
        <v>798</v>
      </c>
      <c r="B119" s="2815">
        <v>1116287.0141700013</v>
      </c>
      <c r="C119" s="2815">
        <v>1031496.213</v>
      </c>
      <c r="D119" s="2815">
        <v>950607.79299999995</v>
      </c>
      <c r="E119" s="2858"/>
      <c r="F119" s="2858"/>
    </row>
    <row r="120" spans="1:6">
      <c r="A120" s="2504" t="s">
        <v>799</v>
      </c>
      <c r="B120" s="2815">
        <v>55085.027019999994</v>
      </c>
      <c r="C120" s="2815">
        <v>109318.129</v>
      </c>
      <c r="D120" s="2815">
        <v>108563.85400000001</v>
      </c>
      <c r="E120" s="2858"/>
      <c r="F120" s="2858"/>
    </row>
    <row r="121" spans="1:6">
      <c r="A121" s="2504" t="s">
        <v>800</v>
      </c>
      <c r="B121" s="2815">
        <v>853703.06741999893</v>
      </c>
      <c r="C121" s="2815">
        <v>695136.78455999994</v>
      </c>
      <c r="D121" s="2815">
        <v>615659.28067999997</v>
      </c>
      <c r="E121" s="2858"/>
      <c r="F121" s="2858"/>
    </row>
    <row r="122" spans="1:6">
      <c r="A122" s="2504" t="s">
        <v>803</v>
      </c>
      <c r="B122" s="2815"/>
      <c r="C122" s="2815">
        <v>36035.336439999999</v>
      </c>
      <c r="D122" s="2815">
        <v>10577.742320000001</v>
      </c>
      <c r="E122" s="2858"/>
      <c r="F122" s="2858"/>
    </row>
    <row r="123" spans="1:6">
      <c r="A123" s="2504" t="s">
        <v>804</v>
      </c>
      <c r="B123" s="2815"/>
      <c r="C123" s="2815"/>
      <c r="D123" s="2815"/>
      <c r="E123" s="2858"/>
      <c r="F123" s="2858"/>
    </row>
    <row r="124" spans="1:6" ht="15" thickBot="1">
      <c r="A124" s="76" t="s">
        <v>118</v>
      </c>
      <c r="B124" s="84">
        <f>SUM(B119:B123)</f>
        <v>2025075.10861</v>
      </c>
      <c r="C124" s="84">
        <f>SUM(C119:C123)</f>
        <v>1871986.4629999998</v>
      </c>
      <c r="D124" s="84">
        <f>SUM(D119:D123)</f>
        <v>1685408.6699999997</v>
      </c>
      <c r="E124" s="84">
        <f>SUM(E119:E123)</f>
        <v>0</v>
      </c>
      <c r="F124" s="84">
        <f>SUM(F119:F123)</f>
        <v>0</v>
      </c>
    </row>
    <row r="125" spans="1:6" ht="15" thickTop="1">
      <c r="A125">
        <v>12</v>
      </c>
      <c r="B125" s="2553" t="s">
        <v>702</v>
      </c>
    </row>
    <row r="126" spans="1:6">
      <c r="A126" s="3619" t="s">
        <v>796</v>
      </c>
      <c r="B126" s="3621" t="s">
        <v>797</v>
      </c>
      <c r="C126" s="3621"/>
      <c r="D126" s="3621"/>
      <c r="E126" s="3621"/>
      <c r="F126" s="3621"/>
    </row>
    <row r="127" spans="1:6">
      <c r="A127" s="3620"/>
      <c r="B127" s="2532">
        <v>2012</v>
      </c>
      <c r="C127" s="2537">
        <v>2011</v>
      </c>
      <c r="D127" s="2537">
        <v>2010</v>
      </c>
      <c r="E127" s="2537">
        <v>2009</v>
      </c>
      <c r="F127" s="2537">
        <v>2008</v>
      </c>
    </row>
    <row r="128" spans="1:6">
      <c r="A128" s="2504" t="s">
        <v>798</v>
      </c>
      <c r="B128" s="2815"/>
      <c r="C128" s="2815"/>
      <c r="D128" s="2815"/>
      <c r="E128" s="2815"/>
      <c r="F128" s="2815"/>
    </row>
    <row r="129" spans="1:6">
      <c r="A129" s="2504" t="s">
        <v>799</v>
      </c>
      <c r="B129" s="2815"/>
      <c r="C129" s="2815"/>
      <c r="D129" s="2815"/>
      <c r="E129" s="2815"/>
      <c r="F129" s="2815"/>
    </row>
    <row r="130" spans="1:6">
      <c r="A130" s="2504" t="s">
        <v>800</v>
      </c>
      <c r="B130" s="2815"/>
      <c r="C130" s="2815"/>
      <c r="D130" s="2815"/>
      <c r="E130" s="2815"/>
      <c r="F130" s="2815"/>
    </row>
    <row r="131" spans="1:6">
      <c r="A131" s="2504" t="s">
        <v>803</v>
      </c>
      <c r="B131" s="2815"/>
      <c r="C131" s="2815"/>
      <c r="D131" s="2815"/>
      <c r="E131" s="2815"/>
      <c r="F131" s="2815"/>
    </row>
    <row r="132" spans="1:6">
      <c r="A132" s="2504" t="s">
        <v>804</v>
      </c>
      <c r="B132" s="2815"/>
      <c r="C132" s="2815"/>
      <c r="D132" s="2815"/>
      <c r="E132" s="2815"/>
      <c r="F132" s="2815"/>
    </row>
    <row r="133" spans="1:6" ht="15" thickBot="1">
      <c r="A133" s="76" t="s">
        <v>118</v>
      </c>
      <c r="B133" s="84">
        <f>SUM(B128:B132)</f>
        <v>0</v>
      </c>
      <c r="C133" s="84">
        <f>SUM(C128:C132)</f>
        <v>0</v>
      </c>
      <c r="D133" s="84">
        <f>SUM(D128:D132)</f>
        <v>0</v>
      </c>
      <c r="E133" s="84">
        <f>SUM(E128:E132)</f>
        <v>0</v>
      </c>
      <c r="F133" s="84">
        <f>SUM(F128:F132)</f>
        <v>0</v>
      </c>
    </row>
    <row r="134" spans="1:6" ht="15" thickTop="1">
      <c r="A134">
        <v>13</v>
      </c>
      <c r="B134" s="2553" t="s">
        <v>191</v>
      </c>
    </row>
    <row r="135" spans="1:6">
      <c r="A135" s="3619" t="s">
        <v>796</v>
      </c>
      <c r="B135" s="3621" t="s">
        <v>797</v>
      </c>
      <c r="C135" s="3621"/>
      <c r="D135" s="3621"/>
      <c r="E135" s="3621"/>
      <c r="F135" s="3621"/>
    </row>
    <row r="136" spans="1:6">
      <c r="A136" s="3620"/>
      <c r="B136" s="2532">
        <v>2012</v>
      </c>
      <c r="C136" s="2537">
        <v>2011</v>
      </c>
      <c r="D136" s="2537">
        <v>2010</v>
      </c>
      <c r="E136" s="2537">
        <v>2009</v>
      </c>
      <c r="F136" s="2537">
        <v>2008</v>
      </c>
    </row>
    <row r="137" spans="1:6">
      <c r="A137" s="2504" t="s">
        <v>798</v>
      </c>
      <c r="B137" s="2815"/>
      <c r="C137" s="2815"/>
      <c r="D137" s="2815"/>
      <c r="E137" s="2815"/>
      <c r="F137" s="2815"/>
    </row>
    <row r="138" spans="1:6">
      <c r="A138" s="2504" t="s">
        <v>799</v>
      </c>
      <c r="B138" s="2815"/>
      <c r="C138" s="2815"/>
      <c r="D138" s="2815"/>
      <c r="E138" s="2815"/>
      <c r="F138" s="2815"/>
    </row>
    <row r="139" spans="1:6">
      <c r="A139" s="2504" t="s">
        <v>800</v>
      </c>
      <c r="B139" s="2815">
        <v>106237.90670000001</v>
      </c>
      <c r="C139" s="2815">
        <v>51426.839</v>
      </c>
      <c r="D139" s="2815"/>
      <c r="E139" s="2815"/>
      <c r="F139" s="2815"/>
    </row>
    <row r="140" spans="1:6">
      <c r="A140" s="2504" t="s">
        <v>803</v>
      </c>
      <c r="B140" s="2815"/>
      <c r="C140" s="2815"/>
      <c r="D140" s="2815"/>
      <c r="E140" s="2815"/>
      <c r="F140" s="2815"/>
    </row>
    <row r="141" spans="1:6">
      <c r="A141" s="2504" t="s">
        <v>804</v>
      </c>
      <c r="B141" s="2815"/>
      <c r="C141" s="2815"/>
      <c r="D141" s="2815"/>
      <c r="E141" s="2815"/>
      <c r="F141" s="2815"/>
    </row>
    <row r="142" spans="1:6" ht="15" thickBot="1">
      <c r="A142" s="76" t="s">
        <v>118</v>
      </c>
      <c r="B142" s="84">
        <f>SUM(B137:B141)</f>
        <v>106237.90670000001</v>
      </c>
      <c r="C142" s="84">
        <f>SUM(C137:C141)</f>
        <v>51426.839</v>
      </c>
      <c r="D142" s="84">
        <f>SUM(D137:D141)</f>
        <v>0</v>
      </c>
      <c r="E142" s="84">
        <f>SUM(E137:E141)</f>
        <v>0</v>
      </c>
      <c r="F142" s="84">
        <f>SUM(F137:F141)</f>
        <v>0</v>
      </c>
    </row>
    <row r="143" spans="1:6" ht="15" thickTop="1">
      <c r="A143">
        <v>14</v>
      </c>
      <c r="B143" s="2553" t="s">
        <v>192</v>
      </c>
    </row>
    <row r="144" spans="1:6">
      <c r="A144" s="3619" t="s">
        <v>796</v>
      </c>
      <c r="B144" s="3621" t="s">
        <v>797</v>
      </c>
      <c r="C144" s="3621"/>
      <c r="D144" s="3621"/>
      <c r="E144" s="3621"/>
      <c r="F144" s="3621"/>
    </row>
    <row r="145" spans="1:6">
      <c r="A145" s="3620"/>
      <c r="B145" s="2532">
        <v>2012</v>
      </c>
      <c r="C145" s="2537">
        <v>2011</v>
      </c>
      <c r="D145" s="2537">
        <v>2010</v>
      </c>
      <c r="E145" s="2537">
        <v>2009</v>
      </c>
      <c r="F145" s="2537">
        <v>2008</v>
      </c>
    </row>
    <row r="146" spans="1:6">
      <c r="A146" s="2504" t="s">
        <v>798</v>
      </c>
      <c r="B146" s="2700">
        <v>190495</v>
      </c>
      <c r="C146" s="2700">
        <v>141767</v>
      </c>
      <c r="D146" s="2700">
        <v>33258.19</v>
      </c>
      <c r="E146" s="2700">
        <v>27111</v>
      </c>
      <c r="F146" s="2700">
        <v>91630.281547766528</v>
      </c>
    </row>
    <row r="147" spans="1:6">
      <c r="A147" s="2504" t="s">
        <v>799</v>
      </c>
      <c r="B147" s="2700">
        <v>2142</v>
      </c>
      <c r="C147" s="2700">
        <v>1256</v>
      </c>
      <c r="D147" s="2700">
        <v>14253.51</v>
      </c>
      <c r="E147" s="2700">
        <v>54261.8</v>
      </c>
      <c r="F147" s="2700">
        <v>92942.274853172843</v>
      </c>
    </row>
    <row r="148" spans="1:6">
      <c r="A148" s="2504" t="s">
        <v>800</v>
      </c>
      <c r="B148" s="2700">
        <v>143</v>
      </c>
      <c r="C148" s="2700">
        <v>133</v>
      </c>
      <c r="D148" s="2700">
        <v>42760.53</v>
      </c>
      <c r="E148" s="2700">
        <v>35290.17</v>
      </c>
      <c r="F148" s="2700">
        <v>12542.348219041787</v>
      </c>
    </row>
    <row r="149" spans="1:6">
      <c r="A149" s="2504" t="s">
        <v>803</v>
      </c>
      <c r="B149" s="2700"/>
      <c r="C149" s="2700"/>
      <c r="D149" s="2700"/>
      <c r="E149" s="2700"/>
      <c r="F149" s="2700"/>
    </row>
    <row r="150" spans="1:6">
      <c r="A150" s="2504" t="s">
        <v>804</v>
      </c>
      <c r="B150" s="2700"/>
      <c r="C150" s="2700"/>
      <c r="D150" s="2700"/>
      <c r="E150" s="2700"/>
      <c r="F150" s="2700"/>
    </row>
    <row r="151" spans="1:6" ht="15" thickBot="1">
      <c r="A151" s="76" t="s">
        <v>118</v>
      </c>
      <c r="B151" s="84">
        <f>SUM(B146:B150)</f>
        <v>192780</v>
      </c>
      <c r="C151" s="84">
        <f>SUM(C146:C150)</f>
        <v>143156</v>
      </c>
      <c r="D151" s="84">
        <f>SUM(D146:D150)</f>
        <v>90272.23000000001</v>
      </c>
      <c r="E151" s="84">
        <f>SUM(E146:E150)</f>
        <v>116662.97</v>
      </c>
      <c r="F151" s="84">
        <f>SUM(F146:F150)</f>
        <v>197114.90461998116</v>
      </c>
    </row>
    <row r="152" spans="1:6" ht="15" thickTop="1">
      <c r="A152">
        <v>15</v>
      </c>
      <c r="B152" s="2554" t="s">
        <v>194</v>
      </c>
    </row>
    <row r="153" spans="1:6">
      <c r="A153" s="3619" t="s">
        <v>796</v>
      </c>
      <c r="B153" s="3621" t="s">
        <v>797</v>
      </c>
      <c r="C153" s="3621"/>
      <c r="D153" s="3621"/>
      <c r="E153" s="3621"/>
      <c r="F153" s="3621"/>
    </row>
    <row r="154" spans="1:6">
      <c r="A154" s="3620"/>
      <c r="B154" s="2532">
        <v>2012</v>
      </c>
      <c r="C154" s="2537">
        <v>2011</v>
      </c>
      <c r="D154" s="2537">
        <v>2010</v>
      </c>
      <c r="E154" s="2537">
        <v>2009</v>
      </c>
      <c r="F154" s="2537">
        <v>2008</v>
      </c>
    </row>
    <row r="155" spans="1:6">
      <c r="A155" s="2504" t="s">
        <v>798</v>
      </c>
      <c r="B155" s="2815"/>
      <c r="C155" s="2815"/>
      <c r="D155" s="2815"/>
      <c r="E155" s="2815"/>
      <c r="F155" s="2815"/>
    </row>
    <row r="156" spans="1:6">
      <c r="A156" s="2504" t="s">
        <v>799</v>
      </c>
      <c r="B156" s="2815"/>
      <c r="C156" s="2815"/>
      <c r="D156" s="2815"/>
      <c r="E156" s="2815"/>
      <c r="F156" s="2815"/>
    </row>
    <row r="157" spans="1:6">
      <c r="A157" s="2504" t="s">
        <v>800</v>
      </c>
      <c r="B157" s="2815"/>
      <c r="C157" s="2815"/>
      <c r="D157" s="2815"/>
      <c r="E157" s="2815"/>
      <c r="F157" s="2815"/>
    </row>
    <row r="158" spans="1:6">
      <c r="A158" s="2504" t="s">
        <v>803</v>
      </c>
      <c r="B158" s="2815"/>
      <c r="C158" s="2815"/>
      <c r="D158" s="2815"/>
      <c r="E158" s="2815"/>
      <c r="F158" s="2815"/>
    </row>
    <row r="159" spans="1:6">
      <c r="A159" s="2504" t="s">
        <v>804</v>
      </c>
      <c r="B159" s="2815"/>
      <c r="C159" s="2815"/>
      <c r="D159" s="2815"/>
      <c r="E159" s="2815"/>
      <c r="F159" s="2815"/>
    </row>
    <row r="160" spans="1:6" ht="15" thickBot="1">
      <c r="A160" s="76" t="s">
        <v>118</v>
      </c>
      <c r="B160" s="84">
        <f>SUM(B155:B159)</f>
        <v>0</v>
      </c>
      <c r="C160" s="84">
        <f>SUM(C155:C159)</f>
        <v>0</v>
      </c>
      <c r="D160" s="84">
        <f>SUM(D155:D159)</f>
        <v>0</v>
      </c>
      <c r="E160" s="84">
        <f>SUM(E155:E159)</f>
        <v>0</v>
      </c>
      <c r="F160" s="84">
        <f>SUM(F155:F159)</f>
        <v>0</v>
      </c>
    </row>
    <row r="161" spans="1:6" ht="15" thickTop="1">
      <c r="A161">
        <v>16</v>
      </c>
      <c r="B161" s="2553" t="s">
        <v>195</v>
      </c>
    </row>
    <row r="162" spans="1:6">
      <c r="A162" s="3619" t="s">
        <v>796</v>
      </c>
      <c r="B162" s="3621" t="s">
        <v>797</v>
      </c>
      <c r="C162" s="3621"/>
      <c r="D162" s="3621"/>
      <c r="E162" s="3621"/>
      <c r="F162" s="3621"/>
    </row>
    <row r="163" spans="1:6">
      <c r="A163" s="3620"/>
      <c r="B163" s="2532">
        <v>2012</v>
      </c>
      <c r="C163" s="2537">
        <v>2011</v>
      </c>
      <c r="D163" s="2537">
        <v>2010</v>
      </c>
      <c r="E163" s="2537">
        <v>2009</v>
      </c>
      <c r="F163" s="2537">
        <v>2008</v>
      </c>
    </row>
    <row r="164" spans="1:6">
      <c r="A164" s="2504" t="s">
        <v>798</v>
      </c>
      <c r="B164" s="2815">
        <v>6751106</v>
      </c>
      <c r="C164" s="2815">
        <v>6090745</v>
      </c>
      <c r="D164" s="2815">
        <v>5473628</v>
      </c>
      <c r="E164" s="2815">
        <v>4588974</v>
      </c>
      <c r="F164" s="2815">
        <v>4255658</v>
      </c>
    </row>
    <row r="165" spans="1:6">
      <c r="A165" s="2504" t="s">
        <v>799</v>
      </c>
      <c r="B165" s="2815">
        <v>35786</v>
      </c>
      <c r="C165" s="2815">
        <v>29684</v>
      </c>
      <c r="D165" s="2815">
        <v>30787</v>
      </c>
      <c r="E165" s="2815">
        <v>32361</v>
      </c>
      <c r="F165" s="2815">
        <v>37463</v>
      </c>
    </row>
    <row r="166" spans="1:6">
      <c r="A166" s="2504" t="s">
        <v>800</v>
      </c>
      <c r="B166" s="2815">
        <v>483583</v>
      </c>
      <c r="C166" s="2815">
        <v>589981</v>
      </c>
      <c r="D166" s="2815">
        <v>495959</v>
      </c>
      <c r="E166" s="2815">
        <v>196684</v>
      </c>
      <c r="F166" s="2815">
        <v>202164</v>
      </c>
    </row>
    <row r="167" spans="1:6">
      <c r="A167" s="2504" t="s">
        <v>803</v>
      </c>
      <c r="B167" s="2815">
        <v>98552</v>
      </c>
      <c r="C167" s="2815">
        <v>32662</v>
      </c>
      <c r="D167" s="2815">
        <v>9485</v>
      </c>
      <c r="E167" s="2815">
        <v>1840</v>
      </c>
      <c r="F167" s="2815">
        <v>2634</v>
      </c>
    </row>
    <row r="168" spans="1:6">
      <c r="A168" s="2504" t="s">
        <v>804</v>
      </c>
      <c r="B168" s="2815"/>
      <c r="C168" s="2815"/>
      <c r="D168" s="2815"/>
      <c r="E168" s="2815"/>
      <c r="F168" s="2815"/>
    </row>
    <row r="169" spans="1:6" ht="15" thickBot="1">
      <c r="A169" s="76" t="s">
        <v>118</v>
      </c>
      <c r="B169" s="84">
        <f>SUM(B164:B168)</f>
        <v>7369027</v>
      </c>
      <c r="C169" s="84">
        <f>SUM(C164:C168)</f>
        <v>6743072</v>
      </c>
      <c r="D169" s="84">
        <f>SUM(D164:D168)</f>
        <v>6009859</v>
      </c>
      <c r="E169" s="84">
        <f>SUM(E164:E168)</f>
        <v>4819859</v>
      </c>
      <c r="F169" s="84">
        <f>SUM(F164:F168)</f>
        <v>4497919</v>
      </c>
    </row>
    <row r="170" spans="1:6" ht="15" thickTop="1">
      <c r="A170">
        <v>17</v>
      </c>
      <c r="B170" s="2553" t="s">
        <v>196</v>
      </c>
    </row>
    <row r="171" spans="1:6">
      <c r="A171" s="3619" t="s">
        <v>796</v>
      </c>
      <c r="B171" s="3621" t="s">
        <v>797</v>
      </c>
      <c r="C171" s="3621"/>
      <c r="D171" s="3621"/>
      <c r="E171" s="3621"/>
      <c r="F171" s="3621"/>
    </row>
    <row r="172" spans="1:6">
      <c r="A172" s="3620"/>
      <c r="B172" s="2532">
        <v>2012</v>
      </c>
      <c r="C172" s="2537">
        <v>2011</v>
      </c>
      <c r="D172" s="2537">
        <v>2010</v>
      </c>
      <c r="E172" s="2537">
        <v>2009</v>
      </c>
      <c r="F172" s="2537">
        <v>2008</v>
      </c>
    </row>
    <row r="173" spans="1:6">
      <c r="A173" s="2504" t="s">
        <v>798</v>
      </c>
      <c r="B173" s="2815">
        <v>183255</v>
      </c>
      <c r="C173" s="2815">
        <v>115302</v>
      </c>
      <c r="D173" s="2815">
        <v>65727</v>
      </c>
      <c r="E173" s="2815">
        <v>55407</v>
      </c>
      <c r="F173" s="2815">
        <v>62655</v>
      </c>
    </row>
    <row r="174" spans="1:6">
      <c r="A174" s="2504" t="s">
        <v>799</v>
      </c>
      <c r="B174" s="2815"/>
      <c r="C174" s="2815"/>
      <c r="D174" s="2815"/>
      <c r="E174" s="2815"/>
      <c r="F174" s="2815"/>
    </row>
    <row r="175" spans="1:6">
      <c r="A175" s="2504" t="s">
        <v>800</v>
      </c>
      <c r="B175" s="2815">
        <v>20361</v>
      </c>
      <c r="C175" s="2815">
        <v>12811</v>
      </c>
      <c r="D175" s="2815">
        <v>7303</v>
      </c>
      <c r="E175" s="2815">
        <v>6156</v>
      </c>
      <c r="F175" s="2815">
        <v>6962</v>
      </c>
    </row>
    <row r="176" spans="1:6">
      <c r="A176" s="2504" t="s">
        <v>803</v>
      </c>
      <c r="B176" s="2815"/>
      <c r="C176" s="2815"/>
      <c r="D176" s="2815"/>
      <c r="E176" s="2815"/>
      <c r="F176" s="2815"/>
    </row>
    <row r="177" spans="1:6">
      <c r="A177" s="2504" t="s">
        <v>804</v>
      </c>
      <c r="B177" s="2815"/>
      <c r="C177" s="2815"/>
      <c r="D177" s="2815"/>
      <c r="E177" s="2815"/>
      <c r="F177" s="2815"/>
    </row>
    <row r="178" spans="1:6" ht="15" thickBot="1">
      <c r="A178" s="76" t="s">
        <v>118</v>
      </c>
      <c r="B178" s="84">
        <f>SUM(B173:B177)</f>
        <v>203616</v>
      </c>
      <c r="C178" s="84">
        <f>SUM(C173:C177)</f>
        <v>128113</v>
      </c>
      <c r="D178" s="84">
        <f>SUM(D173:D177)</f>
        <v>73030</v>
      </c>
      <c r="E178" s="84">
        <f>SUM(E173:E177)</f>
        <v>61563</v>
      </c>
      <c r="F178" s="84">
        <f>SUM(F173:F177)</f>
        <v>69617</v>
      </c>
    </row>
    <row r="179" spans="1:6" ht="15" thickTop="1">
      <c r="A179">
        <v>18</v>
      </c>
      <c r="B179" s="2553" t="s">
        <v>197</v>
      </c>
    </row>
    <row r="180" spans="1:6">
      <c r="A180" s="3619" t="s">
        <v>796</v>
      </c>
      <c r="B180" s="3621" t="s">
        <v>797</v>
      </c>
      <c r="C180" s="3621"/>
      <c r="D180" s="3621"/>
      <c r="E180" s="3621"/>
      <c r="F180" s="3621"/>
    </row>
    <row r="181" spans="1:6">
      <c r="A181" s="3620"/>
      <c r="B181" s="2532">
        <v>2012</v>
      </c>
      <c r="C181" s="2537">
        <v>2011</v>
      </c>
      <c r="D181" s="2537">
        <v>2010</v>
      </c>
      <c r="E181" s="2537">
        <v>2009</v>
      </c>
      <c r="F181" s="2537">
        <v>2008</v>
      </c>
    </row>
    <row r="182" spans="1:6">
      <c r="A182" s="2504" t="s">
        <v>798</v>
      </c>
      <c r="B182" s="2815">
        <v>4929736</v>
      </c>
      <c r="C182" s="2815">
        <v>4284310</v>
      </c>
      <c r="D182" s="2857"/>
      <c r="E182" s="2857"/>
      <c r="F182" s="2857"/>
    </row>
    <row r="183" spans="1:6">
      <c r="A183" s="2504" t="s">
        <v>799</v>
      </c>
      <c r="B183" s="2815">
        <v>506</v>
      </c>
      <c r="C183" s="2815">
        <v>44930</v>
      </c>
      <c r="D183" s="2857"/>
      <c r="E183" s="2857"/>
      <c r="F183" s="2857"/>
    </row>
    <row r="184" spans="1:6">
      <c r="A184" s="2504" t="s">
        <v>800</v>
      </c>
      <c r="B184" s="2815">
        <v>15902</v>
      </c>
      <c r="C184" s="2815">
        <v>16247</v>
      </c>
      <c r="D184" s="2857"/>
      <c r="E184" s="2857"/>
      <c r="F184" s="2857"/>
    </row>
    <row r="185" spans="1:6">
      <c r="A185" s="2504" t="s">
        <v>803</v>
      </c>
      <c r="B185" s="2815">
        <v>160179</v>
      </c>
      <c r="C185" s="2815">
        <v>86490</v>
      </c>
      <c r="D185" s="2857"/>
      <c r="E185" s="2857"/>
      <c r="F185" s="2857"/>
    </row>
    <row r="186" spans="1:6">
      <c r="A186" s="2504" t="s">
        <v>804</v>
      </c>
      <c r="B186" s="2815"/>
      <c r="C186" s="2815">
        <v>39650</v>
      </c>
      <c r="D186" s="2857"/>
      <c r="E186" s="2857"/>
      <c r="F186" s="2857"/>
    </row>
    <row r="187" spans="1:6" ht="15" thickBot="1">
      <c r="A187" s="76" t="s">
        <v>118</v>
      </c>
      <c r="B187" s="84">
        <f>SUM(B182:B186)</f>
        <v>5106323</v>
      </c>
      <c r="C187" s="84">
        <f>SUM(C182:C186)</f>
        <v>4471627</v>
      </c>
      <c r="D187" s="84">
        <f>SUM(D182:D186)</f>
        <v>0</v>
      </c>
      <c r="E187" s="84">
        <f>SUM(E182:E186)</f>
        <v>0</v>
      </c>
      <c r="F187" s="84">
        <f>SUM(F182:F186)</f>
        <v>0</v>
      </c>
    </row>
    <row r="188" spans="1:6" ht="15" thickTop="1">
      <c r="A188">
        <v>19</v>
      </c>
      <c r="B188" s="2556" t="s">
        <v>178</v>
      </c>
    </row>
    <row r="189" spans="1:6">
      <c r="A189" s="3619" t="s">
        <v>796</v>
      </c>
      <c r="B189" s="3621" t="s">
        <v>797</v>
      </c>
      <c r="C189" s="3621"/>
      <c r="D189" s="3621"/>
      <c r="E189" s="3621"/>
      <c r="F189" s="3621"/>
    </row>
    <row r="190" spans="1:6">
      <c r="A190" s="3620"/>
      <c r="B190" s="2532">
        <v>2012</v>
      </c>
      <c r="C190" s="2537">
        <v>2011</v>
      </c>
      <c r="D190" s="2537">
        <v>2010</v>
      </c>
      <c r="E190" s="2537">
        <v>2009</v>
      </c>
      <c r="F190" s="2537">
        <v>2008</v>
      </c>
    </row>
    <row r="191" spans="1:6">
      <c r="A191" s="2504" t="s">
        <v>798</v>
      </c>
      <c r="B191" s="2815">
        <f>+'[8]Sheet 3 - Long term Insurance'!$C$203/1000</f>
        <v>95289.87854770002</v>
      </c>
      <c r="C191" s="2815"/>
      <c r="D191" s="2815"/>
      <c r="E191" s="2815"/>
      <c r="F191" s="2815"/>
    </row>
    <row r="192" spans="1:6">
      <c r="A192" s="2504" t="s">
        <v>799</v>
      </c>
      <c r="B192" s="2815"/>
      <c r="C192" s="2815"/>
      <c r="D192" s="2815"/>
      <c r="E192" s="2815"/>
      <c r="F192" s="2815"/>
    </row>
    <row r="193" spans="1:6">
      <c r="A193" s="2504" t="s">
        <v>800</v>
      </c>
      <c r="B193" s="2815">
        <f>+'[8]Sheet 3 - Long term Insurance'!$C$205/1000</f>
        <v>4990</v>
      </c>
      <c r="C193" s="2815"/>
      <c r="D193" s="2815"/>
      <c r="E193" s="2815"/>
      <c r="F193" s="2815"/>
    </row>
    <row r="194" spans="1:6">
      <c r="A194" s="2504" t="s">
        <v>803</v>
      </c>
      <c r="B194" s="2815"/>
      <c r="C194" s="2815"/>
      <c r="D194" s="2815"/>
      <c r="E194" s="2815"/>
      <c r="F194" s="2815"/>
    </row>
    <row r="195" spans="1:6">
      <c r="A195" s="2504" t="s">
        <v>804</v>
      </c>
      <c r="B195" s="2815"/>
      <c r="C195" s="2815"/>
      <c r="D195" s="2815"/>
      <c r="E195" s="2815"/>
      <c r="F195" s="2815"/>
    </row>
    <row r="196" spans="1:6" ht="15" thickBot="1">
      <c r="A196" s="76" t="s">
        <v>118</v>
      </c>
      <c r="B196" s="84">
        <f>SUM(B191:B195)</f>
        <v>100279.87854770002</v>
      </c>
      <c r="C196" s="84">
        <f>SUM(C191:C195)</f>
        <v>0</v>
      </c>
      <c r="D196" s="84">
        <f>SUM(D191:D195)</f>
        <v>0</v>
      </c>
      <c r="E196" s="84">
        <f>SUM(E191:E195)</f>
        <v>0</v>
      </c>
      <c r="F196" s="84">
        <f>SUM(F191:F195)</f>
        <v>0</v>
      </c>
    </row>
    <row r="197" spans="1:6" ht="15" thickTop="1">
      <c r="A197">
        <v>20</v>
      </c>
      <c r="B197" s="2554" t="s">
        <v>110</v>
      </c>
    </row>
    <row r="198" spans="1:6">
      <c r="A198" s="3619" t="s">
        <v>796</v>
      </c>
      <c r="B198" s="3621" t="s">
        <v>797</v>
      </c>
      <c r="C198" s="3621"/>
      <c r="D198" s="3621"/>
      <c r="E198" s="3621"/>
      <c r="F198" s="3621"/>
    </row>
    <row r="199" spans="1:6">
      <c r="A199" s="3620"/>
      <c r="B199" s="2532">
        <v>2012</v>
      </c>
      <c r="C199" s="2537">
        <v>2011</v>
      </c>
      <c r="D199" s="2537">
        <v>2010</v>
      </c>
      <c r="E199" s="2537">
        <v>2009</v>
      </c>
      <c r="F199" s="2537">
        <v>2008</v>
      </c>
    </row>
    <row r="200" spans="1:6">
      <c r="A200" s="2504" t="s">
        <v>798</v>
      </c>
      <c r="B200" s="2815"/>
      <c r="C200" s="2815"/>
      <c r="D200" s="2815"/>
      <c r="E200" s="2815"/>
      <c r="F200" s="2815"/>
    </row>
    <row r="201" spans="1:6">
      <c r="A201" s="2504" t="s">
        <v>799</v>
      </c>
      <c r="B201" s="2815"/>
      <c r="C201" s="2815"/>
      <c r="D201" s="2815"/>
      <c r="E201" s="2815"/>
      <c r="F201" s="2815"/>
    </row>
    <row r="202" spans="1:6">
      <c r="A202" s="2504" t="s">
        <v>800</v>
      </c>
      <c r="B202" s="2815"/>
      <c r="C202" s="2815"/>
      <c r="D202" s="2815"/>
      <c r="E202" s="2815"/>
      <c r="F202" s="2815"/>
    </row>
    <row r="203" spans="1:6">
      <c r="A203" s="2504" t="s">
        <v>803</v>
      </c>
      <c r="B203" s="2815"/>
      <c r="C203" s="2815"/>
      <c r="D203" s="2815"/>
      <c r="E203" s="2815"/>
      <c r="F203" s="2815"/>
    </row>
    <row r="204" spans="1:6">
      <c r="A204" s="2504" t="s">
        <v>804</v>
      </c>
      <c r="B204" s="2815"/>
      <c r="C204" s="2815"/>
      <c r="D204" s="2815"/>
      <c r="E204" s="2815"/>
      <c r="F204" s="2815"/>
    </row>
    <row r="205" spans="1:6" ht="15" thickBot="1">
      <c r="A205" s="76" t="s">
        <v>118</v>
      </c>
      <c r="B205" s="84">
        <f>SUM(B200:B204)</f>
        <v>0</v>
      </c>
      <c r="C205" s="84">
        <f>SUM(C200:C204)</f>
        <v>0</v>
      </c>
      <c r="D205" s="84">
        <f>SUM(D200:D204)</f>
        <v>0</v>
      </c>
      <c r="E205" s="84">
        <f>SUM(E200:E204)</f>
        <v>0</v>
      </c>
      <c r="F205" s="84">
        <f>SUM(F200:F204)</f>
        <v>0</v>
      </c>
    </row>
    <row r="206" spans="1:6" ht="15" thickTop="1"/>
  </sheetData>
  <customSheetViews>
    <customSheetView guid="{2ACFE167-4169-43A6-9AB2-59D5A2DA2DB4}" showPageBreaks="1" printArea="1" state="hidden">
      <selection activeCell="A2" sqref="A2"/>
      <rowBreaks count="3" manualBreakCount="3">
        <brk id="52" max="5" man="1"/>
        <brk id="106" max="5" man="1"/>
        <brk id="160" max="5" man="1"/>
      </rowBreaks>
      <colBreaks count="1" manualBreakCount="1">
        <brk id="6" max="1048575" man="1"/>
      </colBreaks>
      <pageMargins left="0" right="0" top="0" bottom="0" header="0" footer="0"/>
      <pageSetup scale="81" orientation="portrait" r:id="rId1"/>
    </customSheetView>
    <customSheetView guid="{967E0446-E234-427F-8E57-7FE287052E2E}" showPageBreaks="1" printArea="1" state="hidden">
      <selection activeCell="A2" sqref="A2"/>
      <rowBreaks count="3" manualBreakCount="3">
        <brk id="52" max="5" man="1"/>
        <brk id="106" max="5" man="1"/>
        <brk id="160" max="5" man="1"/>
      </rowBreaks>
      <colBreaks count="1" manualBreakCount="1">
        <brk id="6" max="1048575" man="1"/>
      </colBreaks>
      <pageMargins left="0" right="0" top="0" bottom="0" header="0" footer="0"/>
      <pageSetup scale="81" orientation="portrait" r:id="rId2"/>
    </customSheetView>
    <customSheetView guid="{B2E1A0C6-5BA1-4CF1-B412-16D81FCDF11F}" showPageBreaks="1" printArea="1" state="hidden">
      <selection activeCell="A2" sqref="A2"/>
      <rowBreaks count="3" manualBreakCount="3">
        <brk id="52" max="5" man="1"/>
        <brk id="106" max="5" man="1"/>
        <brk id="160" max="5" man="1"/>
      </rowBreaks>
      <colBreaks count="1" manualBreakCount="1">
        <brk id="6" max="1048575" man="1"/>
      </colBreaks>
      <pageMargins left="0" right="0" top="0" bottom="0" header="0" footer="0"/>
      <pageSetup scale="81" orientation="portrait" r:id="rId3"/>
    </customSheetView>
    <customSheetView guid="{46F31544-8E6F-41C5-8628-1D6EE074AF15}" state="hidden">
      <selection activeCell="A2" sqref="A2"/>
      <rowBreaks count="3" manualBreakCount="3">
        <brk id="52" max="5" man="1"/>
        <brk id="106" max="5" man="1"/>
        <brk id="160" max="5" man="1"/>
      </rowBreaks>
      <colBreaks count="1" manualBreakCount="1">
        <brk id="6" max="1048575" man="1"/>
      </colBreaks>
      <pageMargins left="0" right="0" top="0" bottom="0" header="0" footer="0"/>
      <pageSetup scale="81" orientation="portrait" r:id="rId4"/>
    </customSheetView>
    <customSheetView guid="{E82B35BE-4719-4C53-A9EF-1CC6F153A6F3}" showPageBreaks="1" printArea="1" state="hidden">
      <selection activeCell="A2" sqref="A2"/>
      <rowBreaks count="3" manualBreakCount="3">
        <brk id="52" max="5" man="1"/>
        <brk id="106" max="5" man="1"/>
        <brk id="160" max="5" man="1"/>
      </rowBreaks>
      <colBreaks count="1" manualBreakCount="1">
        <brk id="6" max="1048575" man="1"/>
      </colBreaks>
      <pageMargins left="0" right="0" top="0" bottom="0" header="0" footer="0"/>
      <pageSetup scale="81" orientation="portrait" r:id="rId5"/>
    </customSheetView>
    <customSheetView guid="{B1E1B596-A9A1-411D-A882-A48CB025B978}" showPageBreaks="1" printArea="1" state="hidden">
      <selection activeCell="A2" sqref="A2"/>
      <rowBreaks count="3" manualBreakCount="3">
        <brk id="52" max="5" man="1"/>
        <brk id="106" max="5" man="1"/>
        <brk id="160" max="5" man="1"/>
      </rowBreaks>
      <colBreaks count="1" manualBreakCount="1">
        <brk id="6" max="1048575" man="1"/>
      </colBreaks>
      <pageMargins left="0" right="0" top="0" bottom="0" header="0" footer="0"/>
      <pageSetup scale="81" orientation="portrait" r:id="rId6"/>
    </customSheetView>
    <customSheetView guid="{5E394B0B-7867-4722-9497-A93AB2A9A773}" showPageBreaks="1" printArea="1" state="hidden">
      <selection activeCell="A2" sqref="A2"/>
      <rowBreaks count="3" manualBreakCount="3">
        <brk id="52" max="5" man="1"/>
        <brk id="106" max="5" man="1"/>
        <brk id="160" max="5" man="1"/>
      </rowBreaks>
      <colBreaks count="1" manualBreakCount="1">
        <brk id="6" max="1048575" man="1"/>
      </colBreaks>
      <pageMargins left="0" right="0" top="0" bottom="0" header="0" footer="0"/>
      <pageSetup scale="81" orientation="portrait" r:id="rId7"/>
    </customSheetView>
  </customSheetViews>
  <mergeCells count="44">
    <mergeCell ref="A198:A199"/>
    <mergeCell ref="B198:F198"/>
    <mergeCell ref="A171:A172"/>
    <mergeCell ref="B171:F171"/>
    <mergeCell ref="A180:A181"/>
    <mergeCell ref="B180:F180"/>
    <mergeCell ref="A189:A190"/>
    <mergeCell ref="B189:F189"/>
    <mergeCell ref="A144:A145"/>
    <mergeCell ref="B144:F144"/>
    <mergeCell ref="A153:A154"/>
    <mergeCell ref="B153:F153"/>
    <mergeCell ref="A162:A163"/>
    <mergeCell ref="B162:F162"/>
    <mergeCell ref="A117:A118"/>
    <mergeCell ref="B117:F117"/>
    <mergeCell ref="A126:A127"/>
    <mergeCell ref="B126:F126"/>
    <mergeCell ref="A135:A136"/>
    <mergeCell ref="B135:F135"/>
    <mergeCell ref="A90:A91"/>
    <mergeCell ref="B90:F90"/>
    <mergeCell ref="A99:A100"/>
    <mergeCell ref="B99:F99"/>
    <mergeCell ref="A108:A109"/>
    <mergeCell ref="B108:F108"/>
    <mergeCell ref="A63:A64"/>
    <mergeCell ref="B63:F63"/>
    <mergeCell ref="A72:A73"/>
    <mergeCell ref="B72:F72"/>
    <mergeCell ref="A81:A82"/>
    <mergeCell ref="B81:F81"/>
    <mergeCell ref="A36:A37"/>
    <mergeCell ref="B36:F36"/>
    <mergeCell ref="A45:A46"/>
    <mergeCell ref="B45:F45"/>
    <mergeCell ref="A54:A55"/>
    <mergeCell ref="B54:F54"/>
    <mergeCell ref="A3:A4"/>
    <mergeCell ref="B3:F3"/>
    <mergeCell ref="A15:A16"/>
    <mergeCell ref="B15:F15"/>
    <mergeCell ref="A27:A28"/>
    <mergeCell ref="B27:F27"/>
  </mergeCells>
  <pageMargins left="0.7" right="0.7" top="0.75" bottom="0.75" header="0.3" footer="0.3"/>
  <pageSetup scale="81" orientation="portrait" r:id="rId8"/>
  <rowBreaks count="3" manualBreakCount="3">
    <brk id="52" max="5" man="1"/>
    <brk id="106" max="5" man="1"/>
    <brk id="160" max="5" man="1"/>
  </rowBreaks>
  <colBreaks count="1" manualBreakCount="1">
    <brk id="6" max="1048575" man="1"/>
  </colBreaks>
  <ignoredErrors>
    <ignoredError sqref="B88 B79 B70 B43 B52 B61 C151:F151 B142:F142 B178:F178 B187:F187 B196:F196 B97:F97" formulaRange="1"/>
  </ignoredError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40">
    <tabColor rgb="FFFFC000"/>
  </sheetPr>
  <dimension ref="A2:J59"/>
  <sheetViews>
    <sheetView workbookViewId="0">
      <pane xSplit="2" ySplit="7" topLeftCell="C8" activePane="bottomRight" state="frozen"/>
      <selection pane="bottomRight" activeCell="D30" sqref="D30"/>
      <selection pane="bottomLeft" activeCell="A8" sqref="A8"/>
      <selection pane="topRight" activeCell="C1" sqref="C1"/>
    </sheetView>
  </sheetViews>
  <sheetFormatPr defaultRowHeight="14.45"/>
  <cols>
    <col min="1" max="1" width="5" customWidth="1"/>
    <col min="2" max="2" width="11.5703125" customWidth="1"/>
    <col min="3" max="3" width="17" bestFit="1" customWidth="1"/>
    <col min="4" max="6" width="17" customWidth="1"/>
    <col min="7" max="7" width="15.85546875" customWidth="1"/>
    <col min="8" max="8" width="13.7109375" customWidth="1"/>
    <col min="9" max="9" width="11.5703125" customWidth="1"/>
  </cols>
  <sheetData>
    <row r="2" spans="1:9">
      <c r="B2" s="29"/>
      <c r="C2" s="36"/>
      <c r="D2" s="36"/>
      <c r="E2" s="36"/>
      <c r="F2" s="36"/>
      <c r="G2" s="28"/>
    </row>
    <row r="3" spans="1:9">
      <c r="C3" s="36"/>
      <c r="D3" s="36"/>
      <c r="E3" s="36"/>
      <c r="F3" s="36"/>
      <c r="G3" s="28"/>
    </row>
    <row r="4" spans="1:9">
      <c r="B4" s="30" t="s">
        <v>834</v>
      </c>
      <c r="C4" s="32"/>
      <c r="D4" s="32"/>
      <c r="E4" s="32"/>
      <c r="F4" s="32"/>
      <c r="G4" s="32"/>
    </row>
    <row r="5" spans="1:9">
      <c r="B5" s="3581" t="s">
        <v>84</v>
      </c>
      <c r="C5" s="3664">
        <v>2012</v>
      </c>
      <c r="D5" s="3665"/>
      <c r="E5" s="3665"/>
      <c r="F5" s="3665"/>
      <c r="G5" s="3666"/>
    </row>
    <row r="6" spans="1:9">
      <c r="B6" s="3582"/>
      <c r="C6" s="3660" t="s">
        <v>436</v>
      </c>
      <c r="D6" s="3660" t="s">
        <v>437</v>
      </c>
      <c r="E6" s="3660" t="s">
        <v>438</v>
      </c>
      <c r="F6" s="3662" t="s">
        <v>722</v>
      </c>
      <c r="G6" s="3662" t="s">
        <v>835</v>
      </c>
      <c r="H6" s="3659" t="s">
        <v>118</v>
      </c>
    </row>
    <row r="7" spans="1:9">
      <c r="B7" s="3583"/>
      <c r="C7" s="3661"/>
      <c r="D7" s="3661"/>
      <c r="E7" s="3661"/>
      <c r="F7" s="3663"/>
      <c r="G7" s="3663"/>
      <c r="H7" s="3659"/>
    </row>
    <row r="8" spans="1:9">
      <c r="A8">
        <v>1</v>
      </c>
      <c r="B8" s="2691" t="s">
        <v>177</v>
      </c>
      <c r="C8" s="2692">
        <v>47397.887020000002</v>
      </c>
      <c r="D8" s="2692">
        <v>100.48354999999999</v>
      </c>
      <c r="E8" s="2692">
        <v>0</v>
      </c>
      <c r="F8" s="2860">
        <v>-2400.22174</v>
      </c>
      <c r="G8" s="2860">
        <v>-7253.0829300000005</v>
      </c>
      <c r="H8" s="2544">
        <f>SUM(C8:G8)</f>
        <v>37845.065900000001</v>
      </c>
    </row>
    <row r="9" spans="1:9">
      <c r="A9">
        <v>2</v>
      </c>
      <c r="B9" s="2691" t="s">
        <v>179</v>
      </c>
      <c r="C9" s="2692">
        <v>108204</v>
      </c>
      <c r="D9" s="2692">
        <v>114</v>
      </c>
      <c r="E9" s="2692"/>
      <c r="F9" s="2860">
        <v>-3366</v>
      </c>
      <c r="G9" s="2860">
        <v>-7850</v>
      </c>
      <c r="H9" s="2544">
        <f t="shared" ref="H9:H27" si="0">SUM(C9:G9)</f>
        <v>97102</v>
      </c>
    </row>
    <row r="10" spans="1:9">
      <c r="A10">
        <v>3</v>
      </c>
      <c r="B10" s="2691" t="s">
        <v>181</v>
      </c>
      <c r="C10" s="2692">
        <v>164565.823</v>
      </c>
      <c r="D10" s="2692">
        <v>660.38166999999999</v>
      </c>
      <c r="E10" s="2861">
        <v>-39701.053790000005</v>
      </c>
      <c r="F10" s="2860">
        <v>0</v>
      </c>
      <c r="G10" s="2860">
        <v>-19090.252880000007</v>
      </c>
      <c r="H10" s="2544">
        <f t="shared" si="0"/>
        <v>106434.89799999999</v>
      </c>
    </row>
    <row r="11" spans="1:9">
      <c r="A11">
        <v>4</v>
      </c>
      <c r="B11" s="2691" t="s">
        <v>182</v>
      </c>
      <c r="C11" s="2692">
        <v>29178.364000000001</v>
      </c>
      <c r="D11" s="2692">
        <v>0</v>
      </c>
      <c r="E11" s="2861">
        <v>-26766.791000000001</v>
      </c>
      <c r="F11" s="2860">
        <v>-1265.3810000000001</v>
      </c>
      <c r="G11" s="2860">
        <v>-4921.7760000000007</v>
      </c>
      <c r="H11" s="2544">
        <f t="shared" si="0"/>
        <v>-3775.5840000000007</v>
      </c>
    </row>
    <row r="12" spans="1:9">
      <c r="A12">
        <v>5</v>
      </c>
      <c r="B12" s="2691" t="s">
        <v>183</v>
      </c>
      <c r="C12" s="2692">
        <v>13197.65119</v>
      </c>
      <c r="D12" s="2692"/>
      <c r="E12" s="2861">
        <v>-419.17913000000004</v>
      </c>
      <c r="F12" s="2860"/>
      <c r="G12" s="2860">
        <v>-5309.3234400000001</v>
      </c>
      <c r="H12" s="2544">
        <f t="shared" si="0"/>
        <v>7469.1486199999999</v>
      </c>
    </row>
    <row r="13" spans="1:9">
      <c r="A13">
        <v>6</v>
      </c>
      <c r="B13" s="2691" t="s">
        <v>184</v>
      </c>
      <c r="C13" s="2692">
        <v>32228.80229</v>
      </c>
      <c r="D13" s="2692">
        <v>0</v>
      </c>
      <c r="E13" s="2861">
        <v>-16762.395264000454</v>
      </c>
      <c r="F13" s="2860">
        <v>-200.37370000000004</v>
      </c>
      <c r="G13" s="2860">
        <v>-2257.2298699999988</v>
      </c>
      <c r="H13" s="2544">
        <f t="shared" si="0"/>
        <v>13008.803455999547</v>
      </c>
    </row>
    <row r="14" spans="1:9">
      <c r="A14">
        <v>7</v>
      </c>
      <c r="B14" s="2691" t="s">
        <v>185</v>
      </c>
      <c r="C14" s="2692">
        <v>400850</v>
      </c>
      <c r="D14" s="2862">
        <v>-780</v>
      </c>
      <c r="E14" s="2861">
        <v>-76000</v>
      </c>
      <c r="F14" s="2860">
        <v>-990</v>
      </c>
      <c r="G14" s="2860">
        <v>-107680</v>
      </c>
      <c r="H14" s="2544">
        <f t="shared" si="0"/>
        <v>215400</v>
      </c>
      <c r="I14" s="14">
        <f>+H14+'Co Ins Outward'!H14</f>
        <v>143034</v>
      </c>
    </row>
    <row r="15" spans="1:9">
      <c r="A15">
        <v>8</v>
      </c>
      <c r="B15" s="2691" t="s">
        <v>186</v>
      </c>
      <c r="C15" s="2692">
        <v>7985.3432599999996</v>
      </c>
      <c r="D15" s="2862">
        <v>-174.55048000000002</v>
      </c>
      <c r="E15" s="2861">
        <v>-12294.732559999999</v>
      </c>
      <c r="F15" s="2860">
        <v>0</v>
      </c>
      <c r="G15" s="2860">
        <v>-910.25645999999995</v>
      </c>
      <c r="H15" s="2544">
        <f t="shared" si="0"/>
        <v>-5394.1962399999984</v>
      </c>
    </row>
    <row r="16" spans="1:9">
      <c r="A16">
        <v>9</v>
      </c>
      <c r="B16" s="2691" t="s">
        <v>187</v>
      </c>
      <c r="C16" s="2692"/>
      <c r="D16" s="2862"/>
      <c r="E16" s="2861"/>
      <c r="F16" s="2860"/>
      <c r="G16" s="2860"/>
      <c r="H16" s="2544">
        <f t="shared" si="0"/>
        <v>0</v>
      </c>
    </row>
    <row r="17" spans="1:10">
      <c r="A17">
        <v>10</v>
      </c>
      <c r="B17" s="2691" t="s">
        <v>188</v>
      </c>
      <c r="C17" s="2692">
        <v>67416.804990000004</v>
      </c>
      <c r="D17" s="2862">
        <v>-71.267309999999995</v>
      </c>
      <c r="E17" s="2861"/>
      <c r="F17" s="2860">
        <v>-734.75161000000003</v>
      </c>
      <c r="G17" s="2860">
        <v>-7675.6686500000005</v>
      </c>
      <c r="H17" s="2544">
        <f t="shared" si="0"/>
        <v>58935.117420000002</v>
      </c>
    </row>
    <row r="18" spans="1:10">
      <c r="A18">
        <v>11</v>
      </c>
      <c r="B18" s="2691" t="s">
        <v>189</v>
      </c>
      <c r="C18" s="2692">
        <v>146865</v>
      </c>
      <c r="D18" s="2862">
        <v>-3295</v>
      </c>
      <c r="E18" s="2861">
        <v>0</v>
      </c>
      <c r="F18" s="2860">
        <v>0</v>
      </c>
      <c r="G18" s="2860">
        <v>-36538</v>
      </c>
      <c r="H18" s="2544">
        <f t="shared" si="0"/>
        <v>107032</v>
      </c>
    </row>
    <row r="19" spans="1:10">
      <c r="A19">
        <v>12</v>
      </c>
      <c r="B19" s="2691" t="s">
        <v>192</v>
      </c>
      <c r="C19" s="2692">
        <v>13622.47597</v>
      </c>
      <c r="D19" s="2862">
        <v>-1420.1951899999999</v>
      </c>
      <c r="E19" s="2861">
        <v>-12899.95607</v>
      </c>
      <c r="F19" s="2860"/>
      <c r="G19" s="2860">
        <v>-2549.8085900000001</v>
      </c>
      <c r="H19" s="2544">
        <f t="shared" si="0"/>
        <v>-3247.4838800000011</v>
      </c>
    </row>
    <row r="20" spans="1:10">
      <c r="A20">
        <v>13</v>
      </c>
      <c r="B20" s="2691" t="s">
        <v>702</v>
      </c>
      <c r="C20" s="2692"/>
      <c r="D20" s="2862"/>
      <c r="E20" s="2861"/>
      <c r="F20" s="2862"/>
      <c r="G20" s="2862"/>
      <c r="H20" s="2544">
        <f t="shared" si="0"/>
        <v>0</v>
      </c>
    </row>
    <row r="21" spans="1:10">
      <c r="A21">
        <v>14</v>
      </c>
      <c r="B21" s="2691" t="s">
        <v>191</v>
      </c>
      <c r="C21" s="2692">
        <v>11413.96551</v>
      </c>
      <c r="D21" s="2862">
        <v>-220</v>
      </c>
      <c r="E21" s="2861"/>
      <c r="F21" s="2862">
        <v>-609.26258000000007</v>
      </c>
      <c r="G21" s="2862">
        <v>-1651.2189899999998</v>
      </c>
      <c r="H21" s="2544">
        <f t="shared" si="0"/>
        <v>8933.4839400000001</v>
      </c>
    </row>
    <row r="22" spans="1:10">
      <c r="A22">
        <v>15</v>
      </c>
      <c r="B22" s="2691" t="s">
        <v>194</v>
      </c>
      <c r="C22" s="2692">
        <v>106512</v>
      </c>
      <c r="D22" s="2862">
        <v>0</v>
      </c>
      <c r="E22" s="2861">
        <v>-41136</v>
      </c>
      <c r="F22" s="2862">
        <v>0</v>
      </c>
      <c r="G22" s="2862">
        <v>-1391</v>
      </c>
      <c r="H22" s="2544">
        <f t="shared" si="0"/>
        <v>63985</v>
      </c>
    </row>
    <row r="23" spans="1:10">
      <c r="A23">
        <v>16</v>
      </c>
      <c r="B23" s="2691" t="s">
        <v>195</v>
      </c>
      <c r="C23" s="2692">
        <v>283311.55849000002</v>
      </c>
      <c r="D23" s="2862">
        <v>-1926.4506699999999</v>
      </c>
      <c r="E23" s="2861">
        <v>-122829.33145</v>
      </c>
      <c r="F23" s="2862">
        <v>-8926.0840500000013</v>
      </c>
      <c r="G23" s="2862">
        <v>-27410.733909999999</v>
      </c>
      <c r="H23" s="2544">
        <f t="shared" si="0"/>
        <v>122218.95841000004</v>
      </c>
      <c r="I23" s="14">
        <f>+H23+'Co Ins Outward'!H22</f>
        <v>-57064.041589999964</v>
      </c>
    </row>
    <row r="24" spans="1:10">
      <c r="A24">
        <v>17</v>
      </c>
      <c r="B24" s="2691" t="s">
        <v>196</v>
      </c>
      <c r="C24" s="2692">
        <v>0</v>
      </c>
      <c r="D24" s="2862">
        <v>0</v>
      </c>
      <c r="E24" s="2861">
        <v>0</v>
      </c>
      <c r="F24" s="2862">
        <v>0</v>
      </c>
      <c r="G24" s="2862">
        <v>0</v>
      </c>
      <c r="H24" s="2544">
        <f t="shared" si="0"/>
        <v>0</v>
      </c>
      <c r="J24" t="s">
        <v>836</v>
      </c>
    </row>
    <row r="25" spans="1:10">
      <c r="A25">
        <v>18</v>
      </c>
      <c r="B25" s="2691" t="s">
        <v>197</v>
      </c>
      <c r="C25" s="2692">
        <v>148673</v>
      </c>
      <c r="D25" s="2862">
        <v>-1926</v>
      </c>
      <c r="E25" s="2861">
        <v>0</v>
      </c>
      <c r="F25" s="2862">
        <v>-11149</v>
      </c>
      <c r="G25" s="2862">
        <v>-28633</v>
      </c>
      <c r="H25" s="2544">
        <f t="shared" si="0"/>
        <v>106965</v>
      </c>
    </row>
    <row r="26" spans="1:10">
      <c r="A26">
        <v>19</v>
      </c>
      <c r="B26" s="2691" t="s">
        <v>193</v>
      </c>
      <c r="C26" s="3181">
        <v>11167.981</v>
      </c>
      <c r="D26" s="3182">
        <v>0</v>
      </c>
      <c r="E26" s="3183">
        <v>-3442.2881998425601</v>
      </c>
      <c r="F26" s="3182"/>
      <c r="G26" s="2862">
        <v>-3647.8788599999998</v>
      </c>
      <c r="H26" s="2544">
        <f t="shared" si="0"/>
        <v>4077.8139401574399</v>
      </c>
    </row>
    <row r="27" spans="1:10">
      <c r="A27">
        <v>20</v>
      </c>
      <c r="B27" s="2691" t="s">
        <v>110</v>
      </c>
      <c r="C27" s="3181"/>
      <c r="D27" s="3182"/>
      <c r="E27" s="3183"/>
      <c r="F27" s="3182"/>
      <c r="G27" s="2862"/>
      <c r="H27" s="2544">
        <f t="shared" si="0"/>
        <v>0</v>
      </c>
    </row>
    <row r="28" spans="1:10" ht="15" thickBot="1">
      <c r="B28" s="2694" t="s">
        <v>118</v>
      </c>
      <c r="C28" s="70">
        <f>SUM(C8:C27)</f>
        <v>1592590.6567199999</v>
      </c>
      <c r="D28" s="265">
        <f>SUM(D8:D27)</f>
        <v>-8938.59843</v>
      </c>
      <c r="E28" s="265">
        <f>SUM(E8:E27)</f>
        <v>-352251.72746384301</v>
      </c>
      <c r="F28" s="265">
        <f>SUM(F8:F27)</f>
        <v>-29641.074680000002</v>
      </c>
      <c r="G28" s="265">
        <f>SUM(G8:G27)</f>
        <v>-264769.23058000003</v>
      </c>
      <c r="H28" s="2544">
        <f>SUM(C28:G28)</f>
        <v>936990.02556615672</v>
      </c>
    </row>
    <row r="29" spans="1:10" ht="15" thickTop="1">
      <c r="B29" s="6"/>
      <c r="C29" s="7"/>
      <c r="D29" s="7"/>
      <c r="E29" s="7"/>
      <c r="F29" s="7"/>
      <c r="G29" s="8"/>
    </row>
    <row r="31" spans="1:10">
      <c r="B31" s="30" t="s">
        <v>834</v>
      </c>
      <c r="C31" s="32"/>
      <c r="D31" s="32"/>
      <c r="E31" s="32"/>
      <c r="F31" s="32"/>
      <c r="G31" s="32"/>
    </row>
    <row r="32" spans="1:10">
      <c r="B32" s="3581" t="s">
        <v>84</v>
      </c>
      <c r="C32" s="3664">
        <v>2011</v>
      </c>
      <c r="D32" s="3665"/>
      <c r="E32" s="3665"/>
      <c r="F32" s="3665"/>
      <c r="G32" s="3666"/>
    </row>
    <row r="33" spans="1:8">
      <c r="B33" s="3582"/>
      <c r="C33" s="3660" t="s">
        <v>436</v>
      </c>
      <c r="D33" s="3660" t="s">
        <v>437</v>
      </c>
      <c r="E33" s="3660" t="s">
        <v>438</v>
      </c>
      <c r="F33" s="3662" t="s">
        <v>722</v>
      </c>
      <c r="G33" s="3662" t="s">
        <v>835</v>
      </c>
      <c r="H33" s="3659" t="s">
        <v>118</v>
      </c>
    </row>
    <row r="34" spans="1:8">
      <c r="B34" s="3583"/>
      <c r="C34" s="3661"/>
      <c r="D34" s="3661"/>
      <c r="E34" s="3661"/>
      <c r="F34" s="3663"/>
      <c r="G34" s="3663"/>
      <c r="H34" s="3659"/>
    </row>
    <row r="35" spans="1:8">
      <c r="A35">
        <v>1</v>
      </c>
      <c r="B35" s="2691" t="s">
        <v>177</v>
      </c>
      <c r="C35" s="2862">
        <v>-31030.158800000001</v>
      </c>
      <c r="D35" s="2862">
        <v>-317.35131000000001</v>
      </c>
      <c r="E35" s="2862"/>
      <c r="F35" s="2862"/>
      <c r="G35" s="2862">
        <v>-7281.6151899999995</v>
      </c>
      <c r="H35" s="2544">
        <f>SUM(C35:G35)</f>
        <v>-38629.1253</v>
      </c>
    </row>
    <row r="36" spans="1:8">
      <c r="A36">
        <v>2</v>
      </c>
      <c r="B36" s="2691" t="s">
        <v>179</v>
      </c>
      <c r="C36" s="2862">
        <v>-100437</v>
      </c>
      <c r="D36" s="2862">
        <v>-296</v>
      </c>
      <c r="E36" s="2862"/>
      <c r="F36" s="2862">
        <v>-3583</v>
      </c>
      <c r="G36" s="2862">
        <v>-6741</v>
      </c>
      <c r="H36" s="2544">
        <f t="shared" ref="H36:H41" si="1">SUM(C36:G36)</f>
        <v>-111057</v>
      </c>
    </row>
    <row r="37" spans="1:8">
      <c r="A37">
        <v>3</v>
      </c>
      <c r="B37" s="2691" t="s">
        <v>181</v>
      </c>
      <c r="C37" s="2862">
        <v>-137919.96430999995</v>
      </c>
      <c r="D37" s="2862">
        <v>-727.93295000000001</v>
      </c>
      <c r="E37" s="2862">
        <v>-36457</v>
      </c>
      <c r="F37" s="2862"/>
      <c r="G37" s="2862">
        <v>-28232.705699999991</v>
      </c>
      <c r="H37" s="2544">
        <f t="shared" si="1"/>
        <v>-203337.60295999993</v>
      </c>
    </row>
    <row r="38" spans="1:8">
      <c r="A38">
        <v>4</v>
      </c>
      <c r="B38" s="2691" t="s">
        <v>182</v>
      </c>
      <c r="C38" s="2862">
        <v>-23488</v>
      </c>
      <c r="D38" s="2862">
        <v>-4.8</v>
      </c>
      <c r="E38" s="2862">
        <v>-16885</v>
      </c>
      <c r="F38" s="2862">
        <v>-813.4</v>
      </c>
      <c r="G38" s="2862">
        <v>-4532.3</v>
      </c>
      <c r="H38" s="2544">
        <f t="shared" si="1"/>
        <v>-45723.500000000007</v>
      </c>
    </row>
    <row r="39" spans="1:8">
      <c r="A39">
        <v>5</v>
      </c>
      <c r="B39" s="2691" t="s">
        <v>183</v>
      </c>
      <c r="C39" s="2862">
        <v>-24808.403190000001</v>
      </c>
      <c r="D39" s="2862"/>
      <c r="E39" s="2862">
        <v>-1070.6167800000001</v>
      </c>
      <c r="F39" s="2862"/>
      <c r="G39" s="2862">
        <v>-7009.3373000000001</v>
      </c>
      <c r="H39" s="2544">
        <f t="shared" si="1"/>
        <v>-32888.35727</v>
      </c>
    </row>
    <row r="40" spans="1:8">
      <c r="A40">
        <v>6</v>
      </c>
      <c r="B40" s="2691" t="s">
        <v>184</v>
      </c>
      <c r="C40" s="2862">
        <v>-22672.940974999998</v>
      </c>
      <c r="D40" s="2862">
        <v>0</v>
      </c>
      <c r="E40" s="2862">
        <v>-14446.436762400072</v>
      </c>
      <c r="F40" s="2862">
        <v>-482.62752999999987</v>
      </c>
      <c r="G40" s="2862">
        <v>-2264.6940599999998</v>
      </c>
      <c r="H40" s="2544">
        <f t="shared" si="1"/>
        <v>-39866.699327400071</v>
      </c>
    </row>
    <row r="41" spans="1:8">
      <c r="A41">
        <v>7</v>
      </c>
      <c r="B41" s="2691" t="s">
        <v>185</v>
      </c>
      <c r="C41" s="2862">
        <v>-318121</v>
      </c>
      <c r="D41" s="2862">
        <v>-530</v>
      </c>
      <c r="E41" s="2862">
        <v>-102277</v>
      </c>
      <c r="F41" s="2862">
        <v>0</v>
      </c>
      <c r="G41" s="2862">
        <v>-43764</v>
      </c>
      <c r="H41" s="2544">
        <f t="shared" si="1"/>
        <v>-464692</v>
      </c>
    </row>
    <row r="42" spans="1:8">
      <c r="A42">
        <v>8</v>
      </c>
      <c r="B42" s="2691" t="s">
        <v>186</v>
      </c>
      <c r="C42" s="2862">
        <v>-7454.15164</v>
      </c>
      <c r="D42" s="2862">
        <v>-71.406000000000006</v>
      </c>
      <c r="E42" s="2862">
        <v>-6670.3840399999999</v>
      </c>
      <c r="F42" s="2862">
        <v>0</v>
      </c>
      <c r="G42" s="2862">
        <v>-1060.28297</v>
      </c>
      <c r="H42" s="2544">
        <f t="shared" ref="H42:H54" si="2">SUM(C42:G42)</f>
        <v>-15256.22465</v>
      </c>
    </row>
    <row r="43" spans="1:8">
      <c r="A43">
        <v>9</v>
      </c>
      <c r="B43" s="2691" t="s">
        <v>187</v>
      </c>
      <c r="C43" s="2862"/>
      <c r="D43" s="2862"/>
      <c r="E43" s="2862"/>
      <c r="F43" s="2862"/>
      <c r="G43" s="2862"/>
      <c r="H43" s="2544">
        <f t="shared" si="2"/>
        <v>0</v>
      </c>
    </row>
    <row r="44" spans="1:8">
      <c r="A44">
        <v>10</v>
      </c>
      <c r="B44" s="2691" t="s">
        <v>188</v>
      </c>
      <c r="C44" s="2862">
        <v>-62030.205950000003</v>
      </c>
      <c r="D44" s="2862">
        <v>-44.105839999999993</v>
      </c>
      <c r="E44" s="2862"/>
      <c r="F44" s="2862">
        <v>-414.97453000000002</v>
      </c>
      <c r="G44" s="2862">
        <v>-8024.5410700000002</v>
      </c>
      <c r="H44" s="2544">
        <f t="shared" si="2"/>
        <v>-70513.827390000006</v>
      </c>
    </row>
    <row r="45" spans="1:8">
      <c r="A45">
        <v>11</v>
      </c>
      <c r="B45" s="2691" t="s">
        <v>189</v>
      </c>
      <c r="C45" s="2862">
        <v>-134296.63466000001</v>
      </c>
      <c r="D45" s="2862">
        <v>-3314.44794</v>
      </c>
      <c r="E45" s="2862">
        <v>0</v>
      </c>
      <c r="F45" s="2862">
        <v>0</v>
      </c>
      <c r="G45" s="2862">
        <v>-32592.129940000003</v>
      </c>
      <c r="H45" s="2544">
        <f t="shared" si="2"/>
        <v>-170203.21254000004</v>
      </c>
    </row>
    <row r="46" spans="1:8">
      <c r="A46">
        <v>12</v>
      </c>
      <c r="B46" s="2691" t="s">
        <v>192</v>
      </c>
      <c r="C46" s="2862">
        <v>-13867.61851</v>
      </c>
      <c r="D46" s="2862">
        <v>-13868.61851</v>
      </c>
      <c r="E46" s="2862">
        <v>-13869.61851</v>
      </c>
      <c r="F46" s="2862">
        <v>0</v>
      </c>
      <c r="G46" s="2862">
        <v>-1627.2820899999999</v>
      </c>
      <c r="H46" s="2544">
        <f t="shared" si="2"/>
        <v>-43233.137620000001</v>
      </c>
    </row>
    <row r="47" spans="1:8">
      <c r="A47">
        <v>13</v>
      </c>
      <c r="B47" s="2691" t="s">
        <v>702</v>
      </c>
      <c r="C47" s="2862"/>
      <c r="D47" s="2862"/>
      <c r="E47" s="2862"/>
      <c r="F47" s="2862"/>
      <c r="G47" s="2862"/>
      <c r="H47" s="2544">
        <f t="shared" si="2"/>
        <v>0</v>
      </c>
    </row>
    <row r="48" spans="1:8">
      <c r="A48">
        <v>14</v>
      </c>
      <c r="B48" s="2691" t="s">
        <v>191</v>
      </c>
      <c r="C48" s="2862"/>
      <c r="D48" s="2862"/>
      <c r="E48" s="2862">
        <v>0</v>
      </c>
      <c r="F48" s="2862"/>
      <c r="G48" s="2862"/>
      <c r="H48" s="2544">
        <f t="shared" si="2"/>
        <v>0</v>
      </c>
    </row>
    <row r="49" spans="1:9">
      <c r="A49">
        <v>15</v>
      </c>
      <c r="B49" s="2691" t="s">
        <v>194</v>
      </c>
      <c r="C49" s="2862">
        <v>-92256</v>
      </c>
      <c r="D49" s="2862">
        <v>0</v>
      </c>
      <c r="E49" s="2862">
        <v>-32829</v>
      </c>
      <c r="F49" s="2862">
        <v>0</v>
      </c>
      <c r="G49" s="2862">
        <v>-4216</v>
      </c>
      <c r="H49" s="2544">
        <f>SUM(C49:G49)</f>
        <v>-129301</v>
      </c>
    </row>
    <row r="50" spans="1:9">
      <c r="A50">
        <v>16</v>
      </c>
      <c r="B50" s="2691" t="s">
        <v>195</v>
      </c>
      <c r="C50" s="2862">
        <v>-283488</v>
      </c>
      <c r="D50" s="2862">
        <v>-299</v>
      </c>
      <c r="E50" s="2862">
        <v>-65070</v>
      </c>
      <c r="F50" s="2862"/>
      <c r="G50" s="2862">
        <v>-31068</v>
      </c>
      <c r="H50" s="2544">
        <f t="shared" si="2"/>
        <v>-379925</v>
      </c>
    </row>
    <row r="51" spans="1:9">
      <c r="A51">
        <v>17</v>
      </c>
      <c r="B51" s="2691" t="s">
        <v>196</v>
      </c>
      <c r="C51" s="2862">
        <v>0</v>
      </c>
      <c r="D51" s="2862">
        <v>0</v>
      </c>
      <c r="E51" s="2862">
        <v>0</v>
      </c>
      <c r="F51" s="2862">
        <v>0</v>
      </c>
      <c r="G51" s="2862">
        <v>0</v>
      </c>
      <c r="H51" s="2544">
        <f t="shared" si="2"/>
        <v>0</v>
      </c>
      <c r="I51" t="s">
        <v>836</v>
      </c>
    </row>
    <row r="52" spans="1:9">
      <c r="A52">
        <v>18</v>
      </c>
      <c r="B52" s="2691" t="s">
        <v>197</v>
      </c>
      <c r="C52" s="2862">
        <v>-165228</v>
      </c>
      <c r="D52" s="2862">
        <v>-1688</v>
      </c>
      <c r="E52" s="2862">
        <v>0</v>
      </c>
      <c r="F52" s="2862">
        <v>-11493</v>
      </c>
      <c r="G52" s="2862">
        <v>-26697</v>
      </c>
      <c r="H52" s="2544">
        <f t="shared" si="2"/>
        <v>-205106</v>
      </c>
    </row>
    <row r="53" spans="1:9">
      <c r="A53">
        <v>19</v>
      </c>
      <c r="B53" s="2691" t="s">
        <v>193</v>
      </c>
      <c r="C53" s="3182">
        <v>-39.009439999999998</v>
      </c>
      <c r="D53" s="3182">
        <v>-2.125</v>
      </c>
      <c r="E53" s="3182">
        <v>-30</v>
      </c>
      <c r="F53" s="3182"/>
      <c r="G53" s="2862">
        <v>-1</v>
      </c>
      <c r="H53" s="2544">
        <f t="shared" si="2"/>
        <v>-72.134439999999998</v>
      </c>
    </row>
    <row r="54" spans="1:9">
      <c r="A54">
        <v>20</v>
      </c>
      <c r="B54" s="2691" t="s">
        <v>110</v>
      </c>
      <c r="C54" s="3182"/>
      <c r="D54" s="3182"/>
      <c r="E54" s="3182"/>
      <c r="F54" s="3182"/>
      <c r="G54" s="2862"/>
      <c r="H54" s="2544">
        <f t="shared" si="2"/>
        <v>0</v>
      </c>
    </row>
    <row r="55" spans="1:9" ht="15" thickBot="1">
      <c r="B55" s="2694" t="s">
        <v>118</v>
      </c>
      <c r="C55" s="265">
        <f>SUM(C35:C54)</f>
        <v>-1417137.0874749999</v>
      </c>
      <c r="D55" s="265">
        <f>SUM(D35:D54)</f>
        <v>-21163.787550000001</v>
      </c>
      <c r="E55" s="265">
        <f>SUM(E35:E54)</f>
        <v>-289605.0560924001</v>
      </c>
      <c r="F55" s="265">
        <f>SUM(F35:F54)</f>
        <v>-16787.002059999999</v>
      </c>
      <c r="G55" s="265">
        <f>SUM(G35:G54)</f>
        <v>-205111.88832</v>
      </c>
      <c r="H55" s="2544">
        <f>SUM(C55:G55)</f>
        <v>-1949804.8214974001</v>
      </c>
    </row>
    <row r="56" spans="1:9" ht="15" thickTop="1">
      <c r="G56" t="s">
        <v>837</v>
      </c>
      <c r="H56" s="110">
        <f>+'Co Ins Outward'!H51</f>
        <v>-216300.61969072663</v>
      </c>
    </row>
    <row r="57" spans="1:9">
      <c r="G57" t="s">
        <v>118</v>
      </c>
      <c r="H57" s="58">
        <f>+H55+H56</f>
        <v>-2166105.4411881268</v>
      </c>
    </row>
    <row r="58" spans="1:9">
      <c r="G58" t="s">
        <v>838</v>
      </c>
      <c r="H58" s="58" t="e">
        <f>+#REF!</f>
        <v>#REF!</v>
      </c>
    </row>
    <row r="59" spans="1:9">
      <c r="G59" t="s">
        <v>839</v>
      </c>
      <c r="H59" s="14" t="e">
        <f>+H57-H58</f>
        <v>#REF!</v>
      </c>
    </row>
  </sheetData>
  <customSheetViews>
    <customSheetView guid="{2ACFE167-4169-43A6-9AB2-59D5A2DA2DB4}" showPageBreaks="1" printArea="1" state="hidden">
      <pane xSplit="2" ySplit="7" topLeftCell="C8" activePane="bottomRight" state="frozen"/>
      <selection pane="bottomRight" activeCell="D30" sqref="D30"/>
      <rowBreaks count="1" manualBreakCount="1">
        <brk id="55" max="6" man="1"/>
      </rowBreaks>
      <pageMargins left="0" right="0" top="0" bottom="0" header="0" footer="0"/>
      <pageSetup scale="79" orientation="portrait" r:id="rId1"/>
    </customSheetView>
    <customSheetView guid="{967E0446-E234-427F-8E57-7FE287052E2E}" showPageBreaks="1" printArea="1" state="hidden">
      <pane xSplit="2" ySplit="7" topLeftCell="C8" activePane="bottomRight" state="frozen"/>
      <selection pane="bottomRight" activeCell="D30" sqref="D30"/>
      <rowBreaks count="1" manualBreakCount="1">
        <brk id="55" max="6" man="1"/>
      </rowBreaks>
      <pageMargins left="0" right="0" top="0" bottom="0" header="0" footer="0"/>
      <pageSetup scale="79" orientation="portrait" r:id="rId2"/>
    </customSheetView>
    <customSheetView guid="{B2E1A0C6-5BA1-4CF1-B412-16D81FCDF11F}" showPageBreaks="1" printArea="1" state="hidden">
      <pane xSplit="2" ySplit="7" topLeftCell="C8" activePane="bottomRight" state="frozen"/>
      <selection pane="bottomRight" activeCell="D30" sqref="D30"/>
      <rowBreaks count="1" manualBreakCount="1">
        <brk id="55" max="6" man="1"/>
      </rowBreaks>
      <pageMargins left="0" right="0" top="0" bottom="0" header="0" footer="0"/>
      <pageSetup scale="79" orientation="portrait" r:id="rId3"/>
    </customSheetView>
    <customSheetView guid="{46F31544-8E6F-41C5-8628-1D6EE074AF15}" state="hidden">
      <pane xSplit="2" ySplit="7" topLeftCell="C8" activePane="bottomRight" state="frozen"/>
      <selection pane="bottomRight" activeCell="D30" sqref="D30"/>
      <rowBreaks count="1" manualBreakCount="1">
        <brk id="55" max="6" man="1"/>
      </rowBreaks>
      <pageMargins left="0" right="0" top="0" bottom="0" header="0" footer="0"/>
      <pageSetup scale="79" orientation="portrait" r:id="rId4"/>
    </customSheetView>
    <customSheetView guid="{E82B35BE-4719-4C53-A9EF-1CC6F153A6F3}" showPageBreaks="1" printArea="1" state="hidden">
      <pane xSplit="2" ySplit="7" topLeftCell="C8" activePane="bottomRight" state="frozen"/>
      <selection pane="bottomRight" activeCell="D30" sqref="D30"/>
      <rowBreaks count="1" manualBreakCount="1">
        <brk id="55" max="6" man="1"/>
      </rowBreaks>
      <pageMargins left="0" right="0" top="0" bottom="0" header="0" footer="0"/>
      <pageSetup scale="79" orientation="portrait" r:id="rId5"/>
    </customSheetView>
    <customSheetView guid="{B1E1B596-A9A1-411D-A882-A48CB025B978}" showPageBreaks="1" printArea="1" state="hidden">
      <pane xSplit="2" ySplit="7" topLeftCell="C8" activePane="bottomRight" state="frozen"/>
      <selection pane="bottomRight" activeCell="D30" sqref="D30"/>
      <rowBreaks count="1" manualBreakCount="1">
        <brk id="55" max="6" man="1"/>
      </rowBreaks>
      <pageMargins left="0" right="0" top="0" bottom="0" header="0" footer="0"/>
      <pageSetup scale="79" orientation="portrait" r:id="rId6"/>
    </customSheetView>
    <customSheetView guid="{5E394B0B-7867-4722-9497-A93AB2A9A773}" showPageBreaks="1" printArea="1" state="hidden">
      <pane xSplit="2" ySplit="7" topLeftCell="C8" activePane="bottomRight" state="frozen"/>
      <selection pane="bottomRight" activeCell="D30" sqref="D30"/>
      <rowBreaks count="1" manualBreakCount="1">
        <brk id="55" max="6" man="1"/>
      </rowBreaks>
      <pageMargins left="0" right="0" top="0" bottom="0" header="0" footer="0"/>
      <pageSetup scale="79" orientation="portrait" r:id="rId7"/>
    </customSheetView>
  </customSheetViews>
  <mergeCells count="16">
    <mergeCell ref="H33:H34"/>
    <mergeCell ref="H6:H7"/>
    <mergeCell ref="B5:B7"/>
    <mergeCell ref="C6:C7"/>
    <mergeCell ref="D6:D7"/>
    <mergeCell ref="E6:E7"/>
    <mergeCell ref="F6:F7"/>
    <mergeCell ref="G6:G7"/>
    <mergeCell ref="C5:G5"/>
    <mergeCell ref="B32:B34"/>
    <mergeCell ref="C32:G32"/>
    <mergeCell ref="C33:C34"/>
    <mergeCell ref="D33:D34"/>
    <mergeCell ref="E33:E34"/>
    <mergeCell ref="F33:F34"/>
    <mergeCell ref="G33:G34"/>
  </mergeCells>
  <pageMargins left="0.7" right="0.7" top="0.75" bottom="0.75" header="0.3" footer="0.3"/>
  <pageSetup scale="79" orientation="portrait" r:id="rId8"/>
  <rowBreaks count="1" manualBreakCount="1">
    <brk id="55" max="6" man="1"/>
  </row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41">
    <tabColor rgb="FFFFC000"/>
  </sheetPr>
  <dimension ref="A2:K52"/>
  <sheetViews>
    <sheetView workbookViewId="0">
      <pane xSplit="2" ySplit="7" topLeftCell="C17" activePane="bottomRight" state="frozen"/>
      <selection pane="bottomRight" activeCell="E17" sqref="E17"/>
      <selection pane="bottomLeft" activeCell="A8" sqref="A8"/>
      <selection pane="topRight" activeCell="C1" sqref="C1"/>
    </sheetView>
  </sheetViews>
  <sheetFormatPr defaultRowHeight="14.45"/>
  <cols>
    <col min="1" max="1" width="5" customWidth="1"/>
    <col min="2" max="2" width="11.5703125" customWidth="1"/>
    <col min="3" max="3" width="17" bestFit="1" customWidth="1"/>
    <col min="4" max="6" width="17" customWidth="1"/>
    <col min="7" max="7" width="17.7109375" customWidth="1"/>
    <col min="8" max="8" width="14.140625" customWidth="1"/>
    <col min="9" max="9" width="13.28515625" bestFit="1" customWidth="1"/>
    <col min="10" max="10" width="13.140625" customWidth="1"/>
  </cols>
  <sheetData>
    <row r="2" spans="1:10">
      <c r="B2" s="29"/>
      <c r="C2" s="36"/>
      <c r="D2" s="36"/>
      <c r="E2" s="36"/>
      <c r="F2" s="36"/>
      <c r="G2" s="28"/>
    </row>
    <row r="3" spans="1:10">
      <c r="C3" s="36"/>
      <c r="D3" s="36"/>
      <c r="E3" s="36"/>
      <c r="F3" s="36"/>
      <c r="G3" s="28"/>
    </row>
    <row r="4" spans="1:10">
      <c r="B4" s="30" t="s">
        <v>840</v>
      </c>
      <c r="C4" s="32"/>
      <c r="D4" s="32"/>
      <c r="E4" s="32"/>
      <c r="F4" s="32"/>
      <c r="G4" s="32"/>
    </row>
    <row r="5" spans="1:10">
      <c r="B5" s="3581" t="s">
        <v>84</v>
      </c>
      <c r="C5" s="3664">
        <v>2012</v>
      </c>
      <c r="D5" s="3665"/>
      <c r="E5" s="3665"/>
      <c r="F5" s="3665"/>
      <c r="G5" s="3666"/>
    </row>
    <row r="6" spans="1:10">
      <c r="B6" s="3582"/>
      <c r="C6" s="3667" t="s">
        <v>436</v>
      </c>
      <c r="D6" s="3667" t="s">
        <v>437</v>
      </c>
      <c r="E6" s="3667" t="s">
        <v>438</v>
      </c>
      <c r="F6" s="3581" t="s">
        <v>722</v>
      </c>
      <c r="G6" s="3581" t="s">
        <v>835</v>
      </c>
      <c r="H6" s="3679" t="s">
        <v>118</v>
      </c>
      <c r="I6" s="3676" t="s">
        <v>841</v>
      </c>
      <c r="J6" s="3677" t="s">
        <v>842</v>
      </c>
    </row>
    <row r="7" spans="1:10">
      <c r="B7" s="3583"/>
      <c r="C7" s="3668"/>
      <c r="D7" s="3668"/>
      <c r="E7" s="3668"/>
      <c r="F7" s="3583"/>
      <c r="G7" s="3583"/>
      <c r="H7" s="3679"/>
      <c r="I7" s="3676"/>
      <c r="J7" s="3677"/>
    </row>
    <row r="8" spans="1:10" s="39" customFormat="1" ht="20.100000000000001" customHeight="1">
      <c r="A8" s="39">
        <v>1</v>
      </c>
      <c r="B8" s="2863" t="s">
        <v>177</v>
      </c>
      <c r="C8" s="2864"/>
      <c r="D8" s="2864"/>
      <c r="E8" s="2864"/>
      <c r="F8" s="2864"/>
      <c r="G8" s="2864"/>
      <c r="H8" s="1702">
        <f>SUM(C8:G8)</f>
        <v>0</v>
      </c>
      <c r="I8" s="78">
        <f>+'SRCC &amp; TC 2011 &amp; 12'!H8</f>
        <v>37845.065900000001</v>
      </c>
      <c r="J8" s="197">
        <f>+H8+I8</f>
        <v>37845.065900000001</v>
      </c>
    </row>
    <row r="9" spans="1:10" s="39" customFormat="1" ht="20.100000000000001" customHeight="1">
      <c r="A9" s="39">
        <v>2</v>
      </c>
      <c r="B9" s="2863" t="s">
        <v>179</v>
      </c>
      <c r="C9" s="2864">
        <f>+'[13]Sheet 2 - General Insurance'!$C$34</f>
        <v>-4775</v>
      </c>
      <c r="D9" s="2864">
        <f>+'[13]Sheet 2 - General Insurance'!$D$34</f>
        <v>-294</v>
      </c>
      <c r="E9" s="2864"/>
      <c r="F9" s="2864"/>
      <c r="G9" s="2864">
        <f>+'[13]Sheet 2 - General Insurance'!$G$34</f>
        <v>-327</v>
      </c>
      <c r="H9" s="1702">
        <f>SUM(C9:G9)</f>
        <v>-5396</v>
      </c>
      <c r="I9" s="78">
        <f>+'SRCC &amp; TC 2011 &amp; 12'!H9</f>
        <v>97102</v>
      </c>
      <c r="J9" s="197">
        <f t="shared" ref="J9:J25" si="0">+H9+I9</f>
        <v>91706</v>
      </c>
    </row>
    <row r="10" spans="1:10" s="39" customFormat="1" ht="20.100000000000001" customHeight="1">
      <c r="A10" s="39">
        <v>3</v>
      </c>
      <c r="B10" s="2863" t="s">
        <v>181</v>
      </c>
      <c r="C10" s="2864">
        <f>+'[12]Sheet 2 - General Insurance'!$C$34</f>
        <v>-24479.416430000001</v>
      </c>
      <c r="D10" s="2864">
        <f>+'[12]Sheet 2 - General Insurance'!$D$34</f>
        <v>-2181.9210499999999</v>
      </c>
      <c r="E10" s="2864">
        <f>+'[12]Sheet 2 - General Insurance'!$E$34</f>
        <v>-1695.15906</v>
      </c>
      <c r="F10" s="2864"/>
      <c r="G10" s="2864">
        <f>+'[12]Sheet 2 - General Insurance'!$G$34</f>
        <v>-4673.41104</v>
      </c>
      <c r="H10" s="1702">
        <f>SUM(C10:G10)</f>
        <v>-33029.907579999999</v>
      </c>
      <c r="I10" s="78">
        <f>+'SRCC &amp; TC 2011 &amp; 12'!H10</f>
        <v>106434.89799999999</v>
      </c>
      <c r="J10" s="197">
        <f t="shared" si="0"/>
        <v>73404.990419999987</v>
      </c>
    </row>
    <row r="11" spans="1:10" s="39" customFormat="1" ht="20.100000000000001" customHeight="1">
      <c r="A11" s="39">
        <v>4</v>
      </c>
      <c r="B11" s="2863" t="s">
        <v>182</v>
      </c>
      <c r="C11" s="2864">
        <f>+'[14]Sheet 2 - General Insurance'!$C$34</f>
        <v>-1586.7539999999999</v>
      </c>
      <c r="D11" s="2864">
        <f>+'[14]Sheet 2 - General Insurance'!$D$34</f>
        <v>-334.68099999999998</v>
      </c>
      <c r="E11" s="2864"/>
      <c r="F11" s="2864"/>
      <c r="G11" s="2864">
        <f>+'[14]Sheet 2 - General Insurance'!$G$34</f>
        <v>-3983.9880000000003</v>
      </c>
      <c r="H11" s="1702">
        <f>SUM(C11:G11)</f>
        <v>-5905.4230000000007</v>
      </c>
      <c r="I11" s="78">
        <f>+'SRCC &amp; TC 2011 &amp; 12'!H11</f>
        <v>-3775.5840000000007</v>
      </c>
      <c r="J11" s="197">
        <f t="shared" si="0"/>
        <v>-9681.0070000000014</v>
      </c>
    </row>
    <row r="12" spans="1:10" s="39" customFormat="1" ht="20.100000000000001" customHeight="1">
      <c r="A12" s="39">
        <v>5</v>
      </c>
      <c r="B12" s="2863" t="s">
        <v>183</v>
      </c>
      <c r="C12" s="2864">
        <v>0</v>
      </c>
      <c r="D12" s="2864">
        <v>0</v>
      </c>
      <c r="E12" s="2864">
        <v>0</v>
      </c>
      <c r="F12" s="2864">
        <v>0</v>
      </c>
      <c r="G12" s="2864">
        <v>0</v>
      </c>
      <c r="H12" s="1702">
        <f t="shared" ref="H12:H25" si="1">SUM(C12:G12)</f>
        <v>0</v>
      </c>
      <c r="I12" s="78">
        <f>+'SRCC &amp; TC 2011 &amp; 12'!H12</f>
        <v>7469.1486199999999</v>
      </c>
      <c r="J12" s="197">
        <f t="shared" si="0"/>
        <v>7469.1486199999999</v>
      </c>
    </row>
    <row r="13" spans="1:10" s="39" customFormat="1" ht="20.100000000000001" customHeight="1">
      <c r="A13" s="39">
        <v>6</v>
      </c>
      <c r="B13" s="2863" t="s">
        <v>184</v>
      </c>
      <c r="C13" s="2864">
        <f>-'[41]Sheet 2 - General Insurance'!$C$34</f>
        <v>-41423.144014163736</v>
      </c>
      <c r="D13" s="2864">
        <f>-'[41]Sheet 2 - General Insurance'!$D$34</f>
        <v>-207.799542</v>
      </c>
      <c r="E13" s="2864"/>
      <c r="F13" s="2864">
        <f>-'[41]Sheet 2 - General Insurance'!$F$34</f>
        <v>-1708.6523404500001</v>
      </c>
      <c r="G13" s="2864">
        <f>-'[41]Sheet 2 - General Insurance'!$G$34</f>
        <v>-2657.0910914999999</v>
      </c>
      <c r="H13" s="1702">
        <f t="shared" si="1"/>
        <v>-45996.686988113732</v>
      </c>
      <c r="I13" s="78">
        <f>+'SRCC &amp; TC 2011 &amp; 12'!H13</f>
        <v>13008.803455999547</v>
      </c>
      <c r="J13" s="197">
        <f t="shared" si="0"/>
        <v>-32987.883532114181</v>
      </c>
    </row>
    <row r="14" spans="1:10" s="39" customFormat="1" ht="20.100000000000001" customHeight="1">
      <c r="A14" s="39">
        <v>7</v>
      </c>
      <c r="B14" s="2863" t="s">
        <v>185</v>
      </c>
      <c r="C14" s="2864">
        <f>-'[16]Sheet 2 - General Insurance'!$C$63</f>
        <v>-68789</v>
      </c>
      <c r="D14" s="2864">
        <f>-'[16]Sheet 2 - General Insurance'!$D$63</f>
        <v>-760</v>
      </c>
      <c r="E14" s="2864">
        <f>-'[16]Sheet 2 - General Insurance'!$E$63</f>
        <v>-934</v>
      </c>
      <c r="F14" s="2864">
        <v>0</v>
      </c>
      <c r="G14" s="2864">
        <f>-'[16]Sheet 2 - General Insurance'!$G$63</f>
        <v>-1883</v>
      </c>
      <c r="H14" s="1702">
        <f t="shared" si="1"/>
        <v>-72366</v>
      </c>
      <c r="I14" s="78">
        <f>+'SRCC &amp; TC 2011 &amp; 12'!H14</f>
        <v>215400</v>
      </c>
      <c r="J14" s="197">
        <f t="shared" si="0"/>
        <v>143034</v>
      </c>
    </row>
    <row r="15" spans="1:10" s="39" customFormat="1" ht="20.100000000000001" customHeight="1">
      <c r="A15" s="39">
        <v>8</v>
      </c>
      <c r="B15" s="2863" t="s">
        <v>186</v>
      </c>
      <c r="C15" s="2864">
        <f>+'[42]Sheet 2 - General Insurance'!$C$34</f>
        <v>-291.71800000000002</v>
      </c>
      <c r="D15" s="2864"/>
      <c r="E15" s="2864">
        <f>+'[42]Sheet 2 - General Insurance'!$E$34</f>
        <v>-240.27</v>
      </c>
      <c r="F15" s="2864"/>
      <c r="G15" s="2864"/>
      <c r="H15" s="1702">
        <f t="shared" si="1"/>
        <v>-531.98800000000006</v>
      </c>
      <c r="I15" s="78">
        <f>+'SRCC &amp; TC 2011 &amp; 12'!H15</f>
        <v>-5394.1962399999984</v>
      </c>
      <c r="J15" s="197">
        <f t="shared" si="0"/>
        <v>-5926.1842399999987</v>
      </c>
    </row>
    <row r="16" spans="1:10" s="39" customFormat="1" ht="20.100000000000001" customHeight="1">
      <c r="A16" s="39">
        <v>9</v>
      </c>
      <c r="B16" s="2863" t="s">
        <v>187</v>
      </c>
      <c r="C16" s="2864"/>
      <c r="D16" s="2864"/>
      <c r="E16" s="2864"/>
      <c r="F16" s="2864"/>
      <c r="G16" s="2864"/>
      <c r="H16" s="1702">
        <f t="shared" si="1"/>
        <v>0</v>
      </c>
      <c r="I16" s="78">
        <f>+'SRCC &amp; TC 2011 &amp; 12'!H16</f>
        <v>0</v>
      </c>
      <c r="J16" s="197">
        <f t="shared" si="0"/>
        <v>0</v>
      </c>
    </row>
    <row r="17" spans="1:11" s="39" customFormat="1" ht="20.100000000000001" customHeight="1">
      <c r="A17" s="39">
        <v>10</v>
      </c>
      <c r="B17" s="2863" t="s">
        <v>188</v>
      </c>
      <c r="C17" s="2864">
        <v>0</v>
      </c>
      <c r="D17" s="2864">
        <v>0</v>
      </c>
      <c r="E17" s="2864">
        <v>0</v>
      </c>
      <c r="F17" s="2864">
        <v>0</v>
      </c>
      <c r="G17" s="2864">
        <v>0</v>
      </c>
      <c r="H17" s="1702">
        <f t="shared" si="1"/>
        <v>0</v>
      </c>
      <c r="I17" s="78">
        <f>+'SRCC &amp; TC 2011 &amp; 12'!H17</f>
        <v>58935.117420000002</v>
      </c>
      <c r="J17" s="197">
        <f t="shared" si="0"/>
        <v>58935.117420000002</v>
      </c>
    </row>
    <row r="18" spans="1:11" s="39" customFormat="1" ht="20.100000000000001" customHeight="1">
      <c r="A18" s="39">
        <v>11</v>
      </c>
      <c r="B18" s="2863" t="s">
        <v>189</v>
      </c>
      <c r="C18" s="2864"/>
      <c r="D18" s="2864"/>
      <c r="E18" s="2864"/>
      <c r="F18" s="2864"/>
      <c r="G18" s="2864"/>
      <c r="H18" s="1702">
        <f t="shared" si="1"/>
        <v>0</v>
      </c>
      <c r="I18" s="78">
        <f>+'SRCC &amp; TC 2011 &amp; 12'!H18</f>
        <v>107032</v>
      </c>
      <c r="J18" s="197">
        <f t="shared" si="0"/>
        <v>107032</v>
      </c>
    </row>
    <row r="19" spans="1:11" s="39" customFormat="1" ht="20.100000000000001" customHeight="1">
      <c r="A19" s="39">
        <v>12</v>
      </c>
      <c r="B19" s="2863" t="s">
        <v>192</v>
      </c>
      <c r="C19" s="2864">
        <v>0</v>
      </c>
      <c r="D19" s="2864">
        <v>0</v>
      </c>
      <c r="E19" s="2864">
        <v>0</v>
      </c>
      <c r="F19" s="2864">
        <v>0</v>
      </c>
      <c r="G19" s="2864">
        <v>0</v>
      </c>
      <c r="H19" s="1702">
        <f t="shared" si="1"/>
        <v>0</v>
      </c>
      <c r="I19" s="78">
        <f>+'SRCC &amp; TC 2011 &amp; 12'!H19</f>
        <v>-3247.4838800000011</v>
      </c>
      <c r="J19" s="197">
        <f t="shared" si="0"/>
        <v>-3247.4838800000011</v>
      </c>
    </row>
    <row r="20" spans="1:11" s="39" customFormat="1" ht="20.100000000000001" customHeight="1">
      <c r="A20" s="39">
        <v>13</v>
      </c>
      <c r="B20" s="2863" t="s">
        <v>191</v>
      </c>
      <c r="C20" s="2864">
        <f>+'[43]Sheet 2 - General Insurance'!$C$34</f>
        <v>-5070.0688700000001</v>
      </c>
      <c r="D20" s="2864">
        <v>0</v>
      </c>
      <c r="E20" s="2864">
        <v>0</v>
      </c>
      <c r="F20" s="2864">
        <v>0</v>
      </c>
      <c r="G20" s="2864">
        <v>0</v>
      </c>
      <c r="H20" s="1702">
        <f t="shared" si="1"/>
        <v>-5070.0688700000001</v>
      </c>
      <c r="I20" s="78">
        <f>+'SRCC &amp; TC 2011 &amp; 12'!H21</f>
        <v>8933.4839400000001</v>
      </c>
      <c r="J20" s="197">
        <f t="shared" si="0"/>
        <v>3863.41507</v>
      </c>
    </row>
    <row r="21" spans="1:11" s="39" customFormat="1" ht="20.100000000000001" customHeight="1">
      <c r="A21" s="39">
        <v>14</v>
      </c>
      <c r="B21" s="2863" t="s">
        <v>194</v>
      </c>
      <c r="C21" s="2864">
        <v>0</v>
      </c>
      <c r="D21" s="2864">
        <v>0</v>
      </c>
      <c r="E21" s="2864">
        <v>0</v>
      </c>
      <c r="F21" s="2864">
        <v>0</v>
      </c>
      <c r="G21" s="2864">
        <v>0</v>
      </c>
      <c r="H21" s="1702">
        <f t="shared" si="1"/>
        <v>0</v>
      </c>
      <c r="I21" s="78">
        <f>+'SRCC &amp; TC 2011 &amp; 12'!H22</f>
        <v>63985</v>
      </c>
      <c r="J21" s="197">
        <f t="shared" si="0"/>
        <v>63985</v>
      </c>
    </row>
    <row r="22" spans="1:11" s="39" customFormat="1" ht="20.100000000000001" customHeight="1">
      <c r="A22" s="39">
        <v>15</v>
      </c>
      <c r="B22" s="2863" t="s">
        <v>195</v>
      </c>
      <c r="C22" s="2864">
        <v>-163677</v>
      </c>
      <c r="D22" s="2864">
        <v>-4913</v>
      </c>
      <c r="E22" s="2864"/>
      <c r="F22" s="2864"/>
      <c r="G22" s="2864">
        <v>-10693</v>
      </c>
      <c r="H22" s="1702">
        <f>SUM(C22:G22)</f>
        <v>-179283</v>
      </c>
      <c r="I22" s="78">
        <f>+'SRCC &amp; TC 2011 &amp; 12'!H23</f>
        <v>122218.95841000004</v>
      </c>
      <c r="J22" s="197">
        <f t="shared" si="0"/>
        <v>-57064.041589999964</v>
      </c>
    </row>
    <row r="23" spans="1:11" s="39" customFormat="1" ht="20.100000000000001" customHeight="1">
      <c r="A23" s="39">
        <v>16</v>
      </c>
      <c r="B23" s="2863" t="s">
        <v>196</v>
      </c>
      <c r="C23" s="2864">
        <v>0</v>
      </c>
      <c r="D23" s="2864">
        <v>0</v>
      </c>
      <c r="E23" s="2864">
        <v>0</v>
      </c>
      <c r="F23" s="2864">
        <v>0</v>
      </c>
      <c r="G23" s="2864">
        <v>0</v>
      </c>
      <c r="H23" s="1702">
        <f t="shared" si="1"/>
        <v>0</v>
      </c>
      <c r="I23" s="78">
        <f>+'SRCC &amp; TC 2011 &amp; 12'!H24</f>
        <v>0</v>
      </c>
      <c r="J23" s="197">
        <f t="shared" si="0"/>
        <v>0</v>
      </c>
    </row>
    <row r="24" spans="1:11" s="39" customFormat="1" ht="20.100000000000001" customHeight="1">
      <c r="A24" s="39">
        <v>17</v>
      </c>
      <c r="B24" s="2863" t="s">
        <v>197</v>
      </c>
      <c r="C24" s="2864">
        <v>0</v>
      </c>
      <c r="D24" s="2864">
        <v>0</v>
      </c>
      <c r="E24" s="2864">
        <v>0</v>
      </c>
      <c r="F24" s="2864">
        <v>0</v>
      </c>
      <c r="G24" s="2864">
        <v>0</v>
      </c>
      <c r="H24" s="1702">
        <f t="shared" si="1"/>
        <v>0</v>
      </c>
      <c r="I24" s="78">
        <f>+'SRCC &amp; TC 2011 &amp; 12'!H25</f>
        <v>106965</v>
      </c>
      <c r="J24" s="197">
        <f t="shared" si="0"/>
        <v>106965</v>
      </c>
    </row>
    <row r="25" spans="1:11" s="39" customFormat="1" ht="20.100000000000001" customHeight="1">
      <c r="A25" s="39">
        <v>18</v>
      </c>
      <c r="B25" s="2863" t="s">
        <v>193</v>
      </c>
      <c r="C25" s="2864">
        <v>0</v>
      </c>
      <c r="D25" s="2864">
        <v>0</v>
      </c>
      <c r="E25" s="2864">
        <v>0</v>
      </c>
      <c r="F25" s="2864">
        <v>0</v>
      </c>
      <c r="G25" s="2864">
        <v>0</v>
      </c>
      <c r="H25" s="1702">
        <f t="shared" si="1"/>
        <v>0</v>
      </c>
      <c r="I25" s="78">
        <f>+'SRCC &amp; TC 2011 &amp; 12'!H26</f>
        <v>4077.8139401574399</v>
      </c>
      <c r="J25" s="197">
        <f t="shared" si="0"/>
        <v>4077.8139401574399</v>
      </c>
    </row>
    <row r="26" spans="1:11" s="39" customFormat="1" ht="20.100000000000001" customHeight="1" thickBot="1">
      <c r="B26" s="2865" t="s">
        <v>118</v>
      </c>
      <c r="C26" s="269">
        <f>SUM(C8:C25)</f>
        <v>-310092.10131416377</v>
      </c>
      <c r="D26" s="269">
        <f>SUM(D8:D25)</f>
        <v>-8691.4015920000002</v>
      </c>
      <c r="E26" s="269">
        <f>SUM(E8:E25)</f>
        <v>-2869.4290599999999</v>
      </c>
      <c r="F26" s="269">
        <f>SUM(F8:F25)</f>
        <v>-1708.6523404500001</v>
      </c>
      <c r="G26" s="269">
        <f>SUM(G8:G25)</f>
        <v>-24217.490131500002</v>
      </c>
      <c r="H26" s="1706">
        <f>SUM(C26:G26)</f>
        <v>-347579.07443811372</v>
      </c>
      <c r="I26" s="270">
        <f>+'SRCC &amp; TC 2011 &amp; 12'!H28</f>
        <v>936990.02556615672</v>
      </c>
      <c r="J26" s="271">
        <f>+H26+I26</f>
        <v>589410.951128043</v>
      </c>
    </row>
    <row r="27" spans="1:11" ht="15" thickTop="1">
      <c r="B27" s="6"/>
      <c r="C27" s="266"/>
      <c r="D27" s="266"/>
      <c r="E27" s="266"/>
      <c r="F27" s="266"/>
      <c r="G27" s="267"/>
      <c r="H27" s="186"/>
      <c r="J27" s="14"/>
      <c r="K27" s="14"/>
    </row>
    <row r="28" spans="1:11">
      <c r="C28" s="186"/>
      <c r="D28" s="186"/>
      <c r="E28" s="186"/>
      <c r="F28" s="186"/>
      <c r="G28" s="186"/>
      <c r="H28" s="186"/>
      <c r="I28" s="14"/>
    </row>
    <row r="29" spans="1:11">
      <c r="B29" s="30" t="s">
        <v>840</v>
      </c>
      <c r="C29" s="268"/>
      <c r="D29" s="268"/>
      <c r="E29" s="268"/>
      <c r="F29" s="268"/>
      <c r="G29" s="268"/>
      <c r="H29" s="186"/>
    </row>
    <row r="30" spans="1:11">
      <c r="B30" s="3581" t="s">
        <v>84</v>
      </c>
      <c r="C30" s="3671">
        <v>2011</v>
      </c>
      <c r="D30" s="3672"/>
      <c r="E30" s="3672"/>
      <c r="F30" s="3672"/>
      <c r="G30" s="3673"/>
      <c r="H30" s="186"/>
    </row>
    <row r="31" spans="1:11">
      <c r="B31" s="3582"/>
      <c r="C31" s="3674" t="s">
        <v>436</v>
      </c>
      <c r="D31" s="3674" t="s">
        <v>437</v>
      </c>
      <c r="E31" s="3674" t="s">
        <v>438</v>
      </c>
      <c r="F31" s="3669" t="s">
        <v>722</v>
      </c>
      <c r="G31" s="3669" t="s">
        <v>835</v>
      </c>
      <c r="H31" s="3678" t="s">
        <v>118</v>
      </c>
      <c r="I31" s="3676" t="s">
        <v>841</v>
      </c>
      <c r="J31" s="3677" t="s">
        <v>842</v>
      </c>
    </row>
    <row r="32" spans="1:11">
      <c r="B32" s="3583"/>
      <c r="C32" s="3675"/>
      <c r="D32" s="3675"/>
      <c r="E32" s="3675"/>
      <c r="F32" s="3670"/>
      <c r="G32" s="3670"/>
      <c r="H32" s="3678"/>
      <c r="I32" s="3676"/>
      <c r="J32" s="3677"/>
    </row>
    <row r="33" spans="1:10" s="39" customFormat="1" ht="20.100000000000001" customHeight="1">
      <c r="A33" s="39">
        <v>1</v>
      </c>
      <c r="B33" s="2863" t="s">
        <v>177</v>
      </c>
      <c r="C33" s="2864">
        <f>+'[15]Sheet 2 - General Insurance'!$C$118</f>
        <v>-5893.5947500000002</v>
      </c>
      <c r="D33" s="2864">
        <f>+'[15]Sheet 2 - General Insurance'!$D$118</f>
        <v>-44.42</v>
      </c>
      <c r="E33" s="2864"/>
      <c r="F33" s="2864"/>
      <c r="G33" s="2864">
        <f>+'[15]Sheet 2 - General Insurance'!$G$118</f>
        <v>-1338.64975</v>
      </c>
      <c r="H33" s="1702">
        <f t="shared" ref="H33:H50" si="2">SUM(C33:G33)</f>
        <v>-7276.6645000000008</v>
      </c>
      <c r="I33" s="78">
        <f>+'SRCC &amp; TC 2011 &amp; 12'!H35</f>
        <v>-38629.1253</v>
      </c>
      <c r="J33" s="197">
        <f>+H33+I33</f>
        <v>-45905.789799999999</v>
      </c>
    </row>
    <row r="34" spans="1:10" s="39" customFormat="1" ht="20.100000000000001" customHeight="1">
      <c r="A34" s="39">
        <v>2</v>
      </c>
      <c r="B34" s="2863" t="s">
        <v>179</v>
      </c>
      <c r="C34" s="2864">
        <f>+'[13]Sheet 2 - General Insurance'!$C$117</f>
        <v>-9781</v>
      </c>
      <c r="D34" s="2864"/>
      <c r="E34" s="2864"/>
      <c r="F34" s="2864"/>
      <c r="G34" s="2864">
        <f>+'[13]Sheet 2 - General Insurance'!$G$117</f>
        <v>-1056</v>
      </c>
      <c r="H34" s="1702">
        <f>SUM(C34:G34)</f>
        <v>-10837</v>
      </c>
      <c r="I34" s="78">
        <f>+'SRCC &amp; TC 2011 &amp; 12'!H36</f>
        <v>-111057</v>
      </c>
      <c r="J34" s="197">
        <f t="shared" ref="J34:J50" si="3">+H34+I34</f>
        <v>-121894</v>
      </c>
    </row>
    <row r="35" spans="1:10" s="39" customFormat="1" ht="20.100000000000001" customHeight="1">
      <c r="A35" s="39">
        <v>3</v>
      </c>
      <c r="B35" s="2863" t="s">
        <v>181</v>
      </c>
      <c r="C35" s="2864">
        <f>+'[12]Sheet 2 - General Insurance'!$C$118</f>
        <v>-17205.777390000003</v>
      </c>
      <c r="D35" s="2864"/>
      <c r="E35" s="2864"/>
      <c r="F35" s="2864"/>
      <c r="G35" s="2864">
        <f>+'[12]Sheet 2 - General Insurance'!$G$118</f>
        <v>-15002.819690000006</v>
      </c>
      <c r="H35" s="1702">
        <f t="shared" si="2"/>
        <v>-32208.597080000007</v>
      </c>
      <c r="I35" s="78">
        <f>+'SRCC &amp; TC 2011 &amp; 12'!H37</f>
        <v>-203337.60295999993</v>
      </c>
      <c r="J35" s="197">
        <f t="shared" si="3"/>
        <v>-235546.20003999994</v>
      </c>
    </row>
    <row r="36" spans="1:10" s="39" customFormat="1" ht="20.100000000000001" customHeight="1">
      <c r="A36" s="39">
        <v>4</v>
      </c>
      <c r="B36" s="2863" t="s">
        <v>182</v>
      </c>
      <c r="C36" s="2864">
        <f>+'[14]Sheet 2 - General Insurance'!$C$117</f>
        <v>-404.3</v>
      </c>
      <c r="D36" s="2864">
        <f>+'[14]Sheet 2 - General Insurance'!$D$117</f>
        <v>-94.7</v>
      </c>
      <c r="E36" s="2864">
        <f>+'[14]Sheet 2 - General Insurance'!$E$117</f>
        <v>-456.6</v>
      </c>
      <c r="F36" s="2864"/>
      <c r="G36" s="2864">
        <f>+'[14]Sheet 2 - General Insurance'!$G$117</f>
        <v>-1867.1000000000001</v>
      </c>
      <c r="H36" s="1702">
        <f t="shared" si="2"/>
        <v>-2822.7000000000003</v>
      </c>
      <c r="I36" s="78">
        <f>+'SRCC &amp; TC 2011 &amp; 12'!H38</f>
        <v>-45723.500000000007</v>
      </c>
      <c r="J36" s="197">
        <f t="shared" si="3"/>
        <v>-48546.200000000004</v>
      </c>
    </row>
    <row r="37" spans="1:10" s="39" customFormat="1" ht="20.100000000000001" customHeight="1">
      <c r="A37" s="39">
        <v>5</v>
      </c>
      <c r="B37" s="2863" t="s">
        <v>183</v>
      </c>
      <c r="C37" s="2864">
        <v>0</v>
      </c>
      <c r="D37" s="2864">
        <v>0</v>
      </c>
      <c r="E37" s="2864">
        <v>0</v>
      </c>
      <c r="F37" s="2864">
        <v>0</v>
      </c>
      <c r="G37" s="2864">
        <v>0</v>
      </c>
      <c r="H37" s="1702">
        <f t="shared" si="2"/>
        <v>0</v>
      </c>
      <c r="I37" s="78">
        <f>+'SRCC &amp; TC 2011 &amp; 12'!H39</f>
        <v>-32888.35727</v>
      </c>
      <c r="J37" s="197">
        <f t="shared" si="3"/>
        <v>-32888.35727</v>
      </c>
    </row>
    <row r="38" spans="1:10" s="39" customFormat="1" ht="20.100000000000001" customHeight="1">
      <c r="A38" s="39">
        <v>6</v>
      </c>
      <c r="B38" s="2863" t="s">
        <v>184</v>
      </c>
      <c r="C38" s="2864">
        <f>-'[41]Sheet 2 - General Insurance'!$C$117</f>
        <v>-31660.61298726725</v>
      </c>
      <c r="D38" s="2864"/>
      <c r="E38" s="2864"/>
      <c r="F38" s="2864">
        <f>-'[41]Sheet 2 - General Insurance'!$F$117</f>
        <v>-1151.3513294933514</v>
      </c>
      <c r="G38" s="2864">
        <f>-'[41]Sheet 2 - General Insurance'!$G$117</f>
        <v>-4245.693793966002</v>
      </c>
      <c r="H38" s="1702">
        <f>SUM(C38:G38)</f>
        <v>-37057.65811072661</v>
      </c>
      <c r="I38" s="78">
        <f>+'SRCC &amp; TC 2011 &amp; 12'!H40</f>
        <v>-39866.699327400071</v>
      </c>
      <c r="J38" s="197">
        <f t="shared" si="3"/>
        <v>-76924.357438126681</v>
      </c>
    </row>
    <row r="39" spans="1:10" s="39" customFormat="1" ht="20.100000000000001" customHeight="1">
      <c r="A39" s="39">
        <v>7</v>
      </c>
      <c r="B39" s="2863" t="s">
        <v>185</v>
      </c>
      <c r="C39" s="2864">
        <f>-'[16]Sheet 2 - General Insurance'!$C$156</f>
        <v>-15485</v>
      </c>
      <c r="D39" s="2864">
        <f>-'[16]Sheet 2 - General Insurance'!$D$156</f>
        <v>-88</v>
      </c>
      <c r="E39" s="2864">
        <f>-'[16]Sheet 2 - General Insurance'!$E$156</f>
        <v>-118</v>
      </c>
      <c r="F39" s="2864">
        <f>-'[16]Sheet 2 - General Insurance'!$F$156</f>
        <v>0</v>
      </c>
      <c r="G39" s="2864">
        <f>-'[16]Sheet 2 - General Insurance'!$G$156</f>
        <v>-1887</v>
      </c>
      <c r="H39" s="1702">
        <f t="shared" si="2"/>
        <v>-17578</v>
      </c>
      <c r="I39" s="78">
        <f>+'SRCC &amp; TC 2011 &amp; 12'!H41</f>
        <v>-464692</v>
      </c>
      <c r="J39" s="197">
        <f t="shared" si="3"/>
        <v>-482270</v>
      </c>
    </row>
    <row r="40" spans="1:10" s="39" customFormat="1" ht="20.100000000000001" customHeight="1">
      <c r="A40" s="39">
        <v>8</v>
      </c>
      <c r="B40" s="2863" t="s">
        <v>186</v>
      </c>
      <c r="C40" s="2864"/>
      <c r="D40" s="2864"/>
      <c r="E40" s="2864"/>
      <c r="F40" s="2864"/>
      <c r="G40" s="2864"/>
      <c r="H40" s="1702">
        <f t="shared" si="2"/>
        <v>0</v>
      </c>
      <c r="I40" s="78">
        <f>+'SRCC &amp; TC 2011 &amp; 12'!H42</f>
        <v>-15256.22465</v>
      </c>
      <c r="J40" s="197">
        <f t="shared" si="3"/>
        <v>-15256.22465</v>
      </c>
    </row>
    <row r="41" spans="1:10" s="39" customFormat="1" ht="20.100000000000001" customHeight="1">
      <c r="A41" s="39">
        <v>9</v>
      </c>
      <c r="B41" s="2863" t="s">
        <v>187</v>
      </c>
      <c r="C41" s="2864"/>
      <c r="D41" s="2864"/>
      <c r="E41" s="2864"/>
      <c r="F41" s="2864"/>
      <c r="G41" s="2864"/>
      <c r="H41" s="1702">
        <f t="shared" si="2"/>
        <v>0</v>
      </c>
      <c r="I41" s="78">
        <f>+'SRCC &amp; TC 2011 &amp; 12'!H43</f>
        <v>0</v>
      </c>
      <c r="J41" s="197">
        <f t="shared" si="3"/>
        <v>0</v>
      </c>
    </row>
    <row r="42" spans="1:10" s="39" customFormat="1" ht="20.100000000000001" customHeight="1">
      <c r="A42" s="39">
        <v>10</v>
      </c>
      <c r="B42" s="2863" t="s">
        <v>188</v>
      </c>
      <c r="C42" s="2864">
        <v>0</v>
      </c>
      <c r="D42" s="2864">
        <v>0</v>
      </c>
      <c r="E42" s="2864">
        <v>0</v>
      </c>
      <c r="F42" s="2864">
        <v>0</v>
      </c>
      <c r="G42" s="2864">
        <v>0</v>
      </c>
      <c r="H42" s="1702">
        <f t="shared" si="2"/>
        <v>0</v>
      </c>
      <c r="I42" s="78">
        <f>+'SRCC &amp; TC 2011 &amp; 12'!H44</f>
        <v>-70513.827390000006</v>
      </c>
      <c r="J42" s="197">
        <f t="shared" si="3"/>
        <v>-70513.827390000006</v>
      </c>
    </row>
    <row r="43" spans="1:10" s="39" customFormat="1" ht="20.100000000000001" customHeight="1">
      <c r="A43" s="39">
        <v>11</v>
      </c>
      <c r="B43" s="2863" t="s">
        <v>189</v>
      </c>
      <c r="C43" s="2864"/>
      <c r="D43" s="2864"/>
      <c r="E43" s="2864"/>
      <c r="F43" s="2864"/>
      <c r="G43" s="2864"/>
      <c r="H43" s="1702">
        <f t="shared" si="2"/>
        <v>0</v>
      </c>
      <c r="I43" s="78">
        <f>+'SRCC &amp; TC 2011 &amp; 12'!H45</f>
        <v>-170203.21254000004</v>
      </c>
      <c r="J43" s="197">
        <f t="shared" si="3"/>
        <v>-170203.21254000004</v>
      </c>
    </row>
    <row r="44" spans="1:10" s="39" customFormat="1" ht="20.100000000000001" customHeight="1">
      <c r="A44" s="39">
        <v>12</v>
      </c>
      <c r="B44" s="2863" t="s">
        <v>192</v>
      </c>
      <c r="C44" s="2864">
        <v>0</v>
      </c>
      <c r="D44" s="2864">
        <v>0</v>
      </c>
      <c r="E44" s="2864">
        <v>0</v>
      </c>
      <c r="F44" s="2864">
        <v>0</v>
      </c>
      <c r="G44" s="2864">
        <v>0</v>
      </c>
      <c r="H44" s="1702">
        <f t="shared" si="2"/>
        <v>0</v>
      </c>
      <c r="I44" s="78">
        <f>+'SRCC &amp; TC 2011 &amp; 12'!H46</f>
        <v>-43233.137620000001</v>
      </c>
      <c r="J44" s="197">
        <f t="shared" si="3"/>
        <v>-43233.137620000001</v>
      </c>
    </row>
    <row r="45" spans="1:10" s="39" customFormat="1" ht="20.100000000000001" customHeight="1">
      <c r="A45" s="39">
        <v>14</v>
      </c>
      <c r="B45" s="2863" t="s">
        <v>191</v>
      </c>
      <c r="C45" s="2864"/>
      <c r="D45" s="2864"/>
      <c r="E45" s="2864"/>
      <c r="F45" s="2864"/>
      <c r="G45" s="2864"/>
      <c r="H45" s="1702">
        <f t="shared" si="2"/>
        <v>0</v>
      </c>
      <c r="I45" s="78">
        <f>+'SRCC &amp; TC 2011 &amp; 12'!H48</f>
        <v>0</v>
      </c>
      <c r="J45" s="197">
        <f t="shared" si="3"/>
        <v>0</v>
      </c>
    </row>
    <row r="46" spans="1:10" s="39" customFormat="1" ht="20.100000000000001" customHeight="1">
      <c r="A46" s="39">
        <v>15</v>
      </c>
      <c r="B46" s="2863" t="s">
        <v>194</v>
      </c>
      <c r="C46" s="2864">
        <f>+'[44]Sheet 2 - General Insurance'!$C$120</f>
        <v>-909</v>
      </c>
      <c r="D46" s="2864">
        <v>0</v>
      </c>
      <c r="E46" s="2864">
        <v>0</v>
      </c>
      <c r="F46" s="2864">
        <v>0</v>
      </c>
      <c r="G46" s="2864">
        <v>0</v>
      </c>
      <c r="H46" s="1702">
        <f t="shared" si="2"/>
        <v>-909</v>
      </c>
      <c r="I46" s="78">
        <f>+'SRCC &amp; TC 2011 &amp; 12'!H49</f>
        <v>-129301</v>
      </c>
      <c r="J46" s="197">
        <f t="shared" si="3"/>
        <v>-130210</v>
      </c>
    </row>
    <row r="47" spans="1:10" s="39" customFormat="1" ht="20.100000000000001" customHeight="1">
      <c r="A47" s="39">
        <v>16</v>
      </c>
      <c r="B47" s="2863" t="s">
        <v>195</v>
      </c>
      <c r="C47" s="2864">
        <f>+'[20]Sheet 2 - General Insurance'!$C$118</f>
        <v>-91085</v>
      </c>
      <c r="D47" s="2864"/>
      <c r="E47" s="2864"/>
      <c r="F47" s="2864"/>
      <c r="G47" s="2864">
        <f>+'[20]Sheet 2 - General Insurance'!$G$118</f>
        <v>-16526</v>
      </c>
      <c r="H47" s="1702">
        <f t="shared" si="2"/>
        <v>-107611</v>
      </c>
      <c r="I47" s="78">
        <f>+'SRCC &amp; TC 2011 &amp; 12'!H50</f>
        <v>-379925</v>
      </c>
      <c r="J47" s="197">
        <f t="shared" si="3"/>
        <v>-487536</v>
      </c>
    </row>
    <row r="48" spans="1:10" s="39" customFormat="1" ht="20.100000000000001" customHeight="1">
      <c r="A48" s="39">
        <v>17</v>
      </c>
      <c r="B48" s="2863" t="s">
        <v>196</v>
      </c>
      <c r="C48" s="2864">
        <v>0</v>
      </c>
      <c r="D48" s="2864">
        <v>0</v>
      </c>
      <c r="E48" s="2864">
        <v>0</v>
      </c>
      <c r="F48" s="2864">
        <v>0</v>
      </c>
      <c r="G48" s="2864">
        <v>0</v>
      </c>
      <c r="H48" s="1702">
        <f t="shared" si="2"/>
        <v>0</v>
      </c>
      <c r="I48" s="78">
        <f>+'SRCC &amp; TC 2011 &amp; 12'!H51</f>
        <v>0</v>
      </c>
      <c r="J48" s="197">
        <f t="shared" si="3"/>
        <v>0</v>
      </c>
    </row>
    <row r="49" spans="1:10" s="39" customFormat="1" ht="20.100000000000001" customHeight="1">
      <c r="A49" s="39">
        <v>18</v>
      </c>
      <c r="B49" s="2863" t="s">
        <v>197</v>
      </c>
      <c r="C49" s="2864">
        <v>0</v>
      </c>
      <c r="D49" s="2864">
        <v>0</v>
      </c>
      <c r="E49" s="2864">
        <v>0</v>
      </c>
      <c r="F49" s="2864">
        <v>0</v>
      </c>
      <c r="G49" s="2864">
        <v>0</v>
      </c>
      <c r="H49" s="1702">
        <f t="shared" si="2"/>
        <v>0</v>
      </c>
      <c r="I49" s="78">
        <f>+'SRCC &amp; TC 2011 &amp; 12'!H52</f>
        <v>-205106</v>
      </c>
      <c r="J49" s="197">
        <f t="shared" si="3"/>
        <v>-205106</v>
      </c>
    </row>
    <row r="50" spans="1:10" s="39" customFormat="1" ht="20.100000000000001" customHeight="1">
      <c r="A50" s="39">
        <v>19</v>
      </c>
      <c r="B50" s="2863" t="s">
        <v>193</v>
      </c>
      <c r="C50" s="2864">
        <v>0</v>
      </c>
      <c r="D50" s="2864">
        <v>0</v>
      </c>
      <c r="E50" s="2864">
        <v>0</v>
      </c>
      <c r="F50" s="2864">
        <v>0</v>
      </c>
      <c r="G50" s="2864">
        <v>0</v>
      </c>
      <c r="H50" s="1702">
        <f t="shared" si="2"/>
        <v>0</v>
      </c>
      <c r="I50" s="78">
        <f>+'SRCC &amp; TC 2011 &amp; 12'!H53</f>
        <v>-72.134439999999998</v>
      </c>
      <c r="J50" s="197">
        <f t="shared" si="3"/>
        <v>-72.134439999999998</v>
      </c>
    </row>
    <row r="51" spans="1:10" s="39" customFormat="1" ht="20.100000000000001" customHeight="1" thickBot="1">
      <c r="B51" s="2865" t="s">
        <v>118</v>
      </c>
      <c r="C51" s="269">
        <f>SUM(C33:C50)</f>
        <v>-172424.28512726724</v>
      </c>
      <c r="D51" s="269">
        <f>SUM(D33:D50)</f>
        <v>-227.12</v>
      </c>
      <c r="E51" s="269">
        <f>SUM(E33:E50)</f>
        <v>-574.6</v>
      </c>
      <c r="F51" s="269">
        <f>SUM(F33:F50)</f>
        <v>-1151.3513294933514</v>
      </c>
      <c r="G51" s="269">
        <f>SUM(G33:G50)</f>
        <v>-41923.263233966005</v>
      </c>
      <c r="H51" s="1706">
        <f>SUM(C51:G51)</f>
        <v>-216300.61969072663</v>
      </c>
      <c r="I51" s="270">
        <f>+'SRCC &amp; TC 2011 &amp; 12'!H55</f>
        <v>-1949804.8214974001</v>
      </c>
      <c r="J51" s="271">
        <f>+H51+I51</f>
        <v>-2166105.4411881268</v>
      </c>
    </row>
    <row r="52" spans="1:10" ht="15" thickTop="1"/>
  </sheetData>
  <customSheetViews>
    <customSheetView guid="{2ACFE167-4169-43A6-9AB2-59D5A2DA2DB4}" showPageBreaks="1" printArea="1" state="hidden">
      <pane xSplit="2" ySplit="7" topLeftCell="C17" activePane="bottomRight" state="frozen"/>
      <selection pane="bottomRight" activeCell="E17" sqref="E17"/>
      <colBreaks count="1" manualBreakCount="1">
        <brk id="10" max="1048575" man="1"/>
      </colBreaks>
      <pageMargins left="0" right="0" top="0" bottom="0" header="0" footer="0"/>
      <pageSetup scale="64" orientation="portrait" r:id="rId1"/>
    </customSheetView>
    <customSheetView guid="{967E0446-E234-427F-8E57-7FE287052E2E}" showPageBreaks="1" printArea="1" state="hidden">
      <pane xSplit="2" ySplit="7" topLeftCell="C17" activePane="bottomRight" state="frozen"/>
      <selection pane="bottomRight" activeCell="E17" sqref="E17"/>
      <colBreaks count="1" manualBreakCount="1">
        <brk id="10" max="1048575" man="1"/>
      </colBreaks>
      <pageMargins left="0" right="0" top="0" bottom="0" header="0" footer="0"/>
      <pageSetup scale="64" orientation="portrait" r:id="rId2"/>
    </customSheetView>
    <customSheetView guid="{B2E1A0C6-5BA1-4CF1-B412-16D81FCDF11F}" showPageBreaks="1" printArea="1" state="hidden">
      <pane xSplit="2" ySplit="7" topLeftCell="C17" activePane="bottomRight" state="frozen"/>
      <selection pane="bottomRight" activeCell="E17" sqref="E17"/>
      <colBreaks count="1" manualBreakCount="1">
        <brk id="10" max="1048575" man="1"/>
      </colBreaks>
      <pageMargins left="0" right="0" top="0" bottom="0" header="0" footer="0"/>
      <pageSetup scale="64" orientation="portrait" r:id="rId3"/>
    </customSheetView>
    <customSheetView guid="{46F31544-8E6F-41C5-8628-1D6EE074AF15}" state="hidden">
      <pane xSplit="2" ySplit="7" topLeftCell="C17" activePane="bottomRight" state="frozen"/>
      <selection pane="bottomRight" activeCell="E17" sqref="E17"/>
      <colBreaks count="1" manualBreakCount="1">
        <brk id="10" max="1048575" man="1"/>
      </colBreaks>
      <pageMargins left="0" right="0" top="0" bottom="0" header="0" footer="0"/>
      <pageSetup scale="64" orientation="portrait" r:id="rId4"/>
    </customSheetView>
    <customSheetView guid="{E82B35BE-4719-4C53-A9EF-1CC6F153A6F3}" showPageBreaks="1" printArea="1" state="hidden">
      <pane xSplit="2" ySplit="7" topLeftCell="C17" activePane="bottomRight" state="frozen"/>
      <selection pane="bottomRight" activeCell="E17" sqref="E17"/>
      <colBreaks count="1" manualBreakCount="1">
        <brk id="10" max="1048575" man="1"/>
      </colBreaks>
      <pageMargins left="0" right="0" top="0" bottom="0" header="0" footer="0"/>
      <pageSetup scale="64" orientation="portrait" r:id="rId5"/>
    </customSheetView>
    <customSheetView guid="{B1E1B596-A9A1-411D-A882-A48CB025B978}" showPageBreaks="1" printArea="1" state="hidden">
      <pane xSplit="2" ySplit="7" topLeftCell="C17" activePane="bottomRight" state="frozen"/>
      <selection pane="bottomRight" activeCell="E17" sqref="E17"/>
      <colBreaks count="1" manualBreakCount="1">
        <brk id="10" max="1048575" man="1"/>
      </colBreaks>
      <pageMargins left="0" right="0" top="0" bottom="0" header="0" footer="0"/>
      <pageSetup scale="64" orientation="portrait" r:id="rId6"/>
    </customSheetView>
    <customSheetView guid="{5E394B0B-7867-4722-9497-A93AB2A9A773}" showPageBreaks="1" printArea="1" state="hidden">
      <pane xSplit="2" ySplit="7" topLeftCell="C17" activePane="bottomRight" state="frozen"/>
      <selection pane="bottomRight" activeCell="E17" sqref="E17"/>
      <colBreaks count="1" manualBreakCount="1">
        <brk id="10" max="1048575" man="1"/>
      </colBreaks>
      <pageMargins left="0" right="0" top="0" bottom="0" header="0" footer="0"/>
      <pageSetup scale="64" orientation="portrait" r:id="rId7"/>
    </customSheetView>
  </customSheetViews>
  <mergeCells count="20">
    <mergeCell ref="I6:I7"/>
    <mergeCell ref="J6:J7"/>
    <mergeCell ref="H31:H32"/>
    <mergeCell ref="I31:I32"/>
    <mergeCell ref="J31:J32"/>
    <mergeCell ref="H6:H7"/>
    <mergeCell ref="B5:B7"/>
    <mergeCell ref="C5:G5"/>
    <mergeCell ref="C6:C7"/>
    <mergeCell ref="F31:F32"/>
    <mergeCell ref="G31:G32"/>
    <mergeCell ref="D6:D7"/>
    <mergeCell ref="E6:E7"/>
    <mergeCell ref="F6:F7"/>
    <mergeCell ref="G6:G7"/>
    <mergeCell ref="B30:B32"/>
    <mergeCell ref="C30:G30"/>
    <mergeCell ref="C31:C32"/>
    <mergeCell ref="D31:D32"/>
    <mergeCell ref="E31:E32"/>
  </mergeCells>
  <pageMargins left="0.82" right="0.7" top="0.75" bottom="0.75" header="0.3" footer="0.3"/>
  <pageSetup scale="64" orientation="portrait" r:id="rId8"/>
  <colBreaks count="1" manualBreakCount="1">
    <brk id="10" max="1048575" man="1"/>
  </col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Sheet8">
    <tabColor rgb="FFFFC000"/>
  </sheetPr>
  <dimension ref="A3:F193"/>
  <sheetViews>
    <sheetView workbookViewId="0">
      <selection activeCell="G36" sqref="G36:G37"/>
    </sheetView>
  </sheetViews>
  <sheetFormatPr defaultRowHeight="14.45"/>
  <cols>
    <col min="3" max="3" width="12.140625" bestFit="1" customWidth="1"/>
    <col min="4" max="4" width="38.42578125" customWidth="1"/>
    <col min="5" max="5" width="14.5703125" customWidth="1"/>
    <col min="6" max="6" width="14.7109375" customWidth="1"/>
  </cols>
  <sheetData>
    <row r="3" spans="1:6">
      <c r="D3" s="191" t="s">
        <v>843</v>
      </c>
      <c r="E3" s="54"/>
      <c r="F3" s="54"/>
    </row>
    <row r="4" spans="1:6">
      <c r="D4" s="192"/>
      <c r="E4" s="54"/>
      <c r="F4" s="54"/>
    </row>
    <row r="5" spans="1:6">
      <c r="D5" s="2866"/>
      <c r="E5" s="2867">
        <v>2009</v>
      </c>
      <c r="F5" s="2867">
        <v>2008</v>
      </c>
    </row>
    <row r="6" spans="1:6">
      <c r="D6" s="2868" t="s">
        <v>452</v>
      </c>
      <c r="E6" s="2819">
        <f t="shared" ref="E6:F10" si="0">+E17+E27+E37+E47+E57+E67+E77+E87+E97+E107+E117+E127+E137+E147+E157+E167+E177+E187</f>
        <v>1653295.69484</v>
      </c>
      <c r="F6" s="2819">
        <f t="shared" si="0"/>
        <v>1641064.4322200001</v>
      </c>
    </row>
    <row r="7" spans="1:6">
      <c r="D7" s="2868" t="s">
        <v>453</v>
      </c>
      <c r="E7" s="2819">
        <f t="shared" si="0"/>
        <v>4416527</v>
      </c>
      <c r="F7" s="2819">
        <f t="shared" si="0"/>
        <v>4130833.19997</v>
      </c>
    </row>
    <row r="8" spans="1:6">
      <c r="D8" s="2868" t="s">
        <v>462</v>
      </c>
      <c r="E8" s="2819">
        <f t="shared" si="0"/>
        <v>6654833.0076299999</v>
      </c>
      <c r="F8" s="2819">
        <f t="shared" si="0"/>
        <v>6796892.2811399996</v>
      </c>
    </row>
    <row r="9" spans="1:6">
      <c r="D9" s="2868" t="s">
        <v>844</v>
      </c>
      <c r="E9" s="2819">
        <f t="shared" si="0"/>
        <v>133628.67611999999</v>
      </c>
      <c r="F9" s="2819">
        <f t="shared" si="0"/>
        <v>123278.78773</v>
      </c>
    </row>
    <row r="10" spans="1:6">
      <c r="D10" s="2868" t="s">
        <v>465</v>
      </c>
      <c r="E10" s="2819">
        <f t="shared" si="0"/>
        <v>48729.046999999999</v>
      </c>
      <c r="F10" s="2819">
        <f t="shared" si="0"/>
        <v>74769.225000000006</v>
      </c>
    </row>
    <row r="11" spans="1:6" ht="15" thickBot="1">
      <c r="D11" s="76" t="s">
        <v>118</v>
      </c>
      <c r="E11" s="84">
        <f>SUM(E6:E10)</f>
        <v>12907013.425590001</v>
      </c>
      <c r="F11" s="84">
        <f>SUM(F6:F10)</f>
        <v>12766837.92606</v>
      </c>
    </row>
    <row r="12" spans="1:6" ht="15" thickTop="1"/>
    <row r="13" spans="1:6">
      <c r="A13" s="43">
        <v>1</v>
      </c>
      <c r="B13" s="2677" t="s">
        <v>177</v>
      </c>
      <c r="C13" s="2678" t="s">
        <v>776</v>
      </c>
    </row>
    <row r="14" spans="1:6">
      <c r="D14" s="191" t="s">
        <v>843</v>
      </c>
      <c r="E14" s="54"/>
      <c r="F14" s="54"/>
    </row>
    <row r="15" spans="1:6">
      <c r="D15" s="192"/>
      <c r="E15" s="54"/>
      <c r="F15" s="54"/>
    </row>
    <row r="16" spans="1:6">
      <c r="D16" s="2866"/>
      <c r="E16" s="2867">
        <v>2009</v>
      </c>
      <c r="F16" s="2867">
        <v>2008</v>
      </c>
    </row>
    <row r="17" spans="1:6">
      <c r="D17" s="2868" t="s">
        <v>452</v>
      </c>
      <c r="E17" s="2819">
        <v>-8076</v>
      </c>
      <c r="F17" s="2819">
        <v>-10327</v>
      </c>
    </row>
    <row r="18" spans="1:6">
      <c r="D18" s="2868" t="s">
        <v>453</v>
      </c>
      <c r="E18" s="2819">
        <v>275552</v>
      </c>
      <c r="F18" s="2819">
        <v>183734</v>
      </c>
    </row>
    <row r="19" spans="1:6">
      <c r="D19" s="2868" t="s">
        <v>462</v>
      </c>
      <c r="E19" s="2819">
        <v>177633</v>
      </c>
      <c r="F19" s="2819">
        <v>157908</v>
      </c>
    </row>
    <row r="20" spans="1:6">
      <c r="D20" s="2868" t="s">
        <v>844</v>
      </c>
      <c r="E20" s="2819"/>
      <c r="F20" s="2819"/>
    </row>
    <row r="21" spans="1:6">
      <c r="D21" s="2868" t="s">
        <v>465</v>
      </c>
      <c r="E21" s="2819">
        <v>2615</v>
      </c>
      <c r="F21" s="2819">
        <v>367</v>
      </c>
    </row>
    <row r="22" spans="1:6" ht="15" thickBot="1">
      <c r="D22" s="76" t="s">
        <v>118</v>
      </c>
      <c r="E22" s="84">
        <f>SUM(E17:E21)</f>
        <v>447724</v>
      </c>
      <c r="F22" s="84">
        <f>SUM(F17:F21)</f>
        <v>331682</v>
      </c>
    </row>
    <row r="23" spans="1:6" ht="15" thickTop="1">
      <c r="A23" s="43">
        <v>2</v>
      </c>
      <c r="B23" s="2677" t="s">
        <v>179</v>
      </c>
      <c r="C23" s="2678" t="s">
        <v>777</v>
      </c>
    </row>
    <row r="24" spans="1:6">
      <c r="D24" s="191" t="s">
        <v>843</v>
      </c>
      <c r="E24" s="54"/>
      <c r="F24" s="54"/>
    </row>
    <row r="25" spans="1:6">
      <c r="D25" s="192"/>
      <c r="E25" s="54"/>
      <c r="F25" s="54"/>
    </row>
    <row r="26" spans="1:6">
      <c r="D26" s="2866"/>
      <c r="E26" s="2867">
        <v>2009</v>
      </c>
      <c r="F26" s="2867">
        <v>2008</v>
      </c>
    </row>
    <row r="27" spans="1:6">
      <c r="D27" s="2868" t="s">
        <v>452</v>
      </c>
      <c r="E27" s="2819">
        <v>-88096</v>
      </c>
      <c r="F27" s="2819">
        <v>-66090</v>
      </c>
    </row>
    <row r="28" spans="1:6">
      <c r="D28" s="2868" t="s">
        <v>453</v>
      </c>
      <c r="E28" s="2819"/>
      <c r="F28" s="2819"/>
    </row>
    <row r="29" spans="1:6">
      <c r="D29" s="2868" t="s">
        <v>462</v>
      </c>
      <c r="E29" s="2819">
        <v>139869</v>
      </c>
      <c r="F29" s="2819">
        <v>80854</v>
      </c>
    </row>
    <row r="30" spans="1:6">
      <c r="D30" s="2868" t="s">
        <v>844</v>
      </c>
      <c r="E30" s="2819"/>
      <c r="F30" s="2819"/>
    </row>
    <row r="31" spans="1:6">
      <c r="D31" s="2868" t="s">
        <v>465</v>
      </c>
      <c r="E31" s="2819"/>
      <c r="F31" s="2819"/>
    </row>
    <row r="32" spans="1:6" ht="15" thickBot="1">
      <c r="D32" s="76" t="s">
        <v>118</v>
      </c>
      <c r="E32" s="84">
        <f>SUM(E27:E31)</f>
        <v>51773</v>
      </c>
      <c r="F32" s="84">
        <f>SUM(F27:F31)</f>
        <v>14764</v>
      </c>
    </row>
    <row r="33" spans="1:6" ht="15" thickTop="1">
      <c r="A33" s="43">
        <v>3</v>
      </c>
      <c r="B33" s="2677" t="s">
        <v>181</v>
      </c>
      <c r="C33" s="2678" t="s">
        <v>778</v>
      </c>
    </row>
    <row r="34" spans="1:6">
      <c r="D34" s="191" t="s">
        <v>843</v>
      </c>
      <c r="E34" s="54"/>
      <c r="F34" s="54"/>
    </row>
    <row r="35" spans="1:6">
      <c r="D35" s="192"/>
      <c r="E35" s="54"/>
      <c r="F35" s="54"/>
    </row>
    <row r="36" spans="1:6">
      <c r="D36" s="2866"/>
      <c r="E36" s="2867">
        <v>2009</v>
      </c>
      <c r="F36" s="2867">
        <v>2008</v>
      </c>
    </row>
    <row r="37" spans="1:6">
      <c r="D37" s="2868" t="s">
        <v>452</v>
      </c>
      <c r="E37" s="2700">
        <v>-13423</v>
      </c>
      <c r="F37" s="2700">
        <v>-14347</v>
      </c>
    </row>
    <row r="38" spans="1:6">
      <c r="D38" s="2868" t="s">
        <v>453</v>
      </c>
      <c r="E38" s="2700">
        <v>463208</v>
      </c>
      <c r="F38" s="2700">
        <v>395158</v>
      </c>
    </row>
    <row r="39" spans="1:6">
      <c r="D39" s="2868" t="s">
        <v>462</v>
      </c>
      <c r="E39" s="2700">
        <v>5381</v>
      </c>
      <c r="F39" s="2700">
        <v>3059</v>
      </c>
    </row>
    <row r="40" spans="1:6">
      <c r="D40" s="2868" t="s">
        <v>844</v>
      </c>
      <c r="E40" s="2700"/>
      <c r="F40" s="2700"/>
    </row>
    <row r="41" spans="1:6">
      <c r="D41" s="2868" t="s">
        <v>465</v>
      </c>
      <c r="E41" s="2700">
        <v>0</v>
      </c>
      <c r="F41" s="2700">
        <v>0</v>
      </c>
    </row>
    <row r="42" spans="1:6" ht="15" thickBot="1">
      <c r="D42" s="76" t="s">
        <v>118</v>
      </c>
      <c r="E42" s="84">
        <f>SUM(E37:E41)</f>
        <v>455166</v>
      </c>
      <c r="F42" s="84">
        <f>SUM(F37:F41)</f>
        <v>383870</v>
      </c>
    </row>
    <row r="43" spans="1:6" ht="15" thickTop="1">
      <c r="A43" s="43">
        <v>4</v>
      </c>
      <c r="B43" s="2677" t="s">
        <v>182</v>
      </c>
      <c r="C43" s="2678" t="s">
        <v>126</v>
      </c>
    </row>
    <row r="44" spans="1:6">
      <c r="D44" s="191" t="s">
        <v>843</v>
      </c>
      <c r="E44" s="54"/>
      <c r="F44" s="54"/>
    </row>
    <row r="45" spans="1:6">
      <c r="D45" s="192"/>
      <c r="E45" s="54"/>
      <c r="F45" s="54"/>
    </row>
    <row r="46" spans="1:6">
      <c r="D46" s="2866"/>
      <c r="E46" s="2867">
        <v>2009</v>
      </c>
      <c r="F46" s="2867">
        <v>2008</v>
      </c>
    </row>
    <row r="47" spans="1:6">
      <c r="D47" s="2868" t="s">
        <v>452</v>
      </c>
      <c r="E47" s="2819">
        <v>422598.59</v>
      </c>
      <c r="F47" s="2819">
        <v>328240.24</v>
      </c>
    </row>
    <row r="48" spans="1:6">
      <c r="D48" s="2868" t="s">
        <v>453</v>
      </c>
      <c r="E48" s="2819">
        <v>0</v>
      </c>
      <c r="F48" s="2819">
        <v>0</v>
      </c>
    </row>
    <row r="49" spans="1:6">
      <c r="D49" s="2868" t="s">
        <v>462</v>
      </c>
      <c r="E49" s="2819">
        <v>324833.15599999996</v>
      </c>
      <c r="F49" s="2819">
        <v>373763.32399999996</v>
      </c>
    </row>
    <row r="50" spans="1:6">
      <c r="D50" s="2868" t="s">
        <v>844</v>
      </c>
      <c r="E50" s="2819">
        <v>2484.8500000000004</v>
      </c>
      <c r="F50" s="2819">
        <v>2282.23</v>
      </c>
    </row>
    <row r="51" spans="1:6">
      <c r="D51" s="2868" t="s">
        <v>465</v>
      </c>
      <c r="E51" s="2819">
        <v>1581.547</v>
      </c>
      <c r="F51" s="2819">
        <v>1450</v>
      </c>
    </row>
    <row r="52" spans="1:6" ht="15" thickBot="1">
      <c r="D52" s="76" t="s">
        <v>118</v>
      </c>
      <c r="E52" s="84">
        <f>SUM(E47:E51)</f>
        <v>751498.14300000004</v>
      </c>
      <c r="F52" s="84">
        <f>SUM(F47:F51)</f>
        <v>705735.79399999999</v>
      </c>
    </row>
    <row r="53" spans="1:6" ht="15" thickTop="1">
      <c r="A53" s="43">
        <v>5</v>
      </c>
      <c r="B53" s="2677" t="s">
        <v>183</v>
      </c>
      <c r="C53" s="2678" t="s">
        <v>127</v>
      </c>
    </row>
    <row r="54" spans="1:6">
      <c r="D54" s="191" t="s">
        <v>843</v>
      </c>
      <c r="E54" s="54"/>
      <c r="F54" s="54"/>
    </row>
    <row r="55" spans="1:6">
      <c r="D55" s="192"/>
      <c r="E55" s="54"/>
      <c r="F55" s="54"/>
    </row>
    <row r="56" spans="1:6">
      <c r="D56" s="2866"/>
      <c r="E56" s="2867">
        <v>2009</v>
      </c>
      <c r="F56" s="2867">
        <v>2008</v>
      </c>
    </row>
    <row r="57" spans="1:6">
      <c r="D57" s="2868" t="s">
        <v>452</v>
      </c>
      <c r="E57" s="2819">
        <v>-23937</v>
      </c>
      <c r="F57" s="2819">
        <v>-24377</v>
      </c>
    </row>
    <row r="58" spans="1:6">
      <c r="D58" s="2868" t="s">
        <v>453</v>
      </c>
      <c r="E58" s="2819">
        <v>0</v>
      </c>
      <c r="F58" s="2819">
        <v>0</v>
      </c>
    </row>
    <row r="59" spans="1:6">
      <c r="D59" s="2868" t="s">
        <v>462</v>
      </c>
      <c r="E59" s="2819">
        <v>353146</v>
      </c>
      <c r="F59" s="2819">
        <v>331663</v>
      </c>
    </row>
    <row r="60" spans="1:6">
      <c r="D60" s="2868" t="s">
        <v>844</v>
      </c>
      <c r="E60" s="2819">
        <v>6715</v>
      </c>
      <c r="F60" s="2819">
        <v>5566</v>
      </c>
    </row>
    <row r="61" spans="1:6">
      <c r="D61" s="2868" t="s">
        <v>465</v>
      </c>
      <c r="E61" s="2819"/>
      <c r="F61" s="2819"/>
    </row>
    <row r="62" spans="1:6" ht="15" thickBot="1">
      <c r="D62" s="76" t="s">
        <v>118</v>
      </c>
      <c r="E62" s="84">
        <f>SUM(E57:E61)</f>
        <v>335924</v>
      </c>
      <c r="F62" s="84">
        <f>SUM(F57:F61)</f>
        <v>312852</v>
      </c>
    </row>
    <row r="63" spans="1:6" ht="15" thickTop="1">
      <c r="A63" s="43">
        <v>6</v>
      </c>
      <c r="B63" s="2677" t="s">
        <v>184</v>
      </c>
      <c r="C63" s="2678" t="s">
        <v>128</v>
      </c>
    </row>
    <row r="64" spans="1:6">
      <c r="D64" s="191" t="s">
        <v>843</v>
      </c>
      <c r="E64" s="54"/>
      <c r="F64" s="54"/>
    </row>
    <row r="65" spans="1:6">
      <c r="D65" s="192"/>
      <c r="E65" s="54"/>
      <c r="F65" s="54"/>
    </row>
    <row r="66" spans="1:6">
      <c r="D66" s="2866"/>
      <c r="E66" s="2867">
        <v>2009</v>
      </c>
      <c r="F66" s="2867">
        <v>2008</v>
      </c>
    </row>
    <row r="67" spans="1:6">
      <c r="D67" s="2868" t="s">
        <v>452</v>
      </c>
      <c r="E67" s="2819"/>
      <c r="F67" s="2819"/>
    </row>
    <row r="68" spans="1:6">
      <c r="D68" s="2868" t="s">
        <v>453</v>
      </c>
      <c r="E68" s="2819"/>
      <c r="F68" s="2819"/>
    </row>
    <row r="69" spans="1:6">
      <c r="D69" s="2868" t="s">
        <v>462</v>
      </c>
      <c r="E69" s="2819"/>
      <c r="F69" s="2819"/>
    </row>
    <row r="70" spans="1:6">
      <c r="D70" s="2868" t="s">
        <v>844</v>
      </c>
      <c r="E70" s="2819"/>
      <c r="F70" s="2819"/>
    </row>
    <row r="71" spans="1:6">
      <c r="D71" s="2868" t="s">
        <v>465</v>
      </c>
      <c r="E71" s="2819"/>
      <c r="F71" s="2819"/>
    </row>
    <row r="72" spans="1:6" ht="15" thickBot="1">
      <c r="D72" s="76" t="s">
        <v>118</v>
      </c>
      <c r="E72" s="84">
        <f>SUM(E67:E71)</f>
        <v>0</v>
      </c>
      <c r="F72" s="84">
        <f>SUM(F67:F71)</f>
        <v>0</v>
      </c>
    </row>
    <row r="73" spans="1:6" ht="15" thickTop="1">
      <c r="A73" s="43">
        <v>7</v>
      </c>
      <c r="B73" s="2677" t="s">
        <v>185</v>
      </c>
      <c r="C73" s="2678" t="s">
        <v>129</v>
      </c>
    </row>
    <row r="74" spans="1:6">
      <c r="D74" s="191" t="s">
        <v>843</v>
      </c>
      <c r="E74" s="54"/>
      <c r="F74" s="54"/>
    </row>
    <row r="75" spans="1:6">
      <c r="D75" s="192"/>
      <c r="E75" s="54"/>
      <c r="F75" s="54"/>
    </row>
    <row r="76" spans="1:6">
      <c r="D76" s="2866"/>
      <c r="E76" s="2867">
        <v>2009</v>
      </c>
      <c r="F76" s="2867">
        <v>2008</v>
      </c>
    </row>
    <row r="77" spans="1:6">
      <c r="D77" s="2868" t="s">
        <v>452</v>
      </c>
      <c r="E77" s="2819">
        <v>511595</v>
      </c>
      <c r="F77" s="2819">
        <v>581211</v>
      </c>
    </row>
    <row r="78" spans="1:6">
      <c r="D78" s="2868" t="s">
        <v>453</v>
      </c>
      <c r="E78" s="2819">
        <v>0</v>
      </c>
      <c r="F78" s="2819">
        <v>0</v>
      </c>
    </row>
    <row r="79" spans="1:6">
      <c r="D79" s="2868" t="s">
        <v>462</v>
      </c>
      <c r="E79" s="2819">
        <v>2607200</v>
      </c>
      <c r="F79" s="2819">
        <v>3366099</v>
      </c>
    </row>
    <row r="80" spans="1:6">
      <c r="D80" s="2868" t="s">
        <v>844</v>
      </c>
      <c r="E80" s="2819"/>
      <c r="F80" s="2819">
        <v>0</v>
      </c>
    </row>
    <row r="81" spans="1:6">
      <c r="D81" s="2868" t="s">
        <v>465</v>
      </c>
      <c r="E81" s="2819">
        <v>25721</v>
      </c>
      <c r="F81" s="2819">
        <v>24253</v>
      </c>
    </row>
    <row r="82" spans="1:6" ht="15" thickBot="1">
      <c r="D82" s="76" t="s">
        <v>118</v>
      </c>
      <c r="E82" s="84">
        <f>SUM(E77:E81)</f>
        <v>3144516</v>
      </c>
      <c r="F82" s="84">
        <f>SUM(F77:F81)</f>
        <v>3971563</v>
      </c>
    </row>
    <row r="83" spans="1:6" ht="15" thickTop="1">
      <c r="A83" s="43">
        <v>8</v>
      </c>
      <c r="B83" s="2677" t="s">
        <v>186</v>
      </c>
      <c r="C83" s="2678" t="s">
        <v>130</v>
      </c>
    </row>
    <row r="84" spans="1:6">
      <c r="D84" s="191" t="s">
        <v>843</v>
      </c>
      <c r="E84" s="54"/>
      <c r="F84" s="54"/>
    </row>
    <row r="85" spans="1:6">
      <c r="D85" s="192"/>
      <c r="E85" s="54"/>
      <c r="F85" s="54"/>
    </row>
    <row r="86" spans="1:6">
      <c r="D86" s="2866"/>
      <c r="E86" s="2867">
        <v>2009</v>
      </c>
      <c r="F86" s="2867">
        <v>2008</v>
      </c>
    </row>
    <row r="87" spans="1:6">
      <c r="D87" s="2868" t="s">
        <v>452</v>
      </c>
      <c r="E87" s="2819">
        <v>25789</v>
      </c>
      <c r="F87" s="2819">
        <v>16475</v>
      </c>
    </row>
    <row r="88" spans="1:6">
      <c r="D88" s="2868" t="s">
        <v>453</v>
      </c>
      <c r="E88" s="2819">
        <v>0</v>
      </c>
      <c r="F88" s="2819">
        <v>0</v>
      </c>
    </row>
    <row r="89" spans="1:6">
      <c r="D89" s="2868" t="s">
        <v>462</v>
      </c>
      <c r="E89" s="2819">
        <v>189299</v>
      </c>
      <c r="F89" s="2819">
        <v>165199</v>
      </c>
    </row>
    <row r="90" spans="1:6">
      <c r="D90" s="2868" t="s">
        <v>844</v>
      </c>
      <c r="E90" s="2819">
        <v>0</v>
      </c>
      <c r="F90" s="2819">
        <v>0</v>
      </c>
    </row>
    <row r="91" spans="1:6">
      <c r="D91" s="2868" t="s">
        <v>465</v>
      </c>
      <c r="E91" s="2819">
        <v>3708</v>
      </c>
      <c r="F91" s="2819">
        <v>2794</v>
      </c>
    </row>
    <row r="92" spans="1:6" ht="15" thickBot="1">
      <c r="D92" s="76" t="s">
        <v>118</v>
      </c>
      <c r="E92" s="84">
        <f>SUM(E87:E91)</f>
        <v>218796</v>
      </c>
      <c r="F92" s="84">
        <f>SUM(F87:F91)</f>
        <v>184468</v>
      </c>
    </row>
    <row r="93" spans="1:6" ht="15" thickTop="1">
      <c r="A93" s="43">
        <v>9</v>
      </c>
      <c r="B93" s="2677" t="s">
        <v>187</v>
      </c>
      <c r="C93" s="2678" t="s">
        <v>131</v>
      </c>
    </row>
    <row r="94" spans="1:6">
      <c r="D94" s="191" t="s">
        <v>843</v>
      </c>
      <c r="E94" s="54"/>
      <c r="F94" s="54"/>
    </row>
    <row r="95" spans="1:6">
      <c r="D95" s="192"/>
      <c r="E95" s="54"/>
      <c r="F95" s="54"/>
    </row>
    <row r="96" spans="1:6">
      <c r="D96" s="2866"/>
      <c r="E96" s="2867">
        <v>2009</v>
      </c>
      <c r="F96" s="2867">
        <v>2008</v>
      </c>
    </row>
    <row r="97" spans="1:6">
      <c r="D97" s="2868" t="s">
        <v>452</v>
      </c>
      <c r="E97" s="2819"/>
      <c r="F97" s="2819"/>
    </row>
    <row r="98" spans="1:6">
      <c r="D98" s="2868" t="s">
        <v>453</v>
      </c>
      <c r="E98" s="2819"/>
      <c r="F98" s="2819"/>
    </row>
    <row r="99" spans="1:6">
      <c r="D99" s="2868" t="s">
        <v>462</v>
      </c>
      <c r="E99" s="2819"/>
      <c r="F99" s="2819"/>
    </row>
    <row r="100" spans="1:6">
      <c r="D100" s="2868" t="s">
        <v>844</v>
      </c>
      <c r="E100" s="2819"/>
      <c r="F100" s="2819"/>
    </row>
    <row r="101" spans="1:6">
      <c r="D101" s="2868" t="s">
        <v>465</v>
      </c>
      <c r="E101" s="2819"/>
      <c r="F101" s="2819"/>
    </row>
    <row r="102" spans="1:6" ht="15" thickBot="1">
      <c r="D102" s="76" t="s">
        <v>118</v>
      </c>
      <c r="E102" s="84">
        <f>SUM(E97:E101)</f>
        <v>0</v>
      </c>
      <c r="F102" s="84">
        <f>SUM(F97:F101)</f>
        <v>0</v>
      </c>
    </row>
    <row r="103" spans="1:6" ht="15" thickTop="1">
      <c r="A103" s="43">
        <v>10</v>
      </c>
      <c r="B103" s="2677" t="s">
        <v>188</v>
      </c>
      <c r="C103" s="2678" t="s">
        <v>780</v>
      </c>
    </row>
    <row r="104" spans="1:6">
      <c r="D104" s="191" t="s">
        <v>843</v>
      </c>
      <c r="E104" s="54"/>
      <c r="F104" s="54"/>
    </row>
    <row r="105" spans="1:6">
      <c r="D105" s="192"/>
      <c r="E105" s="54"/>
      <c r="F105" s="54"/>
    </row>
    <row r="106" spans="1:6">
      <c r="D106" s="2866"/>
      <c r="E106" s="2867">
        <v>2009</v>
      </c>
      <c r="F106" s="2867">
        <v>2008</v>
      </c>
    </row>
    <row r="107" spans="1:6">
      <c r="D107" s="2868" t="s">
        <v>452</v>
      </c>
      <c r="E107" s="2819">
        <v>1564.2134599999922</v>
      </c>
      <c r="F107" s="2819">
        <v>6271.9525800000001</v>
      </c>
    </row>
    <row r="108" spans="1:6">
      <c r="D108" s="2868" t="s">
        <v>453</v>
      </c>
      <c r="E108" s="2819">
        <v>2561</v>
      </c>
      <c r="F108" s="2819">
        <v>207.19997000000001</v>
      </c>
    </row>
    <row r="109" spans="1:6">
      <c r="D109" s="2868" t="s">
        <v>462</v>
      </c>
      <c r="E109" s="2819">
        <v>272693</v>
      </c>
      <c r="F109" s="2819">
        <v>221936.37718000001</v>
      </c>
    </row>
    <row r="110" spans="1:6">
      <c r="D110" s="2868" t="s">
        <v>844</v>
      </c>
      <c r="E110" s="2819">
        <v>7093.8261199999997</v>
      </c>
      <c r="F110" s="2819">
        <v>5989.5577300000004</v>
      </c>
    </row>
    <row r="111" spans="1:6">
      <c r="D111" s="2868" t="s">
        <v>465</v>
      </c>
      <c r="E111" s="2819"/>
      <c r="F111" s="2819"/>
    </row>
    <row r="112" spans="1:6" ht="15" thickBot="1">
      <c r="D112" s="76" t="s">
        <v>118</v>
      </c>
      <c r="E112" s="84">
        <f>SUM(E107:E111)</f>
        <v>283912.03957999998</v>
      </c>
      <c r="F112" s="84">
        <f>SUM(F107:F111)</f>
        <v>234405.08746000001</v>
      </c>
    </row>
    <row r="113" spans="1:6" ht="15" thickTop="1">
      <c r="A113" s="43">
        <v>11</v>
      </c>
      <c r="B113" s="2677" t="s">
        <v>189</v>
      </c>
      <c r="C113" s="2678" t="s">
        <v>133</v>
      </c>
    </row>
    <row r="114" spans="1:6">
      <c r="D114" s="191" t="s">
        <v>843</v>
      </c>
      <c r="E114" s="54"/>
      <c r="F114" s="54"/>
    </row>
    <row r="115" spans="1:6">
      <c r="D115" s="192"/>
      <c r="E115" s="54"/>
      <c r="F115" s="54"/>
    </row>
    <row r="116" spans="1:6">
      <c r="D116" s="2866"/>
      <c r="E116" s="2867">
        <v>2009</v>
      </c>
      <c r="F116" s="2867">
        <v>2008</v>
      </c>
    </row>
    <row r="117" spans="1:6">
      <c r="D117" s="2868" t="s">
        <v>452</v>
      </c>
      <c r="E117" s="2819">
        <v>537431</v>
      </c>
      <c r="F117" s="2819">
        <v>477374</v>
      </c>
    </row>
    <row r="118" spans="1:6">
      <c r="D118" s="2868" t="s">
        <v>453</v>
      </c>
      <c r="E118" s="2819">
        <v>2300485</v>
      </c>
      <c r="F118" s="2819">
        <v>2075589</v>
      </c>
    </row>
    <row r="119" spans="1:6">
      <c r="D119" s="2868" t="s">
        <v>462</v>
      </c>
      <c r="E119" s="2819">
        <v>902542.3</v>
      </c>
      <c r="F119" s="2819">
        <v>868380</v>
      </c>
    </row>
    <row r="120" spans="1:6">
      <c r="D120" s="2868" t="s">
        <v>844</v>
      </c>
      <c r="E120" s="2819">
        <v>117335</v>
      </c>
      <c r="F120" s="2819">
        <v>109441</v>
      </c>
    </row>
    <row r="121" spans="1:6">
      <c r="D121" s="2868" t="s">
        <v>465</v>
      </c>
      <c r="E121" s="2819">
        <v>12527.5</v>
      </c>
      <c r="F121" s="2819">
        <v>45158</v>
      </c>
    </row>
    <row r="122" spans="1:6" ht="15" thickBot="1">
      <c r="D122" s="76" t="s">
        <v>118</v>
      </c>
      <c r="E122" s="84">
        <f>SUM(E117:E121)</f>
        <v>3870320.8</v>
      </c>
      <c r="F122" s="84">
        <f>SUM(F117:F121)</f>
        <v>3575942</v>
      </c>
    </row>
    <row r="123" spans="1:6" ht="15" thickTop="1">
      <c r="A123" s="43">
        <v>12</v>
      </c>
      <c r="B123" s="2677" t="s">
        <v>191</v>
      </c>
      <c r="C123" s="2678" t="s">
        <v>134</v>
      </c>
    </row>
    <row r="124" spans="1:6">
      <c r="D124" s="191" t="s">
        <v>843</v>
      </c>
      <c r="E124" s="54"/>
      <c r="F124" s="54"/>
    </row>
    <row r="125" spans="1:6">
      <c r="D125" s="192"/>
      <c r="E125" s="54"/>
      <c r="F125" s="54"/>
    </row>
    <row r="126" spans="1:6">
      <c r="D126" s="2866"/>
      <c r="E126" s="2867">
        <v>2009</v>
      </c>
      <c r="F126" s="2867">
        <v>2008</v>
      </c>
    </row>
    <row r="127" spans="1:6">
      <c r="D127" s="2868" t="s">
        <v>452</v>
      </c>
      <c r="E127" s="2819"/>
      <c r="F127" s="2819"/>
    </row>
    <row r="128" spans="1:6">
      <c r="D128" s="2868" t="s">
        <v>453</v>
      </c>
      <c r="E128" s="2819"/>
      <c r="F128" s="2819"/>
    </row>
    <row r="129" spans="1:6">
      <c r="D129" s="2868" t="s">
        <v>462</v>
      </c>
      <c r="E129" s="2819"/>
      <c r="F129" s="2819"/>
    </row>
    <row r="130" spans="1:6">
      <c r="D130" s="2868" t="s">
        <v>844</v>
      </c>
      <c r="E130" s="2819"/>
      <c r="F130" s="2819"/>
    </row>
    <row r="131" spans="1:6">
      <c r="D131" s="2868" t="s">
        <v>465</v>
      </c>
      <c r="E131" s="2819"/>
      <c r="F131" s="2819"/>
    </row>
    <row r="132" spans="1:6" ht="15" thickBot="1">
      <c r="D132" s="76" t="s">
        <v>118</v>
      </c>
      <c r="E132" s="84">
        <f>SUM(E127:E131)</f>
        <v>0</v>
      </c>
      <c r="F132" s="84">
        <f>SUM(F127:F131)</f>
        <v>0</v>
      </c>
    </row>
    <row r="133" spans="1:6" ht="15" thickTop="1">
      <c r="A133" s="43">
        <v>13</v>
      </c>
      <c r="B133" s="2677" t="s">
        <v>192</v>
      </c>
      <c r="C133" s="2678" t="s">
        <v>109</v>
      </c>
    </row>
    <row r="134" spans="1:6">
      <c r="D134" s="191" t="s">
        <v>843</v>
      </c>
      <c r="E134" s="54"/>
      <c r="F134" s="54"/>
    </row>
    <row r="135" spans="1:6">
      <c r="D135" s="192"/>
      <c r="E135" s="54"/>
      <c r="F135" s="54"/>
    </row>
    <row r="136" spans="1:6">
      <c r="D136" s="2866"/>
      <c r="E136" s="2867">
        <v>2009</v>
      </c>
      <c r="F136" s="2867">
        <v>2008</v>
      </c>
    </row>
    <row r="137" spans="1:6">
      <c r="D137" s="2868" t="s">
        <v>452</v>
      </c>
      <c r="E137" s="2819">
        <f>24284-9822</f>
        <v>14462</v>
      </c>
      <c r="F137" s="2819">
        <f>17511+4048</f>
        <v>21559</v>
      </c>
    </row>
    <row r="138" spans="1:6">
      <c r="D138" s="2868" t="s">
        <v>453</v>
      </c>
      <c r="E138" s="2819">
        <v>823</v>
      </c>
      <c r="F138" s="2819">
        <v>495</v>
      </c>
    </row>
    <row r="139" spans="1:6">
      <c r="D139" s="2868" t="s">
        <v>462</v>
      </c>
      <c r="E139" s="2819">
        <f>200646+241</f>
        <v>200887</v>
      </c>
      <c r="F139" s="2819">
        <v>152602</v>
      </c>
    </row>
    <row r="140" spans="1:6">
      <c r="D140" s="2868" t="s">
        <v>844</v>
      </c>
      <c r="E140" s="2819"/>
      <c r="F140" s="2819"/>
    </row>
    <row r="141" spans="1:6">
      <c r="D141" s="2868" t="s">
        <v>465</v>
      </c>
      <c r="E141" s="2819">
        <v>241</v>
      </c>
      <c r="F141" s="2819">
        <v>391</v>
      </c>
    </row>
    <row r="142" spans="1:6" ht="15" thickBot="1">
      <c r="D142" s="76" t="s">
        <v>118</v>
      </c>
      <c r="E142" s="84">
        <f>SUM(E137:E141)</f>
        <v>216413</v>
      </c>
      <c r="F142" s="84">
        <f>SUM(F137:F141)</f>
        <v>175047</v>
      </c>
    </row>
    <row r="143" spans="1:6" ht="15" thickTop="1">
      <c r="A143" s="43">
        <v>14</v>
      </c>
      <c r="B143" s="2677" t="s">
        <v>193</v>
      </c>
      <c r="C143" s="2678" t="s">
        <v>111</v>
      </c>
    </row>
    <row r="144" spans="1:6">
      <c r="D144" s="191" t="s">
        <v>843</v>
      </c>
      <c r="E144" s="54"/>
      <c r="F144" s="54"/>
    </row>
    <row r="145" spans="1:6">
      <c r="D145" s="192"/>
      <c r="E145" s="54"/>
      <c r="F145" s="54"/>
    </row>
    <row r="146" spans="1:6">
      <c r="D146" s="2866"/>
      <c r="E146" s="2867">
        <v>2009</v>
      </c>
      <c r="F146" s="2867">
        <v>2008</v>
      </c>
    </row>
    <row r="147" spans="1:6">
      <c r="D147" s="2868" t="s">
        <v>452</v>
      </c>
      <c r="E147" s="2819"/>
      <c r="F147" s="2819"/>
    </row>
    <row r="148" spans="1:6">
      <c r="D148" s="2868" t="s">
        <v>453</v>
      </c>
      <c r="E148" s="2819"/>
      <c r="F148" s="2819"/>
    </row>
    <row r="149" spans="1:6">
      <c r="D149" s="2868" t="s">
        <v>462</v>
      </c>
      <c r="E149" s="2819"/>
      <c r="F149" s="2819"/>
    </row>
    <row r="150" spans="1:6">
      <c r="D150" s="2868" t="s">
        <v>844</v>
      </c>
      <c r="E150" s="2819"/>
      <c r="F150" s="2819"/>
    </row>
    <row r="151" spans="1:6">
      <c r="D151" s="2868" t="s">
        <v>465</v>
      </c>
      <c r="E151" s="2819"/>
      <c r="F151" s="2819"/>
    </row>
    <row r="152" spans="1:6" ht="15" thickBot="1">
      <c r="D152" s="76" t="s">
        <v>118</v>
      </c>
      <c r="E152" s="84">
        <f>SUM(E147:E151)</f>
        <v>0</v>
      </c>
      <c r="F152" s="84">
        <f>SUM(F147:F151)</f>
        <v>0</v>
      </c>
    </row>
    <row r="153" spans="1:6" ht="15" thickTop="1">
      <c r="A153" s="43">
        <v>15</v>
      </c>
      <c r="B153" s="2677" t="s">
        <v>194</v>
      </c>
      <c r="C153" s="2678" t="s">
        <v>112</v>
      </c>
    </row>
    <row r="154" spans="1:6">
      <c r="D154" s="191" t="s">
        <v>843</v>
      </c>
      <c r="E154" s="54"/>
      <c r="F154" s="54"/>
    </row>
    <row r="155" spans="1:6">
      <c r="D155" s="192"/>
      <c r="E155" s="54"/>
      <c r="F155" s="54"/>
    </row>
    <row r="156" spans="1:6">
      <c r="D156" s="2866"/>
      <c r="E156" s="2867">
        <v>2009</v>
      </c>
      <c r="F156" s="2867">
        <v>2008</v>
      </c>
    </row>
    <row r="157" spans="1:6">
      <c r="D157" s="2868" t="s">
        <v>452</v>
      </c>
      <c r="E157" s="2819"/>
      <c r="F157" s="2819"/>
    </row>
    <row r="158" spans="1:6">
      <c r="D158" s="2868" t="s">
        <v>453</v>
      </c>
      <c r="E158" s="2819"/>
      <c r="F158" s="2819"/>
    </row>
    <row r="159" spans="1:6">
      <c r="D159" s="2868" t="s">
        <v>462</v>
      </c>
      <c r="E159" s="2819"/>
      <c r="F159" s="2819"/>
    </row>
    <row r="160" spans="1:6">
      <c r="D160" s="2868" t="s">
        <v>844</v>
      </c>
      <c r="E160" s="2819"/>
      <c r="F160" s="2819"/>
    </row>
    <row r="161" spans="1:6">
      <c r="D161" s="2868" t="s">
        <v>465</v>
      </c>
      <c r="E161" s="2819"/>
      <c r="F161" s="2819"/>
    </row>
    <row r="162" spans="1:6" ht="15" thickBot="1">
      <c r="D162" s="76" t="s">
        <v>118</v>
      </c>
      <c r="E162" s="84">
        <f>SUM(E157:E161)</f>
        <v>0</v>
      </c>
      <c r="F162" s="84">
        <f>SUM(F157:F161)</f>
        <v>0</v>
      </c>
    </row>
    <row r="163" spans="1:6" ht="15" thickTop="1">
      <c r="A163" s="43">
        <v>16</v>
      </c>
      <c r="B163" s="2677" t="s">
        <v>195</v>
      </c>
      <c r="C163" s="2678" t="s">
        <v>115</v>
      </c>
    </row>
    <row r="164" spans="1:6">
      <c r="D164" s="191" t="s">
        <v>843</v>
      </c>
      <c r="E164" s="54"/>
      <c r="F164" s="54"/>
    </row>
    <row r="165" spans="1:6">
      <c r="D165" s="192"/>
      <c r="E165" s="54"/>
      <c r="F165" s="54"/>
    </row>
    <row r="166" spans="1:6">
      <c r="D166" s="2866"/>
      <c r="E166" s="2867">
        <v>2009</v>
      </c>
      <c r="F166" s="2867">
        <v>2008</v>
      </c>
    </row>
    <row r="167" spans="1:6">
      <c r="D167" s="2868" t="s">
        <v>452</v>
      </c>
      <c r="E167" s="2819">
        <v>154910</v>
      </c>
      <c r="F167" s="2819">
        <v>240946</v>
      </c>
    </row>
    <row r="168" spans="1:6">
      <c r="D168" s="2868" t="s">
        <v>453</v>
      </c>
      <c r="E168" s="2819">
        <v>1276849</v>
      </c>
      <c r="F168" s="2819">
        <v>1381684</v>
      </c>
    </row>
    <row r="169" spans="1:6">
      <c r="D169" s="2868" t="s">
        <v>462</v>
      </c>
      <c r="E169" s="2819">
        <v>754348</v>
      </c>
      <c r="F169" s="2819">
        <v>384120</v>
      </c>
    </row>
    <row r="170" spans="1:6">
      <c r="D170" s="2868" t="s">
        <v>844</v>
      </c>
      <c r="E170" s="2819"/>
      <c r="F170" s="2819"/>
    </row>
    <row r="171" spans="1:6">
      <c r="D171" s="2868" t="s">
        <v>465</v>
      </c>
      <c r="E171" s="2819">
        <v>1935</v>
      </c>
      <c r="F171" s="2819">
        <v>16.225000000000001</v>
      </c>
    </row>
    <row r="172" spans="1:6" ht="15" thickBot="1">
      <c r="D172" s="76" t="s">
        <v>118</v>
      </c>
      <c r="E172" s="84">
        <f>SUM(E167:E171)</f>
        <v>2188042</v>
      </c>
      <c r="F172" s="84">
        <f>SUM(F167:F171)</f>
        <v>2006766.2250000001</v>
      </c>
    </row>
    <row r="173" spans="1:6" ht="15" thickTop="1">
      <c r="A173" s="43">
        <v>17</v>
      </c>
      <c r="B173" s="2677" t="s">
        <v>196</v>
      </c>
      <c r="C173" s="2678" t="s">
        <v>135</v>
      </c>
    </row>
    <row r="174" spans="1:6">
      <c r="D174" s="191" t="s">
        <v>843</v>
      </c>
      <c r="E174" s="54"/>
      <c r="F174" s="54"/>
    </row>
    <row r="175" spans="1:6">
      <c r="D175" s="192"/>
      <c r="E175" s="54"/>
      <c r="F175" s="54"/>
    </row>
    <row r="176" spans="1:6">
      <c r="D176" s="2866"/>
      <c r="E176" s="2867">
        <v>2009</v>
      </c>
      <c r="F176" s="2867">
        <v>2008</v>
      </c>
    </row>
    <row r="177" spans="1:6">
      <c r="D177" s="2868" t="s">
        <v>452</v>
      </c>
      <c r="E177" s="2819">
        <v>6453</v>
      </c>
      <c r="F177" s="2819">
        <v>-1118</v>
      </c>
    </row>
    <row r="178" spans="1:6">
      <c r="D178" s="2868" t="s">
        <v>453</v>
      </c>
      <c r="E178" s="2819">
        <v>97049</v>
      </c>
      <c r="F178" s="2819">
        <v>93966</v>
      </c>
    </row>
    <row r="179" spans="1:6">
      <c r="D179" s="2868" t="s">
        <v>462</v>
      </c>
      <c r="E179" s="2819">
        <v>78097</v>
      </c>
      <c r="F179" s="2819">
        <v>97859</v>
      </c>
    </row>
    <row r="180" spans="1:6">
      <c r="D180" s="2868" t="s">
        <v>844</v>
      </c>
      <c r="E180" s="2819"/>
      <c r="F180" s="2819"/>
    </row>
    <row r="181" spans="1:6">
      <c r="D181" s="2868" t="s">
        <v>465</v>
      </c>
      <c r="E181" s="2819">
        <v>400</v>
      </c>
      <c r="F181" s="2819">
        <v>340</v>
      </c>
    </row>
    <row r="182" spans="1:6" ht="15" thickBot="1">
      <c r="D182" s="76" t="s">
        <v>118</v>
      </c>
      <c r="E182" s="84">
        <f>SUM(E177:E181)</f>
        <v>181999</v>
      </c>
      <c r="F182" s="84">
        <f>SUM(F177:F181)</f>
        <v>191047</v>
      </c>
    </row>
    <row r="183" spans="1:6" ht="15" thickTop="1">
      <c r="A183" s="43">
        <v>18</v>
      </c>
      <c r="B183" s="2677" t="s">
        <v>197</v>
      </c>
      <c r="C183" s="2678" t="s">
        <v>781</v>
      </c>
    </row>
    <row r="184" spans="1:6">
      <c r="D184" s="191" t="s">
        <v>843</v>
      </c>
      <c r="E184" s="54"/>
      <c r="F184" s="54"/>
    </row>
    <row r="185" spans="1:6">
      <c r="D185" s="192"/>
      <c r="E185" s="54"/>
      <c r="F185" s="54"/>
    </row>
    <row r="186" spans="1:6">
      <c r="D186" s="2866"/>
      <c r="E186" s="2867">
        <v>2009</v>
      </c>
      <c r="F186" s="2867">
        <v>2008</v>
      </c>
    </row>
    <row r="187" spans="1:6">
      <c r="D187" s="2868" t="s">
        <v>452</v>
      </c>
      <c r="E187" s="2819">
        <v>112024.89138000002</v>
      </c>
      <c r="F187" s="2819">
        <v>85246.239640000014</v>
      </c>
    </row>
    <row r="188" spans="1:6">
      <c r="D188" s="2868" t="s">
        <v>453</v>
      </c>
      <c r="E188" s="2819">
        <v>0</v>
      </c>
      <c r="F188" s="2819">
        <v>0</v>
      </c>
    </row>
    <row r="189" spans="1:6">
      <c r="D189" s="2868" t="s">
        <v>462</v>
      </c>
      <c r="E189" s="2819">
        <v>648904.55163</v>
      </c>
      <c r="F189" s="2819">
        <v>593449.57995999977</v>
      </c>
    </row>
    <row r="190" spans="1:6">
      <c r="D190" s="2868" t="s">
        <v>844</v>
      </c>
      <c r="E190" s="2819">
        <v>0</v>
      </c>
      <c r="F190" s="2819">
        <v>0</v>
      </c>
    </row>
    <row r="191" spans="1:6">
      <c r="D191" s="2868" t="s">
        <v>465</v>
      </c>
      <c r="E191" s="2819">
        <v>0</v>
      </c>
      <c r="F191" s="2819">
        <v>0</v>
      </c>
    </row>
    <row r="192" spans="1:6" ht="15" thickBot="1">
      <c r="D192" s="76" t="s">
        <v>118</v>
      </c>
      <c r="E192" s="84">
        <f>SUM(E187:E191)</f>
        <v>760929.44301000005</v>
      </c>
      <c r="F192" s="84">
        <f>SUM(F187:F191)</f>
        <v>678695.81959999981</v>
      </c>
    </row>
    <row r="193" spans="2:3" ht="15" thickTop="1">
      <c r="B193" s="2869" t="s">
        <v>118</v>
      </c>
      <c r="C193" s="2869" t="s">
        <v>118</v>
      </c>
    </row>
  </sheetData>
  <customSheetViews>
    <customSheetView guid="{2ACFE167-4169-43A6-9AB2-59D5A2DA2DB4}" showPageBreaks="1" state="hidden">
      <selection activeCell="G36" sqref="G36:G37"/>
      <rowBreaks count="3" manualBreakCount="3">
        <brk id="52" max="16383" man="1"/>
        <brk id="102" max="16383" man="1"/>
        <brk id="152" max="16383" man="1"/>
      </rowBreaks>
      <pageMargins left="0" right="0" top="0" bottom="0" header="0" footer="0"/>
      <pageSetup scale="89" orientation="portrait" r:id="rId1"/>
    </customSheetView>
    <customSheetView guid="{967E0446-E234-427F-8E57-7FE287052E2E}" showPageBreaks="1" state="hidden">
      <selection activeCell="G36" sqref="G36:G37"/>
      <rowBreaks count="3" manualBreakCount="3">
        <brk id="52" max="16383" man="1"/>
        <brk id="102" max="16383" man="1"/>
        <brk id="152" max="16383" man="1"/>
      </rowBreaks>
      <pageMargins left="0" right="0" top="0" bottom="0" header="0" footer="0"/>
      <pageSetup scale="89" orientation="portrait" r:id="rId2"/>
    </customSheetView>
    <customSheetView guid="{B2E1A0C6-5BA1-4CF1-B412-16D81FCDF11F}" state="hidden">
      <selection activeCell="G36" sqref="G36:G37"/>
      <rowBreaks count="3" manualBreakCount="3">
        <brk id="52" max="16383" man="1"/>
        <brk id="102" max="16383" man="1"/>
        <brk id="152" max="16383" man="1"/>
      </rowBreaks>
      <pageMargins left="0" right="0" top="0" bottom="0" header="0" footer="0"/>
      <pageSetup scale="89" orientation="portrait" r:id="rId3"/>
    </customSheetView>
    <customSheetView guid="{46F31544-8E6F-41C5-8628-1D6EE074AF15}" state="hidden">
      <selection activeCell="G36" sqref="G36:G37"/>
      <rowBreaks count="3" manualBreakCount="3">
        <brk id="52" max="16383" man="1"/>
        <brk id="102" max="16383" man="1"/>
        <brk id="152" max="16383" man="1"/>
      </rowBreaks>
      <pageMargins left="0" right="0" top="0" bottom="0" header="0" footer="0"/>
      <pageSetup scale="89" orientation="portrait" r:id="rId4"/>
    </customSheetView>
    <customSheetView guid="{E82B35BE-4719-4C53-A9EF-1CC6F153A6F3}" state="hidden">
      <selection activeCell="G36" sqref="G36:G37"/>
      <rowBreaks count="3" manualBreakCount="3">
        <brk id="52" max="16383" man="1"/>
        <brk id="102" max="16383" man="1"/>
        <brk id="152" max="16383" man="1"/>
      </rowBreaks>
      <pageMargins left="0" right="0" top="0" bottom="0" header="0" footer="0"/>
      <pageSetup scale="89" orientation="portrait" r:id="rId5"/>
    </customSheetView>
    <customSheetView guid="{B1E1B596-A9A1-411D-A882-A48CB025B978}" state="hidden">
      <selection activeCell="G36" sqref="G36:G37"/>
      <rowBreaks count="3" manualBreakCount="3">
        <brk id="52" max="16383" man="1"/>
        <brk id="102" max="16383" man="1"/>
        <brk id="152" max="16383" man="1"/>
      </rowBreaks>
      <pageMargins left="0" right="0" top="0" bottom="0" header="0" footer="0"/>
      <pageSetup scale="89" orientation="portrait" r:id="rId6"/>
    </customSheetView>
    <customSheetView guid="{5E394B0B-7867-4722-9497-A93AB2A9A773}" showPageBreaks="1" state="hidden">
      <selection activeCell="G36" sqref="G36:G37"/>
      <rowBreaks count="3" manualBreakCount="3">
        <brk id="52" max="16383" man="1"/>
        <brk id="102" max="16383" man="1"/>
        <brk id="152" max="16383" man="1"/>
      </rowBreaks>
      <pageMargins left="0" right="0" top="0" bottom="0" header="0" footer="0"/>
      <pageSetup scale="89" orientation="portrait" r:id="rId7"/>
    </customSheetView>
  </customSheetViews>
  <pageMargins left="0.7" right="0.7" top="0.75" bottom="0.75" header="0.3" footer="0.3"/>
  <pageSetup scale="89" orientation="portrait" r:id="rId8"/>
  <rowBreaks count="3" manualBreakCount="3">
    <brk id="52" max="16383" man="1"/>
    <brk id="102" max="16383" man="1"/>
    <brk id="152" max="16383" man="1"/>
  </rowBreaks>
  <ignoredErrors>
    <ignoredError sqref="E172:F172 E92:F92 E82:F82 E52:F53 E62:F62" formulaRange="1"/>
  </ignoredError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Sheet37">
    <tabColor rgb="FFFFC000"/>
  </sheetPr>
  <dimension ref="A3:T158"/>
  <sheetViews>
    <sheetView workbookViewId="0">
      <pane xSplit="2" ySplit="1" topLeftCell="C2" activePane="bottomRight" state="frozen"/>
      <selection pane="bottomRight" activeCell="F106" sqref="F106"/>
      <selection pane="bottomLeft" activeCell="A2" sqref="A2"/>
      <selection pane="topRight" activeCell="C1" sqref="C1"/>
    </sheetView>
  </sheetViews>
  <sheetFormatPr defaultRowHeight="14.45"/>
  <cols>
    <col min="2" max="2" width="47.140625" bestFit="1" customWidth="1"/>
    <col min="3" max="3" width="14.140625" customWidth="1"/>
    <col min="4" max="4" width="12.7109375" customWidth="1"/>
    <col min="5" max="5" width="13.28515625" customWidth="1"/>
    <col min="20" max="20" width="9.140625" style="12"/>
  </cols>
  <sheetData>
    <row r="3" spans="1:20">
      <c r="B3" s="191" t="s">
        <v>843</v>
      </c>
      <c r="C3" s="54"/>
      <c r="D3" s="54"/>
    </row>
    <row r="4" spans="1:20">
      <c r="B4" s="192"/>
      <c r="C4" s="54"/>
      <c r="D4" s="54"/>
    </row>
    <row r="5" spans="1:20">
      <c r="B5" s="2866"/>
      <c r="D5" s="2867">
        <v>2009</v>
      </c>
      <c r="E5" s="2867">
        <v>2008</v>
      </c>
    </row>
    <row r="6" spans="1:20">
      <c r="B6" s="2868" t="s">
        <v>452</v>
      </c>
      <c r="D6" s="2819">
        <f t="shared" ref="D6:E10" si="0">+D15+D23+D32+D40+D48+D56+D64+D72+D80+D88+D96+D104+D112+D120+D128+D136+D144+D152</f>
        <v>1653295.69484</v>
      </c>
      <c r="E6" s="2819">
        <f t="shared" si="0"/>
        <v>1641064.4322200001</v>
      </c>
    </row>
    <row r="7" spans="1:20">
      <c r="B7" s="2868" t="s">
        <v>453</v>
      </c>
      <c r="D7" s="2819">
        <f t="shared" si="0"/>
        <v>4416527</v>
      </c>
      <c r="E7" s="2819">
        <f t="shared" si="0"/>
        <v>4130833.19997</v>
      </c>
    </row>
    <row r="8" spans="1:20">
      <c r="B8" s="2868" t="s">
        <v>462</v>
      </c>
      <c r="D8" s="2819">
        <f t="shared" si="0"/>
        <v>6654833.0076299999</v>
      </c>
      <c r="E8" s="2819">
        <f t="shared" si="0"/>
        <v>6796892.2811399996</v>
      </c>
    </row>
    <row r="9" spans="1:20">
      <c r="B9" s="2868" t="s">
        <v>844</v>
      </c>
      <c r="D9" s="2819">
        <f t="shared" si="0"/>
        <v>133628.67611999999</v>
      </c>
      <c r="E9" s="2819">
        <f t="shared" si="0"/>
        <v>123278.78773</v>
      </c>
    </row>
    <row r="10" spans="1:20">
      <c r="B10" s="2868" t="s">
        <v>465</v>
      </c>
      <c r="D10" s="2819">
        <f t="shared" si="0"/>
        <v>48729.046999999999</v>
      </c>
      <c r="E10" s="2819">
        <f t="shared" si="0"/>
        <v>74769.225000000006</v>
      </c>
    </row>
    <row r="11" spans="1:20" ht="15" thickBot="1">
      <c r="B11" s="76" t="s">
        <v>118</v>
      </c>
      <c r="D11" s="84">
        <f>SUM(D6:D10)</f>
        <v>12907013.425590001</v>
      </c>
      <c r="E11" s="84">
        <f>SUM(E6:E10)</f>
        <v>12766837.92606</v>
      </c>
    </row>
    <row r="12" spans="1:20" ht="15" thickTop="1"/>
    <row r="13" spans="1:20">
      <c r="A13" s="43">
        <v>1</v>
      </c>
      <c r="B13" s="2677" t="s">
        <v>177</v>
      </c>
      <c r="C13" s="2678" t="s">
        <v>776</v>
      </c>
      <c r="Q13" s="12"/>
      <c r="T13"/>
    </row>
    <row r="14" spans="1:20">
      <c r="B14" s="2866"/>
      <c r="D14" s="2867">
        <v>2009</v>
      </c>
      <c r="E14" s="2867">
        <v>2008</v>
      </c>
    </row>
    <row r="15" spans="1:20">
      <c r="B15" s="2868" t="s">
        <v>452</v>
      </c>
      <c r="D15" s="2819">
        <v>-8076</v>
      </c>
      <c r="E15" s="2819">
        <v>-10327</v>
      </c>
    </row>
    <row r="16" spans="1:20">
      <c r="B16" s="2868" t="s">
        <v>453</v>
      </c>
      <c r="D16" s="2819">
        <v>275552</v>
      </c>
      <c r="E16" s="2819">
        <v>183734</v>
      </c>
    </row>
    <row r="17" spans="1:20">
      <c r="B17" s="2868" t="s">
        <v>462</v>
      </c>
      <c r="D17" s="2819">
        <v>177633</v>
      </c>
      <c r="E17" s="2819">
        <v>157908</v>
      </c>
    </row>
    <row r="18" spans="1:20">
      <c r="B18" s="2868" t="s">
        <v>844</v>
      </c>
      <c r="D18" s="2819"/>
      <c r="E18" s="2819"/>
    </row>
    <row r="19" spans="1:20">
      <c r="B19" s="2868" t="s">
        <v>465</v>
      </c>
      <c r="D19" s="2819">
        <v>2615</v>
      </c>
      <c r="E19" s="2819">
        <v>367</v>
      </c>
    </row>
    <row r="20" spans="1:20" ht="15" thickBot="1">
      <c r="B20" s="76" t="s">
        <v>118</v>
      </c>
      <c r="D20" s="84">
        <f>SUM(D15:D19)</f>
        <v>447724</v>
      </c>
      <c r="E20" s="84">
        <f>SUM(E15:E19)</f>
        <v>331682</v>
      </c>
    </row>
    <row r="21" spans="1:20" ht="15" thickTop="1">
      <c r="A21" s="43">
        <v>2</v>
      </c>
      <c r="B21" s="2677" t="s">
        <v>179</v>
      </c>
      <c r="C21" s="2678" t="s">
        <v>777</v>
      </c>
      <c r="Q21" s="12"/>
      <c r="T21"/>
    </row>
    <row r="22" spans="1:20">
      <c r="B22" s="2866"/>
      <c r="D22" s="2867">
        <v>2009</v>
      </c>
      <c r="E22" s="2867">
        <v>2008</v>
      </c>
    </row>
    <row r="23" spans="1:20">
      <c r="B23" s="2868" t="s">
        <v>452</v>
      </c>
      <c r="D23" s="2819">
        <v>-88096</v>
      </c>
      <c r="E23" s="2819">
        <v>-66090</v>
      </c>
    </row>
    <row r="24" spans="1:20">
      <c r="B24" s="2868" t="s">
        <v>453</v>
      </c>
      <c r="D24" s="2819"/>
      <c r="E24" s="2819"/>
    </row>
    <row r="25" spans="1:20">
      <c r="B25" s="2868" t="s">
        <v>462</v>
      </c>
      <c r="D25" s="2819">
        <v>139869</v>
      </c>
      <c r="E25" s="2819">
        <v>80854</v>
      </c>
    </row>
    <row r="26" spans="1:20">
      <c r="B26" s="2868" t="s">
        <v>844</v>
      </c>
      <c r="D26" s="2819"/>
      <c r="E26" s="2819"/>
    </row>
    <row r="27" spans="1:20">
      <c r="B27" s="2868" t="s">
        <v>465</v>
      </c>
      <c r="D27" s="2819"/>
      <c r="E27" s="2819"/>
    </row>
    <row r="28" spans="1:20" ht="15" thickBot="1">
      <c r="B28" s="76" t="s">
        <v>118</v>
      </c>
      <c r="D28" s="84">
        <f>SUM(D23:D27)</f>
        <v>51773</v>
      </c>
      <c r="E28" s="84">
        <f>SUM(E23:E27)</f>
        <v>14764</v>
      </c>
    </row>
    <row r="29" spans="1:20" ht="15" thickTop="1">
      <c r="A29" s="43"/>
      <c r="B29" s="2677"/>
      <c r="C29" s="2678"/>
      <c r="Q29" s="12"/>
      <c r="T29"/>
    </row>
    <row r="30" spans="1:20">
      <c r="A30" s="43">
        <v>3</v>
      </c>
      <c r="B30" s="2677" t="s">
        <v>181</v>
      </c>
      <c r="C30" s="2678" t="s">
        <v>778</v>
      </c>
      <c r="Q30" s="12"/>
      <c r="T30"/>
    </row>
    <row r="31" spans="1:20">
      <c r="B31" s="2866"/>
      <c r="D31" s="2867">
        <v>2009</v>
      </c>
      <c r="E31" s="2867">
        <v>2008</v>
      </c>
    </row>
    <row r="32" spans="1:20">
      <c r="B32" s="2868" t="s">
        <v>452</v>
      </c>
      <c r="D32" s="2819">
        <v>-13423</v>
      </c>
      <c r="E32" s="2819">
        <v>-14347</v>
      </c>
    </row>
    <row r="33" spans="1:20">
      <c r="B33" s="2868" t="s">
        <v>453</v>
      </c>
      <c r="D33" s="2819">
        <v>463208</v>
      </c>
      <c r="E33" s="2819">
        <v>395158</v>
      </c>
    </row>
    <row r="34" spans="1:20">
      <c r="B34" s="2868" t="s">
        <v>462</v>
      </c>
      <c r="D34" s="2819">
        <v>5381</v>
      </c>
      <c r="E34" s="2819">
        <v>3059</v>
      </c>
    </row>
    <row r="35" spans="1:20">
      <c r="B35" s="2868" t="s">
        <v>844</v>
      </c>
      <c r="D35" s="2819"/>
      <c r="E35" s="2819"/>
    </row>
    <row r="36" spans="1:20">
      <c r="B36" s="2868" t="s">
        <v>465</v>
      </c>
      <c r="D36" s="2819">
        <v>0</v>
      </c>
      <c r="E36" s="2819">
        <v>0</v>
      </c>
    </row>
    <row r="37" spans="1:20" ht="15" thickBot="1">
      <c r="B37" s="76" t="s">
        <v>118</v>
      </c>
      <c r="D37" s="84">
        <f>SUM(D32:D36)</f>
        <v>455166</v>
      </c>
      <c r="E37" s="84">
        <f>SUM(E32:E36)</f>
        <v>383870</v>
      </c>
    </row>
    <row r="38" spans="1:20" ht="15" thickTop="1">
      <c r="A38" s="43">
        <v>4</v>
      </c>
      <c r="B38" s="2677" t="s">
        <v>182</v>
      </c>
      <c r="C38" s="2678" t="s">
        <v>126</v>
      </c>
      <c r="Q38" s="12"/>
      <c r="T38"/>
    </row>
    <row r="39" spans="1:20">
      <c r="B39" s="2866"/>
      <c r="D39" s="2867">
        <v>2009</v>
      </c>
      <c r="E39" s="2867">
        <v>2008</v>
      </c>
    </row>
    <row r="40" spans="1:20">
      <c r="B40" s="2868" t="s">
        <v>452</v>
      </c>
      <c r="D40" s="2819">
        <v>422598.59</v>
      </c>
      <c r="E40" s="2819">
        <v>328240.24</v>
      </c>
    </row>
    <row r="41" spans="1:20">
      <c r="B41" s="2868" t="s">
        <v>453</v>
      </c>
      <c r="D41" s="2819">
        <v>0</v>
      </c>
      <c r="E41" s="2819">
        <v>0</v>
      </c>
    </row>
    <row r="42" spans="1:20">
      <c r="B42" s="2868" t="s">
        <v>462</v>
      </c>
      <c r="D42" s="2819">
        <v>324833.15599999996</v>
      </c>
      <c r="E42" s="2819">
        <v>373763.32399999996</v>
      </c>
    </row>
    <row r="43" spans="1:20">
      <c r="B43" s="2868" t="s">
        <v>844</v>
      </c>
      <c r="D43" s="2819">
        <v>2484.8500000000004</v>
      </c>
      <c r="E43" s="2819">
        <v>2282.23</v>
      </c>
    </row>
    <row r="44" spans="1:20">
      <c r="B44" s="2868" t="s">
        <v>465</v>
      </c>
      <c r="D44" s="2819">
        <v>1581.547</v>
      </c>
      <c r="E44" s="2819">
        <v>1450</v>
      </c>
    </row>
    <row r="45" spans="1:20" ht="15" thickBot="1">
      <c r="B45" s="76" t="s">
        <v>118</v>
      </c>
      <c r="D45" s="84">
        <f>SUM(D40:D44)</f>
        <v>751498.14300000004</v>
      </c>
      <c r="E45" s="84">
        <f>SUM(E40:E44)</f>
        <v>705735.79399999999</v>
      </c>
    </row>
    <row r="46" spans="1:20" ht="15" thickTop="1">
      <c r="A46" s="43">
        <v>5</v>
      </c>
      <c r="B46" s="2677" t="s">
        <v>183</v>
      </c>
      <c r="C46" s="2678" t="s">
        <v>127</v>
      </c>
      <c r="Q46" s="12"/>
      <c r="T46"/>
    </row>
    <row r="47" spans="1:20">
      <c r="B47" s="2866"/>
      <c r="D47" s="2867">
        <v>2009</v>
      </c>
      <c r="E47" s="2867">
        <v>2008</v>
      </c>
    </row>
    <row r="48" spans="1:20">
      <c r="B48" s="2868" t="s">
        <v>452</v>
      </c>
      <c r="D48" s="2819">
        <v>-23937</v>
      </c>
      <c r="E48" s="2819">
        <v>-24377</v>
      </c>
    </row>
    <row r="49" spans="1:20">
      <c r="B49" s="2868" t="s">
        <v>453</v>
      </c>
      <c r="D49" s="2819">
        <v>0</v>
      </c>
      <c r="E49" s="2819">
        <v>0</v>
      </c>
    </row>
    <row r="50" spans="1:20">
      <c r="B50" s="2868" t="s">
        <v>462</v>
      </c>
      <c r="D50" s="2819">
        <v>353146</v>
      </c>
      <c r="E50" s="2819">
        <v>331663</v>
      </c>
    </row>
    <row r="51" spans="1:20">
      <c r="B51" s="2868" t="s">
        <v>844</v>
      </c>
      <c r="D51" s="2819">
        <v>6715</v>
      </c>
      <c r="E51" s="2819">
        <v>5566</v>
      </c>
    </row>
    <row r="52" spans="1:20">
      <c r="B52" s="2868" t="s">
        <v>465</v>
      </c>
      <c r="D52" s="2819"/>
      <c r="E52" s="2819"/>
    </row>
    <row r="53" spans="1:20" ht="15" thickBot="1">
      <c r="B53" s="76" t="s">
        <v>118</v>
      </c>
      <c r="D53" s="84">
        <f>SUM(D48:D52)</f>
        <v>335924</v>
      </c>
      <c r="E53" s="84">
        <f>SUM(E48:E52)</f>
        <v>312852</v>
      </c>
    </row>
    <row r="54" spans="1:20" ht="15" thickTop="1">
      <c r="A54" s="43">
        <v>6</v>
      </c>
      <c r="B54" s="2677" t="s">
        <v>184</v>
      </c>
      <c r="C54" s="2678" t="s">
        <v>128</v>
      </c>
      <c r="Q54" s="12"/>
      <c r="T54"/>
    </row>
    <row r="55" spans="1:20">
      <c r="B55" s="2866"/>
      <c r="D55" s="2867">
        <v>2009</v>
      </c>
      <c r="E55" s="2867">
        <v>2008</v>
      </c>
    </row>
    <row r="56" spans="1:20">
      <c r="B56" s="2868" t="s">
        <v>452</v>
      </c>
      <c r="D56" s="2819"/>
      <c r="E56" s="2819"/>
    </row>
    <row r="57" spans="1:20">
      <c r="B57" s="2868" t="s">
        <v>453</v>
      </c>
      <c r="D57" s="2819"/>
      <c r="E57" s="2819"/>
    </row>
    <row r="58" spans="1:20">
      <c r="B58" s="2868" t="s">
        <v>462</v>
      </c>
      <c r="D58" s="2819"/>
      <c r="E58" s="2819"/>
    </row>
    <row r="59" spans="1:20">
      <c r="B59" s="2868" t="s">
        <v>844</v>
      </c>
      <c r="D59" s="2819"/>
      <c r="E59" s="2819"/>
    </row>
    <row r="60" spans="1:20">
      <c r="B60" s="2868" t="s">
        <v>465</v>
      </c>
      <c r="D60" s="2819"/>
      <c r="E60" s="2819"/>
    </row>
    <row r="61" spans="1:20" ht="15" thickBot="1">
      <c r="B61" s="76" t="s">
        <v>118</v>
      </c>
      <c r="D61" s="84">
        <f>SUM(D56:D60)</f>
        <v>0</v>
      </c>
      <c r="E61" s="84">
        <f>SUM(E56:E60)</f>
        <v>0</v>
      </c>
    </row>
    <row r="62" spans="1:20" ht="15" thickTop="1">
      <c r="A62" s="43">
        <v>7</v>
      </c>
      <c r="B62" s="2677" t="s">
        <v>185</v>
      </c>
      <c r="C62" s="2678" t="s">
        <v>129</v>
      </c>
      <c r="Q62" s="12"/>
      <c r="T62"/>
    </row>
    <row r="63" spans="1:20">
      <c r="B63" s="2866"/>
      <c r="D63" s="2867">
        <v>2009</v>
      </c>
      <c r="E63" s="2867">
        <v>2008</v>
      </c>
    </row>
    <row r="64" spans="1:20">
      <c r="B64" s="2868" t="s">
        <v>452</v>
      </c>
      <c r="D64" s="2819">
        <v>511595</v>
      </c>
      <c r="E64" s="2819">
        <v>581211</v>
      </c>
    </row>
    <row r="65" spans="1:20">
      <c r="B65" s="2868" t="s">
        <v>453</v>
      </c>
      <c r="D65" s="2819">
        <v>0</v>
      </c>
      <c r="E65" s="2819">
        <v>0</v>
      </c>
    </row>
    <row r="66" spans="1:20">
      <c r="B66" s="2868" t="s">
        <v>462</v>
      </c>
      <c r="D66" s="2819">
        <v>2607200</v>
      </c>
      <c r="E66" s="2819">
        <v>3366099</v>
      </c>
    </row>
    <row r="67" spans="1:20">
      <c r="B67" s="2868" t="s">
        <v>844</v>
      </c>
      <c r="D67" s="2819"/>
      <c r="E67" s="2819">
        <v>0</v>
      </c>
    </row>
    <row r="68" spans="1:20">
      <c r="B68" s="2868" t="s">
        <v>465</v>
      </c>
      <c r="D68" s="2819">
        <v>25721</v>
      </c>
      <c r="E68" s="2819">
        <v>24253</v>
      </c>
    </row>
    <row r="69" spans="1:20" ht="15" thickBot="1">
      <c r="B69" s="76" t="s">
        <v>118</v>
      </c>
      <c r="D69" s="84">
        <f>SUM(D64:D68)</f>
        <v>3144516</v>
      </c>
      <c r="E69" s="84">
        <f>SUM(E64:E68)</f>
        <v>3971563</v>
      </c>
    </row>
    <row r="70" spans="1:20" ht="15" thickTop="1">
      <c r="A70" s="43">
        <v>8</v>
      </c>
      <c r="B70" s="2677" t="s">
        <v>186</v>
      </c>
      <c r="C70" s="2678" t="s">
        <v>130</v>
      </c>
      <c r="Q70" s="12"/>
      <c r="T70"/>
    </row>
    <row r="71" spans="1:20">
      <c r="B71" s="2866"/>
      <c r="D71" s="2867">
        <v>2009</v>
      </c>
      <c r="E71" s="2867">
        <v>2008</v>
      </c>
    </row>
    <row r="72" spans="1:20">
      <c r="B72" s="2868" t="s">
        <v>452</v>
      </c>
      <c r="D72" s="2815">
        <v>25789</v>
      </c>
      <c r="E72" s="2815">
        <v>16475</v>
      </c>
    </row>
    <row r="73" spans="1:20">
      <c r="B73" s="2868" t="s">
        <v>453</v>
      </c>
      <c r="D73" s="2815">
        <v>0</v>
      </c>
      <c r="E73" s="2815">
        <v>0</v>
      </c>
    </row>
    <row r="74" spans="1:20">
      <c r="B74" s="2868" t="s">
        <v>462</v>
      </c>
      <c r="D74" s="2815">
        <v>189299</v>
      </c>
      <c r="E74" s="2815">
        <v>165199</v>
      </c>
    </row>
    <row r="75" spans="1:20">
      <c r="B75" s="2868" t="s">
        <v>844</v>
      </c>
      <c r="D75" s="2815">
        <v>0</v>
      </c>
      <c r="E75" s="2815">
        <v>0</v>
      </c>
    </row>
    <row r="76" spans="1:20">
      <c r="B76" s="2868" t="s">
        <v>465</v>
      </c>
      <c r="D76" s="2815">
        <v>3708</v>
      </c>
      <c r="E76" s="2815">
        <v>2794</v>
      </c>
    </row>
    <row r="77" spans="1:20" ht="15" thickBot="1">
      <c r="B77" s="76" t="s">
        <v>118</v>
      </c>
      <c r="D77" s="84">
        <f>SUM(D72:D76)</f>
        <v>218796</v>
      </c>
      <c r="E77" s="84">
        <f>SUM(E72:E76)</f>
        <v>184468</v>
      </c>
    </row>
    <row r="78" spans="1:20" ht="15" thickTop="1">
      <c r="A78" s="43">
        <v>9</v>
      </c>
      <c r="B78" s="2677" t="s">
        <v>187</v>
      </c>
      <c r="C78" s="2678" t="s">
        <v>131</v>
      </c>
      <c r="Q78" s="12"/>
      <c r="T78"/>
    </row>
    <row r="79" spans="1:20">
      <c r="B79" s="2866"/>
      <c r="D79" s="2867">
        <v>2009</v>
      </c>
      <c r="E79" s="2867">
        <v>2008</v>
      </c>
    </row>
    <row r="80" spans="1:20">
      <c r="B80" s="2868" t="s">
        <v>452</v>
      </c>
      <c r="D80" s="2819"/>
      <c r="E80" s="2819"/>
    </row>
    <row r="81" spans="1:20">
      <c r="B81" s="2868" t="s">
        <v>453</v>
      </c>
      <c r="D81" s="2819"/>
      <c r="E81" s="2819"/>
    </row>
    <row r="82" spans="1:20">
      <c r="B82" s="2868" t="s">
        <v>462</v>
      </c>
      <c r="D82" s="2819"/>
      <c r="E82" s="2819"/>
    </row>
    <row r="83" spans="1:20">
      <c r="B83" s="2868" t="s">
        <v>844</v>
      </c>
      <c r="D83" s="2819"/>
      <c r="E83" s="2819"/>
    </row>
    <row r="84" spans="1:20">
      <c r="B84" s="2868" t="s">
        <v>465</v>
      </c>
      <c r="D84" s="2819"/>
      <c r="E84" s="2819"/>
    </row>
    <row r="85" spans="1:20" ht="15" thickBot="1">
      <c r="B85" s="76" t="s">
        <v>118</v>
      </c>
      <c r="D85" s="84">
        <f>SUM(D80:D84)</f>
        <v>0</v>
      </c>
      <c r="E85" s="84">
        <f>SUM(E80:E84)</f>
        <v>0</v>
      </c>
    </row>
    <row r="86" spans="1:20" ht="15" thickTop="1">
      <c r="A86" s="43">
        <v>10</v>
      </c>
      <c r="B86" s="2677" t="s">
        <v>188</v>
      </c>
      <c r="C86" s="2678" t="s">
        <v>780</v>
      </c>
      <c r="Q86" s="12"/>
      <c r="T86"/>
    </row>
    <row r="87" spans="1:20">
      <c r="B87" s="2866"/>
      <c r="D87" s="2867">
        <v>2009</v>
      </c>
      <c r="E87" s="2867">
        <v>2008</v>
      </c>
    </row>
    <row r="88" spans="1:20">
      <c r="B88" s="2868" t="s">
        <v>452</v>
      </c>
      <c r="D88" s="2819">
        <v>1564.2134599999922</v>
      </c>
      <c r="E88" s="2819">
        <v>6271.9525800000001</v>
      </c>
    </row>
    <row r="89" spans="1:20">
      <c r="B89" s="2868" t="s">
        <v>453</v>
      </c>
      <c r="D89" s="2819">
        <v>2561</v>
      </c>
      <c r="E89" s="2819">
        <v>207.19997000000001</v>
      </c>
    </row>
    <row r="90" spans="1:20">
      <c r="B90" s="2868" t="s">
        <v>462</v>
      </c>
      <c r="D90" s="2819">
        <v>272693</v>
      </c>
      <c r="E90" s="2819">
        <v>221936.37718000001</v>
      </c>
    </row>
    <row r="91" spans="1:20">
      <c r="B91" s="2868" t="s">
        <v>844</v>
      </c>
      <c r="D91" s="2819">
        <v>7093.8261199999997</v>
      </c>
      <c r="E91" s="2819">
        <v>5989.5577300000004</v>
      </c>
    </row>
    <row r="92" spans="1:20">
      <c r="B92" s="2868" t="s">
        <v>465</v>
      </c>
      <c r="D92" s="2819"/>
      <c r="E92" s="2819"/>
    </row>
    <row r="93" spans="1:20" ht="15" thickBot="1">
      <c r="B93" s="76" t="s">
        <v>118</v>
      </c>
      <c r="D93" s="84">
        <f>SUM(D88:D92)</f>
        <v>283912.03957999998</v>
      </c>
      <c r="E93" s="84">
        <f>SUM(E88:E92)</f>
        <v>234405.08746000001</v>
      </c>
    </row>
    <row r="94" spans="1:20" ht="15" thickTop="1">
      <c r="A94" s="43">
        <v>11</v>
      </c>
      <c r="B94" s="2677" t="s">
        <v>189</v>
      </c>
      <c r="C94" s="2678" t="s">
        <v>133</v>
      </c>
      <c r="Q94" s="12"/>
      <c r="T94"/>
    </row>
    <row r="95" spans="1:20">
      <c r="B95" s="2866"/>
      <c r="D95" s="2867">
        <v>2009</v>
      </c>
      <c r="E95" s="2867">
        <v>2008</v>
      </c>
    </row>
    <row r="96" spans="1:20">
      <c r="B96" s="2868" t="s">
        <v>452</v>
      </c>
      <c r="D96" s="2819">
        <v>537431</v>
      </c>
      <c r="E96" s="2819">
        <v>477374</v>
      </c>
    </row>
    <row r="97" spans="1:20">
      <c r="B97" s="2868" t="s">
        <v>453</v>
      </c>
      <c r="D97" s="2819">
        <v>2300485</v>
      </c>
      <c r="E97" s="2819">
        <v>2075589</v>
      </c>
    </row>
    <row r="98" spans="1:20">
      <c r="B98" s="2868" t="s">
        <v>462</v>
      </c>
      <c r="D98" s="2819">
        <v>902542.3</v>
      </c>
      <c r="E98" s="2819">
        <v>868380</v>
      </c>
    </row>
    <row r="99" spans="1:20">
      <c r="B99" s="2868" t="s">
        <v>844</v>
      </c>
      <c r="D99" s="2819">
        <v>117335</v>
      </c>
      <c r="E99" s="2819">
        <v>109441</v>
      </c>
    </row>
    <row r="100" spans="1:20">
      <c r="B100" s="2868" t="s">
        <v>465</v>
      </c>
      <c r="D100" s="2819">
        <v>12527.5</v>
      </c>
      <c r="E100" s="2819">
        <v>45158</v>
      </c>
    </row>
    <row r="101" spans="1:20" ht="15" thickBot="1">
      <c r="B101" s="76" t="s">
        <v>118</v>
      </c>
      <c r="D101" s="84">
        <f>SUM(D96:D100)</f>
        <v>3870320.8</v>
      </c>
      <c r="E101" s="84">
        <f>SUM(E96:E100)</f>
        <v>3575942</v>
      </c>
    </row>
    <row r="102" spans="1:20" ht="15" thickTop="1">
      <c r="A102" s="43">
        <v>12</v>
      </c>
      <c r="B102" s="2677" t="s">
        <v>191</v>
      </c>
      <c r="C102" s="2678" t="s">
        <v>134</v>
      </c>
      <c r="Q102" s="12"/>
      <c r="T102"/>
    </row>
    <row r="103" spans="1:20">
      <c r="B103" s="2866"/>
      <c r="D103" s="2867">
        <v>2009</v>
      </c>
      <c r="E103" s="2867">
        <v>2008</v>
      </c>
    </row>
    <row r="104" spans="1:20">
      <c r="B104" s="2868" t="s">
        <v>452</v>
      </c>
      <c r="D104" s="2819"/>
      <c r="E104" s="2819"/>
    </row>
    <row r="105" spans="1:20">
      <c r="B105" s="2868" t="s">
        <v>453</v>
      </c>
      <c r="D105" s="2819"/>
      <c r="E105" s="2819"/>
    </row>
    <row r="106" spans="1:20">
      <c r="B106" s="2868" t="s">
        <v>462</v>
      </c>
      <c r="D106" s="2819"/>
      <c r="E106" s="2819"/>
    </row>
    <row r="107" spans="1:20">
      <c r="B107" s="2868" t="s">
        <v>844</v>
      </c>
      <c r="D107" s="2819"/>
      <c r="E107" s="2819"/>
    </row>
    <row r="108" spans="1:20">
      <c r="B108" s="2868" t="s">
        <v>465</v>
      </c>
      <c r="D108" s="2819"/>
      <c r="E108" s="2819"/>
    </row>
    <row r="109" spans="1:20" ht="15" thickBot="1">
      <c r="B109" s="76" t="s">
        <v>118</v>
      </c>
      <c r="D109" s="84">
        <f>SUM(D104:D108)</f>
        <v>0</v>
      </c>
      <c r="E109" s="84">
        <f>SUM(E104:E108)</f>
        <v>0</v>
      </c>
    </row>
    <row r="110" spans="1:20" ht="15" thickTop="1">
      <c r="A110" s="43">
        <v>13</v>
      </c>
      <c r="B110" s="2677" t="s">
        <v>192</v>
      </c>
      <c r="C110" s="2678" t="s">
        <v>109</v>
      </c>
      <c r="Q110" s="12"/>
      <c r="T110"/>
    </row>
    <row r="111" spans="1:20">
      <c r="B111" s="2866"/>
      <c r="D111" s="2867">
        <v>2009</v>
      </c>
      <c r="E111" s="2867">
        <v>2008</v>
      </c>
    </row>
    <row r="112" spans="1:20">
      <c r="B112" s="2868" t="s">
        <v>452</v>
      </c>
      <c r="D112" s="2819">
        <v>14462</v>
      </c>
      <c r="E112" s="2819">
        <v>21559</v>
      </c>
    </row>
    <row r="113" spans="1:20">
      <c r="B113" s="2868" t="s">
        <v>453</v>
      </c>
      <c r="D113" s="2819">
        <v>823</v>
      </c>
      <c r="E113" s="2819">
        <v>495</v>
      </c>
    </row>
    <row r="114" spans="1:20">
      <c r="B114" s="2868" t="s">
        <v>462</v>
      </c>
      <c r="D114" s="2819">
        <v>200887</v>
      </c>
      <c r="E114" s="2819">
        <v>152602</v>
      </c>
    </row>
    <row r="115" spans="1:20">
      <c r="B115" s="2868" t="s">
        <v>844</v>
      </c>
      <c r="D115" s="2819"/>
      <c r="E115" s="2819"/>
    </row>
    <row r="116" spans="1:20">
      <c r="B116" s="2868" t="s">
        <v>465</v>
      </c>
      <c r="D116" s="2819">
        <v>241</v>
      </c>
      <c r="E116" s="2819">
        <v>391</v>
      </c>
    </row>
    <row r="117" spans="1:20" ht="15" thickBot="1">
      <c r="B117" s="76" t="s">
        <v>118</v>
      </c>
      <c r="D117" s="84">
        <f>SUM(D112:D116)</f>
        <v>216413</v>
      </c>
      <c r="E117" s="84">
        <f>SUM(E112:E116)</f>
        <v>175047</v>
      </c>
    </row>
    <row r="118" spans="1:20" ht="15" thickTop="1">
      <c r="A118" s="43">
        <v>14</v>
      </c>
      <c r="B118" s="2677" t="s">
        <v>193</v>
      </c>
      <c r="C118" s="2678" t="s">
        <v>111</v>
      </c>
      <c r="Q118" s="12"/>
      <c r="T118"/>
    </row>
    <row r="119" spans="1:20">
      <c r="B119" s="2866"/>
      <c r="D119" s="2867">
        <v>2009</v>
      </c>
      <c r="E119" s="2867">
        <v>2008</v>
      </c>
    </row>
    <row r="120" spans="1:20">
      <c r="B120" s="2868" t="s">
        <v>452</v>
      </c>
      <c r="D120" s="2819"/>
      <c r="E120" s="2819"/>
    </row>
    <row r="121" spans="1:20">
      <c r="B121" s="2868" t="s">
        <v>453</v>
      </c>
      <c r="D121" s="2819"/>
      <c r="E121" s="2819"/>
    </row>
    <row r="122" spans="1:20">
      <c r="B122" s="2868" t="s">
        <v>462</v>
      </c>
      <c r="D122" s="2819"/>
      <c r="E122" s="2819"/>
    </row>
    <row r="123" spans="1:20">
      <c r="B123" s="2868" t="s">
        <v>844</v>
      </c>
      <c r="D123" s="2819"/>
      <c r="E123" s="2819"/>
    </row>
    <row r="124" spans="1:20">
      <c r="B124" s="2868" t="s">
        <v>465</v>
      </c>
      <c r="D124" s="2819"/>
      <c r="E124" s="2819"/>
    </row>
    <row r="125" spans="1:20" ht="15" thickBot="1">
      <c r="B125" s="76" t="s">
        <v>118</v>
      </c>
      <c r="D125" s="84">
        <f>SUM(D120:D124)</f>
        <v>0</v>
      </c>
      <c r="E125" s="84">
        <f>SUM(E120:E124)</f>
        <v>0</v>
      </c>
    </row>
    <row r="126" spans="1:20" ht="15" thickTop="1">
      <c r="A126" s="43">
        <v>15</v>
      </c>
      <c r="B126" s="2677" t="s">
        <v>194</v>
      </c>
      <c r="C126" s="2678" t="s">
        <v>112</v>
      </c>
      <c r="Q126" s="12"/>
      <c r="T126"/>
    </row>
    <row r="127" spans="1:20">
      <c r="B127" s="2866"/>
      <c r="D127" s="2867">
        <v>2009</v>
      </c>
      <c r="E127" s="2867">
        <v>2008</v>
      </c>
    </row>
    <row r="128" spans="1:20">
      <c r="B128" s="2868" t="s">
        <v>452</v>
      </c>
      <c r="D128" s="2819">
        <v>0</v>
      </c>
      <c r="E128" s="2819">
        <v>0</v>
      </c>
    </row>
    <row r="129" spans="1:20">
      <c r="B129" s="2868" t="s">
        <v>453</v>
      </c>
      <c r="D129" s="2819">
        <v>0</v>
      </c>
      <c r="E129" s="2819">
        <v>0</v>
      </c>
    </row>
    <row r="130" spans="1:20">
      <c r="B130" s="2868" t="s">
        <v>462</v>
      </c>
      <c r="D130" s="2819">
        <v>0</v>
      </c>
      <c r="E130" s="2819">
        <v>0</v>
      </c>
    </row>
    <row r="131" spans="1:20">
      <c r="B131" s="2868" t="s">
        <v>844</v>
      </c>
      <c r="D131" s="2819">
        <v>0</v>
      </c>
      <c r="E131" s="2819">
        <v>0</v>
      </c>
    </row>
    <row r="132" spans="1:20">
      <c r="B132" s="2868" t="s">
        <v>465</v>
      </c>
      <c r="D132" s="2819">
        <v>0</v>
      </c>
      <c r="E132" s="2819">
        <v>0</v>
      </c>
    </row>
    <row r="133" spans="1:20" ht="15" thickBot="1">
      <c r="B133" s="76" t="s">
        <v>118</v>
      </c>
      <c r="D133" s="84">
        <f>SUM(D128:D132)</f>
        <v>0</v>
      </c>
      <c r="E133" s="84">
        <f>SUM(E128:E132)</f>
        <v>0</v>
      </c>
    </row>
    <row r="134" spans="1:20" ht="15" thickTop="1">
      <c r="A134" s="43">
        <v>16</v>
      </c>
      <c r="B134" s="2677" t="s">
        <v>195</v>
      </c>
      <c r="C134" s="2678" t="s">
        <v>115</v>
      </c>
      <c r="Q134" s="12"/>
      <c r="T134"/>
    </row>
    <row r="135" spans="1:20">
      <c r="B135" s="2866"/>
      <c r="D135" s="2867">
        <v>2009</v>
      </c>
      <c r="E135" s="2867">
        <v>2008</v>
      </c>
    </row>
    <row r="136" spans="1:20">
      <c r="B136" s="2868" t="s">
        <v>452</v>
      </c>
      <c r="D136" s="2819">
        <v>154910</v>
      </c>
      <c r="E136" s="2819">
        <v>240946</v>
      </c>
    </row>
    <row r="137" spans="1:20">
      <c r="B137" s="2868" t="s">
        <v>453</v>
      </c>
      <c r="D137" s="2819">
        <v>1276849</v>
      </c>
      <c r="E137" s="2819">
        <v>1381684</v>
      </c>
    </row>
    <row r="138" spans="1:20">
      <c r="B138" s="2868" t="s">
        <v>462</v>
      </c>
      <c r="D138" s="2819">
        <v>754348</v>
      </c>
      <c r="E138" s="2819">
        <v>384120</v>
      </c>
    </row>
    <row r="139" spans="1:20">
      <c r="B139" s="2868" t="s">
        <v>844</v>
      </c>
      <c r="D139" s="2819"/>
      <c r="E139" s="2819"/>
    </row>
    <row r="140" spans="1:20">
      <c r="B140" s="2868" t="s">
        <v>465</v>
      </c>
      <c r="D140" s="2819">
        <v>1935</v>
      </c>
      <c r="E140" s="2819">
        <v>16.225000000000001</v>
      </c>
    </row>
    <row r="141" spans="1:20" ht="15" thickBot="1">
      <c r="B141" s="76" t="s">
        <v>118</v>
      </c>
      <c r="D141" s="84">
        <f>SUM(D136:D140)</f>
        <v>2188042</v>
      </c>
      <c r="E141" s="84">
        <f>SUM(E136:E140)</f>
        <v>2006766.2250000001</v>
      </c>
    </row>
    <row r="142" spans="1:20" ht="15" thickTop="1">
      <c r="A142" s="43">
        <v>17</v>
      </c>
      <c r="B142" s="2677" t="s">
        <v>196</v>
      </c>
      <c r="C142" s="2678" t="s">
        <v>135</v>
      </c>
      <c r="Q142" s="12"/>
      <c r="T142"/>
    </row>
    <row r="143" spans="1:20">
      <c r="B143" s="2866"/>
      <c r="D143" s="2867">
        <v>2009</v>
      </c>
      <c r="E143" s="2867">
        <v>2008</v>
      </c>
    </row>
    <row r="144" spans="1:20">
      <c r="B144" s="2868" t="s">
        <v>452</v>
      </c>
      <c r="D144" s="2819">
        <v>6453</v>
      </c>
      <c r="E144" s="2819">
        <v>-1118</v>
      </c>
    </row>
    <row r="145" spans="1:20">
      <c r="B145" s="2868" t="s">
        <v>453</v>
      </c>
      <c r="D145" s="2819">
        <v>97049</v>
      </c>
      <c r="E145" s="2819">
        <v>93966</v>
      </c>
    </row>
    <row r="146" spans="1:20">
      <c r="B146" s="2868" t="s">
        <v>462</v>
      </c>
      <c r="D146" s="2819">
        <v>78097</v>
      </c>
      <c r="E146" s="2819">
        <v>97859</v>
      </c>
    </row>
    <row r="147" spans="1:20">
      <c r="B147" s="2868" t="s">
        <v>844</v>
      </c>
      <c r="D147" s="2819"/>
      <c r="E147" s="2819"/>
    </row>
    <row r="148" spans="1:20">
      <c r="B148" s="2868" t="s">
        <v>465</v>
      </c>
      <c r="D148" s="2819">
        <v>400</v>
      </c>
      <c r="E148" s="2819">
        <v>340</v>
      </c>
    </row>
    <row r="149" spans="1:20" ht="15" thickBot="1">
      <c r="B149" s="76" t="s">
        <v>118</v>
      </c>
      <c r="D149" s="84">
        <f>SUM(D144:D148)</f>
        <v>181999</v>
      </c>
      <c r="E149" s="84">
        <f>SUM(E144:E148)</f>
        <v>191047</v>
      </c>
    </row>
    <row r="150" spans="1:20" ht="15" thickTop="1">
      <c r="A150" s="43">
        <v>18</v>
      </c>
      <c r="B150" s="2677" t="s">
        <v>197</v>
      </c>
      <c r="C150" s="2678" t="s">
        <v>781</v>
      </c>
      <c r="Q150" s="12"/>
      <c r="T150"/>
    </row>
    <row r="151" spans="1:20">
      <c r="B151" s="2866"/>
      <c r="D151" s="2867">
        <v>2009</v>
      </c>
      <c r="E151" s="2867">
        <v>2008</v>
      </c>
    </row>
    <row r="152" spans="1:20">
      <c r="B152" s="2868" t="s">
        <v>452</v>
      </c>
      <c r="D152" s="2815">
        <v>112024.89138000002</v>
      </c>
      <c r="E152" s="2815">
        <v>85246.239640000014</v>
      </c>
    </row>
    <row r="153" spans="1:20">
      <c r="B153" s="2868" t="s">
        <v>453</v>
      </c>
      <c r="D153" s="2815">
        <v>0</v>
      </c>
      <c r="E153" s="2815">
        <v>0</v>
      </c>
    </row>
    <row r="154" spans="1:20">
      <c r="B154" s="2868" t="s">
        <v>462</v>
      </c>
      <c r="D154" s="2815">
        <v>648904.55163</v>
      </c>
      <c r="E154" s="2815">
        <v>593449.57995999977</v>
      </c>
    </row>
    <row r="155" spans="1:20">
      <c r="B155" s="2868" t="s">
        <v>844</v>
      </c>
      <c r="D155" s="2815">
        <v>0</v>
      </c>
      <c r="E155" s="2815">
        <v>0</v>
      </c>
    </row>
    <row r="156" spans="1:20">
      <c r="B156" s="2868" t="s">
        <v>465</v>
      </c>
      <c r="D156" s="2815">
        <v>0</v>
      </c>
      <c r="E156" s="2815">
        <v>0</v>
      </c>
    </row>
    <row r="157" spans="1:20" ht="15" thickBot="1">
      <c r="B157" s="76" t="s">
        <v>118</v>
      </c>
      <c r="D157" s="84">
        <f>SUM(D152:D156)</f>
        <v>760929.44301000005</v>
      </c>
      <c r="E157" s="84">
        <f>SUM(E152:E156)</f>
        <v>678695.81959999981</v>
      </c>
    </row>
    <row r="158" spans="1:20" ht="15" thickTop="1"/>
  </sheetData>
  <customSheetViews>
    <customSheetView guid="{2ACFE167-4169-43A6-9AB2-59D5A2DA2DB4}" showPageBreaks="1" state="hidden">
      <pane xSplit="2" ySplit="1" topLeftCell="C2" activePane="bottomRight" state="frozen"/>
      <selection pane="bottomRight" activeCell="F106" sqref="F106"/>
      <pageMargins left="0" right="0" top="0" bottom="0" header="0" footer="0"/>
      <pageSetup orientation="portrait" r:id="rId1"/>
    </customSheetView>
    <customSheetView guid="{967E0446-E234-427F-8E57-7FE287052E2E}" showPageBreaks="1" state="hidden">
      <pane xSplit="2" ySplit="1" topLeftCell="C2" activePane="bottomRight" state="frozen"/>
      <selection pane="bottomRight" activeCell="F106" sqref="F106"/>
      <pageMargins left="0" right="0" top="0" bottom="0" header="0" footer="0"/>
      <pageSetup orientation="portrait" r:id="rId2"/>
    </customSheetView>
    <customSheetView guid="{B2E1A0C6-5BA1-4CF1-B412-16D81FCDF11F}" state="hidden">
      <pane xSplit="2" ySplit="1" topLeftCell="C2" activePane="bottomRight" state="frozen"/>
      <selection pane="bottomRight" activeCell="F106" sqref="F106"/>
      <pageMargins left="0" right="0" top="0" bottom="0" header="0" footer="0"/>
      <pageSetup orientation="portrait" r:id="rId3"/>
    </customSheetView>
    <customSheetView guid="{46F31544-8E6F-41C5-8628-1D6EE074AF15}" state="hidden">
      <pane xSplit="2" ySplit="1" topLeftCell="C2" activePane="bottomRight" state="frozen"/>
      <selection pane="bottomRight" activeCell="F106" sqref="F106"/>
      <pageMargins left="0" right="0" top="0" bottom="0" header="0" footer="0"/>
      <pageSetup orientation="portrait" r:id="rId4"/>
    </customSheetView>
    <customSheetView guid="{E82B35BE-4719-4C53-A9EF-1CC6F153A6F3}" state="hidden">
      <pane xSplit="2" ySplit="1" topLeftCell="C2" activePane="bottomRight" state="frozen"/>
      <selection pane="bottomRight" activeCell="F106" sqref="F106"/>
      <pageMargins left="0" right="0" top="0" bottom="0" header="0" footer="0"/>
      <pageSetup orientation="portrait" r:id="rId5"/>
    </customSheetView>
    <customSheetView guid="{B1E1B596-A9A1-411D-A882-A48CB025B978}" state="hidden">
      <pane xSplit="2" ySplit="1" topLeftCell="C2" activePane="bottomRight" state="frozen"/>
      <selection pane="bottomRight" activeCell="F106" sqref="F106"/>
      <pageMargins left="0" right="0" top="0" bottom="0" header="0" footer="0"/>
      <pageSetup orientation="portrait" r:id="rId6"/>
    </customSheetView>
    <customSheetView guid="{5E394B0B-7867-4722-9497-A93AB2A9A773}" showPageBreaks="1" state="hidden">
      <pane xSplit="2" ySplit="1" topLeftCell="C2" activePane="bottomRight" state="frozen"/>
      <selection pane="bottomRight" activeCell="F106" sqref="F106"/>
      <pageMargins left="0" right="0" top="0" bottom="0" header="0" footer="0"/>
      <pageSetup orientation="portrait" r:id="rId7"/>
    </customSheetView>
  </customSheetViews>
  <pageMargins left="0.7" right="0.7" top="0.75" bottom="0.75" header="0.3" footer="0.3"/>
  <pageSetup orientation="portrait" r:id="rId8"/>
  <ignoredErrors>
    <ignoredError sqref="D53:E53 D61:E61 D45:E45 D37:E37" formulaRange="1"/>
  </ignoredErrors>
</worksheet>
</file>

<file path=xl/worksheets/sheet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Sheet2">
    <tabColor rgb="FFFFC000"/>
  </sheetPr>
  <dimension ref="A1:Q180"/>
  <sheetViews>
    <sheetView workbookViewId="0">
      <selection activeCell="D25" sqref="D25"/>
    </sheetView>
  </sheetViews>
  <sheetFormatPr defaultRowHeight="14.45"/>
  <cols>
    <col min="1" max="1" width="5.140625" customWidth="1"/>
    <col min="2" max="2" width="19" customWidth="1"/>
    <col min="3" max="3" width="13.5703125" customWidth="1"/>
    <col min="4" max="4" width="14.85546875" customWidth="1"/>
    <col min="5" max="6" width="15.42578125" customWidth="1"/>
    <col min="7" max="7" width="14.7109375" customWidth="1"/>
  </cols>
  <sheetData>
    <row r="1" spans="2:7">
      <c r="B1" s="150" t="s">
        <v>615</v>
      </c>
    </row>
    <row r="2" spans="2:7">
      <c r="B2" s="2725" t="s">
        <v>845</v>
      </c>
    </row>
    <row r="3" spans="2:7">
      <c r="B3" s="3604" t="s">
        <v>730</v>
      </c>
      <c r="C3" s="3680" t="s">
        <v>438</v>
      </c>
      <c r="D3" s="3680"/>
      <c r="E3" s="3680"/>
      <c r="F3" s="94"/>
    </row>
    <row r="4" spans="2:7" ht="43.15">
      <c r="B4" s="3604"/>
      <c r="C4" s="2870" t="s">
        <v>846</v>
      </c>
      <c r="D4" s="2870" t="s">
        <v>443</v>
      </c>
      <c r="E4" s="1693" t="s">
        <v>847</v>
      </c>
      <c r="F4" s="1693" t="s">
        <v>848</v>
      </c>
      <c r="G4" s="2871" t="s">
        <v>849</v>
      </c>
    </row>
    <row r="5" spans="2:7">
      <c r="B5" s="2543">
        <v>2007</v>
      </c>
      <c r="C5" s="2872">
        <f>+C167</f>
        <v>1240339</v>
      </c>
      <c r="D5" s="2872">
        <f>+D167</f>
        <v>498110</v>
      </c>
      <c r="E5" s="2873">
        <f>+[45]Sheet2!$G$13</f>
        <v>3125794</v>
      </c>
      <c r="F5" s="2873">
        <f>+[45]Sheet2!$G$25</f>
        <v>297892</v>
      </c>
      <c r="G5" s="2872">
        <f>+E167</f>
        <v>0</v>
      </c>
    </row>
    <row r="6" spans="2:7">
      <c r="B6" s="2543">
        <v>2008</v>
      </c>
      <c r="C6" s="2872">
        <f>+C141</f>
        <v>1205245</v>
      </c>
      <c r="D6" s="2872">
        <f>+D141</f>
        <v>670460</v>
      </c>
      <c r="E6" s="2873">
        <f>+[45]Sheet2!$H$13</f>
        <v>3390993</v>
      </c>
      <c r="F6" s="2873">
        <f>+[45]Sheet2!$H$25</f>
        <v>265199</v>
      </c>
      <c r="G6" s="2872">
        <f>+E141</f>
        <v>0</v>
      </c>
    </row>
    <row r="7" spans="2:7">
      <c r="B7" s="2543">
        <v>2009</v>
      </c>
      <c r="C7" s="2872">
        <f>+C115</f>
        <v>1415020</v>
      </c>
      <c r="D7" s="2872">
        <f>+D115</f>
        <v>892972</v>
      </c>
      <c r="E7" s="2873">
        <f>+[45]Sheet2!$I$13</f>
        <v>3595068</v>
      </c>
      <c r="F7" s="2873">
        <f>+[45]Sheet2!$I$25</f>
        <v>204075</v>
      </c>
      <c r="G7" s="2872">
        <f>+E115</f>
        <v>0</v>
      </c>
    </row>
    <row r="8" spans="2:7">
      <c r="B8" s="2543">
        <v>2010</v>
      </c>
      <c r="C8" s="2872">
        <f>+C89</f>
        <v>1591047</v>
      </c>
      <c r="D8" s="2872">
        <f>+D89</f>
        <v>1066899</v>
      </c>
      <c r="E8" s="2873">
        <f>+[45]Sheet2!$J$13</f>
        <v>3954311</v>
      </c>
      <c r="F8" s="2873">
        <f>+[45]Sheet2!$J$25</f>
        <v>359243</v>
      </c>
      <c r="G8" s="2872">
        <f>+E89</f>
        <v>0</v>
      </c>
    </row>
    <row r="9" spans="2:7">
      <c r="B9" s="2543">
        <v>2011</v>
      </c>
      <c r="C9" s="2872">
        <f>+C63</f>
        <v>1867731</v>
      </c>
      <c r="D9" s="2872">
        <f>+D63</f>
        <v>1325633</v>
      </c>
      <c r="E9" s="2873"/>
      <c r="F9" s="2873"/>
      <c r="G9" s="2872">
        <f>+E63</f>
        <v>0</v>
      </c>
    </row>
    <row r="10" spans="2:7">
      <c r="B10" s="2543">
        <v>2012</v>
      </c>
      <c r="C10" s="2872">
        <f>+C36</f>
        <v>2026197</v>
      </c>
      <c r="D10" s="2872">
        <f>+D36</f>
        <v>1417200</v>
      </c>
      <c r="E10" s="2873"/>
      <c r="F10" s="2873"/>
      <c r="G10" s="2872">
        <f>+E36</f>
        <v>0</v>
      </c>
    </row>
    <row r="11" spans="2:7">
      <c r="C11" s="194"/>
      <c r="D11" s="194"/>
      <c r="E11" s="49"/>
      <c r="F11" s="49"/>
      <c r="G11" s="194"/>
    </row>
    <row r="14" spans="2:7" ht="15" customHeight="1">
      <c r="B14" s="2725" t="s">
        <v>850</v>
      </c>
    </row>
    <row r="15" spans="2:7">
      <c r="B15" s="3604" t="s">
        <v>730</v>
      </c>
      <c r="C15" s="3680" t="s">
        <v>438</v>
      </c>
      <c r="D15" s="3680"/>
      <c r="E15" s="3680"/>
      <c r="F15" s="94"/>
    </row>
    <row r="16" spans="2:7" ht="22.9">
      <c r="B16" s="3604"/>
      <c r="C16" s="2870" t="s">
        <v>846</v>
      </c>
      <c r="D16" s="2870" t="s">
        <v>443</v>
      </c>
      <c r="E16" s="2871" t="s">
        <v>849</v>
      </c>
      <c r="F16" s="95"/>
    </row>
    <row r="17" spans="1:17">
      <c r="A17" s="58">
        <v>1</v>
      </c>
      <c r="B17" s="2553" t="s">
        <v>177</v>
      </c>
      <c r="C17" s="2874">
        <v>693</v>
      </c>
      <c r="D17" s="2874">
        <v>18672</v>
      </c>
      <c r="E17" s="2874"/>
      <c r="F17" s="96"/>
    </row>
    <row r="18" spans="1:17">
      <c r="A18" s="58">
        <v>2</v>
      </c>
      <c r="B18" s="2554" t="s">
        <v>179</v>
      </c>
      <c r="C18" s="2875"/>
      <c r="D18" s="2442">
        <v>3391</v>
      </c>
      <c r="E18" s="2442"/>
      <c r="F18" s="97"/>
      <c r="J18" s="45"/>
      <c r="K18" s="45"/>
      <c r="L18" s="45"/>
      <c r="M18" s="45"/>
      <c r="N18" s="45"/>
      <c r="O18" s="45"/>
      <c r="P18" s="45"/>
      <c r="Q18" s="45"/>
    </row>
    <row r="19" spans="1:17">
      <c r="A19" s="58">
        <v>3</v>
      </c>
      <c r="B19" s="2553" t="s">
        <v>181</v>
      </c>
      <c r="C19" s="1786">
        <v>3616</v>
      </c>
      <c r="D19" s="1786">
        <v>68489</v>
      </c>
      <c r="E19" s="2442"/>
      <c r="F19" s="97"/>
      <c r="J19" s="45"/>
      <c r="K19" s="45"/>
      <c r="L19" s="45"/>
      <c r="M19" s="45"/>
      <c r="N19" s="45"/>
      <c r="O19" s="45"/>
      <c r="P19" s="45"/>
      <c r="Q19" s="45"/>
    </row>
    <row r="20" spans="1:17">
      <c r="A20" s="58">
        <v>4</v>
      </c>
      <c r="B20" s="2553" t="s">
        <v>182</v>
      </c>
      <c r="C20" s="2442">
        <v>85034</v>
      </c>
      <c r="D20" s="2442">
        <v>32921</v>
      </c>
      <c r="E20" s="2442"/>
      <c r="F20" s="97"/>
      <c r="J20" s="45"/>
      <c r="K20" s="45"/>
      <c r="L20" s="45"/>
      <c r="M20" s="45"/>
      <c r="N20" s="45"/>
      <c r="O20" s="45"/>
      <c r="P20" s="45"/>
      <c r="Q20" s="45"/>
    </row>
    <row r="21" spans="1:17">
      <c r="A21" s="58">
        <v>5</v>
      </c>
      <c r="B21" s="2554" t="s">
        <v>183</v>
      </c>
      <c r="C21" s="2875"/>
      <c r="D21" s="2875"/>
      <c r="E21" s="2442"/>
      <c r="F21" s="97"/>
      <c r="J21" s="45"/>
      <c r="K21" s="45"/>
      <c r="L21" s="45"/>
      <c r="M21" s="45"/>
      <c r="N21" s="45"/>
      <c r="O21" s="45"/>
      <c r="P21" s="45"/>
      <c r="Q21" s="45"/>
    </row>
    <row r="22" spans="1:17">
      <c r="A22" s="58">
        <v>6</v>
      </c>
      <c r="B22" s="2554" t="s">
        <v>184</v>
      </c>
      <c r="C22" s="3184">
        <v>551</v>
      </c>
      <c r="D22" s="3184">
        <v>44274</v>
      </c>
      <c r="E22" s="2442"/>
      <c r="F22" s="97"/>
      <c r="J22" s="45"/>
      <c r="K22" s="45"/>
      <c r="L22" s="45"/>
      <c r="M22" s="45"/>
      <c r="N22" s="45"/>
      <c r="O22" s="45"/>
      <c r="P22" s="45"/>
      <c r="Q22" s="45"/>
    </row>
    <row r="23" spans="1:17">
      <c r="A23" s="58">
        <v>7</v>
      </c>
      <c r="B23" s="2553" t="s">
        <v>185</v>
      </c>
      <c r="C23" s="2698">
        <v>665580</v>
      </c>
      <c r="D23" s="2698">
        <v>231095</v>
      </c>
      <c r="E23" s="2698"/>
      <c r="F23" s="107"/>
      <c r="J23" s="45"/>
      <c r="K23" s="45"/>
      <c r="L23" s="45"/>
      <c r="M23" s="45"/>
      <c r="N23" s="45"/>
      <c r="O23" s="45"/>
      <c r="P23" s="45"/>
      <c r="Q23" s="45"/>
    </row>
    <row r="24" spans="1:17">
      <c r="A24" s="58">
        <v>8</v>
      </c>
      <c r="B24" s="2553" t="s">
        <v>186</v>
      </c>
      <c r="C24" s="2442">
        <v>243305</v>
      </c>
      <c r="D24" s="2442">
        <v>77926</v>
      </c>
      <c r="E24" s="2442"/>
      <c r="F24" s="97"/>
      <c r="J24" s="45"/>
      <c r="K24" s="45"/>
      <c r="L24" s="45"/>
      <c r="M24" s="45"/>
      <c r="N24" s="45"/>
      <c r="O24" s="45"/>
      <c r="P24" s="45"/>
      <c r="Q24" s="45"/>
    </row>
    <row r="25" spans="1:17">
      <c r="A25" s="58">
        <v>9</v>
      </c>
      <c r="B25" s="2554" t="s">
        <v>187</v>
      </c>
      <c r="C25" s="2442"/>
      <c r="D25" s="2442"/>
      <c r="E25" s="2442"/>
      <c r="F25" s="97"/>
      <c r="J25" s="45"/>
      <c r="K25" s="45"/>
      <c r="L25" s="45"/>
      <c r="M25" s="45"/>
      <c r="N25" s="45"/>
      <c r="O25" s="45"/>
      <c r="P25" s="45"/>
      <c r="Q25" s="45"/>
    </row>
    <row r="26" spans="1:17">
      <c r="A26" s="81">
        <v>10</v>
      </c>
      <c r="B26" s="1772" t="s">
        <v>188</v>
      </c>
      <c r="C26" s="2442">
        <v>4607</v>
      </c>
      <c r="D26" s="2442">
        <v>46412</v>
      </c>
      <c r="E26" s="2442"/>
      <c r="F26" s="103"/>
      <c r="G26" t="s">
        <v>851</v>
      </c>
      <c r="J26" s="45"/>
      <c r="K26" s="45"/>
      <c r="L26" s="45"/>
      <c r="M26" s="45"/>
      <c r="N26" s="45"/>
      <c r="O26" s="45"/>
      <c r="P26" s="45"/>
      <c r="Q26" s="45"/>
    </row>
    <row r="27" spans="1:17">
      <c r="A27" s="58">
        <v>11</v>
      </c>
      <c r="B27" s="2553" t="s">
        <v>189</v>
      </c>
      <c r="C27" s="2442">
        <v>133617</v>
      </c>
      <c r="D27" s="2442">
        <v>251737</v>
      </c>
      <c r="E27" s="2442"/>
      <c r="F27" s="97"/>
      <c r="J27" s="45"/>
      <c r="K27" s="45"/>
      <c r="L27" s="45"/>
      <c r="M27" s="45"/>
      <c r="N27" s="45"/>
      <c r="O27" s="45"/>
      <c r="P27" s="45"/>
      <c r="Q27" s="45"/>
    </row>
    <row r="28" spans="1:17">
      <c r="A28" s="58">
        <v>12</v>
      </c>
      <c r="B28" s="2553" t="s">
        <v>191</v>
      </c>
      <c r="C28" s="2442">
        <f>+'[46]Sheet 2 - General Insurance'!$E$15</f>
        <v>188</v>
      </c>
      <c r="D28" s="2442">
        <f>+'[46]Sheet 2 - General Insurance'!$F$15</f>
        <v>91145</v>
      </c>
      <c r="E28" s="2442"/>
      <c r="F28" s="97"/>
      <c r="J28" s="45"/>
      <c r="K28" s="45"/>
      <c r="L28" s="45"/>
      <c r="M28" s="45"/>
      <c r="N28" s="45"/>
      <c r="O28" s="45"/>
      <c r="P28" s="45"/>
      <c r="Q28" s="45"/>
    </row>
    <row r="29" spans="1:17">
      <c r="A29" s="58">
        <v>13</v>
      </c>
      <c r="B29" s="2553" t="s">
        <v>192</v>
      </c>
      <c r="C29" s="2876">
        <f>+'[47]Sheet 2 - General Insurance'!$E$15</f>
        <v>17603</v>
      </c>
      <c r="D29" s="2876">
        <f>+'[47]Sheet 2 - General Insurance'!$F$15</f>
        <v>30848</v>
      </c>
      <c r="E29" s="2876"/>
      <c r="F29" s="97"/>
      <c r="J29" s="45"/>
      <c r="K29" s="45"/>
      <c r="L29" s="45"/>
      <c r="M29" s="45"/>
      <c r="N29" s="45"/>
      <c r="O29" s="45"/>
      <c r="P29" s="45"/>
      <c r="Q29" s="45"/>
    </row>
    <row r="30" spans="1:17">
      <c r="A30" s="58">
        <v>14</v>
      </c>
      <c r="B30" s="2554" t="s">
        <v>194</v>
      </c>
      <c r="C30" s="2876">
        <v>1621</v>
      </c>
      <c r="D30" s="2876">
        <v>76076</v>
      </c>
      <c r="E30" s="2876"/>
      <c r="F30" s="97"/>
      <c r="J30" s="45"/>
      <c r="K30" s="45"/>
      <c r="L30" s="45"/>
      <c r="M30" s="45"/>
      <c r="N30" s="45"/>
      <c r="O30" s="45"/>
      <c r="P30" s="45"/>
      <c r="Q30" s="45"/>
    </row>
    <row r="31" spans="1:17">
      <c r="A31" s="58">
        <v>15</v>
      </c>
      <c r="B31" s="2553" t="s">
        <v>195</v>
      </c>
      <c r="C31" s="2876">
        <v>842201</v>
      </c>
      <c r="D31" s="2876">
        <v>325525</v>
      </c>
      <c r="E31" s="2876"/>
      <c r="F31" s="97"/>
      <c r="J31" s="45"/>
      <c r="K31" s="45"/>
      <c r="L31" s="45"/>
      <c r="M31" s="45"/>
      <c r="N31" s="45"/>
      <c r="O31" s="45"/>
      <c r="P31" s="45"/>
      <c r="Q31" s="45"/>
    </row>
    <row r="32" spans="1:17">
      <c r="A32" s="58">
        <v>16</v>
      </c>
      <c r="B32" s="2553" t="s">
        <v>196</v>
      </c>
      <c r="C32" s="2876">
        <v>27271</v>
      </c>
      <c r="D32" s="2876">
        <v>12269</v>
      </c>
      <c r="E32" s="2876"/>
      <c r="F32" s="97"/>
      <c r="J32" s="45"/>
      <c r="K32" s="45"/>
      <c r="L32" s="45"/>
      <c r="M32" s="45"/>
      <c r="N32" s="45"/>
      <c r="O32" s="45"/>
      <c r="P32" s="45"/>
      <c r="Q32" s="45"/>
    </row>
    <row r="33" spans="1:17">
      <c r="A33" s="58">
        <v>17</v>
      </c>
      <c r="B33" s="2553" t="s">
        <v>197</v>
      </c>
      <c r="C33" s="2876"/>
      <c r="D33" s="2876">
        <f>+'[48]Sheet 2 - General Insurance'!$F$15</f>
        <v>98698</v>
      </c>
      <c r="E33" s="2876"/>
      <c r="F33" s="97"/>
      <c r="J33" s="45"/>
      <c r="K33" s="45"/>
      <c r="L33" s="45"/>
      <c r="M33" s="45"/>
      <c r="N33" s="45"/>
      <c r="O33" s="45"/>
      <c r="P33" s="45"/>
      <c r="Q33" s="45"/>
    </row>
    <row r="34" spans="1:17">
      <c r="A34" s="58">
        <v>18</v>
      </c>
      <c r="B34" s="2554" t="s">
        <v>193</v>
      </c>
      <c r="C34" s="3185">
        <v>310</v>
      </c>
      <c r="D34" s="3185">
        <v>7722</v>
      </c>
      <c r="E34" s="2876"/>
      <c r="F34" s="97"/>
      <c r="J34" s="45"/>
      <c r="K34" s="45"/>
      <c r="L34" s="45"/>
      <c r="M34" s="45"/>
      <c r="N34" s="45"/>
      <c r="O34" s="45"/>
      <c r="P34" s="45"/>
      <c r="Q34" s="45"/>
    </row>
    <row r="35" spans="1:17">
      <c r="A35" s="58">
        <v>19</v>
      </c>
      <c r="B35" s="2554" t="s">
        <v>110</v>
      </c>
      <c r="C35" s="2876"/>
      <c r="D35" s="2876"/>
      <c r="E35" s="2876"/>
      <c r="F35" s="97"/>
      <c r="J35" s="45"/>
      <c r="K35" s="45"/>
      <c r="L35" s="45"/>
      <c r="M35" s="45"/>
      <c r="N35" s="45"/>
      <c r="O35" s="45"/>
      <c r="P35" s="45"/>
      <c r="Q35" s="45"/>
    </row>
    <row r="36" spans="1:17">
      <c r="B36" s="2736" t="s">
        <v>118</v>
      </c>
      <c r="C36" s="2877">
        <f>SUM(C17:C35)</f>
        <v>2026197</v>
      </c>
      <c r="D36" s="2877">
        <f>SUM(D17:D35)</f>
        <v>1417200</v>
      </c>
      <c r="E36" s="2877">
        <f>SUM(E17:E35)</f>
        <v>0</v>
      </c>
      <c r="F36" s="50"/>
    </row>
    <row r="37" spans="1:17">
      <c r="B37" s="46"/>
      <c r="C37" s="50"/>
      <c r="D37" s="50"/>
      <c r="E37" s="50"/>
      <c r="F37" s="50"/>
    </row>
    <row r="41" spans="1:17" ht="15" customHeight="1">
      <c r="B41" s="2725" t="s">
        <v>852</v>
      </c>
    </row>
    <row r="42" spans="1:17">
      <c r="B42" s="3604" t="s">
        <v>730</v>
      </c>
      <c r="C42" s="3680" t="s">
        <v>438</v>
      </c>
      <c r="D42" s="3680"/>
      <c r="E42" s="3680"/>
      <c r="F42" s="94"/>
    </row>
    <row r="43" spans="1:17" ht="22.9">
      <c r="B43" s="3604"/>
      <c r="C43" s="2870" t="s">
        <v>846</v>
      </c>
      <c r="D43" s="2870" t="s">
        <v>443</v>
      </c>
      <c r="E43" s="2871" t="s">
        <v>849</v>
      </c>
      <c r="F43" s="95"/>
    </row>
    <row r="44" spans="1:17">
      <c r="A44" s="58">
        <v>1</v>
      </c>
      <c r="B44" s="2553" t="s">
        <v>177</v>
      </c>
      <c r="C44" s="2874">
        <v>527</v>
      </c>
      <c r="D44" s="2874">
        <v>8788</v>
      </c>
      <c r="E44" s="2874"/>
      <c r="F44" s="96"/>
    </row>
    <row r="45" spans="1:17">
      <c r="A45" s="58">
        <v>2</v>
      </c>
      <c r="B45" s="2554" t="s">
        <v>179</v>
      </c>
      <c r="C45" s="2875"/>
      <c r="D45" s="2442">
        <v>2214</v>
      </c>
      <c r="E45" s="2442"/>
      <c r="F45" s="97"/>
      <c r="J45" s="45"/>
      <c r="K45" s="45"/>
      <c r="L45" s="45"/>
      <c r="M45" s="45"/>
      <c r="N45" s="45"/>
      <c r="O45" s="45"/>
      <c r="P45" s="45"/>
      <c r="Q45" s="45"/>
    </row>
    <row r="46" spans="1:17">
      <c r="A46" s="58">
        <v>3</v>
      </c>
      <c r="B46" s="2553" t="s">
        <v>181</v>
      </c>
      <c r="C46" s="2442">
        <v>8485</v>
      </c>
      <c r="D46" s="2442">
        <v>77023</v>
      </c>
      <c r="E46" s="2442"/>
      <c r="F46" s="97"/>
      <c r="J46" s="45"/>
      <c r="K46" s="45"/>
      <c r="L46" s="45"/>
      <c r="M46" s="45"/>
      <c r="N46" s="45"/>
      <c r="O46" s="45"/>
      <c r="P46" s="45"/>
      <c r="Q46" s="45"/>
    </row>
    <row r="47" spans="1:17">
      <c r="A47" s="58">
        <v>4</v>
      </c>
      <c r="B47" s="2553" t="s">
        <v>182</v>
      </c>
      <c r="C47" s="3186">
        <v>72377</v>
      </c>
      <c r="D47" s="3186">
        <v>25296</v>
      </c>
      <c r="E47" s="2442"/>
      <c r="F47" s="97"/>
      <c r="J47" s="45"/>
      <c r="K47" s="45"/>
      <c r="L47" s="45"/>
      <c r="M47" s="45"/>
      <c r="N47" s="45"/>
      <c r="O47" s="45"/>
      <c r="P47" s="45"/>
      <c r="Q47" s="45"/>
    </row>
    <row r="48" spans="1:17">
      <c r="A48" s="58">
        <v>5</v>
      </c>
      <c r="B48" s="2878" t="s">
        <v>183</v>
      </c>
      <c r="C48" s="2879">
        <v>0</v>
      </c>
      <c r="D48" s="2879">
        <v>17736</v>
      </c>
      <c r="E48" s="2880"/>
      <c r="F48" s="97"/>
      <c r="J48" s="45"/>
      <c r="K48" s="45"/>
      <c r="L48" s="45"/>
      <c r="M48" s="45"/>
      <c r="N48" s="45"/>
      <c r="O48" s="45"/>
      <c r="P48" s="45"/>
      <c r="Q48" s="45"/>
    </row>
    <row r="49" spans="1:17">
      <c r="A49" s="58">
        <v>6</v>
      </c>
      <c r="B49" s="2554" t="s">
        <v>184</v>
      </c>
      <c r="C49" s="206">
        <v>0</v>
      </c>
      <c r="D49" s="206">
        <v>35364</v>
      </c>
      <c r="E49" s="2442"/>
      <c r="F49" s="97"/>
      <c r="J49" s="45"/>
      <c r="K49" s="45"/>
      <c r="L49" s="45"/>
      <c r="M49" s="45"/>
      <c r="N49" s="45"/>
      <c r="O49" s="45"/>
      <c r="P49" s="45"/>
      <c r="Q49" s="45"/>
    </row>
    <row r="50" spans="1:17">
      <c r="A50" s="58">
        <v>7</v>
      </c>
      <c r="B50" s="2553" t="s">
        <v>185</v>
      </c>
      <c r="C50" s="2698">
        <v>815026</v>
      </c>
      <c r="D50" s="2698">
        <v>131507</v>
      </c>
      <c r="E50" s="2698"/>
      <c r="F50" s="107"/>
      <c r="J50" s="45"/>
      <c r="K50" s="45"/>
      <c r="L50" s="45"/>
      <c r="M50" s="45"/>
      <c r="N50" s="45"/>
      <c r="O50" s="45"/>
      <c r="P50" s="45"/>
      <c r="Q50" s="45"/>
    </row>
    <row r="51" spans="1:17">
      <c r="A51" s="58">
        <v>8</v>
      </c>
      <c r="B51" s="2553" t="s">
        <v>186</v>
      </c>
      <c r="C51" s="2442">
        <v>101266</v>
      </c>
      <c r="D51" s="2442">
        <v>63072</v>
      </c>
      <c r="E51" s="2442"/>
      <c r="F51" s="97"/>
      <c r="J51" s="45"/>
      <c r="K51" s="45"/>
      <c r="L51" s="45"/>
      <c r="M51" s="45"/>
      <c r="N51" s="45"/>
      <c r="O51" s="45"/>
      <c r="P51" s="45"/>
      <c r="Q51" s="45"/>
    </row>
    <row r="52" spans="1:17">
      <c r="A52" s="58">
        <v>9</v>
      </c>
      <c r="B52" s="2554" t="s">
        <v>187</v>
      </c>
      <c r="C52" s="2442"/>
      <c r="D52" s="2442"/>
      <c r="E52" s="2442"/>
      <c r="F52" s="97"/>
      <c r="J52" s="45"/>
      <c r="K52" s="45"/>
      <c r="L52" s="45"/>
      <c r="M52" s="45"/>
      <c r="N52" s="45"/>
      <c r="O52" s="45"/>
      <c r="P52" s="45"/>
      <c r="Q52" s="45"/>
    </row>
    <row r="53" spans="1:17">
      <c r="A53" s="81">
        <v>10</v>
      </c>
      <c r="B53" s="1772" t="s">
        <v>188</v>
      </c>
      <c r="C53" s="2442">
        <v>6676</v>
      </c>
      <c r="D53" s="2442">
        <v>66642</v>
      </c>
      <c r="E53" s="2442"/>
      <c r="F53" s="103"/>
      <c r="G53" t="s">
        <v>851</v>
      </c>
      <c r="J53" s="45"/>
      <c r="K53" s="45"/>
      <c r="L53" s="45"/>
      <c r="M53" s="45"/>
      <c r="N53" s="45"/>
      <c r="O53" s="45"/>
      <c r="P53" s="45"/>
      <c r="Q53" s="45"/>
    </row>
    <row r="54" spans="1:17">
      <c r="A54" s="58">
        <v>11</v>
      </c>
      <c r="B54" s="2553" t="s">
        <v>189</v>
      </c>
      <c r="C54" s="2881"/>
      <c r="D54" s="2442">
        <v>373127</v>
      </c>
      <c r="E54" s="2442"/>
      <c r="F54" s="97"/>
      <c r="J54" s="45"/>
      <c r="K54" s="45"/>
      <c r="L54" s="45"/>
      <c r="M54" s="45"/>
      <c r="N54" s="45"/>
      <c r="O54" s="45"/>
      <c r="P54" s="45"/>
      <c r="Q54" s="45"/>
    </row>
    <row r="55" spans="1:17">
      <c r="A55" s="58">
        <v>12</v>
      </c>
      <c r="B55" s="2553" t="s">
        <v>191</v>
      </c>
      <c r="C55" s="2876">
        <v>0</v>
      </c>
      <c r="D55" s="2876">
        <f>+'[46]Sheet 2 - General Insurance'!$F$16</f>
        <v>28290</v>
      </c>
      <c r="E55" s="2876"/>
      <c r="F55" s="97"/>
      <c r="J55" s="45"/>
      <c r="K55" s="45"/>
      <c r="L55" s="45"/>
      <c r="M55" s="45"/>
      <c r="N55" s="45"/>
      <c r="O55" s="45"/>
      <c r="P55" s="45"/>
      <c r="Q55" s="45"/>
    </row>
    <row r="56" spans="1:17">
      <c r="A56" s="58">
        <v>13</v>
      </c>
      <c r="B56" s="2553" t="s">
        <v>192</v>
      </c>
      <c r="C56" s="2876">
        <v>0</v>
      </c>
      <c r="D56" s="2876">
        <f>+'[47]Sheet 2 - General Insurance'!$F$16</f>
        <v>29587</v>
      </c>
      <c r="E56" s="2876"/>
      <c r="F56" s="97"/>
      <c r="J56" s="45"/>
      <c r="K56" s="45"/>
      <c r="L56" s="45"/>
      <c r="M56" s="45"/>
      <c r="N56" s="45"/>
      <c r="O56" s="45"/>
      <c r="P56" s="45"/>
      <c r="Q56" s="45"/>
    </row>
    <row r="57" spans="1:17">
      <c r="A57" s="58">
        <v>14</v>
      </c>
      <c r="B57" s="2554" t="s">
        <v>194</v>
      </c>
      <c r="C57" s="2876">
        <v>1085</v>
      </c>
      <c r="D57" s="2876">
        <v>60946</v>
      </c>
      <c r="E57" s="2876"/>
      <c r="F57" s="97"/>
      <c r="J57" s="45"/>
      <c r="K57" s="45"/>
      <c r="L57" s="45"/>
      <c r="M57" s="45"/>
      <c r="N57" s="45"/>
      <c r="O57" s="45"/>
      <c r="P57" s="45"/>
      <c r="Q57" s="45"/>
    </row>
    <row r="58" spans="1:17">
      <c r="A58" s="58">
        <v>15</v>
      </c>
      <c r="B58" s="2553" t="s">
        <v>195</v>
      </c>
      <c r="C58" s="2876">
        <v>834132</v>
      </c>
      <c r="D58" s="2876">
        <v>298274</v>
      </c>
      <c r="E58" s="2876"/>
      <c r="F58" s="97"/>
      <c r="J58" s="45"/>
      <c r="K58" s="45"/>
      <c r="L58" s="45"/>
      <c r="M58" s="45"/>
      <c r="N58" s="45"/>
      <c r="O58" s="45"/>
      <c r="P58" s="45"/>
      <c r="Q58" s="45"/>
    </row>
    <row r="59" spans="1:17">
      <c r="A59" s="58">
        <v>16</v>
      </c>
      <c r="B59" s="2553" t="s">
        <v>196</v>
      </c>
      <c r="C59" s="2876">
        <v>24992</v>
      </c>
      <c r="D59" s="2876">
        <v>12187</v>
      </c>
      <c r="E59" s="2876"/>
      <c r="F59" s="97"/>
      <c r="J59" s="45"/>
      <c r="K59" s="45"/>
      <c r="L59" s="45"/>
      <c r="M59" s="45"/>
      <c r="N59" s="45"/>
      <c r="O59" s="45"/>
      <c r="P59" s="45"/>
      <c r="Q59" s="45"/>
    </row>
    <row r="60" spans="1:17">
      <c r="A60" s="58">
        <v>17</v>
      </c>
      <c r="B60" s="2553" t="s">
        <v>197</v>
      </c>
      <c r="C60" s="2876">
        <v>3159</v>
      </c>
      <c r="D60" s="2876">
        <v>95530</v>
      </c>
      <c r="E60" s="2876"/>
      <c r="F60" s="97"/>
      <c r="J60" s="45"/>
      <c r="K60" s="45"/>
      <c r="L60" s="45"/>
      <c r="M60" s="45"/>
      <c r="N60" s="45"/>
      <c r="O60" s="45"/>
      <c r="P60" s="45"/>
      <c r="Q60" s="45"/>
    </row>
    <row r="61" spans="1:17">
      <c r="A61" s="58">
        <v>18</v>
      </c>
      <c r="B61" s="2554" t="s">
        <v>193</v>
      </c>
      <c r="C61" s="2876">
        <v>6</v>
      </c>
      <c r="D61" s="2876">
        <v>50</v>
      </c>
      <c r="E61" s="2876"/>
      <c r="F61" s="97"/>
      <c r="J61" s="45"/>
      <c r="K61" s="45"/>
      <c r="L61" s="45"/>
      <c r="M61" s="45"/>
      <c r="N61" s="45"/>
      <c r="O61" s="45"/>
      <c r="P61" s="45"/>
      <c r="Q61" s="45"/>
    </row>
    <row r="62" spans="1:17">
      <c r="A62" s="58">
        <v>19</v>
      </c>
      <c r="B62" s="2554" t="s">
        <v>110</v>
      </c>
      <c r="C62" s="2876"/>
      <c r="D62" s="2876"/>
      <c r="E62" s="2876"/>
      <c r="F62" s="97"/>
      <c r="J62" s="45"/>
      <c r="K62" s="45"/>
      <c r="L62" s="45"/>
      <c r="M62" s="45"/>
      <c r="N62" s="45"/>
      <c r="O62" s="45"/>
      <c r="P62" s="45"/>
      <c r="Q62" s="45"/>
    </row>
    <row r="63" spans="1:17">
      <c r="B63" s="2736" t="s">
        <v>118</v>
      </c>
      <c r="C63" s="2877">
        <f>SUM(C44:C62)</f>
        <v>1867731</v>
      </c>
      <c r="D63" s="2877">
        <f>SUM(D44:D62)</f>
        <v>1325633</v>
      </c>
      <c r="E63" s="2877">
        <f>SUM(E44:E62)</f>
        <v>0</v>
      </c>
      <c r="F63" s="50"/>
    </row>
    <row r="64" spans="1:17">
      <c r="B64" s="46"/>
      <c r="C64" s="50"/>
      <c r="D64" s="50"/>
      <c r="E64" s="50"/>
      <c r="F64" s="50"/>
    </row>
    <row r="65" spans="1:6">
      <c r="B65" s="44"/>
    </row>
    <row r="67" spans="1:6">
      <c r="B67" s="2725" t="s">
        <v>853</v>
      </c>
    </row>
    <row r="68" spans="1:6">
      <c r="B68" s="3604" t="s">
        <v>730</v>
      </c>
      <c r="C68" s="3680" t="s">
        <v>438</v>
      </c>
      <c r="D68" s="3680"/>
      <c r="E68" s="3680"/>
      <c r="F68" s="94"/>
    </row>
    <row r="69" spans="1:6">
      <c r="B69" s="3604"/>
      <c r="C69" s="2870" t="s">
        <v>846</v>
      </c>
      <c r="D69" s="2870" t="s">
        <v>443</v>
      </c>
      <c r="E69" s="2871"/>
      <c r="F69" s="95"/>
    </row>
    <row r="70" spans="1:6">
      <c r="A70" s="58">
        <v>1</v>
      </c>
      <c r="B70" s="2553" t="s">
        <v>177</v>
      </c>
      <c r="C70" s="2874">
        <v>566</v>
      </c>
      <c r="D70" s="2874">
        <v>7911</v>
      </c>
      <c r="E70" s="2874"/>
      <c r="F70" s="96"/>
    </row>
    <row r="71" spans="1:6">
      <c r="A71" s="58">
        <v>2</v>
      </c>
      <c r="B71" s="2554" t="s">
        <v>179</v>
      </c>
      <c r="C71" s="2876"/>
      <c r="D71" s="2876"/>
      <c r="E71" s="2876"/>
      <c r="F71" s="97"/>
    </row>
    <row r="72" spans="1:6">
      <c r="A72" s="58">
        <v>3</v>
      </c>
      <c r="B72" s="2553" t="s">
        <v>181</v>
      </c>
      <c r="C72" s="2876">
        <v>3151</v>
      </c>
      <c r="D72" s="2876">
        <v>71071</v>
      </c>
      <c r="E72" s="2876"/>
      <c r="F72" s="97"/>
    </row>
    <row r="73" spans="1:6">
      <c r="A73" s="58">
        <v>4</v>
      </c>
      <c r="B73" s="2553" t="s">
        <v>182</v>
      </c>
      <c r="C73" s="2876">
        <v>54711</v>
      </c>
      <c r="D73" s="2876">
        <v>19102</v>
      </c>
      <c r="E73" s="2876"/>
      <c r="F73" s="97"/>
    </row>
    <row r="74" spans="1:6">
      <c r="A74" s="58">
        <v>5</v>
      </c>
      <c r="B74" s="2554" t="s">
        <v>183</v>
      </c>
      <c r="C74" s="2876">
        <v>0</v>
      </c>
      <c r="D74" s="2876">
        <v>15383</v>
      </c>
      <c r="E74" s="2876"/>
      <c r="F74" s="97"/>
    </row>
    <row r="75" spans="1:6">
      <c r="A75" s="58">
        <v>6</v>
      </c>
      <c r="B75" s="2554" t="s">
        <v>184</v>
      </c>
      <c r="C75" s="2876">
        <v>572</v>
      </c>
      <c r="D75" s="2876">
        <v>6312</v>
      </c>
      <c r="E75" s="2876"/>
      <c r="F75" s="97"/>
    </row>
    <row r="76" spans="1:6">
      <c r="A76" s="58">
        <v>7</v>
      </c>
      <c r="B76" s="2553" t="s">
        <v>185</v>
      </c>
      <c r="C76" s="2876">
        <v>554499</v>
      </c>
      <c r="D76" s="2876">
        <v>266406</v>
      </c>
      <c r="E76" s="2876"/>
      <c r="F76" s="97"/>
    </row>
    <row r="77" spans="1:6">
      <c r="A77" s="58">
        <v>8</v>
      </c>
      <c r="B77" s="2553" t="s">
        <v>186</v>
      </c>
      <c r="C77" s="2876">
        <v>12757</v>
      </c>
      <c r="D77" s="2876">
        <v>57719</v>
      </c>
      <c r="E77" s="2876"/>
      <c r="F77" s="97"/>
    </row>
    <row r="78" spans="1:6">
      <c r="A78" s="58">
        <v>9</v>
      </c>
      <c r="B78" s="2554" t="s">
        <v>187</v>
      </c>
      <c r="C78" s="2876"/>
      <c r="D78" s="2876"/>
      <c r="E78" s="2876"/>
      <c r="F78" s="97"/>
    </row>
    <row r="79" spans="1:6">
      <c r="A79" s="58">
        <v>10</v>
      </c>
      <c r="B79" s="2553" t="s">
        <v>188</v>
      </c>
      <c r="C79" s="2876">
        <v>3613</v>
      </c>
      <c r="D79" s="2876">
        <v>49053</v>
      </c>
      <c r="E79" s="2876"/>
      <c r="F79" s="97"/>
    </row>
    <row r="80" spans="1:6">
      <c r="A80" s="58">
        <v>11</v>
      </c>
      <c r="B80" s="2553" t="s">
        <v>189</v>
      </c>
      <c r="C80" s="2876">
        <v>119219</v>
      </c>
      <c r="D80" s="2876">
        <v>221939</v>
      </c>
      <c r="E80" s="2875"/>
      <c r="F80" s="97"/>
    </row>
    <row r="81" spans="1:6">
      <c r="A81" s="58">
        <v>12</v>
      </c>
      <c r="B81" s="2553" t="s">
        <v>191</v>
      </c>
      <c r="C81" s="2876"/>
      <c r="D81" s="2876"/>
      <c r="E81" s="2876"/>
      <c r="F81" s="97"/>
    </row>
    <row r="82" spans="1:6">
      <c r="A82" s="58">
        <v>13</v>
      </c>
      <c r="B82" s="2553" t="s">
        <v>192</v>
      </c>
      <c r="C82" s="2876">
        <v>0</v>
      </c>
      <c r="D82" s="2876">
        <v>25652</v>
      </c>
      <c r="E82" s="2876"/>
      <c r="F82" s="97"/>
    </row>
    <row r="83" spans="1:6">
      <c r="A83" s="58">
        <v>14</v>
      </c>
      <c r="B83" s="2554" t="s">
        <v>194</v>
      </c>
      <c r="C83" s="2876">
        <v>3</v>
      </c>
      <c r="D83" s="2876">
        <v>480</v>
      </c>
      <c r="E83" s="2876"/>
      <c r="F83" s="97"/>
    </row>
    <row r="84" spans="1:6">
      <c r="A84" s="58">
        <v>15</v>
      </c>
      <c r="B84" s="2553" t="s">
        <v>195</v>
      </c>
      <c r="C84" s="2876">
        <v>816881</v>
      </c>
      <c r="D84" s="2876">
        <v>227488</v>
      </c>
      <c r="E84" s="2876"/>
      <c r="F84" s="97"/>
    </row>
    <row r="85" spans="1:6">
      <c r="A85" s="58">
        <v>16</v>
      </c>
      <c r="B85" s="2553" t="s">
        <v>196</v>
      </c>
      <c r="C85" s="2876">
        <v>19286</v>
      </c>
      <c r="D85" s="2876">
        <v>9264</v>
      </c>
      <c r="E85" s="2876"/>
      <c r="F85" s="97"/>
    </row>
    <row r="86" spans="1:6">
      <c r="A86" s="58">
        <v>17</v>
      </c>
      <c r="B86" s="2553" t="s">
        <v>197</v>
      </c>
      <c r="C86" s="2876">
        <v>5789</v>
      </c>
      <c r="D86" s="2876">
        <v>89119</v>
      </c>
      <c r="E86" s="2876"/>
      <c r="F86" s="97"/>
    </row>
    <row r="87" spans="1:6">
      <c r="A87" s="58">
        <v>18</v>
      </c>
      <c r="B87" s="2554" t="s">
        <v>193</v>
      </c>
      <c r="C87" s="2876"/>
      <c r="D87" s="2876"/>
      <c r="E87" s="2876"/>
      <c r="F87" s="97"/>
    </row>
    <row r="88" spans="1:6">
      <c r="A88" s="58">
        <v>19</v>
      </c>
      <c r="B88" s="2554" t="s">
        <v>110</v>
      </c>
      <c r="C88" s="2876"/>
      <c r="D88" s="2876"/>
      <c r="E88" s="2876"/>
      <c r="F88" s="97"/>
    </row>
    <row r="89" spans="1:6">
      <c r="B89" s="2736" t="s">
        <v>118</v>
      </c>
      <c r="C89" s="2877">
        <f>SUM(C70:C88)</f>
        <v>1591047</v>
      </c>
      <c r="D89" s="2877">
        <f>SUM(D70:D88)</f>
        <v>1066899</v>
      </c>
      <c r="E89" s="2877"/>
      <c r="F89" s="50"/>
    </row>
    <row r="90" spans="1:6">
      <c r="B90" s="46"/>
      <c r="C90" s="50"/>
      <c r="D90" s="50"/>
      <c r="E90" s="50"/>
      <c r="F90" s="50"/>
    </row>
    <row r="93" spans="1:6">
      <c r="B93" s="2725" t="s">
        <v>854</v>
      </c>
    </row>
    <row r="94" spans="1:6">
      <c r="B94" s="3604" t="s">
        <v>730</v>
      </c>
      <c r="C94" s="3680" t="s">
        <v>438</v>
      </c>
      <c r="D94" s="3680"/>
      <c r="E94" s="3680"/>
      <c r="F94" s="94"/>
    </row>
    <row r="95" spans="1:6" ht="22.9">
      <c r="B95" s="3604"/>
      <c r="C95" s="2870" t="s">
        <v>846</v>
      </c>
      <c r="D95" s="2870" t="s">
        <v>443</v>
      </c>
      <c r="E95" s="2871" t="s">
        <v>849</v>
      </c>
      <c r="F95" s="95"/>
    </row>
    <row r="96" spans="1:6">
      <c r="A96" s="58">
        <v>1</v>
      </c>
      <c r="B96" s="2553" t="s">
        <v>177</v>
      </c>
      <c r="C96" s="2874">
        <v>687</v>
      </c>
      <c r="D96" s="2874">
        <v>9329</v>
      </c>
      <c r="E96" s="2874"/>
      <c r="F96" s="96"/>
    </row>
    <row r="97" spans="1:7">
      <c r="A97" s="58">
        <v>2</v>
      </c>
      <c r="B97" s="2554" t="s">
        <v>179</v>
      </c>
      <c r="C97" s="2876"/>
      <c r="D97" s="2876"/>
      <c r="E97" s="2876"/>
      <c r="F97" s="97"/>
    </row>
    <row r="98" spans="1:7">
      <c r="A98" s="58">
        <v>3</v>
      </c>
      <c r="B98" s="2553" t="s">
        <v>181</v>
      </c>
      <c r="C98" s="2876">
        <v>2610</v>
      </c>
      <c r="D98" s="2876">
        <v>37261</v>
      </c>
      <c r="E98" s="2876"/>
      <c r="F98" s="97"/>
    </row>
    <row r="99" spans="1:7">
      <c r="A99" s="58">
        <v>4</v>
      </c>
      <c r="B99" s="2553" t="s">
        <v>182</v>
      </c>
      <c r="C99" s="2876">
        <v>34020</v>
      </c>
      <c r="D99" s="2876">
        <v>14757</v>
      </c>
      <c r="E99" s="2876"/>
      <c r="F99" s="97"/>
    </row>
    <row r="100" spans="1:7">
      <c r="A100" s="58">
        <v>5</v>
      </c>
      <c r="B100" s="2554" t="s">
        <v>183</v>
      </c>
      <c r="C100" s="2876">
        <v>0</v>
      </c>
      <c r="D100" s="2876">
        <v>11499</v>
      </c>
      <c r="E100" s="2876"/>
      <c r="F100" s="97"/>
    </row>
    <row r="101" spans="1:7">
      <c r="A101" s="58">
        <v>6</v>
      </c>
      <c r="B101" s="2554" t="s">
        <v>184</v>
      </c>
      <c r="C101" s="2876"/>
      <c r="D101" s="2876"/>
      <c r="E101" s="2876"/>
      <c r="F101" s="97"/>
    </row>
    <row r="102" spans="1:7">
      <c r="A102" s="58">
        <v>7</v>
      </c>
      <c r="B102" s="2553" t="s">
        <v>185</v>
      </c>
      <c r="C102" s="2876">
        <v>479246</v>
      </c>
      <c r="D102" s="2876">
        <v>257234</v>
      </c>
      <c r="E102" s="2876"/>
      <c r="F102" s="97"/>
    </row>
    <row r="103" spans="1:7">
      <c r="A103" s="58">
        <v>8</v>
      </c>
      <c r="B103" s="2553" t="s">
        <v>186</v>
      </c>
      <c r="C103" s="2876">
        <v>13863</v>
      </c>
      <c r="D103" s="2876">
        <v>70192</v>
      </c>
      <c r="E103" s="2876"/>
      <c r="F103" s="97"/>
    </row>
    <row r="104" spans="1:7">
      <c r="A104" s="58">
        <v>9</v>
      </c>
      <c r="B104" s="2554" t="s">
        <v>187</v>
      </c>
      <c r="C104" s="2876"/>
      <c r="D104" s="2876"/>
      <c r="E104" s="2876"/>
      <c r="F104" s="97"/>
    </row>
    <row r="105" spans="1:7" s="72" customFormat="1">
      <c r="A105" s="71">
        <v>10</v>
      </c>
      <c r="B105" s="2882" t="s">
        <v>188</v>
      </c>
      <c r="C105" s="2875"/>
      <c r="D105" s="2875"/>
      <c r="E105" s="2875"/>
      <c r="F105" s="98"/>
      <c r="G105" s="72" t="s">
        <v>855</v>
      </c>
    </row>
    <row r="106" spans="1:7">
      <c r="A106" s="58">
        <v>11</v>
      </c>
      <c r="B106" s="2553" t="s">
        <v>189</v>
      </c>
      <c r="C106" s="2876">
        <v>103782</v>
      </c>
      <c r="D106" s="2876">
        <v>182106</v>
      </c>
      <c r="E106" s="2875"/>
      <c r="F106" s="97"/>
    </row>
    <row r="107" spans="1:7">
      <c r="A107" s="58">
        <v>12</v>
      </c>
      <c r="B107" s="2553" t="s">
        <v>191</v>
      </c>
      <c r="C107" s="2876"/>
      <c r="D107" s="2876"/>
      <c r="E107" s="2876"/>
      <c r="F107" s="97"/>
    </row>
    <row r="108" spans="1:7">
      <c r="A108" s="58">
        <v>13</v>
      </c>
      <c r="B108" s="2553" t="s">
        <v>192</v>
      </c>
      <c r="C108" s="2876"/>
      <c r="D108" s="2876">
        <v>20729</v>
      </c>
      <c r="E108" s="2876"/>
      <c r="F108" s="97"/>
    </row>
    <row r="109" spans="1:7">
      <c r="A109" s="58">
        <v>14</v>
      </c>
      <c r="B109" s="2554" t="s">
        <v>194</v>
      </c>
      <c r="C109" s="2876"/>
      <c r="D109" s="2876"/>
      <c r="E109" s="2876"/>
      <c r="F109" s="97"/>
    </row>
    <row r="110" spans="1:7">
      <c r="A110" s="58">
        <v>15</v>
      </c>
      <c r="B110" s="2553" t="s">
        <v>195</v>
      </c>
      <c r="C110" s="2876">
        <v>764519</v>
      </c>
      <c r="D110" s="2876">
        <v>217522</v>
      </c>
      <c r="E110" s="2876"/>
      <c r="F110" s="97"/>
    </row>
    <row r="111" spans="1:7">
      <c r="A111" s="58">
        <v>16</v>
      </c>
      <c r="B111" s="2553" t="s">
        <v>196</v>
      </c>
      <c r="C111" s="2876">
        <v>13133</v>
      </c>
      <c r="D111" s="2876">
        <v>5616</v>
      </c>
      <c r="E111" s="2876"/>
      <c r="F111" s="97"/>
    </row>
    <row r="112" spans="1:7">
      <c r="A112" s="58">
        <v>17</v>
      </c>
      <c r="B112" s="2553" t="s">
        <v>197</v>
      </c>
      <c r="C112" s="2876">
        <v>3160</v>
      </c>
      <c r="D112" s="2876">
        <v>66727</v>
      </c>
      <c r="E112" s="2876"/>
      <c r="F112" s="97"/>
    </row>
    <row r="113" spans="1:6">
      <c r="A113" s="58">
        <v>18</v>
      </c>
      <c r="B113" s="2554" t="s">
        <v>193</v>
      </c>
      <c r="C113" s="2876"/>
      <c r="D113" s="2876"/>
      <c r="E113" s="2876"/>
      <c r="F113" s="97"/>
    </row>
    <row r="114" spans="1:6">
      <c r="A114" s="58">
        <v>19</v>
      </c>
      <c r="B114" s="2554" t="s">
        <v>110</v>
      </c>
      <c r="C114" s="2876"/>
      <c r="D114" s="2876"/>
      <c r="E114" s="2876"/>
      <c r="F114" s="97"/>
    </row>
    <row r="115" spans="1:6">
      <c r="B115" s="2736" t="s">
        <v>118</v>
      </c>
      <c r="C115" s="2877">
        <f>SUM(C96:C114)</f>
        <v>1415020</v>
      </c>
      <c r="D115" s="2877">
        <f>SUM(D96:D114)</f>
        <v>892972</v>
      </c>
      <c r="E115" s="2877"/>
      <c r="F115" s="50"/>
    </row>
    <row r="116" spans="1:6">
      <c r="B116" s="46"/>
      <c r="C116" s="50"/>
      <c r="D116" s="50"/>
      <c r="E116" s="50"/>
      <c r="F116" s="50"/>
    </row>
    <row r="119" spans="1:6">
      <c r="B119" s="2725" t="s">
        <v>856</v>
      </c>
    </row>
    <row r="120" spans="1:6">
      <c r="B120" s="3604" t="s">
        <v>730</v>
      </c>
      <c r="C120" s="3680" t="s">
        <v>438</v>
      </c>
      <c r="D120" s="3680"/>
      <c r="E120" s="3680"/>
      <c r="F120" s="94"/>
    </row>
    <row r="121" spans="1:6" ht="22.9">
      <c r="B121" s="3604"/>
      <c r="C121" s="2870" t="s">
        <v>846</v>
      </c>
      <c r="D121" s="2870" t="s">
        <v>443</v>
      </c>
      <c r="E121" s="2871" t="s">
        <v>849</v>
      </c>
      <c r="F121" s="95"/>
    </row>
    <row r="122" spans="1:6">
      <c r="A122" s="58">
        <v>1</v>
      </c>
      <c r="B122" s="2553" t="s">
        <v>177</v>
      </c>
      <c r="C122" s="2874">
        <v>612</v>
      </c>
      <c r="D122" s="2874">
        <v>3462</v>
      </c>
      <c r="E122" s="2874"/>
      <c r="F122" s="96"/>
    </row>
    <row r="123" spans="1:6">
      <c r="A123" s="58">
        <v>2</v>
      </c>
      <c r="B123" s="2554" t="s">
        <v>179</v>
      </c>
      <c r="C123" s="2876"/>
      <c r="D123" s="2876"/>
      <c r="E123" s="2876"/>
      <c r="F123" s="97"/>
    </row>
    <row r="124" spans="1:6">
      <c r="A124" s="58">
        <v>3</v>
      </c>
      <c r="B124" s="2553" t="s">
        <v>181</v>
      </c>
      <c r="C124" s="2876">
        <v>2350</v>
      </c>
      <c r="D124" s="2876">
        <v>26560</v>
      </c>
      <c r="E124" s="2876"/>
      <c r="F124" s="97"/>
    </row>
    <row r="125" spans="1:6">
      <c r="A125" s="58">
        <v>4</v>
      </c>
      <c r="B125" s="2553" t="s">
        <v>182</v>
      </c>
      <c r="C125" s="2876">
        <v>26144</v>
      </c>
      <c r="D125" s="2876">
        <v>13518</v>
      </c>
      <c r="E125" s="2876"/>
      <c r="F125" s="97"/>
    </row>
    <row r="126" spans="1:6">
      <c r="A126" s="58">
        <v>5</v>
      </c>
      <c r="B126" s="2554" t="s">
        <v>183</v>
      </c>
      <c r="C126" s="2876">
        <v>0</v>
      </c>
      <c r="D126" s="2876">
        <v>7959</v>
      </c>
      <c r="E126" s="2876"/>
      <c r="F126" s="97"/>
    </row>
    <row r="127" spans="1:6">
      <c r="A127" s="58">
        <v>6</v>
      </c>
      <c r="B127" s="2554" t="s">
        <v>184</v>
      </c>
      <c r="C127" s="2876"/>
      <c r="D127" s="2876"/>
      <c r="E127" s="2876"/>
      <c r="F127" s="97"/>
    </row>
    <row r="128" spans="1:6">
      <c r="A128" s="58">
        <v>7</v>
      </c>
      <c r="B128" s="2553" t="s">
        <v>185</v>
      </c>
      <c r="C128" s="2876">
        <v>429665</v>
      </c>
      <c r="D128" s="2876">
        <v>260448</v>
      </c>
      <c r="E128" s="2876"/>
      <c r="F128" s="97"/>
    </row>
    <row r="129" spans="1:7">
      <c r="A129" s="58">
        <v>8</v>
      </c>
      <c r="B129" s="2553" t="s">
        <v>186</v>
      </c>
      <c r="C129" s="2876">
        <v>11340</v>
      </c>
      <c r="D129" s="2876">
        <v>51755</v>
      </c>
      <c r="E129" s="2876"/>
      <c r="F129" s="97"/>
    </row>
    <row r="130" spans="1:7">
      <c r="A130" s="58">
        <v>9</v>
      </c>
      <c r="B130" s="2554" t="s">
        <v>187</v>
      </c>
      <c r="C130" s="2876"/>
      <c r="D130" s="2876"/>
      <c r="E130" s="2876"/>
      <c r="F130" s="97"/>
    </row>
    <row r="131" spans="1:7">
      <c r="A131" s="58">
        <v>10</v>
      </c>
      <c r="B131" s="2553" t="s">
        <v>188</v>
      </c>
      <c r="C131" s="2876"/>
      <c r="D131" s="2876"/>
      <c r="E131" s="2876"/>
      <c r="F131" s="97"/>
    </row>
    <row r="132" spans="1:7">
      <c r="A132" s="58">
        <v>11</v>
      </c>
      <c r="B132" s="2553" t="s">
        <v>189</v>
      </c>
      <c r="C132" s="2875"/>
      <c r="D132" s="2875"/>
      <c r="E132" s="2875"/>
      <c r="F132" s="97"/>
    </row>
    <row r="133" spans="1:7">
      <c r="A133" s="58">
        <v>12</v>
      </c>
      <c r="B133" s="2553" t="s">
        <v>191</v>
      </c>
      <c r="C133" s="2876"/>
      <c r="D133" s="2876"/>
      <c r="E133" s="2876"/>
      <c r="F133" s="97"/>
    </row>
    <row r="134" spans="1:7">
      <c r="A134" s="58">
        <v>13</v>
      </c>
      <c r="B134" s="2553" t="s">
        <v>192</v>
      </c>
      <c r="C134" s="2875"/>
      <c r="D134" s="2875"/>
      <c r="E134" s="2875"/>
      <c r="F134" s="98"/>
      <c r="G134" t="s">
        <v>857</v>
      </c>
    </row>
    <row r="135" spans="1:7">
      <c r="A135" s="58">
        <v>14</v>
      </c>
      <c r="B135" s="2554" t="s">
        <v>194</v>
      </c>
      <c r="C135" s="2876"/>
      <c r="D135" s="2876"/>
      <c r="E135" s="2876"/>
      <c r="F135" s="97"/>
    </row>
    <row r="136" spans="1:7">
      <c r="A136" s="58">
        <v>15</v>
      </c>
      <c r="B136" s="2553" t="s">
        <v>195</v>
      </c>
      <c r="C136" s="2876">
        <v>726255</v>
      </c>
      <c r="D136" s="2876">
        <v>241226</v>
      </c>
      <c r="E136" s="2876"/>
      <c r="F136" s="97"/>
    </row>
    <row r="137" spans="1:7">
      <c r="A137" s="58">
        <v>16</v>
      </c>
      <c r="B137" s="2553" t="s">
        <v>196</v>
      </c>
      <c r="C137" s="2876">
        <v>5147</v>
      </c>
      <c r="D137" s="2876">
        <v>5715</v>
      </c>
      <c r="E137" s="2876"/>
      <c r="F137" s="97"/>
    </row>
    <row r="138" spans="1:7">
      <c r="A138" s="58">
        <v>17</v>
      </c>
      <c r="B138" s="2553" t="s">
        <v>197</v>
      </c>
      <c r="C138" s="2876">
        <v>3732</v>
      </c>
      <c r="D138" s="2876">
        <v>59817</v>
      </c>
      <c r="E138" s="2876"/>
      <c r="F138" s="97"/>
    </row>
    <row r="139" spans="1:7">
      <c r="A139" s="58">
        <v>18</v>
      </c>
      <c r="B139" s="2554" t="s">
        <v>193</v>
      </c>
      <c r="C139" s="2876"/>
      <c r="D139" s="2876"/>
      <c r="E139" s="2876"/>
      <c r="F139" s="97"/>
    </row>
    <row r="140" spans="1:7">
      <c r="A140" s="58">
        <v>19</v>
      </c>
      <c r="B140" s="2554" t="s">
        <v>110</v>
      </c>
      <c r="C140" s="2876"/>
      <c r="D140" s="2876"/>
      <c r="E140" s="2876"/>
      <c r="F140" s="97"/>
    </row>
    <row r="141" spans="1:7">
      <c r="B141" s="2736" t="s">
        <v>118</v>
      </c>
      <c r="C141" s="2877">
        <f>SUM(C122:C140)</f>
        <v>1205245</v>
      </c>
      <c r="D141" s="2877">
        <f>SUM(D122:D140)</f>
        <v>670460</v>
      </c>
      <c r="E141" s="2877"/>
      <c r="F141" s="50"/>
    </row>
    <row r="142" spans="1:7">
      <c r="B142" s="46"/>
      <c r="C142" s="50"/>
      <c r="D142" s="50"/>
      <c r="E142" s="50"/>
      <c r="F142" s="50"/>
    </row>
    <row r="145" spans="1:7">
      <c r="B145" s="2725" t="s">
        <v>858</v>
      </c>
    </row>
    <row r="146" spans="1:7">
      <c r="B146" s="3604" t="s">
        <v>730</v>
      </c>
      <c r="C146" s="3680" t="s">
        <v>438</v>
      </c>
      <c r="D146" s="3680"/>
      <c r="E146" s="3680"/>
      <c r="F146" s="94"/>
    </row>
    <row r="147" spans="1:7" ht="22.9">
      <c r="B147" s="3604"/>
      <c r="C147" s="2870" t="s">
        <v>846</v>
      </c>
      <c r="D147" s="2870" t="s">
        <v>443</v>
      </c>
      <c r="E147" s="2871" t="s">
        <v>849</v>
      </c>
      <c r="F147" s="95"/>
    </row>
    <row r="148" spans="1:7">
      <c r="A148" s="58">
        <v>1</v>
      </c>
      <c r="B148" s="2553" t="s">
        <v>177</v>
      </c>
      <c r="C148" s="2874">
        <v>434</v>
      </c>
      <c r="D148" s="2874">
        <v>4453</v>
      </c>
      <c r="E148" s="2874"/>
      <c r="F148" s="96"/>
    </row>
    <row r="149" spans="1:7">
      <c r="A149" s="58">
        <v>2</v>
      </c>
      <c r="B149" s="2554" t="s">
        <v>179</v>
      </c>
      <c r="C149" s="2876"/>
      <c r="D149" s="2876"/>
      <c r="E149" s="2876"/>
      <c r="F149" s="97"/>
    </row>
    <row r="150" spans="1:7">
      <c r="A150" s="58">
        <v>3</v>
      </c>
      <c r="B150" s="2553" t="s">
        <v>181</v>
      </c>
      <c r="C150" s="2876">
        <v>1481</v>
      </c>
      <c r="D150" s="2876">
        <v>23922</v>
      </c>
      <c r="E150" s="2876"/>
      <c r="F150" s="97"/>
    </row>
    <row r="151" spans="1:7">
      <c r="A151" s="58">
        <v>4</v>
      </c>
      <c r="B151" s="2553" t="s">
        <v>182</v>
      </c>
      <c r="C151" s="2876">
        <v>24264</v>
      </c>
      <c r="D151" s="2876">
        <v>11799</v>
      </c>
      <c r="E151" s="2876"/>
      <c r="F151" s="97"/>
    </row>
    <row r="152" spans="1:7">
      <c r="A152" s="58">
        <v>5</v>
      </c>
      <c r="B152" s="2554" t="s">
        <v>183</v>
      </c>
      <c r="C152" s="2876">
        <v>0</v>
      </c>
      <c r="D152" s="2876">
        <v>4645</v>
      </c>
      <c r="E152" s="2876"/>
      <c r="F152" s="97"/>
    </row>
    <row r="153" spans="1:7">
      <c r="A153" s="58">
        <v>6</v>
      </c>
      <c r="B153" s="2554" t="s">
        <v>184</v>
      </c>
      <c r="C153" s="2876"/>
      <c r="D153" s="2876"/>
      <c r="E153" s="2876"/>
      <c r="F153" s="97"/>
    </row>
    <row r="154" spans="1:7">
      <c r="A154" s="58">
        <v>7</v>
      </c>
      <c r="B154" s="2553" t="s">
        <v>185</v>
      </c>
      <c r="C154" s="2876">
        <v>488500</v>
      </c>
      <c r="D154" s="2876">
        <v>116992</v>
      </c>
      <c r="E154" s="2876"/>
      <c r="F154" s="97"/>
    </row>
    <row r="155" spans="1:7">
      <c r="A155" s="58">
        <v>8</v>
      </c>
      <c r="B155" s="2553" t="s">
        <v>186</v>
      </c>
      <c r="C155" s="2876">
        <v>7405</v>
      </c>
      <c r="D155" s="2876">
        <v>33283</v>
      </c>
      <c r="E155" s="2876"/>
      <c r="F155" s="97"/>
    </row>
    <row r="156" spans="1:7">
      <c r="A156" s="58">
        <v>9</v>
      </c>
      <c r="B156" s="2554" t="s">
        <v>187</v>
      </c>
      <c r="C156" s="2876"/>
      <c r="D156" s="2876"/>
      <c r="E156" s="2876"/>
      <c r="F156" s="97"/>
    </row>
    <row r="157" spans="1:7">
      <c r="A157" s="58">
        <v>10</v>
      </c>
      <c r="B157" s="2553" t="s">
        <v>188</v>
      </c>
      <c r="C157" s="2876"/>
      <c r="D157" s="2876"/>
      <c r="E157" s="2876"/>
      <c r="F157" s="97"/>
    </row>
    <row r="158" spans="1:7">
      <c r="A158" s="58">
        <v>11</v>
      </c>
      <c r="B158" s="2553" t="s">
        <v>189</v>
      </c>
      <c r="C158" s="2875"/>
      <c r="D158" s="2875"/>
      <c r="E158" s="2875"/>
      <c r="F158" s="97"/>
    </row>
    <row r="159" spans="1:7">
      <c r="A159" s="58">
        <v>12</v>
      </c>
      <c r="B159" s="2553" t="s">
        <v>191</v>
      </c>
      <c r="C159" s="2876"/>
      <c r="D159" s="2876"/>
      <c r="E159" s="2876"/>
      <c r="F159" s="97"/>
    </row>
    <row r="160" spans="1:7">
      <c r="A160" s="58">
        <v>13</v>
      </c>
      <c r="B160" s="2553" t="s">
        <v>192</v>
      </c>
      <c r="C160" s="2875"/>
      <c r="D160" s="2875"/>
      <c r="E160" s="2875"/>
      <c r="F160" s="98"/>
      <c r="G160" t="s">
        <v>857</v>
      </c>
    </row>
    <row r="161" spans="1:6">
      <c r="A161" s="58">
        <v>14</v>
      </c>
      <c r="B161" s="2554" t="s">
        <v>194</v>
      </c>
      <c r="C161" s="2876"/>
      <c r="D161" s="2876"/>
      <c r="E161" s="2876"/>
      <c r="F161" s="97"/>
    </row>
    <row r="162" spans="1:6">
      <c r="A162" s="58">
        <v>15</v>
      </c>
      <c r="B162" s="2553" t="s">
        <v>195</v>
      </c>
      <c r="C162" s="2876">
        <v>706091</v>
      </c>
      <c r="D162" s="2876">
        <v>251465</v>
      </c>
      <c r="E162" s="2876"/>
      <c r="F162" s="97"/>
    </row>
    <row r="163" spans="1:6">
      <c r="A163" s="58">
        <v>16</v>
      </c>
      <c r="B163" s="2553" t="s">
        <v>196</v>
      </c>
      <c r="C163" s="2876">
        <v>8646</v>
      </c>
      <c r="D163" s="2876">
        <v>2034</v>
      </c>
      <c r="E163" s="2876"/>
      <c r="F163" s="97"/>
    </row>
    <row r="164" spans="1:6">
      <c r="A164" s="58">
        <v>17</v>
      </c>
      <c r="B164" s="2553" t="s">
        <v>197</v>
      </c>
      <c r="C164" s="2876">
        <v>3518</v>
      </c>
      <c r="D164" s="2876">
        <v>49517</v>
      </c>
      <c r="E164" s="2876"/>
      <c r="F164" s="97"/>
    </row>
    <row r="165" spans="1:6">
      <c r="A165" s="58">
        <v>18</v>
      </c>
      <c r="B165" s="2554" t="s">
        <v>193</v>
      </c>
      <c r="C165" s="2876"/>
      <c r="D165" s="2876"/>
      <c r="E165" s="2876"/>
      <c r="F165" s="97"/>
    </row>
    <row r="166" spans="1:6">
      <c r="A166" s="58">
        <v>19</v>
      </c>
      <c r="B166" s="2554" t="s">
        <v>110</v>
      </c>
      <c r="C166" s="2876"/>
      <c r="D166" s="2876"/>
      <c r="E166" s="2876"/>
      <c r="F166" s="97"/>
    </row>
    <row r="167" spans="1:6">
      <c r="B167" s="2736" t="s">
        <v>118</v>
      </c>
      <c r="C167" s="2877">
        <f>SUM(C148:C166)</f>
        <v>1240339</v>
      </c>
      <c r="D167" s="2877">
        <f>SUM(D148:D166)</f>
        <v>498110</v>
      </c>
      <c r="E167" s="2877"/>
      <c r="F167" s="50"/>
    </row>
    <row r="168" spans="1:6">
      <c r="B168" s="46"/>
      <c r="C168" s="50"/>
      <c r="D168" s="50"/>
      <c r="E168" s="50"/>
      <c r="F168" s="50"/>
    </row>
    <row r="178" spans="3:6">
      <c r="C178" s="3681"/>
      <c r="D178" s="3681"/>
      <c r="E178" s="3681"/>
      <c r="F178" s="93"/>
    </row>
    <row r="179" spans="3:6">
      <c r="C179" s="69"/>
      <c r="D179" s="69"/>
      <c r="E179" s="69"/>
      <c r="F179" s="69"/>
    </row>
    <row r="180" spans="3:6">
      <c r="C180" s="14"/>
      <c r="D180" s="14"/>
      <c r="E180" s="14"/>
      <c r="F180" s="14"/>
    </row>
  </sheetData>
  <customSheetViews>
    <customSheetView guid="{2ACFE167-4169-43A6-9AB2-59D5A2DA2DB4}" showPageBreaks="1" state="hidden">
      <selection activeCell="D25" sqref="D25"/>
      <pageMargins left="0" right="0" top="0" bottom="0" header="0" footer="0"/>
      <pageSetup orientation="portrait" r:id="rId1"/>
    </customSheetView>
    <customSheetView guid="{967E0446-E234-427F-8E57-7FE287052E2E}" showPageBreaks="1" state="hidden">
      <selection activeCell="D25" sqref="D25"/>
      <pageMargins left="0" right="0" top="0" bottom="0" header="0" footer="0"/>
      <pageSetup orientation="portrait" r:id="rId2"/>
    </customSheetView>
    <customSheetView guid="{B2E1A0C6-5BA1-4CF1-B412-16D81FCDF11F}" state="hidden">
      <selection activeCell="D25" sqref="D25"/>
      <pageMargins left="0" right="0" top="0" bottom="0" header="0" footer="0"/>
      <pageSetup orientation="portrait" r:id="rId3"/>
    </customSheetView>
    <customSheetView guid="{46F31544-8E6F-41C5-8628-1D6EE074AF15}" state="hidden">
      <selection activeCell="D25" sqref="D25"/>
      <pageMargins left="0" right="0" top="0" bottom="0" header="0" footer="0"/>
      <pageSetup orientation="portrait" r:id="rId4"/>
    </customSheetView>
    <customSheetView guid="{E82B35BE-4719-4C53-A9EF-1CC6F153A6F3}" state="hidden">
      <selection activeCell="D25" sqref="D25"/>
      <pageMargins left="0" right="0" top="0" bottom="0" header="0" footer="0"/>
      <pageSetup orientation="portrait" r:id="rId5"/>
    </customSheetView>
    <customSheetView guid="{B1E1B596-A9A1-411D-A882-A48CB025B978}" state="hidden">
      <selection activeCell="D25" sqref="D25"/>
      <pageMargins left="0" right="0" top="0" bottom="0" header="0" footer="0"/>
      <pageSetup orientation="portrait" r:id="rId6"/>
    </customSheetView>
    <customSheetView guid="{5E394B0B-7867-4722-9497-A93AB2A9A773}" showPageBreaks="1" state="hidden">
      <selection activeCell="D25" sqref="D25"/>
      <pageMargins left="0" right="0" top="0" bottom="0" header="0" footer="0"/>
      <pageSetup orientation="portrait" r:id="rId7"/>
    </customSheetView>
  </customSheetViews>
  <mergeCells count="15">
    <mergeCell ref="C68:E68"/>
    <mergeCell ref="B42:B43"/>
    <mergeCell ref="C42:E42"/>
    <mergeCell ref="C178:E178"/>
    <mergeCell ref="B3:B4"/>
    <mergeCell ref="C3:E3"/>
    <mergeCell ref="B146:B147"/>
    <mergeCell ref="C146:E146"/>
    <mergeCell ref="B120:B121"/>
    <mergeCell ref="C120:E120"/>
    <mergeCell ref="B94:B95"/>
    <mergeCell ref="C94:E94"/>
    <mergeCell ref="B68:B69"/>
    <mergeCell ref="B15:B16"/>
    <mergeCell ref="C15:E15"/>
  </mergeCells>
  <hyperlinks>
    <hyperlink ref="B1" location="'List of tables'!A1" display="'List of tables'!A1" xr:uid="{00000000-0004-0000-4100-000000000000}"/>
  </hyperlinks>
  <pageMargins left="0.7" right="0.7" top="0.75" bottom="0.75" header="0.3" footer="0.3"/>
  <pageSetup orientation="portrait" r:id="rId8"/>
  <drawing r:id="rId9"/>
  <legacyDrawing r:id="rId1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Sheet42"/>
  <dimension ref="B1:E46"/>
  <sheetViews>
    <sheetView workbookViewId="0"/>
  </sheetViews>
  <sheetFormatPr defaultRowHeight="14.45"/>
  <cols>
    <col min="1" max="1" width="4.140625" customWidth="1"/>
    <col min="2" max="2" width="92.28515625" customWidth="1"/>
    <col min="3" max="3" width="20.140625" bestFit="1" customWidth="1"/>
    <col min="4" max="4" width="17.140625" customWidth="1"/>
    <col min="5" max="5" width="21.7109375" bestFit="1" customWidth="1"/>
  </cols>
  <sheetData>
    <row r="1" spans="2:5" ht="26.25" customHeight="1">
      <c r="C1" s="2595" t="s">
        <v>859</v>
      </c>
      <c r="D1" s="2595" t="s">
        <v>860</v>
      </c>
      <c r="E1" s="2595" t="s">
        <v>861</v>
      </c>
    </row>
    <row r="2" spans="2:5" s="39" customFormat="1" ht="21.75" customHeight="1">
      <c r="B2" s="39" t="s">
        <v>862</v>
      </c>
      <c r="C2" s="149"/>
    </row>
    <row r="3" spans="2:5" s="39" customFormat="1" ht="21.75" customHeight="1">
      <c r="B3" s="39" t="s">
        <v>863</v>
      </c>
      <c r="C3" s="149"/>
    </row>
    <row r="4" spans="2:5" s="39" customFormat="1" ht="21" customHeight="1">
      <c r="B4" s="39" t="s">
        <v>864</v>
      </c>
      <c r="D4" s="149"/>
    </row>
    <row r="5" spans="2:5" s="39" customFormat="1" ht="21" customHeight="1">
      <c r="B5" s="39" t="s">
        <v>865</v>
      </c>
      <c r="E5" s="149"/>
    </row>
    <row r="6" spans="2:5" s="39" customFormat="1" ht="21" customHeight="1">
      <c r="B6" s="39" t="s">
        <v>866</v>
      </c>
      <c r="C6" s="149"/>
    </row>
    <row r="7" spans="2:5" s="39" customFormat="1" ht="19.5" customHeight="1">
      <c r="B7" s="39" t="s">
        <v>867</v>
      </c>
      <c r="D7" s="149"/>
    </row>
    <row r="8" spans="2:5" s="39" customFormat="1" ht="21.75" customHeight="1">
      <c r="B8" s="39" t="s">
        <v>868</v>
      </c>
      <c r="E8" s="149"/>
    </row>
    <row r="9" spans="2:5" s="39" customFormat="1" ht="24" customHeight="1">
      <c r="B9" s="39" t="s">
        <v>869</v>
      </c>
      <c r="E9" s="149"/>
    </row>
    <row r="10" spans="2:5" s="39" customFormat="1" ht="21.75" customHeight="1">
      <c r="B10" s="39" t="s">
        <v>870</v>
      </c>
      <c r="C10" s="149"/>
    </row>
    <row r="11" spans="2:5" s="39" customFormat="1" ht="21" customHeight="1">
      <c r="B11" s="39" t="s">
        <v>871</v>
      </c>
      <c r="D11" s="149"/>
    </row>
    <row r="12" spans="2:5" s="39" customFormat="1" ht="21" customHeight="1">
      <c r="B12" s="39" t="s">
        <v>872</v>
      </c>
      <c r="E12" s="149"/>
    </row>
    <row r="13" spans="2:5" s="39" customFormat="1" ht="20.25" customHeight="1">
      <c r="B13" s="39" t="s">
        <v>873</v>
      </c>
      <c r="E13" s="149"/>
    </row>
    <row r="14" spans="2:5" s="39" customFormat="1" ht="21" customHeight="1">
      <c r="B14" s="39" t="s">
        <v>874</v>
      </c>
      <c r="E14" s="149"/>
    </row>
    <row r="15" spans="2:5" s="39" customFormat="1" ht="21" customHeight="1">
      <c r="B15" s="39" t="s">
        <v>875</v>
      </c>
      <c r="E15" s="149"/>
    </row>
    <row r="16" spans="2:5" s="39" customFormat="1" ht="21.75" customHeight="1">
      <c r="B16" s="39" t="s">
        <v>876</v>
      </c>
      <c r="E16" s="149"/>
    </row>
    <row r="17" spans="2:5" s="39" customFormat="1" ht="20.25" customHeight="1">
      <c r="B17" s="39" t="s">
        <v>877</v>
      </c>
      <c r="C17" s="149"/>
    </row>
    <row r="18" spans="2:5" s="39" customFormat="1" ht="21" customHeight="1">
      <c r="B18" s="39" t="s">
        <v>878</v>
      </c>
      <c r="C18" s="149"/>
    </row>
    <row r="19" spans="2:5" s="39" customFormat="1" ht="22.5" customHeight="1">
      <c r="B19" s="39" t="s">
        <v>879</v>
      </c>
      <c r="C19" s="149"/>
    </row>
    <row r="20" spans="2:5" s="39" customFormat="1" ht="21.75" customHeight="1">
      <c r="B20" s="39" t="s">
        <v>880</v>
      </c>
      <c r="E20" s="149"/>
    </row>
    <row r="21" spans="2:5" s="39" customFormat="1" ht="22.5" customHeight="1">
      <c r="B21" s="39" t="s">
        <v>881</v>
      </c>
      <c r="D21" s="149"/>
    </row>
    <row r="22" spans="2:5" s="39" customFormat="1" ht="22.5" customHeight="1">
      <c r="B22" s="39" t="s">
        <v>882</v>
      </c>
      <c r="E22" s="149"/>
    </row>
    <row r="23" spans="2:5" s="39" customFormat="1" ht="22.5" customHeight="1">
      <c r="B23" s="39" t="s">
        <v>852</v>
      </c>
      <c r="E23" s="149"/>
    </row>
    <row r="24" spans="2:5" s="39" customFormat="1" ht="20.25" customHeight="1">
      <c r="B24" s="39" t="s">
        <v>883</v>
      </c>
      <c r="E24" s="149"/>
    </row>
    <row r="25" spans="2:5" s="39" customFormat="1" ht="21.75" customHeight="1">
      <c r="B25" s="39" t="s">
        <v>884</v>
      </c>
      <c r="D25" s="149"/>
    </row>
    <row r="26" spans="2:5" s="39" customFormat="1" ht="17.45" customHeight="1">
      <c r="B26" s="39" t="s">
        <v>885</v>
      </c>
      <c r="E26" s="149"/>
    </row>
    <row r="27" spans="2:5" s="39" customFormat="1" ht="18.75" customHeight="1">
      <c r="B27" s="39" t="s">
        <v>886</v>
      </c>
      <c r="D27" s="149"/>
    </row>
    <row r="28" spans="2:5" s="39" customFormat="1" ht="20.25" customHeight="1">
      <c r="B28" s="39" t="s">
        <v>887</v>
      </c>
      <c r="D28" s="149"/>
    </row>
    <row r="29" spans="2:5" s="39" customFormat="1" ht="19.5" customHeight="1">
      <c r="B29" s="39" t="s">
        <v>888</v>
      </c>
      <c r="D29" s="149"/>
    </row>
    <row r="30" spans="2:5" s="39" customFormat="1" ht="21" customHeight="1">
      <c r="B30" s="39" t="s">
        <v>889</v>
      </c>
    </row>
    <row r="31" spans="2:5" s="39" customFormat="1" ht="21" customHeight="1">
      <c r="B31" s="39" t="s">
        <v>890</v>
      </c>
    </row>
    <row r="32" spans="2:5" s="39" customFormat="1" ht="21.75" customHeight="1">
      <c r="B32" s="39" t="s">
        <v>891</v>
      </c>
    </row>
    <row r="33" spans="2:2" s="39" customFormat="1" ht="17.45" customHeight="1">
      <c r="B33" s="39" t="s">
        <v>892</v>
      </c>
    </row>
    <row r="34" spans="2:2" s="39" customFormat="1" ht="17.45" customHeight="1">
      <c r="B34" s="39" t="s">
        <v>893</v>
      </c>
    </row>
    <row r="35" spans="2:2" s="39" customFormat="1" ht="17.45" customHeight="1">
      <c r="B35" s="39" t="s">
        <v>894</v>
      </c>
    </row>
    <row r="36" spans="2:2" s="39" customFormat="1" ht="17.45" customHeight="1">
      <c r="B36" s="39" t="s">
        <v>895</v>
      </c>
    </row>
    <row r="37" spans="2:2" s="39" customFormat="1" ht="17.45" customHeight="1">
      <c r="B37" s="39" t="s">
        <v>896</v>
      </c>
    </row>
    <row r="38" spans="2:2" s="39" customFormat="1" ht="17.45" customHeight="1">
      <c r="B38" s="39" t="s">
        <v>897</v>
      </c>
    </row>
    <row r="39" spans="2:2" s="39" customFormat="1" ht="17.45" customHeight="1">
      <c r="B39" s="39" t="s">
        <v>898</v>
      </c>
    </row>
    <row r="40" spans="2:2" s="39" customFormat="1" ht="17.45" customHeight="1">
      <c r="B40" s="39" t="s">
        <v>899</v>
      </c>
    </row>
    <row r="41" spans="2:2" s="39" customFormat="1" ht="17.45" customHeight="1">
      <c r="B41" s="39" t="s">
        <v>900</v>
      </c>
    </row>
    <row r="42" spans="2:2" s="39" customFormat="1" ht="17.45" customHeight="1">
      <c r="B42" s="39" t="s">
        <v>901</v>
      </c>
    </row>
    <row r="43" spans="2:2" s="39" customFormat="1" ht="17.45" customHeight="1">
      <c r="B43" s="39" t="s">
        <v>902</v>
      </c>
    </row>
    <row r="44" spans="2:2" s="39" customFormat="1" ht="17.45" customHeight="1">
      <c r="B44" s="39" t="s">
        <v>903</v>
      </c>
    </row>
    <row r="45" spans="2:2" s="39" customFormat="1" ht="17.45" customHeight="1">
      <c r="B45" s="39" t="s">
        <v>904</v>
      </c>
    </row>
    <row r="46" spans="2:2" s="39" customFormat="1" ht="17.45" customHeight="1">
      <c r="B46" s="39" t="s">
        <v>905</v>
      </c>
    </row>
  </sheetData>
  <customSheetViews>
    <customSheetView guid="{2ACFE167-4169-43A6-9AB2-59D5A2DA2DB4}" showPageBreaks="1" state="hidden">
      <pageMargins left="0" right="0" top="0" bottom="0" header="0" footer="0"/>
      <pageSetup orientation="portrait" r:id="rId1"/>
    </customSheetView>
    <customSheetView guid="{967E0446-E234-427F-8E57-7FE287052E2E}" showPageBreaks="1" state="hidden">
      <pageMargins left="0" right="0" top="0" bottom="0" header="0" footer="0"/>
      <pageSetup orientation="portrait" r:id="rId2"/>
    </customSheetView>
    <customSheetView guid="{B2E1A0C6-5BA1-4CF1-B412-16D81FCDF11F}" state="hidden">
      <pageMargins left="0" right="0" top="0" bottom="0" header="0" footer="0"/>
      <pageSetup orientation="portrait" r:id="rId3"/>
    </customSheetView>
    <customSheetView guid="{46F31544-8E6F-41C5-8628-1D6EE074AF15}" state="hidden">
      <pageMargins left="0" right="0" top="0" bottom="0" header="0" footer="0"/>
      <pageSetup orientation="portrait" r:id="rId4"/>
    </customSheetView>
    <customSheetView guid="{E82B35BE-4719-4C53-A9EF-1CC6F153A6F3}" state="hidden">
      <pageMargins left="0" right="0" top="0" bottom="0" header="0" footer="0"/>
      <pageSetup orientation="portrait" r:id="rId5"/>
    </customSheetView>
    <customSheetView guid="{B1E1B596-A9A1-411D-A882-A48CB025B978}" state="hidden">
      <pageMargins left="0" right="0" top="0" bottom="0" header="0" footer="0"/>
      <pageSetup orientation="portrait" r:id="rId6"/>
    </customSheetView>
    <customSheetView guid="{5E394B0B-7867-4722-9497-A93AB2A9A773}" showPageBreaks="1" state="hidden">
      <pageMargins left="0" right="0" top="0" bottom="0" header="0" footer="0"/>
      <pageSetup orientation="portrait" r:id="rId7"/>
    </customSheetView>
  </customSheetViews>
  <pageMargins left="0.7" right="0.7" top="0.75" bottom="0.75" header="0.3" footer="0.3"/>
  <pageSetup orientation="portrait" r:id="rId8"/>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Sheet46"/>
  <dimension ref="A1:N29"/>
  <sheetViews>
    <sheetView workbookViewId="0">
      <selection activeCell="B21" sqref="B21"/>
    </sheetView>
  </sheetViews>
  <sheetFormatPr defaultRowHeight="14.45"/>
  <cols>
    <col min="1" max="1" width="3.5703125" customWidth="1"/>
    <col min="2" max="2" width="8.7109375" customWidth="1"/>
    <col min="3" max="3" width="14.28515625" bestFit="1" customWidth="1"/>
    <col min="4" max="4" width="13.140625" bestFit="1" customWidth="1"/>
    <col min="5" max="5" width="8.5703125" customWidth="1"/>
    <col min="6" max="6" width="14.28515625" bestFit="1" customWidth="1"/>
    <col min="7" max="7" width="13.140625" bestFit="1" customWidth="1"/>
    <col min="8" max="8" width="9.28515625" customWidth="1"/>
    <col min="9" max="9" width="14.7109375" customWidth="1"/>
    <col min="10" max="10" width="12" style="111" customWidth="1"/>
    <col min="11" max="11" width="10.140625" bestFit="1" customWidth="1"/>
    <col min="12" max="12" width="10.5703125" customWidth="1"/>
    <col min="13" max="13" width="11.7109375" customWidth="1"/>
    <col min="14" max="14" width="12" customWidth="1"/>
  </cols>
  <sheetData>
    <row r="1" spans="1:14">
      <c r="B1" s="150" t="s">
        <v>615</v>
      </c>
      <c r="C1" s="3"/>
      <c r="D1" s="3"/>
      <c r="E1" s="3"/>
      <c r="F1" s="3"/>
      <c r="G1" s="3"/>
      <c r="H1" s="3"/>
    </row>
    <row r="2" spans="1:14">
      <c r="B2" s="3682" t="s">
        <v>906</v>
      </c>
      <c r="C2" s="3683"/>
      <c r="D2" s="3683"/>
      <c r="E2" s="3683"/>
      <c r="F2" s="3683"/>
      <c r="G2" s="3683"/>
      <c r="H2" s="3684"/>
    </row>
    <row r="3" spans="1:14">
      <c r="B3" s="3246" t="s">
        <v>84</v>
      </c>
      <c r="C3" s="3243" t="s">
        <v>907</v>
      </c>
      <c r="D3" s="3244"/>
      <c r="E3" s="3244"/>
      <c r="F3" s="3243" t="s">
        <v>747</v>
      </c>
      <c r="G3" s="3244"/>
      <c r="H3" s="3245"/>
    </row>
    <row r="4" spans="1:14" ht="32.25" customHeight="1">
      <c r="B4" s="3247"/>
      <c r="C4" s="1769" t="s">
        <v>908</v>
      </c>
      <c r="D4" s="1769" t="s">
        <v>909</v>
      </c>
      <c r="E4" s="1769" t="s">
        <v>910</v>
      </c>
      <c r="F4" s="1769" t="s">
        <v>908</v>
      </c>
      <c r="G4" s="1769" t="s">
        <v>909</v>
      </c>
      <c r="H4" s="1769" t="s">
        <v>910</v>
      </c>
      <c r="J4" s="106"/>
      <c r="K4" s="43"/>
      <c r="L4" s="43"/>
      <c r="M4" s="106"/>
      <c r="N4" s="43"/>
    </row>
    <row r="5" spans="1:14" ht="17.45" customHeight="1">
      <c r="A5">
        <v>1</v>
      </c>
      <c r="B5" s="1772" t="s">
        <v>177</v>
      </c>
      <c r="C5" s="1784" t="e">
        <f>+#REF!+#REF!</f>
        <v>#REF!</v>
      </c>
      <c r="D5" s="1784" t="e">
        <f>VLOOKUP(B5,#REF!,12,0)</f>
        <v>#REF!</v>
      </c>
      <c r="E5" s="2883" t="e">
        <f>+D5/$D$20*100</f>
        <v>#REF!</v>
      </c>
      <c r="F5" s="1784" t="e">
        <f>+#REF!+#REF!</f>
        <v>#REF!</v>
      </c>
      <c r="G5" s="1784" t="e">
        <f>VLOOKUP(B5,#REF!,14,0)</f>
        <v>#REF!</v>
      </c>
      <c r="H5" s="2883" t="e">
        <f>+G5/$G$20*100</f>
        <v>#REF!</v>
      </c>
      <c r="M5" s="14"/>
      <c r="N5" s="14"/>
    </row>
    <row r="6" spans="1:14" ht="17.45" customHeight="1">
      <c r="A6">
        <v>2</v>
      </c>
      <c r="B6" s="1772" t="s">
        <v>178</v>
      </c>
      <c r="C6" s="1784" t="e">
        <f>+#REF!+#REF!+#REF!</f>
        <v>#REF!</v>
      </c>
      <c r="D6" s="1784" t="e">
        <f>VLOOKUP(B6,#REF!,12,0)</f>
        <v>#REF!</v>
      </c>
      <c r="E6" s="2883" t="e">
        <f t="shared" ref="E6:E19" si="0">+D6/$D$20*100</f>
        <v>#REF!</v>
      </c>
      <c r="F6" s="1784" t="e">
        <f>+#REF!+#REF!+#REF!</f>
        <v>#REF!</v>
      </c>
      <c r="G6" s="1784" t="e">
        <f>VLOOKUP(B6,#REF!,14,0)</f>
        <v>#REF!</v>
      </c>
      <c r="H6" s="2883" t="e">
        <f t="shared" ref="H6:H19" si="1">+G6/$G$20*100</f>
        <v>#REF!</v>
      </c>
      <c r="J6" s="58"/>
      <c r="K6" s="58"/>
      <c r="L6" s="58"/>
      <c r="M6" s="58"/>
      <c r="N6" s="58"/>
    </row>
    <row r="7" spans="1:14" ht="17.45" customHeight="1">
      <c r="A7">
        <v>3</v>
      </c>
      <c r="B7" s="1772" t="s">
        <v>180</v>
      </c>
      <c r="C7" s="1784" t="e">
        <f>+#REF!+#REF!+#REF!</f>
        <v>#REF!</v>
      </c>
      <c r="D7" s="1784" t="e">
        <f>VLOOKUP(B7,#REF!,12,0)</f>
        <v>#REF!</v>
      </c>
      <c r="E7" s="2883" t="e">
        <f t="shared" si="0"/>
        <v>#REF!</v>
      </c>
      <c r="F7" s="1784" t="e">
        <f>+#REF!+#REF!+#REF!</f>
        <v>#REF!</v>
      </c>
      <c r="G7" s="1784" t="e">
        <f>VLOOKUP(B7,#REF!,14,0)</f>
        <v>#REF!</v>
      </c>
      <c r="H7" s="2883" t="e">
        <f t="shared" si="1"/>
        <v>#REF!</v>
      </c>
      <c r="J7" s="21"/>
      <c r="M7" s="14"/>
      <c r="N7" s="14"/>
    </row>
    <row r="8" spans="1:14" ht="17.45" customHeight="1">
      <c r="A8">
        <v>4</v>
      </c>
      <c r="B8" s="1772" t="s">
        <v>181</v>
      </c>
      <c r="C8" s="1784" t="e">
        <f>+#REF!+#REF!</f>
        <v>#REF!</v>
      </c>
      <c r="D8" s="1784" t="e">
        <f>VLOOKUP(B8,#REF!,12,0)</f>
        <v>#REF!</v>
      </c>
      <c r="E8" s="2883" t="e">
        <f t="shared" si="0"/>
        <v>#REF!</v>
      </c>
      <c r="F8" s="1784" t="e">
        <f>+#REF!+#REF!</f>
        <v>#REF!</v>
      </c>
      <c r="G8" s="1784" t="e">
        <f>VLOOKUP(B8,#REF!,14,0)</f>
        <v>#REF!</v>
      </c>
      <c r="H8" s="2883" t="e">
        <f t="shared" si="1"/>
        <v>#REF!</v>
      </c>
      <c r="J8" s="20"/>
    </row>
    <row r="9" spans="1:14" ht="17.45" customHeight="1">
      <c r="A9">
        <v>5</v>
      </c>
      <c r="B9" s="1772" t="s">
        <v>182</v>
      </c>
      <c r="C9" s="1784" t="e">
        <f>+#REF!+#REF!</f>
        <v>#REF!</v>
      </c>
      <c r="D9" s="1784" t="e">
        <f>VLOOKUP(B9,#REF!,12,0)</f>
        <v>#REF!</v>
      </c>
      <c r="E9" s="2883" t="e">
        <f t="shared" si="0"/>
        <v>#REF!</v>
      </c>
      <c r="F9" s="1784" t="e">
        <f>+#REF!+#REF!</f>
        <v>#REF!</v>
      </c>
      <c r="G9" s="1784" t="e">
        <f>VLOOKUP(B9,#REF!,14,0)</f>
        <v>#REF!</v>
      </c>
      <c r="H9" s="2883" t="e">
        <f t="shared" si="1"/>
        <v>#REF!</v>
      </c>
      <c r="J9" s="20"/>
    </row>
    <row r="10" spans="1:14" ht="17.45" customHeight="1">
      <c r="A10">
        <v>6</v>
      </c>
      <c r="B10" s="1772" t="s">
        <v>185</v>
      </c>
      <c r="C10" s="2884" t="e">
        <f>+#REF!+#REF!</f>
        <v>#REF!</v>
      </c>
      <c r="D10" s="1784" t="e">
        <f>VLOOKUP(B10,#REF!,12,0)</f>
        <v>#REF!</v>
      </c>
      <c r="E10" s="2883" t="e">
        <f t="shared" si="0"/>
        <v>#REF!</v>
      </c>
      <c r="F10" s="2884" t="e">
        <f>+#REF!+#REF!</f>
        <v>#REF!</v>
      </c>
      <c r="G10" s="1784" t="e">
        <f>VLOOKUP(B10,#REF!,14,0)</f>
        <v>#REF!</v>
      </c>
      <c r="H10" s="2883" t="e">
        <f t="shared" si="1"/>
        <v>#REF!</v>
      </c>
      <c r="J10" s="20"/>
    </row>
    <row r="11" spans="1:14" ht="17.45" customHeight="1">
      <c r="A11">
        <v>7</v>
      </c>
      <c r="B11" s="1772" t="s">
        <v>186</v>
      </c>
      <c r="C11" s="1784" t="e">
        <f>+#REF!+#REF!</f>
        <v>#REF!</v>
      </c>
      <c r="D11" s="1784" t="e">
        <f>VLOOKUP(B11,#REF!,12,0)</f>
        <v>#REF!</v>
      </c>
      <c r="E11" s="2883" t="e">
        <f t="shared" si="0"/>
        <v>#REF!</v>
      </c>
      <c r="F11" s="1784" t="e">
        <f>+#REF!+#REF!</f>
        <v>#REF!</v>
      </c>
      <c r="G11" s="1784" t="e">
        <f>VLOOKUP(B11,#REF!,14,0)</f>
        <v>#REF!</v>
      </c>
      <c r="H11" s="2883" t="e">
        <f t="shared" si="1"/>
        <v>#REF!</v>
      </c>
      <c r="J11" s="20"/>
    </row>
    <row r="12" spans="1:14" ht="17.45" customHeight="1">
      <c r="A12">
        <v>8</v>
      </c>
      <c r="B12" s="1772" t="s">
        <v>188</v>
      </c>
      <c r="C12" s="1784" t="e">
        <f>+#REF!+#REF!</f>
        <v>#REF!</v>
      </c>
      <c r="D12" s="1784" t="e">
        <f>VLOOKUP(B12,#REF!,12,0)</f>
        <v>#REF!</v>
      </c>
      <c r="E12" s="2883" t="e">
        <f t="shared" si="0"/>
        <v>#REF!</v>
      </c>
      <c r="F12" s="1784" t="e">
        <f>+#REF!+#REF!</f>
        <v>#REF!</v>
      </c>
      <c r="G12" s="1784" t="e">
        <f>VLOOKUP(B12,#REF!,14,0)</f>
        <v>#REF!</v>
      </c>
      <c r="H12" s="2883" t="e">
        <f t="shared" si="1"/>
        <v>#REF!</v>
      </c>
      <c r="J12" s="20"/>
    </row>
    <row r="13" spans="1:14" ht="17.45" customHeight="1">
      <c r="A13">
        <v>9</v>
      </c>
      <c r="B13" s="1772" t="s">
        <v>189</v>
      </c>
      <c r="C13" s="1784" t="e">
        <f>+#REF!+#REF!</f>
        <v>#REF!</v>
      </c>
      <c r="D13" s="1784" t="e">
        <f>VLOOKUP(B13,#REF!,12,0)</f>
        <v>#REF!</v>
      </c>
      <c r="E13" s="2883" t="e">
        <f t="shared" si="0"/>
        <v>#REF!</v>
      </c>
      <c r="F13" s="1784" t="e">
        <f>+#REF!+#REF!</f>
        <v>#REF!</v>
      </c>
      <c r="G13" s="1784" t="e">
        <f>VLOOKUP(B13,#REF!,14,0)</f>
        <v>#REF!</v>
      </c>
      <c r="H13" s="2883" t="e">
        <f t="shared" si="1"/>
        <v>#REF!</v>
      </c>
      <c r="J13" s="20"/>
    </row>
    <row r="14" spans="1:14" ht="17.45" customHeight="1">
      <c r="A14">
        <v>10</v>
      </c>
      <c r="B14" s="1772" t="s">
        <v>190</v>
      </c>
      <c r="C14" s="1784" t="e">
        <f>+#REF!+#REF!+#REF!</f>
        <v>#REF!</v>
      </c>
      <c r="D14" s="1784" t="e">
        <f>VLOOKUP(B14,#REF!,12,0)</f>
        <v>#REF!</v>
      </c>
      <c r="E14" s="2883" t="e">
        <f t="shared" si="0"/>
        <v>#REF!</v>
      </c>
      <c r="F14" s="1784" t="e">
        <f>+#REF!+#REF!+#REF!</f>
        <v>#REF!</v>
      </c>
      <c r="G14" s="1784" t="e">
        <f>VLOOKUP(B14,#REF!,14,0)</f>
        <v>#REF!</v>
      </c>
      <c r="H14" s="2883" t="e">
        <f t="shared" si="1"/>
        <v>#REF!</v>
      </c>
      <c r="J14" s="20"/>
    </row>
    <row r="15" spans="1:14" ht="17.45" customHeight="1">
      <c r="A15">
        <v>11</v>
      </c>
      <c r="B15" s="1772" t="s">
        <v>191</v>
      </c>
      <c r="C15" s="1784" t="e">
        <f>+#REF!+#REF!</f>
        <v>#REF!</v>
      </c>
      <c r="D15" s="1784" t="e">
        <f>VLOOKUP(B15,#REF!,12,0)</f>
        <v>#REF!</v>
      </c>
      <c r="E15" s="2883" t="e">
        <f t="shared" si="0"/>
        <v>#REF!</v>
      </c>
      <c r="F15" s="1784" t="e">
        <f>+#REF!+#REF!</f>
        <v>#REF!</v>
      </c>
      <c r="G15" s="1784" t="e">
        <f>VLOOKUP(B15,#REF!,14,0)</f>
        <v>#REF!</v>
      </c>
      <c r="H15" s="2883" t="e">
        <f t="shared" si="1"/>
        <v>#REF!</v>
      </c>
      <c r="I15" s="112"/>
      <c r="J15" s="22"/>
    </row>
    <row r="16" spans="1:14" ht="17.45" customHeight="1">
      <c r="A16">
        <v>12</v>
      </c>
      <c r="B16" s="1772" t="s">
        <v>192</v>
      </c>
      <c r="C16" s="1784" t="e">
        <f>+#REF!+#REF!</f>
        <v>#REF!</v>
      </c>
      <c r="D16" s="1784" t="e">
        <f>VLOOKUP(B16,#REF!,12,0)</f>
        <v>#REF!</v>
      </c>
      <c r="E16" s="2883" t="e">
        <f t="shared" si="0"/>
        <v>#REF!</v>
      </c>
      <c r="F16" s="1784" t="e">
        <f>+#REF!+#REF!</f>
        <v>#REF!</v>
      </c>
      <c r="G16" s="1784" t="e">
        <f>VLOOKUP(B16,#REF!,14,0)</f>
        <v>#REF!</v>
      </c>
      <c r="H16" s="2883" t="e">
        <f t="shared" si="1"/>
        <v>#REF!</v>
      </c>
    </row>
    <row r="17" spans="1:10" ht="17.45" customHeight="1">
      <c r="A17">
        <v>13</v>
      </c>
      <c r="B17" s="1772" t="s">
        <v>195</v>
      </c>
      <c r="C17" s="1784" t="e">
        <f>+#REF!+#REF!</f>
        <v>#REF!</v>
      </c>
      <c r="D17" s="1784" t="e">
        <f>VLOOKUP(B17,#REF!,12,0)</f>
        <v>#REF!</v>
      </c>
      <c r="E17" s="2883" t="e">
        <f t="shared" si="0"/>
        <v>#REF!</v>
      </c>
      <c r="F17" s="1784" t="e">
        <f>+#REF!+#REF!</f>
        <v>#REF!</v>
      </c>
      <c r="G17" s="1784" t="e">
        <f>VLOOKUP(B17,#REF!,14,0)</f>
        <v>#REF!</v>
      </c>
      <c r="H17" s="2883" t="e">
        <f t="shared" si="1"/>
        <v>#REF!</v>
      </c>
      <c r="J17" s="17"/>
    </row>
    <row r="18" spans="1:10" ht="17.45" customHeight="1">
      <c r="A18">
        <v>14</v>
      </c>
      <c r="B18" s="1772" t="s">
        <v>196</v>
      </c>
      <c r="C18" s="1784" t="e">
        <f>+#REF!+#REF!</f>
        <v>#REF!</v>
      </c>
      <c r="D18" s="1784" t="e">
        <f>VLOOKUP(B18,#REF!,12,0)</f>
        <v>#REF!</v>
      </c>
      <c r="E18" s="2883" t="e">
        <f t="shared" si="0"/>
        <v>#REF!</v>
      </c>
      <c r="F18" s="1784" t="e">
        <f>+#REF!+#REF!</f>
        <v>#REF!</v>
      </c>
      <c r="G18" s="1784" t="e">
        <f>VLOOKUP(B18,#REF!,14,0)</f>
        <v>#REF!</v>
      </c>
      <c r="H18" s="2883" t="e">
        <f t="shared" si="1"/>
        <v>#REF!</v>
      </c>
    </row>
    <row r="19" spans="1:10" ht="17.45" customHeight="1">
      <c r="A19">
        <v>15</v>
      </c>
      <c r="B19" s="1772" t="s">
        <v>197</v>
      </c>
      <c r="C19" s="1785" t="e">
        <f>+#REF!+#REF!</f>
        <v>#REF!</v>
      </c>
      <c r="D19" s="1784" t="e">
        <f>VLOOKUP(B19,#REF!,12,0)</f>
        <v>#REF!</v>
      </c>
      <c r="E19" s="2883" t="e">
        <f t="shared" si="0"/>
        <v>#REF!</v>
      </c>
      <c r="F19" s="1784" t="e">
        <f>+#REF!+#REF!</f>
        <v>#REF!</v>
      </c>
      <c r="G19" s="1784" t="e">
        <f>VLOOKUP(B19,#REF!,14,0)</f>
        <v>#REF!</v>
      </c>
      <c r="H19" s="2883" t="e">
        <f t="shared" si="1"/>
        <v>#REF!</v>
      </c>
    </row>
    <row r="20" spans="1:10" ht="17.45" customHeight="1">
      <c r="B20" s="1777" t="s">
        <v>160</v>
      </c>
      <c r="C20" s="2885" t="e">
        <f t="shared" ref="C20:H20" si="2">SUM(C5:C19)</f>
        <v>#REF!</v>
      </c>
      <c r="D20" s="2885" t="e">
        <f t="shared" si="2"/>
        <v>#REF!</v>
      </c>
      <c r="E20" s="2885" t="e">
        <f t="shared" si="2"/>
        <v>#REF!</v>
      </c>
      <c r="F20" s="2885" t="e">
        <f t="shared" si="2"/>
        <v>#REF!</v>
      </c>
      <c r="G20" s="2885" t="e">
        <f t="shared" si="2"/>
        <v>#REF!</v>
      </c>
      <c r="H20" s="2885" t="e">
        <f t="shared" si="2"/>
        <v>#REF!</v>
      </c>
      <c r="I20" s="16"/>
    </row>
    <row r="21" spans="1:10">
      <c r="B21" s="4"/>
      <c r="C21" s="4"/>
      <c r="F21" s="5"/>
      <c r="G21" s="5"/>
      <c r="H21" s="5"/>
      <c r="J21" s="19"/>
    </row>
    <row r="22" spans="1:10">
      <c r="F22" s="16"/>
      <c r="G22" s="16"/>
      <c r="H22" s="16"/>
    </row>
    <row r="23" spans="1:10">
      <c r="B23" s="36" t="s">
        <v>911</v>
      </c>
    </row>
    <row r="24" spans="1:10">
      <c r="B24" s="3" t="s">
        <v>912</v>
      </c>
    </row>
    <row r="25" spans="1:10">
      <c r="B25" s="36" t="s">
        <v>913</v>
      </c>
    </row>
    <row r="26" spans="1:10">
      <c r="B26" s="36" t="s">
        <v>914</v>
      </c>
      <c r="F26" s="16"/>
      <c r="G26" s="16"/>
      <c r="H26" s="16"/>
    </row>
    <row r="27" spans="1:10">
      <c r="B27" s="36" t="s">
        <v>915</v>
      </c>
    </row>
    <row r="28" spans="1:10">
      <c r="B28" s="2" t="s">
        <v>916</v>
      </c>
      <c r="F28" s="10"/>
      <c r="G28" s="10"/>
      <c r="H28" s="10"/>
    </row>
    <row r="29" spans="1:10">
      <c r="B29" s="2" t="s">
        <v>917</v>
      </c>
    </row>
  </sheetData>
  <customSheetViews>
    <customSheetView guid="{2ACFE167-4169-43A6-9AB2-59D5A2DA2DB4}" showPageBreaks="1" state="hidden">
      <selection activeCell="B21" sqref="B21"/>
      <colBreaks count="1" manualBreakCount="1">
        <brk id="8" max="1048575" man="1"/>
      </colBreaks>
      <pageMargins left="0" right="0" top="0" bottom="0" header="0" footer="0"/>
      <pageSetup scale="92" orientation="landscape" r:id="rId1"/>
    </customSheetView>
    <customSheetView guid="{967E0446-E234-427F-8E57-7FE287052E2E}" showPageBreaks="1" state="hidden">
      <selection activeCell="B21" sqref="B21"/>
      <colBreaks count="1" manualBreakCount="1">
        <brk id="8" max="1048575" man="1"/>
      </colBreaks>
      <pageMargins left="0" right="0" top="0" bottom="0" header="0" footer="0"/>
      <pageSetup scale="92" orientation="landscape" r:id="rId2"/>
    </customSheetView>
    <customSheetView guid="{B2E1A0C6-5BA1-4CF1-B412-16D81FCDF11F}" state="hidden">
      <selection activeCell="B21" sqref="B21"/>
      <colBreaks count="1" manualBreakCount="1">
        <brk id="8" max="1048575" man="1"/>
      </colBreaks>
      <pageMargins left="0" right="0" top="0" bottom="0" header="0" footer="0"/>
      <pageSetup scale="92" orientation="landscape" r:id="rId3"/>
    </customSheetView>
    <customSheetView guid="{46F31544-8E6F-41C5-8628-1D6EE074AF15}" state="hidden">
      <selection activeCell="B21" sqref="B21"/>
      <colBreaks count="1" manualBreakCount="1">
        <brk id="8" max="1048575" man="1"/>
      </colBreaks>
      <pageMargins left="0" right="0" top="0" bottom="0" header="0" footer="0"/>
      <pageSetup scale="92" orientation="landscape" r:id="rId4"/>
    </customSheetView>
    <customSheetView guid="{E82B35BE-4719-4C53-A9EF-1CC6F153A6F3}" state="hidden">
      <selection activeCell="B21" sqref="B21"/>
      <colBreaks count="1" manualBreakCount="1">
        <brk id="8" max="1048575" man="1"/>
      </colBreaks>
      <pageMargins left="0" right="0" top="0" bottom="0" header="0" footer="0"/>
      <pageSetup scale="92" orientation="landscape" r:id="rId5"/>
    </customSheetView>
    <customSheetView guid="{B1E1B596-A9A1-411D-A882-A48CB025B978}" state="hidden">
      <selection activeCell="B21" sqref="B21"/>
      <colBreaks count="1" manualBreakCount="1">
        <brk id="8" max="1048575" man="1"/>
      </colBreaks>
      <pageMargins left="0" right="0" top="0" bottom="0" header="0" footer="0"/>
      <pageSetup scale="92" orientation="landscape" r:id="rId6"/>
    </customSheetView>
    <customSheetView guid="{5E394B0B-7867-4722-9497-A93AB2A9A773}" showPageBreaks="1" state="hidden">
      <selection activeCell="B21" sqref="B21"/>
      <colBreaks count="1" manualBreakCount="1">
        <brk id="8" max="1048575" man="1"/>
      </colBreaks>
      <pageMargins left="0" right="0" top="0" bottom="0" header="0" footer="0"/>
      <pageSetup scale="92" orientation="landscape" r:id="rId7"/>
    </customSheetView>
  </customSheetViews>
  <mergeCells count="4">
    <mergeCell ref="B3:B4"/>
    <mergeCell ref="C3:E3"/>
    <mergeCell ref="F3:H3"/>
    <mergeCell ref="B2:H2"/>
  </mergeCells>
  <hyperlinks>
    <hyperlink ref="B1" location="'List of tables'!A1" display="'List of tables'!A1" xr:uid="{00000000-0004-0000-4300-000000000000}"/>
  </hyperlinks>
  <pageMargins left="0.31" right="0.2" top="0.65" bottom="0.75" header="0.3" footer="0.3"/>
  <pageSetup scale="92" orientation="landscape" r:id="rId8"/>
  <colBreaks count="1" manualBreakCount="1">
    <brk id="8" max="1048575" man="1"/>
  </colBreak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Sheet43">
    <tabColor rgb="FF00B050"/>
  </sheetPr>
  <dimension ref="B1:J27"/>
  <sheetViews>
    <sheetView workbookViewId="0">
      <selection activeCell="E13" sqref="E13"/>
    </sheetView>
  </sheetViews>
  <sheetFormatPr defaultRowHeight="14.45"/>
  <cols>
    <col min="1" max="1" width="4.7109375" customWidth="1"/>
    <col min="2" max="2" width="37.140625" customWidth="1"/>
    <col min="3" max="3" width="11.28515625" hidden="1" customWidth="1"/>
    <col min="4" max="4" width="11.5703125" hidden="1" customWidth="1"/>
    <col min="5" max="5" width="10.42578125" customWidth="1"/>
    <col min="6" max="6" width="11.42578125" customWidth="1"/>
    <col min="7" max="7" width="11.140625" customWidth="1"/>
    <col min="8" max="9" width="12" customWidth="1"/>
    <col min="10" max="10" width="12.42578125" customWidth="1"/>
    <col min="11" max="11" width="13.42578125" customWidth="1"/>
  </cols>
  <sheetData>
    <row r="1" spans="2:10">
      <c r="B1" s="150" t="s">
        <v>615</v>
      </c>
    </row>
    <row r="2" spans="2:10">
      <c r="B2" s="250" t="s">
        <v>918</v>
      </c>
      <c r="C2" s="1"/>
      <c r="D2" s="2"/>
      <c r="E2" s="2"/>
      <c r="F2" s="2"/>
      <c r="G2" s="2"/>
      <c r="H2" s="2"/>
      <c r="I2" s="2"/>
    </row>
    <row r="3" spans="2:10">
      <c r="B3" t="s">
        <v>919</v>
      </c>
      <c r="D3" s="2"/>
      <c r="E3" s="2"/>
      <c r="F3" s="2"/>
      <c r="G3" s="2"/>
      <c r="H3" s="2"/>
      <c r="I3" s="2"/>
    </row>
    <row r="4" spans="2:10">
      <c r="B4" s="3685"/>
      <c r="C4" s="3685"/>
      <c r="D4" s="3685"/>
      <c r="E4" s="3685"/>
      <c r="F4" s="3685"/>
      <c r="G4" s="3685"/>
      <c r="H4" s="3685"/>
    </row>
    <row r="5" spans="2:10" ht="24" customHeight="1">
      <c r="B5" s="2886"/>
      <c r="C5" s="2886">
        <v>2006</v>
      </c>
      <c r="D5" s="2887">
        <v>2007</v>
      </c>
      <c r="E5" s="2888">
        <v>2008</v>
      </c>
      <c r="F5" s="2888">
        <v>2009</v>
      </c>
      <c r="G5" s="2888">
        <v>2010</v>
      </c>
      <c r="H5" s="2888" t="s">
        <v>920</v>
      </c>
      <c r="I5" s="2888" t="s">
        <v>921</v>
      </c>
    </row>
    <row r="6" spans="2:10" ht="18.75" customHeight="1">
      <c r="B6" s="1794" t="s">
        <v>922</v>
      </c>
      <c r="C6" s="1784">
        <v>17104</v>
      </c>
      <c r="D6" s="2889" t="e">
        <f>+#REF!/1000</f>
        <v>#REF!</v>
      </c>
      <c r="E6" s="1717" t="e">
        <f>+#REF!/1000</f>
        <v>#REF!</v>
      </c>
      <c r="F6" s="1717" t="e">
        <f>+#REF!/1000</f>
        <v>#REF!</v>
      </c>
      <c r="G6" s="2822" t="e">
        <f>+#REF!/1000</f>
        <v>#REF!</v>
      </c>
      <c r="H6" s="1717" t="e">
        <f>+#REF!/1000</f>
        <v>#REF!</v>
      </c>
      <c r="I6" s="1717" t="e">
        <f>+#REF!/1000</f>
        <v>#REF!</v>
      </c>
    </row>
    <row r="7" spans="2:10" ht="19.5" customHeight="1">
      <c r="B7" s="1794" t="s">
        <v>923</v>
      </c>
      <c r="C7" s="1784">
        <v>25931</v>
      </c>
      <c r="D7" s="2889" t="e">
        <f>+#REF!/1000</f>
        <v>#REF!</v>
      </c>
      <c r="E7" s="1717" t="e">
        <f>+#REF!/1000</f>
        <v>#REF!</v>
      </c>
      <c r="F7" s="1717" t="e">
        <f>+#REF!/1000</f>
        <v>#REF!</v>
      </c>
      <c r="G7" s="1717" t="e">
        <f>+#REF!/1000</f>
        <v>#REF!</v>
      </c>
      <c r="H7" s="1717" t="e">
        <f>+#REF!/1000</f>
        <v>#REF!</v>
      </c>
      <c r="I7" s="1717" t="e">
        <f>+#REF!/1000</f>
        <v>#REF!</v>
      </c>
    </row>
    <row r="8" spans="2:10" ht="19.5" customHeight="1">
      <c r="B8" s="1794" t="s">
        <v>924</v>
      </c>
      <c r="C8" s="1784">
        <f>SUM(C6:C7)</f>
        <v>43035</v>
      </c>
      <c r="D8" s="2890" t="e">
        <f t="shared" ref="D8:I8" si="0">+D6+D7</f>
        <v>#REF!</v>
      </c>
      <c r="E8" s="2822" t="e">
        <f t="shared" si="0"/>
        <v>#REF!</v>
      </c>
      <c r="F8" s="2822" t="e">
        <f t="shared" si="0"/>
        <v>#REF!</v>
      </c>
      <c r="G8" s="2822" t="e">
        <f>+G6+G7-1</f>
        <v>#REF!</v>
      </c>
      <c r="H8" s="2822" t="e">
        <f t="shared" si="0"/>
        <v>#REF!</v>
      </c>
      <c r="I8" s="2822" t="e">
        <f t="shared" si="0"/>
        <v>#REF!</v>
      </c>
    </row>
    <row r="9" spans="2:10" ht="21.75" customHeight="1">
      <c r="B9" s="1794" t="s">
        <v>925</v>
      </c>
      <c r="C9" s="2891">
        <v>15.61</v>
      </c>
      <c r="D9" s="2892" t="e">
        <f t="shared" ref="D9:I9" si="1">((D8-C8)/C8)*100</f>
        <v>#REF!</v>
      </c>
      <c r="E9" s="2893" t="e">
        <f t="shared" si="1"/>
        <v>#REF!</v>
      </c>
      <c r="F9" s="2893" t="e">
        <f t="shared" si="1"/>
        <v>#REF!</v>
      </c>
      <c r="G9" s="2893" t="e">
        <f t="shared" si="1"/>
        <v>#REF!</v>
      </c>
      <c r="H9" s="2893" t="e">
        <f t="shared" si="1"/>
        <v>#REF!</v>
      </c>
      <c r="I9" s="2893" t="e">
        <f t="shared" si="1"/>
        <v>#REF!</v>
      </c>
    </row>
    <row r="10" spans="2:10" ht="20.25" customHeight="1">
      <c r="B10" s="1794" t="s">
        <v>926</v>
      </c>
      <c r="C10" s="1784">
        <v>2939</v>
      </c>
      <c r="D10" s="2894">
        <v>3579</v>
      </c>
      <c r="E10" s="2895">
        <v>4411</v>
      </c>
      <c r="F10" s="2895">
        <v>4835</v>
      </c>
      <c r="G10" s="2896">
        <v>5604</v>
      </c>
      <c r="H10" s="2895">
        <v>6544.009</v>
      </c>
      <c r="I10" s="2895">
        <v>7582.3760000000002</v>
      </c>
      <c r="J10" s="10"/>
    </row>
    <row r="11" spans="2:10" ht="25.5" customHeight="1">
      <c r="B11" s="1794" t="s">
        <v>927</v>
      </c>
      <c r="C11" s="2897">
        <f t="shared" ref="C11:H11" si="2">+C8/(C10*1000)*100</f>
        <v>1.4642735624362029</v>
      </c>
      <c r="D11" s="2897" t="e">
        <f t="shared" si="2"/>
        <v>#REF!</v>
      </c>
      <c r="E11" s="2898" t="e">
        <f t="shared" si="2"/>
        <v>#REF!</v>
      </c>
      <c r="F11" s="2898" t="e">
        <f t="shared" si="2"/>
        <v>#REF!</v>
      </c>
      <c r="G11" s="2898" t="e">
        <f t="shared" si="2"/>
        <v>#REF!</v>
      </c>
      <c r="H11" s="2898" t="e">
        <f t="shared" si="2"/>
        <v>#REF!</v>
      </c>
      <c r="I11" s="2898" t="e">
        <f>+I8/(I10*1000)*100</f>
        <v>#REF!</v>
      </c>
    </row>
    <row r="12" spans="2:10" ht="30" customHeight="1">
      <c r="B12" s="1794" t="s">
        <v>928</v>
      </c>
      <c r="C12" s="2897"/>
      <c r="D12" s="2897" t="e">
        <f>+(D6/($D$10*1000))*100</f>
        <v>#REF!</v>
      </c>
      <c r="E12" s="2898" t="e">
        <f>+(E6/(E10*1000))*100</f>
        <v>#REF!</v>
      </c>
      <c r="F12" s="2898" t="e">
        <f>+(F6/(F10*1000))*100</f>
        <v>#REF!</v>
      </c>
      <c r="G12" s="2898" t="e">
        <f>+(G6/(G10*1000))*100</f>
        <v>#REF!</v>
      </c>
      <c r="H12" s="2898" t="e">
        <f>+(H6/(H10*1000))*100</f>
        <v>#REF!</v>
      </c>
      <c r="I12" s="2898" t="e">
        <f>+(I6/(I10*1000))*100</f>
        <v>#REF!</v>
      </c>
    </row>
    <row r="13" spans="2:10" ht="28.5" customHeight="1">
      <c r="B13" s="1794" t="s">
        <v>929</v>
      </c>
      <c r="C13" s="2897"/>
      <c r="D13" s="2897" t="e">
        <f>+(D7/($D$10*1000))*100</f>
        <v>#REF!</v>
      </c>
      <c r="E13" s="2898" t="e">
        <f>+(E7/(E10*1000))*100</f>
        <v>#REF!</v>
      </c>
      <c r="F13" s="2898" t="e">
        <f>+(F7/(F10*1000))*100</f>
        <v>#REF!</v>
      </c>
      <c r="G13" s="2898" t="e">
        <f>+(G7/(G10*1000))*100</f>
        <v>#REF!</v>
      </c>
      <c r="H13" s="2898" t="e">
        <f>+(H7/(H10*1000))*100</f>
        <v>#REF!</v>
      </c>
      <c r="I13" s="2898" t="e">
        <f>+(I7/(I10*1000))*100</f>
        <v>#REF!</v>
      </c>
    </row>
    <row r="14" spans="2:10" ht="30.75" customHeight="1">
      <c r="B14" s="1794" t="s">
        <v>930</v>
      </c>
      <c r="C14" s="2897"/>
      <c r="D14" s="2897" t="e">
        <f>+(D8*1000)/D15+0.01</f>
        <v>#REF!</v>
      </c>
      <c r="E14" s="2898" t="e">
        <f>+(E8*1000)/E15</f>
        <v>#REF!</v>
      </c>
      <c r="F14" s="2898" t="e">
        <f>+(F8*1000)/F15-0.01</f>
        <v>#REF!</v>
      </c>
      <c r="G14" s="2898" t="e">
        <f>+(G8*1000)/G15+0.02</f>
        <v>#REF!</v>
      </c>
      <c r="H14" s="2898" t="e">
        <f>+(H8*1000)/H15</f>
        <v>#REF!</v>
      </c>
      <c r="I14" s="2898" t="e">
        <f>+(I8*1000)/I15</f>
        <v>#REF!</v>
      </c>
    </row>
    <row r="15" spans="2:10" ht="19.5" customHeight="1">
      <c r="B15" s="1794" t="s">
        <v>931</v>
      </c>
      <c r="C15" s="2897"/>
      <c r="D15" s="2771">
        <v>20039</v>
      </c>
      <c r="E15" s="2822">
        <v>20217</v>
      </c>
      <c r="F15" s="2822">
        <v>20450</v>
      </c>
      <c r="G15" s="2822">
        <v>20653</v>
      </c>
      <c r="H15" s="2822">
        <v>20869</v>
      </c>
      <c r="I15" s="2822">
        <v>20328</v>
      </c>
    </row>
    <row r="17" spans="2:10">
      <c r="B17" s="198" t="s">
        <v>932</v>
      </c>
      <c r="C17" s="175"/>
      <c r="D17" s="175"/>
      <c r="E17" s="175"/>
      <c r="F17" s="175"/>
      <c r="G17" s="175"/>
      <c r="H17" s="175"/>
      <c r="I17" s="175"/>
    </row>
    <row r="18" spans="2:10">
      <c r="B18" s="199" t="s">
        <v>933</v>
      </c>
      <c r="C18" s="175"/>
      <c r="D18" s="175"/>
      <c r="E18" s="175"/>
      <c r="F18" s="175"/>
      <c r="G18" s="175"/>
      <c r="H18" s="175"/>
      <c r="I18" s="175"/>
      <c r="J18" s="12"/>
    </row>
    <row r="19" spans="2:10">
      <c r="B19" s="200" t="s">
        <v>634</v>
      </c>
      <c r="C19" s="175"/>
      <c r="D19" s="175"/>
      <c r="E19" s="175"/>
      <c r="F19" s="175"/>
      <c r="G19" s="175"/>
      <c r="H19" s="175"/>
      <c r="I19" s="175"/>
      <c r="J19" s="12"/>
    </row>
    <row r="20" spans="2:10">
      <c r="B20" s="173"/>
      <c r="C20" s="166"/>
      <c r="D20" s="166"/>
      <c r="E20" s="166"/>
      <c r="F20" s="166"/>
      <c r="G20" s="166"/>
      <c r="H20" s="166"/>
      <c r="I20" s="166"/>
      <c r="J20" s="12"/>
    </row>
    <row r="21" spans="2:10">
      <c r="B21" s="173" t="s">
        <v>149</v>
      </c>
      <c r="C21" s="166"/>
      <c r="D21" s="166"/>
      <c r="E21" s="166"/>
      <c r="F21" s="166"/>
      <c r="G21" s="166"/>
      <c r="H21" s="166"/>
      <c r="I21" s="166"/>
      <c r="J21" s="12"/>
    </row>
    <row r="22" spans="2:10">
      <c r="B22" s="174"/>
      <c r="C22" s="166"/>
      <c r="D22" s="166"/>
      <c r="E22" s="166"/>
      <c r="F22" s="166"/>
      <c r="G22" s="166"/>
      <c r="H22" s="166"/>
      <c r="I22" s="166"/>
      <c r="J22" s="12"/>
    </row>
    <row r="23" spans="2:10" ht="15" customHeight="1">
      <c r="B23" s="3686" t="s">
        <v>710</v>
      </c>
      <c r="C23" s="3686"/>
      <c r="D23" s="3686"/>
      <c r="E23" s="3686"/>
      <c r="F23" s="3686"/>
      <c r="G23" s="3686"/>
      <c r="H23" s="3686"/>
      <c r="I23" s="164"/>
      <c r="J23" s="12"/>
    </row>
    <row r="24" spans="2:10">
      <c r="B24" s="3686"/>
      <c r="C24" s="3686"/>
      <c r="D24" s="3686"/>
      <c r="E24" s="3686"/>
      <c r="F24" s="3686"/>
      <c r="G24" s="3686"/>
      <c r="H24" s="3686"/>
      <c r="I24" s="68"/>
    </row>
    <row r="25" spans="2:10" ht="15" customHeight="1">
      <c r="B25" s="3687" t="s">
        <v>151</v>
      </c>
      <c r="C25" s="3687"/>
      <c r="D25" s="3687"/>
      <c r="E25" s="3687"/>
      <c r="F25" s="3687"/>
      <c r="G25" s="3687"/>
      <c r="H25" s="3687"/>
      <c r="I25" s="68"/>
    </row>
    <row r="26" spans="2:10">
      <c r="B26" s="3687"/>
      <c r="C26" s="3687"/>
      <c r="D26" s="3687"/>
      <c r="E26" s="3687"/>
      <c r="F26" s="3687"/>
      <c r="G26" s="3687"/>
      <c r="H26" s="3687"/>
      <c r="I26" s="68"/>
    </row>
    <row r="27" spans="2:10" ht="49.5" customHeight="1">
      <c r="B27" s="3688" t="s">
        <v>934</v>
      </c>
      <c r="C27" s="3688"/>
      <c r="D27" s="3688"/>
      <c r="E27" s="3688"/>
      <c r="F27" s="3688"/>
      <c r="G27" s="3688"/>
      <c r="H27" s="3688"/>
      <c r="I27" s="68"/>
    </row>
  </sheetData>
  <customSheetViews>
    <customSheetView guid="{2ACFE167-4169-43A6-9AB2-59D5A2DA2DB4}" showPageBreaks="1" hiddenColumns="1" state="hidden">
      <selection activeCell="E13" sqref="E13"/>
      <pageMargins left="0" right="0" top="0" bottom="0" header="0" footer="0"/>
      <pageSetup orientation="landscape" r:id="rId1"/>
    </customSheetView>
    <customSheetView guid="{967E0446-E234-427F-8E57-7FE287052E2E}" showPageBreaks="1" hiddenColumns="1" state="hidden">
      <selection activeCell="E13" sqref="E13"/>
      <pageMargins left="0" right="0" top="0" bottom="0" header="0" footer="0"/>
      <pageSetup orientation="landscape" r:id="rId2"/>
    </customSheetView>
    <customSheetView guid="{B2E1A0C6-5BA1-4CF1-B412-16D81FCDF11F}" hiddenColumns="1" state="hidden">
      <selection activeCell="E13" sqref="E13"/>
      <pageMargins left="0" right="0" top="0" bottom="0" header="0" footer="0"/>
      <pageSetup orientation="landscape" r:id="rId3"/>
    </customSheetView>
    <customSheetView guid="{46F31544-8E6F-41C5-8628-1D6EE074AF15}" hiddenColumns="1" state="hidden">
      <selection activeCell="E13" sqref="E13"/>
      <pageMargins left="0" right="0" top="0" bottom="0" header="0" footer="0"/>
      <pageSetup orientation="landscape" r:id="rId4"/>
    </customSheetView>
    <customSheetView guid="{D020F570-D9CD-4C16-921E-7638848CF929}">
      <selection activeCell="I9" sqref="I9"/>
      <pageMargins left="0" right="0" top="0" bottom="0" header="0" footer="0"/>
      <pageSetup orientation="landscape" r:id="rId5"/>
    </customSheetView>
    <customSheetView guid="{F66B1C5E-2E3D-4890-AA4B-3A6E976CA29E}">
      <selection activeCell="I6" sqref="I6"/>
      <pageMargins left="0" right="0" top="0" bottom="0" header="0" footer="0"/>
      <pageSetup orientation="landscape" r:id="rId6"/>
    </customSheetView>
    <customSheetView guid="{C4538C36-F6A2-4603-9311-8D97FB7695CB}">
      <selection activeCell="I6" sqref="I6"/>
      <pageMargins left="0" right="0" top="0" bottom="0" header="0" footer="0"/>
      <pageSetup orientation="landscape" r:id="rId7"/>
    </customSheetView>
    <customSheetView guid="{3199A5C7-1303-43ED-A74D-8C27C3B99779}">
      <selection activeCell="A15" sqref="A15:IV15"/>
      <pageMargins left="0" right="0" top="0" bottom="0" header="0" footer="0"/>
      <pageSetup orientation="landscape" r:id="rId8"/>
    </customSheetView>
    <customSheetView guid="{B8318771-9061-42D8-AFEA-0FF27D639C94}">
      <selection activeCell="A15" sqref="A15:IV15"/>
      <pageMargins left="0" right="0" top="0" bottom="0" header="0" footer="0"/>
      <pageSetup orientation="landscape" r:id="rId9"/>
    </customSheetView>
    <customSheetView guid="{F7C0CA98-A3B8-42B1-9940-E27294444C95}">
      <selection activeCell="I6" sqref="I6"/>
      <pageMargins left="0" right="0" top="0" bottom="0" header="0" footer="0"/>
      <pageSetup orientation="landscape" r:id="rId10"/>
    </customSheetView>
    <customSheetView guid="{B4A67912-05A8-4D20-958A-E8812294BB39}">
      <selection activeCell="E9" sqref="E9"/>
      <pageMargins left="0" right="0" top="0" bottom="0" header="0" footer="0"/>
      <pageSetup orientation="landscape" r:id="rId11"/>
    </customSheetView>
    <customSheetView guid="{E82B35BE-4719-4C53-A9EF-1CC6F153A6F3}" hiddenColumns="1" state="hidden">
      <selection activeCell="E13" sqref="E13"/>
      <pageMargins left="0" right="0" top="0" bottom="0" header="0" footer="0"/>
      <pageSetup orientation="landscape" r:id="rId12"/>
    </customSheetView>
    <customSheetView guid="{B1E1B596-A9A1-411D-A882-A48CB025B978}" hiddenColumns="1" state="hidden">
      <selection activeCell="E13" sqref="E13"/>
      <pageMargins left="0" right="0" top="0" bottom="0" header="0" footer="0"/>
      <pageSetup orientation="landscape" r:id="rId13"/>
    </customSheetView>
    <customSheetView guid="{5E394B0B-7867-4722-9497-A93AB2A9A773}" showPageBreaks="1" hiddenColumns="1" state="hidden">
      <selection activeCell="E13" sqref="E13"/>
      <pageMargins left="0" right="0" top="0" bottom="0" header="0" footer="0"/>
      <pageSetup orientation="landscape" r:id="rId14"/>
    </customSheetView>
  </customSheetViews>
  <mergeCells count="4">
    <mergeCell ref="B4:H4"/>
    <mergeCell ref="B23:H24"/>
    <mergeCell ref="B25:H26"/>
    <mergeCell ref="B27:H27"/>
  </mergeCells>
  <hyperlinks>
    <hyperlink ref="B1" location="'List of tables'!A1" display="'List of tables'!A1" xr:uid="{00000000-0004-0000-4400-000000000000}"/>
  </hyperlinks>
  <pageMargins left="0.7" right="0.7" top="0.75" bottom="0.75" header="0.3" footer="0.3"/>
  <pageSetup orientation="landscape" r:id="rId15"/>
  <ignoredErrors>
    <ignoredError sqref="H11 H14:I14" evalErro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6699"/>
  </sheetPr>
  <dimension ref="B1:P106"/>
  <sheetViews>
    <sheetView showGridLines="0" view="pageBreakPreview" zoomScale="85" zoomScaleNormal="85" zoomScaleSheetLayoutView="85" workbookViewId="0">
      <selection activeCell="L9" sqref="L9"/>
    </sheetView>
  </sheetViews>
  <sheetFormatPr defaultColWidth="9.140625" defaultRowHeight="13.15"/>
  <cols>
    <col min="1" max="1" width="4" style="292" customWidth="1"/>
    <col min="2" max="2" width="19.7109375" style="292" customWidth="1"/>
    <col min="3" max="3" width="17" style="514" customWidth="1"/>
    <col min="4" max="10" width="16.28515625" style="292" customWidth="1"/>
    <col min="11" max="11" width="14" style="292" customWidth="1"/>
    <col min="12" max="12" width="16.42578125" style="292" customWidth="1"/>
    <col min="13" max="13" width="14.7109375" style="292" customWidth="1"/>
    <col min="14" max="14" width="12.5703125" style="292" customWidth="1"/>
    <col min="15" max="16384" width="9.140625" style="292"/>
  </cols>
  <sheetData>
    <row r="1" spans="2:16">
      <c r="B1" s="458"/>
      <c r="C1" s="512"/>
      <c r="D1" s="458"/>
      <c r="E1" s="458"/>
      <c r="F1" s="458"/>
      <c r="G1" s="458"/>
      <c r="H1" s="458"/>
    </row>
    <row r="2" spans="2:16">
      <c r="B2" s="295" t="s">
        <v>146</v>
      </c>
      <c r="C2" s="383"/>
      <c r="D2" s="295"/>
      <c r="E2" s="295"/>
      <c r="F2" s="295"/>
      <c r="G2" s="295"/>
    </row>
    <row r="4" spans="2:16">
      <c r="B4" s="3220" t="s">
        <v>84</v>
      </c>
      <c r="C4" s="3214">
        <v>2018</v>
      </c>
      <c r="D4" s="3215"/>
      <c r="E4" s="3214">
        <v>2019</v>
      </c>
      <c r="F4" s="3215"/>
      <c r="G4" s="3214">
        <v>2020</v>
      </c>
      <c r="H4" s="3215"/>
      <c r="I4" s="3214" t="s">
        <v>138</v>
      </c>
      <c r="J4" s="3215"/>
      <c r="K4" s="3214" t="s">
        <v>147</v>
      </c>
      <c r="L4" s="3215"/>
    </row>
    <row r="5" spans="2:16">
      <c r="B5" s="3221"/>
      <c r="C5" s="1723" t="s">
        <v>140</v>
      </c>
      <c r="D5" s="1722" t="s">
        <v>141</v>
      </c>
      <c r="E5" s="1721" t="s">
        <v>140</v>
      </c>
      <c r="F5" s="1722" t="s">
        <v>141</v>
      </c>
      <c r="G5" s="1721" t="s">
        <v>140</v>
      </c>
      <c r="H5" s="1722" t="s">
        <v>141</v>
      </c>
      <c r="I5" s="1724" t="s">
        <v>140</v>
      </c>
      <c r="J5" s="1722" t="s">
        <v>141</v>
      </c>
      <c r="K5" s="1724" t="s">
        <v>140</v>
      </c>
      <c r="L5" s="1722" t="s">
        <v>141</v>
      </c>
    </row>
    <row r="6" spans="2:16">
      <c r="B6" s="3222"/>
      <c r="C6" s="1723" t="s">
        <v>142</v>
      </c>
      <c r="D6" s="1721" t="s">
        <v>143</v>
      </c>
      <c r="E6" s="1721" t="s">
        <v>142</v>
      </c>
      <c r="F6" s="1721" t="s">
        <v>143</v>
      </c>
      <c r="G6" s="1721" t="s">
        <v>142</v>
      </c>
      <c r="H6" s="1721" t="s">
        <v>143</v>
      </c>
      <c r="I6" s="1721" t="s">
        <v>142</v>
      </c>
      <c r="J6" s="1721" t="s">
        <v>143</v>
      </c>
      <c r="K6" s="1721" t="s">
        <v>142</v>
      </c>
      <c r="L6" s="1721" t="s">
        <v>143</v>
      </c>
    </row>
    <row r="7" spans="2:16" ht="21" customHeight="1">
      <c r="B7" s="1725" t="s">
        <v>91</v>
      </c>
      <c r="C7" s="1717">
        <v>17983748.156054597</v>
      </c>
      <c r="D7" s="1727">
        <f>(C7/$C$21)*100</f>
        <v>17.878959433778309</v>
      </c>
      <c r="E7" s="1678">
        <v>18095258.154735196</v>
      </c>
      <c r="F7" s="1727">
        <f>(E7/$E$21)*100</f>
        <v>16.803919445087075</v>
      </c>
      <c r="G7" s="1678">
        <v>13852829.154496999</v>
      </c>
      <c r="H7" s="1731">
        <f>(G7/$G$21)*100</f>
        <v>13.159983338680878</v>
      </c>
      <c r="I7" s="1728">
        <v>12490133</v>
      </c>
      <c r="J7" s="1729">
        <f>(I7/$I$21)*100</f>
        <v>11.468816958491846</v>
      </c>
      <c r="K7" s="1730">
        <v>14533206.979500007</v>
      </c>
      <c r="L7" s="2959">
        <f>(K7/$K$21)*100</f>
        <v>11.929142418711974</v>
      </c>
      <c r="M7" s="726"/>
      <c r="N7" s="396"/>
      <c r="O7" s="396"/>
      <c r="P7" s="396"/>
    </row>
    <row r="8" spans="2:16" ht="21" customHeight="1">
      <c r="B8" s="1725" t="s">
        <v>94</v>
      </c>
      <c r="C8" s="1717">
        <v>1841066.7275658413</v>
      </c>
      <c r="D8" s="1727">
        <f t="shared" ref="D8:D20" si="0">(C8/$C$21)*100</f>
        <v>1.830339095687719</v>
      </c>
      <c r="E8" s="1726">
        <v>1621460.6148785669</v>
      </c>
      <c r="F8" s="1727">
        <f t="shared" ref="F8:F20" si="1">(E8/$E$21)*100</f>
        <v>1.5057477115169415</v>
      </c>
      <c r="G8" s="1726">
        <v>1631666</v>
      </c>
      <c r="H8" s="1731">
        <f t="shared" ref="H8:H20" si="2">(G8/$G$21)*100</f>
        <v>1.5500586295270566</v>
      </c>
      <c r="I8" s="1728">
        <v>2173073</v>
      </c>
      <c r="J8" s="1729">
        <f t="shared" ref="J8:J20" si="3">(I8/$I$21)*100</f>
        <v>1.9953811920530191</v>
      </c>
      <c r="K8" s="1730">
        <v>2680935.5357164424</v>
      </c>
      <c r="L8" s="2959">
        <f t="shared" ref="L8:L20" si="4">(K8/$K$21)*100</f>
        <v>2.2005646700042796</v>
      </c>
      <c r="M8" s="726"/>
      <c r="N8" s="396"/>
      <c r="O8" s="396"/>
      <c r="P8" s="396"/>
    </row>
    <row r="9" spans="2:16" ht="21" customHeight="1">
      <c r="B9" s="1725" t="s">
        <v>97</v>
      </c>
      <c r="C9" s="1717">
        <v>18137933</v>
      </c>
      <c r="D9" s="1727">
        <f t="shared" si="0"/>
        <v>18.032245864742659</v>
      </c>
      <c r="E9" s="1726">
        <v>18401405</v>
      </c>
      <c r="F9" s="1727">
        <f t="shared" si="1"/>
        <v>17.08821861795359</v>
      </c>
      <c r="G9" s="1726">
        <v>18680545</v>
      </c>
      <c r="H9" s="1731">
        <f t="shared" si="2"/>
        <v>17.746242173041853</v>
      </c>
      <c r="I9" s="1728">
        <v>18498751</v>
      </c>
      <c r="J9" s="1729">
        <f t="shared" si="3"/>
        <v>16.986111291186251</v>
      </c>
      <c r="K9" s="1730">
        <v>22013615.794574223</v>
      </c>
      <c r="L9" s="2959">
        <f t="shared" si="4"/>
        <v>18.069209248495667</v>
      </c>
      <c r="M9" s="726"/>
      <c r="N9" s="396"/>
      <c r="O9" s="396"/>
      <c r="P9" s="396"/>
    </row>
    <row r="10" spans="2:16" ht="21" customHeight="1">
      <c r="B10" s="1725" t="s">
        <v>128</v>
      </c>
      <c r="C10" s="1717">
        <v>4545405.4103501001</v>
      </c>
      <c r="D10" s="1727">
        <f t="shared" si="0"/>
        <v>4.5189199846732535</v>
      </c>
      <c r="E10" s="1726">
        <v>5002547.9280199995</v>
      </c>
      <c r="F10" s="1727">
        <f t="shared" si="1"/>
        <v>4.6455492197903645</v>
      </c>
      <c r="G10" s="1726">
        <v>4808964</v>
      </c>
      <c r="H10" s="1731">
        <f t="shared" si="2"/>
        <v>4.5684448577619152</v>
      </c>
      <c r="I10" s="1728">
        <v>4888930</v>
      </c>
      <c r="J10" s="1729">
        <f t="shared" si="3"/>
        <v>4.4891630291590605</v>
      </c>
      <c r="K10" s="1732">
        <v>6753682</v>
      </c>
      <c r="L10" s="2959">
        <f t="shared" si="4"/>
        <v>5.5435551521652702</v>
      </c>
      <c r="M10" s="726"/>
      <c r="N10" s="396"/>
      <c r="O10" s="396"/>
      <c r="P10" s="396"/>
    </row>
    <row r="11" spans="2:16" ht="21" customHeight="1">
      <c r="B11" s="1725" t="s">
        <v>101</v>
      </c>
      <c r="C11" s="1717">
        <v>3692396.8000000003</v>
      </c>
      <c r="D11" s="1727">
        <f t="shared" si="0"/>
        <v>3.6708817332046069</v>
      </c>
      <c r="E11" s="1726">
        <v>4192959.7913499996</v>
      </c>
      <c r="F11" s="1727">
        <f>(E11/$E$21)*100</f>
        <v>3.8937360256392308</v>
      </c>
      <c r="G11" s="1726">
        <v>4274396.5043900004</v>
      </c>
      <c r="H11" s="1731">
        <f t="shared" si="2"/>
        <v>4.0606136229167031</v>
      </c>
      <c r="I11" s="1728">
        <v>4519359</v>
      </c>
      <c r="J11" s="1729">
        <f t="shared" si="3"/>
        <v>4.1498117866889608</v>
      </c>
      <c r="K11" s="1730">
        <v>5086945</v>
      </c>
      <c r="L11" s="2959">
        <f t="shared" si="4"/>
        <v>4.1754646078289381</v>
      </c>
      <c r="M11" s="726"/>
      <c r="N11" s="396"/>
      <c r="O11" s="396"/>
      <c r="P11" s="396"/>
    </row>
    <row r="12" spans="2:16" ht="21" customHeight="1">
      <c r="B12" s="1725" t="s">
        <v>102</v>
      </c>
      <c r="C12" s="1717">
        <v>10980850.294321876</v>
      </c>
      <c r="D12" s="1727">
        <f t="shared" si="0"/>
        <v>10.916866453919742</v>
      </c>
      <c r="E12" s="1726">
        <v>11247669.343500011</v>
      </c>
      <c r="F12" s="1727">
        <f t="shared" si="1"/>
        <v>10.444997688175588</v>
      </c>
      <c r="G12" s="1726">
        <v>11937482</v>
      </c>
      <c r="H12" s="1731">
        <f t="shared" si="2"/>
        <v>11.340431797269728</v>
      </c>
      <c r="I12" s="1728">
        <v>11914064</v>
      </c>
      <c r="J12" s="1729">
        <f t="shared" si="3"/>
        <v>10.939853022202181</v>
      </c>
      <c r="K12" s="1730">
        <v>12628447</v>
      </c>
      <c r="L12" s="2959">
        <f t="shared" si="4"/>
        <v>10.365677926603006</v>
      </c>
      <c r="M12" s="726"/>
      <c r="N12" s="396"/>
      <c r="O12" s="396"/>
      <c r="P12" s="396"/>
    </row>
    <row r="13" spans="2:16" ht="21" customHeight="1">
      <c r="B13" s="1725" t="s">
        <v>104</v>
      </c>
      <c r="C13" s="1717">
        <v>4062171.2964326967</v>
      </c>
      <c r="D13" s="1727">
        <f t="shared" si="0"/>
        <v>4.038501606659084</v>
      </c>
      <c r="E13" s="1726">
        <v>4394456.6894074343</v>
      </c>
      <c r="F13" s="1727">
        <f t="shared" si="1"/>
        <v>4.08085342481853</v>
      </c>
      <c r="G13" s="1726">
        <v>4583234.7639816711</v>
      </c>
      <c r="H13" s="1731">
        <f t="shared" si="2"/>
        <v>4.3540054135210218</v>
      </c>
      <c r="I13" s="1728">
        <v>5166812</v>
      </c>
      <c r="J13" s="1729">
        <f t="shared" si="3"/>
        <v>4.7443226654943684</v>
      </c>
      <c r="K13" s="1730">
        <v>6211166</v>
      </c>
      <c r="L13" s="2959">
        <f t="shared" si="4"/>
        <v>5.0982473383043132</v>
      </c>
      <c r="M13" s="726"/>
      <c r="N13" s="396"/>
      <c r="O13" s="396"/>
      <c r="P13" s="396"/>
    </row>
    <row r="14" spans="2:16" ht="21" customHeight="1">
      <c r="B14" s="1725" t="s">
        <v>108</v>
      </c>
      <c r="C14" s="1717">
        <v>4318721.2391500007</v>
      </c>
      <c r="D14" s="1727">
        <f t="shared" si="0"/>
        <v>4.2935566696403002</v>
      </c>
      <c r="E14" s="1726">
        <v>4954896.4164499994</v>
      </c>
      <c r="F14" s="1727">
        <f t="shared" si="1"/>
        <v>4.6012982809525909</v>
      </c>
      <c r="G14" s="1726">
        <v>5612895.0055699898</v>
      </c>
      <c r="H14" s="1731">
        <f t="shared" si="2"/>
        <v>5.3321674533961483</v>
      </c>
      <c r="I14" s="1728">
        <v>6562651</v>
      </c>
      <c r="J14" s="1729">
        <f t="shared" si="3"/>
        <v>6.0260241489392845</v>
      </c>
      <c r="K14" s="1732">
        <v>7684307.6099999994</v>
      </c>
      <c r="L14" s="2959">
        <f t="shared" si="4"/>
        <v>6.307430975020484</v>
      </c>
      <c r="M14" s="726"/>
      <c r="N14" s="396"/>
      <c r="O14" s="396"/>
      <c r="P14" s="396"/>
    </row>
    <row r="15" spans="2:16" ht="21" customHeight="1">
      <c r="B15" s="1725" t="s">
        <v>109</v>
      </c>
      <c r="C15" s="1717">
        <v>-511.79377999999997</v>
      </c>
      <c r="D15" s="1727">
        <f t="shared" si="0"/>
        <v>-5.088116310169419E-4</v>
      </c>
      <c r="E15" s="1726">
        <v>95978.615808300019</v>
      </c>
      <c r="F15" s="1727">
        <f t="shared" si="1"/>
        <v>8.9129257770306516E-2</v>
      </c>
      <c r="G15" s="1726">
        <v>297995</v>
      </c>
      <c r="H15" s="1731">
        <f t="shared" si="2"/>
        <v>0.28309085395290168</v>
      </c>
      <c r="I15" s="1728">
        <v>413070</v>
      </c>
      <c r="J15" s="1729">
        <f t="shared" si="3"/>
        <v>0.3792933366717734</v>
      </c>
      <c r="K15" s="1730">
        <v>583430</v>
      </c>
      <c r="L15" s="2959">
        <f t="shared" si="4"/>
        <v>0.47889083057623733</v>
      </c>
      <c r="M15" s="726"/>
      <c r="N15" s="396"/>
      <c r="O15" s="396"/>
      <c r="P15" s="396"/>
    </row>
    <row r="16" spans="2:16" ht="21" customHeight="1">
      <c r="B16" s="1725" t="s">
        <v>110</v>
      </c>
      <c r="C16" s="1735">
        <v>9644900.5014300011</v>
      </c>
      <c r="D16" s="1727">
        <f t="shared" si="0"/>
        <v>9.5887010489434239</v>
      </c>
      <c r="E16" s="1734">
        <v>13358203.161800399</v>
      </c>
      <c r="F16" s="1727">
        <f t="shared" si="1"/>
        <v>12.404916688257451</v>
      </c>
      <c r="G16" s="1734">
        <v>12051863</v>
      </c>
      <c r="H16" s="1731">
        <f t="shared" si="2"/>
        <v>11.449092059911676</v>
      </c>
      <c r="I16" s="1728">
        <v>13365348</v>
      </c>
      <c r="J16" s="1729">
        <f t="shared" si="3"/>
        <v>12.27246577746971</v>
      </c>
      <c r="K16" s="1730">
        <v>15185349</v>
      </c>
      <c r="L16" s="2959">
        <f t="shared" si="4"/>
        <v>12.464433428517619</v>
      </c>
      <c r="M16" s="726"/>
      <c r="N16" s="396"/>
      <c r="O16" s="396"/>
      <c r="P16" s="396"/>
    </row>
    <row r="17" spans="2:16" ht="21" customHeight="1">
      <c r="B17" s="1725" t="s">
        <v>111</v>
      </c>
      <c r="C17" s="1717">
        <v>1376397.8123066744</v>
      </c>
      <c r="D17" s="1727">
        <f t="shared" si="0"/>
        <v>1.368377739580793</v>
      </c>
      <c r="E17" s="1726">
        <v>1564902</v>
      </c>
      <c r="F17" s="1727">
        <f t="shared" si="1"/>
        <v>1.4532253103321628</v>
      </c>
      <c r="G17" s="1726">
        <v>1628153</v>
      </c>
      <c r="H17" s="1731">
        <f t="shared" si="2"/>
        <v>1.5467213313511257</v>
      </c>
      <c r="I17" s="1728">
        <v>2027885</v>
      </c>
      <c r="J17" s="1729">
        <f t="shared" si="3"/>
        <v>1.8620651900080838</v>
      </c>
      <c r="K17" s="1730">
        <v>2340612.0483314414</v>
      </c>
      <c r="L17" s="2959">
        <f t="shared" si="4"/>
        <v>1.9212204512661195</v>
      </c>
      <c r="M17" s="726"/>
      <c r="N17" s="396"/>
      <c r="O17" s="396"/>
      <c r="P17" s="396"/>
    </row>
    <row r="18" spans="2:16" ht="21" customHeight="1">
      <c r="B18" s="1725" t="s">
        <v>112</v>
      </c>
      <c r="C18" s="1717">
        <v>5354368.4769099997</v>
      </c>
      <c r="D18" s="1727">
        <f t="shared" si="0"/>
        <v>5.3231693394208035</v>
      </c>
      <c r="E18" s="1726">
        <v>5694164</v>
      </c>
      <c r="F18" s="1727">
        <f t="shared" si="1"/>
        <v>5.2878092340493072</v>
      </c>
      <c r="G18" s="1726">
        <v>5686758</v>
      </c>
      <c r="H18" s="1731">
        <f t="shared" si="2"/>
        <v>5.4023362084716027</v>
      </c>
      <c r="I18" s="1728">
        <v>5634586</v>
      </c>
      <c r="J18" s="1729">
        <f t="shared" si="3"/>
        <v>5.1738468654321563</v>
      </c>
      <c r="K18" s="1730">
        <v>5793702.4606299978</v>
      </c>
      <c r="L18" s="2959">
        <f t="shared" si="4"/>
        <v>4.7555850461626745</v>
      </c>
      <c r="M18" s="726"/>
      <c r="N18" s="396"/>
      <c r="O18" s="396"/>
      <c r="P18" s="396"/>
    </row>
    <row r="19" spans="2:16" ht="21" customHeight="1">
      <c r="B19" s="1725" t="s">
        <v>114</v>
      </c>
      <c r="C19" s="1717">
        <v>732379.25039000006</v>
      </c>
      <c r="D19" s="1727">
        <f t="shared" si="0"/>
        <v>0.72811178149508027</v>
      </c>
      <c r="E19" s="1726">
        <v>898079.36861</v>
      </c>
      <c r="F19" s="1727">
        <f t="shared" si="1"/>
        <v>0.83398939304261865</v>
      </c>
      <c r="G19" s="1726">
        <v>847117</v>
      </c>
      <c r="H19" s="1731">
        <f t="shared" si="2"/>
        <v>0.80474865325935074</v>
      </c>
      <c r="I19" s="1728">
        <v>868306</v>
      </c>
      <c r="J19" s="1729">
        <f t="shared" si="3"/>
        <v>0.79730476672748174</v>
      </c>
      <c r="K19" s="1730">
        <v>1014318</v>
      </c>
      <c r="L19" s="2959">
        <f t="shared" si="4"/>
        <v>0.832572184303906</v>
      </c>
      <c r="M19" s="726"/>
      <c r="N19" s="396"/>
      <c r="O19" s="396"/>
      <c r="P19" s="396"/>
    </row>
    <row r="20" spans="2:16" ht="21" customHeight="1">
      <c r="B20" s="1725" t="s">
        <v>115</v>
      </c>
      <c r="C20" s="1717">
        <v>17916273.617700003</v>
      </c>
      <c r="D20" s="1727">
        <f t="shared" si="0"/>
        <v>17.811878059885263</v>
      </c>
      <c r="E20" s="1726">
        <v>18162766</v>
      </c>
      <c r="F20" s="1727">
        <f t="shared" si="1"/>
        <v>16.866609702614255</v>
      </c>
      <c r="G20" s="1726">
        <v>19370895</v>
      </c>
      <c r="H20" s="1731">
        <f t="shared" si="2"/>
        <v>18.402064488941068</v>
      </c>
      <c r="I20" s="1728">
        <v>20382188</v>
      </c>
      <c r="J20" s="1729">
        <f t="shared" si="3"/>
        <v>18.715539969475824</v>
      </c>
      <c r="K20" s="1730">
        <v>19319719</v>
      </c>
      <c r="L20" s="2959">
        <f t="shared" si="4"/>
        <v>15.858005722039511</v>
      </c>
      <c r="M20" s="726"/>
      <c r="N20" s="396"/>
      <c r="O20" s="396"/>
      <c r="P20" s="396"/>
    </row>
    <row r="21" spans="2:16" ht="21" customHeight="1">
      <c r="B21" s="1689" t="s">
        <v>118</v>
      </c>
      <c r="C21" s="3107">
        <f>SUM(C7:C20)</f>
        <v>100586100.78883177</v>
      </c>
      <c r="D21" s="3107">
        <f>SUM(D7:D20)</f>
        <v>100</v>
      </c>
      <c r="E21" s="3108">
        <v>107684747.08455989</v>
      </c>
      <c r="F21" s="1736">
        <f>SUM(F7:F20)</f>
        <v>100</v>
      </c>
      <c r="G21" s="1737">
        <v>105264792.5</v>
      </c>
      <c r="H21" s="1737">
        <f>SUM(H7:H20)</f>
        <v>100.00000088200304</v>
      </c>
      <c r="I21" s="3109">
        <f>SUM(I7:I20)</f>
        <v>108905156</v>
      </c>
      <c r="J21" s="3194">
        <f>SUM(J7:J20)</f>
        <v>99.999999999999986</v>
      </c>
      <c r="K21" s="3109">
        <f>SUM(K7:K20)</f>
        <v>121829436.42875211</v>
      </c>
      <c r="L21" s="3109">
        <f>SUM(L7:L20)</f>
        <v>99.999999999999986</v>
      </c>
      <c r="M21" s="726"/>
      <c r="N21" s="396"/>
      <c r="O21" s="396"/>
      <c r="P21" s="396"/>
    </row>
    <row r="22" spans="2:16" ht="21" customHeight="1">
      <c r="B22" s="3230" t="s">
        <v>148</v>
      </c>
      <c r="C22" s="3216">
        <f>7.71</f>
        <v>7.71</v>
      </c>
      <c r="D22" s="3217"/>
      <c r="E22" s="3216">
        <f>(E21-C21)/C21*100</f>
        <v>7.0572835014559896</v>
      </c>
      <c r="F22" s="3217"/>
      <c r="G22" s="3216">
        <f t="shared" ref="G22" si="5">(G21-E21)/E21*100</f>
        <v>-2.2472584558884727</v>
      </c>
      <c r="H22" s="3217"/>
      <c r="I22" s="3216">
        <f t="shared" ref="I22" si="6">(I21-G21)/G21*100</f>
        <v>3.4582916220539737</v>
      </c>
      <c r="J22" s="3217"/>
      <c r="K22" s="3216">
        <f>(K21-I21)/I21*100</f>
        <v>11.867464226167684</v>
      </c>
      <c r="L22" s="3217"/>
    </row>
    <row r="23" spans="2:16" ht="21" customHeight="1">
      <c r="B23" s="3231"/>
      <c r="C23" s="3218"/>
      <c r="D23" s="3219"/>
      <c r="E23" s="3218"/>
      <c r="F23" s="3219"/>
      <c r="G23" s="3218"/>
      <c r="H23" s="3219"/>
      <c r="I23" s="3218"/>
      <c r="J23" s="3219"/>
      <c r="K23" s="3218"/>
      <c r="L23" s="3219"/>
    </row>
    <row r="24" spans="2:16">
      <c r="B24" s="492"/>
      <c r="C24" s="387"/>
      <c r="D24" s="386"/>
      <c r="E24" s="386"/>
    </row>
    <row r="25" spans="2:16">
      <c r="B25" s="490"/>
      <c r="C25" s="387"/>
      <c r="D25" s="387"/>
      <c r="E25" s="387"/>
      <c r="J25" s="292">
        <v>3</v>
      </c>
    </row>
    <row r="26" spans="2:16">
      <c r="B26" s="616"/>
    </row>
    <row r="27" spans="2:16">
      <c r="B27" s="37"/>
    </row>
    <row r="28" spans="2:16">
      <c r="I28" s="553"/>
      <c r="K28" s="553"/>
    </row>
    <row r="30" spans="2:16">
      <c r="B30" s="384"/>
    </row>
    <row r="31" spans="2:16">
      <c r="B31" s="384"/>
    </row>
    <row r="32" spans="2:16">
      <c r="B32" s="3225"/>
    </row>
    <row r="33" spans="2:2">
      <c r="B33" s="3225"/>
    </row>
    <row r="34" spans="2:2">
      <c r="B34" s="3226"/>
    </row>
    <row r="35" spans="2:2">
      <c r="B35" s="3226"/>
    </row>
    <row r="36" spans="2:2">
      <c r="B36" s="329"/>
    </row>
    <row r="37" spans="2:2">
      <c r="B37" s="329"/>
    </row>
    <row r="38" spans="2:2">
      <c r="B38" s="329"/>
    </row>
    <row r="39" spans="2:2">
      <c r="B39" s="329"/>
    </row>
    <row r="40" spans="2:2">
      <c r="B40" s="329"/>
    </row>
    <row r="42" spans="2:2">
      <c r="B42" s="396"/>
    </row>
    <row r="73" spans="2:2">
      <c r="B73" s="481" t="s">
        <v>149</v>
      </c>
    </row>
    <row r="74" spans="2:2">
      <c r="B74" s="617"/>
    </row>
    <row r="75" spans="2:2">
      <c r="B75" s="3225" t="s">
        <v>150</v>
      </c>
    </row>
    <row r="76" spans="2:2">
      <c r="B76" s="3225"/>
    </row>
    <row r="77" spans="2:2">
      <c r="B77" s="3226" t="s">
        <v>151</v>
      </c>
    </row>
    <row r="78" spans="2:2">
      <c r="B78" s="3226"/>
    </row>
    <row r="79" spans="2:2" ht="158.44999999999999">
      <c r="B79" s="329" t="s">
        <v>152</v>
      </c>
    </row>
    <row r="82" spans="2:2">
      <c r="B82" s="618" t="s">
        <v>153</v>
      </c>
    </row>
    <row r="83" spans="2:2">
      <c r="B83" s="3227" t="s">
        <v>84</v>
      </c>
    </row>
    <row r="84" spans="2:2">
      <c r="B84" s="3228"/>
    </row>
    <row r="85" spans="2:2">
      <c r="B85" s="3229"/>
    </row>
    <row r="86" spans="2:2">
      <c r="B86" s="1738" t="e">
        <v>#REF!</v>
      </c>
    </row>
    <row r="87" spans="2:2">
      <c r="B87" s="1738" t="e">
        <v>#REF!</v>
      </c>
    </row>
    <row r="88" spans="2:2">
      <c r="B88" s="1738" t="e">
        <v>#REF!</v>
      </c>
    </row>
    <row r="89" spans="2:2">
      <c r="B89" s="1738" t="e">
        <v>#REF!</v>
      </c>
    </row>
    <row r="90" spans="2:2">
      <c r="B90" s="1738" t="e">
        <v>#REF!</v>
      </c>
    </row>
    <row r="91" spans="2:2">
      <c r="B91" s="1738" t="e">
        <v>#REF!</v>
      </c>
    </row>
    <row r="92" spans="2:2">
      <c r="B92" s="1738" t="e">
        <v>#REF!</v>
      </c>
    </row>
    <row r="93" spans="2:2">
      <c r="B93" s="1738" t="e">
        <v>#REF!</v>
      </c>
    </row>
    <row r="94" spans="2:2">
      <c r="B94" s="1738" t="e">
        <v>#REF!</v>
      </c>
    </row>
    <row r="95" spans="2:2">
      <c r="B95" s="1738" t="e">
        <v>#REF!</v>
      </c>
    </row>
    <row r="96" spans="2:2">
      <c r="B96" s="1738" t="e">
        <v>#REF!</v>
      </c>
    </row>
    <row r="97" spans="2:2">
      <c r="B97" s="1738" t="e">
        <v>#REF!</v>
      </c>
    </row>
    <row r="98" spans="2:2">
      <c r="B98" s="1738" t="e">
        <v>#REF!</v>
      </c>
    </row>
    <row r="99" spans="2:2">
      <c r="B99" s="1738" t="e">
        <v>#REF!</v>
      </c>
    </row>
    <row r="100" spans="2:2">
      <c r="B100" s="1738" t="e">
        <v>#REF!</v>
      </c>
    </row>
    <row r="101" spans="2:2">
      <c r="B101" s="1738" t="e">
        <v>#REF!</v>
      </c>
    </row>
    <row r="102" spans="2:2">
      <c r="B102" s="1738" t="e">
        <v>#REF!</v>
      </c>
    </row>
    <row r="103" spans="2:2">
      <c r="B103" s="1738" t="e">
        <v>#REF!</v>
      </c>
    </row>
    <row r="104" spans="2:2">
      <c r="B104" s="1739" t="s">
        <v>118</v>
      </c>
    </row>
    <row r="105" spans="2:2">
      <c r="B105" s="3223" t="s">
        <v>148</v>
      </c>
    </row>
    <row r="106" spans="2:2">
      <c r="B106" s="3224"/>
    </row>
  </sheetData>
  <mergeCells count="18">
    <mergeCell ref="B4:B6"/>
    <mergeCell ref="B105:B106"/>
    <mergeCell ref="B32:B33"/>
    <mergeCell ref="B34:B35"/>
    <mergeCell ref="B75:B76"/>
    <mergeCell ref="B77:B78"/>
    <mergeCell ref="B83:B85"/>
    <mergeCell ref="B22:B23"/>
    <mergeCell ref="C22:D23"/>
    <mergeCell ref="E22:F23"/>
    <mergeCell ref="G22:H23"/>
    <mergeCell ref="C4:D4"/>
    <mergeCell ref="E4:F4"/>
    <mergeCell ref="K4:L4"/>
    <mergeCell ref="K22:L23"/>
    <mergeCell ref="I4:J4"/>
    <mergeCell ref="I22:J23"/>
    <mergeCell ref="G4:H4"/>
  </mergeCells>
  <pageMargins left="0.24" right="0.2" top="0.31" bottom="0.28000000000000003" header="0.3" footer="0.3"/>
  <pageSetup paperSize="9" scale="76" orientation="landscape" r:id="rId1"/>
  <rowBreaks count="1" manualBreakCount="1">
    <brk id="44" max="16383" man="1"/>
  </rowBreaks>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Sheet52">
    <tabColor rgb="FF00B050"/>
  </sheetPr>
  <dimension ref="A1:T46"/>
  <sheetViews>
    <sheetView workbookViewId="0">
      <selection activeCell="Q58" sqref="Q58"/>
    </sheetView>
  </sheetViews>
  <sheetFormatPr defaultColWidth="9.140625" defaultRowHeight="14.45"/>
  <cols>
    <col min="1" max="1" width="3.5703125" customWidth="1"/>
    <col min="2" max="2" width="8.7109375" customWidth="1"/>
    <col min="3" max="3" width="13.28515625" customWidth="1"/>
    <col min="4" max="4" width="12" customWidth="1"/>
    <col min="5" max="5" width="12.28515625" customWidth="1"/>
    <col min="6" max="6" width="11" customWidth="1"/>
    <col min="7" max="7" width="12.28515625" customWidth="1"/>
    <col min="8" max="8" width="6.42578125" customWidth="1"/>
    <col min="9" max="9" width="12.140625" customWidth="1"/>
    <col min="10" max="10" width="12.28515625" customWidth="1"/>
    <col min="11" max="11" width="10.85546875" customWidth="1"/>
    <col min="12" max="12" width="12.140625" customWidth="1"/>
    <col min="13" max="13" width="5.5703125" customWidth="1"/>
    <col min="14" max="14" width="14.7109375" customWidth="1"/>
    <col min="15" max="15" width="12" style="17" customWidth="1"/>
    <col min="16" max="16" width="10.140625" bestFit="1" customWidth="1"/>
    <col min="17" max="17" width="10.5703125" customWidth="1"/>
    <col min="18" max="18" width="11.7109375" customWidth="1"/>
    <col min="19" max="19" width="12" customWidth="1"/>
  </cols>
  <sheetData>
    <row r="1" spans="1:20">
      <c r="B1" s="3"/>
      <c r="C1" s="3"/>
      <c r="D1" s="40" t="s">
        <v>935</v>
      </c>
      <c r="F1" s="41" t="s">
        <v>936</v>
      </c>
      <c r="H1" s="41" t="s">
        <v>937</v>
      </c>
      <c r="I1" s="202" t="s">
        <v>615</v>
      </c>
    </row>
    <row r="2" spans="1:20">
      <c r="B2" s="201" t="s">
        <v>938</v>
      </c>
      <c r="C2" s="201"/>
      <c r="D2" s="3"/>
      <c r="E2" s="3"/>
      <c r="F2" s="3"/>
      <c r="G2" s="3"/>
      <c r="H2" s="3"/>
      <c r="I2" s="3"/>
      <c r="J2" s="3"/>
      <c r="K2" s="3"/>
      <c r="L2" s="3"/>
      <c r="M2" s="3"/>
    </row>
    <row r="3" spans="1:20">
      <c r="B3" s="42" t="s">
        <v>171</v>
      </c>
      <c r="C3" s="42" t="s">
        <v>171</v>
      </c>
      <c r="D3" s="3"/>
      <c r="E3" s="3"/>
      <c r="F3" s="3"/>
      <c r="G3" s="3"/>
      <c r="H3" s="3"/>
      <c r="I3" s="3"/>
      <c r="J3" s="3"/>
      <c r="K3" s="3"/>
      <c r="L3" s="3"/>
      <c r="M3" s="3"/>
    </row>
    <row r="4" spans="1:20">
      <c r="B4" s="1766" t="s">
        <v>172</v>
      </c>
      <c r="C4" s="3259" t="s">
        <v>172</v>
      </c>
      <c r="D4" s="3259"/>
      <c r="E4" s="3259"/>
      <c r="F4" s="3259"/>
      <c r="G4" s="3259"/>
      <c r="H4" s="3259"/>
      <c r="I4" s="3259"/>
      <c r="J4" s="3259"/>
      <c r="K4" s="3259"/>
      <c r="L4" s="3259"/>
      <c r="M4" s="3259"/>
    </row>
    <row r="5" spans="1:20">
      <c r="B5" s="3246" t="s">
        <v>84</v>
      </c>
      <c r="C5" s="3689" t="s">
        <v>84</v>
      </c>
      <c r="D5" s="3243" t="s">
        <v>907</v>
      </c>
      <c r="E5" s="3738"/>
      <c r="F5" s="3738"/>
      <c r="G5" s="3738"/>
      <c r="H5" s="3739"/>
      <c r="I5" s="3243" t="s">
        <v>747</v>
      </c>
      <c r="J5" s="3738"/>
      <c r="K5" s="3738"/>
      <c r="L5" s="3738"/>
      <c r="M5" s="3739"/>
      <c r="O5" s="17" t="s">
        <v>939</v>
      </c>
    </row>
    <row r="6" spans="1:20" ht="45.75" customHeight="1">
      <c r="B6" s="3247"/>
      <c r="C6" s="3689"/>
      <c r="D6" s="1769" t="s">
        <v>940</v>
      </c>
      <c r="E6" s="1770" t="s">
        <v>941</v>
      </c>
      <c r="F6" s="1769" t="s">
        <v>942</v>
      </c>
      <c r="G6" s="1769" t="s">
        <v>943</v>
      </c>
      <c r="H6" s="1771" t="s">
        <v>159</v>
      </c>
      <c r="I6" s="1770" t="s">
        <v>944</v>
      </c>
      <c r="J6" s="1770" t="s">
        <v>941</v>
      </c>
      <c r="K6" s="1769" t="s">
        <v>942</v>
      </c>
      <c r="L6" s="1769" t="s">
        <v>945</v>
      </c>
      <c r="M6" s="1771" t="s">
        <v>159</v>
      </c>
      <c r="N6">
        <v>2006</v>
      </c>
      <c r="O6" s="227">
        <v>2007</v>
      </c>
      <c r="P6" s="43">
        <v>2008</v>
      </c>
      <c r="Q6" s="43">
        <v>2009</v>
      </c>
      <c r="R6" s="227">
        <v>2010</v>
      </c>
      <c r="S6" s="43" t="s">
        <v>907</v>
      </c>
      <c r="T6" s="43" t="s">
        <v>747</v>
      </c>
    </row>
    <row r="7" spans="1:20">
      <c r="A7">
        <v>1</v>
      </c>
      <c r="B7" s="1772" t="s">
        <v>177</v>
      </c>
      <c r="C7" s="228" t="s">
        <v>124</v>
      </c>
      <c r="D7" s="2672" t="e">
        <f>+#REF!+#REF!</f>
        <v>#REF!</v>
      </c>
      <c r="E7" s="2672" t="e">
        <f>+#REF!+#REF!</f>
        <v>#REF!</v>
      </c>
      <c r="F7" s="2672" t="e">
        <f>+#REF!</f>
        <v>#REF!</v>
      </c>
      <c r="G7" s="2672" t="e">
        <f t="shared" ref="G7:G27" si="0">D7+E7-F7</f>
        <v>#REF!</v>
      </c>
      <c r="H7" s="2673" t="e">
        <f>(G7/G$28)*100</f>
        <v>#REF!</v>
      </c>
      <c r="I7" s="2672" t="e">
        <f>+#REF!+#REF!</f>
        <v>#REF!</v>
      </c>
      <c r="J7" s="2672" t="e">
        <f>+#REF!+#REF!</f>
        <v>#REF!</v>
      </c>
      <c r="K7" s="2672" t="e">
        <f>+#REF!</f>
        <v>#REF!</v>
      </c>
      <c r="L7" s="2672" t="e">
        <f t="shared" ref="L7:L27" si="1">I7+J7-K7</f>
        <v>#REF!</v>
      </c>
      <c r="M7" s="2673" t="e">
        <f>L7/$L$28*100</f>
        <v>#REF!</v>
      </c>
      <c r="N7" t="s">
        <v>946</v>
      </c>
      <c r="R7" s="193">
        <f>+'[7]AR Table 8 &amp; Chart 9'!$Q$7</f>
        <v>2995.414006</v>
      </c>
      <c r="S7" s="14" t="e">
        <f>+F28/1000</f>
        <v>#REF!</v>
      </c>
      <c r="T7" s="14" t="e">
        <f>+K28/1000</f>
        <v>#REF!</v>
      </c>
    </row>
    <row r="8" spans="1:20">
      <c r="A8">
        <v>2</v>
      </c>
      <c r="B8" s="1772" t="s">
        <v>178</v>
      </c>
      <c r="C8" s="228" t="s">
        <v>95</v>
      </c>
      <c r="D8" s="2672" t="e">
        <f>+#REF!+#REF!+#REF!</f>
        <v>#REF!</v>
      </c>
      <c r="E8" s="2672" t="e">
        <f>+#REF!</f>
        <v>#REF!</v>
      </c>
      <c r="F8" s="2672" t="e">
        <f>+#REF!</f>
        <v>#REF!</v>
      </c>
      <c r="G8" s="2672" t="e">
        <f t="shared" si="0"/>
        <v>#REF!</v>
      </c>
      <c r="H8" s="2673" t="e">
        <f t="shared" ref="H8:H27" si="2">(G8/G$28)*100</f>
        <v>#REF!</v>
      </c>
      <c r="I8" s="2672" t="e">
        <f>+#REF!+#REF!+#REF!</f>
        <v>#REF!</v>
      </c>
      <c r="J8" s="2672" t="e">
        <f>+#REF!</f>
        <v>#REF!</v>
      </c>
      <c r="K8" s="2672" t="e">
        <f>+#REF!</f>
        <v>#REF!</v>
      </c>
      <c r="L8" s="2672" t="e">
        <f t="shared" si="1"/>
        <v>#REF!</v>
      </c>
      <c r="M8" s="2673" t="e">
        <f t="shared" ref="M8:M27" si="3">L8/$L$28*100</f>
        <v>#REF!</v>
      </c>
      <c r="N8" s="81">
        <v>117659</v>
      </c>
      <c r="O8" s="81">
        <v>134876</v>
      </c>
      <c r="P8" s="81">
        <v>155993</v>
      </c>
      <c r="Q8" s="81">
        <v>181045</v>
      </c>
      <c r="R8" s="193">
        <f>+'[7]AR Table 8 &amp; Chart 9'!$Q$8</f>
        <v>219102.12200337049</v>
      </c>
      <c r="S8" s="81" t="e">
        <f>+G28/1000</f>
        <v>#REF!</v>
      </c>
      <c r="T8" s="81" t="e">
        <f>+L28/1000</f>
        <v>#REF!</v>
      </c>
    </row>
    <row r="9" spans="1:20">
      <c r="A9">
        <v>3</v>
      </c>
      <c r="B9" s="1772" t="s">
        <v>179</v>
      </c>
      <c r="C9" s="228" t="s">
        <v>91</v>
      </c>
      <c r="D9" s="2672" t="e">
        <f>+#REF!+#REF!</f>
        <v>#REF!</v>
      </c>
      <c r="E9" s="2672" t="e">
        <f>+#REF!+#REF!</f>
        <v>#REF!</v>
      </c>
      <c r="F9" s="2672" t="e">
        <f>+#REF!</f>
        <v>#REF!</v>
      </c>
      <c r="G9" s="2672" t="e">
        <f t="shared" si="0"/>
        <v>#REF!</v>
      </c>
      <c r="H9" s="2673" t="e">
        <f t="shared" si="2"/>
        <v>#REF!</v>
      </c>
      <c r="I9" s="2672" t="e">
        <f>+#REF!+#REF!</f>
        <v>#REF!</v>
      </c>
      <c r="J9" s="2672" t="e">
        <f>+#REF!+#REF!</f>
        <v>#REF!</v>
      </c>
      <c r="K9" s="2672" t="e">
        <f>+#REF!</f>
        <v>#REF!</v>
      </c>
      <c r="L9" s="2672" t="e">
        <f t="shared" si="1"/>
        <v>#REF!</v>
      </c>
      <c r="M9" s="2673" t="e">
        <f t="shared" si="3"/>
        <v>#REF!</v>
      </c>
      <c r="N9" t="s">
        <v>619</v>
      </c>
      <c r="O9" s="121">
        <f>+(O8-N8)/N8*100</f>
        <v>14.632964754077459</v>
      </c>
      <c r="P9" s="121">
        <f>+(P8-O8)/O8*100</f>
        <v>15.656603102108605</v>
      </c>
      <c r="Q9" s="121">
        <f>+(Q8-P8)/P8*100</f>
        <v>16.059694986313488</v>
      </c>
      <c r="R9" s="121">
        <f>+((R8+R7)-(Q8+Q7))/(Q8+Q7)*100</f>
        <v>22.67532161030158</v>
      </c>
      <c r="S9" s="81" t="e">
        <f>+((S8+S7)-(R8+R7))/(R8+R7)*100</f>
        <v>#REF!</v>
      </c>
      <c r="T9" s="121" t="e">
        <f>+((T8+T7)-(S8+S7))/(S8+S7)*100</f>
        <v>#REF!</v>
      </c>
    </row>
    <row r="10" spans="1:20">
      <c r="A10">
        <v>4</v>
      </c>
      <c r="B10" s="1772" t="s">
        <v>180</v>
      </c>
      <c r="C10" s="228" t="s">
        <v>92</v>
      </c>
      <c r="D10" s="2899" t="e">
        <f>+#REF!+#REF!+#REF!</f>
        <v>#REF!</v>
      </c>
      <c r="E10" s="2899" t="e">
        <f>+#REF!</f>
        <v>#REF!</v>
      </c>
      <c r="F10" s="2672" t="e">
        <f>+#REF!</f>
        <v>#REF!</v>
      </c>
      <c r="G10" s="2672" t="e">
        <f t="shared" si="0"/>
        <v>#REF!</v>
      </c>
      <c r="H10" s="2673" t="e">
        <f t="shared" si="2"/>
        <v>#REF!</v>
      </c>
      <c r="I10" s="2672" t="e">
        <f>+#REF!+#REF!+#REF!</f>
        <v>#REF!</v>
      </c>
      <c r="J10" s="2672" t="e">
        <f>+#REF!</f>
        <v>#REF!</v>
      </c>
      <c r="K10" s="2672" t="e">
        <f>+#REF!</f>
        <v>#REF!</v>
      </c>
      <c r="L10" s="2672" t="e">
        <f t="shared" si="1"/>
        <v>#REF!</v>
      </c>
      <c r="M10" s="2673" t="e">
        <f t="shared" si="3"/>
        <v>#REF!</v>
      </c>
      <c r="O10" s="21"/>
      <c r="S10" s="14" t="e">
        <f>+S7+S8</f>
        <v>#REF!</v>
      </c>
      <c r="T10" s="14" t="e">
        <f>+T7+T8</f>
        <v>#REF!</v>
      </c>
    </row>
    <row r="11" spans="1:20">
      <c r="A11">
        <v>5</v>
      </c>
      <c r="B11" s="1772" t="s">
        <v>181</v>
      </c>
      <c r="C11" s="228" t="s">
        <v>125</v>
      </c>
      <c r="D11" s="2672" t="e">
        <f>+#REF!+#REF!</f>
        <v>#REF!</v>
      </c>
      <c r="E11" s="2672" t="e">
        <f>+#REF!+#REF!</f>
        <v>#REF!</v>
      </c>
      <c r="F11" s="2672" t="e">
        <f>+#REF!</f>
        <v>#REF!</v>
      </c>
      <c r="G11" s="2672" t="e">
        <f t="shared" si="0"/>
        <v>#REF!</v>
      </c>
      <c r="H11" s="2673" t="e">
        <f t="shared" si="2"/>
        <v>#REF!</v>
      </c>
      <c r="I11" s="2672" t="e">
        <f>+#REF!+#REF!</f>
        <v>#REF!</v>
      </c>
      <c r="J11" s="2672" t="e">
        <f>+#REF!+#REF!</f>
        <v>#REF!</v>
      </c>
      <c r="K11" s="2672" t="e">
        <f>+#REF!</f>
        <v>#REF!</v>
      </c>
      <c r="L11" s="2672" t="e">
        <f t="shared" si="1"/>
        <v>#REF!</v>
      </c>
      <c r="M11" s="2673" t="e">
        <f t="shared" si="3"/>
        <v>#REF!</v>
      </c>
      <c r="O11" s="21"/>
    </row>
    <row r="12" spans="1:20" ht="18.75" customHeight="1">
      <c r="A12">
        <v>6</v>
      </c>
      <c r="B12" s="1772" t="s">
        <v>182</v>
      </c>
      <c r="C12" s="228" t="s">
        <v>126</v>
      </c>
      <c r="D12" s="2672" t="e">
        <f>+#REF!+#REF!</f>
        <v>#REF!</v>
      </c>
      <c r="E12" s="2672" t="e">
        <f>+#REF!+#REF!</f>
        <v>#REF!</v>
      </c>
      <c r="F12" s="2672" t="e">
        <f>+#REF!</f>
        <v>#REF!</v>
      </c>
      <c r="G12" s="2672" t="e">
        <f t="shared" si="0"/>
        <v>#REF!</v>
      </c>
      <c r="H12" s="2673" t="e">
        <f t="shared" si="2"/>
        <v>#REF!</v>
      </c>
      <c r="I12" s="2672" t="e">
        <f>+#REF!+#REF!</f>
        <v>#REF!</v>
      </c>
      <c r="J12" s="2672" t="e">
        <f>+#REF!+#REF!</f>
        <v>#REF!</v>
      </c>
      <c r="K12" s="2672" t="e">
        <f>+#REF!</f>
        <v>#REF!</v>
      </c>
      <c r="L12" s="2672" t="e">
        <f t="shared" si="1"/>
        <v>#REF!</v>
      </c>
      <c r="M12" s="2673" t="e">
        <f t="shared" si="3"/>
        <v>#REF!</v>
      </c>
      <c r="O12" s="21"/>
    </row>
    <row r="13" spans="1:20">
      <c r="A13">
        <v>7</v>
      </c>
      <c r="B13" s="1772" t="s">
        <v>183</v>
      </c>
      <c r="C13" s="228" t="s">
        <v>127</v>
      </c>
      <c r="D13" s="2672" t="e">
        <f>+#REF!+#REF!</f>
        <v>#REF!</v>
      </c>
      <c r="E13" s="2672" t="e">
        <f>+#REF!+#REF!</f>
        <v>#REF!</v>
      </c>
      <c r="F13" s="2672" t="e">
        <f>+#REF!</f>
        <v>#REF!</v>
      </c>
      <c r="G13" s="2672" t="e">
        <f t="shared" si="0"/>
        <v>#REF!</v>
      </c>
      <c r="H13" s="2673" t="e">
        <f t="shared" si="2"/>
        <v>#REF!</v>
      </c>
      <c r="I13" s="2672" t="e">
        <f>+#REF!+#REF!</f>
        <v>#REF!</v>
      </c>
      <c r="J13" s="2672" t="e">
        <f>+#REF!+#REF!</f>
        <v>#REF!</v>
      </c>
      <c r="K13" s="2672" t="e">
        <f>+#REF!</f>
        <v>#REF!</v>
      </c>
      <c r="L13" s="2672" t="e">
        <f t="shared" si="1"/>
        <v>#REF!</v>
      </c>
      <c r="M13" s="2673" t="e">
        <f t="shared" si="3"/>
        <v>#REF!</v>
      </c>
      <c r="O13" s="21"/>
    </row>
    <row r="14" spans="1:20">
      <c r="A14">
        <v>8</v>
      </c>
      <c r="B14" s="1772" t="s">
        <v>184</v>
      </c>
      <c r="C14" s="228" t="s">
        <v>128</v>
      </c>
      <c r="D14" s="2672" t="e">
        <f>+#REF!+#REF!</f>
        <v>#REF!</v>
      </c>
      <c r="E14" s="2672" t="e">
        <f>+#REF!+#REF!</f>
        <v>#REF!</v>
      </c>
      <c r="F14" s="2672" t="e">
        <f>+#REF!</f>
        <v>#REF!</v>
      </c>
      <c r="G14" s="2672" t="e">
        <f t="shared" si="0"/>
        <v>#REF!</v>
      </c>
      <c r="H14" s="2673" t="e">
        <f t="shared" si="2"/>
        <v>#REF!</v>
      </c>
      <c r="I14" s="2672" t="e">
        <f>+#REF!+#REF!</f>
        <v>#REF!</v>
      </c>
      <c r="J14" s="2672" t="e">
        <f>+#REF!+#REF!</f>
        <v>#REF!</v>
      </c>
      <c r="K14" s="2672" t="e">
        <f>+#REF!</f>
        <v>#REF!</v>
      </c>
      <c r="L14" s="2672" t="e">
        <f t="shared" si="1"/>
        <v>#REF!</v>
      </c>
      <c r="M14" s="2673" t="e">
        <f t="shared" si="3"/>
        <v>#REF!</v>
      </c>
      <c r="O14" s="21"/>
    </row>
    <row r="15" spans="1:20">
      <c r="A15">
        <v>9</v>
      </c>
      <c r="B15" s="1772" t="s">
        <v>185</v>
      </c>
      <c r="C15" s="228" t="s">
        <v>129</v>
      </c>
      <c r="D15" s="2676" t="e">
        <f>+#REF!+#REF!</f>
        <v>#REF!</v>
      </c>
      <c r="E15" s="2676" t="e">
        <f>+#REF!+#REF!</f>
        <v>#REF!</v>
      </c>
      <c r="F15" s="2676" t="e">
        <f>+#REF!</f>
        <v>#REF!</v>
      </c>
      <c r="G15" s="2672" t="e">
        <f t="shared" si="0"/>
        <v>#REF!</v>
      </c>
      <c r="H15" s="2577" t="e">
        <f t="shared" si="2"/>
        <v>#REF!</v>
      </c>
      <c r="I15" s="2676" t="e">
        <f>+#REF!+#REF!</f>
        <v>#REF!</v>
      </c>
      <c r="J15" s="2676" t="e">
        <f>+#REF!+#REF!</f>
        <v>#REF!</v>
      </c>
      <c r="K15" s="2676" t="e">
        <f>+#REF!</f>
        <v>#REF!</v>
      </c>
      <c r="L15" s="2672" t="e">
        <f t="shared" si="1"/>
        <v>#REF!</v>
      </c>
      <c r="M15" s="2673" t="e">
        <f t="shared" si="3"/>
        <v>#REF!</v>
      </c>
      <c r="O15" s="21"/>
    </row>
    <row r="16" spans="1:20">
      <c r="A16">
        <v>10</v>
      </c>
      <c r="B16" s="1772" t="s">
        <v>186</v>
      </c>
      <c r="C16" s="228" t="s">
        <v>130</v>
      </c>
      <c r="D16" s="2672" t="e">
        <f>+#REF!+#REF!</f>
        <v>#REF!</v>
      </c>
      <c r="E16" s="2672" t="e">
        <f>+#REF!+#REF!</f>
        <v>#REF!</v>
      </c>
      <c r="F16" s="2672" t="e">
        <f>+#REF!</f>
        <v>#REF!</v>
      </c>
      <c r="G16" s="2672" t="e">
        <f t="shared" si="0"/>
        <v>#REF!</v>
      </c>
      <c r="H16" s="2673" t="e">
        <f t="shared" si="2"/>
        <v>#REF!</v>
      </c>
      <c r="I16" s="2672" t="e">
        <f>+#REF!+#REF!</f>
        <v>#REF!</v>
      </c>
      <c r="J16" s="2672" t="e">
        <f>+#REF!+#REF!</f>
        <v>#REF!</v>
      </c>
      <c r="K16" s="2672" t="e">
        <f>+#REF!</f>
        <v>#REF!</v>
      </c>
      <c r="L16" s="2672" t="e">
        <f t="shared" si="1"/>
        <v>#REF!</v>
      </c>
      <c r="M16" s="2673" t="e">
        <f t="shared" si="3"/>
        <v>#REF!</v>
      </c>
      <c r="O16" s="21"/>
    </row>
    <row r="17" spans="1:15">
      <c r="A17">
        <v>11</v>
      </c>
      <c r="B17" s="1772" t="s">
        <v>187</v>
      </c>
      <c r="C17" s="228" t="s">
        <v>131</v>
      </c>
      <c r="D17" s="2672" t="e">
        <f>+#REF!+#REF!</f>
        <v>#REF!</v>
      </c>
      <c r="E17" s="2672" t="e">
        <f>+#REF!+#REF!</f>
        <v>#REF!</v>
      </c>
      <c r="F17" s="2672" t="e">
        <f>+#REF!</f>
        <v>#REF!</v>
      </c>
      <c r="G17" s="2672" t="e">
        <f t="shared" si="0"/>
        <v>#REF!</v>
      </c>
      <c r="H17" s="2673" t="e">
        <f t="shared" si="2"/>
        <v>#REF!</v>
      </c>
      <c r="I17" s="2672" t="e">
        <f>+#REF!+#REF!</f>
        <v>#REF!</v>
      </c>
      <c r="J17" s="2676" t="e">
        <f>+#REF!+#REF!</f>
        <v>#REF!</v>
      </c>
      <c r="K17" s="2676" t="e">
        <f>+#REF!</f>
        <v>#REF!</v>
      </c>
      <c r="L17" s="2672" t="e">
        <f t="shared" si="1"/>
        <v>#REF!</v>
      </c>
      <c r="M17" s="2673" t="e">
        <f>L17/$L$28*100</f>
        <v>#REF!</v>
      </c>
      <c r="O17" s="21"/>
    </row>
    <row r="18" spans="1:15">
      <c r="A18">
        <v>12</v>
      </c>
      <c r="B18" s="1772" t="s">
        <v>188</v>
      </c>
      <c r="C18" s="228" t="s">
        <v>132</v>
      </c>
      <c r="D18" s="2672" t="e">
        <f>+#REF!+#REF!</f>
        <v>#REF!</v>
      </c>
      <c r="E18" s="2672" t="e">
        <f>+#REF!+#REF!</f>
        <v>#REF!</v>
      </c>
      <c r="F18" s="2672" t="e">
        <f>+#REF!</f>
        <v>#REF!</v>
      </c>
      <c r="G18" s="2672" t="e">
        <f t="shared" si="0"/>
        <v>#REF!</v>
      </c>
      <c r="H18" s="2673" t="e">
        <f t="shared" si="2"/>
        <v>#REF!</v>
      </c>
      <c r="I18" s="2672" t="e">
        <f>+#REF!+#REF!</f>
        <v>#REF!</v>
      </c>
      <c r="J18" s="2672" t="e">
        <f>+#REF!+#REF!</f>
        <v>#REF!</v>
      </c>
      <c r="K18" s="2672" t="e">
        <f>+#REF!</f>
        <v>#REF!</v>
      </c>
      <c r="L18" s="2672" t="e">
        <f t="shared" si="1"/>
        <v>#REF!</v>
      </c>
      <c r="M18" s="2673" t="e">
        <f t="shared" si="3"/>
        <v>#REF!</v>
      </c>
      <c r="O18" s="21"/>
    </row>
    <row r="19" spans="1:15">
      <c r="A19">
        <v>13</v>
      </c>
      <c r="B19" s="1772" t="s">
        <v>189</v>
      </c>
      <c r="C19" s="228" t="s">
        <v>133</v>
      </c>
      <c r="D19" s="2672" t="e">
        <f>+#REF!+#REF!</f>
        <v>#REF!</v>
      </c>
      <c r="E19" s="2672" t="e">
        <f>+#REF!+#REF!</f>
        <v>#REF!</v>
      </c>
      <c r="F19" s="2672" t="e">
        <f>+#REF!</f>
        <v>#REF!</v>
      </c>
      <c r="G19" s="2672" t="e">
        <f t="shared" si="0"/>
        <v>#REF!</v>
      </c>
      <c r="H19" s="2673" t="e">
        <f t="shared" si="2"/>
        <v>#REF!</v>
      </c>
      <c r="I19" s="2672" t="e">
        <f>+#REF!+#REF!</f>
        <v>#REF!</v>
      </c>
      <c r="J19" s="2672" t="e">
        <f>+#REF!+#REF!</f>
        <v>#REF!</v>
      </c>
      <c r="K19" s="2672" t="e">
        <f>+#REF!</f>
        <v>#REF!</v>
      </c>
      <c r="L19" s="2672" t="e">
        <f>I19+J19-K19</f>
        <v>#REF!</v>
      </c>
      <c r="M19" s="2673" t="e">
        <f t="shared" si="3"/>
        <v>#REF!</v>
      </c>
      <c r="O19" s="21"/>
    </row>
    <row r="20" spans="1:15">
      <c r="A20">
        <v>14</v>
      </c>
      <c r="B20" s="1772" t="s">
        <v>190</v>
      </c>
      <c r="C20" s="228" t="s">
        <v>106</v>
      </c>
      <c r="D20" s="2672" t="e">
        <f>+#REF!+#REF!+#REF!</f>
        <v>#REF!</v>
      </c>
      <c r="E20" s="2672" t="e">
        <f>+#REF!</f>
        <v>#REF!</v>
      </c>
      <c r="F20" s="2672" t="e">
        <f>+#REF!</f>
        <v>#REF!</v>
      </c>
      <c r="G20" s="2672" t="e">
        <f t="shared" si="0"/>
        <v>#REF!</v>
      </c>
      <c r="H20" s="2673" t="e">
        <f t="shared" si="2"/>
        <v>#REF!</v>
      </c>
      <c r="I20" s="2672" t="e">
        <f>+#REF!+#REF!+#REF!</f>
        <v>#REF!</v>
      </c>
      <c r="J20" s="2672" t="e">
        <f>+#REF!</f>
        <v>#REF!</v>
      </c>
      <c r="K20" s="2672" t="e">
        <f>+#REF!</f>
        <v>#REF!</v>
      </c>
      <c r="L20" s="2672" t="e">
        <f t="shared" si="1"/>
        <v>#REF!</v>
      </c>
      <c r="M20" s="2673" t="e">
        <f t="shared" si="3"/>
        <v>#REF!</v>
      </c>
      <c r="O20" s="21"/>
    </row>
    <row r="21" spans="1:15">
      <c r="A21">
        <v>15</v>
      </c>
      <c r="B21" s="1772" t="s">
        <v>191</v>
      </c>
      <c r="C21" s="228" t="s">
        <v>134</v>
      </c>
      <c r="D21" s="2672" t="e">
        <f>+#REF!+#REF!</f>
        <v>#REF!</v>
      </c>
      <c r="E21" s="2672" t="e">
        <f>+#REF!+#REF!</f>
        <v>#REF!</v>
      </c>
      <c r="F21" s="2672" t="e">
        <f>+#REF!</f>
        <v>#REF!</v>
      </c>
      <c r="G21" s="2672" t="e">
        <f t="shared" si="0"/>
        <v>#REF!</v>
      </c>
      <c r="H21" s="2673" t="e">
        <f t="shared" si="2"/>
        <v>#REF!</v>
      </c>
      <c r="I21" s="2672" t="e">
        <f>+#REF!+#REF!</f>
        <v>#REF!</v>
      </c>
      <c r="J21" s="2672" t="e">
        <f>+#REF!+#REF!</f>
        <v>#REF!</v>
      </c>
      <c r="K21" s="2672" t="e">
        <f>+#REF!</f>
        <v>#REF!</v>
      </c>
      <c r="L21" s="2672" t="e">
        <f t="shared" si="1"/>
        <v>#REF!</v>
      </c>
      <c r="M21" s="2673" t="e">
        <f t="shared" si="3"/>
        <v>#REF!</v>
      </c>
      <c r="N21" s="18"/>
      <c r="O21" s="229"/>
    </row>
    <row r="22" spans="1:15">
      <c r="A22">
        <v>16</v>
      </c>
      <c r="B22" s="1772" t="s">
        <v>192</v>
      </c>
      <c r="C22" s="228" t="s">
        <v>109</v>
      </c>
      <c r="D22" s="2672" t="e">
        <f>+#REF!+#REF!</f>
        <v>#REF!</v>
      </c>
      <c r="E22" s="2672" t="e">
        <f>+#REF!+#REF!</f>
        <v>#REF!</v>
      </c>
      <c r="F22" s="2672" t="e">
        <f>+#REF!</f>
        <v>#REF!</v>
      </c>
      <c r="G22" s="2672" t="e">
        <f t="shared" si="0"/>
        <v>#REF!</v>
      </c>
      <c r="H22" s="2673" t="e">
        <f t="shared" si="2"/>
        <v>#REF!</v>
      </c>
      <c r="I22" s="2672" t="e">
        <f>+#REF!+#REF!</f>
        <v>#REF!</v>
      </c>
      <c r="J22" s="2672" t="e">
        <f>+#REF!+#REF!</f>
        <v>#REF!</v>
      </c>
      <c r="K22" s="2672" t="e">
        <f>+#REF!</f>
        <v>#REF!</v>
      </c>
      <c r="L22" s="2672" t="e">
        <f t="shared" si="1"/>
        <v>#REF!</v>
      </c>
      <c r="M22" s="2673" t="e">
        <f t="shared" si="3"/>
        <v>#REF!</v>
      </c>
    </row>
    <row r="23" spans="1:15">
      <c r="A23">
        <v>17</v>
      </c>
      <c r="B23" s="1772" t="s">
        <v>193</v>
      </c>
      <c r="C23" s="228" t="s">
        <v>111</v>
      </c>
      <c r="D23" s="2672" t="e">
        <f>+#REF!+#REF!</f>
        <v>#REF!</v>
      </c>
      <c r="E23" s="2672" t="e">
        <f>+#REF!+#REF!</f>
        <v>#REF!</v>
      </c>
      <c r="F23" s="2672" t="e">
        <f>+#REF!</f>
        <v>#REF!</v>
      </c>
      <c r="G23" s="2672" t="e">
        <f t="shared" si="0"/>
        <v>#REF!</v>
      </c>
      <c r="H23" s="2673" t="e">
        <f t="shared" si="2"/>
        <v>#REF!</v>
      </c>
      <c r="I23" s="2672" t="e">
        <f>+#REF!+#REF!</f>
        <v>#REF!</v>
      </c>
      <c r="J23" s="2672" t="e">
        <f>+#REF!+#REF!</f>
        <v>#REF!</v>
      </c>
      <c r="K23" s="2672" t="e">
        <f>+#REF!</f>
        <v>#REF!</v>
      </c>
      <c r="L23" s="2672" t="e">
        <f t="shared" si="1"/>
        <v>#REF!</v>
      </c>
      <c r="M23" s="2673" t="e">
        <f t="shared" si="3"/>
        <v>#REF!</v>
      </c>
    </row>
    <row r="24" spans="1:15">
      <c r="A24">
        <v>18</v>
      </c>
      <c r="B24" s="1772" t="s">
        <v>194</v>
      </c>
      <c r="C24" s="228" t="s">
        <v>112</v>
      </c>
      <c r="D24" s="2672" t="e">
        <f>+#REF!+#REF!</f>
        <v>#REF!</v>
      </c>
      <c r="E24" s="2672" t="e">
        <f>+#REF!+#REF!</f>
        <v>#REF!</v>
      </c>
      <c r="F24" s="2672" t="e">
        <f>+#REF!</f>
        <v>#REF!</v>
      </c>
      <c r="G24" s="2672" t="e">
        <f t="shared" si="0"/>
        <v>#REF!</v>
      </c>
      <c r="H24" s="2577" t="e">
        <f t="shared" si="2"/>
        <v>#REF!</v>
      </c>
      <c r="I24" s="2672" t="e">
        <f>+#REF!+#REF!</f>
        <v>#REF!</v>
      </c>
      <c r="J24" s="2672" t="e">
        <f>+#REF!+#REF!</f>
        <v>#REF!</v>
      </c>
      <c r="K24" s="2672" t="e">
        <f>+#REF!</f>
        <v>#REF!</v>
      </c>
      <c r="L24" s="2672" t="e">
        <f t="shared" si="1"/>
        <v>#REF!</v>
      </c>
      <c r="M24" s="2673" t="e">
        <f t="shared" si="3"/>
        <v>#REF!</v>
      </c>
    </row>
    <row r="25" spans="1:15">
      <c r="A25">
        <v>19</v>
      </c>
      <c r="B25" s="1772" t="s">
        <v>195</v>
      </c>
      <c r="C25" s="228" t="s">
        <v>115</v>
      </c>
      <c r="D25" s="2672" t="e">
        <f>+#REF!+#REF!</f>
        <v>#REF!</v>
      </c>
      <c r="E25" s="2672" t="e">
        <f>+#REF!+#REF!</f>
        <v>#REF!</v>
      </c>
      <c r="F25" s="2672" t="e">
        <f>+#REF!</f>
        <v>#REF!</v>
      </c>
      <c r="G25" s="2672" t="e">
        <f t="shared" si="0"/>
        <v>#REF!</v>
      </c>
      <c r="H25" s="2673" t="e">
        <f t="shared" si="2"/>
        <v>#REF!</v>
      </c>
      <c r="I25" s="2672" t="e">
        <f>+#REF!+#REF!</f>
        <v>#REF!</v>
      </c>
      <c r="J25" s="2672" t="e">
        <f>+#REF!+#REF!</f>
        <v>#REF!</v>
      </c>
      <c r="K25" s="2672" t="e">
        <f>+#REF!</f>
        <v>#REF!</v>
      </c>
      <c r="L25" s="2672" t="e">
        <f t="shared" si="1"/>
        <v>#REF!</v>
      </c>
      <c r="M25" s="2673" t="e">
        <f t="shared" si="3"/>
        <v>#REF!</v>
      </c>
    </row>
    <row r="26" spans="1:15">
      <c r="A26">
        <v>20</v>
      </c>
      <c r="B26" s="1772" t="s">
        <v>196</v>
      </c>
      <c r="C26" s="228" t="s">
        <v>135</v>
      </c>
      <c r="D26" s="2672" t="e">
        <f>+#REF!+#REF!</f>
        <v>#REF!</v>
      </c>
      <c r="E26" s="2672" t="e">
        <f>+#REF!+#REF!</f>
        <v>#REF!</v>
      </c>
      <c r="F26" s="2672" t="e">
        <f>+#REF!</f>
        <v>#REF!</v>
      </c>
      <c r="G26" s="2672" t="e">
        <f t="shared" si="0"/>
        <v>#REF!</v>
      </c>
      <c r="H26" s="2673" t="e">
        <f t="shared" si="2"/>
        <v>#REF!</v>
      </c>
      <c r="I26" s="2672" t="e">
        <f>+#REF!+#REF!</f>
        <v>#REF!</v>
      </c>
      <c r="J26" s="2672" t="e">
        <f>+#REF!+#REF!</f>
        <v>#REF!</v>
      </c>
      <c r="K26" s="2672" t="e">
        <f>+#REF!</f>
        <v>#REF!</v>
      </c>
      <c r="L26" s="2672" t="e">
        <f t="shared" si="1"/>
        <v>#REF!</v>
      </c>
      <c r="M26" s="2673" t="e">
        <f t="shared" si="3"/>
        <v>#REF!</v>
      </c>
    </row>
    <row r="27" spans="1:15">
      <c r="A27">
        <v>21</v>
      </c>
      <c r="B27" s="1772" t="s">
        <v>197</v>
      </c>
      <c r="C27" s="228" t="s">
        <v>136</v>
      </c>
      <c r="D27" s="2672" t="e">
        <f>+#REF!+#REF!</f>
        <v>#REF!</v>
      </c>
      <c r="E27" s="2672" t="e">
        <f>+#REF!+#REF!</f>
        <v>#REF!</v>
      </c>
      <c r="F27" s="2672" t="e">
        <f>+#REF!</f>
        <v>#REF!</v>
      </c>
      <c r="G27" s="2672" t="e">
        <f t="shared" si="0"/>
        <v>#REF!</v>
      </c>
      <c r="H27" s="2673" t="e">
        <f t="shared" si="2"/>
        <v>#REF!</v>
      </c>
      <c r="I27" s="2672" t="e">
        <f>+#REF!+#REF!</f>
        <v>#REF!</v>
      </c>
      <c r="J27" s="2672" t="e">
        <f>+#REF!+#REF!</f>
        <v>#REF!</v>
      </c>
      <c r="K27" s="2672" t="e">
        <f>+#REF!</f>
        <v>#REF!</v>
      </c>
      <c r="L27" s="2672" t="e">
        <f t="shared" si="1"/>
        <v>#REF!</v>
      </c>
      <c r="M27" s="2673" t="e">
        <f t="shared" si="3"/>
        <v>#REF!</v>
      </c>
    </row>
    <row r="28" spans="1:15">
      <c r="B28" s="1777" t="s">
        <v>160</v>
      </c>
      <c r="C28" s="1777" t="s">
        <v>160</v>
      </c>
      <c r="D28" s="2900" t="e">
        <f t="shared" ref="D28:M28" si="4">SUM(D7:D27)</f>
        <v>#REF!</v>
      </c>
      <c r="E28" s="2900" t="e">
        <f t="shared" si="4"/>
        <v>#REF!</v>
      </c>
      <c r="F28" s="2900" t="e">
        <f t="shared" si="4"/>
        <v>#REF!</v>
      </c>
      <c r="G28" s="2900" t="e">
        <f t="shared" si="4"/>
        <v>#REF!</v>
      </c>
      <c r="H28" s="2901" t="e">
        <f t="shared" si="4"/>
        <v>#REF!</v>
      </c>
      <c r="I28" s="2900" t="e">
        <f t="shared" si="4"/>
        <v>#REF!</v>
      </c>
      <c r="J28" s="2900" t="e">
        <f t="shared" si="4"/>
        <v>#REF!</v>
      </c>
      <c r="K28" s="2900" t="e">
        <f>SUM(K7:K27)</f>
        <v>#REF!</v>
      </c>
      <c r="L28" s="2900" t="e">
        <f t="shared" si="4"/>
        <v>#REF!</v>
      </c>
      <c r="M28" s="2901" t="e">
        <f t="shared" si="4"/>
        <v>#REF!</v>
      </c>
      <c r="N28" s="16" t="e">
        <f>(L28-G28)/G28</f>
        <v>#REF!</v>
      </c>
    </row>
    <row r="29" spans="1:15">
      <c r="B29" s="4"/>
      <c r="C29" s="4"/>
      <c r="D29" s="230" t="e">
        <f>+D28/I41*100</f>
        <v>#REF!</v>
      </c>
      <c r="E29" s="121" t="e">
        <f>+E28/I41*100</f>
        <v>#REF!</v>
      </c>
      <c r="G29" s="4"/>
      <c r="H29" s="4"/>
      <c r="I29" s="230" t="e">
        <f>+I28/J41*100</f>
        <v>#REF!</v>
      </c>
      <c r="J29" s="230" t="e">
        <f>+J28/J41*100</f>
        <v>#REF!</v>
      </c>
      <c r="K29" s="5"/>
      <c r="L29" s="5"/>
      <c r="M29" s="4"/>
      <c r="O29" s="231"/>
    </row>
    <row r="30" spans="1:15">
      <c r="I30" s="16"/>
      <c r="J30" s="16"/>
      <c r="K30" s="16"/>
      <c r="L30" s="16"/>
    </row>
    <row r="31" spans="1:15">
      <c r="B31" s="232"/>
      <c r="C31" s="232" t="s">
        <v>633</v>
      </c>
      <c r="D31" s="232"/>
      <c r="E31" s="175"/>
    </row>
    <row r="32" spans="1:15">
      <c r="B32" s="204"/>
      <c r="C32" s="204" t="s">
        <v>634</v>
      </c>
      <c r="D32" s="204"/>
      <c r="E32" s="175"/>
    </row>
    <row r="33" spans="2:13">
      <c r="B33" s="232"/>
      <c r="C33" s="232" t="s">
        <v>149</v>
      </c>
      <c r="D33" s="232"/>
      <c r="E33" s="175"/>
    </row>
    <row r="34" spans="2:13">
      <c r="B34" s="232"/>
      <c r="C34" s="3690" t="s">
        <v>947</v>
      </c>
      <c r="D34" s="3690"/>
      <c r="E34" s="3690"/>
      <c r="F34" s="3690"/>
      <c r="G34" s="3690"/>
      <c r="H34" s="3690"/>
      <c r="I34" s="3690"/>
      <c r="J34" s="3690"/>
      <c r="K34" s="3690"/>
      <c r="L34" s="3690"/>
      <c r="M34" s="3690"/>
    </row>
    <row r="35" spans="2:13">
      <c r="B35" s="232"/>
      <c r="C35" s="3258" t="s">
        <v>948</v>
      </c>
      <c r="D35" s="3258"/>
      <c r="E35" s="3258"/>
      <c r="F35" s="3258"/>
      <c r="G35" s="3258"/>
      <c r="H35" s="3258"/>
      <c r="I35" s="3258"/>
      <c r="J35" s="3258"/>
      <c r="K35" s="3258"/>
      <c r="L35" s="3258"/>
      <c r="M35" s="3258"/>
    </row>
    <row r="36" spans="2:13">
      <c r="B36" s="233"/>
      <c r="C36" s="3258"/>
      <c r="D36" s="3258"/>
      <c r="E36" s="3258"/>
      <c r="F36" s="3258"/>
      <c r="G36" s="3258"/>
      <c r="H36" s="3258"/>
      <c r="I36" s="3258"/>
      <c r="J36" s="3258"/>
      <c r="K36" s="3258"/>
      <c r="L36" s="3258"/>
      <c r="M36" s="3258"/>
    </row>
    <row r="37" spans="2:13">
      <c r="B37" s="233"/>
      <c r="C37" s="233" t="s">
        <v>949</v>
      </c>
      <c r="D37" s="233"/>
      <c r="E37" s="175"/>
    </row>
    <row r="38" spans="2:13">
      <c r="B38" s="175"/>
      <c r="C38" s="3691" t="s">
        <v>950</v>
      </c>
      <c r="D38" s="3691"/>
      <c r="E38" s="3691"/>
      <c r="F38" s="3691"/>
      <c r="G38" s="3691"/>
      <c r="H38" s="3691"/>
      <c r="I38" s="3691"/>
      <c r="J38" s="3691"/>
      <c r="K38" s="3691"/>
      <c r="L38" s="3691"/>
      <c r="M38" s="3691"/>
    </row>
    <row r="39" spans="2:13" ht="32.25" customHeight="1">
      <c r="B39" s="234"/>
      <c r="C39" s="3587" t="s">
        <v>739</v>
      </c>
      <c r="D39" s="3587"/>
      <c r="E39" s="3587"/>
      <c r="F39" s="3587"/>
      <c r="G39" s="3587"/>
      <c r="H39" s="3587"/>
      <c r="I39" s="3587"/>
      <c r="J39" s="3587"/>
      <c r="K39" s="3587"/>
      <c r="L39" s="3587"/>
      <c r="M39" s="3587"/>
    </row>
    <row r="40" spans="2:13" ht="32.25" customHeight="1">
      <c r="B40" s="175"/>
      <c r="C40" s="175"/>
      <c r="D40" s="175"/>
      <c r="E40" s="175"/>
      <c r="J40" s="9" t="e">
        <f>+J39/E28*100</f>
        <v>#REF!</v>
      </c>
    </row>
    <row r="41" spans="2:13">
      <c r="D41" s="81" t="e">
        <f>+'New - LT'!C20</f>
        <v>#REF!</v>
      </c>
      <c r="E41" s="81" t="e">
        <f>+'New GI'!C23</f>
        <v>#REF!</v>
      </c>
      <c r="I41" s="14" t="e">
        <f>+D28+E28</f>
        <v>#REF!</v>
      </c>
      <c r="J41" s="14" t="e">
        <f>+I28+J28</f>
        <v>#REF!</v>
      </c>
    </row>
    <row r="42" spans="2:13">
      <c r="E42" s="14" t="e">
        <f>+D41+E41</f>
        <v>#REF!</v>
      </c>
    </row>
    <row r="43" spans="2:13">
      <c r="J43" s="81" t="e">
        <f>+'New - LT'!F20</f>
        <v>#REF!</v>
      </c>
      <c r="K43" s="81" t="e">
        <f>+'New GI'!F23</f>
        <v>#REF!</v>
      </c>
    </row>
    <row r="44" spans="2:13">
      <c r="K44" s="14" t="e">
        <f>+J43+K43</f>
        <v>#REF!</v>
      </c>
    </row>
    <row r="46" spans="2:13">
      <c r="E46" s="250" t="s">
        <v>951</v>
      </c>
    </row>
  </sheetData>
  <customSheetViews>
    <customSheetView guid="{2ACFE167-4169-43A6-9AB2-59D5A2DA2DB4}" showPageBreaks="1" state="hidden">
      <selection activeCell="Q58" sqref="Q58"/>
      <colBreaks count="1" manualBreakCount="1">
        <brk id="13" max="1048575" man="1"/>
      </colBreaks>
      <pageMargins left="0" right="0" top="0" bottom="0" header="0" footer="0"/>
      <pageSetup scale="92" orientation="landscape" r:id="rId1"/>
    </customSheetView>
    <customSheetView guid="{967E0446-E234-427F-8E57-7FE287052E2E}" showPageBreaks="1" state="hidden">
      <selection activeCell="Q58" sqref="Q58"/>
      <colBreaks count="1" manualBreakCount="1">
        <brk id="13" max="1048575" man="1"/>
      </colBreaks>
      <pageMargins left="0" right="0" top="0" bottom="0" header="0" footer="0"/>
      <pageSetup scale="92" orientation="landscape" r:id="rId2"/>
    </customSheetView>
    <customSheetView guid="{B2E1A0C6-5BA1-4CF1-B412-16D81FCDF11F}" state="hidden">
      <selection activeCell="Q58" sqref="Q58"/>
      <colBreaks count="1" manualBreakCount="1">
        <brk id="13" max="1048575" man="1"/>
      </colBreaks>
      <pageMargins left="0" right="0" top="0" bottom="0" header="0" footer="0"/>
      <pageSetup scale="92" orientation="landscape" r:id="rId3"/>
    </customSheetView>
    <customSheetView guid="{46F31544-8E6F-41C5-8628-1D6EE074AF15}" state="hidden">
      <selection activeCell="Q58" sqref="Q58"/>
      <colBreaks count="1" manualBreakCount="1">
        <brk id="13" max="1048575" man="1"/>
      </colBreaks>
      <pageMargins left="0" right="0" top="0" bottom="0" header="0" footer="0"/>
      <pageSetup scale="92" orientation="landscape" r:id="rId4"/>
    </customSheetView>
    <customSheetView guid="{D020F570-D9CD-4C16-921E-7638848CF929}" scale="120">
      <selection activeCell="H27" sqref="H27"/>
      <pageMargins left="0" right="0" top="0" bottom="0" header="0" footer="0"/>
      <pageSetup orientation="landscape" r:id="rId5"/>
    </customSheetView>
    <customSheetView guid="{F66B1C5E-2E3D-4890-AA4B-3A6E976CA29E}" scale="120">
      <selection activeCell="G26" sqref="G26"/>
      <pageMargins left="0" right="0" top="0" bottom="0" header="0" footer="0"/>
      <pageSetup orientation="landscape" r:id="rId6"/>
    </customSheetView>
    <customSheetView guid="{C4538C36-F6A2-4603-9311-8D97FB7695CB}" scale="120" topLeftCell="A10">
      <selection activeCell="G26" sqref="G26"/>
      <pageMargins left="0" right="0" top="0" bottom="0" header="0" footer="0"/>
      <pageSetup orientation="landscape" r:id="rId7"/>
    </customSheetView>
    <customSheetView guid="{3199A5C7-1303-43ED-A74D-8C27C3B99779}" scale="120" showPageBreaks="1" topLeftCell="A40">
      <selection activeCell="G30" sqref="G30"/>
      <pageMargins left="0" right="0" top="0" bottom="0" header="0" footer="0"/>
      <pageSetup orientation="landscape" r:id="rId8"/>
    </customSheetView>
    <customSheetView guid="{B8318771-9061-42D8-AFEA-0FF27D639C94}" scale="120">
      <selection activeCell="I14" sqref="I14"/>
      <pageMargins left="0" right="0" top="0" bottom="0" header="0" footer="0"/>
      <pageSetup orientation="landscape" r:id="rId9"/>
    </customSheetView>
    <customSheetView guid="{F7C0CA98-A3B8-42B1-9940-E27294444C95}" showPageBreaks="1" topLeftCell="A13">
      <selection activeCell="I15" sqref="I15"/>
      <pageMargins left="0" right="0" top="0" bottom="0" header="0" footer="0"/>
      <pageSetup orientation="landscape" r:id="rId10"/>
    </customSheetView>
    <customSheetView guid="{B4A67912-05A8-4D20-958A-E8812294BB39}" scale="120" topLeftCell="A10">
      <selection activeCell="I27" sqref="I27"/>
      <pageMargins left="0" right="0" top="0" bottom="0" header="0" footer="0"/>
      <pageSetup orientation="landscape" r:id="rId11"/>
    </customSheetView>
    <customSheetView guid="{E82B35BE-4719-4C53-A9EF-1CC6F153A6F3}" state="hidden">
      <selection activeCell="Q58" sqref="Q58"/>
      <colBreaks count="1" manualBreakCount="1">
        <brk id="13" max="1048575" man="1"/>
      </colBreaks>
      <pageMargins left="0" right="0" top="0" bottom="0" header="0" footer="0"/>
      <pageSetup scale="92" orientation="landscape" r:id="rId12"/>
    </customSheetView>
    <customSheetView guid="{B1E1B596-A9A1-411D-A882-A48CB025B978}" state="hidden">
      <selection activeCell="Q58" sqref="Q58"/>
      <colBreaks count="1" manualBreakCount="1">
        <brk id="13" max="1048575" man="1"/>
      </colBreaks>
      <pageMargins left="0" right="0" top="0" bottom="0" header="0" footer="0"/>
      <pageSetup scale="92" orientation="landscape" r:id="rId13"/>
    </customSheetView>
    <customSheetView guid="{5E394B0B-7867-4722-9497-A93AB2A9A773}" showPageBreaks="1" state="hidden">
      <selection activeCell="Q58" sqref="Q58"/>
      <colBreaks count="1" manualBreakCount="1">
        <brk id="13" max="1048575" man="1"/>
      </colBreaks>
      <pageMargins left="0" right="0" top="0" bottom="0" header="0" footer="0"/>
      <pageSetup scale="92" orientation="landscape" r:id="rId14"/>
    </customSheetView>
  </customSheetViews>
  <mergeCells count="9">
    <mergeCell ref="C34:M34"/>
    <mergeCell ref="C35:M36"/>
    <mergeCell ref="C39:M39"/>
    <mergeCell ref="C38:M38"/>
    <mergeCell ref="C4:M4"/>
    <mergeCell ref="C5:C6"/>
    <mergeCell ref="D5:H5"/>
    <mergeCell ref="I5:M5"/>
    <mergeCell ref="B5:B6"/>
  </mergeCells>
  <hyperlinks>
    <hyperlink ref="I1" location="'List of tables'!A1" display="'List of tables'!A1" xr:uid="{00000000-0004-0000-4500-000000000000}"/>
  </hyperlinks>
  <pageMargins left="0.31" right="0.2" top="0.65" bottom="0.75" header="0.3" footer="0.3"/>
  <pageSetup scale="92" orientation="landscape" r:id="rId15"/>
  <colBreaks count="1" manualBreakCount="1">
    <brk id="13" max="1048575" man="1"/>
  </colBreaks>
  <drawing r:id="rId16"/>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Sheet66">
    <tabColor rgb="FF00B050"/>
  </sheetPr>
  <dimension ref="A2:Q145"/>
  <sheetViews>
    <sheetView topLeftCell="J13" workbookViewId="0">
      <selection activeCell="C6" sqref="C6"/>
    </sheetView>
  </sheetViews>
  <sheetFormatPr defaultRowHeight="14.45"/>
  <cols>
    <col min="2" max="2" width="13.7109375" customWidth="1"/>
    <col min="3" max="3" width="11.42578125" customWidth="1"/>
    <col min="4" max="4" width="12.85546875" customWidth="1"/>
    <col min="5" max="5" width="12.7109375" customWidth="1"/>
    <col min="6" max="6" width="13.28515625" customWidth="1"/>
    <col min="7" max="7" width="13.42578125" customWidth="1"/>
    <col min="8" max="8" width="12.5703125" customWidth="1"/>
    <col min="9" max="9" width="13.140625" customWidth="1"/>
    <col min="10" max="10" width="15.28515625" customWidth="1"/>
    <col min="11" max="11" width="15" customWidth="1"/>
    <col min="12" max="12" width="17.5703125" customWidth="1"/>
    <col min="13" max="13" width="11.140625" customWidth="1"/>
    <col min="14" max="14" width="12.7109375" customWidth="1"/>
    <col min="15" max="15" width="12.42578125" customWidth="1"/>
  </cols>
  <sheetData>
    <row r="2" spans="1:17" s="52" customFormat="1" ht="20.25" customHeight="1">
      <c r="A2" s="51">
        <v>1</v>
      </c>
      <c r="B2" s="62" t="s">
        <v>952</v>
      </c>
    </row>
    <row r="3" spans="1:17" s="54" customFormat="1" ht="13.15">
      <c r="A3" s="53"/>
    </row>
    <row r="4" spans="1:17" s="54" customFormat="1" ht="13.15">
      <c r="A4" s="53"/>
      <c r="B4" s="3187" t="s">
        <v>810</v>
      </c>
      <c r="C4" s="3692" t="s">
        <v>953</v>
      </c>
      <c r="D4" s="3692"/>
      <c r="E4" s="3692"/>
      <c r="F4" s="3692"/>
      <c r="G4" s="3692"/>
      <c r="H4" s="3692"/>
      <c r="I4" s="3692"/>
    </row>
    <row r="5" spans="1:17" s="54" customFormat="1" ht="115.15">
      <c r="A5" s="53"/>
      <c r="B5" s="210"/>
      <c r="C5" s="209" t="s">
        <v>820</v>
      </c>
      <c r="D5" s="209" t="s">
        <v>821</v>
      </c>
      <c r="E5" s="209" t="s">
        <v>822</v>
      </c>
      <c r="F5" s="59" t="s">
        <v>823</v>
      </c>
      <c r="G5" s="2902" t="s">
        <v>827</v>
      </c>
      <c r="H5" s="2902" t="s">
        <v>828</v>
      </c>
      <c r="I5" s="2902" t="s">
        <v>826</v>
      </c>
      <c r="J5" s="2643" t="s">
        <v>954</v>
      </c>
      <c r="K5" s="2903" t="s">
        <v>955</v>
      </c>
      <c r="L5" s="2696" t="s">
        <v>956</v>
      </c>
      <c r="M5" s="2643" t="s">
        <v>957</v>
      </c>
      <c r="O5" s="2904" t="s">
        <v>958</v>
      </c>
      <c r="P5" s="2904" t="s">
        <v>959</v>
      </c>
    </row>
    <row r="6" spans="1:17" s="52" customFormat="1" ht="20.100000000000001" customHeight="1">
      <c r="A6" s="37"/>
      <c r="B6" s="2905">
        <v>2012</v>
      </c>
      <c r="C6" s="2841">
        <f t="shared" ref="C6:I10" si="0">+C15+C24+C33+C42+C51+C60+C69+C78+C87+C96+C105+C114+C123+C132+C141</f>
        <v>93178</v>
      </c>
      <c r="D6" s="2841">
        <f t="shared" si="0"/>
        <v>1645</v>
      </c>
      <c r="E6" s="2841">
        <f t="shared" si="0"/>
        <v>142</v>
      </c>
      <c r="F6" s="2841">
        <f t="shared" si="0"/>
        <v>1318</v>
      </c>
      <c r="G6" s="2841">
        <f t="shared" si="0"/>
        <v>0</v>
      </c>
      <c r="H6" s="2841">
        <f t="shared" si="0"/>
        <v>0</v>
      </c>
      <c r="I6" s="2841">
        <f t="shared" si="0"/>
        <v>16</v>
      </c>
      <c r="J6" s="1711">
        <f>SUM(C6:I6)</f>
        <v>96299</v>
      </c>
      <c r="K6" s="1684" t="e">
        <f>+#REF!</f>
        <v>#REF!</v>
      </c>
      <c r="L6" s="1684" t="e">
        <f>+#REF!</f>
        <v>#REF!</v>
      </c>
      <c r="M6" s="1684" t="e">
        <f>+#REF!</f>
        <v>#REF!</v>
      </c>
      <c r="O6" s="2906" t="e">
        <f>+J10/K10*100</f>
        <v>#REF!</v>
      </c>
      <c r="P6" s="2907" t="e">
        <f>+L10/M10*100</f>
        <v>#REF!</v>
      </c>
      <c r="Q6" s="2905">
        <v>2008</v>
      </c>
    </row>
    <row r="7" spans="1:17" s="52" customFormat="1" ht="20.100000000000001" customHeight="1">
      <c r="A7" s="37"/>
      <c r="B7" s="2905">
        <v>2011</v>
      </c>
      <c r="C7" s="2841">
        <f t="shared" si="0"/>
        <v>79199</v>
      </c>
      <c r="D7" s="2841">
        <f t="shared" si="0"/>
        <v>2498</v>
      </c>
      <c r="E7" s="2841">
        <f t="shared" si="0"/>
        <v>148</v>
      </c>
      <c r="F7" s="2841">
        <f t="shared" si="0"/>
        <v>186</v>
      </c>
      <c r="G7" s="2841">
        <f t="shared" si="0"/>
        <v>0</v>
      </c>
      <c r="H7" s="2841">
        <f t="shared" si="0"/>
        <v>0</v>
      </c>
      <c r="I7" s="2841">
        <f t="shared" si="0"/>
        <v>71</v>
      </c>
      <c r="J7" s="1711">
        <f>SUM(C7:I7)</f>
        <v>82102</v>
      </c>
      <c r="K7" s="1684" t="e">
        <f>+#REF!</f>
        <v>#REF!</v>
      </c>
      <c r="L7" s="1684" t="e">
        <f>+#REF!</f>
        <v>#REF!</v>
      </c>
      <c r="M7" s="1684" t="e">
        <f>+#REF!</f>
        <v>#REF!</v>
      </c>
      <c r="O7" s="2906" t="e">
        <f>+J9/K9*100</f>
        <v>#REF!</v>
      </c>
      <c r="P7" s="2907" t="e">
        <f>+L9/M9*100</f>
        <v>#REF!</v>
      </c>
      <c r="Q7" s="2905">
        <v>2009</v>
      </c>
    </row>
    <row r="8" spans="1:17" s="52" customFormat="1" ht="20.100000000000001" customHeight="1">
      <c r="A8" s="37"/>
      <c r="B8" s="2905">
        <v>2010</v>
      </c>
      <c r="C8" s="2841">
        <f t="shared" si="0"/>
        <v>82953</v>
      </c>
      <c r="D8" s="2841">
        <f t="shared" si="0"/>
        <v>1220</v>
      </c>
      <c r="E8" s="2841">
        <f t="shared" si="0"/>
        <v>208</v>
      </c>
      <c r="F8" s="2841">
        <f t="shared" si="0"/>
        <v>0</v>
      </c>
      <c r="G8" s="2841">
        <f t="shared" si="0"/>
        <v>0</v>
      </c>
      <c r="H8" s="2841">
        <f t="shared" si="0"/>
        <v>0</v>
      </c>
      <c r="I8" s="2841">
        <f t="shared" si="0"/>
        <v>32</v>
      </c>
      <c r="J8" s="1711">
        <f>SUM(C8:I8)</f>
        <v>84413</v>
      </c>
      <c r="K8" s="1684" t="e">
        <f>+#REF!</f>
        <v>#REF!</v>
      </c>
      <c r="L8" s="1684" t="e">
        <f>+#REF!</f>
        <v>#REF!</v>
      </c>
      <c r="M8" s="1684" t="e">
        <f>+#REF!</f>
        <v>#REF!</v>
      </c>
      <c r="O8" s="2906" t="e">
        <f>+J8/K8*100</f>
        <v>#REF!</v>
      </c>
      <c r="P8" s="2907" t="e">
        <f>+L8/M8*100</f>
        <v>#REF!</v>
      </c>
      <c r="Q8" s="2905">
        <v>2010</v>
      </c>
    </row>
    <row r="9" spans="1:17" s="52" customFormat="1" ht="20.100000000000001" customHeight="1">
      <c r="A9" s="37"/>
      <c r="B9" s="2905">
        <v>2009</v>
      </c>
      <c r="C9" s="2841">
        <f t="shared" si="0"/>
        <v>92959</v>
      </c>
      <c r="D9" s="2841">
        <f t="shared" si="0"/>
        <v>801</v>
      </c>
      <c r="E9" s="2841">
        <f t="shared" si="0"/>
        <v>199</v>
      </c>
      <c r="F9" s="2841">
        <f t="shared" si="0"/>
        <v>2</v>
      </c>
      <c r="G9" s="2841">
        <f t="shared" si="0"/>
        <v>0</v>
      </c>
      <c r="H9" s="2841">
        <f t="shared" si="0"/>
        <v>0</v>
      </c>
      <c r="I9" s="2841">
        <f t="shared" si="0"/>
        <v>154</v>
      </c>
      <c r="J9" s="1711">
        <f>SUM(C9:I9)</f>
        <v>94115</v>
      </c>
      <c r="K9" s="1684" t="e">
        <f>+#REF!</f>
        <v>#REF!</v>
      </c>
      <c r="L9" s="1684" t="e">
        <f>+#REF!</f>
        <v>#REF!</v>
      </c>
      <c r="M9" s="1684" t="e">
        <f>+#REF!</f>
        <v>#REF!</v>
      </c>
      <c r="O9" s="2906" t="e">
        <f>+J7/K7*100</f>
        <v>#REF!</v>
      </c>
      <c r="P9" s="2907" t="e">
        <f>+L7/M7*100</f>
        <v>#REF!</v>
      </c>
      <c r="Q9" s="2905" t="s">
        <v>907</v>
      </c>
    </row>
    <row r="10" spans="1:17" s="52" customFormat="1" ht="20.100000000000001" customHeight="1">
      <c r="A10" s="37"/>
      <c r="B10" s="2905">
        <v>2008</v>
      </c>
      <c r="C10" s="2841">
        <f t="shared" si="0"/>
        <v>107957</v>
      </c>
      <c r="D10" s="2841">
        <f t="shared" si="0"/>
        <v>558</v>
      </c>
      <c r="E10" s="2841">
        <f t="shared" si="0"/>
        <v>0</v>
      </c>
      <c r="F10" s="2841">
        <f t="shared" si="0"/>
        <v>5</v>
      </c>
      <c r="G10" s="2841">
        <f t="shared" si="0"/>
        <v>0</v>
      </c>
      <c r="H10" s="2841">
        <f t="shared" si="0"/>
        <v>0</v>
      </c>
      <c r="I10" s="2841">
        <f t="shared" si="0"/>
        <v>138</v>
      </c>
      <c r="J10" s="1711">
        <f>SUM(C10:I10)</f>
        <v>108658</v>
      </c>
      <c r="K10" s="1684" t="e">
        <f>+#REF!</f>
        <v>#REF!</v>
      </c>
      <c r="L10" s="1684" t="e">
        <f>+#REF!</f>
        <v>#REF!</v>
      </c>
      <c r="M10" s="1684" t="e">
        <f>+#REF!</f>
        <v>#REF!</v>
      </c>
      <c r="O10" s="2906" t="e">
        <f>+J6/K6*100</f>
        <v>#REF!</v>
      </c>
      <c r="P10" s="2907" t="e">
        <f>+L6/M6*100</f>
        <v>#REF!</v>
      </c>
      <c r="Q10" s="2905" t="s">
        <v>747</v>
      </c>
    </row>
    <row r="11" spans="1:17" s="52" customFormat="1" ht="20.100000000000001" customHeight="1">
      <c r="A11" s="37"/>
    </row>
    <row r="12" spans="1:17">
      <c r="B12">
        <v>1</v>
      </c>
      <c r="C12">
        <v>1</v>
      </c>
      <c r="D12" s="2553" t="s">
        <v>177</v>
      </c>
    </row>
    <row r="13" spans="1:17" s="54" customFormat="1" ht="13.15">
      <c r="A13" s="53"/>
      <c r="B13" s="3188" t="s">
        <v>810</v>
      </c>
      <c r="C13" s="3692" t="s">
        <v>953</v>
      </c>
      <c r="D13" s="3692"/>
      <c r="E13" s="3692"/>
      <c r="F13" s="3692"/>
      <c r="G13" s="3692"/>
      <c r="H13" s="3692"/>
      <c r="I13" s="3692"/>
    </row>
    <row r="14" spans="1:17" s="54" customFormat="1" ht="115.15">
      <c r="A14" s="53"/>
      <c r="B14" s="55"/>
      <c r="C14" s="56" t="s">
        <v>820</v>
      </c>
      <c r="D14" s="56" t="s">
        <v>821</v>
      </c>
      <c r="E14" s="56" t="s">
        <v>822</v>
      </c>
      <c r="F14" s="57" t="s">
        <v>823</v>
      </c>
      <c r="G14" s="2643" t="s">
        <v>827</v>
      </c>
      <c r="H14" s="2643" t="s">
        <v>828</v>
      </c>
      <c r="I14" s="2643" t="s">
        <v>826</v>
      </c>
      <c r="J14" s="54" t="s">
        <v>118</v>
      </c>
    </row>
    <row r="15" spans="1:17" s="54" customFormat="1" ht="13.15">
      <c r="A15" s="53"/>
      <c r="B15" s="2905">
        <v>2012</v>
      </c>
      <c r="C15" s="2639">
        <v>3189</v>
      </c>
      <c r="D15" s="2639"/>
      <c r="E15" s="2639"/>
      <c r="F15" s="2639"/>
      <c r="G15" s="2639"/>
      <c r="H15" s="2908"/>
      <c r="I15" s="2640"/>
      <c r="J15" s="77">
        <v>3189</v>
      </c>
    </row>
    <row r="16" spans="1:17" s="54" customFormat="1" ht="13.15">
      <c r="A16" s="53"/>
      <c r="B16" s="2905">
        <v>2011</v>
      </c>
      <c r="C16" s="2639">
        <v>3040</v>
      </c>
      <c r="D16" s="2639"/>
      <c r="E16" s="2639"/>
      <c r="F16" s="2639"/>
      <c r="G16" s="2639"/>
      <c r="H16" s="2908"/>
      <c r="I16" s="2640"/>
      <c r="J16" s="77">
        <v>3040</v>
      </c>
    </row>
    <row r="17" spans="1:10" s="54" customFormat="1" ht="13.15">
      <c r="A17" s="53"/>
      <c r="B17" s="2905">
        <v>2010</v>
      </c>
      <c r="C17" s="2639">
        <v>3301</v>
      </c>
      <c r="D17" s="2639"/>
      <c r="E17" s="2639"/>
      <c r="F17" s="2639"/>
      <c r="G17" s="2639"/>
      <c r="H17" s="2908"/>
      <c r="I17" s="2640"/>
      <c r="J17" s="77">
        <v>3301</v>
      </c>
    </row>
    <row r="18" spans="1:10" s="54" customFormat="1" ht="13.15">
      <c r="A18" s="53"/>
      <c r="B18" s="2905">
        <v>2009</v>
      </c>
      <c r="C18" s="2639">
        <v>3678</v>
      </c>
      <c r="D18" s="2639"/>
      <c r="E18" s="2639"/>
      <c r="F18" s="2639"/>
      <c r="G18" s="2639"/>
      <c r="H18" s="2908"/>
      <c r="I18" s="2640"/>
      <c r="J18" s="77">
        <v>3678</v>
      </c>
    </row>
    <row r="19" spans="1:10" s="54" customFormat="1" ht="13.15">
      <c r="A19" s="53"/>
      <c r="B19" s="2905">
        <v>2008</v>
      </c>
      <c r="C19" s="2639">
        <v>3136</v>
      </c>
      <c r="D19" s="2908"/>
      <c r="E19" s="2908"/>
      <c r="F19" s="2908"/>
      <c r="G19" s="2908"/>
      <c r="H19" s="2908"/>
      <c r="I19" s="2640"/>
      <c r="J19" s="77">
        <v>3136</v>
      </c>
    </row>
    <row r="21" spans="1:10">
      <c r="B21">
        <v>2</v>
      </c>
      <c r="C21">
        <v>2</v>
      </c>
      <c r="D21" s="2556" t="s">
        <v>180</v>
      </c>
    </row>
    <row r="22" spans="1:10" s="54" customFormat="1" ht="13.15">
      <c r="A22" s="53"/>
      <c r="B22" s="3188" t="s">
        <v>810</v>
      </c>
      <c r="C22" s="3692" t="s">
        <v>953</v>
      </c>
      <c r="D22" s="3692"/>
      <c r="E22" s="3692"/>
      <c r="F22" s="3692"/>
      <c r="G22" s="3692"/>
      <c r="H22" s="3692"/>
      <c r="I22" s="3692"/>
    </row>
    <row r="23" spans="1:10" s="54" customFormat="1" ht="115.15">
      <c r="A23" s="53"/>
      <c r="B23" s="55"/>
      <c r="C23" s="56" t="s">
        <v>820</v>
      </c>
      <c r="D23" s="56" t="s">
        <v>821</v>
      </c>
      <c r="E23" s="56" t="s">
        <v>822</v>
      </c>
      <c r="F23" s="57" t="s">
        <v>823</v>
      </c>
      <c r="G23" s="2643" t="s">
        <v>827</v>
      </c>
      <c r="H23" s="2643" t="s">
        <v>828</v>
      </c>
      <c r="I23" s="2643" t="s">
        <v>826</v>
      </c>
    </row>
    <row r="24" spans="1:10" s="54" customFormat="1" ht="13.15">
      <c r="A24" s="53"/>
      <c r="B24" s="2905">
        <v>2012</v>
      </c>
      <c r="C24" s="2639">
        <v>3433</v>
      </c>
      <c r="D24" s="2639">
        <v>0</v>
      </c>
      <c r="E24" s="2639">
        <v>0</v>
      </c>
      <c r="F24" s="2639">
        <v>0</v>
      </c>
      <c r="G24" s="2639">
        <v>0</v>
      </c>
      <c r="H24" s="2639">
        <v>0</v>
      </c>
      <c r="I24" s="2909">
        <v>0</v>
      </c>
      <c r="J24" s="77">
        <v>3433</v>
      </c>
    </row>
    <row r="25" spans="1:10" s="54" customFormat="1" ht="13.15">
      <c r="A25" s="53"/>
      <c r="B25" s="2905">
        <v>2011</v>
      </c>
      <c r="C25" s="2639">
        <v>2496</v>
      </c>
      <c r="D25" s="2639">
        <v>0</v>
      </c>
      <c r="E25" s="2639">
        <v>0</v>
      </c>
      <c r="F25" s="2639">
        <v>0</v>
      </c>
      <c r="G25" s="2639">
        <v>0</v>
      </c>
      <c r="H25" s="2639">
        <v>0</v>
      </c>
      <c r="I25" s="2909">
        <v>0</v>
      </c>
      <c r="J25" s="77">
        <v>2496</v>
      </c>
    </row>
    <row r="26" spans="1:10" s="54" customFormat="1" ht="13.15">
      <c r="A26" s="53"/>
      <c r="B26" s="2905">
        <v>2010</v>
      </c>
      <c r="C26" s="2639">
        <v>2571</v>
      </c>
      <c r="D26" s="2639">
        <v>0</v>
      </c>
      <c r="E26" s="2639">
        <v>0</v>
      </c>
      <c r="F26" s="2639">
        <v>0</v>
      </c>
      <c r="G26" s="2639">
        <v>0</v>
      </c>
      <c r="H26" s="2639">
        <v>0</v>
      </c>
      <c r="I26" s="2909">
        <v>0</v>
      </c>
      <c r="J26" s="77">
        <v>2571</v>
      </c>
    </row>
    <row r="27" spans="1:10" s="54" customFormat="1" ht="13.15">
      <c r="A27" s="53"/>
      <c r="B27" s="2905">
        <v>2009</v>
      </c>
      <c r="C27" s="2639">
        <v>2988</v>
      </c>
      <c r="D27" s="2639">
        <v>0</v>
      </c>
      <c r="E27" s="2639">
        <v>0</v>
      </c>
      <c r="F27" s="2639">
        <v>0</v>
      </c>
      <c r="G27" s="2639">
        <v>0</v>
      </c>
      <c r="H27" s="2639">
        <v>0</v>
      </c>
      <c r="I27" s="2909">
        <v>0</v>
      </c>
      <c r="J27" s="77">
        <v>2988</v>
      </c>
    </row>
    <row r="28" spans="1:10" s="54" customFormat="1" ht="13.15">
      <c r="A28" s="53"/>
      <c r="B28" s="2905">
        <v>2008</v>
      </c>
      <c r="C28" s="2639">
        <v>0</v>
      </c>
      <c r="D28" s="2639">
        <v>0</v>
      </c>
      <c r="E28" s="2639">
        <v>0</v>
      </c>
      <c r="F28" s="2639">
        <v>0</v>
      </c>
      <c r="G28" s="2639">
        <v>0</v>
      </c>
      <c r="H28" s="2639">
        <v>0</v>
      </c>
      <c r="I28" s="2909">
        <v>0</v>
      </c>
      <c r="J28" s="77">
        <v>0</v>
      </c>
    </row>
    <row r="30" spans="1:10">
      <c r="B30">
        <v>3</v>
      </c>
      <c r="C30">
        <v>3</v>
      </c>
      <c r="D30" s="2553" t="s">
        <v>181</v>
      </c>
    </row>
    <row r="31" spans="1:10" s="54" customFormat="1" ht="13.15">
      <c r="A31" s="53"/>
      <c r="B31" s="3188" t="s">
        <v>810</v>
      </c>
      <c r="C31" s="3692" t="s">
        <v>953</v>
      </c>
      <c r="D31" s="3692"/>
      <c r="E31" s="3692"/>
      <c r="F31" s="3692"/>
      <c r="G31" s="3692"/>
      <c r="H31" s="3692"/>
      <c r="I31" s="3692"/>
    </row>
    <row r="32" spans="1:10" s="54" customFormat="1" ht="115.15">
      <c r="A32" s="53"/>
      <c r="B32" s="55"/>
      <c r="C32" s="56" t="s">
        <v>820</v>
      </c>
      <c r="D32" s="56" t="s">
        <v>821</v>
      </c>
      <c r="E32" s="56" t="s">
        <v>822</v>
      </c>
      <c r="F32" s="57" t="s">
        <v>823</v>
      </c>
      <c r="G32" s="2643" t="s">
        <v>827</v>
      </c>
      <c r="H32" s="2643" t="s">
        <v>828</v>
      </c>
      <c r="I32" s="2643" t="s">
        <v>826</v>
      </c>
    </row>
    <row r="33" spans="1:10" s="54" customFormat="1" ht="13.15">
      <c r="A33" s="53"/>
      <c r="B33" s="2905">
        <v>2012</v>
      </c>
      <c r="C33" s="2788">
        <f>16557-F33</f>
        <v>15239</v>
      </c>
      <c r="D33" s="2788">
        <v>1421</v>
      </c>
      <c r="E33" s="2788">
        <v>0</v>
      </c>
      <c r="F33" s="2788">
        <v>1318</v>
      </c>
      <c r="G33" s="2788">
        <v>0</v>
      </c>
      <c r="H33" s="2788">
        <v>0</v>
      </c>
      <c r="I33" s="2788">
        <v>0</v>
      </c>
      <c r="J33" s="77">
        <f>SUM(C33:I33)</f>
        <v>17978</v>
      </c>
    </row>
    <row r="34" spans="1:10" s="54" customFormat="1" ht="13.15">
      <c r="A34" s="53"/>
      <c r="B34" s="2905">
        <v>2011</v>
      </c>
      <c r="C34" s="2788">
        <f>8954-F34</f>
        <v>8768</v>
      </c>
      <c r="D34" s="2788">
        <v>2444</v>
      </c>
      <c r="E34" s="2788">
        <v>0</v>
      </c>
      <c r="F34" s="2788">
        <v>186</v>
      </c>
      <c r="G34" s="2788">
        <v>0</v>
      </c>
      <c r="H34" s="2788">
        <v>0</v>
      </c>
      <c r="I34" s="2788">
        <v>0</v>
      </c>
      <c r="J34" s="77">
        <f>SUM(C34:I34)</f>
        <v>11398</v>
      </c>
    </row>
    <row r="35" spans="1:10" s="54" customFormat="1" ht="13.15">
      <c r="A35" s="53"/>
      <c r="B35" s="2905">
        <v>2010</v>
      </c>
      <c r="C35" s="2788">
        <f>11077-F35</f>
        <v>11077</v>
      </c>
      <c r="D35" s="2788">
        <v>1207</v>
      </c>
      <c r="E35" s="2788">
        <v>0</v>
      </c>
      <c r="F35" s="2788">
        <v>0</v>
      </c>
      <c r="G35" s="2788">
        <v>0</v>
      </c>
      <c r="H35" s="2788">
        <v>0</v>
      </c>
      <c r="I35" s="2788">
        <v>0</v>
      </c>
      <c r="J35" s="77">
        <f>SUM(C35:I35)</f>
        <v>12284</v>
      </c>
    </row>
    <row r="36" spans="1:10" s="54" customFormat="1" ht="13.15">
      <c r="A36" s="53"/>
      <c r="B36" s="2905">
        <v>2009</v>
      </c>
      <c r="C36" s="2788">
        <f>15935-F36</f>
        <v>15933</v>
      </c>
      <c r="D36" s="2788">
        <v>788</v>
      </c>
      <c r="E36" s="2788">
        <v>0</v>
      </c>
      <c r="F36" s="2788">
        <v>2</v>
      </c>
      <c r="G36" s="2788">
        <v>0</v>
      </c>
      <c r="H36" s="2788">
        <v>0</v>
      </c>
      <c r="I36" s="2788">
        <v>0</v>
      </c>
      <c r="J36" s="77">
        <f>SUM(C36:I36)</f>
        <v>16723</v>
      </c>
    </row>
    <row r="37" spans="1:10" s="54" customFormat="1" ht="13.15">
      <c r="A37" s="53"/>
      <c r="B37" s="2905">
        <v>2008</v>
      </c>
      <c r="C37" s="2788">
        <f>18208-F37</f>
        <v>18203</v>
      </c>
      <c r="D37" s="2788">
        <v>484</v>
      </c>
      <c r="E37" s="2788">
        <v>0</v>
      </c>
      <c r="F37" s="2788">
        <v>5</v>
      </c>
      <c r="G37" s="2788">
        <v>0</v>
      </c>
      <c r="H37" s="2788">
        <v>0</v>
      </c>
      <c r="I37" s="2788">
        <v>0</v>
      </c>
      <c r="J37" s="77">
        <f>SUM(C37:I37)</f>
        <v>18692</v>
      </c>
    </row>
    <row r="39" spans="1:10">
      <c r="B39">
        <v>4</v>
      </c>
      <c r="C39">
        <v>4</v>
      </c>
      <c r="D39" s="2553" t="s">
        <v>182</v>
      </c>
    </row>
    <row r="40" spans="1:10" s="54" customFormat="1" ht="13.15">
      <c r="A40" s="53"/>
      <c r="B40" s="3188" t="s">
        <v>810</v>
      </c>
      <c r="C40" s="3692" t="s">
        <v>953</v>
      </c>
      <c r="D40" s="3692"/>
      <c r="E40" s="3692"/>
      <c r="F40" s="3692"/>
      <c r="G40" s="3692"/>
      <c r="H40" s="3692"/>
      <c r="I40" s="3692"/>
    </row>
    <row r="41" spans="1:10" s="54" customFormat="1" ht="115.15">
      <c r="A41" s="53"/>
      <c r="B41" s="55"/>
      <c r="C41" s="56" t="s">
        <v>820</v>
      </c>
      <c r="D41" s="56" t="s">
        <v>821</v>
      </c>
      <c r="E41" s="56" t="s">
        <v>822</v>
      </c>
      <c r="F41" s="57" t="s">
        <v>823</v>
      </c>
      <c r="G41" s="2643" t="s">
        <v>827</v>
      </c>
      <c r="H41" s="2643" t="s">
        <v>828</v>
      </c>
      <c r="I41" s="2643" t="s">
        <v>826</v>
      </c>
    </row>
    <row r="42" spans="1:10" s="54" customFormat="1" ht="13.15">
      <c r="A42" s="53"/>
      <c r="B42" s="2905">
        <v>2012</v>
      </c>
      <c r="C42" s="2910">
        <v>342</v>
      </c>
      <c r="D42" s="2910">
        <v>212</v>
      </c>
      <c r="E42" s="2910">
        <v>0</v>
      </c>
      <c r="F42" s="2910">
        <v>0</v>
      </c>
      <c r="G42" s="2910">
        <v>0</v>
      </c>
      <c r="H42" s="2910">
        <v>0</v>
      </c>
      <c r="I42" s="2910">
        <v>0</v>
      </c>
      <c r="J42" s="2788">
        <v>554</v>
      </c>
    </row>
    <row r="43" spans="1:10" s="54" customFormat="1" ht="13.15">
      <c r="A43" s="53"/>
      <c r="B43" s="2905">
        <v>2011</v>
      </c>
      <c r="C43" s="2910">
        <v>822</v>
      </c>
      <c r="D43" s="2910">
        <v>24</v>
      </c>
      <c r="E43" s="2910">
        <v>0</v>
      </c>
      <c r="F43" s="2910">
        <v>0</v>
      </c>
      <c r="G43" s="2910">
        <v>0</v>
      </c>
      <c r="H43" s="2910">
        <v>0</v>
      </c>
      <c r="I43" s="2910">
        <v>0</v>
      </c>
      <c r="J43" s="2788">
        <v>846</v>
      </c>
    </row>
    <row r="44" spans="1:10" s="54" customFormat="1" ht="13.15">
      <c r="A44" s="53"/>
      <c r="B44" s="2905">
        <v>2010</v>
      </c>
      <c r="C44" s="2910">
        <v>690</v>
      </c>
      <c r="D44" s="2910">
        <v>0</v>
      </c>
      <c r="E44" s="2910">
        <v>0</v>
      </c>
      <c r="F44" s="2910">
        <v>0</v>
      </c>
      <c r="G44" s="2910">
        <v>0</v>
      </c>
      <c r="H44" s="2910">
        <v>0</v>
      </c>
      <c r="I44" s="2910">
        <v>0</v>
      </c>
      <c r="J44" s="2788">
        <v>690</v>
      </c>
    </row>
    <row r="45" spans="1:10" s="54" customFormat="1" ht="13.15">
      <c r="A45" s="53"/>
      <c r="B45" s="2905">
        <v>2009</v>
      </c>
      <c r="C45" s="2910">
        <v>242</v>
      </c>
      <c r="D45" s="2910">
        <v>0</v>
      </c>
      <c r="E45" s="2910">
        <v>0</v>
      </c>
      <c r="F45" s="2910">
        <v>0</v>
      </c>
      <c r="G45" s="2910">
        <v>0</v>
      </c>
      <c r="H45" s="2910">
        <v>0</v>
      </c>
      <c r="I45" s="2910">
        <v>0</v>
      </c>
      <c r="J45" s="2788">
        <v>242</v>
      </c>
    </row>
    <row r="46" spans="1:10" s="54" customFormat="1" ht="13.15">
      <c r="A46" s="53"/>
      <c r="B46" s="2905">
        <v>2008</v>
      </c>
      <c r="C46" s="2911">
        <v>149</v>
      </c>
      <c r="D46" s="2911"/>
      <c r="E46" s="2911"/>
      <c r="F46" s="2911"/>
      <c r="G46" s="2911"/>
      <c r="H46" s="2911"/>
      <c r="I46" s="2912"/>
      <c r="J46" s="207">
        <f>SUM(C46:I46)</f>
        <v>149</v>
      </c>
    </row>
    <row r="48" spans="1:10">
      <c r="B48">
        <v>5</v>
      </c>
      <c r="C48">
        <v>5</v>
      </c>
      <c r="D48" s="2553" t="s">
        <v>185</v>
      </c>
    </row>
    <row r="49" spans="1:10" s="54" customFormat="1" ht="13.15">
      <c r="A49" s="53"/>
      <c r="B49" s="3188" t="s">
        <v>810</v>
      </c>
      <c r="C49" s="3692" t="s">
        <v>953</v>
      </c>
      <c r="D49" s="3692"/>
      <c r="E49" s="3692"/>
      <c r="F49" s="3692"/>
      <c r="G49" s="3692"/>
      <c r="H49" s="3692"/>
      <c r="I49" s="3692"/>
    </row>
    <row r="50" spans="1:10" s="54" customFormat="1" ht="115.15">
      <c r="A50" s="53"/>
      <c r="B50" s="55"/>
      <c r="C50" s="56" t="s">
        <v>820</v>
      </c>
      <c r="D50" s="56" t="s">
        <v>821</v>
      </c>
      <c r="E50" s="56" t="s">
        <v>822</v>
      </c>
      <c r="F50" s="57" t="s">
        <v>823</v>
      </c>
      <c r="G50" s="2643" t="s">
        <v>827</v>
      </c>
      <c r="H50" s="2643" t="s">
        <v>828</v>
      </c>
      <c r="I50" s="2643" t="s">
        <v>826</v>
      </c>
    </row>
    <row r="51" spans="1:10" s="54" customFormat="1" ht="13.15">
      <c r="A51" s="53"/>
      <c r="B51" s="2905">
        <v>2012</v>
      </c>
      <c r="C51" s="2639">
        <v>31590</v>
      </c>
      <c r="D51" s="2639">
        <v>2</v>
      </c>
      <c r="E51" s="2639"/>
      <c r="F51" s="2639"/>
      <c r="G51" s="2639"/>
      <c r="H51" s="2639"/>
      <c r="I51" s="2640"/>
      <c r="J51" s="77">
        <v>31592</v>
      </c>
    </row>
    <row r="52" spans="1:10" s="54" customFormat="1" ht="13.15">
      <c r="A52" s="53"/>
      <c r="B52" s="2905">
        <v>2011</v>
      </c>
      <c r="C52" s="2639">
        <v>26073</v>
      </c>
      <c r="D52" s="2639">
        <v>14</v>
      </c>
      <c r="E52" s="2639"/>
      <c r="F52" s="2639"/>
      <c r="G52" s="2639"/>
      <c r="H52" s="2639"/>
      <c r="I52" s="2640"/>
      <c r="J52" s="77">
        <v>26087</v>
      </c>
    </row>
    <row r="53" spans="1:10" s="54" customFormat="1" ht="13.15">
      <c r="A53" s="53"/>
      <c r="B53" s="2905">
        <v>2010</v>
      </c>
      <c r="C53" s="2639">
        <v>29078</v>
      </c>
      <c r="D53" s="2639">
        <v>13</v>
      </c>
      <c r="E53" s="2639"/>
      <c r="F53" s="2639"/>
      <c r="G53" s="2639"/>
      <c r="H53" s="2639"/>
      <c r="I53" s="2640"/>
      <c r="J53" s="77">
        <v>29091</v>
      </c>
    </row>
    <row r="54" spans="1:10" s="54" customFormat="1" ht="13.15">
      <c r="A54" s="53"/>
      <c r="B54" s="2905">
        <v>2009</v>
      </c>
      <c r="C54" s="2639">
        <v>34073</v>
      </c>
      <c r="D54" s="2639">
        <v>13</v>
      </c>
      <c r="E54" s="2639"/>
      <c r="F54" s="2639"/>
      <c r="G54" s="2639"/>
      <c r="H54" s="2639"/>
      <c r="I54" s="2640"/>
      <c r="J54" s="77">
        <v>34086</v>
      </c>
    </row>
    <row r="55" spans="1:10" s="54" customFormat="1" ht="13.15">
      <c r="A55" s="53"/>
      <c r="B55" s="2905">
        <v>2008</v>
      </c>
      <c r="C55" s="2639">
        <v>37915</v>
      </c>
      <c r="D55" s="2639">
        <v>74</v>
      </c>
      <c r="E55" s="2639"/>
      <c r="F55" s="2639"/>
      <c r="G55" s="2639"/>
      <c r="H55" s="2639"/>
      <c r="I55" s="2640"/>
      <c r="J55" s="77">
        <v>37989</v>
      </c>
    </row>
    <row r="57" spans="1:10">
      <c r="B57">
        <v>6</v>
      </c>
      <c r="C57">
        <v>6</v>
      </c>
      <c r="D57" s="2553" t="s">
        <v>186</v>
      </c>
    </row>
    <row r="58" spans="1:10" s="54" customFormat="1" ht="13.15">
      <c r="A58" s="53"/>
      <c r="B58" s="3188" t="s">
        <v>810</v>
      </c>
      <c r="C58" s="3692" t="s">
        <v>953</v>
      </c>
      <c r="D58" s="3692"/>
      <c r="E58" s="3692"/>
      <c r="F58" s="3692"/>
      <c r="G58" s="3692"/>
      <c r="H58" s="3692"/>
      <c r="I58" s="3692"/>
    </row>
    <row r="59" spans="1:10" s="54" customFormat="1" ht="115.15">
      <c r="A59" s="53"/>
      <c r="B59" s="55"/>
      <c r="C59" s="56" t="s">
        <v>820</v>
      </c>
      <c r="D59" s="56" t="s">
        <v>821</v>
      </c>
      <c r="E59" s="56" t="s">
        <v>822</v>
      </c>
      <c r="F59" s="57" t="s">
        <v>823</v>
      </c>
      <c r="G59" s="2643" t="s">
        <v>827</v>
      </c>
      <c r="H59" s="2643" t="s">
        <v>828</v>
      </c>
      <c r="I59" s="2643" t="s">
        <v>826</v>
      </c>
    </row>
    <row r="60" spans="1:10" s="54" customFormat="1" ht="13.15">
      <c r="A60" s="53"/>
      <c r="B60" s="2905">
        <v>2012</v>
      </c>
      <c r="C60" s="2639">
        <v>1391</v>
      </c>
      <c r="D60" s="2639"/>
      <c r="E60" s="2639"/>
      <c r="F60" s="2639"/>
      <c r="G60" s="2639"/>
      <c r="H60" s="2639"/>
      <c r="I60" s="2640"/>
      <c r="J60" s="77">
        <v>1391</v>
      </c>
    </row>
    <row r="61" spans="1:10" s="54" customFormat="1" ht="13.15">
      <c r="A61" s="53"/>
      <c r="B61" s="2905">
        <v>2011</v>
      </c>
      <c r="C61" s="2639">
        <v>1290</v>
      </c>
      <c r="D61" s="2639"/>
      <c r="E61" s="2639"/>
      <c r="F61" s="2639"/>
      <c r="G61" s="2639"/>
      <c r="H61" s="2639"/>
      <c r="I61" s="2640"/>
      <c r="J61" s="77">
        <v>1290</v>
      </c>
    </row>
    <row r="62" spans="1:10" s="54" customFormat="1" ht="13.15">
      <c r="A62" s="53"/>
      <c r="B62" s="2905">
        <v>2010</v>
      </c>
      <c r="C62" s="2639">
        <v>1363</v>
      </c>
      <c r="D62" s="2639"/>
      <c r="E62" s="2639"/>
      <c r="F62" s="2639"/>
      <c r="G62" s="2639"/>
      <c r="H62" s="2639"/>
      <c r="I62" s="2640"/>
      <c r="J62" s="77">
        <v>1363</v>
      </c>
    </row>
    <row r="63" spans="1:10" s="54" customFormat="1" ht="13.15">
      <c r="A63" s="53"/>
      <c r="B63" s="2905">
        <v>2009</v>
      </c>
      <c r="C63" s="2639">
        <v>1051</v>
      </c>
      <c r="D63" s="2639"/>
      <c r="E63" s="2639"/>
      <c r="F63" s="2639"/>
      <c r="G63" s="2639"/>
      <c r="H63" s="2639"/>
      <c r="I63" s="2640"/>
      <c r="J63" s="77">
        <v>1051</v>
      </c>
    </row>
    <row r="64" spans="1:10" s="54" customFormat="1" ht="13.15">
      <c r="A64" s="53"/>
      <c r="B64" s="2905">
        <v>2008</v>
      </c>
      <c r="C64" s="2639">
        <v>835</v>
      </c>
      <c r="D64" s="2639"/>
      <c r="E64" s="2639"/>
      <c r="F64" s="2639"/>
      <c r="G64" s="2639"/>
      <c r="H64" s="2639"/>
      <c r="I64" s="2640"/>
      <c r="J64" s="77">
        <v>835</v>
      </c>
    </row>
    <row r="66" spans="1:10">
      <c r="B66">
        <v>7</v>
      </c>
      <c r="C66">
        <v>7</v>
      </c>
      <c r="D66" s="2553" t="s">
        <v>188</v>
      </c>
    </row>
    <row r="67" spans="1:10" s="54" customFormat="1" ht="13.15">
      <c r="A67" s="53"/>
      <c r="B67" s="3188" t="s">
        <v>810</v>
      </c>
      <c r="C67" s="3692" t="s">
        <v>953</v>
      </c>
      <c r="D67" s="3692"/>
      <c r="E67" s="3692"/>
      <c r="F67" s="3692"/>
      <c r="G67" s="3692"/>
      <c r="H67" s="3692"/>
      <c r="I67" s="3692"/>
    </row>
    <row r="68" spans="1:10" s="54" customFormat="1" ht="115.15">
      <c r="A68" s="53"/>
      <c r="B68" s="55"/>
      <c r="C68" s="56" t="s">
        <v>820</v>
      </c>
      <c r="D68" s="56" t="s">
        <v>821</v>
      </c>
      <c r="E68" s="56" t="s">
        <v>822</v>
      </c>
      <c r="F68" s="57" t="s">
        <v>823</v>
      </c>
      <c r="G68" s="2643" t="s">
        <v>827</v>
      </c>
      <c r="H68" s="2643" t="s">
        <v>828</v>
      </c>
      <c r="I68" s="2643" t="s">
        <v>826</v>
      </c>
    </row>
    <row r="69" spans="1:10" s="54" customFormat="1" ht="13.15">
      <c r="A69" s="53"/>
      <c r="B69" s="2905">
        <v>2012</v>
      </c>
      <c r="C69" s="2639">
        <v>6534</v>
      </c>
      <c r="D69" s="2639">
        <v>0</v>
      </c>
      <c r="E69" s="2639">
        <v>0</v>
      </c>
      <c r="F69" s="2639">
        <v>0</v>
      </c>
      <c r="G69" s="2639">
        <v>0</v>
      </c>
      <c r="H69" s="2639">
        <v>0</v>
      </c>
      <c r="I69" s="2909">
        <v>0</v>
      </c>
      <c r="J69" s="77">
        <v>6553</v>
      </c>
    </row>
    <row r="70" spans="1:10" s="54" customFormat="1" ht="13.15">
      <c r="A70" s="53"/>
      <c r="B70" s="2905">
        <v>2011</v>
      </c>
      <c r="C70" s="2639">
        <v>6536</v>
      </c>
      <c r="D70" s="2639">
        <v>0</v>
      </c>
      <c r="E70" s="2639">
        <v>0</v>
      </c>
      <c r="F70" s="2639">
        <v>0</v>
      </c>
      <c r="G70" s="2639">
        <v>0</v>
      </c>
      <c r="H70" s="2639">
        <v>0</v>
      </c>
      <c r="I70" s="2909">
        <v>0</v>
      </c>
      <c r="J70" s="77">
        <v>6536</v>
      </c>
    </row>
    <row r="71" spans="1:10" s="54" customFormat="1" ht="13.15">
      <c r="A71" s="53"/>
      <c r="B71" s="2905">
        <v>2010</v>
      </c>
      <c r="C71" s="2639">
        <v>6780</v>
      </c>
      <c r="D71" s="2639">
        <v>0</v>
      </c>
      <c r="E71" s="2639">
        <v>0</v>
      </c>
      <c r="F71" s="2639">
        <v>0</v>
      </c>
      <c r="G71" s="2639">
        <v>0</v>
      </c>
      <c r="H71" s="2639">
        <v>0</v>
      </c>
      <c r="I71" s="2909">
        <v>0</v>
      </c>
      <c r="J71" s="77">
        <v>6780</v>
      </c>
    </row>
    <row r="72" spans="1:10" s="54" customFormat="1" ht="13.15">
      <c r="A72" s="53"/>
      <c r="B72" s="2905">
        <v>2009</v>
      </c>
      <c r="C72" s="2639">
        <v>7838</v>
      </c>
      <c r="D72" s="2639">
        <v>0</v>
      </c>
      <c r="E72" s="2639">
        <v>0</v>
      </c>
      <c r="F72" s="2639">
        <v>0</v>
      </c>
      <c r="G72" s="2639">
        <v>0</v>
      </c>
      <c r="H72" s="2639">
        <v>0</v>
      </c>
      <c r="I72" s="2909">
        <v>0</v>
      </c>
      <c r="J72" s="77">
        <v>7838</v>
      </c>
    </row>
    <row r="73" spans="1:10" s="54" customFormat="1" ht="13.15">
      <c r="A73" s="53"/>
      <c r="B73" s="2905">
        <v>2008</v>
      </c>
      <c r="C73" s="2639">
        <v>15824</v>
      </c>
      <c r="D73" s="2639">
        <v>0</v>
      </c>
      <c r="E73" s="2639">
        <v>0</v>
      </c>
      <c r="F73" s="2639">
        <v>0</v>
      </c>
      <c r="G73" s="2639">
        <v>0</v>
      </c>
      <c r="H73" s="2639">
        <v>0</v>
      </c>
      <c r="I73" s="2909">
        <v>0</v>
      </c>
      <c r="J73" s="77">
        <v>15824</v>
      </c>
    </row>
    <row r="75" spans="1:10">
      <c r="B75">
        <v>8</v>
      </c>
      <c r="C75">
        <v>8</v>
      </c>
      <c r="D75" s="2553" t="s">
        <v>189</v>
      </c>
    </row>
    <row r="76" spans="1:10" s="54" customFormat="1" ht="13.15">
      <c r="A76" s="53"/>
      <c r="B76" s="3188" t="s">
        <v>810</v>
      </c>
      <c r="C76" s="3692" t="s">
        <v>953</v>
      </c>
      <c r="D76" s="3692"/>
      <c r="E76" s="3692"/>
      <c r="F76" s="3692"/>
      <c r="G76" s="3692"/>
      <c r="H76" s="3692"/>
      <c r="I76" s="3692"/>
    </row>
    <row r="77" spans="1:10" s="54" customFormat="1" ht="115.15">
      <c r="A77" s="53"/>
      <c r="B77" s="55"/>
      <c r="C77" s="56" t="s">
        <v>820</v>
      </c>
      <c r="D77" s="56" t="s">
        <v>821</v>
      </c>
      <c r="E77" s="56" t="s">
        <v>822</v>
      </c>
      <c r="F77" s="57" t="s">
        <v>823</v>
      </c>
      <c r="G77" s="2643" t="s">
        <v>827</v>
      </c>
      <c r="H77" s="2643" t="s">
        <v>828</v>
      </c>
      <c r="I77" s="2643" t="s">
        <v>826</v>
      </c>
    </row>
    <row r="78" spans="1:10" s="54" customFormat="1" ht="13.15">
      <c r="A78" s="53"/>
      <c r="B78" s="2905">
        <v>2012</v>
      </c>
      <c r="C78" s="2639">
        <v>3758</v>
      </c>
      <c r="D78" s="2639"/>
      <c r="E78" s="2639"/>
      <c r="F78" s="2639"/>
      <c r="G78" s="2639"/>
      <c r="H78" s="2639"/>
      <c r="I78" s="2639">
        <v>16</v>
      </c>
      <c r="J78" s="66">
        <v>3774</v>
      </c>
    </row>
    <row r="79" spans="1:10" s="54" customFormat="1" ht="13.15">
      <c r="A79" s="53"/>
      <c r="B79" s="2905">
        <v>2011</v>
      </c>
      <c r="C79" s="2639">
        <v>6748</v>
      </c>
      <c r="D79" s="2639"/>
      <c r="E79" s="2639"/>
      <c r="F79" s="2639"/>
      <c r="G79" s="2639"/>
      <c r="H79" s="2639"/>
      <c r="I79" s="2639">
        <v>71</v>
      </c>
      <c r="J79" s="66">
        <v>6819</v>
      </c>
    </row>
    <row r="80" spans="1:10" s="54" customFormat="1" ht="13.15">
      <c r="A80" s="53"/>
      <c r="B80" s="2905">
        <v>2010</v>
      </c>
      <c r="C80" s="2639">
        <v>4451</v>
      </c>
      <c r="D80" s="2639"/>
      <c r="E80" s="2639"/>
      <c r="F80" s="2639"/>
      <c r="G80" s="2639"/>
      <c r="H80" s="2639"/>
      <c r="I80" s="2639">
        <v>32</v>
      </c>
      <c r="J80" s="66">
        <v>4483</v>
      </c>
    </row>
    <row r="81" spans="1:10" s="54" customFormat="1" ht="13.15">
      <c r="A81" s="53"/>
      <c r="B81" s="2905">
        <v>2009</v>
      </c>
      <c r="C81" s="2639">
        <v>5810</v>
      </c>
      <c r="D81" s="2639"/>
      <c r="E81" s="2639"/>
      <c r="F81" s="2639"/>
      <c r="G81" s="2639"/>
      <c r="H81" s="2639"/>
      <c r="I81" s="2639">
        <v>154</v>
      </c>
      <c r="J81" s="66">
        <v>5964</v>
      </c>
    </row>
    <row r="82" spans="1:10" s="54" customFormat="1" ht="13.15">
      <c r="A82" s="53"/>
      <c r="B82" s="2905">
        <v>2008</v>
      </c>
      <c r="C82" s="2639">
        <v>7225</v>
      </c>
      <c r="D82" s="2639"/>
      <c r="E82" s="2639"/>
      <c r="F82" s="2639"/>
      <c r="G82" s="2639"/>
      <c r="H82" s="2639"/>
      <c r="I82" s="2639">
        <v>138</v>
      </c>
      <c r="J82" s="66">
        <v>7363</v>
      </c>
    </row>
    <row r="84" spans="1:10">
      <c r="B84">
        <v>9</v>
      </c>
      <c r="C84">
        <v>9</v>
      </c>
      <c r="D84" s="2556" t="s">
        <v>190</v>
      </c>
    </row>
    <row r="85" spans="1:10" s="54" customFormat="1" ht="13.15">
      <c r="A85" s="53"/>
      <c r="B85" s="3188" t="s">
        <v>810</v>
      </c>
      <c r="C85" s="3692" t="s">
        <v>953</v>
      </c>
      <c r="D85" s="3692"/>
      <c r="E85" s="3692"/>
      <c r="F85" s="3692"/>
      <c r="G85" s="3692"/>
      <c r="H85" s="3692"/>
      <c r="I85" s="3692"/>
    </row>
    <row r="86" spans="1:10" s="54" customFormat="1" ht="115.15">
      <c r="A86" s="53"/>
      <c r="B86" s="55"/>
      <c r="C86" s="56" t="s">
        <v>820</v>
      </c>
      <c r="D86" s="56" t="s">
        <v>821</v>
      </c>
      <c r="E86" s="56" t="s">
        <v>822</v>
      </c>
      <c r="F86" s="57" t="s">
        <v>823</v>
      </c>
      <c r="G86" s="2643" t="s">
        <v>827</v>
      </c>
      <c r="H86" s="2643" t="s">
        <v>828</v>
      </c>
      <c r="I86" s="2643" t="s">
        <v>826</v>
      </c>
    </row>
    <row r="87" spans="1:10" s="54" customFormat="1" ht="13.15">
      <c r="A87" s="53"/>
      <c r="B87" s="2905">
        <v>2012</v>
      </c>
      <c r="C87" s="2639">
        <v>391</v>
      </c>
      <c r="D87" s="2639"/>
      <c r="E87" s="2639"/>
      <c r="F87" s="2639"/>
      <c r="G87" s="2639"/>
      <c r="H87" s="2639"/>
      <c r="I87" s="2640"/>
      <c r="J87" s="77">
        <v>391</v>
      </c>
    </row>
    <row r="88" spans="1:10" s="54" customFormat="1" ht="13.15">
      <c r="A88" s="53"/>
      <c r="B88" s="2905">
        <v>2011</v>
      </c>
      <c r="C88" s="2639">
        <v>2551</v>
      </c>
      <c r="D88" s="2639"/>
      <c r="E88" s="2639"/>
      <c r="F88" s="2639"/>
      <c r="G88" s="2639"/>
      <c r="H88" s="2639"/>
      <c r="I88" s="2640"/>
      <c r="J88" s="77">
        <v>2551</v>
      </c>
    </row>
    <row r="89" spans="1:10" s="54" customFormat="1" ht="13.15">
      <c r="A89" s="53"/>
      <c r="B89" s="2905">
        <v>2010</v>
      </c>
      <c r="C89" s="2639">
        <v>2278</v>
      </c>
      <c r="D89" s="2639"/>
      <c r="E89" s="2639"/>
      <c r="F89" s="2639"/>
      <c r="G89" s="2639"/>
      <c r="H89" s="2639"/>
      <c r="I89" s="2640"/>
      <c r="J89" s="77">
        <v>2278</v>
      </c>
    </row>
    <row r="90" spans="1:10" s="54" customFormat="1" ht="13.15">
      <c r="A90" s="53"/>
      <c r="B90" s="2905">
        <v>2009</v>
      </c>
      <c r="C90" s="2639">
        <v>3150</v>
      </c>
      <c r="D90" s="2639"/>
      <c r="E90" s="2639"/>
      <c r="F90" s="2639"/>
      <c r="G90" s="2639"/>
      <c r="H90" s="2639"/>
      <c r="I90" s="2640"/>
      <c r="J90" s="77">
        <v>3150</v>
      </c>
    </row>
    <row r="91" spans="1:10" s="54" customFormat="1" ht="13.15">
      <c r="A91" s="53"/>
      <c r="B91" s="2905">
        <v>2008</v>
      </c>
      <c r="C91" s="2639">
        <v>7158</v>
      </c>
      <c r="D91" s="2639"/>
      <c r="E91" s="2639"/>
      <c r="F91" s="2639"/>
      <c r="G91" s="2639"/>
      <c r="H91" s="2639"/>
      <c r="I91" s="2640"/>
      <c r="J91" s="77">
        <v>7158</v>
      </c>
    </row>
    <row r="93" spans="1:10">
      <c r="B93">
        <v>10</v>
      </c>
      <c r="C93">
        <v>10</v>
      </c>
      <c r="D93" s="2553" t="s">
        <v>191</v>
      </c>
      <c r="J93" t="s">
        <v>960</v>
      </c>
    </row>
    <row r="94" spans="1:10" s="54" customFormat="1" ht="13.15">
      <c r="A94" s="53"/>
      <c r="B94" s="3188" t="s">
        <v>810</v>
      </c>
      <c r="C94" s="3692" t="s">
        <v>953</v>
      </c>
      <c r="D94" s="3692"/>
      <c r="E94" s="3692"/>
      <c r="F94" s="3692"/>
      <c r="G94" s="3692"/>
      <c r="H94" s="3692"/>
      <c r="I94" s="3692"/>
    </row>
    <row r="95" spans="1:10" s="54" customFormat="1" ht="115.15">
      <c r="A95" s="53"/>
      <c r="B95" s="55"/>
      <c r="C95" s="56" t="s">
        <v>820</v>
      </c>
      <c r="D95" s="56" t="s">
        <v>821</v>
      </c>
      <c r="E95" s="56" t="s">
        <v>822</v>
      </c>
      <c r="F95" s="57" t="s">
        <v>823</v>
      </c>
      <c r="G95" s="2643" t="s">
        <v>827</v>
      </c>
      <c r="H95" s="2643" t="s">
        <v>828</v>
      </c>
      <c r="I95" s="2643" t="s">
        <v>826</v>
      </c>
    </row>
    <row r="96" spans="1:10" s="54" customFormat="1" ht="13.15">
      <c r="A96" s="53"/>
      <c r="B96" s="2905">
        <v>2012</v>
      </c>
      <c r="C96" s="2639">
        <v>9</v>
      </c>
      <c r="D96" s="2639"/>
      <c r="E96" s="2639"/>
      <c r="F96" s="2639"/>
      <c r="G96" s="2639"/>
      <c r="H96" s="2639"/>
      <c r="I96" s="2640"/>
      <c r="J96" s="77">
        <f>SUM(C96:I96)</f>
        <v>9</v>
      </c>
    </row>
    <row r="97" spans="1:10" s="54" customFormat="1" ht="13.15">
      <c r="A97" s="53"/>
      <c r="B97" s="2905">
        <v>2011</v>
      </c>
      <c r="C97" s="2639"/>
      <c r="D97" s="2639"/>
      <c r="E97" s="2639"/>
      <c r="F97" s="2639"/>
      <c r="G97" s="2639"/>
      <c r="H97" s="2639"/>
      <c r="I97" s="2640"/>
      <c r="J97" s="77">
        <f>SUM(C97:I97)</f>
        <v>0</v>
      </c>
    </row>
    <row r="98" spans="1:10" s="54" customFormat="1" ht="13.15">
      <c r="A98" s="53"/>
      <c r="B98" s="2905">
        <v>2010</v>
      </c>
      <c r="C98" s="2639"/>
      <c r="D98" s="2639"/>
      <c r="E98" s="2639"/>
      <c r="F98" s="2639"/>
      <c r="G98" s="2639"/>
      <c r="H98" s="2639"/>
      <c r="I98" s="2640"/>
      <c r="J98" s="77">
        <f>SUM(C98:I98)</f>
        <v>0</v>
      </c>
    </row>
    <row r="99" spans="1:10" s="54" customFormat="1" ht="13.15">
      <c r="A99" s="53"/>
      <c r="B99" s="2905">
        <v>2009</v>
      </c>
      <c r="C99" s="2639"/>
      <c r="D99" s="2639"/>
      <c r="E99" s="2639"/>
      <c r="F99" s="2639"/>
      <c r="G99" s="2639"/>
      <c r="H99" s="2639"/>
      <c r="I99" s="2640"/>
      <c r="J99" s="77">
        <f>SUM(C99:I99)</f>
        <v>0</v>
      </c>
    </row>
    <row r="100" spans="1:10" s="54" customFormat="1" ht="13.15">
      <c r="A100" s="53"/>
      <c r="B100" s="2905">
        <v>2008</v>
      </c>
      <c r="C100" s="2639"/>
      <c r="D100" s="2639"/>
      <c r="E100" s="2639"/>
      <c r="F100" s="2639"/>
      <c r="G100" s="2639"/>
      <c r="H100" s="2639"/>
      <c r="I100" s="2640"/>
      <c r="J100" s="77">
        <f>SUM(C100:I100)</f>
        <v>0</v>
      </c>
    </row>
    <row r="102" spans="1:10">
      <c r="B102">
        <v>11</v>
      </c>
      <c r="C102">
        <v>11</v>
      </c>
      <c r="D102" s="2553" t="s">
        <v>192</v>
      </c>
    </row>
    <row r="103" spans="1:10" s="54" customFormat="1" ht="13.15">
      <c r="A103" s="53"/>
      <c r="B103" s="3188" t="s">
        <v>810</v>
      </c>
      <c r="C103" s="3692" t="s">
        <v>953</v>
      </c>
      <c r="D103" s="3692"/>
      <c r="E103" s="3692"/>
      <c r="F103" s="3692"/>
      <c r="G103" s="3692"/>
      <c r="H103" s="3692"/>
      <c r="I103" s="3692"/>
    </row>
    <row r="104" spans="1:10" s="54" customFormat="1" ht="115.15">
      <c r="A104" s="53"/>
      <c r="B104" s="55"/>
      <c r="C104" s="56" t="s">
        <v>820</v>
      </c>
      <c r="D104" s="56" t="s">
        <v>821</v>
      </c>
      <c r="E104" s="56" t="s">
        <v>822</v>
      </c>
      <c r="F104" s="57" t="s">
        <v>823</v>
      </c>
      <c r="G104" s="2643" t="s">
        <v>827</v>
      </c>
      <c r="H104" s="2643" t="s">
        <v>828</v>
      </c>
      <c r="I104" s="2643" t="s">
        <v>826</v>
      </c>
    </row>
    <row r="105" spans="1:10" s="54" customFormat="1" ht="13.15">
      <c r="A105" s="53"/>
      <c r="B105" s="2905">
        <v>2012</v>
      </c>
      <c r="C105" s="2639">
        <v>2456</v>
      </c>
      <c r="D105" s="2639"/>
      <c r="E105" s="2639"/>
      <c r="F105" s="2639"/>
      <c r="G105" s="2639"/>
      <c r="H105" s="2639"/>
      <c r="I105" s="2640"/>
      <c r="J105" s="77">
        <f>SUM(C105:I105)</f>
        <v>2456</v>
      </c>
    </row>
    <row r="106" spans="1:10" s="54" customFormat="1" ht="13.15">
      <c r="A106" s="53"/>
      <c r="B106" s="2905">
        <v>2011</v>
      </c>
      <c r="C106" s="2639">
        <v>2046</v>
      </c>
      <c r="D106" s="2639"/>
      <c r="E106" s="2639"/>
      <c r="F106" s="2639"/>
      <c r="G106" s="2639"/>
      <c r="H106" s="2639"/>
      <c r="I106" s="2640"/>
      <c r="J106" s="77">
        <f>SUM(C106:I106)</f>
        <v>2046</v>
      </c>
    </row>
    <row r="107" spans="1:10" s="54" customFormat="1" ht="13.15">
      <c r="A107" s="53"/>
      <c r="B107" s="2905">
        <v>2010</v>
      </c>
      <c r="C107" s="2639">
        <v>1401</v>
      </c>
      <c r="D107" s="2639"/>
      <c r="E107" s="2639"/>
      <c r="F107" s="2639"/>
      <c r="G107" s="2639"/>
      <c r="H107" s="2639"/>
      <c r="I107" s="2640"/>
      <c r="J107" s="77">
        <f>SUM(C107:I107)</f>
        <v>1401</v>
      </c>
    </row>
    <row r="108" spans="1:10" s="54" customFormat="1" ht="13.15">
      <c r="A108" s="53"/>
      <c r="B108" s="2905">
        <v>2009</v>
      </c>
      <c r="C108" s="2639">
        <v>918</v>
      </c>
      <c r="D108" s="2639"/>
      <c r="E108" s="2639"/>
      <c r="F108" s="2639"/>
      <c r="G108" s="2639"/>
      <c r="H108" s="2639"/>
      <c r="I108" s="2640"/>
      <c r="J108" s="77">
        <f>SUM(C108:I108)</f>
        <v>918</v>
      </c>
    </row>
    <row r="109" spans="1:10" s="54" customFormat="1" ht="13.15">
      <c r="A109" s="53"/>
      <c r="B109" s="2905">
        <v>2008</v>
      </c>
      <c r="C109" s="2908">
        <v>794</v>
      </c>
      <c r="D109" s="2639"/>
      <c r="E109" s="2639"/>
      <c r="F109" s="2639"/>
      <c r="G109" s="2639"/>
      <c r="H109" s="2639"/>
      <c r="I109" s="2640"/>
      <c r="J109" s="77">
        <f>SUM(C109:I109)</f>
        <v>794</v>
      </c>
    </row>
    <row r="111" spans="1:10">
      <c r="B111">
        <v>12</v>
      </c>
      <c r="C111">
        <v>12</v>
      </c>
      <c r="D111" s="2553" t="s">
        <v>195</v>
      </c>
    </row>
    <row r="112" spans="1:10" s="54" customFormat="1" ht="13.15">
      <c r="A112" s="53"/>
      <c r="B112" s="3188" t="s">
        <v>810</v>
      </c>
      <c r="C112" s="3692" t="s">
        <v>953</v>
      </c>
      <c r="D112" s="3692"/>
      <c r="E112" s="3692"/>
      <c r="F112" s="3692"/>
      <c r="G112" s="3692"/>
      <c r="H112" s="3692"/>
      <c r="I112" s="3692"/>
    </row>
    <row r="113" spans="1:10" s="54" customFormat="1" ht="115.15">
      <c r="A113" s="53"/>
      <c r="B113" s="55"/>
      <c r="C113" s="56" t="s">
        <v>820</v>
      </c>
      <c r="D113" s="56" t="s">
        <v>821</v>
      </c>
      <c r="E113" s="56" t="s">
        <v>822</v>
      </c>
      <c r="F113" s="57" t="s">
        <v>823</v>
      </c>
      <c r="G113" s="2643" t="s">
        <v>827</v>
      </c>
      <c r="H113" s="2643" t="s">
        <v>828</v>
      </c>
      <c r="I113" s="3176" t="s">
        <v>826</v>
      </c>
    </row>
    <row r="114" spans="1:10" s="54" customFormat="1" ht="13.15">
      <c r="A114" s="53"/>
      <c r="B114" s="2905">
        <v>2012</v>
      </c>
      <c r="C114" s="2639">
        <v>4049</v>
      </c>
      <c r="D114" s="2639"/>
      <c r="E114" s="2639">
        <v>142</v>
      </c>
      <c r="F114" s="2639"/>
      <c r="G114" s="2639"/>
      <c r="H114" s="2908"/>
      <c r="I114" s="2640"/>
      <c r="J114" s="77">
        <f>SUM(C114:I114)</f>
        <v>4191</v>
      </c>
    </row>
    <row r="115" spans="1:10" s="54" customFormat="1" ht="13.15">
      <c r="A115" s="53"/>
      <c r="B115" s="2905">
        <v>2011</v>
      </c>
      <c r="C115" s="2639">
        <v>3971</v>
      </c>
      <c r="D115" s="2639"/>
      <c r="E115" s="2639">
        <v>148</v>
      </c>
      <c r="F115" s="2639"/>
      <c r="G115" s="2639"/>
      <c r="H115" s="2908"/>
      <c r="I115" s="2640"/>
      <c r="J115" s="77">
        <f>SUM(C115:I115)</f>
        <v>4119</v>
      </c>
    </row>
    <row r="116" spans="1:10" s="54" customFormat="1" ht="13.15">
      <c r="A116" s="53"/>
      <c r="B116" s="2905">
        <v>2010</v>
      </c>
      <c r="C116" s="2639">
        <v>6060</v>
      </c>
      <c r="D116" s="2639"/>
      <c r="E116" s="2639">
        <v>208</v>
      </c>
      <c r="F116" s="2639"/>
      <c r="G116" s="2639"/>
      <c r="H116" s="2908"/>
      <c r="I116" s="2640"/>
      <c r="J116" s="77">
        <f>SUM(C116:I116)</f>
        <v>6268</v>
      </c>
    </row>
    <row r="117" spans="1:10" s="54" customFormat="1" ht="13.15">
      <c r="A117" s="53"/>
      <c r="B117" s="2905">
        <v>2009</v>
      </c>
      <c r="C117" s="2639">
        <v>4446</v>
      </c>
      <c r="D117" s="2639"/>
      <c r="E117" s="2639">
        <v>199</v>
      </c>
      <c r="F117" s="2639"/>
      <c r="G117" s="2639"/>
      <c r="H117" s="2908"/>
      <c r="I117" s="2640"/>
      <c r="J117" s="77">
        <f>SUM(C117:I117)</f>
        <v>4645</v>
      </c>
    </row>
    <row r="118" spans="1:10" s="54" customFormat="1" ht="13.15">
      <c r="A118" s="53"/>
      <c r="B118" s="2905">
        <v>2008</v>
      </c>
      <c r="C118" s="2908">
        <v>4440</v>
      </c>
      <c r="D118" s="2908"/>
      <c r="E118" s="2908"/>
      <c r="F118" s="2908"/>
      <c r="G118" s="2908"/>
      <c r="H118" s="2908"/>
      <c r="I118" s="2640"/>
      <c r="J118" s="77">
        <f>SUM(C118:I118)</f>
        <v>4440</v>
      </c>
    </row>
    <row r="120" spans="1:10">
      <c r="B120">
        <v>13</v>
      </c>
      <c r="C120">
        <v>13</v>
      </c>
      <c r="D120" s="2553" t="s">
        <v>196</v>
      </c>
    </row>
    <row r="121" spans="1:10" s="54" customFormat="1" ht="13.15">
      <c r="A121" s="53"/>
      <c r="B121" s="3188" t="s">
        <v>810</v>
      </c>
      <c r="C121" s="3692" t="s">
        <v>953</v>
      </c>
      <c r="D121" s="3692"/>
      <c r="E121" s="3692"/>
      <c r="F121" s="3692"/>
      <c r="G121" s="3692"/>
      <c r="H121" s="3692"/>
      <c r="I121" s="3692"/>
    </row>
    <row r="122" spans="1:10" s="54" customFormat="1" ht="115.15">
      <c r="A122" s="53"/>
      <c r="B122" s="55"/>
      <c r="C122" s="56" t="s">
        <v>820</v>
      </c>
      <c r="D122" s="56" t="s">
        <v>821</v>
      </c>
      <c r="E122" s="56" t="s">
        <v>822</v>
      </c>
      <c r="F122" s="57" t="s">
        <v>823</v>
      </c>
      <c r="G122" s="2643" t="s">
        <v>827</v>
      </c>
      <c r="H122" s="2643" t="s">
        <v>828</v>
      </c>
      <c r="I122" s="2643" t="s">
        <v>826</v>
      </c>
    </row>
    <row r="123" spans="1:10" s="54" customFormat="1" ht="13.15">
      <c r="A123" s="53"/>
      <c r="B123" s="2905">
        <v>2012</v>
      </c>
      <c r="C123" s="2639">
        <v>649</v>
      </c>
      <c r="D123" s="2639"/>
      <c r="E123" s="2639"/>
      <c r="F123" s="2639"/>
      <c r="G123" s="2639"/>
      <c r="H123" s="2639"/>
      <c r="I123" s="2640"/>
      <c r="J123" s="77">
        <v>649</v>
      </c>
    </row>
    <row r="124" spans="1:10" s="54" customFormat="1" ht="13.15">
      <c r="A124" s="53"/>
      <c r="B124" s="2905">
        <v>2011</v>
      </c>
      <c r="C124" s="2639">
        <v>561</v>
      </c>
      <c r="D124" s="2639"/>
      <c r="E124" s="2639"/>
      <c r="F124" s="2639"/>
      <c r="G124" s="2639"/>
      <c r="H124" s="2639"/>
      <c r="I124" s="2640"/>
      <c r="J124" s="77">
        <v>561</v>
      </c>
    </row>
    <row r="125" spans="1:10" s="54" customFormat="1" ht="13.15">
      <c r="A125" s="53"/>
      <c r="B125" s="2905">
        <v>2010</v>
      </c>
      <c r="C125" s="2639">
        <v>496</v>
      </c>
      <c r="D125" s="2639"/>
      <c r="E125" s="2639"/>
      <c r="F125" s="2639"/>
      <c r="G125" s="2639"/>
      <c r="H125" s="2639"/>
      <c r="I125" s="2640"/>
      <c r="J125" s="77">
        <v>496</v>
      </c>
    </row>
    <row r="126" spans="1:10" s="54" customFormat="1" ht="13.15">
      <c r="A126" s="53"/>
      <c r="B126" s="2905">
        <v>2009</v>
      </c>
      <c r="C126" s="2639">
        <v>513</v>
      </c>
      <c r="D126" s="2639"/>
      <c r="E126" s="2639"/>
      <c r="F126" s="2639"/>
      <c r="G126" s="2639"/>
      <c r="H126" s="2639"/>
      <c r="I126" s="2640"/>
      <c r="J126" s="77">
        <v>513</v>
      </c>
    </row>
    <row r="127" spans="1:10" s="54" customFormat="1" ht="13.15">
      <c r="A127" s="53"/>
      <c r="B127" s="2905">
        <v>2008</v>
      </c>
      <c r="C127" s="2639">
        <v>7</v>
      </c>
      <c r="D127" s="2639"/>
      <c r="E127" s="2639"/>
      <c r="F127" s="2639"/>
      <c r="G127" s="2639"/>
      <c r="H127" s="2639"/>
      <c r="I127" s="2640"/>
      <c r="J127" s="77">
        <v>7</v>
      </c>
    </row>
    <row r="129" spans="1:10">
      <c r="B129">
        <v>14</v>
      </c>
      <c r="C129">
        <v>14</v>
      </c>
      <c r="D129" s="2553" t="s">
        <v>197</v>
      </c>
    </row>
    <row r="130" spans="1:10" s="54" customFormat="1" ht="13.15">
      <c r="A130" s="53"/>
      <c r="B130" s="3188" t="s">
        <v>810</v>
      </c>
      <c r="C130" s="3692" t="s">
        <v>953</v>
      </c>
      <c r="D130" s="3692"/>
      <c r="E130" s="3692"/>
      <c r="F130" s="3692"/>
      <c r="G130" s="3692"/>
      <c r="H130" s="3692"/>
      <c r="I130" s="3692"/>
    </row>
    <row r="131" spans="1:10" s="54" customFormat="1" ht="115.15">
      <c r="A131" s="53"/>
      <c r="B131" s="55"/>
      <c r="C131" s="56" t="s">
        <v>820</v>
      </c>
      <c r="D131" s="56" t="s">
        <v>821</v>
      </c>
      <c r="E131" s="56" t="s">
        <v>822</v>
      </c>
      <c r="F131" s="57" t="s">
        <v>823</v>
      </c>
      <c r="G131" s="2643" t="s">
        <v>827</v>
      </c>
      <c r="H131" s="2643" t="s">
        <v>828</v>
      </c>
      <c r="I131" s="2643" t="s">
        <v>826</v>
      </c>
    </row>
    <row r="132" spans="1:10" s="54" customFormat="1" ht="13.15">
      <c r="A132" s="53"/>
      <c r="B132" s="2905">
        <v>2012</v>
      </c>
      <c r="C132" s="2788">
        <v>17334</v>
      </c>
      <c r="D132" s="2788">
        <v>10</v>
      </c>
      <c r="E132" s="2788">
        <v>0</v>
      </c>
      <c r="F132" s="2788">
        <v>0</v>
      </c>
      <c r="G132" s="2788">
        <v>0</v>
      </c>
      <c r="H132" s="2640">
        <v>0</v>
      </c>
      <c r="I132" s="2640">
        <v>0</v>
      </c>
      <c r="J132" s="2788">
        <f>SUM(C132:I132)</f>
        <v>17344</v>
      </c>
    </row>
    <row r="133" spans="1:10" s="54" customFormat="1" ht="13.15">
      <c r="A133" s="53"/>
      <c r="B133" s="2905">
        <v>2011</v>
      </c>
      <c r="C133" s="2788">
        <v>14297</v>
      </c>
      <c r="D133" s="2788">
        <v>16</v>
      </c>
      <c r="E133" s="2788">
        <v>0</v>
      </c>
      <c r="F133" s="2788">
        <v>0</v>
      </c>
      <c r="G133" s="2788">
        <v>0</v>
      </c>
      <c r="H133" s="2640">
        <v>0</v>
      </c>
      <c r="I133" s="2640">
        <v>0</v>
      </c>
      <c r="J133" s="2788">
        <f>SUM(C133:I133)</f>
        <v>14313</v>
      </c>
    </row>
    <row r="134" spans="1:10" s="54" customFormat="1" ht="13.15">
      <c r="A134" s="53"/>
      <c r="B134" s="2905">
        <v>2010</v>
      </c>
      <c r="C134" s="2788">
        <v>13407</v>
      </c>
      <c r="D134" s="2788">
        <v>0</v>
      </c>
      <c r="E134" s="2788">
        <v>0</v>
      </c>
      <c r="F134" s="2788">
        <v>0</v>
      </c>
      <c r="G134" s="2788">
        <v>0</v>
      </c>
      <c r="H134" s="2640">
        <v>0</v>
      </c>
      <c r="I134" s="2640">
        <v>0</v>
      </c>
      <c r="J134" s="2788">
        <f>SUM(C134:I134)</f>
        <v>13407</v>
      </c>
    </row>
    <row r="135" spans="1:10" s="54" customFormat="1" ht="13.15">
      <c r="A135" s="53"/>
      <c r="B135" s="2905">
        <v>2009</v>
      </c>
      <c r="C135" s="2788">
        <v>12319</v>
      </c>
      <c r="D135" s="2788">
        <v>0</v>
      </c>
      <c r="E135" s="2788">
        <v>0</v>
      </c>
      <c r="F135" s="2788">
        <v>0</v>
      </c>
      <c r="G135" s="2788">
        <v>0</v>
      </c>
      <c r="H135" s="2640">
        <v>0</v>
      </c>
      <c r="I135" s="2640">
        <v>0</v>
      </c>
      <c r="J135" s="2788">
        <f>SUM(C135:I135)</f>
        <v>12319</v>
      </c>
    </row>
    <row r="136" spans="1:10" s="54" customFormat="1" ht="13.15">
      <c r="A136" s="53"/>
      <c r="B136" s="2905">
        <v>2008</v>
      </c>
      <c r="C136" s="2640">
        <v>12271</v>
      </c>
      <c r="D136" s="2640">
        <v>0</v>
      </c>
      <c r="E136" s="2640">
        <v>0</v>
      </c>
      <c r="F136" s="2640">
        <v>0</v>
      </c>
      <c r="G136" s="2640">
        <v>0</v>
      </c>
      <c r="H136" s="2640">
        <v>0</v>
      </c>
      <c r="I136" s="2640">
        <v>0</v>
      </c>
      <c r="J136" s="2788">
        <f>SUM(C136:I136)</f>
        <v>12271</v>
      </c>
    </row>
    <row r="138" spans="1:10">
      <c r="B138">
        <v>15</v>
      </c>
      <c r="C138">
        <v>15</v>
      </c>
      <c r="D138" s="2556" t="s">
        <v>178</v>
      </c>
    </row>
    <row r="139" spans="1:10" s="54" customFormat="1" ht="13.15">
      <c r="A139" s="53"/>
      <c r="B139" s="3188" t="s">
        <v>810</v>
      </c>
      <c r="C139" s="3692" t="s">
        <v>953</v>
      </c>
      <c r="D139" s="3692"/>
      <c r="E139" s="3692"/>
      <c r="F139" s="3692"/>
      <c r="G139" s="3692"/>
      <c r="H139" s="3692"/>
      <c r="I139" s="3692"/>
    </row>
    <row r="140" spans="1:10" s="54" customFormat="1" ht="115.15">
      <c r="A140" s="53"/>
      <c r="B140" s="55"/>
      <c r="C140" s="56" t="s">
        <v>820</v>
      </c>
      <c r="D140" s="56" t="s">
        <v>821</v>
      </c>
      <c r="E140" s="56" t="s">
        <v>822</v>
      </c>
      <c r="F140" s="57" t="s">
        <v>823</v>
      </c>
      <c r="G140" s="2643" t="s">
        <v>827</v>
      </c>
      <c r="H140" s="2643" t="s">
        <v>828</v>
      </c>
      <c r="I140" s="2643" t="s">
        <v>826</v>
      </c>
    </row>
    <row r="141" spans="1:10" s="54" customFormat="1" ht="13.15">
      <c r="A141" s="53"/>
      <c r="B141" s="2905">
        <v>2012</v>
      </c>
      <c r="C141" s="2913">
        <v>2814</v>
      </c>
      <c r="D141" s="2639"/>
      <c r="E141" s="2639"/>
      <c r="F141" s="2639"/>
      <c r="G141" s="2639"/>
      <c r="H141" s="2639"/>
      <c r="I141" s="2640"/>
      <c r="J141" s="77">
        <f>SUM(C141:I141)</f>
        <v>2814</v>
      </c>
    </row>
    <row r="142" spans="1:10" s="54" customFormat="1" ht="13.15">
      <c r="A142" s="53"/>
      <c r="B142" s="2905">
        <v>2011</v>
      </c>
      <c r="C142" s="2639"/>
      <c r="D142" s="2639"/>
      <c r="E142" s="2639"/>
      <c r="F142" s="2639"/>
      <c r="G142" s="2639"/>
      <c r="H142" s="2639"/>
      <c r="I142" s="2640"/>
      <c r="J142" s="77">
        <f>SUM(C142:I142)</f>
        <v>0</v>
      </c>
    </row>
    <row r="143" spans="1:10" s="54" customFormat="1" ht="13.15">
      <c r="A143" s="53"/>
      <c r="B143" s="2905">
        <v>2010</v>
      </c>
      <c r="C143" s="2639"/>
      <c r="D143" s="2639"/>
      <c r="E143" s="2639"/>
      <c r="F143" s="2639"/>
      <c r="G143" s="2639"/>
      <c r="H143" s="2639"/>
      <c r="I143" s="2640"/>
      <c r="J143" s="77">
        <f>SUM(C143:I143)</f>
        <v>0</v>
      </c>
    </row>
    <row r="144" spans="1:10" s="54" customFormat="1" ht="13.15">
      <c r="A144" s="53"/>
      <c r="B144" s="2905">
        <v>2009</v>
      </c>
      <c r="C144" s="2639"/>
      <c r="D144" s="2639"/>
      <c r="E144" s="2639"/>
      <c r="F144" s="2639"/>
      <c r="G144" s="2639"/>
      <c r="H144" s="2639"/>
      <c r="I144" s="2640"/>
      <c r="J144" s="77">
        <f>SUM(C144:I144)</f>
        <v>0</v>
      </c>
    </row>
    <row r="145" spans="1:10" s="54" customFormat="1" ht="13.15">
      <c r="A145" s="53"/>
      <c r="B145" s="2905">
        <v>2008</v>
      </c>
      <c r="C145" s="2639"/>
      <c r="D145" s="2639"/>
      <c r="E145" s="2639"/>
      <c r="F145" s="2639"/>
      <c r="G145" s="2639"/>
      <c r="H145" s="2639"/>
      <c r="I145" s="2640"/>
      <c r="J145" s="77">
        <f>SUM(C145:I145)</f>
        <v>0</v>
      </c>
    </row>
  </sheetData>
  <customSheetViews>
    <customSheetView guid="{2ACFE167-4169-43A6-9AB2-59D5A2DA2DB4}" showPageBreaks="1" state="hidden" topLeftCell="J13">
      <selection activeCell="C6" sqref="C6"/>
      <pageMargins left="0" right="0" top="0" bottom="0" header="0" footer="0"/>
      <pageSetup orientation="portrait" r:id="rId1"/>
    </customSheetView>
    <customSheetView guid="{967E0446-E234-427F-8E57-7FE287052E2E}" showPageBreaks="1" state="hidden" topLeftCell="J13">
      <selection activeCell="C6" sqref="C6"/>
      <pageMargins left="0" right="0" top="0" bottom="0" header="0" footer="0"/>
      <pageSetup orientation="portrait" r:id="rId2"/>
    </customSheetView>
    <customSheetView guid="{B2E1A0C6-5BA1-4CF1-B412-16D81FCDF11F}" state="hidden" topLeftCell="J13">
      <selection activeCell="C6" sqref="C6"/>
      <pageMargins left="0" right="0" top="0" bottom="0" header="0" footer="0"/>
      <pageSetup orientation="portrait" r:id="rId3"/>
    </customSheetView>
    <customSheetView guid="{46F31544-8E6F-41C5-8628-1D6EE074AF15}" state="hidden" topLeftCell="J13">
      <selection activeCell="C6" sqref="C6"/>
      <pageMargins left="0" right="0" top="0" bottom="0" header="0" footer="0"/>
      <pageSetup orientation="portrait" r:id="rId4"/>
    </customSheetView>
    <customSheetView guid="{E82B35BE-4719-4C53-A9EF-1CC6F153A6F3}" state="hidden" topLeftCell="J13">
      <selection activeCell="C6" sqref="C6"/>
      <pageMargins left="0" right="0" top="0" bottom="0" header="0" footer="0"/>
    </customSheetView>
    <customSheetView guid="{B1E1B596-A9A1-411D-A882-A48CB025B978}" state="hidden" topLeftCell="J13">
      <selection activeCell="C6" sqref="C6"/>
      <pageMargins left="0" right="0" top="0" bottom="0" header="0" footer="0"/>
      <pageSetup orientation="portrait" r:id="rId5"/>
    </customSheetView>
    <customSheetView guid="{5E394B0B-7867-4722-9497-A93AB2A9A773}" showPageBreaks="1" state="hidden" topLeftCell="J13">
      <selection activeCell="C6" sqref="C6"/>
      <pageMargins left="0" right="0" top="0" bottom="0" header="0" footer="0"/>
      <pageSetup orientation="portrait" r:id="rId6"/>
    </customSheetView>
  </customSheetViews>
  <mergeCells count="16">
    <mergeCell ref="C112:I112"/>
    <mergeCell ref="C121:I121"/>
    <mergeCell ref="C130:I130"/>
    <mergeCell ref="C139:I139"/>
    <mergeCell ref="C58:I58"/>
    <mergeCell ref="C67:I67"/>
    <mergeCell ref="C76:I76"/>
    <mergeCell ref="C85:I85"/>
    <mergeCell ref="C94:I94"/>
    <mergeCell ref="C103:I103"/>
    <mergeCell ref="C49:I49"/>
    <mergeCell ref="C4:I4"/>
    <mergeCell ref="C13:I13"/>
    <mergeCell ref="C22:I22"/>
    <mergeCell ref="C31:I31"/>
    <mergeCell ref="C40:I40"/>
  </mergeCells>
  <pageMargins left="0.7" right="0.7" top="0.75" bottom="0.75" header="0.3" footer="0.3"/>
  <pageSetup orientation="portrait" r:id="rId7"/>
  <drawing r:id="rId8"/>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tabColor rgb="FF92D050"/>
  </sheetPr>
  <dimension ref="A1:AG190"/>
  <sheetViews>
    <sheetView showGridLines="0" view="pageBreakPreview" zoomScale="85" zoomScaleNormal="100" zoomScaleSheetLayoutView="85" workbookViewId="0">
      <pane xSplit="2" topLeftCell="C1" activePane="topRight" state="frozen"/>
      <selection pane="topRight" activeCell="G16" sqref="G16"/>
    </sheetView>
  </sheetViews>
  <sheetFormatPr defaultColWidth="9.140625" defaultRowHeight="14.45"/>
  <cols>
    <col min="1" max="1" width="3.140625" style="602" customWidth="1"/>
    <col min="2" max="2" width="28.140625" style="604" customWidth="1"/>
    <col min="3" max="4" width="20.5703125" style="604" customWidth="1"/>
    <col min="5" max="7" width="21.42578125" style="605" customWidth="1"/>
    <col min="8" max="8" width="20.5703125" style="605" customWidth="1"/>
    <col min="9" max="33" width="9.140625" style="605"/>
    <col min="34" max="16384" width="9.140625" style="604"/>
  </cols>
  <sheetData>
    <row r="1" spans="1:8">
      <c r="B1" s="603"/>
      <c r="C1" s="603"/>
      <c r="D1" s="603"/>
    </row>
    <row r="2" spans="1:8">
      <c r="B2" s="511" t="s">
        <v>961</v>
      </c>
      <c r="C2" s="511"/>
      <c r="D2" s="511"/>
    </row>
    <row r="3" spans="1:8">
      <c r="B3" s="470"/>
      <c r="C3" s="470"/>
      <c r="D3" s="470"/>
    </row>
    <row r="4" spans="1:8">
      <c r="B4" s="1657" t="s">
        <v>266</v>
      </c>
      <c r="C4" s="495"/>
      <c r="D4" s="495"/>
    </row>
    <row r="5" spans="1:8">
      <c r="A5" s="474"/>
      <c r="B5" s="1658"/>
      <c r="C5" s="2915">
        <v>2018</v>
      </c>
      <c r="D5" s="2915">
        <v>2019</v>
      </c>
      <c r="E5" s="2915">
        <v>2020</v>
      </c>
      <c r="F5" s="2915" t="s">
        <v>138</v>
      </c>
      <c r="G5" s="2915" t="s">
        <v>139</v>
      </c>
    </row>
    <row r="6" spans="1:8">
      <c r="A6" s="496"/>
      <c r="B6" s="1627" t="s">
        <v>962</v>
      </c>
      <c r="C6" s="1678">
        <f t="shared" ref="C6:D10" si="0">+C162+C17+C27+C40+C50+C60+C73+C84+C94+C107+C117+C128+C141+C151+C172</f>
        <v>153856</v>
      </c>
      <c r="D6" s="1678">
        <f t="shared" si="0"/>
        <v>130723</v>
      </c>
      <c r="E6" s="1678">
        <f t="shared" ref="E6:G8" si="1">+E162+E17+E27+E40+E50+E60+E73+E84+E94+E107+E117+E128+E141+E151+E172</f>
        <v>153491</v>
      </c>
      <c r="F6" s="1742">
        <f t="shared" si="1"/>
        <v>157206</v>
      </c>
      <c r="G6" s="1715">
        <f>+G162+G17+G27+G40+G50+G60+G73+G84+G94+G107+G117+G128+G141+G151+G172</f>
        <v>178666</v>
      </c>
      <c r="H6"/>
    </row>
    <row r="7" spans="1:8">
      <c r="A7" s="496"/>
      <c r="B7" s="2916" t="s">
        <v>963</v>
      </c>
      <c r="C7" s="1678">
        <f t="shared" si="0"/>
        <v>11935</v>
      </c>
      <c r="D7" s="1678">
        <f t="shared" si="0"/>
        <v>12958</v>
      </c>
      <c r="E7" s="1678">
        <f t="shared" si="1"/>
        <v>12105</v>
      </c>
      <c r="F7" s="1742">
        <f t="shared" si="1"/>
        <v>14460</v>
      </c>
      <c r="G7" s="1715">
        <f t="shared" si="1"/>
        <v>17937</v>
      </c>
      <c r="H7"/>
    </row>
    <row r="8" spans="1:8">
      <c r="A8" s="496"/>
      <c r="B8" s="2916" t="s">
        <v>964</v>
      </c>
      <c r="C8" s="1678">
        <f t="shared" si="0"/>
        <v>10737</v>
      </c>
      <c r="D8" s="1678">
        <f t="shared" si="0"/>
        <v>12251</v>
      </c>
      <c r="E8" s="1678">
        <f t="shared" si="1"/>
        <v>11036</v>
      </c>
      <c r="F8" s="1742">
        <f t="shared" si="1"/>
        <v>13986</v>
      </c>
      <c r="G8" s="1715">
        <f t="shared" si="1"/>
        <v>14050</v>
      </c>
      <c r="H8"/>
    </row>
    <row r="9" spans="1:8">
      <c r="A9" s="496"/>
      <c r="B9" s="2916" t="s">
        <v>965</v>
      </c>
      <c r="C9" s="1678">
        <f t="shared" si="0"/>
        <v>70412</v>
      </c>
      <c r="D9" s="1678">
        <f t="shared" si="0"/>
        <v>75988</v>
      </c>
      <c r="E9" s="1678">
        <f t="shared" ref="E9:G10" si="2">+E165+E20+E30+E43+E53+E63+E76+E87+E97+E110+E120+E131+E144+E154+E175</f>
        <v>155718</v>
      </c>
      <c r="F9" s="1742">
        <f t="shared" si="2"/>
        <v>126686</v>
      </c>
      <c r="G9" s="1715">
        <f t="shared" si="2"/>
        <v>87196</v>
      </c>
      <c r="H9"/>
    </row>
    <row r="10" spans="1:8">
      <c r="A10" s="496"/>
      <c r="B10" s="2916" t="s">
        <v>966</v>
      </c>
      <c r="C10" s="1678">
        <f t="shared" si="0"/>
        <v>166745</v>
      </c>
      <c r="D10" s="1678">
        <f t="shared" si="0"/>
        <v>205076</v>
      </c>
      <c r="E10" s="1678">
        <f t="shared" si="2"/>
        <v>173183</v>
      </c>
      <c r="F10" s="1742">
        <f t="shared" si="2"/>
        <v>232496</v>
      </c>
      <c r="G10" s="1715">
        <f t="shared" si="2"/>
        <v>307635.29996606719</v>
      </c>
      <c r="H10"/>
    </row>
    <row r="11" spans="1:8">
      <c r="A11" s="496"/>
      <c r="B11" s="2917" t="s">
        <v>118</v>
      </c>
      <c r="C11" s="1691">
        <f>SUM(C6:C10)</f>
        <v>413685</v>
      </c>
      <c r="D11" s="1691">
        <f>SUM(D6:D10)</f>
        <v>436996</v>
      </c>
      <c r="E11" s="1691">
        <f>SUM(E6:E10)</f>
        <v>505533</v>
      </c>
      <c r="F11" s="1691">
        <f>SUM(F6:F10)</f>
        <v>544834</v>
      </c>
      <c r="G11" s="1691">
        <f>SUM(G6:G10)</f>
        <v>605484.29996606719</v>
      </c>
      <c r="H11"/>
    </row>
    <row r="12" spans="1:8">
      <c r="A12" s="496"/>
      <c r="B12" s="526"/>
      <c r="C12" s="526"/>
      <c r="D12" s="526"/>
      <c r="E12" s="526"/>
      <c r="F12" s="526"/>
      <c r="G12" s="526"/>
    </row>
    <row r="13" spans="1:8">
      <c r="E13" s="604"/>
      <c r="F13" s="604"/>
      <c r="G13" s="604"/>
    </row>
    <row r="14" spans="1:8">
      <c r="A14" s="496"/>
      <c r="B14" s="278"/>
      <c r="C14" s="278"/>
      <c r="D14" s="278"/>
      <c r="E14" s="278"/>
      <c r="F14" s="278"/>
      <c r="G14" s="278"/>
    </row>
    <row r="15" spans="1:8">
      <c r="A15" s="604"/>
      <c r="B15" s="1632" t="s">
        <v>323</v>
      </c>
      <c r="C15" s="511"/>
      <c r="D15" s="511"/>
      <c r="E15" s="511"/>
      <c r="F15" s="511"/>
      <c r="G15" s="511"/>
    </row>
    <row r="16" spans="1:8">
      <c r="A16" s="526"/>
      <c r="B16" s="1633"/>
      <c r="C16" s="1650">
        <v>2018</v>
      </c>
      <c r="D16" s="1651">
        <v>2019</v>
      </c>
      <c r="E16" s="1650">
        <v>2020</v>
      </c>
      <c r="F16" s="1654" t="s">
        <v>138</v>
      </c>
      <c r="G16" s="1654" t="s">
        <v>139</v>
      </c>
    </row>
    <row r="17" spans="1:7">
      <c r="A17" s="516"/>
      <c r="B17" s="235" t="s">
        <v>962</v>
      </c>
      <c r="C17" s="1624">
        <v>84</v>
      </c>
      <c r="D17" s="1624">
        <v>366</v>
      </c>
      <c r="E17" s="1624">
        <v>313</v>
      </c>
      <c r="F17" s="1742">
        <v>624</v>
      </c>
      <c r="G17" s="1625">
        <v>835</v>
      </c>
    </row>
    <row r="18" spans="1:7">
      <c r="A18" s="496"/>
      <c r="B18" s="1678" t="s">
        <v>963</v>
      </c>
      <c r="C18" s="1684">
        <v>59</v>
      </c>
      <c r="D18" s="1684">
        <v>73</v>
      </c>
      <c r="E18" s="1684">
        <v>91</v>
      </c>
      <c r="F18" s="1742">
        <v>38</v>
      </c>
      <c r="G18" s="1715">
        <v>32</v>
      </c>
    </row>
    <row r="19" spans="1:7">
      <c r="A19" s="496"/>
      <c r="B19" s="1678" t="s">
        <v>964</v>
      </c>
      <c r="C19" s="1684"/>
      <c r="D19" s="1684"/>
      <c r="E19" s="1684">
        <v>0</v>
      </c>
      <c r="F19" s="1742">
        <v>0</v>
      </c>
      <c r="G19" s="1715">
        <v>0</v>
      </c>
    </row>
    <row r="20" spans="1:7">
      <c r="A20" s="496"/>
      <c r="B20" s="1678" t="s">
        <v>965</v>
      </c>
      <c r="C20" s="1684">
        <v>435</v>
      </c>
      <c r="D20" s="1684">
        <v>775</v>
      </c>
      <c r="E20" s="1684">
        <v>1083</v>
      </c>
      <c r="F20" s="1742">
        <v>1442</v>
      </c>
      <c r="G20" s="1715">
        <v>1670</v>
      </c>
    </row>
    <row r="21" spans="1:7">
      <c r="A21" s="496"/>
      <c r="B21" s="1678" t="s">
        <v>666</v>
      </c>
      <c r="C21" s="1684">
        <v>934</v>
      </c>
      <c r="D21" s="1684">
        <v>502</v>
      </c>
      <c r="E21" s="1684">
        <v>1072</v>
      </c>
      <c r="F21" s="1742">
        <v>2352</v>
      </c>
      <c r="G21" s="1715">
        <v>2383</v>
      </c>
    </row>
    <row r="22" spans="1:7" ht="15" thickBot="1">
      <c r="A22" s="496"/>
      <c r="B22" s="278" t="s">
        <v>118</v>
      </c>
      <c r="C22" s="652">
        <f>SUM(C17:C21)</f>
        <v>1512</v>
      </c>
      <c r="D22" s="652">
        <f>SUM(D17:D21)</f>
        <v>1716</v>
      </c>
      <c r="E22" s="652">
        <f>SUM(E17:E21)</f>
        <v>2559</v>
      </c>
      <c r="F22" s="652">
        <f>SUM(F17:F21)</f>
        <v>4456</v>
      </c>
      <c r="G22" s="652">
        <f>SUM(G17:G21)</f>
        <v>4920</v>
      </c>
    </row>
    <row r="23" spans="1:7" ht="15" thickTop="1">
      <c r="A23" s="496"/>
      <c r="B23" s="278"/>
      <c r="C23" s="278"/>
      <c r="D23" s="278"/>
      <c r="E23" s="278"/>
      <c r="F23" s="278"/>
      <c r="G23" s="278"/>
    </row>
    <row r="24" spans="1:7">
      <c r="A24" s="496"/>
      <c r="B24" s="278"/>
      <c r="C24" s="278"/>
      <c r="D24" s="278"/>
      <c r="E24" s="278"/>
      <c r="F24" s="278"/>
      <c r="G24" s="278"/>
    </row>
    <row r="25" spans="1:7">
      <c r="A25" s="604"/>
      <c r="B25" s="1632" t="s">
        <v>92</v>
      </c>
      <c r="C25" s="511"/>
      <c r="D25" s="511"/>
      <c r="E25" s="511"/>
      <c r="F25" s="511"/>
      <c r="G25" s="511"/>
    </row>
    <row r="26" spans="1:7">
      <c r="A26" s="526"/>
      <c r="B26" s="1633"/>
      <c r="C26" s="1650">
        <v>2018</v>
      </c>
      <c r="D26" s="1651">
        <v>2019</v>
      </c>
      <c r="E26" s="1650">
        <v>2020</v>
      </c>
      <c r="F26" s="1654" t="s">
        <v>138</v>
      </c>
      <c r="G26" s="1654" t="s">
        <v>139</v>
      </c>
    </row>
    <row r="27" spans="1:7">
      <c r="A27" s="496"/>
      <c r="B27" s="235" t="s">
        <v>962</v>
      </c>
      <c r="C27" s="1624">
        <v>31</v>
      </c>
      <c r="D27" s="1624">
        <v>44</v>
      </c>
      <c r="E27" s="1624">
        <v>61</v>
      </c>
      <c r="F27" s="1742">
        <v>69</v>
      </c>
      <c r="G27" s="1625">
        <v>226</v>
      </c>
    </row>
    <row r="28" spans="1:7">
      <c r="A28" s="516"/>
      <c r="B28" s="1678" t="s">
        <v>963</v>
      </c>
      <c r="C28" s="1684">
        <v>54</v>
      </c>
      <c r="D28" s="1684">
        <v>136</v>
      </c>
      <c r="E28" s="1684">
        <v>196</v>
      </c>
      <c r="F28" s="1742">
        <v>110</v>
      </c>
      <c r="G28" s="1715">
        <v>143</v>
      </c>
    </row>
    <row r="29" spans="1:7">
      <c r="A29" s="496"/>
      <c r="B29" s="1678" t="s">
        <v>964</v>
      </c>
      <c r="C29" s="1684">
        <v>13</v>
      </c>
      <c r="D29" s="1684">
        <v>248</v>
      </c>
      <c r="E29" s="1684">
        <v>193</v>
      </c>
      <c r="F29" s="1742">
        <v>198</v>
      </c>
      <c r="G29" s="1715">
        <v>84</v>
      </c>
    </row>
    <row r="30" spans="1:7">
      <c r="A30" s="496"/>
      <c r="B30" s="1678" t="s">
        <v>965</v>
      </c>
      <c r="C30" s="1684">
        <v>587</v>
      </c>
      <c r="D30" s="1684">
        <v>760</v>
      </c>
      <c r="E30" s="1684">
        <v>709</v>
      </c>
      <c r="F30" s="1742">
        <v>986</v>
      </c>
      <c r="G30" s="1715">
        <v>1337</v>
      </c>
    </row>
    <row r="31" spans="1:7">
      <c r="A31" s="496"/>
      <c r="B31" s="1678" t="s">
        <v>666</v>
      </c>
      <c r="C31" s="1684">
        <v>970</v>
      </c>
      <c r="D31" s="1684">
        <v>2203</v>
      </c>
      <c r="E31" s="1684">
        <v>1445</v>
      </c>
      <c r="F31" s="1742">
        <v>2268</v>
      </c>
      <c r="G31" s="1715">
        <v>2437</v>
      </c>
    </row>
    <row r="32" spans="1:7" ht="15" thickBot="1">
      <c r="A32" s="496"/>
      <c r="B32" s="278" t="s">
        <v>118</v>
      </c>
      <c r="C32" s="652">
        <f>SUM(C27:C31)</f>
        <v>1655</v>
      </c>
      <c r="D32" s="652">
        <f>SUM(D27:D31)</f>
        <v>3391</v>
      </c>
      <c r="E32" s="652">
        <f>SUM(E27:E31)</f>
        <v>2604</v>
      </c>
      <c r="F32" s="439">
        <f>SUM(F27:F31)</f>
        <v>3631</v>
      </c>
      <c r="G32" s="652">
        <f>SUM(G27:G31)</f>
        <v>4227</v>
      </c>
    </row>
    <row r="33" spans="1:7" ht="15" thickTop="1">
      <c r="A33" s="496"/>
      <c r="B33" s="278"/>
      <c r="C33" s="278"/>
      <c r="D33" s="278"/>
      <c r="E33" s="278"/>
      <c r="F33" s="278"/>
      <c r="G33" s="278"/>
    </row>
    <row r="34" spans="1:7">
      <c r="A34" s="496"/>
      <c r="B34" s="278"/>
      <c r="C34" s="278"/>
      <c r="E34" s="315"/>
      <c r="F34" s="315"/>
      <c r="G34" s="315">
        <v>190</v>
      </c>
    </row>
    <row r="35" spans="1:7">
      <c r="A35" s="496"/>
      <c r="B35" s="278"/>
      <c r="C35" s="278"/>
      <c r="D35" s="278"/>
      <c r="E35" s="278"/>
      <c r="F35" s="278"/>
      <c r="G35" s="278"/>
    </row>
    <row r="36" spans="1:7">
      <c r="A36" s="496"/>
      <c r="B36" s="526" t="s">
        <v>967</v>
      </c>
      <c r="C36" s="526"/>
      <c r="D36" s="526"/>
      <c r="E36" s="526"/>
      <c r="F36" s="526"/>
      <c r="G36" s="526"/>
    </row>
    <row r="37" spans="1:7">
      <c r="A37" s="496"/>
      <c r="B37" s="279"/>
      <c r="C37" s="279"/>
      <c r="D37" s="279"/>
      <c r="E37" s="279"/>
      <c r="F37" s="279"/>
      <c r="G37" s="279"/>
    </row>
    <row r="38" spans="1:7">
      <c r="A38" s="604"/>
      <c r="B38" s="1632" t="s">
        <v>90</v>
      </c>
      <c r="C38" s="511"/>
      <c r="D38" s="511"/>
      <c r="E38" s="511"/>
      <c r="F38" s="511"/>
      <c r="G38" s="511"/>
    </row>
    <row r="39" spans="1:7">
      <c r="A39" s="526"/>
      <c r="B39" s="1633"/>
      <c r="C39" s="1650">
        <v>2018</v>
      </c>
      <c r="D39" s="1651">
        <v>2019</v>
      </c>
      <c r="E39" s="1650">
        <v>2020</v>
      </c>
      <c r="F39" s="1654" t="s">
        <v>138</v>
      </c>
      <c r="G39" s="1654" t="s">
        <v>139</v>
      </c>
    </row>
    <row r="40" spans="1:7">
      <c r="A40" s="496"/>
      <c r="B40" s="235" t="s">
        <v>962</v>
      </c>
      <c r="C40" s="235">
        <v>4638</v>
      </c>
      <c r="D40" s="235">
        <v>5404</v>
      </c>
      <c r="E40" s="235">
        <v>5991</v>
      </c>
      <c r="F40" s="1742">
        <v>5340</v>
      </c>
      <c r="G40" s="1625">
        <v>8260</v>
      </c>
    </row>
    <row r="41" spans="1:7">
      <c r="A41" s="496"/>
      <c r="B41" s="1678" t="s">
        <v>963</v>
      </c>
      <c r="C41" s="1678">
        <v>359</v>
      </c>
      <c r="D41" s="1678">
        <v>857</v>
      </c>
      <c r="E41" s="1678">
        <v>674</v>
      </c>
      <c r="F41" s="1742">
        <v>781</v>
      </c>
      <c r="G41" s="1715">
        <v>661</v>
      </c>
    </row>
    <row r="42" spans="1:7">
      <c r="A42" s="516"/>
      <c r="B42" s="1678" t="s">
        <v>964</v>
      </c>
      <c r="C42" s="1678">
        <v>7413</v>
      </c>
      <c r="D42" s="1678">
        <v>7656</v>
      </c>
      <c r="E42" s="1678">
        <v>6635</v>
      </c>
      <c r="F42" s="1742">
        <v>10198</v>
      </c>
      <c r="G42" s="1715">
        <v>10066</v>
      </c>
    </row>
    <row r="43" spans="1:7">
      <c r="A43" s="496"/>
      <c r="B43" s="1678" t="s">
        <v>965</v>
      </c>
      <c r="C43" s="1678">
        <v>8301</v>
      </c>
      <c r="D43" s="1678">
        <v>8073</v>
      </c>
      <c r="E43" s="1678">
        <v>6428</v>
      </c>
      <c r="F43" s="1742">
        <v>8278</v>
      </c>
      <c r="G43" s="1715">
        <v>10811</v>
      </c>
    </row>
    <row r="44" spans="1:7">
      <c r="A44" s="496"/>
      <c r="B44" s="1678" t="s">
        <v>666</v>
      </c>
      <c r="C44" s="1678">
        <v>5673</v>
      </c>
      <c r="D44" s="1678">
        <v>3852</v>
      </c>
      <c r="E44" s="1678">
        <v>3791</v>
      </c>
      <c r="F44" s="1742">
        <v>3065</v>
      </c>
      <c r="G44" s="1715">
        <v>3749</v>
      </c>
    </row>
    <row r="45" spans="1:7" ht="15" thickBot="1">
      <c r="A45" s="496"/>
      <c r="B45" s="278" t="s">
        <v>118</v>
      </c>
      <c r="C45" s="439">
        <f>SUM(C40:C44)</f>
        <v>26384</v>
      </c>
      <c r="D45" s="439">
        <f>SUM(D40:D44)</f>
        <v>25842</v>
      </c>
      <c r="E45" s="439">
        <f>SUM(E40:E44)</f>
        <v>23519</v>
      </c>
      <c r="F45" s="439">
        <f>SUM(F40:F44)</f>
        <v>27662</v>
      </c>
      <c r="G45" s="439">
        <f>SUM(G40:G44)</f>
        <v>33547</v>
      </c>
    </row>
    <row r="46" spans="1:7" ht="15" thickTop="1">
      <c r="A46" s="496"/>
      <c r="B46" s="278"/>
      <c r="C46" s="278"/>
      <c r="D46" s="278"/>
      <c r="E46" s="278"/>
      <c r="F46" s="278"/>
      <c r="G46" s="278"/>
    </row>
    <row r="47" spans="1:7">
      <c r="A47" s="496"/>
      <c r="B47" s="278"/>
      <c r="C47" s="278"/>
      <c r="D47" s="278"/>
      <c r="E47" s="278"/>
      <c r="F47" s="278"/>
      <c r="G47" s="278"/>
    </row>
    <row r="48" spans="1:7">
      <c r="A48" s="604"/>
      <c r="B48" s="1632" t="s">
        <v>93</v>
      </c>
      <c r="C48" s="511"/>
      <c r="D48" s="511"/>
      <c r="E48" s="511"/>
      <c r="F48" s="511"/>
      <c r="G48" s="511"/>
    </row>
    <row r="49" spans="1:7">
      <c r="A49" s="526"/>
      <c r="B49" s="1633"/>
      <c r="C49" s="1650">
        <v>2018</v>
      </c>
      <c r="D49" s="1651">
        <v>2019</v>
      </c>
      <c r="E49" s="1650">
        <v>2020</v>
      </c>
      <c r="F49" s="1654" t="s">
        <v>138</v>
      </c>
      <c r="G49" s="1654" t="s">
        <v>139</v>
      </c>
    </row>
    <row r="50" spans="1:7">
      <c r="A50" s="496"/>
      <c r="B50" s="235" t="s">
        <v>962</v>
      </c>
      <c r="C50" s="235">
        <v>206</v>
      </c>
      <c r="D50" s="235">
        <v>151</v>
      </c>
      <c r="E50" s="235">
        <v>147</v>
      </c>
      <c r="F50" s="1742">
        <v>142</v>
      </c>
      <c r="G50" s="1625">
        <v>145</v>
      </c>
    </row>
    <row r="51" spans="1:7">
      <c r="A51" s="496"/>
      <c r="B51" s="1678" t="s">
        <v>963</v>
      </c>
      <c r="C51" s="1678">
        <v>16</v>
      </c>
      <c r="D51" s="1678">
        <v>21</v>
      </c>
      <c r="E51" s="1678">
        <v>17</v>
      </c>
      <c r="F51" s="1742">
        <v>27</v>
      </c>
      <c r="G51" s="1715">
        <v>19</v>
      </c>
    </row>
    <row r="52" spans="1:7">
      <c r="A52" s="496"/>
      <c r="B52" s="1678" t="s">
        <v>964</v>
      </c>
      <c r="C52" s="1678">
        <v>2</v>
      </c>
      <c r="D52" s="1678"/>
      <c r="E52" s="1678">
        <v>0</v>
      </c>
      <c r="F52" s="1742">
        <v>0</v>
      </c>
      <c r="G52" s="1715"/>
    </row>
    <row r="53" spans="1:7">
      <c r="A53" s="516"/>
      <c r="B53" s="1678" t="s">
        <v>965</v>
      </c>
      <c r="C53" s="1678">
        <v>1845</v>
      </c>
      <c r="D53" s="1678">
        <v>2430</v>
      </c>
      <c r="E53" s="1678">
        <v>1733</v>
      </c>
      <c r="F53" s="1742">
        <v>1422</v>
      </c>
      <c r="G53" s="1715">
        <v>1697</v>
      </c>
    </row>
    <row r="54" spans="1:7">
      <c r="A54" s="496"/>
      <c r="B54" s="1678" t="s">
        <v>666</v>
      </c>
      <c r="C54" s="1678"/>
      <c r="D54" s="1678">
        <v>2363</v>
      </c>
      <c r="E54" s="1678">
        <v>1829</v>
      </c>
      <c r="F54" s="1742">
        <v>1356</v>
      </c>
      <c r="G54" s="1715">
        <v>856.29996606718703</v>
      </c>
    </row>
    <row r="55" spans="1:7" ht="15" thickBot="1">
      <c r="A55" s="496"/>
      <c r="B55" s="278" t="s">
        <v>118</v>
      </c>
      <c r="C55" s="439">
        <f>SUM(C50:C54)</f>
        <v>2069</v>
      </c>
      <c r="D55" s="439">
        <f>SUM(D50:D54)</f>
        <v>4965</v>
      </c>
      <c r="E55" s="439">
        <f>SUM(E50:E54)</f>
        <v>3726</v>
      </c>
      <c r="F55" s="439">
        <v>2947</v>
      </c>
      <c r="G55" s="439">
        <f>SUM(G50:G54)</f>
        <v>2717.2999660671871</v>
      </c>
    </row>
    <row r="56" spans="1:7" ht="15" thickTop="1">
      <c r="A56" s="496"/>
      <c r="B56" s="278"/>
      <c r="C56" s="278"/>
      <c r="D56" s="278"/>
      <c r="E56" s="278"/>
      <c r="F56" s="278"/>
      <c r="G56" s="278"/>
    </row>
    <row r="57" spans="1:7">
      <c r="A57" s="496"/>
      <c r="B57" s="278"/>
      <c r="C57" s="278"/>
      <c r="D57" s="278"/>
      <c r="E57" s="278"/>
      <c r="F57" s="278"/>
      <c r="G57" s="278"/>
    </row>
    <row r="58" spans="1:7">
      <c r="A58" s="604"/>
      <c r="B58" s="1632" t="s">
        <v>96</v>
      </c>
      <c r="C58" s="511"/>
      <c r="D58" s="511"/>
      <c r="E58" s="511"/>
      <c r="F58" s="511"/>
      <c r="G58" s="511"/>
    </row>
    <row r="59" spans="1:7">
      <c r="A59" s="526"/>
      <c r="B59" s="1633"/>
      <c r="C59" s="1650">
        <v>2018</v>
      </c>
      <c r="D59" s="1651">
        <v>2019</v>
      </c>
      <c r="E59" s="1650">
        <v>2020</v>
      </c>
      <c r="F59" s="1654" t="s">
        <v>138</v>
      </c>
      <c r="G59" s="1654" t="s">
        <v>139</v>
      </c>
    </row>
    <row r="60" spans="1:7">
      <c r="A60" s="496"/>
      <c r="B60" s="235" t="s">
        <v>962</v>
      </c>
      <c r="C60" s="1624">
        <v>32896</v>
      </c>
      <c r="D60" s="1624">
        <v>31332</v>
      </c>
      <c r="E60" s="1624">
        <v>45539</v>
      </c>
      <c r="F60" s="1626">
        <v>45896</v>
      </c>
      <c r="G60" s="1625">
        <v>54609</v>
      </c>
    </row>
    <row r="61" spans="1:7">
      <c r="A61" s="496"/>
      <c r="B61" s="1678" t="s">
        <v>963</v>
      </c>
      <c r="C61" s="1684">
        <v>1710</v>
      </c>
      <c r="D61" s="1684">
        <v>1747</v>
      </c>
      <c r="E61" s="1684">
        <v>1692</v>
      </c>
      <c r="F61" s="1742">
        <v>2655</v>
      </c>
      <c r="G61" s="1715">
        <v>3320</v>
      </c>
    </row>
    <row r="62" spans="1:7">
      <c r="A62" s="496"/>
      <c r="B62" s="1678" t="s">
        <v>964</v>
      </c>
      <c r="C62" s="1684">
        <v>2308</v>
      </c>
      <c r="D62" s="1684">
        <v>2327</v>
      </c>
      <c r="E62" s="1684">
        <v>2106</v>
      </c>
      <c r="F62" s="1742">
        <v>2329</v>
      </c>
      <c r="G62" s="1715">
        <v>2767</v>
      </c>
    </row>
    <row r="63" spans="1:7">
      <c r="A63" s="496"/>
      <c r="B63" s="1678" t="s">
        <v>965</v>
      </c>
      <c r="C63" s="1678">
        <v>19413</v>
      </c>
      <c r="D63" s="1684">
        <v>16628</v>
      </c>
      <c r="E63" s="1684">
        <v>12979</v>
      </c>
      <c r="F63" s="1742">
        <v>11983</v>
      </c>
      <c r="G63" s="1715">
        <v>16549</v>
      </c>
    </row>
    <row r="64" spans="1:7">
      <c r="A64" s="516"/>
      <c r="B64" s="1678" t="s">
        <v>666</v>
      </c>
      <c r="C64" s="1684">
        <v>68902</v>
      </c>
      <c r="D64" s="1684">
        <v>76311</v>
      </c>
      <c r="E64" s="1684">
        <v>76311</v>
      </c>
      <c r="F64" s="1742">
        <v>58181</v>
      </c>
      <c r="G64" s="1715">
        <v>41021</v>
      </c>
    </row>
    <row r="65" spans="1:7" ht="15" thickBot="1">
      <c r="A65" s="496"/>
      <c r="B65" s="278" t="s">
        <v>118</v>
      </c>
      <c r="C65" s="439">
        <f>SUM(C60:C64)</f>
        <v>125229</v>
      </c>
      <c r="D65" s="439">
        <f>SUM(D60:D64)</f>
        <v>128345</v>
      </c>
      <c r="E65" s="439">
        <f>SUM(E60:E64)</f>
        <v>138627</v>
      </c>
      <c r="F65" s="439">
        <v>121044</v>
      </c>
      <c r="G65" s="439">
        <f>SUM(G60:G64)</f>
        <v>118266</v>
      </c>
    </row>
    <row r="66" spans="1:7" ht="15" thickTop="1">
      <c r="A66" s="496"/>
      <c r="B66" s="278"/>
      <c r="C66" s="278"/>
      <c r="D66" s="278"/>
      <c r="E66" s="278"/>
      <c r="F66" s="278"/>
      <c r="G66" s="278"/>
    </row>
    <row r="67" spans="1:7">
      <c r="A67" s="496"/>
      <c r="B67" s="278"/>
      <c r="C67" s="278"/>
      <c r="E67" s="315"/>
      <c r="F67" s="315">
        <v>191</v>
      </c>
      <c r="G67" s="315">
        <v>191</v>
      </c>
    </row>
    <row r="68" spans="1:7">
      <c r="A68" s="496"/>
      <c r="B68" s="278"/>
      <c r="C68" s="278"/>
      <c r="D68" s="278"/>
      <c r="E68" s="278"/>
      <c r="F68" s="278"/>
      <c r="G68" s="278"/>
    </row>
    <row r="69" spans="1:7">
      <c r="A69" s="496"/>
      <c r="B69" s="526" t="s">
        <v>967</v>
      </c>
      <c r="C69" s="278"/>
      <c r="D69" s="278"/>
      <c r="E69" s="278"/>
      <c r="F69" s="278"/>
      <c r="G69" s="278"/>
    </row>
    <row r="70" spans="1:7">
      <c r="A70" s="496"/>
      <c r="B70" s="526"/>
      <c r="C70" s="278"/>
      <c r="D70" s="278"/>
      <c r="E70" s="278"/>
      <c r="F70" s="278"/>
      <c r="G70" s="278"/>
    </row>
    <row r="71" spans="1:7">
      <c r="A71" s="604"/>
      <c r="B71" s="1632" t="s">
        <v>239</v>
      </c>
      <c r="C71" s="511"/>
      <c r="D71" s="511"/>
      <c r="E71" s="511"/>
      <c r="F71" s="511"/>
      <c r="G71" s="511"/>
    </row>
    <row r="72" spans="1:7">
      <c r="A72" s="526"/>
      <c r="B72" s="1633"/>
      <c r="C72" s="1650">
        <v>2018</v>
      </c>
      <c r="D72" s="1651">
        <v>2019</v>
      </c>
      <c r="E72" s="1650">
        <v>2020</v>
      </c>
      <c r="F72" s="1654" t="s">
        <v>138</v>
      </c>
      <c r="G72" s="1654" t="s">
        <v>139</v>
      </c>
    </row>
    <row r="73" spans="1:7">
      <c r="A73" s="496"/>
      <c r="B73" s="235" t="s">
        <v>962</v>
      </c>
      <c r="C73" s="1624">
        <v>815</v>
      </c>
      <c r="D73" s="1624">
        <v>911</v>
      </c>
      <c r="E73" s="1624">
        <v>1359</v>
      </c>
      <c r="F73" s="1626">
        <v>721</v>
      </c>
      <c r="G73" s="1625">
        <v>1496</v>
      </c>
    </row>
    <row r="74" spans="1:7">
      <c r="A74" s="496"/>
      <c r="B74" s="1678" t="s">
        <v>963</v>
      </c>
      <c r="C74" s="1684">
        <v>88</v>
      </c>
      <c r="D74" s="1684">
        <v>627</v>
      </c>
      <c r="E74" s="1684">
        <v>2047</v>
      </c>
      <c r="F74" s="1742">
        <v>661</v>
      </c>
      <c r="G74" s="1715">
        <v>280</v>
      </c>
    </row>
    <row r="75" spans="1:7">
      <c r="A75" s="496"/>
      <c r="B75" s="1678" t="s">
        <v>964</v>
      </c>
      <c r="C75" s="1684">
        <v>43</v>
      </c>
      <c r="D75" s="1684">
        <v>48</v>
      </c>
      <c r="E75" s="1684">
        <v>42</v>
      </c>
      <c r="F75" s="1742">
        <v>54</v>
      </c>
      <c r="G75" s="1715">
        <v>40</v>
      </c>
    </row>
    <row r="76" spans="1:7">
      <c r="A76" s="496"/>
      <c r="B76" s="1678" t="s">
        <v>965</v>
      </c>
      <c r="C76" s="1684">
        <v>525</v>
      </c>
      <c r="D76" s="1684">
        <v>400</v>
      </c>
      <c r="E76" s="1684">
        <v>352</v>
      </c>
      <c r="F76" s="1742">
        <v>610</v>
      </c>
      <c r="G76" s="1715">
        <v>419</v>
      </c>
    </row>
    <row r="77" spans="1:7">
      <c r="A77" s="496"/>
      <c r="B77" s="1678" t="s">
        <v>666</v>
      </c>
      <c r="C77" s="1684">
        <v>2793</v>
      </c>
      <c r="D77" s="1684">
        <v>3083</v>
      </c>
      <c r="E77" s="1684">
        <v>3664</v>
      </c>
      <c r="F77" s="1742">
        <v>3878</v>
      </c>
      <c r="G77" s="1715">
        <v>4152</v>
      </c>
    </row>
    <row r="78" spans="1:7" ht="15" thickBot="1">
      <c r="A78" s="516"/>
      <c r="B78" s="278" t="s">
        <v>118</v>
      </c>
      <c r="C78" s="439">
        <f>SUM(C73:C77)</f>
        <v>4264</v>
      </c>
      <c r="D78" s="439">
        <f>SUM(D73:D77)</f>
        <v>5069</v>
      </c>
      <c r="E78" s="439">
        <f>SUM(E73:E77)</f>
        <v>7464</v>
      </c>
      <c r="F78" s="439">
        <v>5924</v>
      </c>
      <c r="G78" s="439">
        <f>SUM(G73:G77)</f>
        <v>6387</v>
      </c>
    </row>
    <row r="79" spans="1:7" ht="15" thickTop="1">
      <c r="A79" s="516"/>
      <c r="B79" s="278"/>
      <c r="C79" s="278"/>
      <c r="D79" s="278"/>
      <c r="E79" s="278"/>
      <c r="F79" s="278"/>
      <c r="G79" s="278"/>
    </row>
    <row r="80" spans="1:7">
      <c r="A80" s="516"/>
      <c r="B80" s="279"/>
      <c r="C80" s="279"/>
      <c r="D80" s="279"/>
      <c r="E80" s="279"/>
      <c r="F80" s="279"/>
      <c r="G80" s="279"/>
    </row>
    <row r="81" spans="1:21">
      <c r="A81" s="516"/>
      <c r="B81" s="279"/>
      <c r="C81" s="279"/>
      <c r="D81" s="279"/>
      <c r="E81" s="279"/>
      <c r="F81" s="279"/>
      <c r="G81" s="279"/>
    </row>
    <row r="82" spans="1:21">
      <c r="A82" s="604"/>
      <c r="B82" s="1632" t="s">
        <v>103</v>
      </c>
      <c r="C82" s="511"/>
      <c r="D82" s="511"/>
      <c r="E82" s="511"/>
      <c r="F82" s="511"/>
      <c r="G82" s="511"/>
    </row>
    <row r="83" spans="1:21">
      <c r="A83" s="526"/>
      <c r="B83" s="1633"/>
      <c r="C83" s="1650">
        <v>2018</v>
      </c>
      <c r="D83" s="1651">
        <v>2019</v>
      </c>
      <c r="E83" s="1650">
        <v>2020</v>
      </c>
      <c r="F83" s="1654" t="s">
        <v>138</v>
      </c>
      <c r="G83" s="1654" t="s">
        <v>139</v>
      </c>
    </row>
    <row r="84" spans="1:21">
      <c r="A84" s="496"/>
      <c r="B84" s="235" t="s">
        <v>962</v>
      </c>
      <c r="C84" s="1624">
        <v>2330</v>
      </c>
      <c r="D84" s="1624">
        <v>3260</v>
      </c>
      <c r="E84" s="1624">
        <v>4340</v>
      </c>
      <c r="F84" s="1626">
        <v>5600</v>
      </c>
      <c r="G84" s="1625">
        <v>6775</v>
      </c>
    </row>
    <row r="85" spans="1:21">
      <c r="A85" s="496"/>
      <c r="B85" s="1678" t="s">
        <v>963</v>
      </c>
      <c r="C85" s="1684">
        <v>226</v>
      </c>
      <c r="D85" s="1684">
        <v>260</v>
      </c>
      <c r="E85" s="1684">
        <v>225</v>
      </c>
      <c r="F85" s="1742">
        <v>292</v>
      </c>
      <c r="G85" s="1715">
        <v>444</v>
      </c>
    </row>
    <row r="86" spans="1:21">
      <c r="A86" s="496"/>
      <c r="B86" s="1678" t="s">
        <v>964</v>
      </c>
      <c r="C86" s="1684">
        <v>27</v>
      </c>
      <c r="D86" s="1684">
        <v>22</v>
      </c>
      <c r="E86" s="1684">
        <v>13</v>
      </c>
      <c r="F86" s="1742">
        <v>17</v>
      </c>
      <c r="G86" s="1715">
        <v>21</v>
      </c>
    </row>
    <row r="87" spans="1:21">
      <c r="A87" s="496"/>
      <c r="B87" s="1678" t="s">
        <v>965</v>
      </c>
      <c r="C87" s="1684">
        <v>2521</v>
      </c>
      <c r="D87" s="1684">
        <v>3063</v>
      </c>
      <c r="E87" s="1684">
        <v>2626</v>
      </c>
      <c r="F87" s="1742">
        <v>3396</v>
      </c>
      <c r="G87" s="1715">
        <v>3957</v>
      </c>
    </row>
    <row r="88" spans="1:21">
      <c r="A88" s="496"/>
      <c r="B88" s="1678" t="s">
        <v>666</v>
      </c>
      <c r="C88" s="1684">
        <v>3722</v>
      </c>
      <c r="D88" s="1684">
        <v>7409</v>
      </c>
      <c r="E88" s="1684">
        <v>5247</v>
      </c>
      <c r="F88" s="1742">
        <v>7737</v>
      </c>
      <c r="G88" s="1715">
        <v>8682</v>
      </c>
    </row>
    <row r="89" spans="1:21" ht="15" thickBot="1">
      <c r="A89" s="496"/>
      <c r="B89" s="466" t="s">
        <v>118</v>
      </c>
      <c r="C89" s="439">
        <f>SUM(C84:C88)</f>
        <v>8826</v>
      </c>
      <c r="D89" s="439">
        <f>SUM(D84:D88)</f>
        <v>14014</v>
      </c>
      <c r="E89" s="439">
        <f>SUM(E84:E88)</f>
        <v>12451</v>
      </c>
      <c r="F89" s="439">
        <v>17042</v>
      </c>
      <c r="G89" s="439">
        <f>SUM(G84:G88)</f>
        <v>19879</v>
      </c>
    </row>
    <row r="90" spans="1:21" ht="15" thickTop="1">
      <c r="A90" s="496"/>
      <c r="B90" s="466"/>
      <c r="C90" s="466"/>
      <c r="D90" s="466"/>
      <c r="E90" s="466"/>
      <c r="F90" s="466"/>
      <c r="G90" s="466"/>
    </row>
    <row r="91" spans="1:21">
      <c r="A91" s="496"/>
      <c r="B91" s="466"/>
      <c r="C91" s="466"/>
      <c r="D91" s="466"/>
      <c r="E91" s="466"/>
      <c r="F91" s="466"/>
      <c r="G91" s="466"/>
    </row>
    <row r="92" spans="1:21">
      <c r="A92" s="604"/>
      <c r="B92" s="1632" t="s">
        <v>133</v>
      </c>
      <c r="C92" s="511"/>
      <c r="D92" s="511"/>
      <c r="E92" s="511"/>
      <c r="F92" s="511"/>
      <c r="G92" s="511"/>
    </row>
    <row r="93" spans="1:21">
      <c r="A93" s="526"/>
      <c r="B93" s="1633"/>
      <c r="C93" s="1650">
        <v>2018</v>
      </c>
      <c r="D93" s="1651">
        <v>2019</v>
      </c>
      <c r="E93" s="1650">
        <v>2020</v>
      </c>
      <c r="F93" s="1654" t="s">
        <v>138</v>
      </c>
      <c r="G93" s="1654" t="s">
        <v>139</v>
      </c>
      <c r="H93"/>
      <c r="I93" s="607"/>
      <c r="J93" s="607"/>
      <c r="K93" s="607"/>
      <c r="L93" s="607"/>
      <c r="M93" s="607"/>
      <c r="N93" s="607"/>
      <c r="O93" s="607"/>
      <c r="P93" s="607"/>
      <c r="Q93" s="607"/>
      <c r="R93" s="607"/>
      <c r="S93" s="607"/>
      <c r="T93" s="607"/>
      <c r="U93" s="607"/>
    </row>
    <row r="94" spans="1:21">
      <c r="A94" s="496"/>
      <c r="B94" s="235" t="s">
        <v>962</v>
      </c>
      <c r="C94" s="235">
        <f>6201+893</f>
        <v>7094</v>
      </c>
      <c r="D94" s="1624">
        <v>7823</v>
      </c>
      <c r="E94" s="1624">
        <f>9096+2613</f>
        <v>11709</v>
      </c>
      <c r="F94" s="1626">
        <v>11725</v>
      </c>
      <c r="G94" s="1625">
        <v>11708</v>
      </c>
      <c r="H94"/>
      <c r="I94" s="473"/>
      <c r="J94" s="473"/>
      <c r="K94" s="487"/>
      <c r="L94" s="473"/>
      <c r="M94" s="473"/>
      <c r="N94" s="487"/>
      <c r="O94" s="264"/>
      <c r="P94" s="305"/>
      <c r="Q94" s="599"/>
      <c r="R94" s="264"/>
      <c r="S94" s="410"/>
      <c r="T94" s="608"/>
      <c r="U94" s="607"/>
    </row>
    <row r="95" spans="1:21">
      <c r="A95" s="496"/>
      <c r="B95" s="1678" t="s">
        <v>963</v>
      </c>
      <c r="C95" s="1678">
        <f>1302+10</f>
        <v>1312</v>
      </c>
      <c r="D95" s="1684">
        <v>1118</v>
      </c>
      <c r="E95" s="1684">
        <f>897</f>
        <v>897</v>
      </c>
      <c r="F95" s="1742">
        <v>758</v>
      </c>
      <c r="G95" s="1715">
        <v>1256</v>
      </c>
      <c r="H95"/>
      <c r="I95" s="473"/>
      <c r="J95" s="473"/>
      <c r="K95" s="487"/>
      <c r="L95" s="473"/>
      <c r="M95" s="473"/>
      <c r="N95" s="487"/>
      <c r="O95" s="264"/>
      <c r="P95" s="305"/>
      <c r="Q95" s="599"/>
      <c r="R95" s="264"/>
      <c r="S95" s="410"/>
      <c r="T95" s="608"/>
      <c r="U95" s="607"/>
    </row>
    <row r="96" spans="1:21">
      <c r="A96" s="496"/>
      <c r="B96" s="1678" t="s">
        <v>964</v>
      </c>
      <c r="C96" s="1678">
        <v>6</v>
      </c>
      <c r="D96" s="1684">
        <v>5</v>
      </c>
      <c r="E96" s="1684">
        <v>53</v>
      </c>
      <c r="F96" s="1742">
        <v>32</v>
      </c>
      <c r="G96" s="1715">
        <v>29</v>
      </c>
      <c r="H96"/>
      <c r="I96" s="473"/>
      <c r="J96" s="473"/>
      <c r="K96" s="487"/>
      <c r="L96" s="473"/>
      <c r="M96" s="473"/>
      <c r="N96" s="487"/>
      <c r="O96" s="264"/>
      <c r="P96" s="305"/>
      <c r="Q96" s="599"/>
      <c r="R96" s="264"/>
      <c r="S96" s="410"/>
      <c r="T96" s="608"/>
      <c r="U96" s="607"/>
    </row>
    <row r="97" spans="1:21">
      <c r="A97" s="496"/>
      <c r="B97" s="1678" t="s">
        <v>965</v>
      </c>
      <c r="C97" s="1678">
        <f>5091+40</f>
        <v>5131</v>
      </c>
      <c r="D97" s="1684">
        <v>4967</v>
      </c>
      <c r="E97" s="1684">
        <f>3914+16</f>
        <v>3930</v>
      </c>
      <c r="F97" s="1742">
        <v>4301</v>
      </c>
      <c r="G97" s="1715">
        <v>3633</v>
      </c>
      <c r="H97"/>
      <c r="I97" s="473"/>
      <c r="J97" s="473"/>
      <c r="K97" s="487"/>
      <c r="L97" s="473"/>
      <c r="M97" s="473"/>
      <c r="N97" s="487"/>
      <c r="O97" s="264"/>
      <c r="P97" s="305"/>
      <c r="Q97" s="599"/>
      <c r="R97" s="264"/>
      <c r="S97" s="410"/>
      <c r="T97" s="608"/>
      <c r="U97" s="607"/>
    </row>
    <row r="98" spans="1:21">
      <c r="A98" s="496"/>
      <c r="B98" s="1678" t="s">
        <v>666</v>
      </c>
      <c r="C98" s="1678">
        <f>17645+159</f>
        <v>17804</v>
      </c>
      <c r="D98" s="1684">
        <v>19267</v>
      </c>
      <c r="E98" s="1684">
        <f>15887+17</f>
        <v>15904</v>
      </c>
      <c r="F98" s="1742">
        <v>14765</v>
      </c>
      <c r="G98" s="1715">
        <v>19622</v>
      </c>
      <c r="H98"/>
      <c r="I98" s="473"/>
      <c r="J98" s="473"/>
      <c r="K98" s="487"/>
      <c r="L98" s="473"/>
      <c r="M98" s="473"/>
      <c r="N98" s="487"/>
      <c r="O98" s="264"/>
      <c r="P98" s="305"/>
      <c r="Q98" s="599"/>
      <c r="R98" s="264"/>
      <c r="S98" s="410"/>
      <c r="T98" s="608"/>
      <c r="U98" s="607"/>
    </row>
    <row r="99" spans="1:21" ht="15" thickBot="1">
      <c r="A99" s="496"/>
      <c r="B99" s="278" t="s">
        <v>118</v>
      </c>
      <c r="C99" s="439">
        <f>SUM(C94:C98)</f>
        <v>31347</v>
      </c>
      <c r="D99" s="439">
        <f>SUM(D94:D98)</f>
        <v>33180</v>
      </c>
      <c r="E99" s="439">
        <f>SUM(E94:E98)</f>
        <v>32493</v>
      </c>
      <c r="F99" s="439">
        <v>31581</v>
      </c>
      <c r="G99" s="439">
        <f>SUM(G94:G98)</f>
        <v>36248</v>
      </c>
      <c r="H99"/>
      <c r="I99" s="607"/>
      <c r="J99" s="607"/>
      <c r="K99" s="607"/>
      <c r="L99" s="607"/>
      <c r="M99" s="607"/>
      <c r="N99" s="607"/>
      <c r="O99" s="607"/>
      <c r="P99" s="607"/>
      <c r="Q99" s="607"/>
      <c r="R99" s="607"/>
      <c r="S99" s="607"/>
      <c r="T99" s="607"/>
      <c r="U99" s="607"/>
    </row>
    <row r="100" spans="1:21" ht="15" thickTop="1">
      <c r="A100" s="609"/>
      <c r="E100" s="604"/>
      <c r="F100" s="604"/>
      <c r="G100" s="604"/>
      <c r="H100" s="607"/>
      <c r="I100" s="607"/>
      <c r="J100" s="607"/>
      <c r="K100" s="607"/>
      <c r="L100" s="607"/>
      <c r="M100" s="607"/>
      <c r="N100" s="607"/>
      <c r="O100" s="607"/>
      <c r="P100" s="607"/>
      <c r="Q100" s="607"/>
      <c r="R100" s="607"/>
      <c r="S100" s="607"/>
      <c r="T100" s="607"/>
      <c r="U100" s="607"/>
    </row>
    <row r="101" spans="1:21">
      <c r="A101" s="609"/>
      <c r="E101" s="604"/>
      <c r="F101" s="604">
        <v>192</v>
      </c>
      <c r="G101" s="385">
        <v>192</v>
      </c>
      <c r="H101" s="607"/>
      <c r="I101" s="607"/>
      <c r="J101" s="607"/>
      <c r="K101" s="607"/>
      <c r="L101" s="607"/>
      <c r="M101" s="607"/>
      <c r="N101" s="607"/>
      <c r="O101" s="607"/>
      <c r="P101" s="607"/>
      <c r="Q101" s="607"/>
      <c r="R101" s="607"/>
      <c r="S101" s="607"/>
      <c r="T101" s="607"/>
      <c r="U101" s="607"/>
    </row>
    <row r="102" spans="1:21">
      <c r="A102" s="609"/>
      <c r="E102" s="604"/>
      <c r="F102" s="604"/>
      <c r="G102" s="604"/>
      <c r="H102" s="607"/>
      <c r="I102" s="607"/>
      <c r="J102" s="607"/>
      <c r="K102" s="607"/>
      <c r="L102" s="607"/>
      <c r="M102" s="607"/>
      <c r="N102" s="607"/>
      <c r="O102" s="607"/>
      <c r="P102" s="607"/>
      <c r="Q102" s="607"/>
      <c r="R102" s="607"/>
      <c r="S102" s="607"/>
      <c r="T102" s="607"/>
      <c r="U102" s="607"/>
    </row>
    <row r="103" spans="1:21">
      <c r="A103" s="609"/>
      <c r="B103" s="526" t="s">
        <v>967</v>
      </c>
      <c r="E103" s="604"/>
      <c r="F103" s="604"/>
      <c r="G103" s="604"/>
      <c r="H103" s="607"/>
      <c r="I103" s="607"/>
      <c r="J103" s="607"/>
      <c r="K103" s="607"/>
      <c r="L103" s="607"/>
      <c r="M103" s="607"/>
      <c r="N103" s="607"/>
      <c r="O103" s="607"/>
      <c r="P103" s="607"/>
      <c r="Q103" s="607"/>
      <c r="R103" s="607"/>
      <c r="S103" s="607"/>
      <c r="T103" s="607"/>
      <c r="U103" s="607"/>
    </row>
    <row r="104" spans="1:21">
      <c r="A104" s="610"/>
      <c r="B104" s="606"/>
      <c r="E104" s="604"/>
      <c r="F104" s="604"/>
      <c r="G104" s="604"/>
    </row>
    <row r="105" spans="1:21">
      <c r="A105" s="604"/>
      <c r="B105" s="1632" t="s">
        <v>106</v>
      </c>
      <c r="E105" s="604"/>
      <c r="F105" s="604"/>
      <c r="G105" s="604"/>
    </row>
    <row r="106" spans="1:21">
      <c r="A106" s="526"/>
      <c r="B106" s="1633"/>
      <c r="C106" s="1650">
        <v>2018</v>
      </c>
      <c r="D106" s="1651">
        <v>2019</v>
      </c>
      <c r="E106" s="1650">
        <v>2020</v>
      </c>
      <c r="F106" s="1654" t="s">
        <v>138</v>
      </c>
      <c r="G106" s="1654" t="s">
        <v>139</v>
      </c>
    </row>
    <row r="107" spans="1:21">
      <c r="A107" s="496"/>
      <c r="B107" s="235" t="s">
        <v>962</v>
      </c>
      <c r="C107" s="235">
        <v>1046</v>
      </c>
      <c r="D107" s="235">
        <v>1706</v>
      </c>
      <c r="E107" s="235">
        <v>2288</v>
      </c>
      <c r="F107" s="1626">
        <v>2779</v>
      </c>
      <c r="G107" s="1625">
        <v>2451</v>
      </c>
    </row>
    <row r="108" spans="1:21">
      <c r="A108" s="496"/>
      <c r="B108" s="1678" t="s">
        <v>963</v>
      </c>
      <c r="C108" s="1678">
        <v>35</v>
      </c>
      <c r="D108" s="1678">
        <v>32</v>
      </c>
      <c r="E108" s="1678">
        <v>32</v>
      </c>
      <c r="F108" s="1742">
        <v>39</v>
      </c>
      <c r="G108" s="1715">
        <v>47</v>
      </c>
    </row>
    <row r="109" spans="1:21">
      <c r="A109" s="496"/>
      <c r="B109" s="1678" t="s">
        <v>964</v>
      </c>
      <c r="C109" s="1678"/>
      <c r="D109" s="1678"/>
      <c r="E109" s="1678">
        <v>0</v>
      </c>
      <c r="F109" s="1742">
        <v>0</v>
      </c>
      <c r="G109" s="1715"/>
    </row>
    <row r="110" spans="1:21">
      <c r="A110" s="496"/>
      <c r="B110" s="1678" t="s">
        <v>965</v>
      </c>
      <c r="C110" s="1678">
        <v>168</v>
      </c>
      <c r="D110" s="1678">
        <v>155</v>
      </c>
      <c r="E110" s="1678">
        <v>215</v>
      </c>
      <c r="F110" s="1742">
        <v>298</v>
      </c>
      <c r="G110" s="1715">
        <v>144</v>
      </c>
    </row>
    <row r="111" spans="1:21">
      <c r="A111" s="496"/>
      <c r="B111" s="1678" t="s">
        <v>968</v>
      </c>
      <c r="C111" s="1678">
        <v>1260</v>
      </c>
      <c r="D111" s="1678">
        <v>956</v>
      </c>
      <c r="E111" s="1678">
        <v>1118</v>
      </c>
      <c r="F111" s="1742">
        <v>1635</v>
      </c>
      <c r="G111" s="1715">
        <v>1012</v>
      </c>
    </row>
    <row r="112" spans="1:21" ht="15" thickBot="1">
      <c r="A112" s="496"/>
      <c r="B112" s="466" t="s">
        <v>118</v>
      </c>
      <c r="C112" s="439">
        <f>SUM(C107:C111)</f>
        <v>2509</v>
      </c>
      <c r="D112" s="439">
        <f>SUM(D107:D111)</f>
        <v>2849</v>
      </c>
      <c r="E112" s="439">
        <f>SUM(E107:E111)</f>
        <v>3653</v>
      </c>
      <c r="F112" s="439">
        <f>SUM(F107:F111)</f>
        <v>4751</v>
      </c>
      <c r="G112" s="439">
        <f>SUM(G107:G111)</f>
        <v>3654</v>
      </c>
    </row>
    <row r="113" spans="1:7" ht="15" thickTop="1">
      <c r="A113" s="496"/>
      <c r="B113" s="466"/>
      <c r="C113" s="466"/>
      <c r="D113" s="466"/>
      <c r="E113" s="466"/>
      <c r="F113" s="466"/>
      <c r="G113" s="466"/>
    </row>
    <row r="114" spans="1:7">
      <c r="A114" s="496"/>
      <c r="B114" s="279"/>
      <c r="C114" s="279"/>
      <c r="D114" s="279"/>
      <c r="E114" s="279"/>
      <c r="F114" s="279"/>
      <c r="G114" s="279"/>
    </row>
    <row r="115" spans="1:7">
      <c r="A115" s="604"/>
      <c r="B115" s="1632" t="s">
        <v>107</v>
      </c>
      <c r="C115" s="511"/>
      <c r="D115" s="511"/>
      <c r="E115" s="511"/>
      <c r="F115" s="511"/>
      <c r="G115" s="511"/>
    </row>
    <row r="116" spans="1:7">
      <c r="A116" s="526"/>
      <c r="B116" s="1633"/>
      <c r="C116" s="1650">
        <v>2018</v>
      </c>
      <c r="D116" s="1651">
        <v>2019</v>
      </c>
      <c r="E116" s="1650">
        <v>2020</v>
      </c>
      <c r="F116" s="1654" t="s">
        <v>138</v>
      </c>
      <c r="G116" s="1654" t="s">
        <v>139</v>
      </c>
    </row>
    <row r="117" spans="1:7">
      <c r="A117" s="496"/>
      <c r="B117" s="235" t="s">
        <v>962</v>
      </c>
      <c r="C117" s="235">
        <v>176</v>
      </c>
      <c r="D117" s="235">
        <v>347</v>
      </c>
      <c r="E117" s="235">
        <v>29</v>
      </c>
      <c r="F117" s="1626">
        <v>16</v>
      </c>
      <c r="G117" s="1625">
        <v>12</v>
      </c>
    </row>
    <row r="118" spans="1:7">
      <c r="A118" s="496"/>
      <c r="B118" s="1678" t="s">
        <v>963</v>
      </c>
      <c r="C118" s="1678">
        <v>3727</v>
      </c>
      <c r="D118" s="1678">
        <v>2869</v>
      </c>
      <c r="E118" s="1678">
        <v>1985</v>
      </c>
      <c r="F118" s="1742">
        <v>2015</v>
      </c>
      <c r="G118" s="1715">
        <v>1633</v>
      </c>
    </row>
    <row r="119" spans="1:7">
      <c r="A119" s="496"/>
      <c r="B119" s="1678" t="s">
        <v>964</v>
      </c>
      <c r="C119" s="1678">
        <v>183</v>
      </c>
      <c r="D119" s="1678">
        <v>171</v>
      </c>
      <c r="E119" s="1678">
        <v>1160</v>
      </c>
      <c r="F119" s="1742">
        <v>339</v>
      </c>
      <c r="G119" s="1715">
        <v>204</v>
      </c>
    </row>
    <row r="120" spans="1:7">
      <c r="A120" s="496"/>
      <c r="B120" s="1678" t="s">
        <v>965</v>
      </c>
      <c r="C120" s="1678">
        <v>743</v>
      </c>
      <c r="D120" s="1678">
        <v>1660</v>
      </c>
      <c r="E120" s="1678">
        <v>4557</v>
      </c>
      <c r="F120" s="1742">
        <v>5891</v>
      </c>
      <c r="G120" s="1715">
        <v>4009</v>
      </c>
    </row>
    <row r="121" spans="1:7">
      <c r="A121" s="496"/>
      <c r="B121" s="1678" t="s">
        <v>666</v>
      </c>
      <c r="C121" s="1678">
        <v>999</v>
      </c>
      <c r="D121" s="1678">
        <v>1298</v>
      </c>
      <c r="E121" s="1678">
        <v>318</v>
      </c>
      <c r="F121" s="1742">
        <v>13843</v>
      </c>
      <c r="G121" s="1715">
        <v>25459</v>
      </c>
    </row>
    <row r="122" spans="1:7" ht="15" thickBot="1">
      <c r="A122" s="496"/>
      <c r="B122" s="278" t="s">
        <v>118</v>
      </c>
      <c r="C122" s="439">
        <f>SUM(C117:C121)</f>
        <v>5828</v>
      </c>
      <c r="D122" s="439">
        <f>SUM(D117:D121)</f>
        <v>6345</v>
      </c>
      <c r="E122" s="439">
        <f>SUM(E117:E121)</f>
        <v>8049</v>
      </c>
      <c r="F122" s="439">
        <f>SUM(F117:F121)</f>
        <v>22104</v>
      </c>
      <c r="G122" s="439">
        <f>SUM(G117:G121)</f>
        <v>31317</v>
      </c>
    </row>
    <row r="123" spans="1:7" ht="15" thickTop="1">
      <c r="A123" s="496"/>
      <c r="B123" s="278"/>
      <c r="C123" s="278"/>
      <c r="D123" s="278"/>
      <c r="E123" s="278"/>
      <c r="F123" s="278"/>
      <c r="G123" s="278"/>
    </row>
    <row r="124" spans="1:7">
      <c r="A124" s="496"/>
      <c r="B124" s="278"/>
      <c r="C124" s="278"/>
      <c r="D124" s="315"/>
      <c r="E124" s="315"/>
      <c r="F124" s="315"/>
      <c r="G124" s="315"/>
    </row>
    <row r="125" spans="1:7">
      <c r="A125" s="496"/>
      <c r="B125" s="279"/>
      <c r="C125" s="278"/>
      <c r="D125" s="278"/>
      <c r="E125" s="278"/>
      <c r="F125" s="278"/>
      <c r="G125" s="278"/>
    </row>
    <row r="126" spans="1:7">
      <c r="A126" s="604"/>
      <c r="B126" s="1632" t="s">
        <v>109</v>
      </c>
      <c r="C126" s="511"/>
      <c r="D126" s="511"/>
      <c r="E126" s="511"/>
      <c r="F126" s="511"/>
      <c r="G126" s="511"/>
    </row>
    <row r="127" spans="1:7">
      <c r="A127" s="474"/>
      <c r="B127" s="1633"/>
      <c r="C127" s="1650">
        <v>2018</v>
      </c>
      <c r="D127" s="1651">
        <v>2019</v>
      </c>
      <c r="E127" s="1651">
        <v>2020</v>
      </c>
      <c r="F127" s="1654" t="s">
        <v>138</v>
      </c>
      <c r="G127" s="1654" t="s">
        <v>139</v>
      </c>
    </row>
    <row r="128" spans="1:7">
      <c r="A128" s="496"/>
      <c r="B128" s="235" t="s">
        <v>962</v>
      </c>
      <c r="C128" s="235">
        <v>45</v>
      </c>
      <c r="D128" s="235">
        <v>85</v>
      </c>
      <c r="E128" s="235">
        <v>44</v>
      </c>
      <c r="F128" s="1626">
        <v>90</v>
      </c>
      <c r="G128" s="1625">
        <v>121</v>
      </c>
    </row>
    <row r="129" spans="1:7">
      <c r="A129" s="496"/>
      <c r="B129" s="1678" t="s">
        <v>963</v>
      </c>
      <c r="C129" s="1678">
        <v>22</v>
      </c>
      <c r="D129" s="1678">
        <v>16</v>
      </c>
      <c r="E129" s="1678">
        <v>20</v>
      </c>
      <c r="F129" s="1742">
        <v>155</v>
      </c>
      <c r="G129" s="1715">
        <v>14</v>
      </c>
    </row>
    <row r="130" spans="1:7">
      <c r="A130" s="496"/>
      <c r="B130" s="1678" t="s">
        <v>964</v>
      </c>
      <c r="C130" s="1678">
        <v>3</v>
      </c>
      <c r="D130" s="1678">
        <v>3</v>
      </c>
      <c r="E130" s="1678"/>
      <c r="F130" s="1742">
        <v>0</v>
      </c>
      <c r="G130" s="1715"/>
    </row>
    <row r="131" spans="1:7">
      <c r="A131" s="496"/>
      <c r="B131" s="1678" t="s">
        <v>965</v>
      </c>
      <c r="C131" s="1678">
        <v>239</v>
      </c>
      <c r="D131" s="1678">
        <v>351</v>
      </c>
      <c r="E131" s="1678">
        <v>246</v>
      </c>
      <c r="F131" s="1742">
        <v>230</v>
      </c>
      <c r="G131" s="1715">
        <v>344</v>
      </c>
    </row>
    <row r="132" spans="1:7">
      <c r="A132" s="496"/>
      <c r="B132" s="1678" t="s">
        <v>666</v>
      </c>
      <c r="C132" s="1678"/>
      <c r="D132" s="1678"/>
      <c r="E132" s="1678"/>
      <c r="F132" s="1742">
        <v>123</v>
      </c>
      <c r="G132" s="1715">
        <v>95</v>
      </c>
    </row>
    <row r="133" spans="1:7" ht="15" thickBot="1">
      <c r="A133" s="496"/>
      <c r="B133" s="278" t="s">
        <v>118</v>
      </c>
      <c r="C133" s="439">
        <f>SUM(C128:C132)</f>
        <v>309</v>
      </c>
      <c r="D133" s="439">
        <f>SUM(D128:D132)</f>
        <v>455</v>
      </c>
      <c r="E133" s="439">
        <f>SUM(E128:E132)</f>
        <v>310</v>
      </c>
      <c r="F133" s="439">
        <f>SUM(F128:F132)</f>
        <v>598</v>
      </c>
      <c r="G133" s="439">
        <f>SUM(G128:G132)</f>
        <v>574</v>
      </c>
    </row>
    <row r="134" spans="1:7" ht="15" thickTop="1">
      <c r="A134" s="496"/>
      <c r="B134" s="278"/>
      <c r="C134" s="278"/>
      <c r="D134" s="278"/>
      <c r="E134" s="278"/>
      <c r="F134" s="278"/>
      <c r="G134" s="278"/>
    </row>
    <row r="135" spans="1:7">
      <c r="A135" s="496"/>
      <c r="B135" s="278"/>
      <c r="C135" s="278"/>
      <c r="E135" s="315"/>
      <c r="F135" s="315"/>
      <c r="G135" s="315">
        <v>193</v>
      </c>
    </row>
    <row r="136" spans="1:7">
      <c r="A136" s="496"/>
      <c r="B136" s="278"/>
      <c r="C136" s="278"/>
      <c r="D136" s="278"/>
      <c r="E136" s="278"/>
      <c r="F136" s="278"/>
      <c r="G136" s="278"/>
    </row>
    <row r="137" spans="1:7">
      <c r="A137" s="496"/>
      <c r="B137" s="526" t="s">
        <v>967</v>
      </c>
      <c r="C137" s="278"/>
      <c r="D137" s="278"/>
      <c r="E137" s="278"/>
      <c r="F137" s="278"/>
      <c r="G137" s="278"/>
    </row>
    <row r="138" spans="1:7">
      <c r="A138" s="496"/>
      <c r="B138" s="278"/>
      <c r="C138" s="278"/>
      <c r="D138" s="278"/>
      <c r="E138" s="278"/>
      <c r="F138" s="278"/>
      <c r="G138" s="278"/>
    </row>
    <row r="139" spans="1:7">
      <c r="A139" s="604"/>
      <c r="B139" s="1632" t="s">
        <v>115</v>
      </c>
      <c r="C139" s="511"/>
      <c r="D139" s="511"/>
      <c r="E139" s="511"/>
      <c r="F139" s="511"/>
      <c r="G139" s="511"/>
    </row>
    <row r="140" spans="1:7">
      <c r="A140" s="526"/>
      <c r="B140" s="1633"/>
      <c r="C140" s="1650">
        <v>2018</v>
      </c>
      <c r="D140" s="1651">
        <v>2019</v>
      </c>
      <c r="E140" s="1650">
        <v>2020</v>
      </c>
      <c r="F140" s="1654" t="s">
        <v>138</v>
      </c>
      <c r="G140" s="1654" t="s">
        <v>139</v>
      </c>
    </row>
    <row r="141" spans="1:7">
      <c r="A141" s="516"/>
      <c r="B141" s="235" t="s">
        <v>962</v>
      </c>
      <c r="C141" s="235">
        <v>74420</v>
      </c>
      <c r="D141" s="235">
        <v>64158</v>
      </c>
      <c r="E141" s="235">
        <v>66459</v>
      </c>
      <c r="F141" s="1626">
        <v>70545</v>
      </c>
      <c r="G141" s="1625">
        <v>75557</v>
      </c>
    </row>
    <row r="142" spans="1:7">
      <c r="A142" s="496"/>
      <c r="B142" s="1678" t="s">
        <v>963</v>
      </c>
      <c r="C142" s="1678">
        <v>2630</v>
      </c>
      <c r="D142" s="1678">
        <v>2775</v>
      </c>
      <c r="E142" s="1678">
        <v>2037</v>
      </c>
      <c r="F142" s="1742">
        <v>2878</v>
      </c>
      <c r="G142" s="1715">
        <v>3415</v>
      </c>
    </row>
    <row r="143" spans="1:7">
      <c r="A143" s="496"/>
      <c r="B143" s="1678" t="s">
        <v>964</v>
      </c>
      <c r="C143" s="1678">
        <v>628</v>
      </c>
      <c r="D143" s="1678">
        <v>746</v>
      </c>
      <c r="E143" s="1678">
        <v>720</v>
      </c>
      <c r="F143" s="1742">
        <v>731</v>
      </c>
      <c r="G143" s="1715">
        <v>771</v>
      </c>
    </row>
    <row r="144" spans="1:7">
      <c r="A144" s="496"/>
      <c r="B144" s="1678" t="s">
        <v>965</v>
      </c>
      <c r="C144" s="1678">
        <v>16202</v>
      </c>
      <c r="D144" s="1678">
        <v>23060</v>
      </c>
      <c r="E144" s="1678">
        <v>65602</v>
      </c>
      <c r="F144" s="1742">
        <v>45367</v>
      </c>
      <c r="G144" s="1715">
        <v>20909</v>
      </c>
    </row>
    <row r="145" spans="1:7">
      <c r="A145" s="496"/>
      <c r="B145" s="1678" t="s">
        <v>666</v>
      </c>
      <c r="C145" s="1678">
        <v>13127</v>
      </c>
      <c r="D145" s="1678">
        <v>16566</v>
      </c>
      <c r="E145" s="1678">
        <v>11493</v>
      </c>
      <c r="F145" s="1742">
        <v>14817</v>
      </c>
      <c r="G145" s="1715">
        <v>16054</v>
      </c>
    </row>
    <row r="146" spans="1:7" ht="15" thickBot="1">
      <c r="A146" s="496"/>
      <c r="B146" s="278" t="s">
        <v>118</v>
      </c>
      <c r="C146" s="439">
        <f>SUM(C141:C145)</f>
        <v>107007</v>
      </c>
      <c r="D146" s="439">
        <f>SUM(D141:D145)</f>
        <v>107305</v>
      </c>
      <c r="E146" s="439">
        <f>SUM(E141:E145)</f>
        <v>146311</v>
      </c>
      <c r="F146" s="439">
        <f>SUM(F141:F145)</f>
        <v>134338</v>
      </c>
      <c r="G146" s="439">
        <f>SUM(G141:G145)</f>
        <v>116706</v>
      </c>
    </row>
    <row r="147" spans="1:7" ht="15" thickTop="1">
      <c r="A147" s="496"/>
      <c r="B147" s="278"/>
      <c r="C147" s="278"/>
      <c r="D147" s="278"/>
      <c r="E147" s="278"/>
      <c r="F147" s="278"/>
      <c r="G147" s="278"/>
    </row>
    <row r="148" spans="1:7">
      <c r="A148" s="496"/>
      <c r="B148" s="278"/>
      <c r="C148" s="278"/>
      <c r="D148" s="278"/>
      <c r="E148" s="278"/>
      <c r="F148" s="278"/>
      <c r="G148" s="278"/>
    </row>
    <row r="149" spans="1:7">
      <c r="A149" s="604"/>
      <c r="B149" s="1632" t="s">
        <v>113</v>
      </c>
      <c r="C149" s="511"/>
      <c r="D149" s="511"/>
      <c r="E149" s="511"/>
      <c r="F149" s="511"/>
      <c r="G149" s="511"/>
    </row>
    <row r="150" spans="1:7">
      <c r="A150" s="526"/>
      <c r="B150" s="1633"/>
      <c r="C150" s="1650">
        <v>2018</v>
      </c>
      <c r="D150" s="1651">
        <v>2019</v>
      </c>
      <c r="E150" s="1650">
        <v>2020</v>
      </c>
      <c r="F150" s="1654" t="s">
        <v>138</v>
      </c>
      <c r="G150" s="1654" t="s">
        <v>139</v>
      </c>
    </row>
    <row r="151" spans="1:7">
      <c r="A151" s="496"/>
      <c r="B151" s="235" t="s">
        <v>962</v>
      </c>
      <c r="C151" s="235">
        <v>5313</v>
      </c>
      <c r="D151" s="235">
        <v>1591</v>
      </c>
      <c r="E151" s="235">
        <v>425</v>
      </c>
      <c r="F151" s="1626">
        <v>1537</v>
      </c>
      <c r="G151" s="1625">
        <v>3693</v>
      </c>
    </row>
    <row r="152" spans="1:7">
      <c r="A152" s="516"/>
      <c r="B152" s="1678" t="s">
        <v>963</v>
      </c>
      <c r="C152" s="1678">
        <v>206</v>
      </c>
      <c r="D152" s="1678">
        <v>171</v>
      </c>
      <c r="E152" s="1678">
        <v>330</v>
      </c>
      <c r="F152" s="1742">
        <v>190</v>
      </c>
      <c r="G152" s="1715">
        <v>265</v>
      </c>
    </row>
    <row r="153" spans="1:7">
      <c r="A153" s="496"/>
      <c r="B153" s="1678" t="s">
        <v>964</v>
      </c>
      <c r="C153" s="1678">
        <v>6</v>
      </c>
      <c r="D153" s="1678">
        <v>30</v>
      </c>
      <c r="E153" s="1678">
        <v>15</v>
      </c>
      <c r="F153" s="1742">
        <v>12</v>
      </c>
      <c r="G153" s="1715">
        <v>17</v>
      </c>
    </row>
    <row r="154" spans="1:7">
      <c r="A154" s="496"/>
      <c r="B154" s="1678" t="s">
        <v>965</v>
      </c>
      <c r="C154" s="1678">
        <v>70</v>
      </c>
      <c r="D154" s="1678">
        <v>61</v>
      </c>
      <c r="E154" s="1678">
        <v>90</v>
      </c>
      <c r="F154" s="1742">
        <v>166</v>
      </c>
      <c r="G154" s="1715">
        <v>1341</v>
      </c>
    </row>
    <row r="155" spans="1:7">
      <c r="A155" s="496"/>
      <c r="B155" s="1678" t="s">
        <v>666</v>
      </c>
      <c r="C155" s="1678">
        <v>141</v>
      </c>
      <c r="D155" s="1678">
        <v>454</v>
      </c>
      <c r="E155" s="1678">
        <v>238</v>
      </c>
      <c r="F155" s="1742">
        <v>1067</v>
      </c>
      <c r="G155" s="1715">
        <v>1321</v>
      </c>
    </row>
    <row r="156" spans="1:7" ht="15" thickBot="1">
      <c r="A156" s="496"/>
      <c r="B156" s="278" t="s">
        <v>118</v>
      </c>
      <c r="C156" s="439">
        <f>SUM(C151:C155)</f>
        <v>5736</v>
      </c>
      <c r="D156" s="439">
        <f>SUM(D151:D155)</f>
        <v>2307</v>
      </c>
      <c r="E156" s="439">
        <f>SUM(E151:E155)</f>
        <v>1098</v>
      </c>
      <c r="F156" s="439">
        <f>SUM(F151:F155)</f>
        <v>2972</v>
      </c>
      <c r="G156" s="439">
        <f>SUM(G151:G155)</f>
        <v>6637</v>
      </c>
    </row>
    <row r="157" spans="1:7" ht="15" thickTop="1">
      <c r="A157" s="496"/>
      <c r="B157" s="278"/>
      <c r="C157" s="278"/>
      <c r="D157" s="278"/>
      <c r="E157" s="278"/>
      <c r="F157" s="278"/>
      <c r="G157" s="278"/>
    </row>
    <row r="158" spans="1:7">
      <c r="A158" s="496"/>
      <c r="B158" s="278"/>
      <c r="C158" s="278"/>
      <c r="D158" s="278"/>
      <c r="E158" s="278"/>
      <c r="F158" s="278"/>
      <c r="G158" s="278"/>
    </row>
    <row r="159" spans="1:7">
      <c r="A159" s="496"/>
      <c r="B159" s="278"/>
      <c r="C159" s="278"/>
      <c r="D159" s="278"/>
      <c r="E159" s="278"/>
      <c r="F159" s="278"/>
      <c r="G159" s="278"/>
    </row>
    <row r="160" spans="1:7">
      <c r="A160" s="604"/>
      <c r="B160" s="1632" t="s">
        <v>116</v>
      </c>
      <c r="C160" s="511"/>
      <c r="D160" s="511"/>
      <c r="E160" s="511"/>
      <c r="F160" s="511"/>
      <c r="G160" s="511"/>
    </row>
    <row r="161" spans="1:7">
      <c r="A161" s="474"/>
      <c r="B161" s="1633"/>
      <c r="C161" s="1650">
        <v>2018</v>
      </c>
      <c r="D161" s="1651">
        <v>2019</v>
      </c>
      <c r="E161" s="1650">
        <v>2020</v>
      </c>
      <c r="F161" s="1654" t="s">
        <v>138</v>
      </c>
      <c r="G161" s="1654" t="s">
        <v>139</v>
      </c>
    </row>
    <row r="162" spans="1:7">
      <c r="A162" s="496"/>
      <c r="B162" s="235" t="s">
        <v>962</v>
      </c>
      <c r="C162" s="235">
        <v>875</v>
      </c>
      <c r="D162" s="235">
        <v>927</v>
      </c>
      <c r="E162" s="235">
        <v>970</v>
      </c>
      <c r="F162" s="1626">
        <v>1060</v>
      </c>
      <c r="G162" s="1625">
        <v>778</v>
      </c>
    </row>
    <row r="163" spans="1:7">
      <c r="A163" s="496"/>
      <c r="B163" s="1678" t="s">
        <v>963</v>
      </c>
      <c r="C163" s="1678">
        <v>405</v>
      </c>
      <c r="D163" s="1678">
        <v>892</v>
      </c>
      <c r="E163" s="1678">
        <v>1092</v>
      </c>
      <c r="F163" s="1742">
        <v>3120</v>
      </c>
      <c r="G163" s="1715">
        <v>5635</v>
      </c>
    </row>
    <row r="164" spans="1:7">
      <c r="A164" s="496"/>
      <c r="B164" s="1678" t="s">
        <v>964</v>
      </c>
      <c r="C164" s="1678">
        <v>32</v>
      </c>
      <c r="D164" s="1678">
        <v>26</v>
      </c>
      <c r="E164" s="1678">
        <v>19</v>
      </c>
      <c r="F164" s="1742">
        <v>28</v>
      </c>
      <c r="G164" s="1715">
        <v>19</v>
      </c>
    </row>
    <row r="165" spans="1:7">
      <c r="A165" s="496"/>
      <c r="B165" s="1678" t="s">
        <v>965</v>
      </c>
      <c r="C165" s="1678">
        <v>1587</v>
      </c>
      <c r="D165" s="1678">
        <v>1389</v>
      </c>
      <c r="E165" s="1678">
        <v>45334</v>
      </c>
      <c r="F165" s="1742">
        <v>30889</v>
      </c>
      <c r="G165" s="1715">
        <v>9889</v>
      </c>
    </row>
    <row r="166" spans="1:7">
      <c r="A166" s="496"/>
      <c r="B166" s="1678" t="s">
        <v>666</v>
      </c>
      <c r="C166" s="1678">
        <v>39708</v>
      </c>
      <c r="D166" s="1678">
        <v>67322</v>
      </c>
      <c r="E166" s="1678">
        <v>44753</v>
      </c>
      <c r="F166" s="1742">
        <v>67271</v>
      </c>
      <c r="G166" s="1715">
        <v>156454</v>
      </c>
    </row>
    <row r="167" spans="1:7" ht="15" thickBot="1">
      <c r="A167" s="496"/>
      <c r="B167" s="278" t="s">
        <v>118</v>
      </c>
      <c r="C167" s="439">
        <f>SUM(C162:C166)</f>
        <v>42607</v>
      </c>
      <c r="D167" s="439">
        <f>SUM(D162:D166)</f>
        <v>70556</v>
      </c>
      <c r="E167" s="439">
        <f>SUM(E162:E166)</f>
        <v>92168</v>
      </c>
      <c r="F167" s="439">
        <f>SUM(F162:F166)</f>
        <v>102368</v>
      </c>
      <c r="G167" s="439">
        <f>SUM(G162:G166)</f>
        <v>172775</v>
      </c>
    </row>
    <row r="168" spans="1:7" ht="15" thickTop="1">
      <c r="A168" s="496"/>
      <c r="B168" s="278"/>
      <c r="C168" s="278"/>
      <c r="D168" s="278"/>
      <c r="E168" s="278"/>
      <c r="F168" s="278"/>
      <c r="G168" s="278"/>
    </row>
    <row r="169" spans="1:7">
      <c r="A169" s="496"/>
      <c r="B169" s="278"/>
      <c r="C169" s="278"/>
      <c r="D169" s="278"/>
      <c r="E169" s="278"/>
      <c r="F169" s="278"/>
      <c r="G169" s="278"/>
    </row>
    <row r="170" spans="1:7">
      <c r="A170" s="604"/>
      <c r="B170" s="1632" t="s">
        <v>117</v>
      </c>
      <c r="C170" s="511"/>
      <c r="D170" s="511"/>
      <c r="E170" s="511"/>
      <c r="F170" s="511"/>
      <c r="G170" s="511"/>
    </row>
    <row r="171" spans="1:7">
      <c r="A171" s="526"/>
      <c r="B171" s="1633"/>
      <c r="C171" s="1650">
        <v>2018</v>
      </c>
      <c r="D171" s="1651">
        <v>2019</v>
      </c>
      <c r="E171" s="1650">
        <v>2020</v>
      </c>
      <c r="F171" s="1654" t="s">
        <v>138</v>
      </c>
      <c r="G171" s="1654" t="s">
        <v>139</v>
      </c>
    </row>
    <row r="172" spans="1:7">
      <c r="A172" s="496"/>
      <c r="B172" s="235" t="s">
        <v>962</v>
      </c>
      <c r="C172" s="235">
        <v>23887</v>
      </c>
      <c r="D172" s="235">
        <v>12618</v>
      </c>
      <c r="E172" s="235">
        <v>13817</v>
      </c>
      <c r="F172" s="1626">
        <v>11062</v>
      </c>
      <c r="G172" s="1625">
        <v>12000</v>
      </c>
    </row>
    <row r="173" spans="1:7">
      <c r="A173" s="496"/>
      <c r="B173" s="1678" t="s">
        <v>963</v>
      </c>
      <c r="C173" s="1678">
        <v>1086</v>
      </c>
      <c r="D173" s="1678">
        <v>1364</v>
      </c>
      <c r="E173" s="1678">
        <v>770</v>
      </c>
      <c r="F173" s="1742">
        <v>741</v>
      </c>
      <c r="G173" s="1715">
        <v>773</v>
      </c>
    </row>
    <row r="174" spans="1:7">
      <c r="A174" s="516"/>
      <c r="B174" s="1678" t="s">
        <v>964</v>
      </c>
      <c r="C174" s="1678">
        <v>73</v>
      </c>
      <c r="D174" s="1678">
        <v>969</v>
      </c>
      <c r="E174" s="1678">
        <v>80</v>
      </c>
      <c r="F174" s="1742">
        <v>48</v>
      </c>
      <c r="G174" s="1715">
        <v>32</v>
      </c>
    </row>
    <row r="175" spans="1:7">
      <c r="A175" s="496"/>
      <c r="B175" s="1678" t="s">
        <v>965</v>
      </c>
      <c r="C175" s="1678">
        <v>12645</v>
      </c>
      <c r="D175" s="1678">
        <v>12216</v>
      </c>
      <c r="E175" s="1678">
        <v>9834</v>
      </c>
      <c r="F175" s="1742">
        <v>11427</v>
      </c>
      <c r="G175" s="1715">
        <v>10487</v>
      </c>
    </row>
    <row r="176" spans="1:7">
      <c r="A176" s="496"/>
      <c r="B176" s="1678" t="s">
        <v>666</v>
      </c>
      <c r="C176" s="1678">
        <v>10712</v>
      </c>
      <c r="D176" s="1678">
        <v>3490</v>
      </c>
      <c r="E176" s="1678">
        <v>6000</v>
      </c>
      <c r="F176" s="1742">
        <v>40138</v>
      </c>
      <c r="G176" s="1715">
        <v>24338</v>
      </c>
    </row>
    <row r="177" spans="1:8" ht="15" thickBot="1">
      <c r="A177" s="496"/>
      <c r="B177" s="278" t="s">
        <v>118</v>
      </c>
      <c r="C177" s="439">
        <f>SUM(C172:C176)</f>
        <v>48403</v>
      </c>
      <c r="D177" s="439">
        <f>SUM(D172:D176)</f>
        <v>30657</v>
      </c>
      <c r="E177" s="439">
        <f>SUM(E172:E176)</f>
        <v>30501</v>
      </c>
      <c r="F177" s="439">
        <f>SUM(F172:F176)</f>
        <v>63416</v>
      </c>
      <c r="G177" s="439">
        <f>SUM(G172:G176)</f>
        <v>47630</v>
      </c>
    </row>
    <row r="178" spans="1:8" ht="15" thickTop="1">
      <c r="A178" s="609"/>
      <c r="B178" s="606"/>
      <c r="C178" s="606"/>
      <c r="D178" s="606"/>
    </row>
    <row r="179" spans="1:8">
      <c r="A179" s="609"/>
      <c r="B179" s="606"/>
      <c r="C179" s="606"/>
    </row>
    <row r="180" spans="1:8">
      <c r="A180" s="609"/>
      <c r="B180" s="1632" t="s">
        <v>99</v>
      </c>
      <c r="C180" s="511"/>
      <c r="D180" s="511"/>
      <c r="E180" s="511"/>
      <c r="F180" s="511"/>
      <c r="G180" s="511"/>
    </row>
    <row r="181" spans="1:8">
      <c r="B181" s="1633"/>
      <c r="C181" s="1650">
        <v>2018</v>
      </c>
      <c r="D181" s="1651">
        <v>2019</v>
      </c>
      <c r="E181" s="1650">
        <v>2020</v>
      </c>
      <c r="F181" s="1654" t="s">
        <v>138</v>
      </c>
      <c r="G181" s="1654" t="s">
        <v>139</v>
      </c>
    </row>
    <row r="182" spans="1:8">
      <c r="B182" s="235" t="s">
        <v>962</v>
      </c>
      <c r="C182" s="2830"/>
      <c r="D182" s="2830"/>
      <c r="E182" s="2830"/>
      <c r="F182" s="2830"/>
      <c r="G182" s="1625"/>
    </row>
    <row r="183" spans="1:8">
      <c r="A183" s="609"/>
      <c r="B183" s="1678" t="s">
        <v>963</v>
      </c>
      <c r="C183" s="2830"/>
      <c r="D183" s="2830"/>
      <c r="E183" s="2830"/>
      <c r="F183" s="2830"/>
      <c r="G183" s="1715"/>
    </row>
    <row r="184" spans="1:8">
      <c r="A184" s="610"/>
      <c r="B184" s="1678" t="s">
        <v>964</v>
      </c>
      <c r="C184" s="2830"/>
      <c r="D184" s="2830"/>
      <c r="E184" s="2830"/>
      <c r="F184" s="2830"/>
      <c r="G184" s="1715"/>
    </row>
    <row r="185" spans="1:8">
      <c r="A185" s="609"/>
      <c r="B185" s="1678" t="s">
        <v>965</v>
      </c>
      <c r="C185" s="2830"/>
      <c r="D185" s="2830"/>
      <c r="E185" s="2830"/>
      <c r="F185" s="2830"/>
      <c r="G185" s="1715"/>
    </row>
    <row r="186" spans="1:8">
      <c r="A186" s="609"/>
      <c r="B186" s="1678" t="s">
        <v>666</v>
      </c>
      <c r="C186" s="2830"/>
      <c r="D186" s="2830"/>
      <c r="E186" s="2830"/>
      <c r="F186" s="2830"/>
      <c r="G186" s="1715"/>
    </row>
    <row r="187" spans="1:8" ht="15" thickBot="1">
      <c r="A187" s="609"/>
      <c r="B187" s="278" t="s">
        <v>118</v>
      </c>
      <c r="C187" s="439">
        <f>SUM(C182:C186)</f>
        <v>0</v>
      </c>
      <c r="D187" s="439">
        <f>SUM(D182:D186)</f>
        <v>0</v>
      </c>
      <c r="E187" s="439">
        <f>SUM(E182:E186)</f>
        <v>0</v>
      </c>
      <c r="F187" s="439"/>
      <c r="G187" s="439">
        <f>SUM(G182:G186)</f>
        <v>0</v>
      </c>
    </row>
    <row r="188" spans="1:8" ht="15" thickTop="1">
      <c r="A188" s="609"/>
      <c r="B188" s="606"/>
      <c r="C188" s="606"/>
      <c r="D188" s="606"/>
    </row>
    <row r="189" spans="1:8">
      <c r="A189" s="609"/>
      <c r="B189" s="606"/>
      <c r="C189" s="606"/>
      <c r="D189" s="606"/>
    </row>
    <row r="190" spans="1:8">
      <c r="A190" s="609"/>
      <c r="B190" s="606"/>
      <c r="C190" s="606"/>
      <c r="D190" s="606"/>
      <c r="H190" s="264">
        <v>194</v>
      </c>
    </row>
  </sheetData>
  <pageMargins left="0.7" right="0.7" top="0.59" bottom="0.48" header="0.3" footer="0.3"/>
  <pageSetup paperSize="9" scale="63" orientation="landscape" r:id="rId1"/>
  <rowBreaks count="4" manualBreakCount="4">
    <brk id="34" max="16383" man="1"/>
    <brk id="67" max="16383" man="1"/>
    <brk id="101" max="16383" man="1"/>
    <brk id="135" max="16383" man="1"/>
  </rowBreak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tabColor rgb="FF92D050"/>
  </sheetPr>
  <dimension ref="A2:AC179"/>
  <sheetViews>
    <sheetView showGridLines="0" view="pageBreakPreview" topLeftCell="A160" zoomScale="85" zoomScaleNormal="100" zoomScaleSheetLayoutView="85" workbookViewId="0">
      <pane xSplit="2" topLeftCell="C1" activePane="topRight" state="frozen"/>
      <selection pane="topRight" activeCell="H13" sqref="H13"/>
    </sheetView>
  </sheetViews>
  <sheetFormatPr defaultColWidth="9.140625" defaultRowHeight="14.45"/>
  <cols>
    <col min="1" max="1" width="8.42578125" style="39" customWidth="1"/>
    <col min="2" max="2" width="26" style="39" customWidth="1"/>
    <col min="3" max="3" width="21.5703125" style="39" hidden="1" customWidth="1"/>
    <col min="4" max="4" width="0.7109375" style="39" hidden="1" customWidth="1"/>
    <col min="5" max="9" width="21.5703125" style="39" customWidth="1"/>
    <col min="10" max="10" width="17.140625" style="39" customWidth="1"/>
    <col min="11" max="11" width="13" style="39" customWidth="1"/>
    <col min="12" max="12" width="16.7109375" style="39" customWidth="1"/>
    <col min="13" max="13" width="16" style="39" customWidth="1"/>
    <col min="14" max="14" width="11.5703125" style="39" bestFit="1" customWidth="1"/>
    <col min="15" max="16" width="11.5703125" style="39" customWidth="1"/>
    <col min="17" max="17" width="11.5703125" style="39" bestFit="1" customWidth="1"/>
    <col min="18" max="19" width="11.5703125" style="39" customWidth="1"/>
    <col min="20" max="20" width="11.5703125" style="39" bestFit="1" customWidth="1"/>
    <col min="21" max="22" width="11.5703125" style="39" customWidth="1"/>
    <col min="23" max="23" width="11.5703125" style="39" bestFit="1" customWidth="1"/>
    <col min="24" max="25" width="11.5703125" style="39" customWidth="1"/>
    <col min="26" max="26" width="11.5703125" style="39" bestFit="1" customWidth="1"/>
    <col min="27" max="16384" width="9.140625" style="39"/>
  </cols>
  <sheetData>
    <row r="2" spans="1:16">
      <c r="A2" s="279"/>
      <c r="B2" s="510" t="s">
        <v>969</v>
      </c>
      <c r="C2" s="510"/>
      <c r="D2" s="510"/>
      <c r="E2" s="510"/>
      <c r="F2" s="510"/>
      <c r="G2" s="510"/>
      <c r="H2" s="510"/>
      <c r="I2" s="510"/>
      <c r="N2" s="385"/>
      <c r="O2" s="385"/>
      <c r="P2" s="416"/>
    </row>
    <row r="3" spans="1:16">
      <c r="A3" s="279"/>
      <c r="B3" s="1643"/>
      <c r="C3" s="385"/>
      <c r="D3" s="465"/>
      <c r="E3" s="463"/>
      <c r="F3" s="463"/>
      <c r="G3" s="463"/>
      <c r="H3" s="463"/>
      <c r="I3" s="463"/>
      <c r="N3" s="385"/>
      <c r="O3" s="385"/>
      <c r="P3" s="416"/>
    </row>
    <row r="4" spans="1:16">
      <c r="A4" s="1644"/>
      <c r="B4" s="1636" t="s">
        <v>266</v>
      </c>
      <c r="C4" s="385"/>
      <c r="D4" s="1639"/>
      <c r="E4" s="1641"/>
      <c r="F4" s="1641"/>
      <c r="G4" s="1640"/>
      <c r="H4" s="1640"/>
      <c r="I4" s="1640" t="s">
        <v>499</v>
      </c>
      <c r="N4" s="385"/>
      <c r="O4" s="385"/>
      <c r="P4" s="416"/>
    </row>
    <row r="5" spans="1:16">
      <c r="A5" s="1645"/>
      <c r="B5" s="1637"/>
      <c r="C5" s="3189">
        <v>2016</v>
      </c>
      <c r="D5" s="1642">
        <v>2017</v>
      </c>
      <c r="E5" s="1642">
        <v>2018</v>
      </c>
      <c r="F5" s="1642">
        <v>2019</v>
      </c>
      <c r="G5" s="1642">
        <v>2020</v>
      </c>
      <c r="H5" s="1646" t="s">
        <v>138</v>
      </c>
      <c r="I5" s="1646" t="s">
        <v>139</v>
      </c>
      <c r="N5" s="588"/>
      <c r="O5" s="588"/>
      <c r="P5" s="417"/>
    </row>
    <row r="6" spans="1:16">
      <c r="A6" s="264"/>
      <c r="B6" s="1638" t="s">
        <v>962</v>
      </c>
      <c r="C6" s="1678">
        <f t="shared" ref="C6:F9" si="0">+C16+C26+C38+C48+C58+C68+C80+C90+C100+C109+C121+C131+C141+C150+C159</f>
        <v>12370658.874232654</v>
      </c>
      <c r="D6" s="235">
        <f t="shared" si="0"/>
        <v>14393604.978669997</v>
      </c>
      <c r="E6" s="235">
        <f t="shared" si="0"/>
        <v>18343284.785413779</v>
      </c>
      <c r="F6" s="235">
        <f t="shared" si="0"/>
        <v>18485419.973701946</v>
      </c>
      <c r="G6" s="235">
        <f t="shared" ref="G6:H10" si="1">+G16+G26+G38+G48+G58+G68+G80+G90+G100+G109+G121+G131+G141+G150+G159</f>
        <v>21702672.415692538</v>
      </c>
      <c r="H6" s="1626">
        <f t="shared" si="1"/>
        <v>22416549.564069998</v>
      </c>
      <c r="I6" s="1625">
        <f>+I16+I26+I48+I38+I58+I68+I80+I90+I100+I109+I121+I131+I141+I150+I159</f>
        <v>28883266.112119999</v>
      </c>
      <c r="J6" s="197"/>
      <c r="L6" s="707"/>
      <c r="M6" s="197"/>
      <c r="N6" s="588"/>
      <c r="O6" s="588"/>
      <c r="P6" s="417"/>
    </row>
    <row r="7" spans="1:16">
      <c r="A7" s="264"/>
      <c r="B7" s="2916" t="s">
        <v>963</v>
      </c>
      <c r="C7" s="1678">
        <f t="shared" si="0"/>
        <v>1616564.9543555072</v>
      </c>
      <c r="D7" s="1678">
        <f t="shared" si="0"/>
        <v>2106086.5609900001</v>
      </c>
      <c r="E7" s="1678">
        <f t="shared" si="0"/>
        <v>2842974.5773333488</v>
      </c>
      <c r="F7" s="1678">
        <f t="shared" si="0"/>
        <v>2991518.2771316669</v>
      </c>
      <c r="G7" s="1678">
        <f t="shared" si="1"/>
        <v>2646832.8414923325</v>
      </c>
      <c r="H7" s="1742">
        <f t="shared" si="1"/>
        <v>6175983.2826641398</v>
      </c>
      <c r="I7" s="1715">
        <f>+I17+I27+I49+I39+I59+I69+I81+I91+I101+I110+I122+I132+I142+I151+I160</f>
        <v>6652333.8494552057</v>
      </c>
      <c r="J7" s="197"/>
      <c r="N7" s="588"/>
      <c r="O7" s="588"/>
      <c r="P7" s="417"/>
    </row>
    <row r="8" spans="1:16">
      <c r="A8" s="264"/>
      <c r="B8" s="2916" t="s">
        <v>964</v>
      </c>
      <c r="C8" s="1678">
        <f t="shared" si="0"/>
        <v>488818.59648597788</v>
      </c>
      <c r="D8" s="1678">
        <f t="shared" si="0"/>
        <v>636471.73288999998</v>
      </c>
      <c r="E8" s="1678">
        <f t="shared" si="0"/>
        <v>984922.69501306117</v>
      </c>
      <c r="F8" s="1678">
        <f t="shared" si="0"/>
        <v>731803.4760480891</v>
      </c>
      <c r="G8" s="1678">
        <f t="shared" si="1"/>
        <v>705887.46506600815</v>
      </c>
      <c r="H8" s="1742">
        <f t="shared" si="1"/>
        <v>917143.31723102136</v>
      </c>
      <c r="I8" s="1715">
        <f>+I18+I28+I50+I40+I60+I70+I82+I92+I102+I111+I123+I133+I143+I152+I161</f>
        <v>974091.03643000009</v>
      </c>
      <c r="J8" s="197"/>
      <c r="N8" s="588"/>
      <c r="O8" s="588"/>
      <c r="P8" s="417"/>
    </row>
    <row r="9" spans="1:16">
      <c r="A9" s="264"/>
      <c r="B9" s="2916" t="s">
        <v>965</v>
      </c>
      <c r="C9" s="1678">
        <f t="shared" si="0"/>
        <v>5121636.1405557413</v>
      </c>
      <c r="D9" s="1678">
        <f t="shared" si="0"/>
        <v>5530517.2547839535</v>
      </c>
      <c r="E9" s="1678">
        <f t="shared" si="0"/>
        <v>7004688.4897291884</v>
      </c>
      <c r="F9" s="1678">
        <f t="shared" si="0"/>
        <v>7141731.1407065131</v>
      </c>
      <c r="G9" s="1678">
        <f t="shared" si="1"/>
        <v>6951595.6937713958</v>
      </c>
      <c r="H9" s="1742">
        <f t="shared" si="1"/>
        <v>8173100.6501399996</v>
      </c>
      <c r="I9" s="1715">
        <f>+I19+I29+I51+I41+I61+I71+I83+I93+I103+I112+I124+I134+I144+I153+I162</f>
        <v>12356833.721909998</v>
      </c>
      <c r="J9" s="197"/>
      <c r="L9" s="279"/>
      <c r="M9" s="279"/>
      <c r="N9" s="588"/>
      <c r="O9" s="588"/>
      <c r="P9" s="417"/>
    </row>
    <row r="10" spans="1:16">
      <c r="A10" s="264"/>
      <c r="B10" s="2916" t="s">
        <v>666</v>
      </c>
      <c r="C10" s="1678">
        <v>2887039</v>
      </c>
      <c r="D10" s="1678">
        <v>3704468.5498700007</v>
      </c>
      <c r="E10" s="2440">
        <f>+E20+E30+E42+E52+E62+E72+E84+E94+E104+E113+E125+E135+E145+E154+E163</f>
        <v>5240493.1329498552</v>
      </c>
      <c r="F10" s="2440">
        <f>+F20+F30+F42+F52+F62+F72+F84+F94+F104+F113+F125+F135+F145+F154+F163</f>
        <v>5788921.6114517841</v>
      </c>
      <c r="G10" s="2440">
        <f t="shared" si="1"/>
        <v>5902182.6847477239</v>
      </c>
      <c r="H10" s="2918">
        <f t="shared" si="1"/>
        <v>8248251.4828048181</v>
      </c>
      <c r="I10" s="1715">
        <f>+I20+I30+I52+I42+I62+I72+I84+I94+I104+I113+I125+I135+I145+I154+I163</f>
        <v>12760903.907698795</v>
      </c>
      <c r="J10" s="197"/>
      <c r="L10" s="278"/>
      <c r="M10" s="278"/>
      <c r="N10" s="385"/>
      <c r="O10" s="385"/>
      <c r="P10" s="416"/>
    </row>
    <row r="11" spans="1:16" ht="15" thickBot="1">
      <c r="A11" s="264"/>
      <c r="B11" s="278" t="s">
        <v>118</v>
      </c>
      <c r="C11" s="597">
        <f t="shared" ref="C11:I11" si="2">SUM(C6:C10)</f>
        <v>22484717.565629881</v>
      </c>
      <c r="D11" s="1634">
        <f t="shared" si="2"/>
        <v>26371149.077203952</v>
      </c>
      <c r="E11" s="1634">
        <f t="shared" si="2"/>
        <v>34416363.680439234</v>
      </c>
      <c r="F11" s="1634">
        <f t="shared" si="2"/>
        <v>35139394.479039997</v>
      </c>
      <c r="G11" s="1634">
        <f>SUM(G6:G10)</f>
        <v>37909171.100769997</v>
      </c>
      <c r="H11" s="1634">
        <f>SUM(H6:H10)</f>
        <v>45931028.29690998</v>
      </c>
      <c r="I11" s="1634">
        <f t="shared" si="2"/>
        <v>61627428.627613999</v>
      </c>
      <c r="J11" s="197"/>
      <c r="N11" s="385"/>
      <c r="O11" s="385"/>
      <c r="P11" s="416"/>
    </row>
    <row r="12" spans="1:16" ht="15" thickTop="1">
      <c r="A12" s="264"/>
      <c r="B12" s="278"/>
      <c r="C12" s="279"/>
      <c r="D12" s="279"/>
      <c r="E12" s="279"/>
      <c r="F12" s="279"/>
      <c r="G12" s="279"/>
      <c r="N12" s="385"/>
      <c r="O12" s="385"/>
      <c r="P12" s="416"/>
    </row>
    <row r="13" spans="1:16" ht="18" customHeight="1">
      <c r="A13" s="264"/>
      <c r="B13" s="278"/>
      <c r="C13" s="279"/>
      <c r="D13" s="278"/>
      <c r="E13" s="278"/>
      <c r="F13" s="278"/>
      <c r="G13" s="278"/>
      <c r="H13" s="197"/>
      <c r="I13" s="197"/>
    </row>
    <row r="14" spans="1:16">
      <c r="A14" s="385"/>
      <c r="B14" s="1630" t="s">
        <v>323</v>
      </c>
      <c r="C14" s="264"/>
      <c r="D14" s="264"/>
      <c r="E14" s="511"/>
      <c r="F14" s="511"/>
      <c r="G14" s="511"/>
      <c r="H14" s="511"/>
      <c r="I14" s="511"/>
    </row>
    <row r="15" spans="1:16">
      <c r="A15" s="279"/>
      <c r="B15" s="1631"/>
      <c r="C15" s="3189">
        <v>2016</v>
      </c>
      <c r="D15" s="1650">
        <v>2017</v>
      </c>
      <c r="E15" s="1651">
        <v>2018</v>
      </c>
      <c r="F15" s="1650">
        <v>2019</v>
      </c>
      <c r="G15" s="1651">
        <v>2020</v>
      </c>
      <c r="H15" s="1651" t="s">
        <v>138</v>
      </c>
      <c r="I15" s="1650" t="s">
        <v>139</v>
      </c>
    </row>
    <row r="16" spans="1:16">
      <c r="A16" s="264"/>
      <c r="B16" s="235" t="s">
        <v>962</v>
      </c>
      <c r="C16" s="1678">
        <v>18662</v>
      </c>
      <c r="D16" s="235">
        <v>40028.777670000003</v>
      </c>
      <c r="E16" s="235">
        <v>23203.830249999999</v>
      </c>
      <c r="F16" s="1647">
        <v>73411</v>
      </c>
      <c r="G16" s="235">
        <v>118057.89</v>
      </c>
      <c r="H16" s="1649">
        <v>146895.685</v>
      </c>
      <c r="I16" s="1648">
        <v>276756.81861000002</v>
      </c>
      <c r="J16" s="197"/>
    </row>
    <row r="17" spans="1:10">
      <c r="A17" s="264"/>
      <c r="B17" s="1678" t="s">
        <v>963</v>
      </c>
      <c r="C17" s="1678">
        <v>8011</v>
      </c>
      <c r="D17" s="1678">
        <v>2682.7251099999999</v>
      </c>
      <c r="E17" s="1678">
        <v>11651.526300000001</v>
      </c>
      <c r="F17" s="2919">
        <v>34937</v>
      </c>
      <c r="G17" s="1678">
        <v>6656.5381500000003</v>
      </c>
      <c r="H17" s="2920">
        <v>14282</v>
      </c>
      <c r="I17" s="2921">
        <v>15091.267479999999</v>
      </c>
      <c r="J17" s="197"/>
    </row>
    <row r="18" spans="1:10">
      <c r="A18" s="264"/>
      <c r="B18" s="1678" t="s">
        <v>964</v>
      </c>
      <c r="C18" s="1678">
        <v>1216</v>
      </c>
      <c r="D18" s="1678">
        <v>1652.479</v>
      </c>
      <c r="E18" s="1678"/>
      <c r="F18" s="2919"/>
      <c r="G18" s="1678">
        <v>0</v>
      </c>
      <c r="H18" s="2920">
        <v>0</v>
      </c>
      <c r="I18" s="2921"/>
      <c r="J18" s="197"/>
    </row>
    <row r="19" spans="1:10">
      <c r="A19" s="264"/>
      <c r="B19" s="1678" t="s">
        <v>965</v>
      </c>
      <c r="C19" s="1678">
        <v>25110</v>
      </c>
      <c r="D19" s="1678">
        <v>28361.334859999999</v>
      </c>
      <c r="E19" s="1678">
        <v>87638</v>
      </c>
      <c r="F19" s="2919">
        <v>155272</v>
      </c>
      <c r="G19" s="1678">
        <v>234777.13351999997</v>
      </c>
      <c r="H19" s="2920">
        <v>354406.147</v>
      </c>
      <c r="I19" s="2921">
        <v>462144.84386000002</v>
      </c>
      <c r="J19" s="197"/>
    </row>
    <row r="20" spans="1:10">
      <c r="A20" s="264"/>
      <c r="B20" s="1678" t="s">
        <v>666</v>
      </c>
      <c r="C20" s="1678">
        <v>25126</v>
      </c>
      <c r="D20" s="1678">
        <v>45016.505060000003</v>
      </c>
      <c r="E20" s="1678">
        <v>46454</v>
      </c>
      <c r="F20" s="2919">
        <v>35115</v>
      </c>
      <c r="G20" s="2440">
        <v>35561.914040000011</v>
      </c>
      <c r="H20" s="2920">
        <v>57555</v>
      </c>
      <c r="I20" s="2921">
        <v>96421.660279999996</v>
      </c>
      <c r="J20" s="197"/>
    </row>
    <row r="21" spans="1:10">
      <c r="A21" s="264"/>
      <c r="B21" s="464" t="s">
        <v>118</v>
      </c>
      <c r="C21" s="439">
        <f t="shared" ref="C21:I21" si="3">SUM(C16:C20)</f>
        <v>78125</v>
      </c>
      <c r="D21" s="439">
        <f t="shared" si="3"/>
        <v>117741.8217</v>
      </c>
      <c r="E21" s="439">
        <f t="shared" si="3"/>
        <v>168947.35655</v>
      </c>
      <c r="F21" s="439">
        <f t="shared" si="3"/>
        <v>298735</v>
      </c>
      <c r="G21" s="439">
        <f t="shared" si="3"/>
        <v>395053.47570999997</v>
      </c>
      <c r="H21" s="439">
        <v>573138.83199999994</v>
      </c>
      <c r="I21" s="439">
        <f t="shared" si="3"/>
        <v>850414.59022999997</v>
      </c>
      <c r="J21" s="197"/>
    </row>
    <row r="22" spans="1:10" ht="18.75" customHeight="1">
      <c r="A22" s="264"/>
      <c r="B22" s="464"/>
      <c r="C22" s="278"/>
      <c r="D22" s="278"/>
      <c r="E22" s="464"/>
      <c r="F22" s="464"/>
      <c r="G22" s="464"/>
      <c r="H22" s="464"/>
      <c r="I22" s="464"/>
    </row>
    <row r="23" spans="1:10" ht="21" customHeight="1">
      <c r="A23" s="264"/>
      <c r="B23" s="278"/>
      <c r="C23" s="279"/>
      <c r="D23" s="278"/>
      <c r="E23" s="278"/>
      <c r="F23" s="278"/>
      <c r="G23" s="278"/>
      <c r="H23" s="278"/>
      <c r="I23" s="278"/>
    </row>
    <row r="24" spans="1:10">
      <c r="A24" s="385"/>
      <c r="B24" s="1630" t="s">
        <v>92</v>
      </c>
      <c r="C24" s="264"/>
      <c r="D24" s="264"/>
      <c r="E24" s="511"/>
      <c r="F24" s="511"/>
      <c r="G24" s="511"/>
      <c r="H24" s="511"/>
      <c r="I24" s="511"/>
    </row>
    <row r="25" spans="1:10">
      <c r="A25" s="279"/>
      <c r="B25" s="1631"/>
      <c r="C25" s="3189">
        <v>2016</v>
      </c>
      <c r="D25" s="1650">
        <v>2017</v>
      </c>
      <c r="E25" s="1651">
        <v>2018</v>
      </c>
      <c r="F25" s="1650">
        <v>2019</v>
      </c>
      <c r="G25" s="1651">
        <v>2020</v>
      </c>
      <c r="H25" s="1651" t="s">
        <v>138</v>
      </c>
      <c r="I25" s="1650" t="s">
        <v>139</v>
      </c>
    </row>
    <row r="26" spans="1:10">
      <c r="A26" s="264"/>
      <c r="B26" s="235" t="s">
        <v>962</v>
      </c>
      <c r="C26" s="1678">
        <v>4073</v>
      </c>
      <c r="D26" s="235">
        <v>5131.4634400000014</v>
      </c>
      <c r="E26" s="235">
        <v>7806</v>
      </c>
      <c r="F26" s="1647">
        <v>14353</v>
      </c>
      <c r="G26" s="235">
        <v>19753</v>
      </c>
      <c r="H26" s="1649">
        <v>20781.382000000001</v>
      </c>
      <c r="I26" s="1652">
        <v>90919.652100000065</v>
      </c>
      <c r="J26" s="197"/>
    </row>
    <row r="27" spans="1:10">
      <c r="A27" s="264"/>
      <c r="B27" s="1678" t="s">
        <v>963</v>
      </c>
      <c r="C27" s="1678">
        <v>11606</v>
      </c>
      <c r="D27" s="1678">
        <v>32953</v>
      </c>
      <c r="E27" s="1678">
        <v>49462</v>
      </c>
      <c r="F27" s="2919">
        <v>56558.422831654214</v>
      </c>
      <c r="G27" s="1678">
        <v>63484.208859545462</v>
      </c>
      <c r="H27" s="2920">
        <v>82703.301714113826</v>
      </c>
      <c r="I27" s="2922">
        <v>108920</v>
      </c>
      <c r="J27" s="197"/>
    </row>
    <row r="28" spans="1:10">
      <c r="A28" s="264"/>
      <c r="B28" s="1678" t="s">
        <v>964</v>
      </c>
      <c r="C28" s="1678">
        <v>546</v>
      </c>
      <c r="D28" s="1678">
        <v>1017</v>
      </c>
      <c r="E28" s="1678">
        <v>1668</v>
      </c>
      <c r="F28" s="2919">
        <v>11978.948397964998</v>
      </c>
      <c r="G28" s="1678">
        <v>17988.289339282866</v>
      </c>
      <c r="H28" s="2920">
        <v>9551.3971610213684</v>
      </c>
      <c r="I28" s="2922">
        <v>2314</v>
      </c>
      <c r="J28" s="197"/>
    </row>
    <row r="29" spans="1:10">
      <c r="A29" s="264"/>
      <c r="B29" s="1678" t="s">
        <v>965</v>
      </c>
      <c r="C29" s="1678">
        <v>38534</v>
      </c>
      <c r="D29" s="1678">
        <v>65851.6823</v>
      </c>
      <c r="E29" s="1678">
        <v>159960</v>
      </c>
      <c r="F29" s="2919">
        <v>169915</v>
      </c>
      <c r="G29" s="1678">
        <v>153653</v>
      </c>
      <c r="H29" s="2920">
        <v>220793.36568999983</v>
      </c>
      <c r="I29" s="2922">
        <v>248951.89833000032</v>
      </c>
      <c r="J29" s="197"/>
    </row>
    <row r="30" spans="1:10">
      <c r="A30" s="264"/>
      <c r="B30" s="2440" t="s">
        <v>666</v>
      </c>
      <c r="C30" s="1678">
        <v>20959</v>
      </c>
      <c r="D30" s="1678">
        <v>20959</v>
      </c>
      <c r="E30" s="1678">
        <v>57887</v>
      </c>
      <c r="F30" s="1678">
        <v>59570.62877038079</v>
      </c>
      <c r="G30" s="1678">
        <v>55934.501801171667</v>
      </c>
      <c r="H30" s="2920">
        <v>80285.677264864964</v>
      </c>
      <c r="I30" s="2923">
        <v>87878</v>
      </c>
      <c r="J30" s="197"/>
    </row>
    <row r="31" spans="1:10">
      <c r="A31" s="264"/>
      <c r="B31" s="278" t="s">
        <v>118</v>
      </c>
      <c r="C31" s="439">
        <f t="shared" ref="C31:I31" si="4">SUM(C26:C30)</f>
        <v>75718</v>
      </c>
      <c r="D31" s="439">
        <f t="shared" si="4"/>
        <v>125912.14574000001</v>
      </c>
      <c r="E31" s="439">
        <f t="shared" si="4"/>
        <v>276783</v>
      </c>
      <c r="F31" s="439">
        <f t="shared" si="4"/>
        <v>312376</v>
      </c>
      <c r="G31" s="439">
        <f t="shared" si="4"/>
        <v>310813</v>
      </c>
      <c r="H31" s="439">
        <v>414115.12383</v>
      </c>
      <c r="I31" s="439">
        <f t="shared" si="4"/>
        <v>538983.55043000041</v>
      </c>
      <c r="J31" s="197"/>
    </row>
    <row r="32" spans="1:10">
      <c r="A32" s="264"/>
      <c r="B32" s="278"/>
      <c r="C32" s="279"/>
      <c r="D32" s="278"/>
      <c r="E32" s="278"/>
      <c r="F32" s="278"/>
      <c r="G32" s="278"/>
      <c r="H32" s="278"/>
      <c r="I32" s="278"/>
    </row>
    <row r="33" spans="1:10">
      <c r="A33" s="264"/>
      <c r="B33" s="278"/>
      <c r="C33" s="279"/>
      <c r="D33" s="278"/>
      <c r="E33" s="278"/>
      <c r="G33" s="315"/>
      <c r="H33" s="315">
        <v>186</v>
      </c>
      <c r="I33" s="315">
        <v>186</v>
      </c>
      <c r="J33" s="305"/>
    </row>
    <row r="34" spans="1:10">
      <c r="A34" s="264"/>
      <c r="B34" s="510" t="s">
        <v>970</v>
      </c>
      <c r="C34" s="463"/>
      <c r="D34" s="510"/>
      <c r="E34" s="510"/>
      <c r="F34" s="510"/>
      <c r="G34" s="510"/>
      <c r="H34" s="510"/>
      <c r="I34" s="510"/>
    </row>
    <row r="35" spans="1:10">
      <c r="A35" s="264"/>
      <c r="B35" s="510"/>
      <c r="C35" s="463"/>
      <c r="D35" s="510"/>
      <c r="E35" s="510"/>
      <c r="F35" s="510"/>
      <c r="G35" s="510"/>
      <c r="H35" s="510"/>
      <c r="I35" s="510"/>
    </row>
    <row r="36" spans="1:10">
      <c r="A36" s="385"/>
      <c r="B36" s="1630" t="s">
        <v>319</v>
      </c>
      <c r="C36" s="264"/>
      <c r="D36" s="264"/>
      <c r="F36" s="1449"/>
      <c r="G36" s="1449"/>
      <c r="H36" s="1449" t="s">
        <v>499</v>
      </c>
      <c r="I36" s="1449" t="s">
        <v>499</v>
      </c>
    </row>
    <row r="37" spans="1:10">
      <c r="A37" s="279"/>
      <c r="B37" s="1631"/>
      <c r="C37" s="3189">
        <v>2016</v>
      </c>
      <c r="D37" s="1653">
        <v>2017</v>
      </c>
      <c r="E37" s="1650">
        <v>2018</v>
      </c>
      <c r="F37" s="1651">
        <v>2019</v>
      </c>
      <c r="G37" s="1650">
        <v>2020</v>
      </c>
      <c r="H37" s="1654" t="s">
        <v>138</v>
      </c>
      <c r="I37" s="1654" t="s">
        <v>139</v>
      </c>
    </row>
    <row r="38" spans="1:10">
      <c r="A38" s="264"/>
      <c r="B38" s="235" t="s">
        <v>962</v>
      </c>
      <c r="C38" s="1678">
        <v>1274498</v>
      </c>
      <c r="D38" s="235">
        <v>1525379.1630800001</v>
      </c>
      <c r="E38" s="235">
        <v>1514189.4391600001</v>
      </c>
      <c r="F38" s="1647">
        <v>1301333.28764</v>
      </c>
      <c r="G38" s="235">
        <v>1674220.3852799998</v>
      </c>
      <c r="H38" s="1649">
        <v>1895791.68557</v>
      </c>
      <c r="I38" s="1652">
        <v>2532708.2624499998</v>
      </c>
      <c r="J38" s="197"/>
    </row>
    <row r="39" spans="1:10">
      <c r="A39" s="264"/>
      <c r="B39" s="1678" t="s">
        <v>963</v>
      </c>
      <c r="C39" s="1678">
        <v>160742</v>
      </c>
      <c r="D39" s="1678">
        <v>180935.25241999998</v>
      </c>
      <c r="E39" s="1678">
        <v>228662.72108000002</v>
      </c>
      <c r="F39" s="2919">
        <v>190993.32906000002</v>
      </c>
      <c r="G39" s="1678">
        <v>161339.21755</v>
      </c>
      <c r="H39" s="2920">
        <v>312724.42024999997</v>
      </c>
      <c r="I39" s="2922">
        <v>293974.11585999996</v>
      </c>
      <c r="J39" s="197"/>
    </row>
    <row r="40" spans="1:10">
      <c r="A40" s="264"/>
      <c r="B40" s="1678" t="s">
        <v>964</v>
      </c>
      <c r="C40" s="1678">
        <v>8486</v>
      </c>
      <c r="D40" s="1678">
        <v>15151</v>
      </c>
      <c r="E40" s="1678">
        <v>260109.56539999999</v>
      </c>
      <c r="F40" s="2919">
        <v>243186.70422000001</v>
      </c>
      <c r="G40" s="1678">
        <v>229946.49828999999</v>
      </c>
      <c r="H40" s="2920">
        <v>296167.08851999999</v>
      </c>
      <c r="I40" s="2922">
        <v>361638.53149000002</v>
      </c>
      <c r="J40" s="197"/>
    </row>
    <row r="41" spans="1:10">
      <c r="A41" s="264"/>
      <c r="B41" s="2440" t="s">
        <v>965</v>
      </c>
      <c r="C41" s="1678">
        <v>2798373</v>
      </c>
      <c r="D41" s="1678">
        <v>2288672</v>
      </c>
      <c r="E41" s="2440">
        <v>2107294.4770599995</v>
      </c>
      <c r="F41" s="2919">
        <v>1769343.6175800001</v>
      </c>
      <c r="G41" s="1678">
        <v>1227993.3962300001</v>
      </c>
      <c r="H41" s="2920">
        <v>1117723.0389100001</v>
      </c>
      <c r="I41" s="2922">
        <v>1586871.2447299999</v>
      </c>
      <c r="J41" s="197"/>
    </row>
    <row r="42" spans="1:10">
      <c r="A42" s="264"/>
      <c r="B42" s="1678" t="s">
        <v>666</v>
      </c>
      <c r="C42" s="1678">
        <v>592358</v>
      </c>
      <c r="D42" s="1678">
        <v>1215044</v>
      </c>
      <c r="E42" s="1678">
        <v>1698556.7076700001</v>
      </c>
      <c r="F42" s="2919">
        <v>1279670.6510300001</v>
      </c>
      <c r="G42" s="235">
        <v>1160240.19976</v>
      </c>
      <c r="H42" s="2920">
        <v>1149403.0319600001</v>
      </c>
      <c r="I42" s="2922">
        <v>1671614.44034</v>
      </c>
      <c r="J42" s="197"/>
    </row>
    <row r="43" spans="1:10">
      <c r="A43" s="264"/>
      <c r="B43" s="278" t="s">
        <v>118</v>
      </c>
      <c r="C43" s="439">
        <f t="shared" ref="C43:I43" si="5">SUM(C38:C42)</f>
        <v>4834457</v>
      </c>
      <c r="D43" s="439">
        <f t="shared" si="5"/>
        <v>5225181.4155000001</v>
      </c>
      <c r="E43" s="439">
        <f t="shared" si="5"/>
        <v>5808812.9103699997</v>
      </c>
      <c r="F43" s="439">
        <f t="shared" si="5"/>
        <v>4784527.5895300005</v>
      </c>
      <c r="G43" s="439">
        <f t="shared" si="5"/>
        <v>4453739.6971100001</v>
      </c>
      <c r="H43" s="439">
        <f t="shared" si="5"/>
        <v>4771809.2652099999</v>
      </c>
      <c r="I43" s="439">
        <f t="shared" si="5"/>
        <v>6446806.5948700001</v>
      </c>
      <c r="J43" s="197"/>
    </row>
    <row r="44" spans="1:10">
      <c r="A44" s="264"/>
      <c r="B44" s="278"/>
      <c r="C44" s="278"/>
      <c r="D44" s="278"/>
      <c r="E44" s="278"/>
      <c r="F44" s="278"/>
      <c r="G44" s="278"/>
      <c r="H44" s="278"/>
      <c r="I44" s="278"/>
    </row>
    <row r="45" spans="1:10">
      <c r="A45" s="264"/>
      <c r="B45" s="278"/>
      <c r="C45" s="279"/>
      <c r="D45" s="278"/>
      <c r="E45" s="278"/>
      <c r="F45" s="278"/>
      <c r="G45" s="278"/>
      <c r="H45" s="278"/>
      <c r="I45" s="278"/>
    </row>
    <row r="46" spans="1:10">
      <c r="A46" s="385"/>
      <c r="B46" s="1630" t="s">
        <v>93</v>
      </c>
      <c r="C46" s="264"/>
      <c r="D46" s="264"/>
      <c r="E46" s="511"/>
      <c r="F46" s="511"/>
      <c r="G46" s="511"/>
      <c r="H46" s="511"/>
      <c r="I46" s="511"/>
    </row>
    <row r="47" spans="1:10">
      <c r="A47" s="279"/>
      <c r="B47" s="1631"/>
      <c r="C47" s="3189">
        <v>2016</v>
      </c>
      <c r="D47" s="1653">
        <v>2017</v>
      </c>
      <c r="E47" s="1650">
        <v>2018</v>
      </c>
      <c r="F47" s="1651">
        <v>2019</v>
      </c>
      <c r="G47" s="1650">
        <v>2020</v>
      </c>
      <c r="H47" s="1654" t="s">
        <v>138</v>
      </c>
      <c r="I47" s="1654" t="s">
        <v>139</v>
      </c>
    </row>
    <row r="48" spans="1:10">
      <c r="A48" s="264"/>
      <c r="B48" s="235" t="s">
        <v>962</v>
      </c>
      <c r="C48" s="1678">
        <v>25387</v>
      </c>
      <c r="D48" s="1624">
        <v>16487.198</v>
      </c>
      <c r="E48" s="235">
        <v>51364.521000000001</v>
      </c>
      <c r="F48" s="1647">
        <v>39999.464</v>
      </c>
      <c r="G48" s="235">
        <v>33644.077109999998</v>
      </c>
      <c r="H48" s="1649">
        <v>22945</v>
      </c>
      <c r="I48" s="1652">
        <v>67407</v>
      </c>
      <c r="J48" s="197"/>
    </row>
    <row r="49" spans="1:10">
      <c r="A49" s="264"/>
      <c r="B49" s="1678" t="s">
        <v>963</v>
      </c>
      <c r="C49" s="1678">
        <v>1260</v>
      </c>
      <c r="D49" s="1684">
        <v>14586.815709999999</v>
      </c>
      <c r="E49" s="1678">
        <v>34445</v>
      </c>
      <c r="F49" s="3103">
        <v>15193.57</v>
      </c>
      <c r="G49" s="1678">
        <v>8495.3657099999982</v>
      </c>
      <c r="H49" s="2920">
        <v>12374</v>
      </c>
      <c r="I49" s="2922">
        <v>8902</v>
      </c>
      <c r="J49" s="197"/>
    </row>
    <row r="50" spans="1:10">
      <c r="A50" s="264"/>
      <c r="B50" s="2440" t="s">
        <v>964</v>
      </c>
      <c r="C50" s="2924">
        <v>0</v>
      </c>
      <c r="D50" s="1684">
        <v>3750.46738</v>
      </c>
      <c r="E50" s="1751">
        <v>380</v>
      </c>
      <c r="F50" s="1655"/>
      <c r="G50" s="1678">
        <v>0</v>
      </c>
      <c r="H50" s="2920"/>
      <c r="I50" s="2922">
        <v>0</v>
      </c>
      <c r="J50" s="197"/>
    </row>
    <row r="51" spans="1:10">
      <c r="A51" s="264"/>
      <c r="B51" s="1678" t="s">
        <v>965</v>
      </c>
      <c r="C51" s="1678">
        <v>227442</v>
      </c>
      <c r="D51" s="1684">
        <v>295397.53667999996</v>
      </c>
      <c r="E51" s="1678">
        <v>399762.43</v>
      </c>
      <c r="F51" s="1647">
        <v>402547.14</v>
      </c>
      <c r="G51" s="1678">
        <v>299283.39408999996</v>
      </c>
      <c r="H51" s="2920">
        <v>228018</v>
      </c>
      <c r="I51" s="2922">
        <v>338409</v>
      </c>
      <c r="J51" s="197"/>
    </row>
    <row r="52" spans="1:10">
      <c r="A52" s="264"/>
      <c r="B52" s="1678" t="s">
        <v>666</v>
      </c>
      <c r="C52" s="1678">
        <v>66092</v>
      </c>
      <c r="D52" s="1684">
        <v>93253.40823000003</v>
      </c>
      <c r="E52" s="1678">
        <v>79872.100999999995</v>
      </c>
      <c r="F52" s="2919">
        <v>134154.72600000002</v>
      </c>
      <c r="G52" s="235">
        <v>105797.41820000006</v>
      </c>
      <c r="H52" s="2920">
        <v>163699.163</v>
      </c>
      <c r="I52" s="2922">
        <v>114473</v>
      </c>
      <c r="J52" s="197"/>
    </row>
    <row r="53" spans="1:10">
      <c r="A53" s="264"/>
      <c r="B53" s="278" t="s">
        <v>118</v>
      </c>
      <c r="C53" s="439">
        <f t="shared" ref="C53:I53" si="6">SUM(C48:C52)</f>
        <v>320181</v>
      </c>
      <c r="D53" s="439">
        <f t="shared" si="6"/>
        <v>423475.42599999998</v>
      </c>
      <c r="E53" s="439">
        <f t="shared" si="6"/>
        <v>565824.05200000003</v>
      </c>
      <c r="F53" s="439">
        <f t="shared" si="6"/>
        <v>591894.9</v>
      </c>
      <c r="G53" s="439">
        <f t="shared" si="6"/>
        <v>447220.25511000003</v>
      </c>
      <c r="H53" s="439">
        <f t="shared" si="6"/>
        <v>427036.163</v>
      </c>
      <c r="I53" s="439">
        <f t="shared" si="6"/>
        <v>529191</v>
      </c>
      <c r="J53" s="197"/>
    </row>
    <row r="54" spans="1:10">
      <c r="A54" s="264"/>
      <c r="B54" s="278"/>
      <c r="C54" s="278"/>
      <c r="D54" s="278"/>
      <c r="E54" s="278"/>
      <c r="F54" s="278"/>
      <c r="G54" s="278"/>
      <c r="H54" s="278"/>
      <c r="I54" s="278"/>
    </row>
    <row r="55" spans="1:10">
      <c r="A55" s="264"/>
      <c r="B55" s="278"/>
      <c r="C55" s="279"/>
      <c r="D55" s="278"/>
      <c r="E55" s="278"/>
      <c r="F55" s="278"/>
      <c r="G55" s="278"/>
      <c r="H55" s="278"/>
      <c r="I55" s="278"/>
    </row>
    <row r="56" spans="1:10">
      <c r="A56" s="385"/>
      <c r="B56" s="1630" t="s">
        <v>96</v>
      </c>
      <c r="C56" s="284"/>
      <c r="D56" s="264"/>
      <c r="E56" s="511"/>
      <c r="F56" s="511"/>
      <c r="G56" s="511"/>
      <c r="H56" s="511"/>
      <c r="I56" s="511"/>
    </row>
    <row r="57" spans="1:10">
      <c r="A57" s="279"/>
      <c r="B57" s="1631"/>
      <c r="C57" s="3189">
        <v>2016</v>
      </c>
      <c r="D57" s="1653">
        <v>2017</v>
      </c>
      <c r="E57" s="1650">
        <v>2018</v>
      </c>
      <c r="F57" s="1651">
        <v>2019</v>
      </c>
      <c r="G57" s="1650">
        <v>2020</v>
      </c>
      <c r="H57" s="1654" t="s">
        <v>138</v>
      </c>
      <c r="I57" s="1654" t="s">
        <v>139</v>
      </c>
    </row>
    <row r="58" spans="1:10">
      <c r="A58" s="264"/>
      <c r="B58" s="235" t="s">
        <v>962</v>
      </c>
      <c r="C58" s="1678">
        <v>4220388</v>
      </c>
      <c r="D58" s="235">
        <v>3900156.1011299985</v>
      </c>
      <c r="E58" s="235">
        <v>6368351.0915799998</v>
      </c>
      <c r="F58" s="1647">
        <v>6949340.2354700007</v>
      </c>
      <c r="G58" s="235">
        <v>8611773.4267100003</v>
      </c>
      <c r="H58" s="1649">
        <v>8151949</v>
      </c>
      <c r="I58" s="1652">
        <v>12579829.14645</v>
      </c>
      <c r="J58" s="197"/>
    </row>
    <row r="59" spans="1:10">
      <c r="A59" s="264"/>
      <c r="B59" s="2440" t="s">
        <v>963</v>
      </c>
      <c r="C59" s="1678">
        <v>234748</v>
      </c>
      <c r="D59" s="1678">
        <v>283843.02794000006</v>
      </c>
      <c r="E59" s="2440">
        <v>320945.79706999997</v>
      </c>
      <c r="F59" s="2919">
        <v>308286</v>
      </c>
      <c r="G59" s="1678">
        <v>543651.97453000001</v>
      </c>
      <c r="H59" s="2920">
        <v>1249714</v>
      </c>
      <c r="I59" s="2922">
        <v>1027363.9413600001</v>
      </c>
      <c r="J59" s="197"/>
    </row>
    <row r="60" spans="1:10">
      <c r="A60" s="264"/>
      <c r="B60" s="1678" t="s">
        <v>964</v>
      </c>
      <c r="C60" s="1678">
        <v>324950</v>
      </c>
      <c r="D60" s="1678">
        <v>394505.01721999998</v>
      </c>
      <c r="E60" s="1678">
        <v>381848</v>
      </c>
      <c r="F60" s="2919">
        <v>376464</v>
      </c>
      <c r="G60" s="1678">
        <v>348239</v>
      </c>
      <c r="H60" s="2920">
        <v>457895</v>
      </c>
      <c r="I60" s="2922">
        <v>501458.48857000005</v>
      </c>
      <c r="J60" s="197"/>
    </row>
    <row r="61" spans="1:10">
      <c r="A61" s="264"/>
      <c r="B61" s="1678" t="s">
        <v>965</v>
      </c>
      <c r="C61" s="1678">
        <v>907419</v>
      </c>
      <c r="D61" s="1678">
        <v>1127385.0408999999</v>
      </c>
      <c r="E61" s="1678">
        <v>1718132.0941999999</v>
      </c>
      <c r="F61" s="2919">
        <v>1648032.70508</v>
      </c>
      <c r="G61" s="1678">
        <v>1443211.29354</v>
      </c>
      <c r="H61" s="2920">
        <v>1722197</v>
      </c>
      <c r="I61" s="2922">
        <v>3611076.2424400002</v>
      </c>
      <c r="J61" s="197"/>
    </row>
    <row r="62" spans="1:10">
      <c r="A62" s="264"/>
      <c r="B62" s="1678" t="s">
        <v>666</v>
      </c>
      <c r="C62" s="1678">
        <v>964177</v>
      </c>
      <c r="D62" s="1678">
        <v>1178124.04917</v>
      </c>
      <c r="E62" s="1678">
        <v>1208022.06299</v>
      </c>
      <c r="F62" s="2919">
        <v>1321943.4453799999</v>
      </c>
      <c r="G62" s="235">
        <v>1319637.38953</v>
      </c>
      <c r="H62" s="2920">
        <v>1154553</v>
      </c>
      <c r="I62" s="2922">
        <v>1249539.2170500001</v>
      </c>
      <c r="J62" s="197"/>
    </row>
    <row r="63" spans="1:10">
      <c r="A63" s="264"/>
      <c r="B63" s="278" t="s">
        <v>118</v>
      </c>
      <c r="C63" s="439">
        <f t="shared" ref="C63:I63" si="7">SUM(C58:C62)</f>
        <v>6651682</v>
      </c>
      <c r="D63" s="439">
        <f t="shared" si="7"/>
        <v>6884013.2363599986</v>
      </c>
      <c r="E63" s="439">
        <f t="shared" si="7"/>
        <v>9997299.0458400007</v>
      </c>
      <c r="F63" s="439">
        <f t="shared" si="7"/>
        <v>10604066.385930002</v>
      </c>
      <c r="G63" s="439">
        <f t="shared" si="7"/>
        <v>12266513.084309999</v>
      </c>
      <c r="H63" s="439">
        <v>12736308</v>
      </c>
      <c r="I63" s="439">
        <f t="shared" si="7"/>
        <v>18969267.035870001</v>
      </c>
      <c r="J63" s="197"/>
    </row>
    <row r="64" spans="1:10">
      <c r="A64" s="264"/>
      <c r="B64" s="278"/>
      <c r="C64" s="279"/>
      <c r="D64" s="264"/>
      <c r="E64" s="278"/>
      <c r="F64" s="278"/>
      <c r="G64" s="278"/>
      <c r="H64" s="278"/>
      <c r="I64" s="278"/>
    </row>
    <row r="65" spans="1:10">
      <c r="A65" s="264"/>
      <c r="B65" s="278"/>
      <c r="C65" s="279"/>
      <c r="D65" s="278"/>
      <c r="E65" s="278"/>
      <c r="F65" s="278"/>
      <c r="G65" s="278"/>
      <c r="H65" s="278"/>
      <c r="I65" s="278"/>
    </row>
    <row r="66" spans="1:10">
      <c r="A66" s="385"/>
      <c r="B66" s="1630" t="s">
        <v>239</v>
      </c>
      <c r="C66" s="264"/>
      <c r="D66" s="264"/>
      <c r="E66" s="511"/>
      <c r="F66" s="511"/>
      <c r="G66" s="511"/>
      <c r="H66" s="511"/>
      <c r="I66" s="511"/>
    </row>
    <row r="67" spans="1:10">
      <c r="A67" s="279"/>
      <c r="B67" s="1631"/>
      <c r="C67" s="3189">
        <v>2016</v>
      </c>
      <c r="D67" s="1653">
        <v>2017</v>
      </c>
      <c r="E67" s="1650">
        <v>2018</v>
      </c>
      <c r="F67" s="1651">
        <v>2019</v>
      </c>
      <c r="G67" s="1650">
        <v>2020</v>
      </c>
      <c r="H67" s="1654" t="s">
        <v>138</v>
      </c>
      <c r="I67" s="1654" t="s">
        <v>139</v>
      </c>
    </row>
    <row r="68" spans="1:10">
      <c r="A68" s="264"/>
      <c r="B68" s="1629" t="s">
        <v>962</v>
      </c>
      <c r="C68" s="1684">
        <v>8927</v>
      </c>
      <c r="D68" s="1624">
        <v>26811</v>
      </c>
      <c r="E68" s="1629">
        <v>135704</v>
      </c>
      <c r="F68" s="1647">
        <v>112659</v>
      </c>
      <c r="G68" s="235">
        <v>213081</v>
      </c>
      <c r="H68" s="1649">
        <v>126147</v>
      </c>
      <c r="I68" s="1652">
        <v>288489.34350000002</v>
      </c>
      <c r="J68" s="197"/>
    </row>
    <row r="69" spans="1:10">
      <c r="A69" s="264"/>
      <c r="B69" s="1678" t="s">
        <v>963</v>
      </c>
      <c r="C69" s="1684">
        <v>14329</v>
      </c>
      <c r="D69" s="1684">
        <v>17883</v>
      </c>
      <c r="E69" s="1678">
        <v>18189</v>
      </c>
      <c r="F69" s="2919">
        <v>32913</v>
      </c>
      <c r="G69" s="1678">
        <v>59954</v>
      </c>
      <c r="H69" s="2920">
        <v>34462</v>
      </c>
      <c r="I69" s="2922">
        <v>32114.523499999999</v>
      </c>
      <c r="J69" s="197"/>
    </row>
    <row r="70" spans="1:10">
      <c r="A70" s="264"/>
      <c r="B70" s="1678" t="s">
        <v>964</v>
      </c>
      <c r="C70" s="1684">
        <v>4701</v>
      </c>
      <c r="D70" s="1684">
        <v>2964</v>
      </c>
      <c r="E70" s="1678">
        <v>4487</v>
      </c>
      <c r="F70" s="2919">
        <v>10359</v>
      </c>
      <c r="G70" s="1678">
        <v>3173</v>
      </c>
      <c r="H70" s="2920">
        <v>5657</v>
      </c>
      <c r="I70" s="2922">
        <v>2060.6079999999997</v>
      </c>
      <c r="J70" s="197"/>
    </row>
    <row r="71" spans="1:10">
      <c r="A71" s="264"/>
      <c r="B71" s="1678" t="s">
        <v>965</v>
      </c>
      <c r="C71" s="1684">
        <v>23805</v>
      </c>
      <c r="D71" s="1684">
        <v>35904</v>
      </c>
      <c r="E71" s="1678">
        <v>41378</v>
      </c>
      <c r="F71" s="2919">
        <v>35020</v>
      </c>
      <c r="G71" s="1678">
        <v>15357</v>
      </c>
      <c r="H71" s="2920">
        <v>31828</v>
      </c>
      <c r="I71" s="2922">
        <v>21148.560739999997</v>
      </c>
      <c r="J71" s="197"/>
    </row>
    <row r="72" spans="1:10">
      <c r="A72" s="264"/>
      <c r="B72" s="1678" t="s">
        <v>381</v>
      </c>
      <c r="C72" s="1684">
        <v>18880</v>
      </c>
      <c r="D72" s="1684">
        <v>25423</v>
      </c>
      <c r="E72" s="1678">
        <v>22671</v>
      </c>
      <c r="F72" s="2919">
        <v>19059</v>
      </c>
      <c r="G72" s="235">
        <v>39654</v>
      </c>
      <c r="H72" s="2920">
        <v>53230</v>
      </c>
      <c r="I72" s="2922">
        <v>16467.966759999952</v>
      </c>
      <c r="J72" s="197"/>
    </row>
    <row r="73" spans="1:10">
      <c r="A73" s="264"/>
      <c r="B73" s="278" t="s">
        <v>118</v>
      </c>
      <c r="C73" s="439">
        <f t="shared" ref="C73:I73" si="8">SUM(C68:C72)</f>
        <v>70642</v>
      </c>
      <c r="D73" s="439">
        <f t="shared" si="8"/>
        <v>108985</v>
      </c>
      <c r="E73" s="439">
        <f t="shared" si="8"/>
        <v>222429</v>
      </c>
      <c r="F73" s="439">
        <f t="shared" si="8"/>
        <v>210010</v>
      </c>
      <c r="G73" s="439">
        <f t="shared" si="8"/>
        <v>331219</v>
      </c>
      <c r="H73" s="439">
        <f t="shared" si="8"/>
        <v>251324</v>
      </c>
      <c r="I73" s="439">
        <f t="shared" si="8"/>
        <v>360281.00249999994</v>
      </c>
      <c r="J73" s="197"/>
    </row>
    <row r="74" spans="1:10">
      <c r="A74" s="264"/>
      <c r="B74" s="278"/>
      <c r="C74" s="279"/>
      <c r="D74" s="278"/>
      <c r="E74" s="278"/>
      <c r="F74" s="278"/>
      <c r="G74" s="278"/>
      <c r="H74" s="278"/>
      <c r="I74" s="278"/>
    </row>
    <row r="75" spans="1:10">
      <c r="A75" s="264"/>
      <c r="B75" s="278"/>
      <c r="C75" s="279"/>
      <c r="D75" s="278"/>
      <c r="E75" s="278"/>
      <c r="G75" s="315"/>
      <c r="H75" s="315">
        <v>187</v>
      </c>
      <c r="I75" s="315">
        <v>187</v>
      </c>
    </row>
    <row r="76" spans="1:10">
      <c r="A76" s="264"/>
      <c r="B76" s="510" t="s">
        <v>970</v>
      </c>
      <c r="C76" s="463"/>
      <c r="D76" s="510"/>
      <c r="E76" s="510"/>
      <c r="F76" s="510"/>
      <c r="G76" s="510"/>
      <c r="H76" s="510"/>
      <c r="I76" s="510"/>
    </row>
    <row r="77" spans="1:10">
      <c r="A77" s="264"/>
      <c r="B77" s="510"/>
      <c r="C77" s="463"/>
      <c r="D77" s="510"/>
      <c r="E77" s="510"/>
      <c r="F77" s="510"/>
      <c r="G77" s="510"/>
      <c r="H77" s="510"/>
      <c r="I77" s="510"/>
    </row>
    <row r="78" spans="1:10">
      <c r="A78" s="385"/>
      <c r="B78" s="1630" t="s">
        <v>103</v>
      </c>
      <c r="C78" s="385"/>
      <c r="D78" s="385"/>
      <c r="F78" s="1449"/>
      <c r="G78" s="1449"/>
      <c r="H78" s="1449" t="s">
        <v>499</v>
      </c>
      <c r="I78" s="1449" t="s">
        <v>499</v>
      </c>
    </row>
    <row r="79" spans="1:10">
      <c r="A79" s="279"/>
      <c r="B79" s="1631"/>
      <c r="C79" s="3189">
        <v>2016</v>
      </c>
      <c r="D79" s="1653">
        <v>2017</v>
      </c>
      <c r="E79" s="1650">
        <v>2018</v>
      </c>
      <c r="F79" s="1651">
        <v>2019</v>
      </c>
      <c r="G79" s="1650">
        <v>2020</v>
      </c>
      <c r="H79" s="1654" t="s">
        <v>138</v>
      </c>
      <c r="I79" s="1654" t="s">
        <v>139</v>
      </c>
    </row>
    <row r="80" spans="1:10">
      <c r="A80" s="264"/>
      <c r="B80" s="235" t="s">
        <v>962</v>
      </c>
      <c r="C80" s="1684">
        <v>91433</v>
      </c>
      <c r="D80" s="1624">
        <v>221436.64298999999</v>
      </c>
      <c r="E80" s="235">
        <v>709270.76859598618</v>
      </c>
      <c r="F80" s="1647">
        <v>852149.92336999904</v>
      </c>
      <c r="G80" s="235">
        <v>955802.28160000104</v>
      </c>
      <c r="H80" s="1649">
        <v>1001758</v>
      </c>
      <c r="I80" s="1652">
        <v>1245797.2471800009</v>
      </c>
      <c r="J80" s="197"/>
    </row>
    <row r="81" spans="1:29">
      <c r="A81" s="264"/>
      <c r="B81" s="1678" t="s">
        <v>963</v>
      </c>
      <c r="C81" s="472">
        <v>164541</v>
      </c>
      <c r="D81" s="472">
        <v>122938.19654</v>
      </c>
      <c r="E81" s="494">
        <v>101060.15214999999</v>
      </c>
      <c r="F81" s="2919">
        <v>93030.227000000014</v>
      </c>
      <c r="G81" s="1678">
        <v>73908.970650000003</v>
      </c>
      <c r="H81" s="2920">
        <v>90168</v>
      </c>
      <c r="I81" s="2922">
        <v>187493.2788400001</v>
      </c>
      <c r="J81" s="197"/>
    </row>
    <row r="82" spans="1:29">
      <c r="A82" s="264"/>
      <c r="B82" s="1678" t="s">
        <v>964</v>
      </c>
      <c r="C82" s="1684">
        <v>1908</v>
      </c>
      <c r="D82" s="1684">
        <v>1483.36996</v>
      </c>
      <c r="E82" s="1678">
        <v>8556.0858099999987</v>
      </c>
      <c r="F82" s="2919">
        <v>2401.8242199999995</v>
      </c>
      <c r="G82" s="1678">
        <v>808.78099999999995</v>
      </c>
      <c r="H82" s="2920">
        <v>2588</v>
      </c>
      <c r="I82" s="2922">
        <v>3733.6788300000003</v>
      </c>
      <c r="J82" s="197"/>
    </row>
    <row r="83" spans="1:29">
      <c r="A83" s="264"/>
      <c r="B83" s="1678" t="s">
        <v>965</v>
      </c>
      <c r="C83" s="472">
        <v>84062</v>
      </c>
      <c r="D83" s="472">
        <v>171722.76276395496</v>
      </c>
      <c r="E83" s="494">
        <v>195805.97411324806</v>
      </c>
      <c r="F83" s="2919">
        <v>269696.64306651201</v>
      </c>
      <c r="G83" s="1678">
        <v>290293.27582139598</v>
      </c>
      <c r="H83" s="2920">
        <v>392077</v>
      </c>
      <c r="I83" s="2922">
        <v>600535.94471999898</v>
      </c>
      <c r="J83" s="197"/>
    </row>
    <row r="84" spans="1:29">
      <c r="A84" s="264"/>
      <c r="B84" s="1678" t="s">
        <v>666</v>
      </c>
      <c r="C84" s="1684">
        <v>59732</v>
      </c>
      <c r="D84" s="1678">
        <v>57970.119279999999</v>
      </c>
      <c r="E84" s="1678">
        <v>91926.829280000005</v>
      </c>
      <c r="F84" s="2919">
        <v>107865.024343489</v>
      </c>
      <c r="G84" s="235">
        <v>107535.06433860346</v>
      </c>
      <c r="H84" s="2920">
        <v>152313</v>
      </c>
      <c r="I84" s="2922">
        <v>186850.38786399996</v>
      </c>
      <c r="J84" s="197"/>
    </row>
    <row r="85" spans="1:29">
      <c r="A85" s="264"/>
      <c r="B85" s="278" t="s">
        <v>118</v>
      </c>
      <c r="C85" s="439">
        <f t="shared" ref="C85:I85" si="9">SUM(C80:C84)</f>
        <v>401676</v>
      </c>
      <c r="D85" s="439">
        <f t="shared" si="9"/>
        <v>575551.09153395495</v>
      </c>
      <c r="E85" s="439">
        <f t="shared" si="9"/>
        <v>1106619.8099492341</v>
      </c>
      <c r="F85" s="439">
        <f t="shared" si="9"/>
        <v>1325143.642</v>
      </c>
      <c r="G85" s="439">
        <f t="shared" si="9"/>
        <v>1428348.3734100005</v>
      </c>
      <c r="H85" s="439">
        <f t="shared" si="9"/>
        <v>1638904</v>
      </c>
      <c r="I85" s="439">
        <f t="shared" si="9"/>
        <v>2224410.5374340001</v>
      </c>
      <c r="J85" s="197"/>
      <c r="N85" s="385"/>
      <c r="O85" s="385"/>
      <c r="Q85" s="385"/>
      <c r="R85" s="385"/>
      <c r="S85" s="416"/>
      <c r="T85" s="385"/>
      <c r="U85" s="385"/>
      <c r="V85" s="385"/>
      <c r="W85" s="385"/>
      <c r="X85" s="385"/>
      <c r="Y85" s="385"/>
      <c r="Z85" s="385"/>
      <c r="AA85" s="385"/>
      <c r="AB85" s="385"/>
      <c r="AC85" s="385"/>
    </row>
    <row r="86" spans="1:29">
      <c r="A86" s="264"/>
      <c r="B86" s="278"/>
      <c r="C86" s="279"/>
      <c r="D86" s="278"/>
      <c r="E86" s="278"/>
      <c r="F86" s="278"/>
      <c r="G86" s="278"/>
      <c r="H86" s="278"/>
      <c r="I86" s="278"/>
      <c r="N86" s="385"/>
      <c r="O86" s="385"/>
      <c r="Q86" s="385"/>
      <c r="R86" s="385"/>
      <c r="S86" s="416"/>
      <c r="T86" s="385"/>
      <c r="U86" s="385"/>
      <c r="V86" s="385"/>
      <c r="W86" s="385"/>
      <c r="X86" s="385"/>
      <c r="Y86" s="385"/>
      <c r="Z86" s="385"/>
      <c r="AA86" s="385"/>
      <c r="AB86" s="385"/>
      <c r="AC86" s="385"/>
    </row>
    <row r="87" spans="1:29">
      <c r="A87" s="264"/>
      <c r="B87" s="278"/>
      <c r="C87" s="463"/>
      <c r="D87" s="466"/>
      <c r="E87" s="278"/>
      <c r="F87" s="278"/>
      <c r="G87" s="278"/>
      <c r="H87" s="278"/>
      <c r="I87" s="278"/>
      <c r="N87" s="385"/>
      <c r="O87" s="385"/>
      <c r="Q87" s="385"/>
      <c r="R87" s="385"/>
      <c r="S87" s="416"/>
      <c r="T87" s="385"/>
      <c r="U87" s="385"/>
      <c r="V87" s="385"/>
      <c r="W87" s="385"/>
      <c r="X87" s="385"/>
      <c r="Y87" s="385"/>
      <c r="Z87" s="385"/>
      <c r="AA87" s="385"/>
      <c r="AB87" s="385"/>
      <c r="AC87" s="385"/>
    </row>
    <row r="88" spans="1:29">
      <c r="A88" s="385"/>
      <c r="B88" s="1630" t="s">
        <v>105</v>
      </c>
      <c r="C88" s="264"/>
      <c r="D88" s="293"/>
      <c r="E88" s="511"/>
      <c r="F88" s="511"/>
      <c r="G88" s="511"/>
      <c r="H88" s="511"/>
      <c r="I88" s="511"/>
      <c r="N88" s="385"/>
      <c r="O88" s="385"/>
      <c r="Q88" s="385"/>
      <c r="R88" s="385"/>
      <c r="S88" s="416"/>
      <c r="T88" s="385"/>
      <c r="U88" s="385"/>
      <c r="V88" s="385"/>
      <c r="W88" s="385"/>
      <c r="X88" s="385"/>
      <c r="Y88" s="385"/>
      <c r="Z88" s="385"/>
      <c r="AA88" s="385"/>
      <c r="AB88" s="385"/>
      <c r="AC88" s="385"/>
    </row>
    <row r="89" spans="1:29">
      <c r="A89" s="279"/>
      <c r="B89" s="1631"/>
      <c r="C89" s="3189">
        <v>2016</v>
      </c>
      <c r="D89" s="1653">
        <v>2017</v>
      </c>
      <c r="E89" s="1650">
        <v>2018</v>
      </c>
      <c r="F89" s="1651">
        <v>2019</v>
      </c>
      <c r="G89" s="1650">
        <v>2020</v>
      </c>
      <c r="H89" s="1654" t="s">
        <v>138</v>
      </c>
      <c r="I89" s="1654" t="s">
        <v>139</v>
      </c>
      <c r="N89" s="385"/>
      <c r="O89" s="385"/>
      <c r="Q89" s="385"/>
      <c r="R89" s="385"/>
      <c r="S89" s="416"/>
      <c r="T89" s="385"/>
      <c r="U89" s="385"/>
      <c r="V89" s="385"/>
      <c r="W89" s="385"/>
      <c r="X89" s="385"/>
      <c r="Y89" s="385"/>
      <c r="Z89" s="385"/>
      <c r="AA89" s="385"/>
      <c r="AB89" s="385"/>
      <c r="AC89" s="385"/>
    </row>
    <row r="90" spans="1:29">
      <c r="A90" s="264"/>
      <c r="B90" s="235" t="s">
        <v>962</v>
      </c>
      <c r="C90" s="1717">
        <v>435791</v>
      </c>
      <c r="D90" s="1554">
        <v>290322</v>
      </c>
      <c r="E90" s="235">
        <f>464170+41747</f>
        <v>505917</v>
      </c>
      <c r="F90" s="1647">
        <f>783400.895689999+20509</f>
        <v>803909.89568999899</v>
      </c>
      <c r="G90" s="235">
        <f>737420+85159</f>
        <v>822579</v>
      </c>
      <c r="H90" s="1649">
        <v>771447.55171000003</v>
      </c>
      <c r="I90" s="3068">
        <v>1002998</v>
      </c>
      <c r="J90"/>
      <c r="K90"/>
      <c r="N90" s="487"/>
      <c r="O90" s="473"/>
      <c r="Q90" s="473"/>
      <c r="R90" s="473"/>
      <c r="S90" s="487"/>
      <c r="T90" s="473"/>
      <c r="U90" s="473"/>
      <c r="V90" s="487"/>
      <c r="W90" s="473"/>
      <c r="X90" s="305"/>
      <c r="Y90" s="599"/>
      <c r="Z90" s="264"/>
      <c r="AA90" s="305"/>
      <c r="AB90" s="599"/>
      <c r="AC90" s="293"/>
    </row>
    <row r="91" spans="1:29">
      <c r="A91" s="264"/>
      <c r="B91" s="1678" t="s">
        <v>963</v>
      </c>
      <c r="C91" s="1717">
        <v>241527.32519</v>
      </c>
      <c r="D91" s="1717">
        <v>268312</v>
      </c>
      <c r="E91" s="1678">
        <f>352755+452</f>
        <v>353207</v>
      </c>
      <c r="F91" s="2919">
        <f>245996.61284+341</f>
        <v>246337.61283999999</v>
      </c>
      <c r="G91" s="1678">
        <v>237178</v>
      </c>
      <c r="H91" s="2920">
        <v>396503.89441000001</v>
      </c>
      <c r="I91" s="3068">
        <v>617256</v>
      </c>
      <c r="J91"/>
      <c r="K91"/>
      <c r="N91" s="708"/>
      <c r="O91" s="473"/>
      <c r="Q91" s="473"/>
      <c r="R91" s="473"/>
      <c r="S91" s="487"/>
      <c r="T91" s="473"/>
      <c r="U91" s="473"/>
      <c r="V91" s="487"/>
      <c r="W91" s="473"/>
      <c r="X91" s="305"/>
      <c r="Y91" s="599"/>
      <c r="Z91" s="264"/>
      <c r="AA91" s="305"/>
      <c r="AB91" s="599"/>
      <c r="AC91" s="293"/>
    </row>
    <row r="92" spans="1:29">
      <c r="A92" s="264"/>
      <c r="B92" s="1678" t="s">
        <v>964</v>
      </c>
      <c r="C92" s="1717">
        <v>3900.4740000000002</v>
      </c>
      <c r="D92" s="1717">
        <v>4401</v>
      </c>
      <c r="E92" s="1678">
        <v>22095</v>
      </c>
      <c r="F92" s="2919">
        <v>1839.9488699999999</v>
      </c>
      <c r="G92" s="1678">
        <v>27901</v>
      </c>
      <c r="H92" s="2920">
        <v>37501.903760000001</v>
      </c>
      <c r="I92" s="3068">
        <v>1564</v>
      </c>
      <c r="J92"/>
      <c r="K92"/>
      <c r="N92" s="473"/>
      <c r="O92" s="473"/>
      <c r="Q92" s="473"/>
      <c r="R92" s="473"/>
      <c r="S92" s="487"/>
      <c r="T92" s="473"/>
      <c r="U92" s="473"/>
      <c r="V92" s="487"/>
      <c r="W92" s="473"/>
      <c r="X92" s="305"/>
      <c r="Y92" s="599"/>
      <c r="Z92" s="264"/>
      <c r="AA92" s="305"/>
      <c r="AB92" s="599"/>
      <c r="AC92" s="293"/>
    </row>
    <row r="93" spans="1:29">
      <c r="A93" s="264"/>
      <c r="B93" s="1678" t="s">
        <v>965</v>
      </c>
      <c r="C93" s="1717">
        <v>208246</v>
      </c>
      <c r="D93" s="1717">
        <v>288534</v>
      </c>
      <c r="E93" s="1678">
        <f>463368.3848+889</f>
        <v>464257.3848</v>
      </c>
      <c r="F93" s="2919">
        <f>476807.120060001+386</f>
        <v>477193.12006000098</v>
      </c>
      <c r="G93" s="1678">
        <f>429603+953</f>
        <v>430556</v>
      </c>
      <c r="H93" s="2920">
        <v>448159</v>
      </c>
      <c r="I93" s="3068">
        <v>575520</v>
      </c>
      <c r="J93"/>
      <c r="K93"/>
      <c r="N93" s="473"/>
      <c r="O93" s="473"/>
      <c r="Q93" s="473"/>
      <c r="R93" s="473"/>
      <c r="S93" s="487"/>
      <c r="T93" s="473"/>
      <c r="U93" s="473"/>
      <c r="V93" s="487"/>
      <c r="W93" s="473"/>
      <c r="X93" s="305"/>
      <c r="Y93" s="599"/>
      <c r="Z93" s="264"/>
      <c r="AA93" s="305"/>
      <c r="AB93" s="599"/>
      <c r="AC93" s="293"/>
    </row>
    <row r="94" spans="1:29">
      <c r="A94" s="264"/>
      <c r="B94" s="1678" t="s">
        <v>666</v>
      </c>
      <c r="C94" s="1717">
        <v>263398</v>
      </c>
      <c r="D94" s="1717">
        <v>326428</v>
      </c>
      <c r="E94" s="1678">
        <f>218721+1390</f>
        <v>220111</v>
      </c>
      <c r="F94" s="2919">
        <f>334801.41882+807</f>
        <v>335608.41882000002</v>
      </c>
      <c r="G94" s="235">
        <f>237919+149</f>
        <v>238068</v>
      </c>
      <c r="H94" s="2920">
        <v>429019</v>
      </c>
      <c r="I94" s="3068">
        <v>592472</v>
      </c>
      <c r="J94"/>
      <c r="K94"/>
      <c r="N94" s="473"/>
      <c r="O94" s="473"/>
      <c r="Q94" s="473"/>
      <c r="R94" s="473"/>
      <c r="S94" s="487"/>
      <c r="T94" s="473"/>
      <c r="U94" s="473"/>
      <c r="V94" s="487"/>
      <c r="W94" s="473"/>
      <c r="X94" s="305"/>
      <c r="Y94" s="599"/>
      <c r="Z94" s="264"/>
      <c r="AA94" s="305"/>
      <c r="AB94" s="599"/>
      <c r="AC94" s="293"/>
    </row>
    <row r="95" spans="1:29">
      <c r="A95" s="264"/>
      <c r="B95" s="278" t="s">
        <v>118</v>
      </c>
      <c r="C95" s="439">
        <f t="shared" ref="C95:I95" si="10">SUM(C90:C94)</f>
        <v>1152862.7991900002</v>
      </c>
      <c r="D95" s="439">
        <f t="shared" si="10"/>
        <v>1177997</v>
      </c>
      <c r="E95" s="439">
        <f t="shared" si="10"/>
        <v>1565587.3848000001</v>
      </c>
      <c r="F95" s="439">
        <f t="shared" si="10"/>
        <v>1864888.9962800001</v>
      </c>
      <c r="G95" s="439">
        <f t="shared" si="10"/>
        <v>1756282</v>
      </c>
      <c r="H95" s="439">
        <f t="shared" si="10"/>
        <v>2082631.3498799999</v>
      </c>
      <c r="I95" s="439">
        <f t="shared" si="10"/>
        <v>2789810</v>
      </c>
      <c r="J95" s="197"/>
      <c r="N95" s="293"/>
      <c r="O95" s="293"/>
      <c r="Q95" s="293"/>
      <c r="R95" s="293"/>
      <c r="S95" s="487"/>
      <c r="T95" s="293"/>
      <c r="U95" s="293"/>
      <c r="V95" s="487"/>
      <c r="W95" s="293"/>
      <c r="X95" s="293"/>
      <c r="Y95" s="293"/>
      <c r="Z95" s="293"/>
      <c r="AA95" s="293"/>
      <c r="AB95" s="599"/>
      <c r="AC95" s="293"/>
    </row>
    <row r="96" spans="1:29">
      <c r="A96" s="264"/>
      <c r="B96" s="278"/>
      <c r="C96" s="463"/>
      <c r="D96" s="466"/>
      <c r="E96" s="278"/>
      <c r="F96" s="278"/>
      <c r="G96" s="278"/>
      <c r="H96" s="278"/>
      <c r="I96" s="278"/>
      <c r="N96" s="385"/>
      <c r="O96" s="385"/>
      <c r="Q96" s="385"/>
      <c r="R96" s="385"/>
      <c r="S96" s="416"/>
      <c r="T96" s="385"/>
      <c r="U96" s="385"/>
      <c r="V96" s="385"/>
      <c r="W96" s="385"/>
      <c r="X96" s="385"/>
      <c r="Y96" s="385"/>
      <c r="Z96" s="385"/>
      <c r="AA96" s="385"/>
      <c r="AB96" s="385"/>
      <c r="AC96" s="385"/>
    </row>
    <row r="97" spans="1:29">
      <c r="A97" s="264"/>
      <c r="B97" s="464"/>
      <c r="C97" s="600"/>
      <c r="D97" s="278"/>
      <c r="E97" s="464"/>
      <c r="F97" s="464"/>
      <c r="G97" s="464"/>
      <c r="H97" s="464"/>
      <c r="I97" s="464"/>
      <c r="N97" s="385"/>
      <c r="O97" s="385"/>
      <c r="Q97" s="385"/>
      <c r="R97" s="385"/>
      <c r="S97" s="416"/>
      <c r="T97" s="385"/>
      <c r="U97" s="385"/>
      <c r="V97" s="385"/>
      <c r="W97" s="385"/>
      <c r="X97" s="385"/>
      <c r="Y97" s="385"/>
      <c r="Z97" s="385"/>
      <c r="AA97" s="385"/>
      <c r="AB97" s="385"/>
      <c r="AC97" s="385"/>
    </row>
    <row r="98" spans="1:29">
      <c r="A98" s="385"/>
      <c r="B98" s="1630" t="s">
        <v>106</v>
      </c>
      <c r="C98" s="264"/>
      <c r="D98" s="264"/>
      <c r="E98" s="511"/>
      <c r="F98" s="511"/>
      <c r="G98" s="511"/>
      <c r="H98" s="511"/>
      <c r="I98" s="511"/>
      <c r="N98" s="385"/>
      <c r="O98" s="385"/>
      <c r="Q98" s="385"/>
      <c r="R98" s="385"/>
      <c r="S98" s="416"/>
      <c r="T98" s="385"/>
      <c r="U98" s="385"/>
      <c r="V98" s="385"/>
      <c r="W98" s="385"/>
      <c r="X98" s="385"/>
      <c r="Y98" s="385"/>
      <c r="Z98" s="385"/>
      <c r="AA98" s="385"/>
      <c r="AB98" s="385"/>
      <c r="AC98" s="385"/>
    </row>
    <row r="99" spans="1:29">
      <c r="A99" s="279"/>
      <c r="B99" s="1631"/>
      <c r="C99" s="3189">
        <v>2016</v>
      </c>
      <c r="D99" s="1650">
        <v>2017</v>
      </c>
      <c r="E99" s="1651">
        <v>2018</v>
      </c>
      <c r="F99" s="1650">
        <v>2019</v>
      </c>
      <c r="G99" s="1651">
        <v>2020</v>
      </c>
      <c r="H99" s="1651" t="s">
        <v>138</v>
      </c>
      <c r="I99" s="1650" t="s">
        <v>139</v>
      </c>
      <c r="N99" s="385"/>
      <c r="O99" s="385"/>
      <c r="Q99" s="385"/>
      <c r="R99" s="385"/>
      <c r="S99" s="416"/>
      <c r="T99" s="385"/>
      <c r="U99" s="385"/>
      <c r="V99" s="385"/>
      <c r="W99" s="385"/>
      <c r="X99" s="385"/>
      <c r="Y99" s="385"/>
      <c r="Z99" s="385"/>
      <c r="AA99" s="385"/>
      <c r="AB99" s="385"/>
      <c r="AC99" s="385"/>
    </row>
    <row r="100" spans="1:29">
      <c r="A100" s="264"/>
      <c r="B100" s="235" t="s">
        <v>962</v>
      </c>
      <c r="C100" s="1684">
        <v>54194</v>
      </c>
      <c r="D100" s="1624">
        <v>89261</v>
      </c>
      <c r="E100" s="235">
        <v>194375</v>
      </c>
      <c r="F100" s="1647">
        <v>338454</v>
      </c>
      <c r="G100" s="235">
        <v>477510</v>
      </c>
      <c r="H100" s="1649">
        <v>426609</v>
      </c>
      <c r="I100" s="1652">
        <v>553695</v>
      </c>
      <c r="J100" s="197"/>
      <c r="N100" s="385"/>
      <c r="O100" s="385"/>
      <c r="Q100" s="385"/>
      <c r="R100" s="385"/>
      <c r="S100" s="416"/>
      <c r="T100" s="385"/>
      <c r="U100" s="385"/>
      <c r="V100" s="385"/>
      <c r="W100" s="385"/>
      <c r="X100" s="385"/>
      <c r="Y100" s="385"/>
      <c r="Z100" s="385"/>
      <c r="AA100" s="385"/>
      <c r="AB100" s="385"/>
      <c r="AC100" s="385"/>
    </row>
    <row r="101" spans="1:29">
      <c r="A101" s="264"/>
      <c r="B101" s="1678" t="s">
        <v>963</v>
      </c>
      <c r="C101" s="1684">
        <v>5031</v>
      </c>
      <c r="D101" s="1684">
        <v>9605</v>
      </c>
      <c r="E101" s="1678">
        <v>7123</v>
      </c>
      <c r="F101" s="2919">
        <v>6534</v>
      </c>
      <c r="G101" s="1678">
        <v>16342</v>
      </c>
      <c r="H101" s="2920">
        <v>4686</v>
      </c>
      <c r="I101" s="2922">
        <v>27688</v>
      </c>
      <c r="J101" s="197"/>
    </row>
    <row r="102" spans="1:29">
      <c r="A102" s="264"/>
      <c r="B102" s="1678" t="s">
        <v>964</v>
      </c>
      <c r="C102" s="1684">
        <v>0</v>
      </c>
      <c r="D102" s="1684">
        <v>0</v>
      </c>
      <c r="E102" s="1678"/>
      <c r="F102" s="2919"/>
      <c r="G102" s="1678">
        <v>0</v>
      </c>
      <c r="H102" s="2920">
        <v>0</v>
      </c>
      <c r="I102" s="2922"/>
      <c r="J102" s="197"/>
    </row>
    <row r="103" spans="1:29">
      <c r="A103" s="264"/>
      <c r="B103" s="1678" t="s">
        <v>965</v>
      </c>
      <c r="C103" s="1684">
        <v>15448</v>
      </c>
      <c r="D103" s="1684">
        <v>16567</v>
      </c>
      <c r="E103" s="1678">
        <v>19643</v>
      </c>
      <c r="F103" s="2919">
        <v>31671</v>
      </c>
      <c r="G103" s="1678">
        <v>21972</v>
      </c>
      <c r="H103" s="2920">
        <v>47849</v>
      </c>
      <c r="I103" s="2922">
        <v>31129</v>
      </c>
      <c r="J103" s="197"/>
    </row>
    <row r="104" spans="1:29">
      <c r="A104" s="264"/>
      <c r="B104" s="1678" t="s">
        <v>666</v>
      </c>
      <c r="C104" s="1684">
        <v>98248</v>
      </c>
      <c r="D104" s="1678">
        <v>59442</v>
      </c>
      <c r="E104" s="1678">
        <v>79385</v>
      </c>
      <c r="F104" s="2919">
        <v>97976</v>
      </c>
      <c r="G104" s="235">
        <v>102343</v>
      </c>
      <c r="H104" s="2920">
        <v>399878</v>
      </c>
      <c r="I104" s="2922">
        <v>245842</v>
      </c>
      <c r="J104" s="197"/>
    </row>
    <row r="105" spans="1:29">
      <c r="A105" s="264"/>
      <c r="B105" s="278" t="s">
        <v>118</v>
      </c>
      <c r="C105" s="439">
        <f t="shared" ref="C105:I105" si="11">SUM(C100:C104)</f>
        <v>172921</v>
      </c>
      <c r="D105" s="439">
        <f t="shared" si="11"/>
        <v>174875</v>
      </c>
      <c r="E105" s="439">
        <f t="shared" si="11"/>
        <v>300526</v>
      </c>
      <c r="F105" s="439">
        <f t="shared" si="11"/>
        <v>474635</v>
      </c>
      <c r="G105" s="439">
        <f t="shared" si="11"/>
        <v>618167</v>
      </c>
      <c r="H105" s="439">
        <f t="shared" si="11"/>
        <v>879022</v>
      </c>
      <c r="I105" s="439">
        <f t="shared" si="11"/>
        <v>858354</v>
      </c>
      <c r="J105" s="197"/>
    </row>
    <row r="106" spans="1:29">
      <c r="A106" s="264"/>
      <c r="B106" s="464"/>
      <c r="C106" s="279"/>
      <c r="D106" s="278"/>
      <c r="E106" s="464"/>
      <c r="F106" s="464"/>
      <c r="G106" s="464"/>
      <c r="H106" s="464"/>
      <c r="I106" s="464"/>
    </row>
    <row r="107" spans="1:29">
      <c r="A107" s="385"/>
      <c r="B107" s="1630" t="s">
        <v>107</v>
      </c>
      <c r="C107" s="264"/>
      <c r="D107" s="264"/>
      <c r="E107" s="511"/>
      <c r="F107" s="511"/>
      <c r="G107" s="511"/>
      <c r="H107" s="511"/>
      <c r="I107" s="511"/>
    </row>
    <row r="108" spans="1:29">
      <c r="A108" s="279"/>
      <c r="B108" s="1631"/>
      <c r="C108" s="3189">
        <v>2016</v>
      </c>
      <c r="D108" s="1653">
        <v>2017</v>
      </c>
      <c r="E108" s="1650">
        <v>2018</v>
      </c>
      <c r="F108" s="1651">
        <v>2019</v>
      </c>
      <c r="G108" s="1650">
        <v>2020</v>
      </c>
      <c r="H108" s="1654" t="s">
        <v>138</v>
      </c>
      <c r="I108" s="1654" t="s">
        <v>139</v>
      </c>
    </row>
    <row r="109" spans="1:29">
      <c r="A109" s="264"/>
      <c r="B109" s="235" t="s">
        <v>962</v>
      </c>
      <c r="C109" s="1684">
        <v>0</v>
      </c>
      <c r="D109" s="1624">
        <v>6240</v>
      </c>
      <c r="E109" s="235">
        <v>84389.025010000012</v>
      </c>
      <c r="F109" s="1647">
        <v>153077.40177</v>
      </c>
      <c r="G109" s="235">
        <v>26505.511419999999</v>
      </c>
      <c r="H109" s="1649">
        <v>2233</v>
      </c>
      <c r="I109" s="1652">
        <v>2861.2147300000001</v>
      </c>
      <c r="J109" s="197"/>
    </row>
    <row r="110" spans="1:29">
      <c r="A110" s="264"/>
      <c r="B110" s="1678" t="s">
        <v>963</v>
      </c>
      <c r="C110" s="1684">
        <v>119234.43182</v>
      </c>
      <c r="D110" s="1684">
        <v>274251.07306000002</v>
      </c>
      <c r="E110" s="1678">
        <v>335712.66822000005</v>
      </c>
      <c r="F110" s="2919">
        <v>323530.99598000001</v>
      </c>
      <c r="G110" s="1678">
        <v>305363.36979999999</v>
      </c>
      <c r="H110" s="2920">
        <v>369211</v>
      </c>
      <c r="I110" s="2922">
        <v>348277.65755</v>
      </c>
      <c r="J110" s="197"/>
    </row>
    <row r="111" spans="1:29">
      <c r="A111" s="264"/>
      <c r="B111" s="1678" t="s">
        <v>964</v>
      </c>
      <c r="C111" s="1684">
        <v>3299.8421600000001</v>
      </c>
      <c r="D111" s="1684">
        <v>13110.550160000001</v>
      </c>
      <c r="E111" s="1678">
        <v>10873.23918</v>
      </c>
      <c r="F111" s="2919">
        <v>27395.550510000001</v>
      </c>
      <c r="G111" s="1678">
        <v>47283.85426</v>
      </c>
      <c r="H111" s="2920">
        <v>47159</v>
      </c>
      <c r="I111" s="2922">
        <v>19224.36982</v>
      </c>
      <c r="J111" s="197"/>
    </row>
    <row r="112" spans="1:29">
      <c r="A112" s="264"/>
      <c r="B112" s="1678" t="s">
        <v>965</v>
      </c>
      <c r="C112" s="1684">
        <v>3194.1824900000001</v>
      </c>
      <c r="D112" s="1684">
        <v>8212.1585799999993</v>
      </c>
      <c r="E112" s="1678">
        <v>33433.579839999999</v>
      </c>
      <c r="F112" s="2919">
        <v>93859.213520000005</v>
      </c>
      <c r="G112" s="1678">
        <v>166594.78648000001</v>
      </c>
      <c r="H112" s="2920">
        <v>238797</v>
      </c>
      <c r="I112" s="2922">
        <v>667090.28561000002</v>
      </c>
      <c r="J112" s="197"/>
    </row>
    <row r="113" spans="1:10">
      <c r="A113" s="264"/>
      <c r="B113" s="1678" t="s">
        <v>666</v>
      </c>
      <c r="C113" s="1684">
        <v>5549.1840000000002</v>
      </c>
      <c r="D113" s="1684">
        <v>12035.558449999999</v>
      </c>
      <c r="E113" s="1678">
        <v>12632.823050000001</v>
      </c>
      <c r="F113" s="2919">
        <v>15183</v>
      </c>
      <c r="G113" s="235">
        <v>21718</v>
      </c>
      <c r="H113" s="2920">
        <v>240987</v>
      </c>
      <c r="I113" s="2922">
        <v>517705.87290000002</v>
      </c>
      <c r="J113" s="197"/>
    </row>
    <row r="114" spans="1:10">
      <c r="A114" s="264"/>
      <c r="B114" s="464" t="s">
        <v>118</v>
      </c>
      <c r="C114" s="439">
        <f t="shared" ref="C114:I114" si="12">SUM(C109:C113)</f>
        <v>131277.64047000001</v>
      </c>
      <c r="D114" s="439">
        <f t="shared" si="12"/>
        <v>313849.34025000001</v>
      </c>
      <c r="E114" s="439">
        <f t="shared" si="12"/>
        <v>477041.33530000009</v>
      </c>
      <c r="F114" s="439">
        <f t="shared" si="12"/>
        <v>613046.16177999997</v>
      </c>
      <c r="G114" s="439">
        <f t="shared" si="12"/>
        <v>567465.52196000004</v>
      </c>
      <c r="H114" s="439">
        <v>898387</v>
      </c>
      <c r="I114" s="439">
        <f t="shared" si="12"/>
        <v>1555159.4006100001</v>
      </c>
      <c r="J114" s="197"/>
    </row>
    <row r="115" spans="1:10">
      <c r="A115" s="264"/>
      <c r="B115" s="464"/>
      <c r="C115" s="278"/>
      <c r="D115" s="278"/>
      <c r="E115" s="278"/>
      <c r="F115" s="278"/>
      <c r="G115" s="278"/>
      <c r="H115" s="278"/>
      <c r="I115" s="278"/>
    </row>
    <row r="116" spans="1:10">
      <c r="A116" s="264"/>
      <c r="B116" s="464"/>
      <c r="C116" s="278"/>
      <c r="D116" s="278"/>
      <c r="E116" s="464"/>
      <c r="G116" s="525"/>
      <c r="H116" s="525">
        <v>188</v>
      </c>
      <c r="I116" s="525">
        <v>188</v>
      </c>
      <c r="J116" s="264"/>
    </row>
    <row r="117" spans="1:10">
      <c r="A117" s="264"/>
      <c r="B117" s="510" t="s">
        <v>970</v>
      </c>
      <c r="C117" s="463"/>
      <c r="D117" s="510"/>
      <c r="E117" s="510"/>
      <c r="F117" s="510"/>
      <c r="G117" s="510"/>
      <c r="H117" s="510"/>
      <c r="I117" s="510"/>
    </row>
    <row r="118" spans="1:10">
      <c r="A118" s="264"/>
      <c r="B118" s="510"/>
      <c r="C118" s="463"/>
      <c r="D118" s="510"/>
      <c r="E118" s="510"/>
      <c r="F118" s="510"/>
      <c r="G118" s="510"/>
      <c r="H118" s="510"/>
      <c r="I118" s="510"/>
    </row>
    <row r="119" spans="1:10">
      <c r="A119" s="385"/>
      <c r="B119" s="1630" t="s">
        <v>109</v>
      </c>
      <c r="C119" s="264"/>
      <c r="D119" s="264"/>
      <c r="F119" s="1449"/>
      <c r="G119" s="1449"/>
      <c r="H119" s="1449" t="s">
        <v>499</v>
      </c>
      <c r="I119" s="1449" t="s">
        <v>499</v>
      </c>
    </row>
    <row r="120" spans="1:10">
      <c r="A120" s="279"/>
      <c r="B120" s="1631"/>
      <c r="C120" s="3189">
        <v>2016</v>
      </c>
      <c r="D120" s="1653">
        <v>2017</v>
      </c>
      <c r="E120" s="1650">
        <v>2018</v>
      </c>
      <c r="F120" s="1651">
        <v>2019</v>
      </c>
      <c r="G120" s="1650">
        <v>2020</v>
      </c>
      <c r="H120" s="1654" t="s">
        <v>138</v>
      </c>
      <c r="I120" s="1654" t="s">
        <v>139</v>
      </c>
    </row>
    <row r="121" spans="1:10" ht="13.5" customHeight="1">
      <c r="A121" s="264"/>
      <c r="B121" s="235" t="s">
        <v>962</v>
      </c>
      <c r="C121" s="1684">
        <v>2745.857</v>
      </c>
      <c r="D121" s="1624">
        <v>1799</v>
      </c>
      <c r="E121" s="235">
        <v>5122</v>
      </c>
      <c r="F121" s="1647">
        <v>11429</v>
      </c>
      <c r="G121" s="235">
        <v>5257</v>
      </c>
      <c r="H121" s="1649">
        <v>12795</v>
      </c>
      <c r="I121" s="1652">
        <v>26429</v>
      </c>
      <c r="J121" s="197"/>
    </row>
    <row r="122" spans="1:10" ht="13.5" customHeight="1">
      <c r="A122" s="264"/>
      <c r="B122" s="1678" t="s">
        <v>963</v>
      </c>
      <c r="C122" s="1684">
        <v>23336.009750000001</v>
      </c>
      <c r="D122" s="1684">
        <v>6684.4833699999999</v>
      </c>
      <c r="E122" s="1678">
        <v>6632</v>
      </c>
      <c r="F122" s="2919">
        <v>2648</v>
      </c>
      <c r="G122" s="1678">
        <v>1944</v>
      </c>
      <c r="H122" s="2920">
        <v>21297</v>
      </c>
      <c r="I122" s="2922">
        <v>1241.5185100000001</v>
      </c>
      <c r="J122" s="197"/>
    </row>
    <row r="123" spans="1:10" ht="13.5" customHeight="1">
      <c r="A123" s="264"/>
      <c r="B123" s="1678" t="s">
        <v>964</v>
      </c>
      <c r="C123" s="1684">
        <v>600</v>
      </c>
      <c r="D123" s="1684">
        <v>3340</v>
      </c>
      <c r="E123" s="1678">
        <v>354</v>
      </c>
      <c r="F123" s="2919">
        <v>1176</v>
      </c>
      <c r="G123" s="1678">
        <v>547</v>
      </c>
      <c r="H123" s="2920">
        <v>0</v>
      </c>
      <c r="I123" s="2922"/>
      <c r="J123" s="197"/>
    </row>
    <row r="124" spans="1:10" ht="13.5" customHeight="1">
      <c r="A124" s="264"/>
      <c r="B124" s="1678" t="s">
        <v>965</v>
      </c>
      <c r="C124" s="1684">
        <v>4952.93</v>
      </c>
      <c r="D124" s="1684">
        <v>13461</v>
      </c>
      <c r="E124" s="1678">
        <v>12904</v>
      </c>
      <c r="F124" s="2919">
        <v>17872</v>
      </c>
      <c r="G124" s="1678">
        <v>10998</v>
      </c>
      <c r="H124" s="2920">
        <v>14289</v>
      </c>
      <c r="I124" s="2922">
        <v>18818</v>
      </c>
      <c r="J124" s="197"/>
    </row>
    <row r="125" spans="1:10" ht="13.5" customHeight="1">
      <c r="A125" s="264"/>
      <c r="B125" s="2440" t="s">
        <v>666</v>
      </c>
      <c r="C125" s="1684">
        <v>1759.85</v>
      </c>
      <c r="D125" s="1684">
        <v>1757</v>
      </c>
      <c r="E125" s="2440">
        <v>0</v>
      </c>
      <c r="F125" s="2914"/>
      <c r="G125" s="235">
        <v>0</v>
      </c>
      <c r="H125" s="2920">
        <v>0</v>
      </c>
      <c r="I125" s="2922">
        <v>742</v>
      </c>
      <c r="J125" s="197"/>
    </row>
    <row r="126" spans="1:10" ht="13.5" customHeight="1">
      <c r="A126" s="264"/>
      <c r="B126" s="278" t="s">
        <v>118</v>
      </c>
      <c r="C126" s="439">
        <f t="shared" ref="C126:I126" si="13">SUM(C121:C125)</f>
        <v>33394.64675</v>
      </c>
      <c r="D126" s="439">
        <f t="shared" si="13"/>
        <v>27041.483370000002</v>
      </c>
      <c r="E126" s="439">
        <f t="shared" si="13"/>
        <v>25012</v>
      </c>
      <c r="F126" s="439">
        <f t="shared" si="13"/>
        <v>33125</v>
      </c>
      <c r="G126" s="439">
        <f t="shared" si="13"/>
        <v>18746</v>
      </c>
      <c r="H126" s="439">
        <v>48381</v>
      </c>
      <c r="I126" s="439">
        <f t="shared" si="13"/>
        <v>47230.518510000002</v>
      </c>
      <c r="J126" s="197"/>
    </row>
    <row r="127" spans="1:10">
      <c r="A127" s="264"/>
      <c r="B127" s="278"/>
      <c r="C127" s="278"/>
      <c r="D127" s="278"/>
      <c r="E127" s="278"/>
      <c r="F127" s="278"/>
      <c r="G127" s="278"/>
      <c r="H127" s="278"/>
      <c r="I127" s="278"/>
    </row>
    <row r="128" spans="1:10">
      <c r="A128" s="264"/>
      <c r="B128" s="278"/>
      <c r="C128" s="279"/>
      <c r="D128" s="278"/>
      <c r="E128" s="278"/>
      <c r="F128" s="278"/>
      <c r="G128" s="278"/>
      <c r="H128" s="278"/>
      <c r="I128" s="278"/>
    </row>
    <row r="129" spans="1:10">
      <c r="A129" s="385"/>
      <c r="B129" s="1630" t="s">
        <v>971</v>
      </c>
      <c r="C129" s="264"/>
      <c r="D129" s="264"/>
      <c r="E129" s="511"/>
      <c r="F129" s="511"/>
      <c r="G129" s="511"/>
      <c r="H129" s="511"/>
      <c r="I129" s="511"/>
    </row>
    <row r="130" spans="1:10">
      <c r="A130" s="279"/>
      <c r="B130" s="1631"/>
      <c r="C130" s="3189">
        <v>2016</v>
      </c>
      <c r="D130" s="1653">
        <v>2017</v>
      </c>
      <c r="E130" s="1650">
        <v>2018</v>
      </c>
      <c r="F130" s="1651">
        <v>2019</v>
      </c>
      <c r="G130" s="1650">
        <v>2020</v>
      </c>
      <c r="H130" s="1654" t="s">
        <v>138</v>
      </c>
      <c r="I130" s="1654" t="s">
        <v>139</v>
      </c>
    </row>
    <row r="131" spans="1:10" ht="13.5" customHeight="1">
      <c r="A131" s="264"/>
      <c r="B131" s="235" t="s">
        <v>962</v>
      </c>
      <c r="C131" s="1684">
        <v>4976640.5633726539</v>
      </c>
      <c r="D131" s="1624">
        <v>5713880</v>
      </c>
      <c r="E131" s="235">
        <v>6023302.709297793</v>
      </c>
      <c r="F131" s="1647">
        <v>5576010.9709019493</v>
      </c>
      <c r="G131" s="235">
        <v>6237806.8369725375</v>
      </c>
      <c r="H131" s="1649">
        <v>6798208</v>
      </c>
      <c r="I131" s="1652">
        <v>5681540.2468699999</v>
      </c>
      <c r="J131" s="197"/>
    </row>
    <row r="132" spans="1:10" ht="13.5" customHeight="1">
      <c r="A132" s="264"/>
      <c r="B132" s="1678" t="s">
        <v>963</v>
      </c>
      <c r="C132" s="1684">
        <v>432423.37872550701</v>
      </c>
      <c r="D132" s="1684">
        <v>644261.86</v>
      </c>
      <c r="E132" s="1678">
        <v>953620.75779334921</v>
      </c>
      <c r="F132" s="2919">
        <v>928547.29128001281</v>
      </c>
      <c r="G132" s="1678">
        <v>788449.40777278703</v>
      </c>
      <c r="H132" s="2920">
        <v>1562761.03385</v>
      </c>
      <c r="I132" s="2922">
        <v>1901334.39167</v>
      </c>
      <c r="J132" s="197"/>
    </row>
    <row r="133" spans="1:10" ht="13.5" customHeight="1">
      <c r="A133" s="264"/>
      <c r="B133" s="1678" t="s">
        <v>964</v>
      </c>
      <c r="C133" s="1684">
        <v>8502.0231459778752</v>
      </c>
      <c r="D133" s="1684">
        <v>7810.2</v>
      </c>
      <c r="E133" s="1678">
        <v>21600.175918061137</v>
      </c>
      <c r="F133" s="2919">
        <v>21800.642010124135</v>
      </c>
      <c r="G133" s="1678">
        <v>7337.7276867253786</v>
      </c>
      <c r="H133" s="2920">
        <v>38498</v>
      </c>
      <c r="I133" s="2922">
        <v>51235.306280000004</v>
      </c>
      <c r="J133" s="197"/>
    </row>
    <row r="134" spans="1:10" ht="13.5" customHeight="1">
      <c r="A134" s="264"/>
      <c r="B134" s="2440" t="s">
        <v>965</v>
      </c>
      <c r="C134" s="1684">
        <v>332038.46364574216</v>
      </c>
      <c r="D134" s="1684">
        <v>446390.3</v>
      </c>
      <c r="E134" s="2440">
        <v>627907.54971594072</v>
      </c>
      <c r="F134" s="2919">
        <v>609109</v>
      </c>
      <c r="G134" s="1678">
        <v>762005.7</v>
      </c>
      <c r="H134" s="2920">
        <v>1327787</v>
      </c>
      <c r="I134" s="2922">
        <v>2098715.8177200002</v>
      </c>
      <c r="J134" s="197"/>
    </row>
    <row r="135" spans="1:10" ht="13.5" customHeight="1">
      <c r="A135" s="264"/>
      <c r="B135" s="1678" t="s">
        <v>666</v>
      </c>
      <c r="C135" s="1684">
        <v>122062.57111011962</v>
      </c>
      <c r="D135" s="1678">
        <v>184693</v>
      </c>
      <c r="E135" s="1678">
        <v>217971.89539485477</v>
      </c>
      <c r="F135" s="2919">
        <v>197796.79722791433</v>
      </c>
      <c r="G135" s="235">
        <v>190476.39693794915</v>
      </c>
      <c r="H135" s="2920">
        <v>251574.17276997922</v>
      </c>
      <c r="I135" s="2922">
        <v>1961186.97489</v>
      </c>
      <c r="J135" s="197"/>
    </row>
    <row r="136" spans="1:10" ht="13.5" customHeight="1">
      <c r="A136" s="264"/>
      <c r="B136" s="278" t="s">
        <v>118</v>
      </c>
      <c r="C136" s="439">
        <f t="shared" ref="C136:I136" si="14">SUM(C131:C135)</f>
        <v>5871667.0000000019</v>
      </c>
      <c r="D136" s="439">
        <f t="shared" si="14"/>
        <v>6997035.3600000003</v>
      </c>
      <c r="E136" s="439">
        <f t="shared" si="14"/>
        <v>7844403.0881199995</v>
      </c>
      <c r="F136" s="439">
        <f t="shared" si="14"/>
        <v>7333264.7014200008</v>
      </c>
      <c r="G136" s="439">
        <f t="shared" si="14"/>
        <v>7986076.0693699997</v>
      </c>
      <c r="H136" s="439">
        <f t="shared" si="14"/>
        <v>9978828.206619978</v>
      </c>
      <c r="I136" s="439">
        <f t="shared" si="14"/>
        <v>11694012.737429999</v>
      </c>
      <c r="J136" s="197"/>
    </row>
    <row r="137" spans="1:10">
      <c r="A137" s="264"/>
      <c r="B137" s="278"/>
      <c r="C137" s="279"/>
      <c r="D137" s="278"/>
      <c r="E137" s="278"/>
      <c r="F137" s="278"/>
      <c r="G137" s="278"/>
      <c r="H137" s="278"/>
      <c r="I137" s="278"/>
    </row>
    <row r="138" spans="1:10">
      <c r="A138" s="264"/>
      <c r="B138" s="278"/>
      <c r="C138" s="279"/>
      <c r="D138" s="278"/>
      <c r="E138" s="278"/>
      <c r="F138" s="278"/>
      <c r="G138" s="278"/>
      <c r="H138" s="278"/>
      <c r="I138" s="278"/>
    </row>
    <row r="139" spans="1:10">
      <c r="A139" s="385"/>
      <c r="B139" s="1630" t="s">
        <v>113</v>
      </c>
      <c r="C139" s="264"/>
      <c r="D139" s="264"/>
      <c r="E139" s="511"/>
      <c r="F139" s="511"/>
      <c r="G139" s="511"/>
      <c r="H139" s="511"/>
      <c r="I139" s="511"/>
    </row>
    <row r="140" spans="1:10">
      <c r="A140" s="279"/>
      <c r="B140" s="1631"/>
      <c r="C140" s="2914">
        <v>2016</v>
      </c>
      <c r="D140" s="2925">
        <v>2017</v>
      </c>
      <c r="E140" s="2925">
        <v>2018</v>
      </c>
      <c r="F140" s="2925">
        <v>2019</v>
      </c>
      <c r="G140" s="2925">
        <v>2020</v>
      </c>
      <c r="H140" s="2925" t="s">
        <v>138</v>
      </c>
      <c r="I140" s="2925" t="s">
        <v>139</v>
      </c>
    </row>
    <row r="141" spans="1:10" ht="13.5" customHeight="1">
      <c r="A141" s="394"/>
      <c r="B141" s="235" t="s">
        <v>962</v>
      </c>
      <c r="C141" s="1684">
        <v>41530</v>
      </c>
      <c r="D141" s="1684">
        <v>232300.03641999999</v>
      </c>
      <c r="E141" s="1678">
        <v>312330.57176999899</v>
      </c>
      <c r="F141" s="1678">
        <v>97224</v>
      </c>
      <c r="G141" s="235">
        <v>54901.158909999896</v>
      </c>
      <c r="H141" s="1742">
        <v>190039.06217999995</v>
      </c>
      <c r="I141" s="2926">
        <v>1228403</v>
      </c>
      <c r="J141" s="197"/>
    </row>
    <row r="142" spans="1:10" ht="13.5" customHeight="1">
      <c r="A142" s="264"/>
      <c r="B142" s="1678" t="s">
        <v>963</v>
      </c>
      <c r="C142" s="1684">
        <v>34880</v>
      </c>
      <c r="D142" s="1684">
        <v>54983</v>
      </c>
      <c r="E142" s="1678">
        <v>49551</v>
      </c>
      <c r="F142" s="1678">
        <v>39278.665070000003</v>
      </c>
      <c r="G142" s="1678">
        <v>30611.029390000003</v>
      </c>
      <c r="H142" s="1742">
        <v>50736</v>
      </c>
      <c r="I142" s="2926">
        <v>47302</v>
      </c>
      <c r="J142" s="197"/>
    </row>
    <row r="143" spans="1:10" ht="13.5" customHeight="1">
      <c r="A143" s="264"/>
      <c r="B143" s="2440" t="s">
        <v>964</v>
      </c>
      <c r="C143" s="1684">
        <v>1520</v>
      </c>
      <c r="D143" s="1684">
        <v>3278.1779899999997</v>
      </c>
      <c r="E143" s="2440">
        <v>3060</v>
      </c>
      <c r="F143" s="2440">
        <v>5626</v>
      </c>
      <c r="G143" s="1678">
        <v>3989.6708199999998</v>
      </c>
      <c r="H143" s="2918">
        <v>2269.3886200000002</v>
      </c>
      <c r="I143" s="2926">
        <v>3252</v>
      </c>
      <c r="J143" s="197"/>
    </row>
    <row r="144" spans="1:10" ht="13.5" customHeight="1">
      <c r="A144" s="264"/>
      <c r="B144" s="1678" t="s">
        <v>965</v>
      </c>
      <c r="C144" s="1684">
        <v>4776</v>
      </c>
      <c r="D144" s="1684">
        <v>2895</v>
      </c>
      <c r="E144" s="1678">
        <v>1448</v>
      </c>
      <c r="F144" s="1678">
        <v>1490.0560600000001</v>
      </c>
      <c r="G144" s="1678">
        <v>1705.3596699999998</v>
      </c>
      <c r="H144" s="1742">
        <v>9205</v>
      </c>
      <c r="I144" s="2926">
        <v>9205</v>
      </c>
      <c r="J144" s="197"/>
    </row>
    <row r="145" spans="1:15" ht="13.5" customHeight="1">
      <c r="A145" s="264"/>
      <c r="B145" s="1678" t="s">
        <v>666</v>
      </c>
      <c r="C145" s="2927">
        <v>0</v>
      </c>
      <c r="D145" s="2927">
        <v>5994</v>
      </c>
      <c r="E145" s="1678">
        <v>1084</v>
      </c>
      <c r="F145" s="1678">
        <v>8786.529410000001</v>
      </c>
      <c r="G145" s="235">
        <v>4006.4050000000002</v>
      </c>
      <c r="H145" s="1742">
        <v>11792</v>
      </c>
      <c r="I145" s="2926">
        <v>11792</v>
      </c>
      <c r="J145" s="197"/>
    </row>
    <row r="146" spans="1:15" ht="13.5" customHeight="1">
      <c r="A146" s="264"/>
      <c r="B146" s="278" t="s">
        <v>118</v>
      </c>
      <c r="C146" s="439">
        <f t="shared" ref="C146:I146" si="15">SUM(C141:C145)</f>
        <v>82706</v>
      </c>
      <c r="D146" s="439">
        <f t="shared" si="15"/>
        <v>299450.21441000002</v>
      </c>
      <c r="E146" s="439">
        <f t="shared" si="15"/>
        <v>367473.57176999899</v>
      </c>
      <c r="F146" s="439">
        <f t="shared" si="15"/>
        <v>152405.25053999998</v>
      </c>
      <c r="G146" s="439">
        <f t="shared" si="15"/>
        <v>95213.623789999896</v>
      </c>
      <c r="H146" s="439">
        <f t="shared" si="15"/>
        <v>264041.45079999999</v>
      </c>
      <c r="I146" s="439">
        <f t="shared" si="15"/>
        <v>1299954</v>
      </c>
      <c r="J146" s="197"/>
    </row>
    <row r="147" spans="1:15">
      <c r="A147" s="264"/>
      <c r="B147" s="278"/>
      <c r="C147" s="279"/>
      <c r="D147" s="278"/>
      <c r="E147" s="278"/>
      <c r="F147" s="278"/>
      <c r="G147" s="278"/>
      <c r="H147" s="278"/>
      <c r="I147" s="278"/>
      <c r="N147" s="385"/>
      <c r="O147" s="385"/>
    </row>
    <row r="148" spans="1:15">
      <c r="A148" s="385"/>
      <c r="B148" s="1630" t="s">
        <v>116</v>
      </c>
      <c r="C148" s="264"/>
      <c r="D148" s="264"/>
      <c r="E148" s="511"/>
      <c r="F148" s="511"/>
      <c r="G148" s="511"/>
      <c r="H148" s="511"/>
      <c r="I148" s="511"/>
      <c r="N148" s="385"/>
      <c r="O148" s="385"/>
    </row>
    <row r="149" spans="1:15">
      <c r="A149" s="279"/>
      <c r="B149" s="1631"/>
      <c r="C149" s="3189">
        <v>2016</v>
      </c>
      <c r="D149" s="1653">
        <v>2017</v>
      </c>
      <c r="E149" s="1650">
        <v>2018</v>
      </c>
      <c r="F149" s="1651">
        <v>2019</v>
      </c>
      <c r="G149" s="1650">
        <v>2020</v>
      </c>
      <c r="H149" s="1654" t="s">
        <v>138</v>
      </c>
      <c r="I149" s="1654" t="s">
        <v>972</v>
      </c>
      <c r="N149" s="385"/>
      <c r="O149" s="385"/>
    </row>
    <row r="150" spans="1:15" ht="12.75" customHeight="1">
      <c r="A150" s="264"/>
      <c r="B150" s="235" t="s">
        <v>962</v>
      </c>
      <c r="C150" s="1678">
        <v>266088</v>
      </c>
      <c r="D150" s="235">
        <v>444323.1</v>
      </c>
      <c r="E150" s="235">
        <v>462721.82875000016</v>
      </c>
      <c r="F150" s="1647">
        <v>357981.79485999991</v>
      </c>
      <c r="G150" s="235">
        <v>362568.84769000008</v>
      </c>
      <c r="H150" s="1649">
        <v>469524.19761000003</v>
      </c>
      <c r="I150" s="1652">
        <v>415715.18022999994</v>
      </c>
      <c r="J150" s="197"/>
      <c r="N150" s="385"/>
      <c r="O150" s="385"/>
    </row>
    <row r="151" spans="1:15" ht="12.75" customHeight="1">
      <c r="A151" s="264"/>
      <c r="B151" s="1678" t="s">
        <v>963</v>
      </c>
      <c r="C151" s="1678">
        <v>84459</v>
      </c>
      <c r="D151" s="1678">
        <v>99518.940490000008</v>
      </c>
      <c r="E151" s="1678">
        <v>230871.95471999998</v>
      </c>
      <c r="F151" s="2919">
        <v>508066.16306999995</v>
      </c>
      <c r="G151" s="1678">
        <v>348592.75908000005</v>
      </c>
      <c r="H151" s="2920">
        <v>1620564.6324400262</v>
      </c>
      <c r="I151" s="2922">
        <v>1924370.1546852062</v>
      </c>
      <c r="J151" s="197"/>
    </row>
    <row r="152" spans="1:15" ht="12.75" customHeight="1">
      <c r="A152" s="264"/>
      <c r="B152" s="1678" t="s">
        <v>964</v>
      </c>
      <c r="C152" s="1678">
        <v>1572</v>
      </c>
      <c r="D152" s="1678">
        <v>2721.0329999999999</v>
      </c>
      <c r="E152" s="1678">
        <v>38788.628705000003</v>
      </c>
      <c r="F152" s="2919">
        <v>11634.857820000001</v>
      </c>
      <c r="G152" s="1678">
        <v>15498.643670000001</v>
      </c>
      <c r="H152" s="2920">
        <v>17596.539169999996</v>
      </c>
      <c r="I152" s="2922">
        <v>25108.053439999996</v>
      </c>
      <c r="J152" s="197"/>
    </row>
    <row r="153" spans="1:15" ht="12.75" customHeight="1">
      <c r="A153" s="264"/>
      <c r="B153" s="1678" t="s">
        <v>965</v>
      </c>
      <c r="C153" s="1678">
        <v>84472</v>
      </c>
      <c r="D153" s="1678">
        <v>234781</v>
      </c>
      <c r="E153" s="1678">
        <v>272023</v>
      </c>
      <c r="F153" s="2919">
        <v>289348.64534000005</v>
      </c>
      <c r="G153" s="1678">
        <v>882100.35441999987</v>
      </c>
      <c r="H153" s="2920">
        <v>626403.09853999992</v>
      </c>
      <c r="I153" s="2922">
        <v>353391.88376</v>
      </c>
      <c r="J153" s="197"/>
    </row>
    <row r="154" spans="1:15" ht="12.75" customHeight="1">
      <c r="A154" s="264"/>
      <c r="B154" s="1678" t="s">
        <v>381</v>
      </c>
      <c r="C154" s="1678">
        <v>635575</v>
      </c>
      <c r="D154" s="1678">
        <v>441156.03861000028</v>
      </c>
      <c r="E154" s="1678">
        <v>1334599.7135649999</v>
      </c>
      <c r="F154" s="2919">
        <v>1705893.39047</v>
      </c>
      <c r="G154" s="235">
        <v>1937046.3951399997</v>
      </c>
      <c r="H154" s="2920">
        <v>3231075.4378099744</v>
      </c>
      <c r="I154" s="2922">
        <v>5545700.3876147941</v>
      </c>
      <c r="J154" s="197"/>
    </row>
    <row r="155" spans="1:15" ht="12.75" customHeight="1">
      <c r="A155" s="264"/>
      <c r="B155" s="278" t="s">
        <v>118</v>
      </c>
      <c r="C155" s="439">
        <f t="shared" ref="C155:I155" si="16">SUM(C150:C154)</f>
        <v>1072166</v>
      </c>
      <c r="D155" s="439">
        <f t="shared" si="16"/>
        <v>1222500.1121000005</v>
      </c>
      <c r="E155" s="439">
        <f t="shared" si="16"/>
        <v>2339005.12574</v>
      </c>
      <c r="F155" s="439">
        <f t="shared" si="16"/>
        <v>2872924.8515599999</v>
      </c>
      <c r="G155" s="439">
        <f t="shared" si="16"/>
        <v>3545807</v>
      </c>
      <c r="H155" s="439">
        <v>5965164</v>
      </c>
      <c r="I155" s="439">
        <f t="shared" si="16"/>
        <v>8264285.6597300004</v>
      </c>
      <c r="J155" s="197"/>
    </row>
    <row r="156" spans="1:15">
      <c r="A156" s="264"/>
      <c r="B156" s="464"/>
      <c r="C156" s="279"/>
      <c r="D156" s="278"/>
      <c r="E156" s="464"/>
      <c r="F156" s="464"/>
      <c r="G156" s="464"/>
      <c r="H156" s="464"/>
      <c r="I156" s="464"/>
    </row>
    <row r="157" spans="1:15">
      <c r="A157" s="385"/>
      <c r="B157" s="1630" t="s">
        <v>117</v>
      </c>
      <c r="C157" s="264"/>
      <c r="D157" s="264"/>
      <c r="E157" s="511"/>
      <c r="F157" s="511"/>
      <c r="G157" s="511"/>
      <c r="H157" s="511"/>
      <c r="I157" s="511"/>
      <c r="N157" s="385"/>
      <c r="O157" s="385"/>
    </row>
    <row r="158" spans="1:15">
      <c r="A158" s="463"/>
      <c r="B158" s="1631"/>
      <c r="C158" s="3189">
        <v>2016</v>
      </c>
      <c r="D158" s="1653">
        <v>2017</v>
      </c>
      <c r="E158" s="1650">
        <v>2018</v>
      </c>
      <c r="F158" s="1651">
        <v>2019</v>
      </c>
      <c r="G158" s="1650">
        <v>2020</v>
      </c>
      <c r="H158" s="1654" t="s">
        <v>138</v>
      </c>
      <c r="I158" s="1654" t="s">
        <v>139</v>
      </c>
      <c r="N158" s="385"/>
      <c r="O158" s="385"/>
    </row>
    <row r="159" spans="1:15" ht="12.75" customHeight="1">
      <c r="A159" s="394"/>
      <c r="B159" s="235" t="s">
        <v>962</v>
      </c>
      <c r="C159" s="1684">
        <v>950301.45386000001</v>
      </c>
      <c r="D159" s="1624">
        <v>1880049.4959399998</v>
      </c>
      <c r="E159" s="235">
        <v>1945237</v>
      </c>
      <c r="F159" s="235">
        <v>1804087</v>
      </c>
      <c r="G159" s="235">
        <v>2089212</v>
      </c>
      <c r="H159" s="1626">
        <v>2379426</v>
      </c>
      <c r="I159" s="1656">
        <v>2889717</v>
      </c>
      <c r="J159" s="197"/>
      <c r="N159" s="385"/>
      <c r="O159" s="601"/>
    </row>
    <row r="160" spans="1:15" ht="12.75" customHeight="1">
      <c r="A160" s="394"/>
      <c r="B160" s="1678" t="s">
        <v>963</v>
      </c>
      <c r="C160" s="1678">
        <v>80436.808869999979</v>
      </c>
      <c r="D160" s="1684">
        <v>92648.186349999974</v>
      </c>
      <c r="E160" s="1678">
        <v>141840</v>
      </c>
      <c r="F160" s="1678">
        <v>204664</v>
      </c>
      <c r="G160" s="1678">
        <v>862</v>
      </c>
      <c r="H160" s="1742">
        <v>353796</v>
      </c>
      <c r="I160" s="2926">
        <v>111005</v>
      </c>
      <c r="J160" s="197"/>
      <c r="N160" s="385"/>
      <c r="O160" s="385"/>
    </row>
    <row r="161" spans="1:16" ht="12.75" customHeight="1">
      <c r="A161" s="394"/>
      <c r="B161" s="1678" t="s">
        <v>964</v>
      </c>
      <c r="C161" s="1678">
        <v>127617.25718000002</v>
      </c>
      <c r="D161" s="1684">
        <v>181287.43818000003</v>
      </c>
      <c r="E161" s="1678">
        <v>231103</v>
      </c>
      <c r="F161" s="1678">
        <v>17940</v>
      </c>
      <c r="G161" s="1678">
        <v>3174</v>
      </c>
      <c r="H161" s="1742">
        <v>2260</v>
      </c>
      <c r="I161" s="2926">
        <v>2502</v>
      </c>
      <c r="J161" s="197"/>
      <c r="N161" s="385"/>
      <c r="O161" s="385"/>
    </row>
    <row r="162" spans="1:16" ht="12.75" customHeight="1">
      <c r="A162" s="394"/>
      <c r="B162" s="1678" t="s">
        <v>965</v>
      </c>
      <c r="C162" s="1684">
        <v>363763.56442000001</v>
      </c>
      <c r="D162" s="1684">
        <v>506382.4387</v>
      </c>
      <c r="E162" s="1678">
        <v>863101</v>
      </c>
      <c r="F162" s="1678">
        <v>1171361</v>
      </c>
      <c r="G162" s="1678">
        <v>1011095</v>
      </c>
      <c r="H162" s="1742">
        <v>1393569</v>
      </c>
      <c r="I162" s="2926">
        <v>1733826</v>
      </c>
      <c r="J162" s="197"/>
      <c r="N162" s="385"/>
      <c r="O162" s="385"/>
    </row>
    <row r="163" spans="1:16" ht="12.75" customHeight="1">
      <c r="A163" s="394"/>
      <c r="B163" s="1678" t="s">
        <v>381</v>
      </c>
      <c r="C163" s="1684">
        <v>2191.1689999999999</v>
      </c>
      <c r="D163" s="1684">
        <v>13365.60274</v>
      </c>
      <c r="E163" s="1678">
        <v>169319</v>
      </c>
      <c r="F163" s="1678">
        <v>470299</v>
      </c>
      <c r="G163" s="235">
        <v>584164</v>
      </c>
      <c r="H163" s="1742">
        <v>872887</v>
      </c>
      <c r="I163" s="2926">
        <v>462218</v>
      </c>
      <c r="J163" s="197"/>
      <c r="N163" s="385"/>
      <c r="O163" s="385"/>
    </row>
    <row r="164" spans="1:16" ht="12.75" customHeight="1">
      <c r="A164" s="394"/>
      <c r="B164" s="466" t="s">
        <v>118</v>
      </c>
      <c r="C164" s="439">
        <f t="shared" ref="C164:I164" si="17">SUM(C159:C163)</f>
        <v>1524310.25333</v>
      </c>
      <c r="D164" s="439">
        <f t="shared" si="17"/>
        <v>2673733.1619099998</v>
      </c>
      <c r="E164" s="439">
        <f t="shared" si="17"/>
        <v>3350600</v>
      </c>
      <c r="F164" s="439">
        <f t="shared" si="17"/>
        <v>3668351</v>
      </c>
      <c r="G164" s="439">
        <f t="shared" si="17"/>
        <v>3688507</v>
      </c>
      <c r="H164" s="439">
        <v>5001938</v>
      </c>
      <c r="I164" s="439">
        <f t="shared" si="17"/>
        <v>5199268</v>
      </c>
      <c r="J164" s="197"/>
      <c r="N164" s="385"/>
      <c r="O164" s="385"/>
    </row>
    <row r="165" spans="1:16">
      <c r="A165" s="385"/>
      <c r="B165" s="385"/>
      <c r="C165" s="385"/>
      <c r="D165" s="385"/>
      <c r="E165" s="385"/>
      <c r="F165" s="385"/>
      <c r="G165" s="385"/>
      <c r="H165" s="385"/>
      <c r="I165" s="385"/>
      <c r="N165" s="385"/>
      <c r="O165" s="385"/>
    </row>
    <row r="166" spans="1:16">
      <c r="I166" s="39">
        <v>189</v>
      </c>
      <c r="J166" s="385"/>
    </row>
    <row r="167" spans="1:16">
      <c r="A167" s="385"/>
      <c r="B167" s="1630" t="s">
        <v>99</v>
      </c>
      <c r="C167" s="264"/>
      <c r="D167" s="264"/>
      <c r="E167" s="511"/>
      <c r="F167" s="511"/>
      <c r="G167" s="511"/>
      <c r="H167" s="511"/>
      <c r="I167" s="511"/>
      <c r="N167" s="385"/>
      <c r="O167" s="385"/>
    </row>
    <row r="168" spans="1:16">
      <c r="B168" s="1631"/>
      <c r="C168" s="3189">
        <v>2016</v>
      </c>
      <c r="D168" s="1653">
        <v>2017</v>
      </c>
      <c r="E168" s="1650">
        <v>2018</v>
      </c>
      <c r="F168" s="1651">
        <v>2019</v>
      </c>
      <c r="G168" s="1650">
        <v>2020</v>
      </c>
      <c r="H168" s="1654" t="s">
        <v>138</v>
      </c>
      <c r="I168" s="1654" t="s">
        <v>139</v>
      </c>
    </row>
    <row r="169" spans="1:16" ht="43.9" customHeight="1">
      <c r="B169" s="235" t="s">
        <v>962</v>
      </c>
      <c r="C169" s="1684">
        <v>950301.45386000001</v>
      </c>
      <c r="D169" s="1624">
        <v>1880049.4959399998</v>
      </c>
      <c r="E169" s="2830"/>
      <c r="F169" s="2830"/>
      <c r="G169" s="2830"/>
      <c r="H169" s="2830"/>
      <c r="I169" s="1656"/>
    </row>
    <row r="170" spans="1:16" ht="12.6" customHeight="1">
      <c r="A170" s="385"/>
      <c r="B170" s="1678" t="s">
        <v>963</v>
      </c>
      <c r="C170" s="1678">
        <v>80436.808869999979</v>
      </c>
      <c r="D170" s="1684">
        <v>92648.186349999974</v>
      </c>
      <c r="E170" s="2830"/>
      <c r="F170" s="2830"/>
      <c r="G170" s="2830"/>
      <c r="H170" s="2830"/>
      <c r="I170" s="2926"/>
      <c r="N170" s="385"/>
      <c r="O170" s="385"/>
      <c r="P170" s="598"/>
    </row>
    <row r="171" spans="1:16" ht="22.9" customHeight="1">
      <c r="B171" s="1678" t="s">
        <v>964</v>
      </c>
      <c r="C171" s="1678">
        <v>127617.25718000002</v>
      </c>
      <c r="D171" s="1684">
        <v>181287.43818000003</v>
      </c>
      <c r="E171" s="2830"/>
      <c r="F171" s="2830"/>
      <c r="G171" s="2830"/>
      <c r="H171" s="2830"/>
      <c r="I171" s="2926"/>
    </row>
    <row r="172" spans="1:16" ht="13.15" customHeight="1">
      <c r="B172" s="1678" t="s">
        <v>965</v>
      </c>
      <c r="C172" s="1684">
        <v>363763.56442000001</v>
      </c>
      <c r="D172" s="1684">
        <v>506382.4387</v>
      </c>
      <c r="E172" s="2830"/>
      <c r="F172" s="2830"/>
      <c r="G172" s="2830"/>
      <c r="H172" s="2830"/>
      <c r="I172" s="2926"/>
    </row>
    <row r="173" spans="1:16" ht="16.149999999999999" customHeight="1">
      <c r="B173" s="1678" t="s">
        <v>381</v>
      </c>
      <c r="C173" s="1684">
        <v>2191.1689999999999</v>
      </c>
      <c r="D173" s="1684">
        <v>13365.60274</v>
      </c>
      <c r="E173" s="2830"/>
      <c r="F173" s="2830"/>
      <c r="G173" s="2830"/>
      <c r="H173" s="2830"/>
      <c r="I173" s="2926"/>
    </row>
    <row r="174" spans="1:16" ht="24" customHeight="1" thickBot="1">
      <c r="B174" s="466" t="s">
        <v>118</v>
      </c>
      <c r="C174" s="439">
        <f>SUM(C169:C173)</f>
        <v>1524310.25333</v>
      </c>
      <c r="D174" s="439">
        <f>SUM(D169:D173)</f>
        <v>2673733.1619099998</v>
      </c>
      <c r="E174" s="439">
        <f>SUM(E169:E173)</f>
        <v>0</v>
      </c>
      <c r="F174" s="439">
        <f>SUM(F169:F173)</f>
        <v>0</v>
      </c>
      <c r="G174" s="439">
        <f>SUM(G169:G173)</f>
        <v>0</v>
      </c>
      <c r="H174" s="439"/>
      <c r="I174" s="439">
        <f>SUM(I169:I173)</f>
        <v>0</v>
      </c>
    </row>
    <row r="175" spans="1:16" ht="13.15" customHeight="1" thickTop="1">
      <c r="A175"/>
      <c r="B175"/>
      <c r="C175" s="385"/>
      <c r="D175" s="385"/>
      <c r="E175" s="264"/>
      <c r="F175" s="264"/>
      <c r="G175" s="264"/>
      <c r="H175" s="264"/>
      <c r="I175" s="264"/>
    </row>
    <row r="176" spans="1:16" ht="17.45" customHeight="1">
      <c r="A176"/>
      <c r="B176"/>
      <c r="C176" s="385"/>
      <c r="D176" s="385"/>
      <c r="E176" s="264"/>
      <c r="F176" s="264"/>
      <c r="G176" s="264"/>
      <c r="H176" s="264"/>
      <c r="I176" s="264"/>
    </row>
    <row r="177" spans="1:9" ht="40.15" customHeight="1" thickBot="1">
      <c r="A177"/>
      <c r="B177"/>
      <c r="C177" s="439">
        <v>0</v>
      </c>
      <c r="D177" s="439">
        <v>0</v>
      </c>
      <c r="E177" s="466"/>
      <c r="F177" s="466"/>
      <c r="G177" s="466"/>
      <c r="H177" s="466"/>
      <c r="I177" s="466"/>
    </row>
    <row r="178" spans="1:9" ht="21.6" customHeight="1" thickTop="1">
      <c r="B178" s="385"/>
      <c r="C178" s="385"/>
      <c r="D178" s="385"/>
      <c r="E178" s="385"/>
      <c r="F178" s="385"/>
      <c r="G178" s="385"/>
      <c r="H178" s="385"/>
      <c r="I178" s="385"/>
    </row>
    <row r="179" spans="1:9">
      <c r="B179" s="385"/>
      <c r="C179" s="385"/>
      <c r="D179" s="385"/>
      <c r="E179" s="385"/>
      <c r="F179" s="385"/>
      <c r="G179" s="385"/>
      <c r="H179" s="385"/>
      <c r="I179" s="385"/>
    </row>
  </sheetData>
  <pageMargins left="0.7" right="0.7" top="0.75" bottom="0.75" header="0.3" footer="0.3"/>
  <pageSetup paperSize="9" scale="55" orientation="landscape" r:id="rId1"/>
  <rowBreaks count="5" manualBreakCount="5">
    <brk id="33" max="9" man="1"/>
    <brk id="75" max="9" man="1"/>
    <brk id="116" max="9" man="1"/>
    <brk id="175" max="9" man="1"/>
    <brk id="185" max="9" man="1"/>
  </rowBreaks>
</worksheet>
</file>

<file path=xl/worksheets/sheet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Sheet21"/>
  <dimension ref="A2:N152"/>
  <sheetViews>
    <sheetView topLeftCell="C1" workbookViewId="0">
      <selection activeCell="H83" sqref="H83"/>
    </sheetView>
  </sheetViews>
  <sheetFormatPr defaultColWidth="9.140625" defaultRowHeight="14.45"/>
  <cols>
    <col min="1" max="1" width="9.28515625" style="273" hidden="1" customWidth="1"/>
    <col min="2" max="2" width="9.140625" style="273" hidden="1" customWidth="1"/>
    <col min="3" max="3" width="4.5703125" style="273" customWidth="1"/>
    <col min="4" max="4" width="26.28515625" style="273" customWidth="1"/>
    <col min="5" max="6" width="15.42578125" style="157" customWidth="1"/>
    <col min="7" max="8" width="15.5703125" style="157" customWidth="1"/>
    <col min="9" max="9" width="16" style="157" customWidth="1"/>
    <col min="10" max="13" width="10.5703125" bestFit="1" customWidth="1"/>
    <col min="14" max="14" width="10.5703125" style="273" bestFit="1" customWidth="1"/>
    <col min="15" max="18" width="9.140625" style="273"/>
    <col min="19" max="19" width="5.140625" style="273" bestFit="1" customWidth="1"/>
    <col min="20" max="20" width="10.5703125" style="273" bestFit="1" customWidth="1"/>
    <col min="21" max="16384" width="9.140625" style="273"/>
  </cols>
  <sheetData>
    <row r="2" spans="3:14">
      <c r="D2" s="403" t="s">
        <v>973</v>
      </c>
      <c r="E2" s="404"/>
    </row>
    <row r="4" spans="3:14">
      <c r="D4" s="2928" t="s">
        <v>677</v>
      </c>
      <c r="E4" s="2929">
        <v>2008</v>
      </c>
      <c r="F4" s="2929">
        <v>2009</v>
      </c>
      <c r="G4" s="2929">
        <v>2010</v>
      </c>
      <c r="H4" s="2929" t="s">
        <v>907</v>
      </c>
      <c r="I4" s="2929" t="s">
        <v>747</v>
      </c>
    </row>
    <row r="5" spans="3:14">
      <c r="D5" s="1678" t="s">
        <v>962</v>
      </c>
      <c r="E5" s="2930">
        <v>4613967.7620000001</v>
      </c>
      <c r="F5" s="2930">
        <v>4866261.3091599997</v>
      </c>
      <c r="G5" s="2930">
        <v>6483801.1768899998</v>
      </c>
      <c r="H5" s="2930">
        <v>6316563.5789299998</v>
      </c>
      <c r="I5" s="2930">
        <v>7911018.4632799998</v>
      </c>
      <c r="J5" s="14"/>
      <c r="K5" s="14"/>
      <c r="L5" s="14"/>
      <c r="M5" s="14"/>
      <c r="N5" s="14"/>
    </row>
    <row r="6" spans="3:14">
      <c r="D6" s="1678" t="s">
        <v>963</v>
      </c>
      <c r="E6" s="2930">
        <v>823763.55226999999</v>
      </c>
      <c r="F6" s="2930">
        <v>1150731.1427</v>
      </c>
      <c r="G6" s="2930">
        <v>1074407.01082</v>
      </c>
      <c r="H6" s="2930">
        <v>678052.05180999986</v>
      </c>
      <c r="I6" s="2930">
        <v>900735.18171000003</v>
      </c>
      <c r="J6" s="14"/>
      <c r="K6" s="14"/>
      <c r="L6" s="14"/>
      <c r="M6" s="14"/>
      <c r="N6" s="14"/>
    </row>
    <row r="7" spans="3:14">
      <c r="D7" s="1678" t="s">
        <v>964</v>
      </c>
      <c r="E7" s="2930">
        <v>18684.092180000007</v>
      </c>
      <c r="F7" s="2930">
        <v>39613.892570000011</v>
      </c>
      <c r="G7" s="2930">
        <v>62650.019969999994</v>
      </c>
      <c r="H7" s="2930">
        <v>32032.638770000012</v>
      </c>
      <c r="I7" s="2930">
        <v>79037.019509999998</v>
      </c>
      <c r="J7" s="14"/>
      <c r="K7" s="14"/>
      <c r="L7" s="14"/>
      <c r="M7" s="14"/>
      <c r="N7" s="14"/>
    </row>
    <row r="8" spans="3:14">
      <c r="D8" s="1678" t="s">
        <v>965</v>
      </c>
      <c r="E8" s="2930">
        <v>1212674.871</v>
      </c>
      <c r="F8" s="2930">
        <v>2132234.3289000001</v>
      </c>
      <c r="G8" s="2930">
        <v>2244239.31593</v>
      </c>
      <c r="H8" s="2930">
        <v>2225293.3174099997</v>
      </c>
      <c r="I8" s="2930">
        <v>2841859.02532</v>
      </c>
      <c r="J8" s="14"/>
      <c r="K8" s="14"/>
      <c r="L8" s="14"/>
      <c r="M8" s="14"/>
      <c r="N8" s="14"/>
    </row>
    <row r="9" spans="3:14">
      <c r="D9" s="1678" t="s">
        <v>666</v>
      </c>
      <c r="E9" s="2930">
        <v>1112353.5879300002</v>
      </c>
      <c r="F9" s="2930">
        <v>1273364.1897099998</v>
      </c>
      <c r="G9" s="2930">
        <v>1776754.0272799996</v>
      </c>
      <c r="H9" s="2930">
        <v>1330555.9591600001</v>
      </c>
      <c r="I9" s="2930">
        <v>1757445.2869499999</v>
      </c>
      <c r="J9" s="14"/>
      <c r="K9" s="14"/>
      <c r="L9" s="14"/>
      <c r="M9" s="14"/>
      <c r="N9" s="14"/>
    </row>
    <row r="10" spans="3:14">
      <c r="D10" s="2695" t="s">
        <v>118</v>
      </c>
      <c r="E10" s="2930">
        <f>SUM(E5:E9)</f>
        <v>7781443.8653800003</v>
      </c>
      <c r="F10" s="2930">
        <f>SUM(F5:F9)</f>
        <v>9462204.8630400002</v>
      </c>
      <c r="G10" s="2930">
        <f>SUM(G5:G9)</f>
        <v>11641851.550889999</v>
      </c>
      <c r="H10" s="2930">
        <f>SUM(H5:H9)</f>
        <v>10582497.546080001</v>
      </c>
      <c r="I10" s="2930">
        <f>SUM(I5:I9)</f>
        <v>13490094.976769999</v>
      </c>
      <c r="J10" s="14"/>
      <c r="K10" s="14"/>
      <c r="L10" s="14"/>
      <c r="M10" s="14"/>
      <c r="N10" s="14"/>
    </row>
    <row r="11" spans="3:14">
      <c r="D11" s="278"/>
      <c r="E11" s="313"/>
      <c r="F11" s="313"/>
      <c r="G11" s="313"/>
      <c r="H11" s="313"/>
      <c r="I11" s="313"/>
      <c r="J11" s="273"/>
      <c r="K11" s="273"/>
      <c r="L11" s="273"/>
      <c r="M11" s="273"/>
    </row>
    <row r="12" spans="3:14">
      <c r="J12" s="273"/>
      <c r="K12" s="273"/>
      <c r="L12" s="273"/>
      <c r="M12" s="273"/>
    </row>
    <row r="13" spans="3:14">
      <c r="C13" s="273">
        <v>1</v>
      </c>
      <c r="D13" s="2928" t="s">
        <v>125</v>
      </c>
      <c r="E13" s="2929">
        <v>2008</v>
      </c>
      <c r="F13" s="2929">
        <v>2009</v>
      </c>
      <c r="G13" s="2929">
        <v>2010</v>
      </c>
      <c r="H13" s="2929" t="s">
        <v>907</v>
      </c>
      <c r="I13" s="2929" t="s">
        <v>747</v>
      </c>
      <c r="J13" s="273"/>
      <c r="K13" s="273"/>
      <c r="L13" s="273"/>
      <c r="M13" s="273"/>
    </row>
    <row r="14" spans="3:14">
      <c r="D14" s="1678" t="s">
        <v>962</v>
      </c>
      <c r="E14" s="2654">
        <v>517423</v>
      </c>
      <c r="F14" s="2654">
        <v>445421</v>
      </c>
      <c r="G14" s="2654">
        <v>606785</v>
      </c>
      <c r="H14" s="2654">
        <v>664331</v>
      </c>
      <c r="I14" s="2654">
        <v>763862</v>
      </c>
      <c r="J14" s="273"/>
      <c r="K14" s="273"/>
      <c r="L14" s="273"/>
      <c r="M14" s="273"/>
    </row>
    <row r="15" spans="3:14">
      <c r="D15" s="1678" t="s">
        <v>963</v>
      </c>
      <c r="E15" s="2654">
        <v>84465.513729999991</v>
      </c>
      <c r="F15" s="2654">
        <v>70667.007700000002</v>
      </c>
      <c r="G15" s="2654">
        <v>108311.13104000001</v>
      </c>
      <c r="H15" s="2654">
        <v>106983.97937999999</v>
      </c>
      <c r="I15" s="2654">
        <v>88353.625230000005</v>
      </c>
      <c r="J15" s="273"/>
      <c r="K15" s="273"/>
      <c r="L15" s="273"/>
      <c r="M15" s="273"/>
    </row>
    <row r="16" spans="3:14">
      <c r="D16" s="1678" t="s">
        <v>964</v>
      </c>
      <c r="E16" s="2654">
        <v>24274.711340000005</v>
      </c>
      <c r="F16" s="2654">
        <v>22665.720570000009</v>
      </c>
      <c r="G16" s="2654">
        <v>60112.968239999995</v>
      </c>
      <c r="H16" s="2654">
        <v>24439.315770000012</v>
      </c>
      <c r="I16" s="2654">
        <v>63535.669969999981</v>
      </c>
      <c r="J16" s="273"/>
      <c r="K16" s="273"/>
      <c r="L16" s="273"/>
      <c r="M16" s="273"/>
    </row>
    <row r="17" spans="3:13">
      <c r="D17" s="1678" t="s">
        <v>965</v>
      </c>
      <c r="E17" s="2654">
        <v>567453</v>
      </c>
      <c r="F17" s="2654">
        <v>1010499</v>
      </c>
      <c r="G17" s="2654">
        <v>1470340</v>
      </c>
      <c r="H17" s="2654">
        <v>1396805</v>
      </c>
      <c r="I17" s="2654">
        <v>1677274</v>
      </c>
      <c r="J17" s="273"/>
      <c r="K17" s="273"/>
      <c r="L17" s="273"/>
      <c r="M17" s="273"/>
    </row>
    <row r="18" spans="3:13">
      <c r="D18" s="1678" t="s">
        <v>666</v>
      </c>
      <c r="E18" s="2654">
        <v>241462</v>
      </c>
      <c r="F18" s="2654">
        <v>209586</v>
      </c>
      <c r="G18" s="2654">
        <v>258817</v>
      </c>
      <c r="H18" s="2654">
        <v>275509</v>
      </c>
      <c r="I18" s="2654">
        <v>570269</v>
      </c>
      <c r="J18" s="273"/>
      <c r="K18" s="273"/>
      <c r="L18" s="273"/>
      <c r="M18" s="273"/>
    </row>
    <row r="19" spans="3:13">
      <c r="D19" s="2695" t="s">
        <v>118</v>
      </c>
      <c r="E19" s="2654">
        <f>SUM(E14:E18)</f>
        <v>1435078.2250700002</v>
      </c>
      <c r="F19" s="2654">
        <f>SUM(F14:F18)</f>
        <v>1758838.7282700001</v>
      </c>
      <c r="G19" s="2654">
        <f>SUM(G14:G18)</f>
        <v>2504366.0992799997</v>
      </c>
      <c r="H19" s="2654">
        <f>SUM(H14:H18)</f>
        <v>2468068.2951500001</v>
      </c>
      <c r="I19" s="2654">
        <f>SUM(I14:I18)</f>
        <v>3163294.2952000001</v>
      </c>
      <c r="J19" s="273"/>
      <c r="K19" s="273"/>
      <c r="L19" s="273"/>
      <c r="M19" s="273"/>
    </row>
    <row r="20" spans="3:13">
      <c r="D20" s="278"/>
      <c r="E20" s="109"/>
      <c r="F20" s="109"/>
      <c r="G20" s="109"/>
      <c r="H20" s="109"/>
      <c r="I20" s="109"/>
      <c r="J20" s="273"/>
      <c r="K20" s="273"/>
      <c r="L20" s="273"/>
      <c r="M20" s="273"/>
    </row>
    <row r="21" spans="3:13">
      <c r="J21" s="273"/>
      <c r="K21" s="273"/>
      <c r="L21" s="273"/>
      <c r="M21" s="273"/>
    </row>
    <row r="22" spans="3:13">
      <c r="C22" s="273">
        <v>2</v>
      </c>
      <c r="D22" s="1778" t="s">
        <v>92</v>
      </c>
      <c r="E22" s="2929">
        <v>2008</v>
      </c>
      <c r="F22" s="2929">
        <v>2009</v>
      </c>
      <c r="G22" s="2929">
        <v>2010</v>
      </c>
      <c r="H22" s="2929" t="s">
        <v>907</v>
      </c>
      <c r="I22" s="2929" t="s">
        <v>747</v>
      </c>
      <c r="J22" s="273"/>
      <c r="K22" s="273"/>
      <c r="L22" s="273"/>
      <c r="M22" s="273"/>
    </row>
    <row r="23" spans="3:13">
      <c r="D23" s="1678" t="s">
        <v>962</v>
      </c>
      <c r="E23" s="2654">
        <v>0</v>
      </c>
      <c r="F23" s="2654">
        <v>0</v>
      </c>
      <c r="G23" s="2654">
        <v>0</v>
      </c>
      <c r="H23" s="2654">
        <v>0</v>
      </c>
      <c r="I23" s="2654">
        <v>0</v>
      </c>
      <c r="J23" s="273"/>
      <c r="K23" s="273"/>
      <c r="L23" s="273"/>
      <c r="M23" s="273"/>
    </row>
    <row r="24" spans="3:13">
      <c r="D24" s="1678" t="s">
        <v>963</v>
      </c>
      <c r="E24" s="2654">
        <v>0</v>
      </c>
      <c r="F24" s="2654"/>
      <c r="G24" s="2654">
        <v>2275</v>
      </c>
      <c r="H24" s="2654">
        <v>3225</v>
      </c>
      <c r="I24" s="2654">
        <v>4975</v>
      </c>
      <c r="J24" s="273"/>
      <c r="K24" s="273"/>
      <c r="L24" s="273"/>
      <c r="M24" s="273"/>
    </row>
    <row r="25" spans="3:13">
      <c r="D25" s="1678" t="s">
        <v>964</v>
      </c>
      <c r="E25" s="2654">
        <v>0</v>
      </c>
      <c r="F25" s="2654">
        <v>0</v>
      </c>
      <c r="G25" s="2654">
        <v>9</v>
      </c>
      <c r="H25" s="2654">
        <v>0</v>
      </c>
      <c r="I25" s="2654">
        <v>381</v>
      </c>
      <c r="J25" s="273"/>
      <c r="K25" s="273"/>
      <c r="L25" s="273"/>
      <c r="M25" s="273"/>
    </row>
    <row r="26" spans="3:13">
      <c r="D26" s="1678" t="s">
        <v>965</v>
      </c>
      <c r="E26" s="2654">
        <v>0</v>
      </c>
      <c r="F26" s="2654">
        <v>0</v>
      </c>
      <c r="G26" s="2654">
        <v>0</v>
      </c>
      <c r="H26" s="2654">
        <v>0</v>
      </c>
      <c r="I26" s="2654">
        <v>856.51869999999997</v>
      </c>
      <c r="J26" s="273"/>
      <c r="K26" s="273"/>
      <c r="L26" s="273"/>
      <c r="M26" s="273"/>
    </row>
    <row r="27" spans="3:13">
      <c r="D27" s="1678" t="s">
        <v>666</v>
      </c>
      <c r="E27" s="2654">
        <v>0</v>
      </c>
      <c r="F27" s="2654">
        <v>3283</v>
      </c>
      <c r="G27" s="2654">
        <v>3430.9295400000001</v>
      </c>
      <c r="H27" s="2654">
        <v>9386.6355499999991</v>
      </c>
      <c r="I27" s="2654">
        <v>9664</v>
      </c>
      <c r="J27" s="273"/>
      <c r="K27" s="273"/>
      <c r="L27" s="273"/>
      <c r="M27" s="273"/>
    </row>
    <row r="28" spans="3:13">
      <c r="D28" s="2695" t="s">
        <v>118</v>
      </c>
      <c r="E28" s="2654">
        <f>SUM(E23:E27)</f>
        <v>0</v>
      </c>
      <c r="F28" s="2654">
        <f>SUM(F23:F27)</f>
        <v>3283</v>
      </c>
      <c r="G28" s="2654">
        <f>SUM(G23:G27)</f>
        <v>5714.9295400000001</v>
      </c>
      <c r="H28" s="2654">
        <f>SUM(H23:H27)</f>
        <v>12611.635549999999</v>
      </c>
      <c r="I28" s="2654">
        <f>SUM(I23:I27)</f>
        <v>15876.518700000001</v>
      </c>
      <c r="J28" s="273"/>
      <c r="K28" s="273"/>
      <c r="L28" s="273"/>
      <c r="M28" s="273"/>
    </row>
    <row r="29" spans="3:13">
      <c r="D29" s="278"/>
      <c r="E29" s="109"/>
      <c r="F29" s="109"/>
      <c r="G29" s="109"/>
      <c r="H29" s="109"/>
      <c r="I29" s="109"/>
      <c r="J29" s="273"/>
      <c r="K29" s="273"/>
      <c r="L29" s="273"/>
      <c r="M29" s="273"/>
    </row>
    <row r="30" spans="3:13">
      <c r="D30" s="278"/>
      <c r="E30" s="109"/>
      <c r="F30" s="109"/>
      <c r="G30" s="109"/>
      <c r="H30" s="109"/>
      <c r="I30" s="109"/>
      <c r="J30" s="273"/>
      <c r="K30" s="273"/>
      <c r="L30" s="273"/>
      <c r="M30" s="273"/>
    </row>
    <row r="31" spans="3:13">
      <c r="C31" s="273">
        <v>3</v>
      </c>
      <c r="D31" s="2602" t="s">
        <v>126</v>
      </c>
      <c r="E31" s="2929">
        <v>2008</v>
      </c>
      <c r="F31" s="2929">
        <v>2009</v>
      </c>
      <c r="G31" s="2929">
        <v>2010</v>
      </c>
      <c r="H31" s="2929" t="s">
        <v>907</v>
      </c>
      <c r="I31" s="2929" t="s">
        <v>747</v>
      </c>
      <c r="J31" s="273"/>
      <c r="K31" s="273"/>
      <c r="L31" s="273"/>
      <c r="M31" s="273"/>
    </row>
    <row r="32" spans="3:13">
      <c r="D32" s="1678" t="s">
        <v>962</v>
      </c>
      <c r="E32" s="2654">
        <v>0</v>
      </c>
      <c r="F32" s="2654">
        <v>5081.0810000000001</v>
      </c>
      <c r="G32" s="2654">
        <v>3086.248</v>
      </c>
      <c r="H32" s="2654">
        <v>8947</v>
      </c>
      <c r="I32" s="2654">
        <v>5840.39</v>
      </c>
      <c r="J32" s="273"/>
      <c r="K32" s="273"/>
      <c r="L32" s="273"/>
      <c r="M32" s="273"/>
    </row>
    <row r="33" spans="1:13">
      <c r="D33" s="1678" t="s">
        <v>963</v>
      </c>
      <c r="E33" s="2654">
        <v>397</v>
      </c>
      <c r="F33" s="2654">
        <v>981</v>
      </c>
      <c r="G33" s="2654">
        <v>986</v>
      </c>
      <c r="H33" s="2654">
        <v>4355.1415299999999</v>
      </c>
      <c r="I33" s="2654">
        <v>1250</v>
      </c>
      <c r="J33" s="273"/>
      <c r="K33" s="273"/>
      <c r="L33" s="273"/>
      <c r="M33" s="273"/>
    </row>
    <row r="34" spans="1:13">
      <c r="D34" s="1678" t="s">
        <v>964</v>
      </c>
      <c r="E34" s="2654">
        <v>0</v>
      </c>
      <c r="F34" s="2654">
        <v>0</v>
      </c>
      <c r="G34" s="2654">
        <v>0</v>
      </c>
      <c r="H34" s="2654">
        <v>0</v>
      </c>
      <c r="I34" s="2654">
        <v>0</v>
      </c>
      <c r="J34" s="273"/>
      <c r="K34" s="273"/>
      <c r="L34" s="273"/>
      <c r="M34" s="273"/>
    </row>
    <row r="35" spans="1:13">
      <c r="D35" s="1678" t="s">
        <v>965</v>
      </c>
      <c r="E35" s="2654">
        <v>27467.628000000001</v>
      </c>
      <c r="F35" s="2654">
        <v>31899.095000000001</v>
      </c>
      <c r="G35" s="2654">
        <v>31659.478999999999</v>
      </c>
      <c r="H35" s="2654">
        <v>31558.633000000002</v>
      </c>
      <c r="I35" s="2654">
        <v>44102.940999999999</v>
      </c>
      <c r="J35" s="273"/>
      <c r="K35" s="273"/>
      <c r="L35" s="273"/>
      <c r="M35" s="273"/>
    </row>
    <row r="36" spans="1:13">
      <c r="D36" s="1678" t="s">
        <v>666</v>
      </c>
      <c r="E36" s="2654">
        <f>+'[14]Sheet 3 - Long term Insurance'!$G$143+'[14]Sheet 3 - Long term Insurance'!$G$144</f>
        <v>23508.919000000002</v>
      </c>
      <c r="F36" s="2654">
        <f>+'[14]Sheet 3 - Long term Insurance'!$F$143+'[14]Sheet 3 - Long term Insurance'!$F$144</f>
        <v>31668.425000000003</v>
      </c>
      <c r="G36" s="2654">
        <f>+'[14]Sheet 3 - Long term Insurance'!$E$143+'[14]Sheet 3 - Long term Insurance'!$E$144</f>
        <v>34850.911999999997</v>
      </c>
      <c r="H36" s="2654">
        <f>+'[14]Sheet 3 - Long term Insurance'!$D$143+'[14]Sheet 3 - Long term Insurance'!$D$144</f>
        <v>38500.705999999998</v>
      </c>
      <c r="I36" s="2654">
        <f>+'[14]Sheet 3 - Long term Insurance'!$C$143+'[14]Sheet 3 - Long term Insurance'!$C$144</f>
        <v>31282.341999999997</v>
      </c>
      <c r="J36" s="273"/>
      <c r="K36" s="273"/>
      <c r="L36" s="273"/>
      <c r="M36" s="273"/>
    </row>
    <row r="37" spans="1:13">
      <c r="D37" s="2695" t="s">
        <v>118</v>
      </c>
      <c r="E37" s="2654">
        <f>SUM(E32:E36)</f>
        <v>51373.547000000006</v>
      </c>
      <c r="F37" s="2654">
        <f>SUM(F32:F36)</f>
        <v>69629.600999999995</v>
      </c>
      <c r="G37" s="2654">
        <f>SUM(G32:G36)</f>
        <v>70582.638999999996</v>
      </c>
      <c r="H37" s="2654">
        <f>SUM(H32:H36)</f>
        <v>83361.480530000001</v>
      </c>
      <c r="I37" s="2654">
        <f>SUM(I32:I36)</f>
        <v>82475.672999999995</v>
      </c>
      <c r="J37" s="273"/>
      <c r="K37" s="273"/>
      <c r="L37" s="273"/>
      <c r="M37" s="273"/>
    </row>
    <row r="38" spans="1:13">
      <c r="D38" s="278"/>
      <c r="E38" s="109"/>
      <c r="F38" s="109"/>
      <c r="G38" s="109"/>
      <c r="H38" s="109"/>
      <c r="I38" s="109"/>
      <c r="J38" s="273"/>
      <c r="K38" s="273"/>
      <c r="L38" s="273"/>
      <c r="M38" s="273"/>
    </row>
    <row r="39" spans="1:13">
      <c r="D39" s="278"/>
      <c r="E39" s="109"/>
      <c r="F39" s="109"/>
      <c r="G39" s="109"/>
      <c r="H39" s="109"/>
      <c r="I39" s="109"/>
      <c r="J39" s="273"/>
      <c r="K39" s="273"/>
      <c r="L39" s="273"/>
      <c r="M39" s="273"/>
    </row>
    <row r="40" spans="1:13">
      <c r="C40" s="273">
        <v>4</v>
      </c>
      <c r="D40" s="2931" t="s">
        <v>95</v>
      </c>
      <c r="E40" s="2929">
        <v>2008</v>
      </c>
      <c r="F40" s="2929">
        <v>2009</v>
      </c>
      <c r="G40" s="2929">
        <v>2010</v>
      </c>
      <c r="H40" s="2929" t="s">
        <v>907</v>
      </c>
      <c r="I40" s="2929" t="s">
        <v>747</v>
      </c>
      <c r="J40" s="273"/>
      <c r="K40" s="273"/>
      <c r="L40" s="273"/>
      <c r="M40" s="273"/>
    </row>
    <row r="41" spans="1:13">
      <c r="D41" s="1678" t="s">
        <v>962</v>
      </c>
      <c r="E41" s="2932"/>
      <c r="F41" s="2932"/>
      <c r="G41" s="2932"/>
      <c r="H41" s="2932"/>
      <c r="I41" s="2932"/>
      <c r="J41" s="273"/>
      <c r="K41" s="273"/>
      <c r="L41" s="273"/>
      <c r="M41" s="273"/>
    </row>
    <row r="42" spans="1:13">
      <c r="D42" s="1678" t="s">
        <v>963</v>
      </c>
      <c r="E42" s="2932"/>
      <c r="F42" s="2932"/>
      <c r="G42" s="2932"/>
      <c r="H42" s="2669"/>
      <c r="I42" s="2669">
        <v>100</v>
      </c>
      <c r="J42" s="273"/>
      <c r="K42" s="273"/>
      <c r="L42" s="273"/>
      <c r="M42" s="273"/>
    </row>
    <row r="43" spans="1:13">
      <c r="D43" s="1678" t="s">
        <v>964</v>
      </c>
      <c r="E43" s="2932"/>
      <c r="F43" s="2932"/>
      <c r="G43" s="2932"/>
      <c r="H43" s="2669"/>
      <c r="I43" s="2669"/>
      <c r="J43" s="273"/>
      <c r="K43" s="273"/>
      <c r="L43" s="273"/>
      <c r="M43" s="273"/>
    </row>
    <row r="44" spans="1:13">
      <c r="D44" s="1678" t="s">
        <v>965</v>
      </c>
      <c r="E44" s="2932"/>
      <c r="F44" s="2932"/>
      <c r="G44" s="2932"/>
      <c r="H44" s="2669"/>
      <c r="I44" s="2669"/>
      <c r="J44" s="273"/>
      <c r="K44" s="273"/>
      <c r="L44" s="273"/>
      <c r="M44" s="273"/>
    </row>
    <row r="45" spans="1:13">
      <c r="D45" s="1678" t="s">
        <v>666</v>
      </c>
      <c r="E45" s="2932"/>
      <c r="F45" s="2932"/>
      <c r="G45" s="2932"/>
      <c r="H45" s="2669"/>
      <c r="I45" s="2669">
        <v>2995</v>
      </c>
      <c r="J45" s="273"/>
      <c r="K45" s="273"/>
      <c r="L45" s="273"/>
      <c r="M45" s="273"/>
    </row>
    <row r="46" spans="1:13">
      <c r="D46" s="2695" t="s">
        <v>118</v>
      </c>
      <c r="E46" s="2669">
        <f>SUM(E41:E45)</f>
        <v>0</v>
      </c>
      <c r="F46" s="2669">
        <f>SUM(F41:F45)</f>
        <v>0</v>
      </c>
      <c r="G46" s="2669">
        <f>SUM(G41:G45)</f>
        <v>0</v>
      </c>
      <c r="H46" s="2669">
        <f>SUM(H41:H45)</f>
        <v>0</v>
      </c>
      <c r="I46" s="2669">
        <f>SUM(I41:I45)</f>
        <v>3095</v>
      </c>
      <c r="J46" s="273"/>
      <c r="K46" s="273"/>
      <c r="L46" s="273"/>
      <c r="M46" s="273"/>
    </row>
    <row r="47" spans="1:13">
      <c r="D47" s="278"/>
      <c r="E47" s="109"/>
      <c r="F47" s="109"/>
      <c r="G47" s="109"/>
      <c r="H47" s="109"/>
      <c r="I47" s="109"/>
      <c r="J47" s="273"/>
      <c r="K47" s="273"/>
      <c r="L47" s="273"/>
      <c r="M47" s="273"/>
    </row>
    <row r="48" spans="1:13">
      <c r="A48" s="273">
        <v>1</v>
      </c>
      <c r="B48" s="312" t="s">
        <v>177</v>
      </c>
      <c r="C48" s="312"/>
      <c r="J48" s="273"/>
      <c r="K48" s="273"/>
      <c r="L48" s="273"/>
      <c r="M48" s="273"/>
    </row>
    <row r="49" spans="1:13">
      <c r="C49" s="273">
        <v>5</v>
      </c>
      <c r="D49" s="1778" t="s">
        <v>124</v>
      </c>
      <c r="E49" s="2929">
        <v>2008</v>
      </c>
      <c r="F49" s="2929">
        <v>2009</v>
      </c>
      <c r="G49" s="2929">
        <v>2010</v>
      </c>
      <c r="H49" s="2929" t="s">
        <v>907</v>
      </c>
      <c r="I49" s="2929" t="s">
        <v>747</v>
      </c>
      <c r="J49" s="273"/>
      <c r="K49" s="273"/>
      <c r="L49" s="273"/>
      <c r="M49" s="273"/>
    </row>
    <row r="50" spans="1:13">
      <c r="D50" s="1678" t="s">
        <v>962</v>
      </c>
      <c r="E50" s="2654">
        <v>2498.35</v>
      </c>
      <c r="F50" s="2654">
        <v>1677.01766</v>
      </c>
      <c r="G50" s="2654">
        <v>2226.8850000000002</v>
      </c>
      <c r="H50" s="2654">
        <v>19929.371609999998</v>
      </c>
      <c r="I50" s="2654">
        <v>29108.722290000002</v>
      </c>
      <c r="J50" s="273"/>
      <c r="K50" s="273"/>
      <c r="L50" s="273"/>
      <c r="M50" s="273"/>
    </row>
    <row r="51" spans="1:13">
      <c r="D51" s="1678" t="s">
        <v>963</v>
      </c>
      <c r="E51" s="2654"/>
      <c r="F51" s="2654"/>
      <c r="G51" s="2654"/>
      <c r="H51" s="2654"/>
      <c r="I51" s="2654"/>
      <c r="J51" s="273"/>
      <c r="K51" s="273"/>
      <c r="L51" s="273"/>
      <c r="M51" s="273"/>
    </row>
    <row r="52" spans="1:13">
      <c r="D52" s="1678" t="s">
        <v>964</v>
      </c>
      <c r="E52" s="2654"/>
      <c r="F52" s="2654"/>
      <c r="G52" s="2654"/>
      <c r="H52" s="2654"/>
      <c r="I52" s="2654"/>
      <c r="J52" s="273"/>
      <c r="K52" s="273"/>
      <c r="L52" s="273"/>
      <c r="M52" s="273"/>
    </row>
    <row r="53" spans="1:13">
      <c r="D53" s="1678" t="s">
        <v>965</v>
      </c>
      <c r="E53" s="2654">
        <v>7433.3490000000002</v>
      </c>
      <c r="F53" s="2654">
        <v>35545.493900000001</v>
      </c>
      <c r="G53" s="2654">
        <v>40603.01945</v>
      </c>
      <c r="H53" s="2654">
        <v>28118.304169999999</v>
      </c>
      <c r="I53" s="2654">
        <v>29671.287619999999</v>
      </c>
      <c r="J53" s="273"/>
      <c r="K53" s="273"/>
      <c r="L53" s="273"/>
      <c r="M53" s="273"/>
    </row>
    <row r="54" spans="1:13">
      <c r="D54" s="1678" t="s">
        <v>666</v>
      </c>
      <c r="E54" s="2654">
        <v>38970</v>
      </c>
      <c r="F54" s="2654">
        <v>50306.881710000001</v>
      </c>
      <c r="G54" s="2654">
        <v>60246.309159999997</v>
      </c>
      <c r="H54" s="2654">
        <v>75498.619859999992</v>
      </c>
      <c r="I54" s="2654">
        <v>84337.081479999993</v>
      </c>
      <c r="J54" s="273"/>
      <c r="K54" s="273"/>
      <c r="L54" s="273"/>
      <c r="M54" s="273"/>
    </row>
    <row r="55" spans="1:13">
      <c r="D55" s="2695" t="s">
        <v>118</v>
      </c>
      <c r="E55" s="2654">
        <f>SUM(E50:E54)</f>
        <v>48901.699000000001</v>
      </c>
      <c r="F55" s="2654">
        <f>SUM(F50:F54)</f>
        <v>87529.39327</v>
      </c>
      <c r="G55" s="2654">
        <f>SUM(G50:G54)</f>
        <v>103076.21361000001</v>
      </c>
      <c r="H55" s="2654">
        <f>SUM(H50:H54)</f>
        <v>123546.29564</v>
      </c>
      <c r="I55" s="2654">
        <f>SUM(I50:I54)</f>
        <v>143117.09138999999</v>
      </c>
      <c r="J55" s="273"/>
      <c r="K55" s="273"/>
      <c r="L55" s="273"/>
      <c r="M55" s="273"/>
    </row>
    <row r="56" spans="1:13">
      <c r="A56" s="273">
        <v>2</v>
      </c>
      <c r="B56" s="312" t="s">
        <v>178</v>
      </c>
      <c r="C56" s="312"/>
      <c r="J56" s="273"/>
      <c r="K56" s="273"/>
      <c r="L56" s="273"/>
      <c r="M56" s="273"/>
    </row>
    <row r="57" spans="1:13">
      <c r="A57" s="273">
        <v>6</v>
      </c>
      <c r="B57" s="312" t="s">
        <v>185</v>
      </c>
      <c r="C57" s="312"/>
      <c r="J57" s="273"/>
      <c r="K57" s="273"/>
      <c r="L57" s="273"/>
      <c r="M57" s="273"/>
    </row>
    <row r="58" spans="1:13">
      <c r="C58" s="273">
        <v>6</v>
      </c>
      <c r="D58" s="2602" t="s">
        <v>129</v>
      </c>
      <c r="E58" s="2929">
        <v>2008</v>
      </c>
      <c r="F58" s="2929">
        <v>2009</v>
      </c>
      <c r="G58" s="2929">
        <v>2010</v>
      </c>
      <c r="H58" s="2929" t="s">
        <v>907</v>
      </c>
      <c r="I58" s="2929" t="s">
        <v>747</v>
      </c>
      <c r="J58" s="273"/>
      <c r="K58" s="273"/>
      <c r="L58" s="273"/>
      <c r="M58" s="273"/>
    </row>
    <row r="59" spans="1:13">
      <c r="D59" s="1678" t="s">
        <v>962</v>
      </c>
      <c r="E59" s="2654">
        <v>894617</v>
      </c>
      <c r="F59" s="2654">
        <v>855417</v>
      </c>
      <c r="G59" s="2654">
        <v>1248352</v>
      </c>
      <c r="H59" s="2654">
        <v>1444870</v>
      </c>
      <c r="I59" s="2654">
        <v>2280137</v>
      </c>
      <c r="J59" s="273"/>
      <c r="K59" s="273"/>
      <c r="L59" s="273"/>
      <c r="M59" s="273"/>
    </row>
    <row r="60" spans="1:13">
      <c r="D60" s="1678" t="s">
        <v>963</v>
      </c>
      <c r="E60" s="2654">
        <v>327946</v>
      </c>
      <c r="F60" s="2654">
        <v>374563</v>
      </c>
      <c r="G60" s="2654">
        <v>365363</v>
      </c>
      <c r="H60" s="2654">
        <v>297454</v>
      </c>
      <c r="I60" s="2654">
        <v>345038</v>
      </c>
      <c r="J60" s="273"/>
      <c r="K60" s="273"/>
      <c r="L60" s="273"/>
      <c r="M60" s="273"/>
    </row>
    <row r="61" spans="1:13">
      <c r="D61" s="1678" t="s">
        <v>964</v>
      </c>
      <c r="E61" s="2654"/>
      <c r="F61" s="2654"/>
      <c r="G61" s="2654"/>
      <c r="H61" s="2654"/>
      <c r="I61" s="2654">
        <v>0</v>
      </c>
      <c r="J61" s="273"/>
      <c r="K61" s="273"/>
      <c r="L61" s="273"/>
      <c r="M61" s="273"/>
    </row>
    <row r="62" spans="1:13">
      <c r="D62" s="1678" t="s">
        <v>965</v>
      </c>
      <c r="E62" s="2654">
        <v>263428</v>
      </c>
      <c r="F62" s="2654">
        <v>745398</v>
      </c>
      <c r="G62" s="2654">
        <v>337556</v>
      </c>
      <c r="H62" s="2654">
        <v>420341</v>
      </c>
      <c r="I62" s="2654">
        <v>544571</v>
      </c>
      <c r="J62" s="273"/>
      <c r="K62" s="273"/>
      <c r="L62" s="273"/>
      <c r="M62" s="273"/>
    </row>
    <row r="63" spans="1:13">
      <c r="D63" s="1678" t="s">
        <v>666</v>
      </c>
      <c r="E63" s="2654">
        <v>627103</v>
      </c>
      <c r="F63" s="2654">
        <v>722899</v>
      </c>
      <c r="G63" s="2654">
        <v>734089</v>
      </c>
      <c r="H63" s="2654">
        <v>783629</v>
      </c>
      <c r="I63" s="2654">
        <v>821135</v>
      </c>
      <c r="J63" s="273"/>
      <c r="K63" s="273"/>
      <c r="L63" s="273"/>
      <c r="M63" s="273"/>
    </row>
    <row r="64" spans="1:13">
      <c r="D64" s="2695" t="s">
        <v>118</v>
      </c>
      <c r="E64" s="2654">
        <f>SUM(E59:E63)</f>
        <v>2113094</v>
      </c>
      <c r="F64" s="2654">
        <f>SUM(F59:F63)</f>
        <v>2698277</v>
      </c>
      <c r="G64" s="2654">
        <f>SUM(G59:G63)</f>
        <v>2685360</v>
      </c>
      <c r="H64" s="2654">
        <f>SUM(H59:H63)</f>
        <v>2946294</v>
      </c>
      <c r="I64" s="2654">
        <f>SUM(I59:I63)</f>
        <v>3990881</v>
      </c>
      <c r="J64" s="273"/>
      <c r="K64" s="273"/>
      <c r="L64" s="273"/>
      <c r="M64" s="273"/>
    </row>
    <row r="65" spans="1:13">
      <c r="D65" s="278"/>
      <c r="E65" s="109"/>
      <c r="F65" s="109"/>
      <c r="G65" s="109"/>
      <c r="H65" s="109"/>
      <c r="I65" s="109"/>
      <c r="J65" s="273"/>
      <c r="K65" s="273"/>
      <c r="L65" s="273"/>
      <c r="M65" s="273"/>
    </row>
    <row r="66" spans="1:13">
      <c r="A66" s="273">
        <v>7</v>
      </c>
      <c r="B66" s="312" t="s">
        <v>186</v>
      </c>
      <c r="C66" s="312"/>
      <c r="J66" s="273"/>
      <c r="K66" s="273"/>
      <c r="L66" s="273"/>
      <c r="M66" s="273"/>
    </row>
    <row r="67" spans="1:13">
      <c r="C67" s="273">
        <v>7</v>
      </c>
      <c r="D67" s="2602" t="s">
        <v>130</v>
      </c>
      <c r="E67" s="2929">
        <v>2008</v>
      </c>
      <c r="F67" s="2929">
        <v>2009</v>
      </c>
      <c r="G67" s="2929">
        <v>2010</v>
      </c>
      <c r="H67" s="2929" t="s">
        <v>907</v>
      </c>
      <c r="I67" s="2929" t="s">
        <v>747</v>
      </c>
      <c r="J67" s="273"/>
      <c r="K67" s="273"/>
      <c r="L67" s="273"/>
      <c r="M67" s="273"/>
    </row>
    <row r="68" spans="1:13">
      <c r="D68" s="1678" t="s">
        <v>962</v>
      </c>
      <c r="E68" s="2664">
        <v>227.24</v>
      </c>
      <c r="F68" s="2664">
        <v>2144.1705000000002</v>
      </c>
      <c r="G68" s="2664">
        <v>4971.8130000000001</v>
      </c>
      <c r="H68" s="2664">
        <v>5182.7709999999997</v>
      </c>
      <c r="I68" s="2664">
        <v>7448.4920000000002</v>
      </c>
      <c r="J68" s="273"/>
      <c r="K68" s="273"/>
      <c r="L68" s="273"/>
      <c r="M68" s="273"/>
    </row>
    <row r="69" spans="1:13">
      <c r="D69" s="1678" t="s">
        <v>963</v>
      </c>
      <c r="E69" s="2664">
        <v>4695.7205400000003</v>
      </c>
      <c r="F69" s="2664">
        <v>3928.221</v>
      </c>
      <c r="G69" s="2664">
        <v>7692.8969999999999</v>
      </c>
      <c r="H69" s="2664">
        <v>4004.08</v>
      </c>
      <c r="I69" s="2664">
        <v>9116.3249800000012</v>
      </c>
      <c r="J69" s="273"/>
      <c r="K69" s="273"/>
      <c r="L69" s="273"/>
      <c r="M69" s="273"/>
    </row>
    <row r="70" spans="1:13">
      <c r="D70" s="1678" t="s">
        <v>964</v>
      </c>
      <c r="E70" s="2664">
        <v>585.35583999999994</v>
      </c>
      <c r="F70" s="2664">
        <v>1546.683</v>
      </c>
      <c r="G70" s="2664">
        <v>0</v>
      </c>
      <c r="H70" s="2664">
        <v>1144.0809999999999</v>
      </c>
      <c r="I70" s="2664">
        <v>1483.0840000000001</v>
      </c>
      <c r="J70" s="273"/>
      <c r="K70" s="273"/>
      <c r="L70" s="273"/>
      <c r="M70" s="273"/>
    </row>
    <row r="71" spans="1:13">
      <c r="D71" s="1678" t="s">
        <v>965</v>
      </c>
      <c r="E71" s="2664">
        <v>576.303</v>
      </c>
      <c r="F71" s="2664">
        <v>761.55100000000004</v>
      </c>
      <c r="G71" s="2664">
        <v>2145.0729999999999</v>
      </c>
      <c r="H71" s="2664">
        <v>3962.451</v>
      </c>
      <c r="I71" s="2664">
        <v>11836.109</v>
      </c>
      <c r="J71" s="273"/>
      <c r="K71" s="273"/>
      <c r="L71" s="273"/>
      <c r="M71" s="273"/>
    </row>
    <row r="72" spans="1:13">
      <c r="D72" s="1678" t="s">
        <v>666</v>
      </c>
      <c r="E72" s="2664">
        <f>+'[42]Sheet 3 - Long term Insurance'!$G$147+'[42]Sheet 3 - Long term Insurance'!$G$148</f>
        <v>3069.5109299999999</v>
      </c>
      <c r="F72" s="2664">
        <f>+'[42]Sheet 3 - Long term Insurance'!$F$147+'[42]Sheet 3 - Long term Insurance'!$F$148</f>
        <v>3501.933</v>
      </c>
      <c r="G72" s="2664">
        <f>+'[42]Sheet 3 - Long term Insurance'!$E$147+'[42]Sheet 3 - Long term Insurance'!$E$148</f>
        <v>4358.25</v>
      </c>
      <c r="H72" s="2664">
        <f>+'[42]Sheet 3 - Long term Insurance'!$D$147+'[42]Sheet 3 - Long term Insurance'!$D$148</f>
        <v>2914.4670700000001</v>
      </c>
      <c r="I72" s="2664">
        <f>+'[42]Sheet 3 - Long term Insurance'!$C$147+'[42]Sheet 3 - Long term Insurance'!$C$148</f>
        <v>6249.416400000001</v>
      </c>
      <c r="J72" s="273"/>
      <c r="K72" s="273"/>
      <c r="L72" s="273"/>
      <c r="M72" s="273"/>
    </row>
    <row r="73" spans="1:13">
      <c r="D73" s="2695" t="s">
        <v>118</v>
      </c>
      <c r="E73" s="2884">
        <f>SUM(E68:E72)</f>
        <v>9154.1303100000005</v>
      </c>
      <c r="F73" s="2884">
        <f>SUM(F68:F72)</f>
        <v>11882.558499999999</v>
      </c>
      <c r="G73" s="2884">
        <f>SUM(G68:G72)</f>
        <v>19168.032999999999</v>
      </c>
      <c r="H73" s="2884">
        <f>SUM(H68:H72)</f>
        <v>17207.850069999997</v>
      </c>
      <c r="I73" s="2884">
        <f>SUM(I68:I72)</f>
        <v>36133.426380000004</v>
      </c>
      <c r="J73" s="273"/>
      <c r="K73" s="273"/>
      <c r="L73" s="273"/>
      <c r="M73" s="273"/>
    </row>
    <row r="74" spans="1:13">
      <c r="D74" s="278"/>
      <c r="E74" s="109"/>
      <c r="F74" s="109"/>
      <c r="G74" s="109"/>
      <c r="H74" s="109"/>
      <c r="I74" s="109"/>
      <c r="J74" s="273"/>
      <c r="K74" s="273"/>
      <c r="L74" s="273"/>
      <c r="M74" s="273"/>
    </row>
    <row r="75" spans="1:13">
      <c r="A75" s="273">
        <v>8</v>
      </c>
      <c r="B75" s="312" t="s">
        <v>188</v>
      </c>
      <c r="C75" s="312"/>
      <c r="J75" s="273"/>
      <c r="K75" s="273"/>
      <c r="L75" s="273"/>
      <c r="M75" s="273"/>
    </row>
    <row r="76" spans="1:13">
      <c r="C76" s="273">
        <v>8</v>
      </c>
      <c r="D76" s="2602" t="s">
        <v>132</v>
      </c>
      <c r="E76" s="2929">
        <v>2008</v>
      </c>
      <c r="F76" s="2929">
        <v>2009</v>
      </c>
      <c r="G76" s="2929">
        <v>2010</v>
      </c>
      <c r="H76" s="2929" t="s">
        <v>907</v>
      </c>
      <c r="I76" s="2929" t="s">
        <v>747</v>
      </c>
      <c r="J76" s="273"/>
      <c r="K76" s="273"/>
      <c r="L76" s="273"/>
      <c r="M76" s="273"/>
    </row>
    <row r="77" spans="1:13">
      <c r="D77" s="1678" t="s">
        <v>962</v>
      </c>
      <c r="E77" s="2664">
        <v>5931.9589999999998</v>
      </c>
      <c r="F77" s="2664">
        <v>6544.9629999999997</v>
      </c>
      <c r="G77" s="2664">
        <v>14699.81</v>
      </c>
      <c r="H77" s="2664">
        <v>7384</v>
      </c>
      <c r="I77" s="2664">
        <v>125466</v>
      </c>
      <c r="J77" s="273"/>
      <c r="K77" s="273"/>
      <c r="L77" s="273"/>
      <c r="M77" s="273"/>
    </row>
    <row r="78" spans="1:13">
      <c r="D78" s="1678" t="s">
        <v>963</v>
      </c>
      <c r="E78" s="2664">
        <v>19437.215</v>
      </c>
      <c r="F78" s="2664">
        <v>35295.17</v>
      </c>
      <c r="G78" s="2664">
        <v>32509.137999999999</v>
      </c>
      <c r="H78" s="2664">
        <v>28185</v>
      </c>
      <c r="I78" s="2664">
        <v>55294</v>
      </c>
      <c r="J78" s="273"/>
      <c r="K78" s="273"/>
      <c r="L78" s="273"/>
      <c r="M78" s="273"/>
    </row>
    <row r="79" spans="1:13">
      <c r="D79" s="1678" t="s">
        <v>964</v>
      </c>
      <c r="E79" s="2664">
        <v>1395.383</v>
      </c>
      <c r="F79" s="2664">
        <v>391.35500000000002</v>
      </c>
      <c r="G79" s="2664">
        <v>649.28599999999994</v>
      </c>
      <c r="H79" s="2664">
        <v>1015</v>
      </c>
      <c r="I79" s="2664">
        <v>3025</v>
      </c>
      <c r="J79" s="273"/>
      <c r="K79" s="273"/>
      <c r="L79" s="273"/>
      <c r="M79" s="273"/>
    </row>
    <row r="80" spans="1:13">
      <c r="D80" s="1678" t="s">
        <v>965</v>
      </c>
      <c r="E80" s="2664">
        <v>16089.397999999999</v>
      </c>
      <c r="F80" s="2664">
        <v>26021.846000000001</v>
      </c>
      <c r="G80" s="2664">
        <v>14128.568579999999</v>
      </c>
      <c r="H80" s="2664">
        <v>17818</v>
      </c>
      <c r="I80" s="2664">
        <v>44099</v>
      </c>
      <c r="J80" s="273"/>
      <c r="K80" s="273"/>
      <c r="L80" s="273"/>
      <c r="M80" s="273"/>
    </row>
    <row r="81" spans="1:13">
      <c r="D81" s="1678" t="s">
        <v>666</v>
      </c>
      <c r="E81" s="2664">
        <v>8826.1749999999993</v>
      </c>
      <c r="F81" s="2664">
        <v>11369.449000000001</v>
      </c>
      <c r="G81" s="2664">
        <v>14877.454</v>
      </c>
      <c r="H81" s="2664">
        <v>8359</v>
      </c>
      <c r="I81" s="2664">
        <v>33886</v>
      </c>
      <c r="J81" s="273"/>
      <c r="K81" s="273"/>
      <c r="L81" s="273"/>
      <c r="M81" s="273"/>
    </row>
    <row r="82" spans="1:13">
      <c r="D82" s="2695" t="s">
        <v>118</v>
      </c>
      <c r="E82" s="2664">
        <f>SUM(E77:E81)</f>
        <v>51680.130000000005</v>
      </c>
      <c r="F82" s="2664">
        <f>SUM(F77:F81)</f>
        <v>79622.782999999996</v>
      </c>
      <c r="G82" s="2664">
        <f>SUM(G77:G81)</f>
        <v>76864.256580000001</v>
      </c>
      <c r="H82" s="2664">
        <f>SUM(H77:H81)</f>
        <v>62761</v>
      </c>
      <c r="I82" s="2664">
        <f>SUM(I77:I81)</f>
        <v>261770</v>
      </c>
      <c r="J82" s="273"/>
      <c r="K82" s="273"/>
      <c r="L82" s="273"/>
      <c r="M82" s="273"/>
    </row>
    <row r="83" spans="1:13">
      <c r="D83" s="278"/>
      <c r="E83" s="109"/>
      <c r="F83" s="109"/>
      <c r="G83" s="109"/>
      <c r="H83" s="109"/>
      <c r="I83" s="109"/>
      <c r="J83" s="273"/>
      <c r="K83" s="273"/>
      <c r="L83" s="273"/>
      <c r="M83" s="273"/>
    </row>
    <row r="84" spans="1:13">
      <c r="A84" s="273">
        <v>9</v>
      </c>
      <c r="B84" s="312" t="s">
        <v>189</v>
      </c>
      <c r="C84" s="312"/>
      <c r="J84" s="273"/>
      <c r="K84" s="273"/>
      <c r="L84" s="273"/>
      <c r="M84" s="273"/>
    </row>
    <row r="85" spans="1:13">
      <c r="C85" s="273">
        <v>9</v>
      </c>
      <c r="D85" s="2602" t="s">
        <v>133</v>
      </c>
      <c r="E85" s="2929">
        <v>2008</v>
      </c>
      <c r="F85" s="2929">
        <v>2009</v>
      </c>
      <c r="G85" s="2929">
        <v>2010</v>
      </c>
      <c r="H85" s="2929" t="s">
        <v>907</v>
      </c>
      <c r="I85" s="2929" t="s">
        <v>747</v>
      </c>
      <c r="J85" s="273"/>
      <c r="K85" s="273"/>
      <c r="L85" s="273"/>
      <c r="M85" s="273"/>
    </row>
    <row r="86" spans="1:13">
      <c r="D86" s="1678" t="s">
        <v>962</v>
      </c>
      <c r="E86" s="2664">
        <v>59828</v>
      </c>
      <c r="F86" s="2664">
        <v>59820</v>
      </c>
      <c r="G86" s="2664">
        <v>175377.26504</v>
      </c>
      <c r="H86" s="2664">
        <v>168854.50432000001</v>
      </c>
      <c r="I86" s="2664">
        <v>158067.0919</v>
      </c>
      <c r="J86" s="273"/>
      <c r="K86" s="273"/>
      <c r="L86" s="273"/>
      <c r="M86" s="273"/>
    </row>
    <row r="87" spans="1:13">
      <c r="D87" s="1678" t="s">
        <v>963</v>
      </c>
      <c r="E87" s="2664">
        <v>136558</v>
      </c>
      <c r="F87" s="2664">
        <v>161358</v>
      </c>
      <c r="G87" s="2664">
        <v>108073.09011999999</v>
      </c>
      <c r="H87" s="2664">
        <v>110877.26027999999</v>
      </c>
      <c r="I87" s="2664">
        <v>111405.12412000001</v>
      </c>
      <c r="J87" s="273"/>
      <c r="K87" s="273"/>
      <c r="L87" s="273"/>
      <c r="M87" s="273"/>
    </row>
    <row r="88" spans="1:13">
      <c r="D88" s="1678" t="s">
        <v>964</v>
      </c>
      <c r="E88" s="2884"/>
      <c r="F88" s="2884"/>
      <c r="G88" s="2884"/>
      <c r="H88" s="2884"/>
      <c r="I88" s="2884"/>
      <c r="J88" s="273"/>
      <c r="K88" s="273"/>
      <c r="L88" s="273"/>
      <c r="M88" s="273"/>
    </row>
    <row r="89" spans="1:13">
      <c r="D89" s="1678" t="s">
        <v>965</v>
      </c>
      <c r="E89" s="2664">
        <v>23090</v>
      </c>
      <c r="F89" s="2664">
        <v>0</v>
      </c>
      <c r="G89" s="2664">
        <v>25802.291970000002</v>
      </c>
      <c r="H89" s="2664">
        <v>25108.668239999999</v>
      </c>
      <c r="I89" s="2664">
        <v>52329.352119999996</v>
      </c>
      <c r="J89" s="273"/>
      <c r="K89" s="273"/>
      <c r="L89" s="273"/>
      <c r="M89" s="273"/>
    </row>
    <row r="90" spans="1:13">
      <c r="D90" s="1678" t="s">
        <v>666</v>
      </c>
      <c r="E90" s="2664">
        <v>74754</v>
      </c>
      <c r="F90" s="2664">
        <v>85249</v>
      </c>
      <c r="G90" s="2664">
        <v>128550.18586999999</v>
      </c>
      <c r="H90" s="2664">
        <v>120444.18767999999</v>
      </c>
      <c r="I90" s="2664">
        <v>110752.24109000001</v>
      </c>
      <c r="J90" s="273"/>
      <c r="K90" s="273"/>
      <c r="L90" s="273"/>
      <c r="M90" s="273"/>
    </row>
    <row r="91" spans="1:13">
      <c r="D91" s="2695" t="s">
        <v>118</v>
      </c>
      <c r="E91" s="2664">
        <f>SUM(E86:E90)</f>
        <v>294230</v>
      </c>
      <c r="F91" s="2664">
        <f>SUM(F86:F90)</f>
        <v>306427</v>
      </c>
      <c r="G91" s="2664">
        <f>SUM(G86:G90)</f>
        <v>437802.83299999998</v>
      </c>
      <c r="H91" s="2664">
        <f>SUM(H86:H90)</f>
        <v>425284.62052</v>
      </c>
      <c r="I91" s="2664">
        <f>SUM(I86:I90)</f>
        <v>432553.80923000001</v>
      </c>
      <c r="J91" s="273"/>
      <c r="K91" s="273"/>
      <c r="L91" s="273"/>
      <c r="M91" s="273"/>
    </row>
    <row r="92" spans="1:13">
      <c r="D92" s="278"/>
      <c r="E92" s="109"/>
      <c r="F92" s="109"/>
      <c r="G92" s="109"/>
      <c r="H92" s="109"/>
      <c r="I92" s="109"/>
      <c r="J92" s="273"/>
      <c r="K92" s="273"/>
      <c r="L92" s="273"/>
      <c r="M92" s="273"/>
    </row>
    <row r="93" spans="1:13">
      <c r="A93" s="273">
        <v>10</v>
      </c>
      <c r="B93" s="312" t="s">
        <v>190</v>
      </c>
      <c r="C93" s="312"/>
      <c r="J93" s="273"/>
      <c r="K93" s="273"/>
      <c r="L93" s="273"/>
      <c r="M93" s="273"/>
    </row>
    <row r="94" spans="1:13">
      <c r="C94" s="273">
        <v>10</v>
      </c>
      <c r="D94" s="2602" t="s">
        <v>106</v>
      </c>
      <c r="E94" s="2929">
        <v>2008</v>
      </c>
      <c r="F94" s="2929">
        <v>2009</v>
      </c>
      <c r="G94" s="2929">
        <v>2010</v>
      </c>
      <c r="H94" s="2929" t="s">
        <v>907</v>
      </c>
      <c r="I94" s="2929" t="s">
        <v>747</v>
      </c>
      <c r="J94" s="273"/>
      <c r="K94" s="273"/>
      <c r="L94" s="273"/>
      <c r="M94" s="273"/>
    </row>
    <row r="95" spans="1:13">
      <c r="D95" s="1678" t="s">
        <v>962</v>
      </c>
      <c r="E95" s="2884">
        <f>17480+'[49]Sheet 3 - Long term Insurance'!$G$144</f>
        <v>19270</v>
      </c>
      <c r="F95" s="2884">
        <f>22211+'[49]Sheet 3 - Long term Insurance'!$F$144</f>
        <v>30185</v>
      </c>
      <c r="G95" s="2884">
        <f>42864+'[49]Sheet 3 - Long term Insurance'!$E$144</f>
        <v>51270</v>
      </c>
      <c r="H95" s="2884">
        <v>75742</v>
      </c>
      <c r="I95" s="2884">
        <f>50298+'[49]Sheet 3 - Long term Insurance'!$C$144</f>
        <v>55481</v>
      </c>
      <c r="J95" s="273"/>
      <c r="K95" s="273"/>
      <c r="L95" s="273"/>
      <c r="M95" s="273"/>
    </row>
    <row r="96" spans="1:13">
      <c r="D96" s="1678" t="s">
        <v>963</v>
      </c>
      <c r="E96" s="2664">
        <v>11732</v>
      </c>
      <c r="F96" s="2664">
        <v>16381</v>
      </c>
      <c r="G96" s="2664">
        <v>6447</v>
      </c>
      <c r="H96" s="2664">
        <v>6430</v>
      </c>
      <c r="I96" s="2664">
        <v>7039</v>
      </c>
      <c r="J96" s="273"/>
      <c r="K96" s="273"/>
      <c r="L96" s="273"/>
      <c r="M96" s="273"/>
    </row>
    <row r="97" spans="1:13">
      <c r="D97" s="1678" t="s">
        <v>964</v>
      </c>
      <c r="E97" s="2933"/>
      <c r="F97" s="2933"/>
      <c r="G97" s="2933"/>
      <c r="H97" s="2933"/>
      <c r="I97" s="2933"/>
      <c r="J97" s="273"/>
      <c r="K97" s="273"/>
      <c r="L97" s="273"/>
      <c r="M97" s="273"/>
    </row>
    <row r="98" spans="1:13">
      <c r="D98" s="1678" t="s">
        <v>965</v>
      </c>
      <c r="E98" s="2664">
        <v>19918</v>
      </c>
      <c r="F98" s="2664">
        <v>1570</v>
      </c>
      <c r="G98" s="2664">
        <v>2878</v>
      </c>
      <c r="H98" s="2664">
        <v>7589</v>
      </c>
      <c r="I98" s="2664">
        <v>36679</v>
      </c>
      <c r="J98" s="273"/>
      <c r="K98" s="273"/>
      <c r="L98" s="273"/>
      <c r="M98" s="273"/>
    </row>
    <row r="99" spans="1:13">
      <c r="D99" s="1678" t="s">
        <v>666</v>
      </c>
      <c r="E99" s="2933"/>
      <c r="F99" s="2933"/>
      <c r="G99" s="2933"/>
      <c r="H99" s="2664">
        <v>11</v>
      </c>
      <c r="I99" s="2664">
        <v>120</v>
      </c>
      <c r="J99" s="273"/>
      <c r="K99" s="273"/>
      <c r="L99" s="273"/>
      <c r="M99" s="273"/>
    </row>
    <row r="100" spans="1:13">
      <c r="D100" s="2695" t="s">
        <v>118</v>
      </c>
      <c r="E100" s="2664">
        <f>SUM(E95:E99)</f>
        <v>50920</v>
      </c>
      <c r="F100" s="2664">
        <f>SUM(F95:F99)</f>
        <v>48136</v>
      </c>
      <c r="G100" s="2664">
        <f>SUM(G95:G99)</f>
        <v>60595</v>
      </c>
      <c r="H100" s="2664">
        <f>SUM(H95:H99)</f>
        <v>89772</v>
      </c>
      <c r="I100" s="2664">
        <f>SUM(I95:I99)</f>
        <v>99319</v>
      </c>
      <c r="J100" s="273"/>
      <c r="K100" s="273"/>
      <c r="L100" s="273"/>
      <c r="M100" s="273"/>
    </row>
    <row r="101" spans="1:13">
      <c r="D101" s="278"/>
      <c r="E101" s="109"/>
      <c r="F101" s="109"/>
      <c r="G101" s="109"/>
      <c r="H101" s="109"/>
      <c r="I101" s="109"/>
      <c r="J101" s="273"/>
      <c r="K101" s="273"/>
      <c r="L101" s="273"/>
      <c r="M101" s="273"/>
    </row>
    <row r="102" spans="1:13">
      <c r="A102" s="273">
        <v>11</v>
      </c>
      <c r="B102" s="312" t="s">
        <v>191</v>
      </c>
      <c r="C102" s="312"/>
      <c r="J102" s="273"/>
      <c r="K102" s="273"/>
      <c r="L102" s="273"/>
      <c r="M102" s="273"/>
    </row>
    <row r="103" spans="1:13">
      <c r="C103" s="273">
        <v>11</v>
      </c>
      <c r="D103" s="2602" t="s">
        <v>134</v>
      </c>
      <c r="E103" s="2929">
        <v>2008</v>
      </c>
      <c r="F103" s="2929">
        <v>2009</v>
      </c>
      <c r="G103" s="2929">
        <v>2010</v>
      </c>
      <c r="H103" s="2929" t="s">
        <v>907</v>
      </c>
      <c r="I103" s="2929" t="s">
        <v>747</v>
      </c>
      <c r="J103" s="273"/>
      <c r="K103" s="273"/>
      <c r="L103" s="273"/>
      <c r="M103" s="273"/>
    </row>
    <row r="104" spans="1:13">
      <c r="D104" s="1678" t="s">
        <v>962</v>
      </c>
      <c r="E104" s="2884"/>
      <c r="F104" s="2884"/>
      <c r="G104" s="2884"/>
      <c r="H104" s="2884"/>
      <c r="I104" s="2884"/>
      <c r="J104" s="273"/>
      <c r="K104" s="273"/>
      <c r="L104" s="273"/>
      <c r="M104" s="273"/>
    </row>
    <row r="105" spans="1:13">
      <c r="D105" s="1678" t="s">
        <v>963</v>
      </c>
      <c r="E105" s="2884"/>
      <c r="F105" s="2884"/>
      <c r="G105" s="2884"/>
      <c r="H105" s="2664">
        <v>553.65161999999998</v>
      </c>
      <c r="I105" s="2664">
        <v>2998.9527899999998</v>
      </c>
      <c r="J105" s="273"/>
      <c r="K105" s="273"/>
      <c r="L105" s="273"/>
      <c r="M105" s="273"/>
    </row>
    <row r="106" spans="1:13">
      <c r="D106" s="1678" t="s">
        <v>964</v>
      </c>
      <c r="E106" s="2884"/>
      <c r="F106" s="2884"/>
      <c r="G106" s="2884"/>
      <c r="H106" s="2664">
        <v>0</v>
      </c>
      <c r="I106" s="2664">
        <v>20.742999999999999</v>
      </c>
      <c r="J106" s="273"/>
      <c r="K106" s="273"/>
      <c r="L106" s="273"/>
      <c r="M106" s="273"/>
    </row>
    <row r="107" spans="1:13">
      <c r="D107" s="1678" t="s">
        <v>965</v>
      </c>
      <c r="E107" s="2884"/>
      <c r="F107" s="2884"/>
      <c r="G107" s="2884"/>
      <c r="H107" s="2664"/>
      <c r="I107" s="2664"/>
      <c r="J107" s="273"/>
      <c r="K107" s="273"/>
      <c r="L107" s="273"/>
      <c r="M107" s="273"/>
    </row>
    <row r="108" spans="1:13">
      <c r="D108" s="1678" t="s">
        <v>666</v>
      </c>
      <c r="E108" s="2884"/>
      <c r="F108" s="2884"/>
      <c r="G108" s="2884"/>
      <c r="H108" s="2664"/>
      <c r="I108" s="2664"/>
      <c r="J108" s="273"/>
      <c r="K108" s="273"/>
      <c r="L108" s="273"/>
      <c r="M108" s="273"/>
    </row>
    <row r="109" spans="1:13">
      <c r="D109" s="2695" t="s">
        <v>118</v>
      </c>
      <c r="E109" s="2884">
        <f>SUM(E104:E108)</f>
        <v>0</v>
      </c>
      <c r="F109" s="2884">
        <f>SUM(F104:F108)</f>
        <v>0</v>
      </c>
      <c r="G109" s="2884">
        <f>SUM(G104:G108)</f>
        <v>0</v>
      </c>
      <c r="H109" s="2664">
        <f>SUM(H104:H108)</f>
        <v>553.65161999999998</v>
      </c>
      <c r="I109" s="2664">
        <f>SUM(I104:I108)</f>
        <v>3019.6957899999998</v>
      </c>
      <c r="J109" s="273"/>
      <c r="K109" s="273"/>
      <c r="L109" s="273"/>
      <c r="M109" s="273"/>
    </row>
    <row r="110" spans="1:13">
      <c r="D110" s="278"/>
      <c r="E110" s="109"/>
      <c r="F110" s="109"/>
      <c r="G110" s="109"/>
      <c r="H110" s="109"/>
      <c r="I110" s="109"/>
      <c r="J110" s="273"/>
      <c r="K110" s="273"/>
      <c r="L110" s="273"/>
      <c r="M110" s="273"/>
    </row>
    <row r="111" spans="1:13">
      <c r="A111" s="273">
        <v>12</v>
      </c>
      <c r="B111" s="312" t="s">
        <v>192</v>
      </c>
      <c r="C111" s="312"/>
      <c r="J111" s="273"/>
      <c r="K111" s="273"/>
      <c r="L111" s="273"/>
      <c r="M111" s="273"/>
    </row>
    <row r="112" spans="1:13">
      <c r="C112" s="273">
        <v>12</v>
      </c>
      <c r="D112" s="2602" t="s">
        <v>109</v>
      </c>
      <c r="E112" s="2929">
        <v>2008</v>
      </c>
      <c r="F112" s="2929">
        <v>2009</v>
      </c>
      <c r="G112" s="2929">
        <v>2010</v>
      </c>
      <c r="H112" s="2929" t="s">
        <v>907</v>
      </c>
      <c r="I112" s="2929" t="s">
        <v>747</v>
      </c>
      <c r="J112" s="273"/>
      <c r="K112" s="273"/>
      <c r="L112" s="273"/>
      <c r="M112" s="273"/>
    </row>
    <row r="113" spans="3:13">
      <c r="D113" s="1678" t="s">
        <v>962</v>
      </c>
      <c r="E113" s="2909"/>
      <c r="F113" s="2909"/>
      <c r="G113" s="2909"/>
      <c r="H113" s="2909"/>
      <c r="I113" s="2909"/>
      <c r="J113" s="273"/>
      <c r="K113" s="273"/>
      <c r="L113" s="273"/>
      <c r="M113" s="273"/>
    </row>
    <row r="114" spans="3:13">
      <c r="D114" s="1678" t="s">
        <v>963</v>
      </c>
      <c r="E114" s="2934">
        <v>814.02200000000005</v>
      </c>
      <c r="F114" s="2934">
        <v>2920</v>
      </c>
      <c r="G114" s="2934">
        <v>585</v>
      </c>
      <c r="H114" s="2934">
        <v>3912.0360000000001</v>
      </c>
      <c r="I114" s="2934">
        <v>4025.8562000000002</v>
      </c>
      <c r="J114" s="273"/>
      <c r="K114" s="273"/>
      <c r="L114" s="273"/>
      <c r="M114" s="273"/>
    </row>
    <row r="115" spans="3:13">
      <c r="D115" s="1678" t="s">
        <v>964</v>
      </c>
      <c r="E115" s="2934">
        <v>1</v>
      </c>
      <c r="F115" s="2934">
        <v>100</v>
      </c>
      <c r="G115" s="2934">
        <v>68.22</v>
      </c>
      <c r="H115" s="2934">
        <v>60</v>
      </c>
      <c r="I115" s="2934">
        <v>75</v>
      </c>
      <c r="J115" s="273"/>
      <c r="K115" s="273"/>
      <c r="L115" s="273"/>
      <c r="M115" s="273"/>
    </row>
    <row r="116" spans="3:13">
      <c r="D116" s="1678" t="s">
        <v>965</v>
      </c>
      <c r="E116" s="2934">
        <v>0</v>
      </c>
      <c r="F116" s="2934">
        <v>427.23700000000002</v>
      </c>
      <c r="G116" s="2934">
        <v>359.113</v>
      </c>
      <c r="H116" s="2934">
        <v>490.964</v>
      </c>
      <c r="I116" s="2934">
        <v>1361.88</v>
      </c>
      <c r="J116" s="273"/>
      <c r="K116" s="273"/>
      <c r="L116" s="273"/>
      <c r="M116" s="273"/>
    </row>
    <row r="117" spans="3:13">
      <c r="D117" s="1678" t="s">
        <v>666</v>
      </c>
      <c r="E117" s="2909"/>
      <c r="F117" s="2909"/>
      <c r="G117" s="2909"/>
      <c r="H117" s="2909"/>
      <c r="I117" s="2909"/>
      <c r="J117" s="273"/>
      <c r="K117" s="273"/>
      <c r="L117" s="273"/>
      <c r="M117" s="273"/>
    </row>
    <row r="118" spans="3:13">
      <c r="D118" s="2695" t="s">
        <v>118</v>
      </c>
      <c r="E118" s="2664">
        <f>SUM(E113:E117)</f>
        <v>815.02200000000005</v>
      </c>
      <c r="F118" s="2664">
        <f>SUM(F113:F117)</f>
        <v>3447.2370000000001</v>
      </c>
      <c r="G118" s="2664">
        <f>SUM(G113:G117)</f>
        <v>1012.3330000000001</v>
      </c>
      <c r="H118" s="2664">
        <f>SUM(H113:H117)</f>
        <v>4463</v>
      </c>
      <c r="I118" s="2664">
        <f>SUM(I113:I117)</f>
        <v>5462.7362000000003</v>
      </c>
      <c r="J118" s="273"/>
      <c r="K118" s="273"/>
      <c r="L118" s="273"/>
      <c r="M118" s="273"/>
    </row>
    <row r="119" spans="3:13">
      <c r="D119" s="278"/>
      <c r="E119" s="109"/>
      <c r="F119" s="109"/>
      <c r="G119" s="109"/>
      <c r="H119" s="109"/>
      <c r="I119" s="109"/>
      <c r="J119" s="273"/>
      <c r="K119" s="273"/>
      <c r="L119" s="273"/>
      <c r="M119" s="273"/>
    </row>
    <row r="120" spans="3:13">
      <c r="D120" s="278"/>
      <c r="E120" s="109"/>
      <c r="F120" s="109"/>
      <c r="G120" s="109"/>
      <c r="H120" s="109"/>
      <c r="I120" s="109"/>
      <c r="J120" s="273"/>
      <c r="K120" s="273"/>
      <c r="L120" s="273"/>
      <c r="M120" s="273"/>
    </row>
    <row r="121" spans="3:13">
      <c r="C121" s="273">
        <v>13</v>
      </c>
      <c r="D121" s="2602" t="s">
        <v>135</v>
      </c>
      <c r="E121" s="2929">
        <v>2008</v>
      </c>
      <c r="F121" s="2929">
        <v>2009</v>
      </c>
      <c r="G121" s="2929">
        <v>2010</v>
      </c>
      <c r="H121" s="2929" t="s">
        <v>907</v>
      </c>
      <c r="I121" s="2929" t="s">
        <v>747</v>
      </c>
      <c r="J121" s="273"/>
      <c r="K121" s="273"/>
      <c r="L121" s="273"/>
      <c r="M121" s="273"/>
    </row>
    <row r="122" spans="3:13">
      <c r="D122" s="1678" t="s">
        <v>962</v>
      </c>
      <c r="E122" s="2669"/>
      <c r="F122" s="2669"/>
      <c r="G122" s="2669"/>
      <c r="H122" s="2669"/>
      <c r="I122" s="2669"/>
      <c r="J122" s="273"/>
      <c r="K122" s="273"/>
      <c r="L122" s="273"/>
      <c r="M122" s="273"/>
    </row>
    <row r="123" spans="3:13">
      <c r="D123" s="1678" t="s">
        <v>963</v>
      </c>
      <c r="E123" s="2669">
        <v>1009</v>
      </c>
      <c r="F123" s="2669">
        <v>1428</v>
      </c>
      <c r="G123" s="2669">
        <v>3360</v>
      </c>
      <c r="H123" s="2669">
        <v>6169</v>
      </c>
      <c r="I123" s="2669">
        <v>19925</v>
      </c>
      <c r="J123" s="273"/>
      <c r="K123" s="273"/>
      <c r="L123" s="273"/>
      <c r="M123" s="273"/>
    </row>
    <row r="124" spans="3:13">
      <c r="D124" s="1678" t="s">
        <v>964</v>
      </c>
      <c r="E124" s="2669"/>
      <c r="F124" s="2669"/>
      <c r="G124" s="2669"/>
      <c r="H124" s="2669"/>
      <c r="I124" s="2669">
        <v>971</v>
      </c>
      <c r="J124" s="273"/>
      <c r="K124" s="273"/>
      <c r="L124" s="273"/>
      <c r="M124" s="273"/>
    </row>
    <row r="125" spans="3:13">
      <c r="D125" s="1678" t="s">
        <v>965</v>
      </c>
      <c r="E125" s="2669">
        <v>26</v>
      </c>
      <c r="F125" s="2669">
        <v>143</v>
      </c>
      <c r="G125" s="2669">
        <v>663</v>
      </c>
      <c r="H125" s="2669">
        <v>1070</v>
      </c>
      <c r="I125" s="2669">
        <v>774</v>
      </c>
      <c r="J125" s="273"/>
      <c r="K125" s="273"/>
      <c r="L125" s="273"/>
      <c r="M125" s="273"/>
    </row>
    <row r="126" spans="3:13">
      <c r="D126" s="1678" t="s">
        <v>666</v>
      </c>
      <c r="E126" s="2669"/>
      <c r="F126" s="2669"/>
      <c r="G126" s="2669"/>
      <c r="H126" s="2669">
        <v>1000</v>
      </c>
      <c r="I126" s="2669">
        <v>1000</v>
      </c>
      <c r="J126" s="273"/>
      <c r="K126" s="273"/>
      <c r="L126" s="273"/>
      <c r="M126" s="273"/>
    </row>
    <row r="127" spans="3:13">
      <c r="D127" s="2695" t="s">
        <v>118</v>
      </c>
      <c r="E127" s="2669">
        <f>SUM(E122:E126)</f>
        <v>1035</v>
      </c>
      <c r="F127" s="2669">
        <f>SUM(F122:F126)</f>
        <v>1571</v>
      </c>
      <c r="G127" s="2669">
        <f>SUM(G122:G126)</f>
        <v>4023</v>
      </c>
      <c r="H127" s="2669">
        <f>SUM(H122:H126)</f>
        <v>8239</v>
      </c>
      <c r="I127" s="2669">
        <f>SUM(I122:I126)</f>
        <v>22670</v>
      </c>
      <c r="J127" s="273"/>
      <c r="K127" s="273"/>
      <c r="L127" s="273"/>
      <c r="M127" s="273"/>
    </row>
    <row r="128" spans="3:13">
      <c r="D128" s="278"/>
      <c r="E128" s="109"/>
      <c r="F128" s="109"/>
      <c r="G128" s="109"/>
      <c r="H128" s="109"/>
      <c r="I128" s="109"/>
      <c r="J128" s="273"/>
      <c r="K128" s="273"/>
      <c r="L128" s="273"/>
      <c r="M128" s="273"/>
    </row>
    <row r="129" spans="1:14">
      <c r="A129" s="273">
        <v>13</v>
      </c>
      <c r="B129" s="312" t="s">
        <v>195</v>
      </c>
      <c r="C129" s="312"/>
      <c r="J129" s="273"/>
      <c r="K129" s="273"/>
      <c r="L129" s="273"/>
      <c r="M129" s="273"/>
    </row>
    <row r="130" spans="1:14">
      <c r="C130" s="273">
        <v>14</v>
      </c>
      <c r="D130" s="2602" t="s">
        <v>115</v>
      </c>
      <c r="E130" s="2935">
        <v>2008</v>
      </c>
      <c r="F130" s="2935">
        <v>2009</v>
      </c>
      <c r="G130" s="2935">
        <v>2010</v>
      </c>
      <c r="H130" s="2935" t="s">
        <v>907</v>
      </c>
      <c r="I130" s="2935" t="s">
        <v>747</v>
      </c>
      <c r="J130" s="273"/>
      <c r="K130" s="273"/>
      <c r="L130" s="273"/>
      <c r="M130" s="273"/>
    </row>
    <row r="131" spans="1:14">
      <c r="D131" s="1678" t="s">
        <v>962</v>
      </c>
      <c r="E131" s="2669">
        <v>2847434.213</v>
      </c>
      <c r="F131" s="2669">
        <v>3106535.077</v>
      </c>
      <c r="G131" s="2669">
        <v>3820311.1558499997</v>
      </c>
      <c r="H131" s="2669">
        <v>3392747.932</v>
      </c>
      <c r="I131" s="2669">
        <v>3698363.7670900002</v>
      </c>
      <c r="J131" s="273"/>
      <c r="K131" s="273"/>
      <c r="L131" s="273"/>
      <c r="M131" s="273"/>
    </row>
    <row r="132" spans="1:14">
      <c r="D132" s="1678" t="s">
        <v>963</v>
      </c>
      <c r="E132" s="2669">
        <v>127431.08100000001</v>
      </c>
      <c r="F132" s="2669">
        <v>357673.74400000001</v>
      </c>
      <c r="G132" s="2669">
        <v>313811.75465999998</v>
      </c>
      <c r="H132" s="2669">
        <v>-50859.097000000002</v>
      </c>
      <c r="I132" s="2669">
        <v>-14824.701610000015</v>
      </c>
      <c r="J132" s="273"/>
      <c r="K132" s="273"/>
      <c r="L132" s="273"/>
      <c r="M132" s="273"/>
    </row>
    <row r="133" spans="1:14">
      <c r="D133" s="1678" t="s">
        <v>964</v>
      </c>
      <c r="E133" s="2669">
        <v>-7572.3580000000002</v>
      </c>
      <c r="F133" s="2669">
        <v>14910.134</v>
      </c>
      <c r="G133" s="2669">
        <v>1810.5457300000005</v>
      </c>
      <c r="H133" s="2669">
        <v>5374.2420000000002</v>
      </c>
      <c r="I133" s="2669">
        <v>9545.5225399999999</v>
      </c>
      <c r="J133" s="273"/>
      <c r="K133" s="273"/>
      <c r="L133" s="273"/>
      <c r="M133" s="273"/>
    </row>
    <row r="134" spans="1:14">
      <c r="D134" s="1678" t="s">
        <v>965</v>
      </c>
      <c r="E134" s="2669">
        <v>208345.193</v>
      </c>
      <c r="F134" s="2669">
        <v>176721.106</v>
      </c>
      <c r="G134" s="2669">
        <v>214120.77093</v>
      </c>
      <c r="H134" s="2669">
        <v>188937.29699999999</v>
      </c>
      <c r="I134" s="2669">
        <v>262456.93687999999</v>
      </c>
      <c r="J134" s="273"/>
      <c r="K134" s="273"/>
      <c r="L134" s="273"/>
      <c r="M134" s="273"/>
    </row>
    <row r="135" spans="1:14">
      <c r="D135" s="1678" t="s">
        <v>666</v>
      </c>
      <c r="E135" s="2669">
        <v>114207.98300000004</v>
      </c>
      <c r="F135" s="2669">
        <v>176145.50099999996</v>
      </c>
      <c r="G135" s="2669">
        <v>607620.98670999974</v>
      </c>
      <c r="H135" s="2669">
        <v>56617.343000000015</v>
      </c>
      <c r="I135" s="2669">
        <v>133690.20598</v>
      </c>
      <c r="J135" s="273"/>
      <c r="K135" s="273"/>
      <c r="L135" s="273"/>
      <c r="M135" s="273"/>
    </row>
    <row r="136" spans="1:14">
      <c r="D136" s="2695" t="s">
        <v>118</v>
      </c>
      <c r="E136" s="2669">
        <f>SUM(E131:E135)</f>
        <v>3289846.1119999997</v>
      </c>
      <c r="F136" s="2669">
        <f>SUM(F131:F135)</f>
        <v>3831985.5620000004</v>
      </c>
      <c r="G136" s="2669">
        <f>SUM(G131:G135)</f>
        <v>4957675.2138799997</v>
      </c>
      <c r="H136" s="2669">
        <f>SUM(H131:H135)</f>
        <v>3592817.7169999997</v>
      </c>
      <c r="I136" s="2669">
        <f>SUM(I131:I135)</f>
        <v>4089231.7308800002</v>
      </c>
      <c r="J136" s="273"/>
      <c r="K136" s="273"/>
      <c r="L136" s="273"/>
      <c r="M136" s="273"/>
    </row>
    <row r="137" spans="1:14">
      <c r="A137" s="273">
        <v>14</v>
      </c>
      <c r="B137" s="312" t="s">
        <v>196</v>
      </c>
      <c r="C137" s="312"/>
      <c r="J137" s="273"/>
      <c r="K137" s="273"/>
      <c r="L137" s="273"/>
      <c r="M137" s="273"/>
    </row>
    <row r="138" spans="1:14">
      <c r="A138" s="273">
        <v>15</v>
      </c>
      <c r="B138" s="312" t="s">
        <v>197</v>
      </c>
      <c r="C138" s="312"/>
      <c r="J138" s="273"/>
      <c r="K138" s="273"/>
      <c r="L138" s="273"/>
      <c r="M138" s="273"/>
    </row>
    <row r="139" spans="1:14">
      <c r="C139" s="273">
        <v>15</v>
      </c>
      <c r="D139" s="2602" t="s">
        <v>781</v>
      </c>
      <c r="E139" s="2935">
        <v>2008</v>
      </c>
      <c r="F139" s="2935">
        <v>2009</v>
      </c>
      <c r="G139" s="2935">
        <v>2010</v>
      </c>
      <c r="H139" s="2935" t="s">
        <v>907</v>
      </c>
      <c r="I139" s="2935" t="s">
        <v>747</v>
      </c>
      <c r="J139" s="273"/>
      <c r="K139" s="273"/>
      <c r="L139" s="273"/>
      <c r="M139" s="273"/>
    </row>
    <row r="140" spans="1:14">
      <c r="D140" s="1678" t="s">
        <v>962</v>
      </c>
      <c r="E140" s="2669">
        <v>266738</v>
      </c>
      <c r="F140" s="2669">
        <v>353436</v>
      </c>
      <c r="G140" s="2669">
        <v>556721</v>
      </c>
      <c r="H140" s="2669">
        <v>528575</v>
      </c>
      <c r="I140" s="2669">
        <v>787244</v>
      </c>
      <c r="J140" s="273"/>
      <c r="K140" s="273"/>
      <c r="L140" s="273"/>
      <c r="M140" s="273"/>
    </row>
    <row r="141" spans="1:14">
      <c r="D141" s="1678" t="s">
        <v>963</v>
      </c>
      <c r="E141" s="2669">
        <v>109278</v>
      </c>
      <c r="F141" s="1715">
        <v>125536</v>
      </c>
      <c r="G141" s="1715">
        <v>124993</v>
      </c>
      <c r="H141" s="1715">
        <v>156762</v>
      </c>
      <c r="I141" s="1715">
        <v>266039</v>
      </c>
      <c r="J141" s="273"/>
      <c r="K141" s="273"/>
      <c r="L141" s="273"/>
      <c r="M141" s="273"/>
      <c r="N141" s="3693"/>
    </row>
    <row r="142" spans="1:14">
      <c r="D142" s="1678" t="s">
        <v>964</v>
      </c>
      <c r="E142" s="2669">
        <v>0</v>
      </c>
      <c r="F142" s="1715">
        <v>0</v>
      </c>
      <c r="G142" s="1715">
        <v>0</v>
      </c>
      <c r="H142" s="1715">
        <v>0</v>
      </c>
      <c r="I142" s="1715">
        <v>0</v>
      </c>
      <c r="J142" s="273"/>
      <c r="K142" s="273"/>
      <c r="L142" s="273"/>
      <c r="M142" s="273"/>
      <c r="N142" s="3693"/>
    </row>
    <row r="143" spans="1:14">
      <c r="D143" s="1678" t="s">
        <v>965</v>
      </c>
      <c r="E143" s="2669">
        <v>78848</v>
      </c>
      <c r="F143" s="2669">
        <v>103248</v>
      </c>
      <c r="G143" s="2669">
        <v>103984</v>
      </c>
      <c r="H143" s="2669">
        <v>103494</v>
      </c>
      <c r="I143" s="2669">
        <v>135847</v>
      </c>
      <c r="J143" s="273"/>
      <c r="K143" s="273"/>
      <c r="L143" s="273"/>
      <c r="M143" s="273"/>
    </row>
    <row r="144" spans="1:14">
      <c r="D144" s="1678" t="s">
        <v>666</v>
      </c>
      <c r="E144" s="2669">
        <v>-19548</v>
      </c>
      <c r="F144" s="2669">
        <v>-20645</v>
      </c>
      <c r="G144" s="2669">
        <v>-70087</v>
      </c>
      <c r="H144" s="2669">
        <v>-41314</v>
      </c>
      <c r="I144" s="2669">
        <v>-47935</v>
      </c>
      <c r="J144" s="273"/>
      <c r="K144" s="273"/>
      <c r="L144" s="273"/>
      <c r="M144" s="273"/>
    </row>
    <row r="145" spans="4:14">
      <c r="D145" s="2695" t="s">
        <v>118</v>
      </c>
      <c r="E145" s="2669">
        <f>SUM(E140:E144)</f>
        <v>435316</v>
      </c>
      <c r="F145" s="2669">
        <f>SUM(F140:F144)</f>
        <v>561575</v>
      </c>
      <c r="G145" s="2669">
        <f>SUM(G140:G144)</f>
        <v>715611</v>
      </c>
      <c r="H145" s="2669">
        <f>SUM(H140:H144)</f>
        <v>747517</v>
      </c>
      <c r="I145" s="2669">
        <f>SUM(I140:I144)</f>
        <v>1141195</v>
      </c>
      <c r="J145" s="273"/>
      <c r="K145" s="273"/>
      <c r="L145" s="273"/>
      <c r="M145" s="273"/>
    </row>
    <row r="146" spans="4:14">
      <c r="J146" s="273"/>
      <c r="K146" s="273"/>
      <c r="L146" s="273"/>
      <c r="M146" s="273"/>
    </row>
    <row r="147" spans="4:14">
      <c r="J147" s="273"/>
      <c r="K147" s="273"/>
      <c r="L147" s="273"/>
      <c r="M147" s="273"/>
    </row>
    <row r="148" spans="4:14">
      <c r="J148" s="157"/>
      <c r="K148" s="157"/>
      <c r="L148" s="157"/>
      <c r="M148" s="157"/>
      <c r="N148" s="157"/>
    </row>
    <row r="149" spans="4:14">
      <c r="J149" s="273"/>
      <c r="K149" s="273"/>
      <c r="L149" s="273"/>
      <c r="M149" s="273"/>
    </row>
    <row r="150" spans="4:14">
      <c r="J150" s="273"/>
      <c r="K150" s="273"/>
      <c r="L150" s="273"/>
      <c r="M150" s="273"/>
    </row>
    <row r="151" spans="4:14">
      <c r="J151" s="273"/>
      <c r="K151" s="273"/>
      <c r="L151" s="273"/>
      <c r="M151" s="273"/>
    </row>
    <row r="152" spans="4:14">
      <c r="J152" s="273"/>
      <c r="K152" s="273"/>
      <c r="L152" s="273"/>
      <c r="M152" s="273"/>
    </row>
  </sheetData>
  <customSheetViews>
    <customSheetView guid="{2ACFE167-4169-43A6-9AB2-59D5A2DA2DB4}" showPageBreaks="1" printArea="1" hiddenColumns="1" state="hidden" topLeftCell="C1">
      <selection activeCell="H83" sqref="H83"/>
      <rowBreaks count="2" manualBreakCount="2">
        <brk id="55" max="8" man="1"/>
        <brk id="109" max="8" man="1"/>
      </rowBreaks>
      <pageMargins left="0" right="0" top="0" bottom="0" header="0" footer="0"/>
      <pageSetup scale="82" orientation="portrait" r:id="rId1"/>
    </customSheetView>
    <customSheetView guid="{967E0446-E234-427F-8E57-7FE287052E2E}" showPageBreaks="1" printArea="1" hiddenColumns="1" state="hidden" topLeftCell="C1">
      <selection activeCell="H83" sqref="H83"/>
      <rowBreaks count="2" manualBreakCount="2">
        <brk id="55" max="8" man="1"/>
        <brk id="109" max="8" man="1"/>
      </rowBreaks>
      <pageMargins left="0" right="0" top="0" bottom="0" header="0" footer="0"/>
      <pageSetup scale="82" orientation="portrait" r:id="rId2"/>
    </customSheetView>
    <customSheetView guid="{B2E1A0C6-5BA1-4CF1-B412-16D81FCDF11F}" showPageBreaks="1" printArea="1" hiddenColumns="1" state="hidden" topLeftCell="C1">
      <selection activeCell="H83" sqref="H83"/>
      <rowBreaks count="2" manualBreakCount="2">
        <brk id="55" max="8" man="1"/>
        <brk id="109" max="8" man="1"/>
      </rowBreaks>
      <pageMargins left="0" right="0" top="0" bottom="0" header="0" footer="0"/>
      <pageSetup scale="82" orientation="portrait" r:id="rId3"/>
    </customSheetView>
    <customSheetView guid="{46F31544-8E6F-41C5-8628-1D6EE074AF15}" hiddenColumns="1" state="hidden" topLeftCell="C1">
      <selection activeCell="H83" sqref="H83"/>
      <rowBreaks count="2" manualBreakCount="2">
        <brk id="55" max="8" man="1"/>
        <brk id="109" max="8" man="1"/>
      </rowBreaks>
      <pageMargins left="0" right="0" top="0" bottom="0" header="0" footer="0"/>
      <pageSetup scale="82" orientation="portrait" r:id="rId4"/>
    </customSheetView>
    <customSheetView guid="{E82B35BE-4719-4C53-A9EF-1CC6F153A6F3}" showPageBreaks="1" printArea="1" hiddenColumns="1" topLeftCell="C16">
      <selection activeCell="D2" sqref="D2"/>
      <rowBreaks count="2" manualBreakCount="2">
        <brk id="55" max="8" man="1"/>
        <brk id="109" max="8" man="1"/>
      </rowBreaks>
      <pageMargins left="0" right="0" top="0" bottom="0" header="0" footer="0"/>
      <pageSetup scale="82" orientation="portrait" r:id="rId5"/>
    </customSheetView>
    <customSheetView guid="{B1E1B596-A9A1-411D-A882-A48CB025B978}" showPageBreaks="1" printArea="1" hiddenColumns="1" state="hidden" topLeftCell="C1">
      <selection activeCell="H83" sqref="H83"/>
      <rowBreaks count="2" manualBreakCount="2">
        <brk id="55" max="8" man="1"/>
        <brk id="109" max="8" man="1"/>
      </rowBreaks>
      <pageMargins left="0" right="0" top="0" bottom="0" header="0" footer="0"/>
      <pageSetup scale="82" orientation="portrait" r:id="rId6"/>
    </customSheetView>
    <customSheetView guid="{5E394B0B-7867-4722-9497-A93AB2A9A773}" showPageBreaks="1" printArea="1" hiddenColumns="1" state="hidden" topLeftCell="C1">
      <selection activeCell="H83" sqref="H83"/>
      <rowBreaks count="2" manualBreakCount="2">
        <brk id="55" max="8" man="1"/>
        <brk id="109" max="8" man="1"/>
      </rowBreaks>
      <pageMargins left="0" right="0" top="0" bottom="0" header="0" footer="0"/>
      <pageSetup scale="82" orientation="portrait" r:id="rId7"/>
    </customSheetView>
  </customSheetViews>
  <mergeCells count="1">
    <mergeCell ref="N141:N142"/>
  </mergeCells>
  <pageMargins left="0.7" right="0.7" top="0.75" bottom="0.75" header="0.3" footer="0.3"/>
  <pageSetup scale="82" orientation="portrait" r:id="rId8"/>
  <rowBreaks count="2" manualBreakCount="2">
    <brk id="55" max="8" man="1"/>
    <brk id="109" max="8" man="1"/>
  </rowBreaks>
  <ignoredErrors>
    <ignoredError sqref="I109 I145 I136 I118" formulaRange="1"/>
  </ignoredErrors>
  <legacyDrawing r:id="rId9"/>
</worksheet>
</file>

<file path=xl/worksheets/sheet7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Sheet22"/>
  <dimension ref="A2:M145"/>
  <sheetViews>
    <sheetView topLeftCell="C1" workbookViewId="0">
      <selection activeCell="H83" sqref="H83"/>
    </sheetView>
  </sheetViews>
  <sheetFormatPr defaultColWidth="9.140625" defaultRowHeight="14.45"/>
  <cols>
    <col min="1" max="1" width="9.42578125" style="81" hidden="1" customWidth="1"/>
    <col min="2" max="2" width="9.140625" style="81" hidden="1" customWidth="1"/>
    <col min="3" max="3" width="4.42578125" style="81" customWidth="1"/>
    <col min="4" max="4" width="41.28515625" style="81" bestFit="1" customWidth="1"/>
    <col min="5" max="6" width="11.5703125" style="81" bestFit="1" customWidth="1"/>
    <col min="7" max="7" width="12.42578125" style="81" customWidth="1"/>
    <col min="8" max="9" width="12.7109375" style="81" customWidth="1"/>
    <col min="10" max="13" width="8.85546875" customWidth="1"/>
    <col min="14" max="16384" width="9.140625" style="81"/>
  </cols>
  <sheetData>
    <row r="2" spans="3:9">
      <c r="D2" s="314" t="s">
        <v>974</v>
      </c>
    </row>
    <row r="4" spans="3:9">
      <c r="D4" s="2928" t="s">
        <v>677</v>
      </c>
      <c r="E4" s="2814">
        <v>2009</v>
      </c>
      <c r="F4" s="2814">
        <v>2010</v>
      </c>
      <c r="G4" s="2695">
        <v>2011</v>
      </c>
      <c r="H4" s="2695" t="s">
        <v>210</v>
      </c>
      <c r="I4" s="2695" t="s">
        <v>211</v>
      </c>
    </row>
    <row r="5" spans="3:9">
      <c r="D5" s="1678" t="s">
        <v>962</v>
      </c>
      <c r="E5" s="2884">
        <v>56911</v>
      </c>
      <c r="F5" s="2884">
        <v>85432</v>
      </c>
      <c r="G5" s="2884">
        <v>96116</v>
      </c>
      <c r="H5" s="2884">
        <v>100256</v>
      </c>
      <c r="I5" s="2884"/>
    </row>
    <row r="6" spans="3:9">
      <c r="D6" s="1678" t="s">
        <v>963</v>
      </c>
      <c r="E6" s="2884">
        <v>4371</v>
      </c>
      <c r="F6" s="2884">
        <v>5004</v>
      </c>
      <c r="G6" s="2884">
        <v>4283</v>
      </c>
      <c r="H6" s="2884">
        <v>4330</v>
      </c>
      <c r="I6" s="2884"/>
    </row>
    <row r="7" spans="3:9">
      <c r="D7" s="1678" t="s">
        <v>964</v>
      </c>
      <c r="E7" s="2884">
        <v>442</v>
      </c>
      <c r="F7" s="2884">
        <v>628</v>
      </c>
      <c r="G7" s="2884">
        <v>569</v>
      </c>
      <c r="H7" s="2884">
        <v>579</v>
      </c>
      <c r="I7" s="2884"/>
    </row>
    <row r="8" spans="3:9">
      <c r="D8" s="1678" t="s">
        <v>965</v>
      </c>
      <c r="E8" s="2884">
        <v>26639</v>
      </c>
      <c r="F8" s="2884">
        <v>25447</v>
      </c>
      <c r="G8" s="2884">
        <v>25459</v>
      </c>
      <c r="H8" s="2884">
        <v>24266</v>
      </c>
      <c r="I8" s="2884"/>
    </row>
    <row r="9" spans="3:9">
      <c r="D9" s="1678" t="s">
        <v>966</v>
      </c>
      <c r="E9" s="2884">
        <v>34768</v>
      </c>
      <c r="F9" s="2884">
        <v>38661</v>
      </c>
      <c r="G9" s="2884">
        <v>41901</v>
      </c>
      <c r="H9" s="2884">
        <v>50424</v>
      </c>
      <c r="I9" s="2884"/>
    </row>
    <row r="10" spans="3:9">
      <c r="D10" s="2698" t="s">
        <v>118</v>
      </c>
      <c r="E10" s="2930">
        <f>SUM(E5:E9)</f>
        <v>123131</v>
      </c>
      <c r="F10" s="2930">
        <f>SUM(F5:F9)</f>
        <v>155172</v>
      </c>
      <c r="G10" s="2930">
        <f>SUM(G5:G9)</f>
        <v>168328</v>
      </c>
      <c r="H10" s="2930">
        <f>SUM(H5:H9)</f>
        <v>179855</v>
      </c>
      <c r="I10" s="2930">
        <f>SUM(I5:I9)</f>
        <v>0</v>
      </c>
    </row>
    <row r="11" spans="3:9">
      <c r="D11" s="315"/>
      <c r="E11" s="313"/>
      <c r="F11" s="313"/>
      <c r="G11" s="313"/>
      <c r="H11" s="313"/>
      <c r="I11" s="313"/>
    </row>
    <row r="12" spans="3:9">
      <c r="E12" s="256"/>
      <c r="F12" s="256"/>
      <c r="G12" s="256"/>
      <c r="H12" s="256"/>
      <c r="I12" s="256"/>
    </row>
    <row r="13" spans="3:9">
      <c r="C13" s="81">
        <v>1</v>
      </c>
      <c r="D13" s="1789" t="s">
        <v>125</v>
      </c>
      <c r="E13" s="2814">
        <v>2009</v>
      </c>
      <c r="F13" s="2814">
        <v>2010</v>
      </c>
      <c r="G13" s="2695">
        <v>2011</v>
      </c>
      <c r="H13" s="2695" t="s">
        <v>210</v>
      </c>
      <c r="I13" s="2695" t="s">
        <v>211</v>
      </c>
    </row>
    <row r="14" spans="3:9">
      <c r="D14" s="1678" t="s">
        <v>962</v>
      </c>
      <c r="E14" s="2654">
        <v>4362</v>
      </c>
      <c r="F14" s="2654">
        <v>4842</v>
      </c>
      <c r="G14" s="2654">
        <v>6836</v>
      </c>
      <c r="H14" s="2654">
        <v>5030</v>
      </c>
      <c r="I14" s="2654"/>
    </row>
    <row r="15" spans="3:9">
      <c r="D15" s="1678" t="s">
        <v>963</v>
      </c>
      <c r="E15" s="2654">
        <v>498</v>
      </c>
      <c r="F15" s="2654">
        <v>560</v>
      </c>
      <c r="G15" s="2654">
        <v>421</v>
      </c>
      <c r="H15" s="2654">
        <v>354</v>
      </c>
      <c r="I15" s="2654"/>
    </row>
    <row r="16" spans="3:9">
      <c r="D16" s="1678" t="s">
        <v>964</v>
      </c>
      <c r="E16" s="2654">
        <v>71</v>
      </c>
      <c r="F16" s="2654">
        <v>49</v>
      </c>
      <c r="G16" s="2654">
        <v>39</v>
      </c>
      <c r="H16" s="2654">
        <v>44</v>
      </c>
      <c r="I16" s="2654"/>
    </row>
    <row r="17" spans="3:9">
      <c r="D17" s="1678" t="s">
        <v>965</v>
      </c>
      <c r="E17" s="2654">
        <v>10587</v>
      </c>
      <c r="F17" s="2654">
        <v>11050</v>
      </c>
      <c r="G17" s="2654">
        <v>9316</v>
      </c>
      <c r="H17" s="2654">
        <v>7377</v>
      </c>
      <c r="I17" s="2654"/>
    </row>
    <row r="18" spans="3:9">
      <c r="D18" s="1678" t="s">
        <v>966</v>
      </c>
      <c r="E18" s="2654"/>
      <c r="F18" s="2654"/>
      <c r="G18" s="2654"/>
      <c r="H18" s="2654"/>
      <c r="I18" s="2654"/>
    </row>
    <row r="19" spans="3:9">
      <c r="D19" s="2698" t="s">
        <v>118</v>
      </c>
      <c r="E19" s="2654">
        <f>SUM(E14:E18)</f>
        <v>15518</v>
      </c>
      <c r="F19" s="2654">
        <f>SUM(F14:F18)</f>
        <v>16501</v>
      </c>
      <c r="G19" s="2654">
        <f>SUM(G14:G18)</f>
        <v>16612</v>
      </c>
      <c r="H19" s="2654">
        <f>SUM(H14:H18)</f>
        <v>12805</v>
      </c>
      <c r="I19" s="2654">
        <f>SUM(I14:I18)</f>
        <v>0</v>
      </c>
    </row>
    <row r="20" spans="3:9">
      <c r="D20" s="315"/>
      <c r="E20" s="109"/>
      <c r="F20" s="109"/>
      <c r="G20" s="109"/>
      <c r="H20" s="109"/>
      <c r="I20" s="109"/>
    </row>
    <row r="21" spans="3:9">
      <c r="D21" s="315"/>
      <c r="E21" s="109"/>
      <c r="F21" s="109"/>
      <c r="G21" s="109"/>
      <c r="H21" s="109"/>
      <c r="I21" s="109"/>
    </row>
    <row r="22" spans="3:9">
      <c r="C22" s="81">
        <v>2</v>
      </c>
      <c r="D22" s="2936" t="s">
        <v>92</v>
      </c>
      <c r="E22" s="2814">
        <v>2009</v>
      </c>
      <c r="F22" s="2814">
        <v>2010</v>
      </c>
      <c r="G22" s="2695">
        <v>2011</v>
      </c>
      <c r="H22" s="2695" t="s">
        <v>210</v>
      </c>
      <c r="I22" s="2695" t="s">
        <v>211</v>
      </c>
    </row>
    <row r="23" spans="3:9">
      <c r="D23" s="1678" t="s">
        <v>962</v>
      </c>
      <c r="E23" s="2654">
        <v>0</v>
      </c>
      <c r="F23" s="2654">
        <v>0</v>
      </c>
      <c r="G23" s="2654">
        <v>0</v>
      </c>
      <c r="H23" s="2654">
        <v>0</v>
      </c>
      <c r="I23" s="2654"/>
    </row>
    <row r="24" spans="3:9">
      <c r="D24" s="1678" t="s">
        <v>963</v>
      </c>
      <c r="E24" s="2654">
        <v>0</v>
      </c>
      <c r="F24" s="2654">
        <v>5</v>
      </c>
      <c r="G24" s="2654">
        <v>8</v>
      </c>
      <c r="H24" s="2654">
        <v>11</v>
      </c>
      <c r="I24" s="2654"/>
    </row>
    <row r="25" spans="3:9">
      <c r="D25" s="1678" t="s">
        <v>964</v>
      </c>
      <c r="E25" s="2654">
        <v>0</v>
      </c>
      <c r="F25" s="2654">
        <v>2</v>
      </c>
      <c r="G25" s="2654">
        <v>0</v>
      </c>
      <c r="H25" s="2654">
        <v>3</v>
      </c>
      <c r="I25" s="2654"/>
    </row>
    <row r="26" spans="3:9">
      <c r="D26" s="1678" t="s">
        <v>965</v>
      </c>
      <c r="E26" s="2654">
        <v>0</v>
      </c>
      <c r="F26" s="2654">
        <v>0</v>
      </c>
      <c r="G26" s="2654">
        <v>0</v>
      </c>
      <c r="H26" s="2654">
        <v>8</v>
      </c>
      <c r="I26" s="2654"/>
    </row>
    <row r="27" spans="3:9">
      <c r="D27" s="1678" t="s">
        <v>966</v>
      </c>
      <c r="E27" s="2654">
        <v>38</v>
      </c>
      <c r="F27" s="2654">
        <v>244</v>
      </c>
      <c r="G27" s="2654">
        <v>382</v>
      </c>
      <c r="H27" s="2654">
        <v>894</v>
      </c>
      <c r="I27" s="2654"/>
    </row>
    <row r="28" spans="3:9" ht="16.5" customHeight="1">
      <c r="D28" s="2698" t="s">
        <v>118</v>
      </c>
      <c r="E28" s="2654">
        <f>SUM(E23:E27)</f>
        <v>38</v>
      </c>
      <c r="F28" s="2654">
        <f>SUM(F23:F27)</f>
        <v>251</v>
      </c>
      <c r="G28" s="2654">
        <f>SUM(G23:G27)</f>
        <v>390</v>
      </c>
      <c r="H28" s="2654">
        <f>SUM(H23:H27)</f>
        <v>916</v>
      </c>
      <c r="I28" s="2654">
        <f>SUM(I23:I27)</f>
        <v>0</v>
      </c>
    </row>
    <row r="29" spans="3:9" ht="16.5" customHeight="1">
      <c r="D29" s="315"/>
      <c r="E29" s="109"/>
      <c r="F29" s="109"/>
      <c r="G29" s="109"/>
      <c r="H29" s="109"/>
      <c r="I29" s="109"/>
    </row>
    <row r="30" spans="3:9" ht="16.5" customHeight="1">
      <c r="D30" s="315"/>
      <c r="E30" s="109"/>
      <c r="F30" s="109"/>
      <c r="G30" s="109"/>
      <c r="H30" s="109"/>
      <c r="I30" s="109"/>
    </row>
    <row r="31" spans="3:9">
      <c r="C31" s="81">
        <v>3</v>
      </c>
      <c r="D31" s="2936" t="s">
        <v>126</v>
      </c>
      <c r="E31" s="2814">
        <v>2009</v>
      </c>
      <c r="F31" s="2814">
        <v>2010</v>
      </c>
      <c r="G31" s="2695">
        <v>2011</v>
      </c>
      <c r="H31" s="2695" t="s">
        <v>210</v>
      </c>
      <c r="I31" s="2695" t="s">
        <v>211</v>
      </c>
    </row>
    <row r="32" spans="3:9">
      <c r="D32" s="1678" t="s">
        <v>962</v>
      </c>
      <c r="E32" s="2654">
        <v>0</v>
      </c>
      <c r="F32" s="2654">
        <v>33</v>
      </c>
      <c r="G32" s="2654">
        <v>42</v>
      </c>
      <c r="H32" s="2654">
        <v>44</v>
      </c>
      <c r="I32" s="2654"/>
    </row>
    <row r="33" spans="1:9">
      <c r="D33" s="1678" t="s">
        <v>963</v>
      </c>
      <c r="E33" s="2654">
        <v>5</v>
      </c>
      <c r="F33" s="2654">
        <v>3</v>
      </c>
      <c r="G33" s="2654">
        <v>7</v>
      </c>
      <c r="H33" s="2654">
        <v>2</v>
      </c>
      <c r="I33" s="2654"/>
    </row>
    <row r="34" spans="1:9">
      <c r="D34" s="1678" t="s">
        <v>964</v>
      </c>
      <c r="E34" s="2654">
        <v>0</v>
      </c>
      <c r="F34" s="2654">
        <v>0</v>
      </c>
      <c r="G34" s="2654">
        <v>0</v>
      </c>
      <c r="H34" s="2654">
        <v>0</v>
      </c>
      <c r="I34" s="2654"/>
    </row>
    <row r="35" spans="1:9">
      <c r="D35" s="1678" t="s">
        <v>965</v>
      </c>
      <c r="E35" s="2654">
        <v>2236</v>
      </c>
      <c r="F35" s="2654">
        <v>1487</v>
      </c>
      <c r="G35" s="2654">
        <v>2894</v>
      </c>
      <c r="H35" s="2654">
        <v>1841</v>
      </c>
      <c r="I35" s="2654"/>
    </row>
    <row r="36" spans="1:9">
      <c r="D36" s="1678" t="s">
        <v>966</v>
      </c>
      <c r="E36" s="2654"/>
      <c r="F36" s="2654"/>
      <c r="G36" s="2654">
        <v>0</v>
      </c>
      <c r="H36" s="2654">
        <v>0</v>
      </c>
      <c r="I36" s="2654"/>
    </row>
    <row r="37" spans="1:9">
      <c r="D37" s="2698" t="s">
        <v>118</v>
      </c>
      <c r="E37" s="2654">
        <f>SUM(E32:E36)</f>
        <v>2241</v>
      </c>
      <c r="F37" s="2654">
        <f>SUM(F32:F36)</f>
        <v>1523</v>
      </c>
      <c r="G37" s="2654">
        <f>SUM(G32:G36)</f>
        <v>2943</v>
      </c>
      <c r="H37" s="2654">
        <f>SUM(H32:H36)</f>
        <v>1887</v>
      </c>
      <c r="I37" s="2654">
        <f>SUM(I32:I36)</f>
        <v>0</v>
      </c>
    </row>
    <row r="38" spans="1:9">
      <c r="D38" s="315"/>
      <c r="E38" s="109"/>
      <c r="F38" s="109"/>
      <c r="G38" s="109"/>
      <c r="H38" s="109"/>
      <c r="I38" s="109"/>
    </row>
    <row r="39" spans="1:9">
      <c r="D39" s="315"/>
      <c r="E39" s="109"/>
      <c r="F39" s="109"/>
      <c r="G39" s="109"/>
      <c r="H39" s="109"/>
      <c r="I39" s="109"/>
    </row>
    <row r="40" spans="1:9">
      <c r="C40" s="81">
        <v>4</v>
      </c>
      <c r="D40" s="2936" t="s">
        <v>95</v>
      </c>
      <c r="E40" s="2814">
        <v>2009</v>
      </c>
      <c r="F40" s="2814">
        <v>2010</v>
      </c>
      <c r="G40" s="2695">
        <v>2011</v>
      </c>
      <c r="H40" s="2695" t="s">
        <v>210</v>
      </c>
      <c r="I40" s="2695" t="s">
        <v>211</v>
      </c>
    </row>
    <row r="41" spans="1:9">
      <c r="D41" s="1678" t="s">
        <v>962</v>
      </c>
      <c r="E41" s="2669"/>
      <c r="F41" s="2669"/>
      <c r="G41" s="2669"/>
      <c r="H41" s="2669"/>
      <c r="I41" s="2669"/>
    </row>
    <row r="42" spans="1:9">
      <c r="D42" s="1678" t="s">
        <v>963</v>
      </c>
      <c r="E42" s="2669"/>
      <c r="F42" s="2669"/>
      <c r="G42" s="2669"/>
      <c r="H42" s="2669">
        <v>1</v>
      </c>
      <c r="I42" s="2669"/>
    </row>
    <row r="43" spans="1:9">
      <c r="D43" s="1678" t="s">
        <v>964</v>
      </c>
      <c r="E43" s="2669"/>
      <c r="F43" s="2669"/>
      <c r="G43" s="2669"/>
      <c r="H43" s="2669"/>
      <c r="I43" s="2669"/>
    </row>
    <row r="44" spans="1:9">
      <c r="D44" s="1678" t="s">
        <v>965</v>
      </c>
      <c r="E44" s="2669"/>
      <c r="F44" s="2669"/>
      <c r="G44" s="2669"/>
      <c r="H44" s="2669"/>
      <c r="I44" s="2669"/>
    </row>
    <row r="45" spans="1:9">
      <c r="D45" s="1678" t="s">
        <v>966</v>
      </c>
      <c r="E45" s="2669"/>
      <c r="F45" s="2669"/>
      <c r="G45" s="2669"/>
      <c r="H45" s="2669">
        <v>71</v>
      </c>
      <c r="I45" s="2669"/>
    </row>
    <row r="46" spans="1:9">
      <c r="D46" s="2698" t="s">
        <v>118</v>
      </c>
      <c r="E46" s="2669">
        <f>SUM(E41:E45)</f>
        <v>0</v>
      </c>
      <c r="F46" s="2669">
        <f>SUM(F41:F45)</f>
        <v>0</v>
      </c>
      <c r="G46" s="2669">
        <f>SUM(G41:G45)</f>
        <v>0</v>
      </c>
      <c r="H46" s="2669">
        <f>SUM(H41:H45)</f>
        <v>72</v>
      </c>
      <c r="I46" s="2669">
        <f>SUM(I41:I45)</f>
        <v>0</v>
      </c>
    </row>
    <row r="48" spans="1:9">
      <c r="A48" s="81">
        <v>1</v>
      </c>
      <c r="B48" s="2676" t="s">
        <v>177</v>
      </c>
      <c r="C48" s="312"/>
    </row>
    <row r="49" spans="1:9">
      <c r="C49" s="81">
        <v>5</v>
      </c>
      <c r="D49" s="1738" t="s">
        <v>124</v>
      </c>
      <c r="E49" s="2814">
        <v>2009</v>
      </c>
      <c r="F49" s="2814">
        <v>2010</v>
      </c>
      <c r="G49" s="2695">
        <v>2011</v>
      </c>
      <c r="H49" s="2695" t="s">
        <v>210</v>
      </c>
      <c r="I49" s="2695" t="s">
        <v>211</v>
      </c>
    </row>
    <row r="50" spans="1:9">
      <c r="D50" s="1678" t="s">
        <v>962</v>
      </c>
      <c r="E50" s="2654">
        <v>23</v>
      </c>
      <c r="F50" s="2654">
        <v>22</v>
      </c>
      <c r="G50" s="2654">
        <v>133</v>
      </c>
      <c r="H50" s="2654">
        <v>138</v>
      </c>
      <c r="I50" s="2654"/>
    </row>
    <row r="51" spans="1:9">
      <c r="D51" s="1678" t="s">
        <v>963</v>
      </c>
      <c r="E51" s="2654"/>
      <c r="F51" s="2654"/>
      <c r="G51" s="2654"/>
      <c r="H51" s="2654"/>
      <c r="I51" s="2654"/>
    </row>
    <row r="52" spans="1:9">
      <c r="D52" s="1678" t="s">
        <v>964</v>
      </c>
      <c r="E52" s="2654"/>
      <c r="F52" s="2654"/>
      <c r="G52" s="2654"/>
      <c r="H52" s="2654"/>
      <c r="I52" s="2654"/>
    </row>
    <row r="53" spans="1:9">
      <c r="D53" s="1678" t="s">
        <v>965</v>
      </c>
      <c r="E53" s="2654">
        <v>863</v>
      </c>
      <c r="F53" s="2654">
        <v>824</v>
      </c>
      <c r="G53" s="2654">
        <v>416</v>
      </c>
      <c r="H53" s="2654">
        <v>408</v>
      </c>
      <c r="I53" s="2654"/>
    </row>
    <row r="54" spans="1:9">
      <c r="D54" s="1678" t="s">
        <v>966</v>
      </c>
      <c r="E54" s="2654">
        <v>3199</v>
      </c>
      <c r="F54" s="2654">
        <v>3640</v>
      </c>
      <c r="G54" s="2654">
        <v>3956</v>
      </c>
      <c r="H54" s="2654">
        <v>5197</v>
      </c>
      <c r="I54" s="2654"/>
    </row>
    <row r="55" spans="1:9">
      <c r="D55" s="2698" t="s">
        <v>118</v>
      </c>
      <c r="E55" s="2654">
        <f>SUM(E50:E54)</f>
        <v>4085</v>
      </c>
      <c r="F55" s="2654">
        <f>SUM(F50:F54)</f>
        <v>4486</v>
      </c>
      <c r="G55" s="2654">
        <f>SUM(G50:G54)</f>
        <v>4505</v>
      </c>
      <c r="H55" s="2654">
        <f>SUM(H50:H54)</f>
        <v>5743</v>
      </c>
      <c r="I55" s="2654">
        <f>SUM(I50:I54)</f>
        <v>0</v>
      </c>
    </row>
    <row r="56" spans="1:9">
      <c r="A56" s="81">
        <v>2</v>
      </c>
      <c r="B56" s="2676" t="s">
        <v>178</v>
      </c>
      <c r="C56" s="312"/>
    </row>
    <row r="57" spans="1:9">
      <c r="A57" s="81">
        <v>6</v>
      </c>
      <c r="B57" s="2676" t="s">
        <v>185</v>
      </c>
      <c r="C57" s="312"/>
    </row>
    <row r="58" spans="1:9">
      <c r="C58" s="81">
        <v>6</v>
      </c>
      <c r="D58" s="2936" t="s">
        <v>129</v>
      </c>
      <c r="E58" s="2814">
        <v>2009</v>
      </c>
      <c r="F58" s="2814">
        <v>2010</v>
      </c>
      <c r="G58" s="2695">
        <v>2011</v>
      </c>
      <c r="H58" s="2695" t="s">
        <v>210</v>
      </c>
      <c r="I58" s="2695" t="s">
        <v>211</v>
      </c>
    </row>
    <row r="59" spans="1:9">
      <c r="D59" s="1678" t="s">
        <v>962</v>
      </c>
      <c r="E59" s="2654">
        <v>19586</v>
      </c>
      <c r="F59" s="2654">
        <v>34581</v>
      </c>
      <c r="G59" s="2654">
        <v>41815</v>
      </c>
      <c r="H59" s="2654">
        <v>43198</v>
      </c>
      <c r="I59" s="2654"/>
    </row>
    <row r="60" spans="1:9">
      <c r="D60" s="1678" t="s">
        <v>963</v>
      </c>
      <c r="E60" s="2654">
        <v>1228</v>
      </c>
      <c r="F60" s="2654">
        <v>1217</v>
      </c>
      <c r="G60" s="2654">
        <v>1228</v>
      </c>
      <c r="H60" s="2654">
        <v>1333</v>
      </c>
      <c r="I60" s="2654"/>
    </row>
    <row r="61" spans="1:9">
      <c r="D61" s="1678" t="s">
        <v>964</v>
      </c>
      <c r="E61" s="2654">
        <v>71</v>
      </c>
      <c r="F61" s="2654">
        <v>68</v>
      </c>
      <c r="G61" s="2654">
        <v>85</v>
      </c>
      <c r="H61" s="2654">
        <v>74</v>
      </c>
      <c r="I61" s="2654"/>
    </row>
    <row r="62" spans="1:9">
      <c r="D62" s="1678" t="s">
        <v>965</v>
      </c>
      <c r="E62" s="2654">
        <v>8162</v>
      </c>
      <c r="F62" s="2654">
        <v>6613</v>
      </c>
      <c r="G62" s="2654">
        <v>7384</v>
      </c>
      <c r="H62" s="2654">
        <v>8764</v>
      </c>
      <c r="I62" s="2654"/>
    </row>
    <row r="63" spans="1:9">
      <c r="D63" s="1678" t="s">
        <v>966</v>
      </c>
      <c r="E63" s="2654"/>
      <c r="F63" s="2654"/>
      <c r="G63" s="2654"/>
      <c r="H63" s="2654">
        <v>1413</v>
      </c>
      <c r="I63" s="2654"/>
    </row>
    <row r="64" spans="1:9">
      <c r="D64" s="2698" t="s">
        <v>118</v>
      </c>
      <c r="E64" s="2654">
        <f>SUM(E59:E63)</f>
        <v>29047</v>
      </c>
      <c r="F64" s="2654">
        <f>SUM(F59:F63)</f>
        <v>42479</v>
      </c>
      <c r="G64" s="2654">
        <f>SUM(G59:G63)</f>
        <v>50512</v>
      </c>
      <c r="H64" s="2654">
        <f>SUM(H59:H63)</f>
        <v>54782</v>
      </c>
      <c r="I64" s="2654">
        <f>SUM(I59:I63)</f>
        <v>0</v>
      </c>
    </row>
    <row r="65" spans="1:9">
      <c r="D65" s="315"/>
      <c r="E65" s="109"/>
      <c r="F65" s="109"/>
      <c r="G65" s="109"/>
      <c r="H65" s="109"/>
      <c r="I65" s="109"/>
    </row>
    <row r="66" spans="1:9">
      <c r="A66" s="81">
        <v>7</v>
      </c>
      <c r="B66" s="2676" t="s">
        <v>186</v>
      </c>
      <c r="C66" s="312"/>
    </row>
    <row r="67" spans="1:9">
      <c r="C67" s="81">
        <v>7</v>
      </c>
      <c r="D67" s="2936" t="s">
        <v>130</v>
      </c>
      <c r="E67" s="2814">
        <v>2009</v>
      </c>
      <c r="F67" s="2814">
        <v>2010</v>
      </c>
      <c r="G67" s="2695">
        <v>2011</v>
      </c>
      <c r="H67" s="2695" t="s">
        <v>210</v>
      </c>
      <c r="I67" s="2695" t="s">
        <v>211</v>
      </c>
    </row>
    <row r="68" spans="1:9">
      <c r="D68" s="1678" t="s">
        <v>962</v>
      </c>
      <c r="E68" s="2664">
        <v>50</v>
      </c>
      <c r="F68" s="2664">
        <v>195</v>
      </c>
      <c r="G68" s="2664">
        <v>181</v>
      </c>
      <c r="H68" s="2664">
        <v>199</v>
      </c>
      <c r="I68" s="2664"/>
    </row>
    <row r="69" spans="1:9">
      <c r="D69" s="1678" t="s">
        <v>963</v>
      </c>
      <c r="E69" s="2664">
        <v>28</v>
      </c>
      <c r="F69" s="2664">
        <v>37</v>
      </c>
      <c r="G69" s="2664">
        <v>29</v>
      </c>
      <c r="H69" s="2664">
        <v>46</v>
      </c>
      <c r="I69" s="2664"/>
    </row>
    <row r="70" spans="1:9">
      <c r="D70" s="1678" t="s">
        <v>964</v>
      </c>
      <c r="E70" s="2664">
        <v>8</v>
      </c>
      <c r="F70" s="2664">
        <v>11</v>
      </c>
      <c r="G70" s="2664">
        <v>11</v>
      </c>
      <c r="H70" s="2664">
        <v>9</v>
      </c>
      <c r="I70" s="2664"/>
    </row>
    <row r="71" spans="1:9">
      <c r="D71" s="1678" t="s">
        <v>965</v>
      </c>
      <c r="E71" s="2664">
        <v>73</v>
      </c>
      <c r="F71" s="2664">
        <v>101</v>
      </c>
      <c r="G71" s="2664">
        <v>144</v>
      </c>
      <c r="H71" s="2664">
        <v>213</v>
      </c>
      <c r="I71" s="2664"/>
    </row>
    <row r="72" spans="1:9">
      <c r="D72" s="1678" t="s">
        <v>966</v>
      </c>
      <c r="E72" s="2664">
        <v>866</v>
      </c>
      <c r="F72" s="2664">
        <v>1189</v>
      </c>
      <c r="G72" s="2664">
        <v>1436</v>
      </c>
      <c r="H72" s="2664">
        <v>1802</v>
      </c>
      <c r="I72" s="2664"/>
    </row>
    <row r="73" spans="1:9">
      <c r="D73" s="2698" t="s">
        <v>118</v>
      </c>
      <c r="E73" s="2884">
        <f>SUM(E68:E72)</f>
        <v>1025</v>
      </c>
      <c r="F73" s="2884">
        <f>SUM(F68:F72)</f>
        <v>1533</v>
      </c>
      <c r="G73" s="2884">
        <f>SUM(G68:G72)</f>
        <v>1801</v>
      </c>
      <c r="H73" s="2884">
        <f>SUM(H68:H72)</f>
        <v>2269</v>
      </c>
      <c r="I73" s="2884">
        <f>SUM(I68:I72)</f>
        <v>0</v>
      </c>
    </row>
    <row r="74" spans="1:9">
      <c r="D74" s="315"/>
      <c r="E74" s="109"/>
      <c r="F74" s="109"/>
      <c r="G74" s="109"/>
      <c r="H74" s="109"/>
      <c r="I74" s="109"/>
    </row>
    <row r="75" spans="1:9">
      <c r="A75" s="81">
        <v>8</v>
      </c>
      <c r="B75" s="2676" t="s">
        <v>188</v>
      </c>
      <c r="C75" s="312"/>
    </row>
    <row r="76" spans="1:9">
      <c r="C76" s="81">
        <v>8</v>
      </c>
      <c r="D76" s="2936" t="s">
        <v>132</v>
      </c>
      <c r="E76" s="2814">
        <v>2009</v>
      </c>
      <c r="F76" s="2814">
        <v>2010</v>
      </c>
      <c r="G76" s="2695">
        <v>2011</v>
      </c>
      <c r="H76" s="2695" t="s">
        <v>210</v>
      </c>
      <c r="I76" s="2695" t="s">
        <v>211</v>
      </c>
    </row>
    <row r="77" spans="1:9">
      <c r="D77" s="1678" t="s">
        <v>962</v>
      </c>
      <c r="E77" s="2664">
        <v>69</v>
      </c>
      <c r="F77" s="2664">
        <v>82</v>
      </c>
      <c r="G77" s="2664">
        <v>82</v>
      </c>
      <c r="H77" s="2664">
        <v>575</v>
      </c>
      <c r="I77" s="2664"/>
    </row>
    <row r="78" spans="1:9">
      <c r="D78" s="1678" t="s">
        <v>963</v>
      </c>
      <c r="E78" s="2664">
        <v>103</v>
      </c>
      <c r="F78" s="2664">
        <v>112</v>
      </c>
      <c r="G78" s="2664">
        <v>98</v>
      </c>
      <c r="H78" s="2664">
        <v>151</v>
      </c>
      <c r="I78" s="2664"/>
    </row>
    <row r="79" spans="1:9">
      <c r="D79" s="1678" t="s">
        <v>964</v>
      </c>
      <c r="E79" s="2664">
        <v>11</v>
      </c>
      <c r="F79" s="2664">
        <v>13</v>
      </c>
      <c r="G79" s="2664">
        <v>21</v>
      </c>
      <c r="H79" s="2664">
        <v>18</v>
      </c>
      <c r="I79" s="2664"/>
    </row>
    <row r="80" spans="1:9">
      <c r="D80" s="1678" t="s">
        <v>965</v>
      </c>
      <c r="E80" s="2664">
        <v>552</v>
      </c>
      <c r="F80" s="2664">
        <v>645</v>
      </c>
      <c r="G80" s="2664">
        <v>701</v>
      </c>
      <c r="H80" s="2664">
        <v>808</v>
      </c>
      <c r="I80" s="2664"/>
    </row>
    <row r="81" spans="1:9">
      <c r="D81" s="1678" t="s">
        <v>966</v>
      </c>
      <c r="E81" s="2664">
        <v>1353</v>
      </c>
      <c r="F81" s="2664">
        <v>1700</v>
      </c>
      <c r="G81" s="2664">
        <v>1808</v>
      </c>
      <c r="H81" s="2664">
        <v>2510</v>
      </c>
      <c r="I81" s="2664"/>
    </row>
    <row r="82" spans="1:9">
      <c r="D82" s="2698" t="s">
        <v>118</v>
      </c>
      <c r="E82" s="2664">
        <f>SUM(E77:E81)</f>
        <v>2088</v>
      </c>
      <c r="F82" s="2664">
        <f>SUM(F77:F81)</f>
        <v>2552</v>
      </c>
      <c r="G82" s="2664">
        <f>SUM(G77:G81)</f>
        <v>2710</v>
      </c>
      <c r="H82" s="2664">
        <f>SUM(H77:H81)</f>
        <v>4062</v>
      </c>
      <c r="I82" s="2664">
        <f>SUM(I77:I81)</f>
        <v>0</v>
      </c>
    </row>
    <row r="83" spans="1:9">
      <c r="D83" s="315"/>
      <c r="E83" s="109"/>
      <c r="F83" s="109"/>
      <c r="G83" s="109"/>
      <c r="H83" s="109"/>
      <c r="I83" s="109"/>
    </row>
    <row r="84" spans="1:9">
      <c r="A84" s="81">
        <v>9</v>
      </c>
      <c r="B84" s="2676" t="s">
        <v>189</v>
      </c>
      <c r="C84" s="312"/>
    </row>
    <row r="85" spans="1:9">
      <c r="C85" s="81">
        <v>9</v>
      </c>
      <c r="D85" s="2936" t="s">
        <v>133</v>
      </c>
      <c r="E85" s="2814">
        <v>2009</v>
      </c>
      <c r="F85" s="2814">
        <v>2010</v>
      </c>
      <c r="G85" s="2695">
        <v>2011</v>
      </c>
      <c r="H85" s="2695" t="s">
        <v>210</v>
      </c>
      <c r="I85" s="2695" t="s">
        <v>211</v>
      </c>
    </row>
    <row r="86" spans="1:9">
      <c r="D86" s="1678" t="s">
        <v>962</v>
      </c>
      <c r="E86" s="2664">
        <v>1298</v>
      </c>
      <c r="F86" s="2664">
        <v>1152</v>
      </c>
      <c r="G86" s="2664">
        <v>1425</v>
      </c>
      <c r="H86" s="2664">
        <v>1545</v>
      </c>
      <c r="I86" s="2664"/>
    </row>
    <row r="87" spans="1:9">
      <c r="D87" s="1678" t="s">
        <v>963</v>
      </c>
      <c r="E87" s="2664">
        <v>52</v>
      </c>
      <c r="F87" s="2664">
        <v>274</v>
      </c>
      <c r="G87" s="2937">
        <v>316</v>
      </c>
      <c r="H87" s="2937">
        <v>313</v>
      </c>
      <c r="I87" s="2937"/>
    </row>
    <row r="88" spans="1:9">
      <c r="D88" s="1678" t="s">
        <v>964</v>
      </c>
      <c r="E88" s="2664"/>
      <c r="F88" s="2664"/>
      <c r="G88" s="2884"/>
      <c r="H88" s="2884"/>
      <c r="I88" s="2884"/>
    </row>
    <row r="89" spans="1:9">
      <c r="D89" s="1678" t="s">
        <v>965</v>
      </c>
      <c r="E89" s="2664"/>
      <c r="F89" s="2664"/>
      <c r="G89" s="2884"/>
      <c r="H89" s="2884"/>
      <c r="I89" s="2884"/>
    </row>
    <row r="90" spans="1:9">
      <c r="D90" s="1678" t="s">
        <v>966</v>
      </c>
      <c r="E90" s="2664">
        <v>2165</v>
      </c>
      <c r="F90" s="2664">
        <v>6972</v>
      </c>
      <c r="G90" s="2937">
        <v>7168</v>
      </c>
      <c r="H90" s="2937">
        <v>9955</v>
      </c>
      <c r="I90" s="2937"/>
    </row>
    <row r="91" spans="1:9">
      <c r="D91" s="2698" t="s">
        <v>118</v>
      </c>
      <c r="E91" s="2664">
        <f>SUM(E86:E90)</f>
        <v>3515</v>
      </c>
      <c r="F91" s="2664">
        <f>SUM(F86:F90)</f>
        <v>8398</v>
      </c>
      <c r="G91" s="2664">
        <f>SUM(G86:G90)</f>
        <v>8909</v>
      </c>
      <c r="H91" s="2664">
        <f>SUM(H86:H90)</f>
        <v>11813</v>
      </c>
      <c r="I91" s="2664">
        <f>SUM(I86:I90)</f>
        <v>0</v>
      </c>
    </row>
    <row r="92" spans="1:9">
      <c r="D92" s="315"/>
      <c r="E92" s="109"/>
      <c r="F92" s="109"/>
      <c r="G92" s="109"/>
      <c r="H92" s="109"/>
      <c r="I92" s="109"/>
    </row>
    <row r="93" spans="1:9">
      <c r="A93" s="81">
        <v>10</v>
      </c>
      <c r="B93" s="2676" t="s">
        <v>190</v>
      </c>
      <c r="C93" s="312"/>
    </row>
    <row r="94" spans="1:9">
      <c r="C94" s="81">
        <v>10</v>
      </c>
      <c r="D94" s="2936" t="s">
        <v>106</v>
      </c>
      <c r="E94" s="2814">
        <v>2009</v>
      </c>
      <c r="F94" s="2814">
        <v>2010</v>
      </c>
      <c r="G94" s="2695">
        <v>2011</v>
      </c>
      <c r="H94" s="2695" t="s">
        <v>210</v>
      </c>
      <c r="I94" s="2695" t="s">
        <v>211</v>
      </c>
    </row>
    <row r="95" spans="1:9">
      <c r="D95" s="1678" t="s">
        <v>962</v>
      </c>
      <c r="E95" s="2664">
        <v>63</v>
      </c>
      <c r="F95" s="2664">
        <v>46</v>
      </c>
      <c r="G95" s="2664">
        <v>31</v>
      </c>
      <c r="H95" s="2664">
        <v>46</v>
      </c>
      <c r="I95" s="2664"/>
    </row>
    <row r="96" spans="1:9">
      <c r="D96" s="1678" t="s">
        <v>963</v>
      </c>
      <c r="E96" s="2664">
        <v>82</v>
      </c>
      <c r="F96" s="2664">
        <v>32</v>
      </c>
      <c r="G96" s="2664">
        <v>25</v>
      </c>
      <c r="H96" s="2664">
        <v>26</v>
      </c>
      <c r="I96" s="2664"/>
    </row>
    <row r="97" spans="1:9">
      <c r="D97" s="1678" t="s">
        <v>964</v>
      </c>
      <c r="E97" s="2664">
        <v>0</v>
      </c>
      <c r="F97" s="2664">
        <v>0</v>
      </c>
      <c r="G97" s="2664">
        <v>0</v>
      </c>
      <c r="H97" s="2664">
        <v>0</v>
      </c>
      <c r="I97" s="2664"/>
    </row>
    <row r="98" spans="1:9">
      <c r="D98" s="1678" t="s">
        <v>965</v>
      </c>
      <c r="E98" s="2664">
        <v>98</v>
      </c>
      <c r="F98" s="2664">
        <v>111</v>
      </c>
      <c r="G98" s="2664">
        <v>180</v>
      </c>
      <c r="H98" s="2664">
        <v>215</v>
      </c>
      <c r="I98" s="2664"/>
    </row>
    <row r="99" spans="1:9">
      <c r="D99" s="1678" t="s">
        <v>966</v>
      </c>
      <c r="E99" s="2664"/>
      <c r="F99" s="2664"/>
      <c r="G99" s="2664"/>
      <c r="H99" s="2664"/>
      <c r="I99" s="2664"/>
    </row>
    <row r="100" spans="1:9">
      <c r="D100" s="2698" t="s">
        <v>118</v>
      </c>
      <c r="E100" s="2664">
        <f>SUM(E95:E99)</f>
        <v>243</v>
      </c>
      <c r="F100" s="2664">
        <f>SUM(F95:F99)</f>
        <v>189</v>
      </c>
      <c r="G100" s="2664">
        <f>SUM(G95:G99)</f>
        <v>236</v>
      </c>
      <c r="H100" s="2664">
        <f>SUM(H95:H99)</f>
        <v>287</v>
      </c>
      <c r="I100" s="2664">
        <f>SUM(I95:I99)</f>
        <v>0</v>
      </c>
    </row>
    <row r="101" spans="1:9">
      <c r="D101" s="315"/>
      <c r="E101" s="109"/>
      <c r="F101" s="109"/>
      <c r="G101" s="109"/>
      <c r="H101" s="109"/>
      <c r="I101" s="109"/>
    </row>
    <row r="102" spans="1:9">
      <c r="A102" s="81">
        <v>11</v>
      </c>
      <c r="B102" s="2676" t="s">
        <v>191</v>
      </c>
      <c r="C102" s="312"/>
    </row>
    <row r="103" spans="1:9">
      <c r="C103" s="81">
        <v>11</v>
      </c>
      <c r="D103" s="2936" t="s">
        <v>134</v>
      </c>
      <c r="E103" s="2814">
        <v>2009</v>
      </c>
      <c r="F103" s="2814">
        <v>2010</v>
      </c>
      <c r="G103" s="2695">
        <v>2011</v>
      </c>
      <c r="H103" s="2695" t="s">
        <v>210</v>
      </c>
      <c r="I103" s="2695" t="s">
        <v>211</v>
      </c>
    </row>
    <row r="104" spans="1:9">
      <c r="D104" s="1678" t="s">
        <v>962</v>
      </c>
      <c r="E104" s="2884"/>
      <c r="F104" s="2884"/>
      <c r="G104" s="2884"/>
      <c r="H104" s="2884"/>
      <c r="I104" s="2884"/>
    </row>
    <row r="105" spans="1:9">
      <c r="D105" s="1678" t="s">
        <v>963</v>
      </c>
      <c r="E105" s="2664"/>
      <c r="F105" s="2664"/>
      <c r="G105" s="2664">
        <v>14</v>
      </c>
      <c r="H105" s="2664">
        <v>62</v>
      </c>
      <c r="I105" s="2664"/>
    </row>
    <row r="106" spans="1:9">
      <c r="D106" s="1678" t="s">
        <v>964</v>
      </c>
      <c r="E106" s="2664"/>
      <c r="F106" s="2664"/>
      <c r="G106" s="2664"/>
      <c r="H106" s="2664">
        <v>2</v>
      </c>
      <c r="I106" s="2664"/>
    </row>
    <row r="107" spans="1:9">
      <c r="D107" s="1678" t="s">
        <v>965</v>
      </c>
      <c r="E107" s="2664"/>
      <c r="F107" s="2664"/>
      <c r="G107" s="2664"/>
      <c r="H107" s="2664"/>
      <c r="I107" s="2664"/>
    </row>
    <row r="108" spans="1:9">
      <c r="D108" s="1678" t="s">
        <v>966</v>
      </c>
      <c r="E108" s="2664"/>
      <c r="F108" s="2664"/>
      <c r="G108" s="2664"/>
      <c r="H108" s="2664"/>
      <c r="I108" s="2664"/>
    </row>
    <row r="109" spans="1:9">
      <c r="D109" s="2698" t="s">
        <v>118</v>
      </c>
      <c r="E109" s="2664">
        <f>SUM(E104:E108)</f>
        <v>0</v>
      </c>
      <c r="F109" s="2664">
        <f>SUM(F104:F108)</f>
        <v>0</v>
      </c>
      <c r="G109" s="2664">
        <f>SUM(G104:G108)</f>
        <v>14</v>
      </c>
      <c r="H109" s="2664">
        <f>SUM(H104:H108)</f>
        <v>64</v>
      </c>
      <c r="I109" s="2664">
        <f>SUM(I104:I108)</f>
        <v>0</v>
      </c>
    </row>
    <row r="110" spans="1:9">
      <c r="D110" s="315"/>
      <c r="E110" s="109"/>
      <c r="F110" s="109"/>
      <c r="G110" s="109"/>
      <c r="H110" s="109"/>
      <c r="I110" s="109"/>
    </row>
    <row r="111" spans="1:9">
      <c r="A111" s="81">
        <v>12</v>
      </c>
      <c r="B111" s="2676" t="s">
        <v>192</v>
      </c>
      <c r="C111" s="312"/>
    </row>
    <row r="112" spans="1:9">
      <c r="C112" s="81">
        <v>12</v>
      </c>
      <c r="D112" s="2936" t="s">
        <v>109</v>
      </c>
      <c r="E112" s="2814">
        <v>2009</v>
      </c>
      <c r="F112" s="2814">
        <v>2010</v>
      </c>
      <c r="G112" s="2695">
        <v>2011</v>
      </c>
      <c r="H112" s="2695" t="s">
        <v>210</v>
      </c>
      <c r="I112" s="2695" t="s">
        <v>211</v>
      </c>
    </row>
    <row r="113" spans="3:9">
      <c r="D113" s="1678" t="s">
        <v>962</v>
      </c>
      <c r="E113" s="2788"/>
      <c r="F113" s="2788"/>
      <c r="G113" s="2788"/>
      <c r="H113" s="2788"/>
      <c r="I113" s="2788"/>
    </row>
    <row r="114" spans="3:9">
      <c r="D114" s="1678" t="s">
        <v>963</v>
      </c>
      <c r="E114" s="2934">
        <v>5</v>
      </c>
      <c r="F114" s="2934">
        <v>3</v>
      </c>
      <c r="G114" s="2934">
        <v>8</v>
      </c>
      <c r="H114" s="2934">
        <v>12</v>
      </c>
      <c r="I114" s="2934"/>
    </row>
    <row r="115" spans="3:9">
      <c r="D115" s="1678" t="s">
        <v>964</v>
      </c>
      <c r="E115" s="2934">
        <v>1</v>
      </c>
      <c r="F115" s="2934">
        <v>2</v>
      </c>
      <c r="G115" s="2934">
        <v>1</v>
      </c>
      <c r="H115" s="2934">
        <v>2</v>
      </c>
      <c r="I115" s="2934"/>
    </row>
    <row r="116" spans="3:9">
      <c r="D116" s="1678" t="s">
        <v>965</v>
      </c>
      <c r="E116" s="2934">
        <v>22</v>
      </c>
      <c r="F116" s="2934">
        <v>18</v>
      </c>
      <c r="G116" s="2934">
        <v>25</v>
      </c>
      <c r="H116" s="2934">
        <v>59</v>
      </c>
      <c r="I116" s="2934"/>
    </row>
    <row r="117" spans="3:9">
      <c r="D117" s="1678" t="s">
        <v>966</v>
      </c>
      <c r="E117" s="2788"/>
      <c r="F117" s="2788"/>
      <c r="G117" s="2788"/>
      <c r="H117" s="2788"/>
      <c r="I117" s="2788"/>
    </row>
    <row r="118" spans="3:9">
      <c r="D118" s="2698" t="s">
        <v>118</v>
      </c>
      <c r="E118" s="2664">
        <f>SUM(E113:E117)</f>
        <v>28</v>
      </c>
      <c r="F118" s="2664">
        <f>SUM(F113:F117)</f>
        <v>23</v>
      </c>
      <c r="G118" s="2664">
        <f>SUM(G113:G117)</f>
        <v>34</v>
      </c>
      <c r="H118" s="2664">
        <f>SUM(H113:H117)</f>
        <v>73</v>
      </c>
      <c r="I118" s="2664">
        <f>SUM(I113:I117)</f>
        <v>0</v>
      </c>
    </row>
    <row r="119" spans="3:9">
      <c r="D119" s="315"/>
      <c r="E119" s="109"/>
      <c r="F119" s="109"/>
      <c r="G119" s="109"/>
      <c r="H119" s="109"/>
      <c r="I119" s="109"/>
    </row>
    <row r="120" spans="3:9">
      <c r="D120" s="315"/>
      <c r="E120" s="109"/>
      <c r="F120" s="109"/>
      <c r="G120" s="109"/>
      <c r="H120" s="109"/>
      <c r="I120" s="109"/>
    </row>
    <row r="121" spans="3:9">
      <c r="C121" s="81">
        <v>13</v>
      </c>
      <c r="D121" s="2936" t="s">
        <v>135</v>
      </c>
      <c r="E121" s="2814">
        <v>2009</v>
      </c>
      <c r="F121" s="2814">
        <v>2010</v>
      </c>
      <c r="G121" s="2695">
        <v>2011</v>
      </c>
      <c r="H121" s="2695" t="s">
        <v>210</v>
      </c>
      <c r="I121" s="2695" t="s">
        <v>211</v>
      </c>
    </row>
    <row r="122" spans="3:9">
      <c r="D122" s="1678" t="s">
        <v>962</v>
      </c>
      <c r="E122" s="2669"/>
      <c r="F122" s="2669"/>
      <c r="G122" s="2669"/>
      <c r="H122" s="2669"/>
      <c r="I122" s="2669"/>
    </row>
    <row r="123" spans="3:9">
      <c r="D123" s="1678" t="s">
        <v>963</v>
      </c>
      <c r="E123" s="2669">
        <v>9</v>
      </c>
      <c r="F123" s="2669">
        <v>21</v>
      </c>
      <c r="G123" s="2669">
        <v>31</v>
      </c>
      <c r="H123" s="2669">
        <v>59</v>
      </c>
      <c r="I123" s="2669"/>
    </row>
    <row r="124" spans="3:9">
      <c r="D124" s="1678" t="s">
        <v>964</v>
      </c>
      <c r="E124" s="2669"/>
      <c r="F124" s="2669"/>
      <c r="G124" s="2669"/>
      <c r="H124" s="2669">
        <v>11</v>
      </c>
      <c r="I124" s="2669"/>
    </row>
    <row r="125" spans="3:9">
      <c r="D125" s="1678" t="s">
        <v>965</v>
      </c>
      <c r="E125" s="2669">
        <v>31</v>
      </c>
      <c r="F125" s="2669">
        <v>114</v>
      </c>
      <c r="G125" s="2669">
        <v>208</v>
      </c>
      <c r="H125" s="2669">
        <v>139</v>
      </c>
      <c r="I125" s="2669"/>
    </row>
    <row r="126" spans="3:9">
      <c r="D126" s="1678" t="s">
        <v>966</v>
      </c>
      <c r="E126" s="2669"/>
      <c r="F126" s="2669"/>
      <c r="G126" s="2669"/>
      <c r="H126" s="2669"/>
      <c r="I126" s="2669"/>
    </row>
    <row r="127" spans="3:9">
      <c r="D127" s="2698" t="s">
        <v>118</v>
      </c>
      <c r="E127" s="2669">
        <f>SUM(E122:E126)</f>
        <v>40</v>
      </c>
      <c r="F127" s="2669">
        <f>SUM(F122:F126)</f>
        <v>135</v>
      </c>
      <c r="G127" s="2669">
        <f>SUM(G122:G126)</f>
        <v>239</v>
      </c>
      <c r="H127" s="2669">
        <f>SUM(H122:H126)</f>
        <v>209</v>
      </c>
      <c r="I127" s="2669">
        <f>SUM(I122:I126)</f>
        <v>0</v>
      </c>
    </row>
    <row r="128" spans="3:9">
      <c r="D128" s="315"/>
      <c r="E128" s="109"/>
      <c r="F128" s="109"/>
      <c r="G128" s="109"/>
      <c r="H128" s="109"/>
      <c r="I128" s="109"/>
    </row>
    <row r="129" spans="1:9">
      <c r="A129" s="81">
        <v>13</v>
      </c>
      <c r="B129" s="2676" t="s">
        <v>195</v>
      </c>
      <c r="C129" s="312"/>
    </row>
    <row r="130" spans="1:9">
      <c r="C130" s="81">
        <v>14</v>
      </c>
      <c r="D130" s="2936" t="s">
        <v>115</v>
      </c>
      <c r="E130" s="2814">
        <v>2009</v>
      </c>
      <c r="F130" s="2814">
        <v>2010</v>
      </c>
      <c r="G130" s="2695">
        <v>2011</v>
      </c>
      <c r="H130" s="2695" t="s">
        <v>210</v>
      </c>
      <c r="I130" s="2695" t="s">
        <v>211</v>
      </c>
    </row>
    <row r="131" spans="1:9">
      <c r="D131" s="1678" t="s">
        <v>962</v>
      </c>
      <c r="E131" s="2669">
        <v>28532</v>
      </c>
      <c r="F131" s="2669">
        <v>41103</v>
      </c>
      <c r="G131" s="2669">
        <v>41422</v>
      </c>
      <c r="H131" s="2669">
        <v>44286</v>
      </c>
      <c r="I131" s="2669"/>
    </row>
    <row r="132" spans="1:9">
      <c r="D132" s="1678" t="s">
        <v>963</v>
      </c>
      <c r="E132" s="2669">
        <v>2008</v>
      </c>
      <c r="F132" s="2669">
        <v>2456</v>
      </c>
      <c r="G132" s="2669">
        <v>1800</v>
      </c>
      <c r="H132" s="2669">
        <v>1615</v>
      </c>
      <c r="I132" s="2669"/>
    </row>
    <row r="133" spans="1:9">
      <c r="D133" s="1678" t="s">
        <v>964</v>
      </c>
      <c r="E133" s="2669">
        <v>259</v>
      </c>
      <c r="F133" s="2669">
        <v>458</v>
      </c>
      <c r="G133" s="2669">
        <v>379</v>
      </c>
      <c r="H133" s="2669">
        <v>376</v>
      </c>
      <c r="I133" s="2669"/>
    </row>
    <row r="134" spans="1:9">
      <c r="D134" s="1678" t="s">
        <v>965</v>
      </c>
      <c r="E134" s="2669">
        <v>3056</v>
      </c>
      <c r="F134" s="2669">
        <v>3778</v>
      </c>
      <c r="G134" s="2669">
        <v>3338</v>
      </c>
      <c r="H134" s="2669">
        <v>3334</v>
      </c>
      <c r="I134" s="2669"/>
    </row>
    <row r="135" spans="1:9">
      <c r="D135" s="1678" t="s">
        <v>966</v>
      </c>
      <c r="E135" s="2669">
        <v>27147</v>
      </c>
      <c r="F135" s="2669">
        <v>24916</v>
      </c>
      <c r="G135" s="2669">
        <v>27151</v>
      </c>
      <c r="H135" s="2669">
        <v>28582</v>
      </c>
      <c r="I135" s="2669"/>
    </row>
    <row r="136" spans="1:9">
      <c r="D136" s="2698" t="s">
        <v>118</v>
      </c>
      <c r="E136" s="2669">
        <f>SUM(E131:E135)</f>
        <v>61002</v>
      </c>
      <c r="F136" s="2669">
        <f>SUM(F131:F135)</f>
        <v>72711</v>
      </c>
      <c r="G136" s="2669">
        <f>SUM(G131:G135)</f>
        <v>74090</v>
      </c>
      <c r="H136" s="2669">
        <f>SUM(H131:H135)</f>
        <v>78193</v>
      </c>
      <c r="I136" s="2669">
        <f>SUM(I131:I135)</f>
        <v>0</v>
      </c>
    </row>
    <row r="137" spans="1:9">
      <c r="A137" s="81">
        <v>14</v>
      </c>
      <c r="B137" s="2676" t="s">
        <v>196</v>
      </c>
      <c r="C137" s="312"/>
    </row>
    <row r="138" spans="1:9">
      <c r="A138" s="81">
        <v>15</v>
      </c>
      <c r="B138" s="2676" t="s">
        <v>197</v>
      </c>
      <c r="C138" s="312"/>
    </row>
    <row r="139" spans="1:9">
      <c r="C139" s="81">
        <v>15</v>
      </c>
      <c r="D139" s="2936" t="s">
        <v>781</v>
      </c>
      <c r="E139" s="2814">
        <v>2009</v>
      </c>
      <c r="F139" s="2814">
        <v>2010</v>
      </c>
      <c r="G139" s="2695">
        <v>2011</v>
      </c>
      <c r="H139" s="2695" t="s">
        <v>210</v>
      </c>
      <c r="I139" s="2695" t="s">
        <v>211</v>
      </c>
    </row>
    <row r="140" spans="1:9">
      <c r="D140" s="1678" t="s">
        <v>962</v>
      </c>
      <c r="E140" s="2657">
        <v>2928</v>
      </c>
      <c r="F140" s="2657">
        <v>3376</v>
      </c>
      <c r="G140" s="2657">
        <v>4149</v>
      </c>
      <c r="H140" s="2657">
        <v>5195</v>
      </c>
      <c r="I140" s="2657"/>
    </row>
    <row r="141" spans="1:9">
      <c r="D141" s="1678" t="s">
        <v>963</v>
      </c>
      <c r="E141" s="2657">
        <v>353</v>
      </c>
      <c r="F141" s="2657">
        <v>284</v>
      </c>
      <c r="G141" s="2657">
        <v>298</v>
      </c>
      <c r="H141" s="2657">
        <v>345</v>
      </c>
      <c r="I141" s="2657"/>
    </row>
    <row r="142" spans="1:9">
      <c r="D142" s="1678" t="s">
        <v>964</v>
      </c>
      <c r="E142" s="2657">
        <v>21</v>
      </c>
      <c r="F142" s="2657">
        <v>25</v>
      </c>
      <c r="G142" s="2657">
        <v>33</v>
      </c>
      <c r="H142" s="2657">
        <v>40</v>
      </c>
      <c r="I142" s="2657"/>
    </row>
    <row r="143" spans="1:9">
      <c r="D143" s="1678" t="s">
        <v>965</v>
      </c>
      <c r="E143" s="2657">
        <v>959</v>
      </c>
      <c r="F143" s="2657">
        <v>706</v>
      </c>
      <c r="G143" s="2657">
        <v>853</v>
      </c>
      <c r="H143" s="2657">
        <v>1100</v>
      </c>
      <c r="I143" s="2657"/>
    </row>
    <row r="144" spans="1:9">
      <c r="D144" s="1678" t="s">
        <v>966</v>
      </c>
      <c r="E144" s="2657"/>
      <c r="F144" s="2657"/>
      <c r="G144" s="2657"/>
      <c r="H144" s="2657"/>
      <c r="I144" s="2657"/>
    </row>
    <row r="145" spans="4:9">
      <c r="D145" s="2698" t="s">
        <v>118</v>
      </c>
      <c r="E145" s="2669">
        <f>SUM(E140:E144)</f>
        <v>4261</v>
      </c>
      <c r="F145" s="2669">
        <f>SUM(F140:F144)</f>
        <v>4391</v>
      </c>
      <c r="G145" s="2669">
        <f>SUM(G140:G144)</f>
        <v>5333</v>
      </c>
      <c r="H145" s="2669">
        <f>SUM(H140:H144)</f>
        <v>6680</v>
      </c>
      <c r="I145" s="2669">
        <f>SUM(I140:I144)</f>
        <v>0</v>
      </c>
    </row>
  </sheetData>
  <customSheetViews>
    <customSheetView guid="{2ACFE167-4169-43A6-9AB2-59D5A2DA2DB4}" showPageBreaks="1" printArea="1" hiddenColumns="1" state="hidden" topLeftCell="C1">
      <selection activeCell="H83" sqref="H83"/>
      <rowBreaks count="2" manualBreakCount="2">
        <brk id="64" max="8" man="1"/>
        <brk id="127" max="8" man="1"/>
      </rowBreaks>
      <pageMargins left="0" right="0" top="0" bottom="0" header="0" footer="0"/>
      <pageSetup scale="71" orientation="portrait" r:id="rId1"/>
    </customSheetView>
    <customSheetView guid="{967E0446-E234-427F-8E57-7FE287052E2E}" showPageBreaks="1" printArea="1" hiddenColumns="1" state="hidden" topLeftCell="C1">
      <selection activeCell="H83" sqref="H83"/>
      <rowBreaks count="2" manualBreakCount="2">
        <brk id="64" max="8" man="1"/>
        <brk id="127" max="8" man="1"/>
      </rowBreaks>
      <pageMargins left="0" right="0" top="0" bottom="0" header="0" footer="0"/>
      <pageSetup scale="71" orientation="portrait" r:id="rId2"/>
    </customSheetView>
    <customSheetView guid="{B2E1A0C6-5BA1-4CF1-B412-16D81FCDF11F}" showPageBreaks="1" printArea="1" hiddenColumns="1" state="hidden" topLeftCell="C1">
      <selection activeCell="H83" sqref="H83"/>
      <rowBreaks count="2" manualBreakCount="2">
        <brk id="64" max="8" man="1"/>
        <brk id="127" max="8" man="1"/>
      </rowBreaks>
      <pageMargins left="0" right="0" top="0" bottom="0" header="0" footer="0"/>
      <pageSetup scale="71" orientation="portrait" r:id="rId3"/>
    </customSheetView>
    <customSheetView guid="{46F31544-8E6F-41C5-8628-1D6EE074AF15}" hiddenColumns="1" state="hidden" topLeftCell="C1">
      <selection activeCell="H83" sqref="H83"/>
      <rowBreaks count="2" manualBreakCount="2">
        <brk id="64" max="8" man="1"/>
        <brk id="127" max="8" man="1"/>
      </rowBreaks>
      <pageMargins left="0" right="0" top="0" bottom="0" header="0" footer="0"/>
      <pageSetup scale="71" orientation="portrait" r:id="rId4"/>
    </customSheetView>
    <customSheetView guid="{E82B35BE-4719-4C53-A9EF-1CC6F153A6F3}" showPageBreaks="1" printArea="1" hiddenColumns="1" topLeftCell="C1">
      <selection activeCell="D31" sqref="D31"/>
      <rowBreaks count="2" manualBreakCount="2">
        <brk id="64" max="8" man="1"/>
        <brk id="127" max="8" man="1"/>
      </rowBreaks>
      <pageMargins left="0" right="0" top="0" bottom="0" header="0" footer="0"/>
      <pageSetup scale="71" orientation="portrait" r:id="rId5"/>
    </customSheetView>
    <customSheetView guid="{B1E1B596-A9A1-411D-A882-A48CB025B978}" showPageBreaks="1" printArea="1" hiddenColumns="1" state="hidden" topLeftCell="C1">
      <selection activeCell="H83" sqref="H83"/>
      <rowBreaks count="2" manualBreakCount="2">
        <brk id="64" max="8" man="1"/>
        <brk id="127" max="8" man="1"/>
      </rowBreaks>
      <pageMargins left="0" right="0" top="0" bottom="0" header="0" footer="0"/>
      <pageSetup scale="71" orientation="portrait" r:id="rId6"/>
    </customSheetView>
    <customSheetView guid="{5E394B0B-7867-4722-9497-A93AB2A9A773}" showPageBreaks="1" printArea="1" hiddenColumns="1" state="hidden" topLeftCell="C1">
      <selection activeCell="H83" sqref="H83"/>
      <rowBreaks count="2" manualBreakCount="2">
        <brk id="64" max="8" man="1"/>
        <brk id="127" max="8" man="1"/>
      </rowBreaks>
      <pageMargins left="0" right="0" top="0" bottom="0" header="0" footer="0"/>
      <pageSetup scale="71" orientation="portrait" r:id="rId7"/>
    </customSheetView>
  </customSheetViews>
  <pageMargins left="0.7" right="0.7" top="0.75" bottom="0.75" header="0.3" footer="0.3"/>
  <pageSetup scale="71" orientation="portrait" r:id="rId8"/>
  <rowBreaks count="2" manualBreakCount="2">
    <brk id="64" max="8" man="1"/>
    <brk id="127" max="8" man="1"/>
  </rowBreaks>
  <legacyDrawing r:id="rId9"/>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Sheet1">
    <tabColor rgb="FFFFC000"/>
  </sheetPr>
  <dimension ref="A1:AE171"/>
  <sheetViews>
    <sheetView workbookViewId="0">
      <pane xSplit="2" ySplit="5" topLeftCell="C144" activePane="bottomRight" state="frozen"/>
      <selection pane="bottomRight" activeCell="J170" sqref="J170"/>
      <selection pane="bottomLeft" activeCell="A6" sqref="A6"/>
      <selection pane="topRight" activeCell="C1" sqref="C1"/>
    </sheetView>
  </sheetViews>
  <sheetFormatPr defaultRowHeight="14.45"/>
  <cols>
    <col min="1" max="1" width="5.140625" customWidth="1"/>
    <col min="2" max="2" width="19" customWidth="1"/>
    <col min="3" max="8" width="13.140625" customWidth="1"/>
    <col min="9" max="11" width="12.42578125" customWidth="1"/>
    <col min="12" max="12" width="12" customWidth="1"/>
    <col min="13" max="13" width="11.85546875" customWidth="1"/>
    <col min="14" max="14" width="12.7109375" customWidth="1"/>
    <col min="15" max="17" width="10.42578125" customWidth="1"/>
    <col min="18" max="20" width="13.140625" customWidth="1"/>
  </cols>
  <sheetData>
    <row r="1" spans="1:31">
      <c r="B1" s="150" t="s">
        <v>615</v>
      </c>
    </row>
    <row r="2" spans="1:31">
      <c r="B2" s="150"/>
    </row>
    <row r="3" spans="1:31" ht="15" customHeight="1">
      <c r="B3" s="2725" t="s">
        <v>850</v>
      </c>
    </row>
    <row r="4" spans="1:31">
      <c r="B4" s="3697" t="s">
        <v>730</v>
      </c>
      <c r="C4" s="3699" t="s">
        <v>118</v>
      </c>
      <c r="D4" s="3700"/>
      <c r="E4" s="3701"/>
      <c r="F4" s="3702" t="s">
        <v>436</v>
      </c>
      <c r="G4" s="3703"/>
      <c r="H4" s="3704"/>
      <c r="I4" s="3694" t="s">
        <v>437</v>
      </c>
      <c r="J4" s="3695"/>
      <c r="K4" s="3696"/>
      <c r="L4" s="3705" t="s">
        <v>438</v>
      </c>
      <c r="M4" s="3706"/>
      <c r="N4" s="3707"/>
      <c r="O4" s="3694" t="s">
        <v>722</v>
      </c>
      <c r="P4" s="3695"/>
      <c r="Q4" s="3696"/>
      <c r="R4" s="3694" t="s">
        <v>440</v>
      </c>
      <c r="S4" s="3695"/>
      <c r="T4" s="3696"/>
    </row>
    <row r="5" spans="1:31">
      <c r="B5" s="3698"/>
      <c r="C5" s="2938" t="s">
        <v>975</v>
      </c>
      <c r="D5" s="2938" t="s">
        <v>976</v>
      </c>
      <c r="E5" s="2938" t="s">
        <v>977</v>
      </c>
      <c r="F5" s="2939" t="s">
        <v>975</v>
      </c>
      <c r="G5" s="2939" t="s">
        <v>976</v>
      </c>
      <c r="H5" s="2939" t="s">
        <v>977</v>
      </c>
      <c r="I5" s="2521" t="s">
        <v>975</v>
      </c>
      <c r="J5" s="2521" t="s">
        <v>976</v>
      </c>
      <c r="K5" s="2521" t="s">
        <v>977</v>
      </c>
      <c r="L5" s="2870" t="s">
        <v>975</v>
      </c>
      <c r="M5" s="2870" t="s">
        <v>976</v>
      </c>
      <c r="N5" s="2870" t="s">
        <v>977</v>
      </c>
      <c r="O5" s="2521" t="s">
        <v>975</v>
      </c>
      <c r="P5" s="2521" t="s">
        <v>976</v>
      </c>
      <c r="Q5" s="2521" t="s">
        <v>977</v>
      </c>
      <c r="R5" s="2521" t="s">
        <v>975</v>
      </c>
      <c r="S5" s="2521" t="s">
        <v>976</v>
      </c>
      <c r="T5" s="2521" t="s">
        <v>977</v>
      </c>
    </row>
    <row r="6" spans="1:31">
      <c r="A6" s="58">
        <v>1</v>
      </c>
      <c r="B6" s="2553" t="s">
        <v>177</v>
      </c>
      <c r="C6" s="2940">
        <f t="shared" ref="C6:E8" si="0">+F6+I6+L6+O6+R6</f>
        <v>22312</v>
      </c>
      <c r="D6" s="2940">
        <f t="shared" si="0"/>
        <v>10427</v>
      </c>
      <c r="E6" s="2940">
        <f t="shared" si="0"/>
        <v>30041</v>
      </c>
      <c r="F6" s="2941">
        <f>+'[15]Sheet 2 - General Insurance'!$C$10</f>
        <v>1107</v>
      </c>
      <c r="G6" s="2941">
        <f>+'[15]Sheet 2 - General Insurance'!$C$11</f>
        <v>1488</v>
      </c>
      <c r="H6" s="2941">
        <f>+'[15]Sheet 2 - General Insurance'!$C$15</f>
        <v>2406</v>
      </c>
      <c r="I6" s="2942">
        <f>+'[15]Sheet 2 - General Insurance'!$D$10</f>
        <v>6109</v>
      </c>
      <c r="J6" s="2942">
        <f>+'[15]Sheet 2 - General Insurance'!$D$11</f>
        <v>40</v>
      </c>
      <c r="K6" s="2942">
        <f>+'[15]Sheet 2 - General Insurance'!$D$15</f>
        <v>6038</v>
      </c>
      <c r="L6" s="2874">
        <f>+'[15]Sheet 2 - General Insurance'!$E$10+'[15]Sheet 2 - General Insurance'!$F$10</f>
        <v>13327</v>
      </c>
      <c r="M6" s="2874">
        <f>+'[15]Sheet 2 - General Insurance'!$E$11+'[15]Sheet 2 - General Insurance'!$F$11</f>
        <v>8225</v>
      </c>
      <c r="N6" s="2874">
        <f>+'[15]Sheet 2 - General Insurance'!$E$15+'[15]Sheet 2 - General Insurance'!$F$15</f>
        <v>19365</v>
      </c>
      <c r="O6" s="2942">
        <f>+'[15]Sheet 2 - General Insurance'!$G$10</f>
        <v>139</v>
      </c>
      <c r="P6" s="2942">
        <f>+'[15]Sheet 2 - General Insurance'!$G$11</f>
        <v>163</v>
      </c>
      <c r="Q6" s="2942">
        <f>+'[15]Sheet 2 - General Insurance'!$G$15</f>
        <v>296</v>
      </c>
      <c r="R6" s="2942">
        <f>+'[15]Sheet 2 - General Insurance'!$H$10</f>
        <v>1630</v>
      </c>
      <c r="S6" s="2942">
        <f>+'[15]Sheet 2 - General Insurance'!$H$11</f>
        <v>511</v>
      </c>
      <c r="T6" s="2942">
        <f>+'[15]Sheet 2 - General Insurance'!$H$15</f>
        <v>1936</v>
      </c>
    </row>
    <row r="7" spans="1:31">
      <c r="A7" s="81">
        <v>2</v>
      </c>
      <c r="B7" s="1772" t="s">
        <v>179</v>
      </c>
      <c r="C7" s="2547">
        <f t="shared" si="0"/>
        <v>2411</v>
      </c>
      <c r="D7" s="2547">
        <f t="shared" si="0"/>
        <v>5676</v>
      </c>
      <c r="E7" s="2547">
        <f t="shared" si="0"/>
        <v>8087</v>
      </c>
      <c r="F7" s="2771">
        <f>+'[13]Sheet 2 - General Insurance'!$C$10</f>
        <v>181</v>
      </c>
      <c r="G7" s="2771">
        <f>+'[13]Sheet 2 - General Insurance'!$C$11</f>
        <v>912</v>
      </c>
      <c r="H7" s="2771">
        <f>+'[13]Sheet 2 - General Insurance'!$C$15</f>
        <v>1093</v>
      </c>
      <c r="I7" s="2442">
        <f>+'[13]Sheet 2 - General Insurance'!$D$10</f>
        <v>1626</v>
      </c>
      <c r="J7" s="2442">
        <f>+'[13]Sheet 2 - General Insurance'!$D$11</f>
        <v>12</v>
      </c>
      <c r="K7" s="2442">
        <f>+'[13]Sheet 2 - General Insurance'!$D$15</f>
        <v>1638</v>
      </c>
      <c r="L7" s="2442">
        <f>+'[13]Sheet 2 - General Insurance'!$E$10</f>
        <v>502</v>
      </c>
      <c r="M7" s="2442">
        <f>+'[13]Sheet 2 - General Insurance'!$E$11</f>
        <v>2889</v>
      </c>
      <c r="N7" s="2442">
        <f>+'[13]Sheet 2 - General Insurance'!$E$15</f>
        <v>3391</v>
      </c>
      <c r="O7" s="2442">
        <f>+'[13]Sheet 2 - General Insurance'!$G$10</f>
        <v>14</v>
      </c>
      <c r="P7" s="2442">
        <f>+'[13]Sheet 2 - General Insurance'!$G$11</f>
        <v>207</v>
      </c>
      <c r="Q7" s="2442">
        <f>+'[13]Sheet 2 - General Insurance'!$G$15</f>
        <v>221</v>
      </c>
      <c r="R7" s="2442">
        <f>+'[13]Sheet 2 - General Insurance'!$H$10</f>
        <v>88</v>
      </c>
      <c r="S7" s="2442">
        <f>+'[13]Sheet 2 - General Insurance'!$H$11</f>
        <v>1656</v>
      </c>
      <c r="T7" s="2442">
        <f>+'[13]Sheet 2 - General Insurance'!$H$15</f>
        <v>1744</v>
      </c>
      <c r="X7" s="45"/>
      <c r="Y7" s="45"/>
      <c r="Z7" s="45"/>
      <c r="AA7" s="45"/>
      <c r="AB7" s="45"/>
      <c r="AC7" s="45"/>
      <c r="AD7" s="45"/>
      <c r="AE7" s="45"/>
    </row>
    <row r="8" spans="1:31">
      <c r="A8" s="58">
        <v>3</v>
      </c>
      <c r="B8" s="2553" t="s">
        <v>181</v>
      </c>
      <c r="C8" s="2940">
        <f t="shared" si="0"/>
        <v>64025</v>
      </c>
      <c r="D8" s="2940">
        <f t="shared" si="0"/>
        <v>56870</v>
      </c>
      <c r="E8" s="2940">
        <f t="shared" si="0"/>
        <v>118344</v>
      </c>
      <c r="F8" s="2941">
        <f>+'[12]Sheet 2 - General Insurance'!$C$10</f>
        <v>4945</v>
      </c>
      <c r="G8" s="2941">
        <f>+'[12]Sheet 2 - General Insurance'!$C$11</f>
        <v>11859</v>
      </c>
      <c r="H8" s="2941">
        <f>+'[12]Sheet 2 - General Insurance'!$C$15</f>
        <v>16647</v>
      </c>
      <c r="I8" s="2442">
        <f>+'[12]Sheet 2 - General Insurance'!$D$10</f>
        <v>13850</v>
      </c>
      <c r="J8" s="2442">
        <f>+'[12]Sheet 2 - General Insurance'!$D$11</f>
        <v>65</v>
      </c>
      <c r="K8" s="2442">
        <f>+'[12]Sheet 2 - General Insurance'!$D$15</f>
        <v>7583</v>
      </c>
      <c r="L8" s="2876">
        <f>+'[12]Sheet 2 - General Insurance'!$E$10+'[12]Sheet 2 - General Insurance'!$F$10</f>
        <v>38908</v>
      </c>
      <c r="M8" s="2876">
        <f>+'[12]Sheet 2 - General Insurance'!$E$11+'[12]Sheet 2 - General Insurance'!$F$11</f>
        <v>35440</v>
      </c>
      <c r="N8" s="2876">
        <f>+'[12]Sheet 2 - General Insurance'!$E$15+'[12]Sheet 2 - General Insurance'!$F$15</f>
        <v>72105</v>
      </c>
      <c r="O8" s="2442">
        <f>+'[12]Sheet 2 - General Insurance'!$G$10</f>
        <v>273</v>
      </c>
      <c r="P8" s="2442">
        <f>+'[12]Sheet 2 - General Insurance'!$G$11</f>
        <v>284</v>
      </c>
      <c r="Q8" s="2442">
        <f>+'[12]Sheet 2 - General Insurance'!$G$15</f>
        <v>526</v>
      </c>
      <c r="R8" s="2442">
        <f>+'[12]Sheet 2 - General Insurance'!$H$10</f>
        <v>6049</v>
      </c>
      <c r="S8" s="2442">
        <f>+'[12]Sheet 2 - General Insurance'!$H$11</f>
        <v>9222</v>
      </c>
      <c r="T8" s="2442">
        <f>+'[12]Sheet 2 - General Insurance'!$H$15</f>
        <v>21483</v>
      </c>
      <c r="X8" s="45"/>
      <c r="Y8" s="45"/>
      <c r="Z8" s="45"/>
      <c r="AA8" s="45"/>
      <c r="AB8" s="45"/>
      <c r="AC8" s="45"/>
      <c r="AD8" s="45"/>
      <c r="AE8" s="45"/>
    </row>
    <row r="9" spans="1:31">
      <c r="A9" s="58">
        <v>4</v>
      </c>
      <c r="B9" s="2553" t="s">
        <v>182</v>
      </c>
      <c r="C9" s="2940">
        <f t="shared" ref="C9:C24" si="1">+F9+I9+L9+O9+R9</f>
        <v>61941</v>
      </c>
      <c r="D9" s="2940">
        <f t="shared" ref="D9:D19" si="2">+G9+J9+M9+P9+S9</f>
        <v>62683</v>
      </c>
      <c r="E9" s="2940">
        <f t="shared" ref="E9:E24" si="3">+H9+K9+N9+Q9+T9</f>
        <v>129476</v>
      </c>
      <c r="F9" s="2941">
        <f>+'[14]Sheet 2 - General Insurance'!$C$10</f>
        <v>700</v>
      </c>
      <c r="G9" s="2941">
        <f>+'[14]Sheet 2 - General Insurance'!$C$11</f>
        <v>949</v>
      </c>
      <c r="H9" s="2941">
        <f>+'[14]Sheet 2 - General Insurance'!$C$15</f>
        <v>1885</v>
      </c>
      <c r="I9" s="2442">
        <f>+'[14]Sheet 2 - General Insurance'!$D$10</f>
        <v>5600</v>
      </c>
      <c r="J9" s="2442">
        <f>+'[14]Sheet 2 - General Insurance'!$D$11</f>
        <v>7</v>
      </c>
      <c r="K9" s="2442">
        <f>+'[14]Sheet 2 - General Insurance'!$D$15</f>
        <v>5794</v>
      </c>
      <c r="L9" s="2876">
        <f>+'[14]Sheet 2 - General Insurance'!$E$10+'[14]Sheet 2 - General Insurance'!$F$10</f>
        <v>53362</v>
      </c>
      <c r="M9" s="2876">
        <f>+'[14]Sheet 2 - General Insurance'!$E$11+'[14]Sheet 2 - General Insurance'!$F$11</f>
        <v>60596</v>
      </c>
      <c r="N9" s="2876">
        <f>+'[14]Sheet 2 - General Insurance'!$E$15+'[14]Sheet 2 - General Insurance'!$F$15</f>
        <v>117955</v>
      </c>
      <c r="O9" s="2442">
        <f>+'[14]Sheet 2 - General Insurance'!$G$10</f>
        <v>81</v>
      </c>
      <c r="P9" s="2442">
        <f>+'[14]Sheet 2 - General Insurance'!$G$11</f>
        <v>90</v>
      </c>
      <c r="Q9" s="2442">
        <f>+'[14]Sheet 2 - General Insurance'!$G$15</f>
        <v>210</v>
      </c>
      <c r="R9" s="2442">
        <f>+'[14]Sheet 2 - General Insurance'!$H$10</f>
        <v>2198</v>
      </c>
      <c r="S9" s="2442">
        <f>+'[14]Sheet 2 - General Insurance'!$H$11</f>
        <v>1041</v>
      </c>
      <c r="T9" s="2442">
        <f>+'[14]Sheet 2 - General Insurance'!$H$15</f>
        <v>3632</v>
      </c>
      <c r="X9" s="45"/>
      <c r="Y9" s="45"/>
      <c r="Z9" s="45"/>
      <c r="AA9" s="45"/>
      <c r="AB9" s="45"/>
      <c r="AC9" s="45"/>
      <c r="AD9" s="45"/>
      <c r="AE9" s="45"/>
    </row>
    <row r="10" spans="1:31">
      <c r="A10" s="58">
        <v>5</v>
      </c>
      <c r="B10" s="2554" t="s">
        <v>183</v>
      </c>
      <c r="C10" s="2940">
        <f t="shared" si="1"/>
        <v>25140</v>
      </c>
      <c r="D10" s="2940">
        <f>+G10+J10+M10+P10+S10</f>
        <v>24908</v>
      </c>
      <c r="E10" s="2940">
        <f>+H10+K10+N10+Q10+T10</f>
        <v>0</v>
      </c>
      <c r="F10" s="2772">
        <f>+'[50]Sheet 2 - General Insurance'!$C$10</f>
        <v>337</v>
      </c>
      <c r="G10" s="2772">
        <f>+'[50]Sheet 2 - General Insurance'!$C$11</f>
        <v>127</v>
      </c>
      <c r="H10" s="2943"/>
      <c r="I10" s="2698">
        <f>+'[50]Sheet 2 - General Insurance'!$D$10</f>
        <v>5479</v>
      </c>
      <c r="J10" s="2698">
        <f>+'[50]Sheet 2 - General Insurance'!$D$11</f>
        <v>30</v>
      </c>
      <c r="K10" s="2944"/>
      <c r="L10" s="2698">
        <f>+'[50]Sheet 2 - General Insurance'!$F$10</f>
        <v>430</v>
      </c>
      <c r="M10" s="2698">
        <f>+'[50]Sheet 2 - General Insurance'!$F$11</f>
        <v>716</v>
      </c>
      <c r="N10" s="2944"/>
      <c r="O10" s="2698">
        <f>+'[50]Sheet 2 - General Insurance'!$G$10</f>
        <v>4</v>
      </c>
      <c r="P10" s="2698">
        <f>+'[50]Sheet 2 - General Insurance'!$G$11</f>
        <v>1</v>
      </c>
      <c r="Q10" s="2944"/>
      <c r="R10" s="2698">
        <f>+'[50]Sheet 2 - General Insurance'!$H$10</f>
        <v>18890</v>
      </c>
      <c r="S10" s="2698">
        <f>+'[50]Sheet 2 - General Insurance'!$H$11</f>
        <v>24034</v>
      </c>
      <c r="T10" s="2944"/>
      <c r="X10" s="45"/>
      <c r="Y10" s="45"/>
      <c r="Z10" s="45"/>
      <c r="AA10" s="45"/>
      <c r="AB10" s="45"/>
      <c r="AC10" s="45"/>
      <c r="AD10" s="45"/>
      <c r="AE10" s="45"/>
    </row>
    <row r="11" spans="1:31">
      <c r="A11" s="58">
        <v>6</v>
      </c>
      <c r="B11" s="2554" t="s">
        <v>184</v>
      </c>
      <c r="C11" s="2940">
        <f t="shared" si="1"/>
        <v>24762</v>
      </c>
      <c r="D11" s="2940">
        <f t="shared" si="2"/>
        <v>22325</v>
      </c>
      <c r="E11" s="2940">
        <f t="shared" si="3"/>
        <v>45803</v>
      </c>
      <c r="F11" s="2941">
        <f>+'[41]Sheet 2 - General Insurance'!$C$10</f>
        <v>126</v>
      </c>
      <c r="G11" s="2941">
        <f>+'[41]Sheet 2 - General Insurance'!$C$11</f>
        <v>217</v>
      </c>
      <c r="H11" s="2941">
        <f>+'[41]Sheet 2 - General Insurance'!$C$15</f>
        <v>312</v>
      </c>
      <c r="I11" s="2442">
        <f>+'[41]Sheet 2 - General Insurance'!$D$10</f>
        <v>1339</v>
      </c>
      <c r="J11" s="2442">
        <f>+'[41]Sheet 2 - General Insurance'!$D$11</f>
        <v>1</v>
      </c>
      <c r="K11" s="2442">
        <f>+'[41]Sheet 2 - General Insurance'!$D$15</f>
        <v>427</v>
      </c>
      <c r="L11" s="2876">
        <f>+'[41]Sheet 2 - General Insurance'!$E$10+'[41]Sheet 2 - General Insurance'!$F$10</f>
        <v>23186</v>
      </c>
      <c r="M11" s="2876">
        <f>+'[41]Sheet 2 - General Insurance'!$E$11+'[41]Sheet 2 - General Insurance'!$F$11</f>
        <v>21919</v>
      </c>
      <c r="N11" s="2876">
        <f>+'[41]Sheet 2 - General Insurance'!$E$15+'[41]Sheet 2 - General Insurance'!$F$15</f>
        <v>44825</v>
      </c>
      <c r="O11" s="2442">
        <f>+'[41]Sheet 2 - General Insurance'!$G$10</f>
        <v>9</v>
      </c>
      <c r="P11" s="2442">
        <f>+'[41]Sheet 2 - General Insurance'!$G$11</f>
        <v>7</v>
      </c>
      <c r="Q11" s="2442">
        <f>+'[41]Sheet 2 - General Insurance'!$G$15</f>
        <v>46</v>
      </c>
      <c r="R11" s="2442">
        <f>+'[41]Sheet 2 - General Insurance'!$H$10</f>
        <v>102</v>
      </c>
      <c r="S11" s="2442">
        <f>+'[41]Sheet 2 - General Insurance'!$H$11</f>
        <v>181</v>
      </c>
      <c r="T11" s="2442">
        <f>+'[41]Sheet 2 - General Insurance'!$H$15</f>
        <v>193</v>
      </c>
      <c r="X11" s="45"/>
      <c r="Y11" s="45"/>
      <c r="Z11" s="45"/>
      <c r="AA11" s="45"/>
      <c r="AB11" s="45"/>
      <c r="AC11" s="45"/>
      <c r="AD11" s="45"/>
      <c r="AE11" s="45"/>
    </row>
    <row r="12" spans="1:31">
      <c r="A12" s="58">
        <v>7</v>
      </c>
      <c r="B12" s="2553" t="s">
        <v>185</v>
      </c>
      <c r="C12" s="2940">
        <f t="shared" si="1"/>
        <v>546605</v>
      </c>
      <c r="D12" s="2940">
        <f t="shared" si="2"/>
        <v>508362</v>
      </c>
      <c r="E12" s="2940">
        <f t="shared" si="3"/>
        <v>1054967</v>
      </c>
      <c r="F12" s="2941">
        <f>+'[16]Sheet 2 - General Insurance'!$C$10</f>
        <v>20227</v>
      </c>
      <c r="G12" s="2941">
        <f>+'[16]Sheet 2 - General Insurance'!$C$11</f>
        <v>34806</v>
      </c>
      <c r="H12" s="2941">
        <f>+'[16]Sheet 2 - General Insurance'!$C$15</f>
        <v>55033</v>
      </c>
      <c r="I12" s="2442">
        <f>+'[16]Sheet 2 - General Insurance'!$D$10</f>
        <v>47963</v>
      </c>
      <c r="J12" s="2442">
        <f>+'[16]Sheet 2 - General Insurance'!$D$11</f>
        <v>70</v>
      </c>
      <c r="K12" s="2442">
        <f>+'[16]Sheet 2 - General Insurance'!$D$15</f>
        <v>48033</v>
      </c>
      <c r="L12" s="2876">
        <f>+'[16]Sheet 2 - General Insurance'!$E$10+'[16]Sheet 2 - General Insurance'!$F$10</f>
        <v>433510</v>
      </c>
      <c r="M12" s="2876">
        <f>+'[16]Sheet 2 - General Insurance'!$E$11+'[16]Sheet 2 - General Insurance'!$F$11</f>
        <v>463165</v>
      </c>
      <c r="N12" s="2876">
        <f>+'[16]Sheet 2 - General Insurance'!$E$15+'[16]Sheet 2 - General Insurance'!$F$15</f>
        <v>896675</v>
      </c>
      <c r="O12" s="2442">
        <f>+'[16]Sheet 2 - General Insurance'!$G$10</f>
        <v>2135</v>
      </c>
      <c r="P12" s="2442">
        <f>+'[16]Sheet 2 - General Insurance'!$G$11</f>
        <v>2961</v>
      </c>
      <c r="Q12" s="2442">
        <f>+'[16]Sheet 2 - General Insurance'!$G$15</f>
        <v>5096</v>
      </c>
      <c r="R12" s="2442">
        <f>+'[16]Sheet 2 - General Insurance'!$H$10</f>
        <v>42770</v>
      </c>
      <c r="S12" s="2442">
        <f>+'[16]Sheet 2 - General Insurance'!$H$11</f>
        <v>7360</v>
      </c>
      <c r="T12" s="2442">
        <f>+'[16]Sheet 2 - General Insurance'!$H$15</f>
        <v>50130</v>
      </c>
      <c r="X12" s="45"/>
      <c r="Y12" s="45"/>
      <c r="Z12" s="45"/>
      <c r="AA12" s="45"/>
      <c r="AB12" s="45"/>
      <c r="AC12" s="45"/>
      <c r="AD12" s="45"/>
      <c r="AE12" s="45"/>
    </row>
    <row r="13" spans="1:31">
      <c r="A13" s="58">
        <v>8</v>
      </c>
      <c r="B13" s="2553" t="s">
        <v>186</v>
      </c>
      <c r="C13" s="2940">
        <f t="shared" si="1"/>
        <v>195571</v>
      </c>
      <c r="D13" s="2940">
        <f t="shared" si="2"/>
        <v>147341</v>
      </c>
      <c r="E13" s="2940">
        <f t="shared" si="3"/>
        <v>327789</v>
      </c>
      <c r="F13" s="2941">
        <f>+'[42]Sheet 2 - General Insurance'!$C$10</f>
        <v>2351</v>
      </c>
      <c r="G13" s="2941">
        <f>+'[42]Sheet 2 - General Insurance'!$C$11</f>
        <v>1354</v>
      </c>
      <c r="H13" s="2941">
        <f>+'[42]Sheet 2 - General Insurance'!$C$15</f>
        <v>3871</v>
      </c>
      <c r="I13" s="2442">
        <f>+'[42]Sheet 2 - General Insurance'!$D$10</f>
        <v>1574</v>
      </c>
      <c r="J13" s="2442">
        <f>+'[42]Sheet 2 - General Insurance'!$D$11</f>
        <v>103</v>
      </c>
      <c r="K13" s="2442">
        <f>+'[42]Sheet 2 - General Insurance'!$D$15</f>
        <v>1225</v>
      </c>
      <c r="L13" s="2876">
        <f>+'[42]Sheet 2 - General Insurance'!$E$10+'[42]Sheet 2 - General Insurance'!$F$10</f>
        <v>176809</v>
      </c>
      <c r="M13" s="2876">
        <f>+'[42]Sheet 2 - General Insurance'!$E$11+'[42]Sheet 2 - General Insurance'!$F$11</f>
        <v>144422</v>
      </c>
      <c r="N13" s="2876">
        <f>+'[42]Sheet 2 - General Insurance'!$E$15+'[42]Sheet 2 - General Insurance'!$F$15</f>
        <v>321231</v>
      </c>
      <c r="O13" s="2442">
        <f>+'[42]Sheet 2 - General Insurance'!$G$10</f>
        <v>489</v>
      </c>
      <c r="P13" s="2442">
        <f>+'[42]Sheet 2 - General Insurance'!$G$11</f>
        <v>129</v>
      </c>
      <c r="Q13" s="2442">
        <f>+'[42]Sheet 2 - General Insurance'!$G$15</f>
        <v>129</v>
      </c>
      <c r="R13" s="2442">
        <f>+'[42]Sheet 2 - General Insurance'!$H$10</f>
        <v>14348</v>
      </c>
      <c r="S13" s="2442">
        <f>+'[42]Sheet 2 - General Insurance'!$H$11</f>
        <v>1333</v>
      </c>
      <c r="T13" s="2442">
        <f>+'[42]Sheet 2 - General Insurance'!$H$15</f>
        <v>1333</v>
      </c>
      <c r="X13" s="45"/>
      <c r="Y13" s="45"/>
      <c r="Z13" s="45"/>
      <c r="AA13" s="45"/>
      <c r="AB13" s="45"/>
      <c r="AC13" s="45"/>
      <c r="AD13" s="45"/>
      <c r="AE13" s="45"/>
    </row>
    <row r="14" spans="1:31">
      <c r="A14" s="58">
        <v>9</v>
      </c>
      <c r="B14" s="2554" t="s">
        <v>187</v>
      </c>
      <c r="C14" s="2940">
        <f t="shared" si="1"/>
        <v>0</v>
      </c>
      <c r="D14" s="2940">
        <f t="shared" si="2"/>
        <v>0</v>
      </c>
      <c r="E14" s="2940">
        <f t="shared" si="3"/>
        <v>0</v>
      </c>
      <c r="F14" s="2941"/>
      <c r="G14" s="2941"/>
      <c r="H14" s="2941"/>
      <c r="I14" s="2442"/>
      <c r="J14" s="2442"/>
      <c r="K14" s="2442"/>
      <c r="L14" s="2876"/>
      <c r="M14" s="2876"/>
      <c r="N14" s="2876"/>
      <c r="O14" s="2442"/>
      <c r="P14" s="2442"/>
      <c r="Q14" s="2442"/>
      <c r="R14" s="2442"/>
      <c r="S14" s="2442"/>
      <c r="T14" s="2442"/>
      <c r="X14" s="45"/>
      <c r="Y14" s="45"/>
      <c r="Z14" s="45"/>
      <c r="AA14" s="45"/>
      <c r="AB14" s="45"/>
      <c r="AC14" s="45"/>
      <c r="AD14" s="45"/>
      <c r="AE14" s="45"/>
    </row>
    <row r="15" spans="1:31">
      <c r="A15" s="81">
        <v>10</v>
      </c>
      <c r="B15" s="1772" t="s">
        <v>188</v>
      </c>
      <c r="C15" s="2547">
        <f t="shared" si="1"/>
        <v>32378</v>
      </c>
      <c r="D15" s="2547">
        <f t="shared" si="2"/>
        <v>53618</v>
      </c>
      <c r="E15" s="2547">
        <f>+H15+K15+N15+Q15+T15</f>
        <v>85996</v>
      </c>
      <c r="F15" s="2771">
        <f>+'[17]Sheet 2 - General Insurance'!$C$10</f>
        <v>7544</v>
      </c>
      <c r="G15" s="2771">
        <f>+'[17]Sheet 2 - General Insurance'!$C$11</f>
        <v>18384</v>
      </c>
      <c r="H15" s="2771">
        <f>+'[17]Sheet 2 - General Insurance'!$C$15</f>
        <v>25928</v>
      </c>
      <c r="I15" s="2442">
        <f>+'[17]Sheet 2 - General Insurance'!$D$10</f>
        <v>2047</v>
      </c>
      <c r="J15" s="2442">
        <f>+'[17]Sheet 2 - General Insurance'!$D$11</f>
        <v>32</v>
      </c>
      <c r="K15" s="2442">
        <f>+'[17]Sheet 2 - General Insurance'!$D$15</f>
        <v>2079</v>
      </c>
      <c r="L15" s="2442">
        <f>+'[17]Sheet 2 - General Insurance'!$E$10+'[17]Sheet 2 - General Insurance'!$F$10</f>
        <v>18673</v>
      </c>
      <c r="M15" s="2442">
        <f>+'[17]Sheet 2 - General Insurance'!$E$11+'[17]Sheet 2 - General Insurance'!$F$11</f>
        <v>32346</v>
      </c>
      <c r="N15" s="2442">
        <f>+'[17]Sheet 2 - General Insurance'!$E$15+'[17]Sheet 2 - General Insurance'!$F$15</f>
        <v>51019</v>
      </c>
      <c r="O15" s="2442">
        <f>+'[17]Sheet 2 - General Insurance'!$G$10</f>
        <v>112</v>
      </c>
      <c r="P15" s="2442">
        <f>+'[17]Sheet 2 - General Insurance'!$G$11</f>
        <v>108</v>
      </c>
      <c r="Q15" s="2442">
        <f>+'[17]Sheet 2 - General Insurance'!$G$15</f>
        <v>220</v>
      </c>
      <c r="R15" s="2442">
        <f>+'[17]Sheet 2 - General Insurance'!$H$10</f>
        <v>4002</v>
      </c>
      <c r="S15" s="2442">
        <f>+'[17]Sheet 2 - General Insurance'!$H$11</f>
        <v>2748</v>
      </c>
      <c r="T15" s="2442">
        <f>+'[17]Sheet 2 - General Insurance'!$H$15</f>
        <v>6750</v>
      </c>
      <c r="X15" s="45"/>
      <c r="Y15" s="45"/>
      <c r="Z15" s="45"/>
      <c r="AA15" s="45"/>
      <c r="AB15" s="45"/>
      <c r="AC15" s="45"/>
      <c r="AD15" s="45"/>
      <c r="AE15" s="45"/>
    </row>
    <row r="16" spans="1:31">
      <c r="A16" s="58">
        <v>11</v>
      </c>
      <c r="B16" s="2553" t="s">
        <v>189</v>
      </c>
      <c r="C16" s="2940">
        <f t="shared" si="1"/>
        <v>215809</v>
      </c>
      <c r="D16" s="2940">
        <f t="shared" si="2"/>
        <v>250398</v>
      </c>
      <c r="E16" s="2940">
        <f t="shared" si="3"/>
        <v>425300</v>
      </c>
      <c r="F16" s="2941">
        <f>+'[18]Sheet 2 - General Insurance'!$C$10</f>
        <v>8769</v>
      </c>
      <c r="G16" s="2941">
        <f>+'[18]Sheet 2 - General Insurance'!$C$11</f>
        <v>6956</v>
      </c>
      <c r="H16" s="2941">
        <f>+'[18]Sheet 2 - General Insurance'!$C$15</f>
        <v>12871</v>
      </c>
      <c r="I16" s="2442">
        <f>+'[18]Sheet 2 - General Insurance'!$D$10</f>
        <v>17031</v>
      </c>
      <c r="J16" s="2442">
        <f>+'[18]Sheet 2 - General Insurance'!$D$11</f>
        <v>170</v>
      </c>
      <c r="K16" s="2442">
        <f>+'[18]Sheet 2 - General Insurance'!$D$15</f>
        <v>16410</v>
      </c>
      <c r="L16" s="2876">
        <f>+'[18]Sheet 2 - General Insurance'!$E$10+'[18]Sheet 2 - General Insurance'!$F$10</f>
        <v>181667</v>
      </c>
      <c r="M16" s="2876">
        <f>+'[18]Sheet 2 - General Insurance'!$E$11+'[18]Sheet 2 - General Insurance'!$F$11</f>
        <v>238490</v>
      </c>
      <c r="N16" s="2876">
        <f>+'[18]Sheet 2 - General Insurance'!$E$15+'[18]Sheet 2 - General Insurance'!$F$15</f>
        <v>385354</v>
      </c>
      <c r="O16" s="2442">
        <v>0</v>
      </c>
      <c r="P16" s="2442">
        <v>0</v>
      </c>
      <c r="Q16" s="2442">
        <v>0</v>
      </c>
      <c r="R16" s="2442">
        <f>+'[18]Sheet 2 - General Insurance'!$H$10</f>
        <v>8342</v>
      </c>
      <c r="S16" s="2442">
        <f>+'[18]Sheet 2 - General Insurance'!$H$11</f>
        <v>4782</v>
      </c>
      <c r="T16" s="2442">
        <f>+'[18]Sheet 2 - General Insurance'!$H$15</f>
        <v>10665</v>
      </c>
      <c r="X16" s="45"/>
      <c r="Y16" s="45"/>
      <c r="Z16" s="45"/>
      <c r="AA16" s="45"/>
      <c r="AB16" s="45"/>
      <c r="AC16" s="45"/>
      <c r="AD16" s="45"/>
      <c r="AE16" s="45"/>
    </row>
    <row r="17" spans="1:31">
      <c r="A17" s="58">
        <v>12</v>
      </c>
      <c r="B17" s="2553" t="s">
        <v>191</v>
      </c>
      <c r="C17" s="2940">
        <f t="shared" si="1"/>
        <v>64196</v>
      </c>
      <c r="D17" s="2940">
        <f t="shared" si="2"/>
        <v>27923</v>
      </c>
      <c r="E17" s="2940">
        <f t="shared" si="3"/>
        <v>92119</v>
      </c>
      <c r="F17" s="2941">
        <f>+'[46]Sheet 2 - General Insurance'!$C$10</f>
        <v>544</v>
      </c>
      <c r="G17" s="2941">
        <v>0</v>
      </c>
      <c r="H17" s="2941">
        <f>+'[46]Sheet 2 - General Insurance'!$C$15</f>
        <v>544</v>
      </c>
      <c r="I17" s="2442">
        <f>+'[46]Sheet 2 - General Insurance'!$D$10</f>
        <v>106</v>
      </c>
      <c r="J17" s="2442"/>
      <c r="K17" s="2442">
        <f>+'[46]Sheet 2 - General Insurance'!$D$15</f>
        <v>106</v>
      </c>
      <c r="L17" s="2876">
        <f>+'[46]Sheet 2 - General Insurance'!$E$10+'[46]Sheet 2 - General Insurance'!$F$10</f>
        <v>63410</v>
      </c>
      <c r="M17" s="2876">
        <f>+'[46]Sheet 2 - General Insurance'!$F$11</f>
        <v>27923</v>
      </c>
      <c r="N17" s="2876">
        <f>+'[46]Sheet 2 - General Insurance'!$E$15+'[46]Sheet 2 - General Insurance'!$F$15</f>
        <v>91333</v>
      </c>
      <c r="O17" s="2442">
        <f>+'[46]Sheet 2 - General Insurance'!$G$10</f>
        <v>41</v>
      </c>
      <c r="P17" s="2442">
        <v>0</v>
      </c>
      <c r="Q17" s="2442">
        <f>+'[46]Sheet 2 - General Insurance'!$G$15</f>
        <v>41</v>
      </c>
      <c r="R17" s="2442">
        <f>+'[46]Sheet 2 - General Insurance'!$H$10</f>
        <v>95</v>
      </c>
      <c r="S17" s="2442">
        <v>0</v>
      </c>
      <c r="T17" s="2442">
        <f>+'[46]Sheet 2 - General Insurance'!$H$15</f>
        <v>95</v>
      </c>
      <c r="X17" s="45"/>
      <c r="Y17" s="45"/>
      <c r="Z17" s="45"/>
      <c r="AA17" s="45"/>
      <c r="AB17" s="45"/>
      <c r="AC17" s="45"/>
      <c r="AD17" s="45"/>
      <c r="AE17" s="45"/>
    </row>
    <row r="18" spans="1:31">
      <c r="A18" s="58">
        <v>13</v>
      </c>
      <c r="B18" s="2553" t="s">
        <v>192</v>
      </c>
      <c r="C18" s="2940">
        <f t="shared" si="1"/>
        <v>41224</v>
      </c>
      <c r="D18" s="2940">
        <f t="shared" si="2"/>
        <v>49497</v>
      </c>
      <c r="E18" s="2940">
        <f t="shared" si="3"/>
        <v>54274</v>
      </c>
      <c r="F18" s="2941">
        <f>+'[47]Sheet 2 - General Insurance'!$C$10</f>
        <v>1090</v>
      </c>
      <c r="G18" s="2941">
        <f>+'[47]Sheet 2 - General Insurance'!$C$11</f>
        <v>487</v>
      </c>
      <c r="H18" s="2941">
        <f>+'[47]Sheet 2 - General Insurance'!$C$15</f>
        <v>1294</v>
      </c>
      <c r="I18" s="2442">
        <f>+'[47]Sheet 2 - General Insurance'!$D$10</f>
        <v>1817</v>
      </c>
      <c r="J18" s="2442">
        <f>+'[47]Sheet 2 - General Insurance'!$D$11</f>
        <v>227</v>
      </c>
      <c r="K18" s="2442">
        <f>+'[47]Sheet 2 - General Insurance'!$D$15</f>
        <v>1802</v>
      </c>
      <c r="L18" s="2876">
        <f>+'[47]Sheet 2 - General Insurance'!$E$10+'[47]Sheet 2 - General Insurance'!$F$10</f>
        <v>35737</v>
      </c>
      <c r="M18" s="2876">
        <f>+'[47]Sheet 2 - General Insurance'!$F$11</f>
        <v>48451</v>
      </c>
      <c r="N18" s="2876">
        <f>+'[47]Sheet 2 - General Insurance'!$E$15+'[47]Sheet 2 - General Insurance'!$F$15</f>
        <v>48451</v>
      </c>
      <c r="O18" s="2442">
        <f>+'[47]Sheet 2 - General Insurance'!$G$10</f>
        <v>0</v>
      </c>
      <c r="P18" s="2442"/>
      <c r="Q18" s="2442"/>
      <c r="R18" s="2442">
        <f>+'[47]Sheet 2 - General Insurance'!$H$10</f>
        <v>2580</v>
      </c>
      <c r="S18" s="2442">
        <f>+'[47]Sheet 2 - General Insurance'!$H$11</f>
        <v>332</v>
      </c>
      <c r="T18" s="2442">
        <f>+'[47]Sheet 2 - General Insurance'!$H$15</f>
        <v>2727</v>
      </c>
      <c r="X18" s="45"/>
      <c r="Y18" s="45"/>
      <c r="Z18" s="45"/>
      <c r="AA18" s="45"/>
      <c r="AB18" s="45"/>
      <c r="AC18" s="45"/>
      <c r="AD18" s="45"/>
      <c r="AE18" s="45"/>
    </row>
    <row r="19" spans="1:31">
      <c r="A19" s="58">
        <v>14</v>
      </c>
      <c r="B19" s="2554" t="s">
        <v>194</v>
      </c>
      <c r="C19" s="2940">
        <f t="shared" si="1"/>
        <v>33221</v>
      </c>
      <c r="D19" s="2940">
        <f t="shared" si="2"/>
        <v>61482</v>
      </c>
      <c r="E19" s="2940">
        <f t="shared" si="3"/>
        <v>88712</v>
      </c>
      <c r="F19" s="2941">
        <f>+'[44]Sheet 2 - General Insurance'!$C$10</f>
        <v>3495</v>
      </c>
      <c r="G19" s="2941">
        <f>+'[44]Sheet 2 - General Insurance'!$C$11</f>
        <v>5013</v>
      </c>
      <c r="H19" s="2941">
        <f>+'[44]Sheet 2 - General Insurance'!$C$15</f>
        <v>8508</v>
      </c>
      <c r="I19" s="2442">
        <f>+'[44]Sheet 2 - General Insurance'!$D$10</f>
        <v>337</v>
      </c>
      <c r="J19" s="2442">
        <v>0</v>
      </c>
      <c r="K19" s="2442">
        <f>+'[44]Sheet 2 - General Insurance'!$D$15</f>
        <v>337</v>
      </c>
      <c r="L19" s="2876">
        <f>+'[44]Sheet 2 - General Insurance'!$E$10+'[44]Sheet 2 - General Insurance'!$F$10</f>
        <v>27308</v>
      </c>
      <c r="M19" s="2876">
        <f>+'[44]Sheet 2 - General Insurance'!$E$11+'[44]Sheet 2 - General Insurance'!$F$11</f>
        <v>56380</v>
      </c>
      <c r="N19" s="2876">
        <f>+'[44]Sheet 2 - General Insurance'!$E$15+'[44]Sheet 2 - General Insurance'!$F$15</f>
        <v>77697</v>
      </c>
      <c r="O19" s="2442">
        <f>+'[44]Sheet 2 - General Insurance'!$G$10</f>
        <v>1</v>
      </c>
      <c r="P19" s="2442">
        <f>+'[44]Sheet 2 - General Insurance'!$G$11</f>
        <v>2</v>
      </c>
      <c r="Q19" s="2442">
        <f>+'[44]Sheet 2 - General Insurance'!$G$15</f>
        <v>3</v>
      </c>
      <c r="R19" s="2442">
        <f>+'[44]Sheet 2 - General Insurance'!$H$10</f>
        <v>2080</v>
      </c>
      <c r="S19" s="2442">
        <f>+'[44]Sheet 2 - General Insurance'!$H$11</f>
        <v>87</v>
      </c>
      <c r="T19" s="2442">
        <f>+'[44]Sheet 2 - General Insurance'!$H$15</f>
        <v>2167</v>
      </c>
      <c r="X19" s="45"/>
      <c r="Y19" s="45"/>
      <c r="Z19" s="45"/>
      <c r="AA19" s="45"/>
      <c r="AB19" s="45"/>
      <c r="AC19" s="45"/>
      <c r="AD19" s="45"/>
      <c r="AE19" s="45"/>
    </row>
    <row r="20" spans="1:31">
      <c r="A20" s="58">
        <v>15</v>
      </c>
      <c r="B20" s="2553" t="s">
        <v>195</v>
      </c>
      <c r="C20" s="2940">
        <f t="shared" si="1"/>
        <v>438458</v>
      </c>
      <c r="D20" s="2940">
        <f>+G20+J20+M20+P20+S20</f>
        <v>814353</v>
      </c>
      <c r="E20" s="2940">
        <f t="shared" si="3"/>
        <v>1230479</v>
      </c>
      <c r="F20" s="2941">
        <f>+'[51]Sheet 2 - General Insurance'!$C$10</f>
        <v>14169</v>
      </c>
      <c r="G20" s="2941">
        <f>+'[51]Sheet 2 - General Insurance'!$C$11</f>
        <v>24810</v>
      </c>
      <c r="H20" s="2941">
        <f>+'[51]Sheet 2 - General Insurance'!$C$15</f>
        <v>39435</v>
      </c>
      <c r="I20" s="2442">
        <f>+'[51]Sheet 2 - General Insurance'!$D$10</f>
        <v>19342</v>
      </c>
      <c r="J20" s="2442">
        <f>+'[51]Sheet 2 - General Insurance'!$D$11</f>
        <v>934</v>
      </c>
      <c r="K20" s="2442">
        <f>+'[51]Sheet 2 - General Insurance'!$D$15</f>
        <v>2350</v>
      </c>
      <c r="L20" s="2876">
        <f>+'[51]Sheet 2 - General Insurance'!$E$10+'[51]Sheet 2 - General Insurance'!$F$10</f>
        <v>392719</v>
      </c>
      <c r="M20" s="2876">
        <f>+'[51]Sheet 2 - General Insurance'!$E$11+'[51]Sheet 2 - General Insurance'!$F$11</f>
        <v>769386</v>
      </c>
      <c r="N20" s="2876">
        <f>+'[51]Sheet 2 - General Insurance'!$E$15+'[51]Sheet 2 - General Insurance'!$F$15</f>
        <v>1167726</v>
      </c>
      <c r="O20" s="2442">
        <f>+'[51]Sheet 2 - General Insurance'!$G$10</f>
        <v>858</v>
      </c>
      <c r="P20" s="2442">
        <f>+'[51]Sheet 2 - General Insurance'!$G$11</f>
        <v>1401</v>
      </c>
      <c r="Q20" s="2442">
        <f>+'[51]Sheet 2 - General Insurance'!$G$15</f>
        <v>2015</v>
      </c>
      <c r="R20" s="2442">
        <f>+'[51]Sheet 2 - General Insurance'!$H$10</f>
        <v>11370</v>
      </c>
      <c r="S20" s="2442">
        <f>+'[51]Sheet 2 - General Insurance'!$H$11</f>
        <v>17822</v>
      </c>
      <c r="T20" s="2442">
        <f>+'[51]Sheet 2 - General Insurance'!$H$15</f>
        <v>18953</v>
      </c>
      <c r="X20" s="45"/>
      <c r="Y20" s="45"/>
      <c r="Z20" s="45"/>
      <c r="AA20" s="45"/>
      <c r="AB20" s="45"/>
      <c r="AC20" s="45"/>
      <c r="AD20" s="45"/>
      <c r="AE20" s="45"/>
    </row>
    <row r="21" spans="1:31">
      <c r="A21" s="58">
        <v>16</v>
      </c>
      <c r="B21" s="2553" t="s">
        <v>196</v>
      </c>
      <c r="C21" s="2940">
        <f t="shared" si="1"/>
        <v>27492</v>
      </c>
      <c r="D21" s="2940">
        <f>+G21+J21+M21+P21+S21</f>
        <v>23944</v>
      </c>
      <c r="E21" s="2940">
        <f t="shared" si="3"/>
        <v>49436</v>
      </c>
      <c r="F21" s="2941">
        <f>+'[19]Sheet 2 - General Insurance'!$C$10</f>
        <v>392</v>
      </c>
      <c r="G21" s="2941">
        <f>+'[19]Sheet 2 - General Insurance'!$C$11</f>
        <v>680</v>
      </c>
      <c r="H21" s="2941">
        <f>+'[19]Sheet 2 - General Insurance'!$C$15</f>
        <v>1072</v>
      </c>
      <c r="I21" s="2442">
        <v>0</v>
      </c>
      <c r="J21" s="2442">
        <v>0</v>
      </c>
      <c r="K21" s="2442">
        <v>0</v>
      </c>
      <c r="L21" s="2876">
        <f>+'[19]Sheet 2 - General Insurance'!$E$10+'[19]Sheet 2 - General Insurance'!$F$10</f>
        <v>22241</v>
      </c>
      <c r="M21" s="2876">
        <f>+'[19]Sheet 2 - General Insurance'!$E$11+'[19]Sheet 2 - General Insurance'!$F$11</f>
        <v>19299</v>
      </c>
      <c r="N21" s="2876">
        <f>+'[19]Sheet 2 - General Insurance'!$E$15+'[19]Sheet 2 - General Insurance'!$F$15</f>
        <v>39540</v>
      </c>
      <c r="O21" s="2442">
        <f>+'[19]Sheet 2 - General Insurance'!$G$10</f>
        <v>2</v>
      </c>
      <c r="P21" s="2442">
        <f>+'[19]Sheet 2 - General Insurance'!$G$11</f>
        <v>16</v>
      </c>
      <c r="Q21" s="2442">
        <f>+'[19]Sheet 2 - General Insurance'!$G$15</f>
        <v>18</v>
      </c>
      <c r="R21" s="2442">
        <f>+'[19]Sheet 2 - General Insurance'!$H$10</f>
        <v>4857</v>
      </c>
      <c r="S21" s="2442">
        <f>+'[19]Sheet 2 - General Insurance'!$H$11</f>
        <v>3949</v>
      </c>
      <c r="T21" s="2442">
        <f>+'[19]Sheet 2 - General Insurance'!$H$15</f>
        <v>8806</v>
      </c>
      <c r="X21" s="45"/>
      <c r="Y21" s="45"/>
      <c r="Z21" s="45"/>
      <c r="AA21" s="45"/>
      <c r="AB21" s="45"/>
      <c r="AC21" s="45"/>
      <c r="AD21" s="45"/>
      <c r="AE21" s="45"/>
    </row>
    <row r="22" spans="1:31">
      <c r="A22" s="58">
        <v>17</v>
      </c>
      <c r="B22" s="2553" t="s">
        <v>197</v>
      </c>
      <c r="C22" s="2940">
        <f t="shared" si="1"/>
        <v>78565</v>
      </c>
      <c r="D22" s="2940">
        <f>+G22+J22+M22+P22+S22</f>
        <v>67550</v>
      </c>
      <c r="E22" s="2940">
        <f t="shared" si="3"/>
        <v>146115</v>
      </c>
      <c r="F22" s="2941">
        <f>+'[52]Sheet 2 - General Insurance'!$C$10</f>
        <v>3923</v>
      </c>
      <c r="G22" s="2941">
        <f>+'[52]Sheet 2 - General Insurance'!$C$11</f>
        <v>7671</v>
      </c>
      <c r="H22" s="2941">
        <f>+'[52]Sheet 2 - General Insurance'!$C$15</f>
        <v>11594</v>
      </c>
      <c r="I22" s="2442">
        <f>+'[52]Sheet 2 - General Insurance'!$D$10</f>
        <v>24058</v>
      </c>
      <c r="J22" s="2442">
        <f>+'[52]Sheet 2 - General Insurance'!$D$11</f>
        <v>404</v>
      </c>
      <c r="K22" s="2442">
        <f>+'[52]Sheet 2 - General Insurance'!$D$15</f>
        <v>24462</v>
      </c>
      <c r="L22" s="2876">
        <f>+'[52]Sheet 2 - General Insurance'!$E$10+'[52]Sheet 2 - General Insurance'!$F$10</f>
        <v>43773</v>
      </c>
      <c r="M22" s="2876">
        <f>+'[52]Sheet 2 - General Insurance'!$E$11+'[52]Sheet 2 - General Insurance'!$F$11</f>
        <v>54916</v>
      </c>
      <c r="N22" s="2876">
        <f>+'[52]Sheet 2 - General Insurance'!$E$15+'[52]Sheet 2 - General Insurance'!$F$15</f>
        <v>98689</v>
      </c>
      <c r="O22" s="2442">
        <f>+'[52]Sheet 2 - General Insurance'!$G$10</f>
        <v>532</v>
      </c>
      <c r="P22" s="2442">
        <f>+'[48]Sheet 2 - General Insurance'!$G$11</f>
        <v>999</v>
      </c>
      <c r="Q22" s="2442">
        <f>+'[48]Sheet 2 - General Insurance'!$G$15</f>
        <v>1531</v>
      </c>
      <c r="R22" s="2442">
        <f>+'[48]Sheet 2 - General Insurance'!$H$10</f>
        <v>6279</v>
      </c>
      <c r="S22" s="2442">
        <f>+'[48]Sheet 2 - General Insurance'!$H$11</f>
        <v>3560</v>
      </c>
      <c r="T22" s="2442">
        <f>+'[48]Sheet 2 - General Insurance'!$H$15</f>
        <v>9839</v>
      </c>
      <c r="X22" s="45"/>
      <c r="Y22" s="45"/>
      <c r="Z22" s="45"/>
      <c r="AA22" s="45"/>
      <c r="AB22" s="45"/>
      <c r="AC22" s="45"/>
      <c r="AD22" s="45"/>
      <c r="AE22" s="45"/>
    </row>
    <row r="23" spans="1:31">
      <c r="A23" s="58">
        <v>18</v>
      </c>
      <c r="B23" s="2554" t="s">
        <v>193</v>
      </c>
      <c r="C23" s="2940">
        <f t="shared" si="1"/>
        <v>10132</v>
      </c>
      <c r="D23" s="2940">
        <f>+G23+J23+M23+P23+S23</f>
        <v>42</v>
      </c>
      <c r="E23" s="2940">
        <f t="shared" si="3"/>
        <v>8941</v>
      </c>
      <c r="F23" s="2941">
        <f>+'[40]Sheet 2 - General Insurance'!$C$10</f>
        <v>299</v>
      </c>
      <c r="G23" s="2941">
        <f>+'[40]Sheet 2 - General Insurance'!$C$11</f>
        <v>1</v>
      </c>
      <c r="H23" s="2941">
        <f>+'[40]Sheet 2 - General Insurance'!$C$15</f>
        <v>252</v>
      </c>
      <c r="I23" s="2442">
        <f>+'[40]Sheet 2 - General Insurance'!$D$10</f>
        <v>591</v>
      </c>
      <c r="J23" s="2442">
        <f>+'[40]Sheet 2 - General Insurance'!$D$11</f>
        <v>0</v>
      </c>
      <c r="K23" s="2442">
        <f>+'[40]Sheet 2 - General Insurance'!$D$15</f>
        <v>561</v>
      </c>
      <c r="L23" s="2876">
        <f>+'[40]Sheet 2 - General Insurance'!$E$10+'[40]Sheet 2 - General Insurance'!$F$10</f>
        <v>9134</v>
      </c>
      <c r="M23" s="2876">
        <f>+'[40]Sheet 2 - General Insurance'!$E$11+'[40]Sheet 2 - General Insurance'!$F$11</f>
        <v>41</v>
      </c>
      <c r="N23" s="2876">
        <f>+'[40]Sheet 2 - General Insurance'!$E$15+'[40]Sheet 2 - General Insurance'!$F$15</f>
        <v>8032</v>
      </c>
      <c r="O23" s="2442">
        <f>+'[40]Sheet 2 - General Insurance'!$G$10</f>
        <v>19</v>
      </c>
      <c r="P23" s="2442"/>
      <c r="Q23" s="2442">
        <f>+'[40]Sheet 2 - General Insurance'!$G$15</f>
        <v>16</v>
      </c>
      <c r="R23" s="2442">
        <f>+'[40]Sheet 2 - General Insurance'!$H$10</f>
        <v>89</v>
      </c>
      <c r="S23" s="2442"/>
      <c r="T23" s="2442">
        <f>+'[40]Sheet 2 - General Insurance'!$H$15</f>
        <v>80</v>
      </c>
      <c r="X23" s="45"/>
      <c r="Y23" s="45"/>
      <c r="Z23" s="45"/>
      <c r="AA23" s="45"/>
      <c r="AB23" s="45"/>
      <c r="AC23" s="45"/>
      <c r="AD23" s="45"/>
      <c r="AE23" s="45"/>
    </row>
    <row r="24" spans="1:31">
      <c r="A24" s="58">
        <v>19</v>
      </c>
      <c r="B24" s="2554" t="s">
        <v>110</v>
      </c>
      <c r="C24" s="2940">
        <f t="shared" si="1"/>
        <v>0</v>
      </c>
      <c r="D24" s="2940">
        <f>+G24+J24+M24+P24+S24</f>
        <v>0</v>
      </c>
      <c r="E24" s="2940">
        <f t="shared" si="3"/>
        <v>0</v>
      </c>
      <c r="F24" s="2941"/>
      <c r="G24" s="2941"/>
      <c r="H24" s="2941"/>
      <c r="I24" s="2442"/>
      <c r="J24" s="2442"/>
      <c r="K24" s="2442"/>
      <c r="L24" s="2876"/>
      <c r="M24" s="2876"/>
      <c r="N24" s="2876"/>
      <c r="O24" s="2442"/>
      <c r="P24" s="2442"/>
      <c r="Q24" s="2442"/>
      <c r="R24" s="2442"/>
      <c r="S24" s="2442"/>
      <c r="T24" s="2442"/>
      <c r="X24" s="45"/>
      <c r="Y24" s="45"/>
      <c r="Z24" s="45"/>
      <c r="AA24" s="45"/>
      <c r="AB24" s="45"/>
      <c r="AC24" s="45"/>
      <c r="AD24" s="45"/>
      <c r="AE24" s="45"/>
    </row>
    <row r="25" spans="1:31">
      <c r="B25" s="2736" t="s">
        <v>118</v>
      </c>
      <c r="C25" s="2731">
        <f>SUM(C6:C24)</f>
        <v>1884242</v>
      </c>
      <c r="D25" s="2731">
        <f>SUM(D6:D24)</f>
        <v>2187399</v>
      </c>
      <c r="E25" s="2731">
        <f>SUM(E6:E24)</f>
        <v>3895879</v>
      </c>
      <c r="F25" s="2941">
        <f>SUM(F6:F24)</f>
        <v>70199</v>
      </c>
      <c r="G25" s="2941">
        <f t="shared" ref="G25:S25" si="4">SUM(G6:G24)</f>
        <v>115714</v>
      </c>
      <c r="H25" s="2941">
        <f t="shared" si="4"/>
        <v>182745</v>
      </c>
      <c r="I25" s="2873">
        <f t="shared" si="4"/>
        <v>148869</v>
      </c>
      <c r="J25" s="2873">
        <f t="shared" si="4"/>
        <v>2095</v>
      </c>
      <c r="K25" s="2873">
        <f t="shared" si="4"/>
        <v>118845</v>
      </c>
      <c r="L25" s="2877">
        <f t="shared" si="4"/>
        <v>1534696</v>
      </c>
      <c r="M25" s="2877">
        <f t="shared" si="4"/>
        <v>1984604</v>
      </c>
      <c r="N25" s="2877">
        <f t="shared" si="4"/>
        <v>3443388</v>
      </c>
      <c r="O25" s="2873">
        <f t="shared" si="4"/>
        <v>4709</v>
      </c>
      <c r="P25" s="2873">
        <f t="shared" si="4"/>
        <v>6368</v>
      </c>
      <c r="Q25" s="2873">
        <f t="shared" si="4"/>
        <v>10368</v>
      </c>
      <c r="R25" s="2873">
        <f t="shared" si="4"/>
        <v>125769</v>
      </c>
      <c r="S25" s="2873">
        <f t="shared" si="4"/>
        <v>78618</v>
      </c>
      <c r="T25" s="2873">
        <f>SUM(T6:T24)</f>
        <v>140533</v>
      </c>
    </row>
    <row r="26" spans="1:31">
      <c r="B26" s="44"/>
      <c r="C26" s="157"/>
      <c r="D26" s="157"/>
      <c r="E26" s="157"/>
      <c r="F26" s="157"/>
      <c r="G26" s="157"/>
      <c r="H26" s="157"/>
      <c r="I26" s="157"/>
      <c r="J26" s="157"/>
      <c r="K26" s="157"/>
      <c r="L26" s="157"/>
      <c r="M26" s="157"/>
      <c r="N26" s="157"/>
      <c r="O26" s="157"/>
      <c r="P26" s="157"/>
      <c r="Q26" s="157"/>
      <c r="R26" s="157"/>
      <c r="S26" s="157"/>
      <c r="T26" s="157"/>
    </row>
    <row r="27" spans="1:31">
      <c r="B27" s="44"/>
      <c r="C27" s="157"/>
      <c r="D27" s="157"/>
      <c r="E27" s="157"/>
      <c r="F27" s="157"/>
      <c r="G27" s="157"/>
      <c r="H27" s="157"/>
      <c r="I27" s="157"/>
      <c r="J27" s="157"/>
      <c r="K27" s="157"/>
      <c r="L27" s="157"/>
      <c r="M27" s="157"/>
      <c r="N27" s="157"/>
      <c r="O27" s="157"/>
      <c r="P27" s="157"/>
      <c r="Q27" s="157"/>
      <c r="R27" s="157"/>
      <c r="S27" s="157"/>
      <c r="T27" s="157"/>
    </row>
    <row r="28" spans="1:31">
      <c r="B28" s="3697" t="s">
        <v>730</v>
      </c>
      <c r="C28" s="3699" t="s">
        <v>118</v>
      </c>
      <c r="D28" s="3700"/>
      <c r="E28" s="3701"/>
      <c r="F28" s="3702" t="s">
        <v>436</v>
      </c>
      <c r="G28" s="3703"/>
      <c r="H28" s="3704"/>
      <c r="I28" s="3694" t="s">
        <v>437</v>
      </c>
      <c r="J28" s="3695"/>
      <c r="K28" s="3696"/>
      <c r="L28" s="3705" t="s">
        <v>438</v>
      </c>
      <c r="M28" s="3706"/>
      <c r="N28" s="3707"/>
      <c r="O28" s="3694" t="s">
        <v>722</v>
      </c>
      <c r="P28" s="3695"/>
      <c r="Q28" s="3696"/>
      <c r="R28" s="3694" t="s">
        <v>440</v>
      </c>
      <c r="S28" s="3695"/>
      <c r="T28" s="3696"/>
    </row>
    <row r="29" spans="1:31">
      <c r="B29" s="3698"/>
      <c r="C29" s="2938" t="s">
        <v>975</v>
      </c>
      <c r="D29" s="2938" t="s">
        <v>976</v>
      </c>
      <c r="E29" s="2938" t="s">
        <v>977</v>
      </c>
      <c r="F29" s="2939" t="s">
        <v>975</v>
      </c>
      <c r="G29" s="2939" t="s">
        <v>976</v>
      </c>
      <c r="H29" s="2939" t="s">
        <v>977</v>
      </c>
      <c r="I29" s="2521" t="s">
        <v>975</v>
      </c>
      <c r="J29" s="2521" t="s">
        <v>976</v>
      </c>
      <c r="K29" s="2521" t="s">
        <v>977</v>
      </c>
      <c r="L29" s="2870" t="s">
        <v>975</v>
      </c>
      <c r="M29" s="2870" t="s">
        <v>976</v>
      </c>
      <c r="N29" s="2870" t="s">
        <v>977</v>
      </c>
      <c r="O29" s="2521" t="s">
        <v>975</v>
      </c>
      <c r="P29" s="2521" t="s">
        <v>976</v>
      </c>
      <c r="Q29" s="2521" t="s">
        <v>977</v>
      </c>
      <c r="R29" s="2521" t="s">
        <v>975</v>
      </c>
      <c r="S29" s="2521" t="s">
        <v>976</v>
      </c>
      <c r="T29" s="2521" t="s">
        <v>977</v>
      </c>
    </row>
    <row r="30" spans="1:31">
      <c r="A30" s="58">
        <v>1</v>
      </c>
      <c r="B30" s="2553" t="s">
        <v>177</v>
      </c>
      <c r="C30" s="2940">
        <f t="shared" ref="C30:C42" si="5">+F30+I30+L30+O30+R30</f>
        <v>13693</v>
      </c>
      <c r="D30" s="2940">
        <f t="shared" ref="D30:D42" si="6">+G30+J30+M30+P30+S30</f>
        <v>6904</v>
      </c>
      <c r="E30" s="2940">
        <f t="shared" ref="E30:E42" si="7">+H30+K30+N30+Q30+T30</f>
        <v>18131</v>
      </c>
      <c r="F30" s="2941">
        <f>+'[15]Sheet 2 - General Insurance'!$C$12</f>
        <v>882</v>
      </c>
      <c r="G30" s="2941">
        <f>+'[15]Sheet 2 - General Insurance'!$C$13</f>
        <v>1388</v>
      </c>
      <c r="H30" s="2941">
        <f>+'[15]Sheet 2 - General Insurance'!$C$16</f>
        <v>2082</v>
      </c>
      <c r="I30" s="2942">
        <f>+'[15]Sheet 2 - General Insurance'!$D$12</f>
        <v>5475</v>
      </c>
      <c r="J30" s="2942">
        <f>+'[15]Sheet 2 - General Insurance'!$D$13</f>
        <v>33</v>
      </c>
      <c r="K30" s="2942">
        <f>+'[15]Sheet 2 - General Insurance'!$D$16</f>
        <v>5422</v>
      </c>
      <c r="L30" s="2874">
        <f>+'[15]Sheet 2 - General Insurance'!$E$12+'[15]Sheet 2 - General Insurance'!$F$12</f>
        <v>6437</v>
      </c>
      <c r="M30" s="2874">
        <f>+'[15]Sheet 2 - General Insurance'!$E$13+'[15]Sheet 2 - General Insurance'!$F$13</f>
        <v>4919</v>
      </c>
      <c r="N30" s="2874">
        <f>+'[15]Sheet 2 - General Insurance'!$E$16+'[15]Sheet 2 - General Insurance'!$F$16</f>
        <v>9315</v>
      </c>
      <c r="O30" s="2942">
        <f>+'[15]Sheet 2 - General Insurance'!$G$12</f>
        <v>102</v>
      </c>
      <c r="P30" s="2942">
        <f>+'[15]Sheet 2 - General Insurance'!$G$13</f>
        <v>134</v>
      </c>
      <c r="Q30" s="2942">
        <f>+'[15]Sheet 2 - General Insurance'!$G$16</f>
        <v>229</v>
      </c>
      <c r="R30" s="2942">
        <f>+'[15]Sheet 2 - General Insurance'!$H$12</f>
        <v>797</v>
      </c>
      <c r="S30" s="2942">
        <f>+'[15]Sheet 2 - General Insurance'!$H$13</f>
        <v>430</v>
      </c>
      <c r="T30" s="2942">
        <f>+'[15]Sheet 2 - General Insurance'!$H$16</f>
        <v>1083</v>
      </c>
    </row>
    <row r="31" spans="1:31">
      <c r="A31" s="81">
        <v>2</v>
      </c>
      <c r="B31" s="1772" t="s">
        <v>179</v>
      </c>
      <c r="C31" s="2547">
        <f t="shared" si="5"/>
        <v>2218</v>
      </c>
      <c r="D31" s="2547">
        <f t="shared" si="6"/>
        <v>4393</v>
      </c>
      <c r="E31" s="2547">
        <f t="shared" si="7"/>
        <v>6611</v>
      </c>
      <c r="F31" s="2771">
        <f>+'[13]Sheet 2 - General Insurance'!$C$12</f>
        <v>102</v>
      </c>
      <c r="G31" s="2771">
        <f>+'[13]Sheet 2 - General Insurance'!$C$13</f>
        <v>730</v>
      </c>
      <c r="H31" s="2771">
        <f>+'[13]Sheet 2 - General Insurance'!$C$16</f>
        <v>832</v>
      </c>
      <c r="I31" s="2442">
        <f>+'[13]Sheet 2 - General Insurance'!$D$12</f>
        <v>1648</v>
      </c>
      <c r="J31" s="2442">
        <f>+'[13]Sheet 2 - General Insurance'!$D$13</f>
        <v>22</v>
      </c>
      <c r="K31" s="2442">
        <f>+'[13]Sheet 2 - General Insurance'!$D$16</f>
        <v>1670</v>
      </c>
      <c r="L31" s="2442">
        <f>+'[13]Sheet 2 - General Insurance'!$E$12</f>
        <v>398</v>
      </c>
      <c r="M31" s="2442">
        <f>+'[13]Sheet 2 - General Insurance'!$E$13</f>
        <v>1816</v>
      </c>
      <c r="N31" s="2442">
        <f>+'[13]Sheet 2 - General Insurance'!$E$16</f>
        <v>2214</v>
      </c>
      <c r="O31" s="2442">
        <f>+'[13]Sheet 2 - General Insurance'!$G$12</f>
        <v>9</v>
      </c>
      <c r="P31" s="2442">
        <f>+'[13]Sheet 2 - General Insurance'!$G$13</f>
        <v>184</v>
      </c>
      <c r="Q31" s="2442">
        <f>+'[13]Sheet 2 - General Insurance'!$G$16</f>
        <v>193</v>
      </c>
      <c r="R31" s="2442">
        <f>+'[13]Sheet 2 - General Insurance'!$H$12</f>
        <v>61</v>
      </c>
      <c r="S31" s="2442">
        <f>+'[13]Sheet 2 - General Insurance'!$H$13</f>
        <v>1641</v>
      </c>
      <c r="T31" s="2442">
        <f>+'[13]Sheet 2 - General Insurance'!$H$16</f>
        <v>1702</v>
      </c>
      <c r="X31" s="45"/>
      <c r="Y31" s="45"/>
      <c r="Z31" s="45"/>
      <c r="AA31" s="45"/>
      <c r="AB31" s="45"/>
      <c r="AC31" s="45"/>
      <c r="AD31" s="45"/>
      <c r="AE31" s="45"/>
    </row>
    <row r="32" spans="1:31">
      <c r="A32" s="58">
        <v>3</v>
      </c>
      <c r="B32" s="2553" t="s">
        <v>181</v>
      </c>
      <c r="C32" s="2940">
        <f>+F32+I32+L32+O32+R32</f>
        <v>78498</v>
      </c>
      <c r="D32" s="2940">
        <f>+G32+J32+M32+P32+S32</f>
        <v>62882</v>
      </c>
      <c r="E32" s="2940">
        <f>+H32+K32+N32+Q32+T32</f>
        <v>128781</v>
      </c>
      <c r="F32" s="2941">
        <f>+'[12]Sheet 2 - General Insurance'!$C$12</f>
        <v>5658</v>
      </c>
      <c r="G32" s="2941">
        <f>+'[12]Sheet 2 - General Insurance'!$C$13</f>
        <v>10146</v>
      </c>
      <c r="H32" s="2941">
        <f>+'[12]Sheet 2 - General Insurance'!$C$16</f>
        <v>14028</v>
      </c>
      <c r="I32" s="2442">
        <f>+'[12]Sheet 2 - General Insurance'!$D$12</f>
        <v>15870</v>
      </c>
      <c r="J32" s="2442">
        <f>+'[12]Sheet 2 - General Insurance'!$D$13</f>
        <v>67</v>
      </c>
      <c r="K32" s="2442">
        <f>+'[12]Sheet 2 - General Insurance'!$D$16</f>
        <v>9548</v>
      </c>
      <c r="L32" s="2876">
        <f>+'[12]Sheet 2 - General Insurance'!$E$12+'[12]Sheet 2 - General Insurance'!$F$12</f>
        <v>49962</v>
      </c>
      <c r="M32" s="2876">
        <f>+'[12]Sheet 2 - General Insurance'!$E$13+'[12]Sheet 2 - General Insurance'!$F$13</f>
        <v>45159</v>
      </c>
      <c r="N32" s="2876">
        <f>+'[12]Sheet 2 - General Insurance'!$E$16+'[12]Sheet 2 - General Insurance'!$F$16</f>
        <v>85508</v>
      </c>
      <c r="O32" s="2442">
        <f>+'[12]Sheet 2 - General Insurance'!$G$12</f>
        <v>188</v>
      </c>
      <c r="P32" s="2442">
        <f>+'[12]Sheet 2 - General Insurance'!$G$13</f>
        <v>303</v>
      </c>
      <c r="Q32" s="2442">
        <f>+'[12]Sheet 2 - General Insurance'!$G$16</f>
        <v>393</v>
      </c>
      <c r="R32" s="2442">
        <f>+'[12]Sheet 2 - General Insurance'!$H$12</f>
        <v>6820</v>
      </c>
      <c r="S32" s="2442">
        <f>+'[12]Sheet 2 - General Insurance'!$H$13</f>
        <v>7207</v>
      </c>
      <c r="T32" s="2442">
        <f>+'[12]Sheet 2 - General Insurance'!$H$16</f>
        <v>19304</v>
      </c>
      <c r="X32" s="45"/>
      <c r="Y32" s="45"/>
      <c r="Z32" s="45"/>
      <c r="AA32" s="45"/>
      <c r="AB32" s="45"/>
      <c r="AC32" s="45"/>
      <c r="AD32" s="45"/>
      <c r="AE32" s="45"/>
    </row>
    <row r="33" spans="1:31">
      <c r="A33" s="58">
        <v>4</v>
      </c>
      <c r="B33" s="2553" t="s">
        <v>182</v>
      </c>
      <c r="C33" s="2940">
        <f t="shared" si="5"/>
        <v>85003</v>
      </c>
      <c r="D33" s="2940">
        <f t="shared" si="6"/>
        <v>47598</v>
      </c>
      <c r="E33" s="2940">
        <f t="shared" si="7"/>
        <v>107094</v>
      </c>
      <c r="F33" s="2941">
        <f>+'[53]Sheet 2 - General Insurance'!$C$12</f>
        <v>937</v>
      </c>
      <c r="G33" s="2941">
        <f>+'[53]Sheet 2 - General Insurance'!$C$13</f>
        <v>616</v>
      </c>
      <c r="H33" s="2941">
        <f>+'[53]Sheet 2 - General Insurance'!$C$16</f>
        <v>1263</v>
      </c>
      <c r="I33" s="2442">
        <f>+'[53]Sheet 2 - General Insurance'!$D$12</f>
        <v>5889</v>
      </c>
      <c r="J33" s="2442">
        <f>+'[53]Sheet 2 - General Insurance'!$D$13</f>
        <v>12</v>
      </c>
      <c r="K33" s="2442">
        <f>+'[53]Sheet 2 - General Insurance'!$D$16</f>
        <v>5850</v>
      </c>
      <c r="L33" s="2876">
        <f>+'[53]Sheet 2 - General Insurance'!$E$12+'[53]Sheet 2 - General Insurance'!$F$12</f>
        <v>76811</v>
      </c>
      <c r="M33" s="2876">
        <f>+'[53]Sheet 2 - General Insurance'!$E$13+'[53]Sheet 2 - General Insurance'!$F$13</f>
        <v>45192</v>
      </c>
      <c r="N33" s="2876">
        <f>+'[53]Sheet 2 - General Insurance'!$E$16+'[53]Sheet 2 - General Insurance'!$F$16</f>
        <v>97673</v>
      </c>
      <c r="O33" s="2442">
        <f>+'[53]Sheet 2 - General Insurance'!$G$12</f>
        <v>109</v>
      </c>
      <c r="P33" s="2442">
        <f>+'[53]Sheet 2 - General Insurance'!$G$13</f>
        <v>86</v>
      </c>
      <c r="Q33" s="2442">
        <f>+'[53]Sheet 2 - General Insurance'!$G$16</f>
        <v>145</v>
      </c>
      <c r="R33" s="2442">
        <f>+'[53]Sheet 2 - General Insurance'!$H$12</f>
        <v>1257</v>
      </c>
      <c r="S33" s="2442">
        <f>+'[53]Sheet 2 - General Insurance'!$H$13</f>
        <v>1692</v>
      </c>
      <c r="T33" s="2442">
        <f>+'[53]Sheet 2 - General Insurance'!$H$16</f>
        <v>2163</v>
      </c>
      <c r="X33" s="45"/>
      <c r="Y33" s="45"/>
      <c r="Z33" s="45"/>
      <c r="AA33" s="45"/>
      <c r="AB33" s="45"/>
      <c r="AC33" s="45"/>
      <c r="AD33" s="45"/>
      <c r="AE33" s="45"/>
    </row>
    <row r="34" spans="1:31">
      <c r="A34" s="58">
        <v>5</v>
      </c>
      <c r="B34" s="2554" t="s">
        <v>183</v>
      </c>
      <c r="C34" s="2940">
        <f t="shared" si="5"/>
        <v>29036</v>
      </c>
      <c r="D34" s="2940">
        <f t="shared" si="6"/>
        <v>37443</v>
      </c>
      <c r="E34" s="2940">
        <f t="shared" si="7"/>
        <v>340979</v>
      </c>
      <c r="F34" s="2941">
        <f>+'[54]Sheet 2 - General Insurance'!$C$12</f>
        <v>597</v>
      </c>
      <c r="G34" s="2941">
        <f>+'[54]Sheet 2 - General Insurance'!$C$13</f>
        <v>788</v>
      </c>
      <c r="H34" s="2941">
        <f>+'[54]Sheet 2 - General Insurance'!$C$16</f>
        <v>5585</v>
      </c>
      <c r="I34" s="2442">
        <f>+'[54]Sheet 2 - General Insurance'!$D$12</f>
        <v>6466</v>
      </c>
      <c r="J34" s="2442">
        <f>+'[54]Sheet 2 - General Insurance'!$D$13</f>
        <v>29</v>
      </c>
      <c r="K34" s="2442">
        <f>+'[54]Sheet 2 - General Insurance'!$D$16</f>
        <v>36765</v>
      </c>
      <c r="L34" s="2876">
        <f>+'[54]Sheet 2 - General Insurance'!$F$12</f>
        <v>696</v>
      </c>
      <c r="M34" s="2876">
        <f>+'[54]Sheet 2 - General Insurance'!$F$13</f>
        <v>1155</v>
      </c>
      <c r="N34" s="2876">
        <f>+'[54]Sheet 2 - General Insurance'!$F$16</f>
        <v>17736</v>
      </c>
      <c r="O34" s="2442">
        <f>+'[54]Sheet 2 - General Insurance'!$G$12</f>
        <v>6</v>
      </c>
      <c r="P34" s="2442">
        <f>+'[54]Sheet 2 - General Insurance'!$G$13</f>
        <v>10</v>
      </c>
      <c r="Q34" s="2442">
        <f>+'[54]Sheet 2 - General Insurance'!$G$16</f>
        <v>658</v>
      </c>
      <c r="R34" s="2442">
        <f>+'[54]Sheet 2 - General Insurance'!$H$12</f>
        <v>21271</v>
      </c>
      <c r="S34" s="2442">
        <f>+'[54]Sheet 2 - General Insurance'!$H$13</f>
        <v>35461</v>
      </c>
      <c r="T34" s="2442">
        <f>+'[54]Sheet 2 - General Insurance'!$H$16</f>
        <v>280235</v>
      </c>
      <c r="X34" s="45"/>
      <c r="Y34" s="45"/>
      <c r="Z34" s="45"/>
      <c r="AA34" s="45"/>
      <c r="AB34" s="45"/>
      <c r="AC34" s="45"/>
      <c r="AD34" s="45"/>
      <c r="AE34" s="45"/>
    </row>
    <row r="35" spans="1:31">
      <c r="A35" s="58">
        <v>6</v>
      </c>
      <c r="B35" s="2554" t="s">
        <v>184</v>
      </c>
      <c r="C35" s="2940">
        <f t="shared" si="5"/>
        <v>31573</v>
      </c>
      <c r="D35" s="2940">
        <f t="shared" si="6"/>
        <v>12137</v>
      </c>
      <c r="E35" s="2940">
        <f t="shared" si="7"/>
        <v>37248</v>
      </c>
      <c r="F35" s="2941">
        <f>+'[41]Sheet 2 - General Insurance'!$C$12</f>
        <v>92</v>
      </c>
      <c r="G35" s="2941">
        <f>+'[41]Sheet 2 - General Insurance'!$C$13</f>
        <v>437</v>
      </c>
      <c r="H35" s="2941">
        <f>+'[41]Sheet 2 - General Insurance'!$C$16</f>
        <v>476</v>
      </c>
      <c r="I35" s="2442">
        <f>+'[41]Sheet 2 - General Insurance'!$D$12</f>
        <v>785</v>
      </c>
      <c r="J35" s="2442">
        <f>+'[41]Sheet 2 - General Insurance'!$D$13</f>
        <v>193</v>
      </c>
      <c r="K35" s="2442">
        <f>+'[41]Sheet 2 - General Insurance'!$D$16</f>
        <v>797</v>
      </c>
      <c r="L35" s="2876">
        <f>+'[41]Sheet 2 - General Insurance'!$E$12+'[41]Sheet 2 - General Insurance'!$F$12</f>
        <v>30608</v>
      </c>
      <c r="M35" s="2876">
        <f>+'[41]Sheet 2 - General Insurance'!$E$13+'[41]Sheet 2 - General Insurance'!$F$13</f>
        <v>10884</v>
      </c>
      <c r="N35" s="2876">
        <f>+'[41]Sheet 2 - General Insurance'!$E$16+'[41]Sheet 2 - General Insurance'!$F$16</f>
        <v>35364</v>
      </c>
      <c r="O35" s="2442">
        <f>+'[41]Sheet 2 - General Insurance'!$G$12</f>
        <v>8</v>
      </c>
      <c r="P35" s="2442">
        <f>+'[41]Sheet 2 - General Insurance'!$G$13</f>
        <v>15</v>
      </c>
      <c r="Q35" s="2442">
        <f>+'[41]Sheet 2 - General Insurance'!$G$16</f>
        <v>18</v>
      </c>
      <c r="R35" s="2442">
        <f>+'[41]Sheet 2 - General Insurance'!$H$12</f>
        <v>80</v>
      </c>
      <c r="S35" s="2442">
        <f>+'[41]Sheet 2 - General Insurance'!$H$13</f>
        <v>608</v>
      </c>
      <c r="T35" s="2442">
        <f>+'[41]Sheet 2 - General Insurance'!$H$16</f>
        <v>593</v>
      </c>
      <c r="X35" s="45"/>
      <c r="Y35" s="45"/>
      <c r="Z35" s="45"/>
      <c r="AA35" s="45"/>
      <c r="AB35" s="45"/>
      <c r="AC35" s="45"/>
      <c r="AD35" s="45"/>
      <c r="AE35" s="45"/>
    </row>
    <row r="36" spans="1:31">
      <c r="A36" s="58">
        <v>7</v>
      </c>
      <c r="B36" s="2553" t="s">
        <v>185</v>
      </c>
      <c r="C36" s="2940">
        <f t="shared" si="5"/>
        <v>650308</v>
      </c>
      <c r="D36" s="2940">
        <f t="shared" si="6"/>
        <v>628651</v>
      </c>
      <c r="E36" s="2940">
        <f t="shared" si="7"/>
        <v>1278959</v>
      </c>
      <c r="F36" s="2941">
        <f>+'[16]Sheet 2 - General Insurance'!$C$12</f>
        <v>20637</v>
      </c>
      <c r="G36" s="2941">
        <f>+'[16]Sheet 2 - General Insurance'!$C$13</f>
        <v>56007</v>
      </c>
      <c r="H36" s="2941">
        <f>+'[16]Sheet 2 - General Insurance'!$C$16</f>
        <v>76644</v>
      </c>
      <c r="I36" s="2442">
        <f>+'[16]Sheet 2 - General Insurance'!$D$12</f>
        <v>55436</v>
      </c>
      <c r="J36" s="2442">
        <f>+'[16]Sheet 2 - General Insurance'!$D$13</f>
        <v>65</v>
      </c>
      <c r="K36" s="2442">
        <f>+'[16]Sheet 2 - General Insurance'!$D$16</f>
        <v>55501</v>
      </c>
      <c r="L36" s="2876">
        <f>+'[16]Sheet 2 - General Insurance'!$E$12+'[16]Sheet 2 - General Insurance'!$F$12</f>
        <v>423259</v>
      </c>
      <c r="M36" s="2876">
        <f>+'[16]Sheet 2 - General Insurance'!$E$13+'[16]Sheet 2 - General Insurance'!$F$13</f>
        <v>523274</v>
      </c>
      <c r="N36" s="2876">
        <f>+'[16]Sheet 2 - General Insurance'!$E$16+'[16]Sheet 2 - General Insurance'!$F$16</f>
        <v>946533</v>
      </c>
      <c r="O36" s="2442">
        <f>+'[16]Sheet 2 - General Insurance'!$G$12</f>
        <v>2539</v>
      </c>
      <c r="P36" s="2442">
        <f>+'[16]Sheet 2 - General Insurance'!$G$13</f>
        <v>4239</v>
      </c>
      <c r="Q36" s="2442">
        <f>+'[16]Sheet 2 - General Insurance'!$G$16</f>
        <v>6778</v>
      </c>
      <c r="R36" s="2442">
        <f>+'[16]Sheet 2 - General Insurance'!$H$12</f>
        <v>148437</v>
      </c>
      <c r="S36" s="2442">
        <f>+'[16]Sheet 2 - General Insurance'!$H$13</f>
        <v>45066</v>
      </c>
      <c r="T36" s="2442">
        <f>+'[16]Sheet 2 - General Insurance'!$H$16</f>
        <v>193503</v>
      </c>
      <c r="X36" s="45"/>
      <c r="Y36" s="45"/>
      <c r="Z36" s="45"/>
      <c r="AA36" s="45"/>
      <c r="AB36" s="45"/>
      <c r="AC36" s="45"/>
      <c r="AD36" s="45"/>
      <c r="AE36" s="45"/>
    </row>
    <row r="37" spans="1:31">
      <c r="A37" s="58">
        <v>8</v>
      </c>
      <c r="B37" s="2553" t="s">
        <v>186</v>
      </c>
      <c r="C37" s="2940">
        <f t="shared" si="5"/>
        <v>145213</v>
      </c>
      <c r="D37" s="2940">
        <f t="shared" si="6"/>
        <v>40943</v>
      </c>
      <c r="E37" s="2940">
        <f t="shared" si="7"/>
        <v>171396</v>
      </c>
      <c r="F37" s="2941">
        <f>+'[42]Sheet 2 - General Insurance'!$C$12</f>
        <v>3049</v>
      </c>
      <c r="G37" s="2941">
        <f>+'[42]Sheet 2 - General Insurance'!$C$13</f>
        <v>1160</v>
      </c>
      <c r="H37" s="2941">
        <f>+'[42]Sheet 2 - General Insurance'!$C$16</f>
        <v>4584</v>
      </c>
      <c r="I37" s="2442">
        <f>+'[42]Sheet 2 - General Insurance'!$D$12</f>
        <v>1397</v>
      </c>
      <c r="J37" s="2442">
        <f>+'[42]Sheet 2 - General Insurance'!$D$13</f>
        <v>172</v>
      </c>
      <c r="K37" s="2442">
        <f>+'[42]Sheet 2 - General Insurance'!$D$16</f>
        <v>1101</v>
      </c>
      <c r="L37" s="2876">
        <f>+'[42]Sheet 2 - General Insurance'!$E$12+'[42]Sheet 2 - General Insurance'!$F$12</f>
        <v>126100</v>
      </c>
      <c r="M37" s="2876">
        <f>+'[42]Sheet 2 - General Insurance'!$E$13+'[42]Sheet 2 - General Insurance'!$F$13</f>
        <v>38238</v>
      </c>
      <c r="N37" s="2876">
        <f>+'[42]Sheet 2 - General Insurance'!$E$16+'[42]Sheet 2 - General Insurance'!$F$16</f>
        <v>164338</v>
      </c>
      <c r="O37" s="2442">
        <f>+'[42]Sheet 2 - General Insurance'!$G$12</f>
        <v>406</v>
      </c>
      <c r="P37" s="2442">
        <f>+'[42]Sheet 2 - General Insurance'!$G$13</f>
        <v>95</v>
      </c>
      <c r="Q37" s="2442">
        <f>+'[42]Sheet 2 - General Insurance'!$G$16</f>
        <v>95</v>
      </c>
      <c r="R37" s="2442">
        <f>+'[42]Sheet 2 - General Insurance'!$H$12</f>
        <v>14261</v>
      </c>
      <c r="S37" s="2442">
        <f>+'[42]Sheet 2 - General Insurance'!$H$13</f>
        <v>1278</v>
      </c>
      <c r="T37" s="2442">
        <f>+'[42]Sheet 2 - General Insurance'!$H$16</f>
        <v>1278</v>
      </c>
      <c r="X37" s="45"/>
      <c r="Y37" s="45"/>
      <c r="Z37" s="45"/>
      <c r="AA37" s="45"/>
      <c r="AB37" s="45"/>
      <c r="AC37" s="45"/>
      <c r="AD37" s="45"/>
      <c r="AE37" s="45"/>
    </row>
    <row r="38" spans="1:31">
      <c r="A38" s="58">
        <v>9</v>
      </c>
      <c r="B38" s="2554" t="s">
        <v>187</v>
      </c>
      <c r="C38" s="2940">
        <f t="shared" si="5"/>
        <v>0</v>
      </c>
      <c r="D38" s="2940">
        <f t="shared" si="6"/>
        <v>0</v>
      </c>
      <c r="E38" s="2940">
        <f t="shared" si="7"/>
        <v>0</v>
      </c>
      <c r="F38" s="2941"/>
      <c r="G38" s="2941"/>
      <c r="H38" s="2941"/>
      <c r="I38" s="2442"/>
      <c r="J38" s="2442"/>
      <c r="K38" s="2442"/>
      <c r="L38" s="2876"/>
      <c r="M38" s="2876"/>
      <c r="N38" s="2876"/>
      <c r="O38" s="2442"/>
      <c r="P38" s="2442"/>
      <c r="Q38" s="2442"/>
      <c r="R38" s="2442"/>
      <c r="S38" s="2442"/>
      <c r="T38" s="2442"/>
      <c r="X38" s="45"/>
      <c r="Y38" s="45"/>
      <c r="Z38" s="45"/>
      <c r="AA38" s="45"/>
      <c r="AB38" s="45"/>
      <c r="AC38" s="45"/>
      <c r="AD38" s="45"/>
      <c r="AE38" s="45"/>
    </row>
    <row r="39" spans="1:31">
      <c r="A39" s="81">
        <v>10</v>
      </c>
      <c r="B39" s="1772" t="s">
        <v>188</v>
      </c>
      <c r="C39" s="2547">
        <f t="shared" si="5"/>
        <v>62952</v>
      </c>
      <c r="D39" s="2547">
        <f t="shared" si="6"/>
        <v>52211</v>
      </c>
      <c r="E39" s="2547">
        <f t="shared" si="7"/>
        <v>115163</v>
      </c>
      <c r="F39" s="2771">
        <f>+'[17]Sheet 2 - General Insurance'!$C$12</f>
        <v>13515</v>
      </c>
      <c r="G39" s="2771">
        <f>+'[17]Sheet 2 - General Insurance'!$C$13</f>
        <v>14917</v>
      </c>
      <c r="H39" s="2771">
        <f>+'[17]Sheet 2 - General Insurance'!$C$16</f>
        <v>28432</v>
      </c>
      <c r="I39" s="2442">
        <f>+'[17]Sheet 2 - General Insurance'!$D$12</f>
        <v>5002</v>
      </c>
      <c r="J39" s="2442">
        <f>+'[17]Sheet 2 - General Insurance'!$D$13</f>
        <v>329</v>
      </c>
      <c r="K39" s="2442">
        <f>+'[17]Sheet 2 - General Insurance'!$D$16</f>
        <v>5331</v>
      </c>
      <c r="L39" s="2442">
        <f>+'[17]Sheet 2 - General Insurance'!$E$12+'[17]Sheet 2 - General Insurance'!$F$12</f>
        <v>38690</v>
      </c>
      <c r="M39" s="2442">
        <f>+'[17]Sheet 2 - General Insurance'!$E$13+'[17]Sheet 2 - General Insurance'!$F$13</f>
        <v>34628</v>
      </c>
      <c r="N39" s="2442">
        <f>+'[17]Sheet 2 - General Insurance'!$E$16+'[17]Sheet 2 - General Insurance'!$F$16</f>
        <v>73318</v>
      </c>
      <c r="O39" s="2442">
        <f>+'[17]Sheet 2 - General Insurance'!$G$12</f>
        <v>407</v>
      </c>
      <c r="P39" s="2442">
        <f>+'[17]Sheet 2 - General Insurance'!$G$13</f>
        <v>153</v>
      </c>
      <c r="Q39" s="2442">
        <f>+'[17]Sheet 2 - General Insurance'!$G$16</f>
        <v>560</v>
      </c>
      <c r="R39" s="2442">
        <f>+'[17]Sheet 2 - General Insurance'!$H$12</f>
        <v>5338</v>
      </c>
      <c r="S39" s="2442">
        <f>+'[17]Sheet 2 - General Insurance'!$H$13</f>
        <v>2184</v>
      </c>
      <c r="T39" s="2442">
        <f>+'[17]Sheet 2 - General Insurance'!$H$16</f>
        <v>7522</v>
      </c>
      <c r="X39" s="45"/>
      <c r="Y39" s="45"/>
      <c r="Z39" s="45"/>
      <c r="AA39" s="45"/>
      <c r="AB39" s="45"/>
      <c r="AC39" s="45"/>
      <c r="AD39" s="45"/>
      <c r="AE39" s="45"/>
    </row>
    <row r="40" spans="1:31">
      <c r="A40" s="58">
        <v>11</v>
      </c>
      <c r="B40" s="2553" t="s">
        <v>189</v>
      </c>
      <c r="C40" s="2940">
        <f t="shared" si="5"/>
        <v>229393</v>
      </c>
      <c r="D40" s="2940">
        <f t="shared" si="6"/>
        <v>226856</v>
      </c>
      <c r="E40" s="2940">
        <f t="shared" si="7"/>
        <v>412673</v>
      </c>
      <c r="F40" s="2771">
        <f>+'[18]Sheet 2 - General Insurance'!$C$12</f>
        <v>5147</v>
      </c>
      <c r="G40" s="2771">
        <f>+'[18]Sheet 2 - General Insurance'!$C$13</f>
        <v>5454</v>
      </c>
      <c r="H40" s="2771">
        <v>9968</v>
      </c>
      <c r="I40" s="2442">
        <f>+'[18]Sheet 2 - General Insurance'!$D$12</f>
        <v>15261</v>
      </c>
      <c r="J40" s="2442">
        <f>+'[18]Sheet 2 - General Insurance'!$D$13</f>
        <v>83</v>
      </c>
      <c r="K40" s="2442">
        <f>+'[55]Sheet 2 - General Insurance'!$D$16</f>
        <v>14630</v>
      </c>
      <c r="L40" s="2442">
        <v>195647</v>
      </c>
      <c r="M40" s="2442">
        <v>218314</v>
      </c>
      <c r="N40" s="2442">
        <v>373127</v>
      </c>
      <c r="O40" s="2442">
        <v>0</v>
      </c>
      <c r="P40" s="2442">
        <v>0</v>
      </c>
      <c r="Q40" s="2442">
        <v>0</v>
      </c>
      <c r="R40" s="2442">
        <f>+'[18]Sheet 2 - General Insurance'!$H$12</f>
        <v>13338</v>
      </c>
      <c r="S40" s="2442">
        <f>+'[18]Sheet 2 - General Insurance'!$H$13</f>
        <v>3005</v>
      </c>
      <c r="T40" s="2442">
        <f>+'[55]Sheet 2 - General Insurance'!$H$16</f>
        <v>14948</v>
      </c>
      <c r="X40" s="45"/>
      <c r="Y40" s="45"/>
      <c r="Z40" s="45"/>
      <c r="AA40" s="45"/>
      <c r="AB40" s="45"/>
      <c r="AC40" s="45"/>
      <c r="AD40" s="45"/>
      <c r="AE40" s="45"/>
    </row>
    <row r="41" spans="1:31">
      <c r="A41" s="58">
        <v>12</v>
      </c>
      <c r="B41" s="2553" t="s">
        <v>191</v>
      </c>
      <c r="C41" s="2940">
        <f t="shared" si="5"/>
        <v>28290</v>
      </c>
      <c r="D41" s="2940">
        <f t="shared" si="6"/>
        <v>0</v>
      </c>
      <c r="E41" s="2940">
        <f t="shared" si="7"/>
        <v>28290</v>
      </c>
      <c r="F41" s="2941">
        <v>0</v>
      </c>
      <c r="G41" s="2941"/>
      <c r="H41" s="2941">
        <v>0</v>
      </c>
      <c r="I41" s="2442"/>
      <c r="J41" s="2442"/>
      <c r="K41" s="2442"/>
      <c r="L41" s="2876">
        <f>+'[43]Sheet 2 - General Insurance'!$F$12</f>
        <v>28290</v>
      </c>
      <c r="M41" s="2876"/>
      <c r="N41" s="2876">
        <f>+'[46]Sheet 2 - General Insurance'!$F$16</f>
        <v>28290</v>
      </c>
      <c r="O41" s="2442">
        <v>0</v>
      </c>
      <c r="P41" s="2442"/>
      <c r="Q41" s="2442">
        <v>0</v>
      </c>
      <c r="R41" s="2442">
        <v>0</v>
      </c>
      <c r="S41" s="2442"/>
      <c r="T41" s="2442"/>
      <c r="X41" s="45"/>
      <c r="Y41" s="45"/>
      <c r="Z41" s="45"/>
      <c r="AA41" s="45"/>
      <c r="AB41" s="45"/>
      <c r="AC41" s="45"/>
      <c r="AD41" s="45"/>
      <c r="AE41" s="45"/>
    </row>
    <row r="42" spans="1:31">
      <c r="A42" s="58">
        <v>13</v>
      </c>
      <c r="B42" s="2553" t="s">
        <v>192</v>
      </c>
      <c r="C42" s="2940">
        <f t="shared" si="5"/>
        <v>27091</v>
      </c>
      <c r="D42" s="2940">
        <f t="shared" si="6"/>
        <v>11480</v>
      </c>
      <c r="E42" s="2940">
        <f t="shared" si="7"/>
        <v>33960</v>
      </c>
      <c r="F42" s="2941">
        <f>+'[47]Sheet 2 - General Insurance'!$C$12</f>
        <v>844</v>
      </c>
      <c r="G42" s="2941">
        <f>+'[47]Sheet 2 - General Insurance'!$C$13</f>
        <v>292</v>
      </c>
      <c r="H42" s="2941">
        <f>+'[47]Sheet 2 - General Insurance'!$C$16</f>
        <v>1008</v>
      </c>
      <c r="I42" s="2442">
        <f>+'[47]Sheet 2 - General Insurance'!$D$12</f>
        <v>1540</v>
      </c>
      <c r="J42" s="2442">
        <f>+'[47]Sheet 2 - General Insurance'!$D$13</f>
        <v>145</v>
      </c>
      <c r="K42" s="2442">
        <f>+'[47]Sheet 2 - General Insurance'!$D$16</f>
        <v>1532</v>
      </c>
      <c r="L42" s="2876">
        <f>+'[47]Sheet 2 - General Insurance'!$F$12</f>
        <v>23081</v>
      </c>
      <c r="M42" s="2876">
        <f>+'[47]Sheet 2 - General Insurance'!$F$13</f>
        <v>10665</v>
      </c>
      <c r="N42" s="2876">
        <f>+'[47]Sheet 2 - General Insurance'!$F$16</f>
        <v>29587</v>
      </c>
      <c r="O42" s="2442">
        <v>0</v>
      </c>
      <c r="P42" s="2442"/>
      <c r="Q42" s="2442"/>
      <c r="R42" s="2442">
        <f>+'[47]Sheet 2 - General Insurance'!$H$12</f>
        <v>1626</v>
      </c>
      <c r="S42" s="2442">
        <f>+'[47]Sheet 2 - General Insurance'!$H$13</f>
        <v>378</v>
      </c>
      <c r="T42" s="2442">
        <f>+'[47]Sheet 2 - General Insurance'!$H$16</f>
        <v>1833</v>
      </c>
      <c r="X42" s="45"/>
      <c r="Y42" s="45"/>
      <c r="Z42" s="45"/>
      <c r="AA42" s="45"/>
      <c r="AB42" s="45"/>
      <c r="AC42" s="45"/>
      <c r="AD42" s="45"/>
      <c r="AE42" s="45"/>
    </row>
    <row r="43" spans="1:31">
      <c r="A43" s="58">
        <v>14</v>
      </c>
      <c r="B43" s="2554" t="s">
        <v>194</v>
      </c>
      <c r="C43" s="2940">
        <f t="shared" ref="C43:C48" si="8">+F43+I43+L43+O43+R43</f>
        <v>56735</v>
      </c>
      <c r="D43" s="2940">
        <f t="shared" ref="D43:D48" si="9">+G43+J43+M43+P43+S43</f>
        <v>20358</v>
      </c>
      <c r="E43" s="2940">
        <f t="shared" ref="E43:E48" si="10">+H43+K43+N43+Q43+T43</f>
        <v>72987</v>
      </c>
      <c r="F43" s="2941">
        <f>+'[44]Sheet 2 - General Insurance'!$C$12</f>
        <v>4535</v>
      </c>
      <c r="G43" s="2941">
        <f>+'[44]Sheet 2 - General Insurance'!$C$13</f>
        <v>1545</v>
      </c>
      <c r="H43" s="2941">
        <f>+'[44]Sheet 2 - General Insurance'!$C$16</f>
        <v>6080</v>
      </c>
      <c r="I43" s="2442">
        <f>+'[44]Sheet 2 - General Insurance'!$D$12</f>
        <v>2346</v>
      </c>
      <c r="J43" s="2442"/>
      <c r="K43" s="2442">
        <f>+'[44]Sheet 2 - General Insurance'!$D$16</f>
        <v>2346</v>
      </c>
      <c r="L43" s="2876">
        <f>+'[44]Sheet 2 - General Insurance'!$E$12+'[44]Sheet 2 - General Insurance'!$F$12</f>
        <v>47377</v>
      </c>
      <c r="M43" s="2876">
        <f>+'[44]Sheet 2 - General Insurance'!$E$13+'[44]Sheet 2 - General Insurance'!$F$13</f>
        <v>18760</v>
      </c>
      <c r="N43" s="2876">
        <f>+'[44]Sheet 2 - General Insurance'!$E$16+'[44]Sheet 2 - General Insurance'!$F$16</f>
        <v>62031</v>
      </c>
      <c r="O43" s="2442">
        <f>+'[44]Sheet 2 - General Insurance'!$G$12</f>
        <v>3</v>
      </c>
      <c r="P43" s="2442">
        <f>+'[44]Sheet 2 - General Insurance'!$G$13</f>
        <v>1</v>
      </c>
      <c r="Q43" s="2442">
        <f>+'[44]Sheet 2 - General Insurance'!$G$16</f>
        <v>4</v>
      </c>
      <c r="R43" s="2442">
        <f>+'[44]Sheet 2 - General Insurance'!$H$12</f>
        <v>2474</v>
      </c>
      <c r="S43" s="2442">
        <f>+'[44]Sheet 2 - General Insurance'!$H$13</f>
        <v>52</v>
      </c>
      <c r="T43" s="2442">
        <f>+'[44]Sheet 2 - General Insurance'!$H$16</f>
        <v>2526</v>
      </c>
      <c r="X43" s="45"/>
      <c r="Y43" s="45"/>
      <c r="Z43" s="45"/>
      <c r="AA43" s="45"/>
      <c r="AB43" s="45"/>
      <c r="AC43" s="45"/>
      <c r="AD43" s="45"/>
      <c r="AE43" s="45"/>
    </row>
    <row r="44" spans="1:31">
      <c r="A44" s="58">
        <v>15</v>
      </c>
      <c r="B44" s="2553" t="s">
        <v>195</v>
      </c>
      <c r="C44" s="2940">
        <f t="shared" si="8"/>
        <v>483938</v>
      </c>
      <c r="D44" s="2940">
        <f>+G44+J44+M44+P44+S44</f>
        <v>734810</v>
      </c>
      <c r="E44" s="2940">
        <f t="shared" si="10"/>
        <v>1199211</v>
      </c>
      <c r="F44" s="2941">
        <f>+'[51]Sheet 2 - General Insurance'!$C$12</f>
        <v>14492</v>
      </c>
      <c r="G44" s="2941">
        <f>+'[51]Sheet 2 - General Insurance'!$C$13</f>
        <v>25017</v>
      </c>
      <c r="H44" s="2941">
        <f>+'[51]Sheet 2 - General Insurance'!$C$16</f>
        <v>41196</v>
      </c>
      <c r="I44" s="2442">
        <f>+'[51]Sheet 2 - General Insurance'!$D$12</f>
        <v>20656</v>
      </c>
      <c r="J44" s="2442">
        <f>+'[51]Sheet 2 - General Insurance'!$D$13</f>
        <v>605</v>
      </c>
      <c r="K44" s="2442">
        <f>+'[51]Sheet 2 - General Insurance'!$D$16</f>
        <v>2291</v>
      </c>
      <c r="L44" s="2876">
        <f>+'[51]Sheet 2 - General Insurance'!$E$12+'[51]Sheet 2 - General Insurance'!$F$12</f>
        <v>436467</v>
      </c>
      <c r="M44" s="2876">
        <f>+'[51]Sheet 2 - General Insurance'!$E$13+'[51]Sheet 2 - General Insurance'!$F$13</f>
        <v>689350</v>
      </c>
      <c r="N44" s="2876">
        <f>+'[51]Sheet 2 - General Insurance'!$E$16+'[51]Sheet 2 - General Insurance'!$F$16</f>
        <v>1132406</v>
      </c>
      <c r="O44" s="2442">
        <f>+'[51]Sheet 2 - General Insurance'!$G$12</f>
        <v>891</v>
      </c>
      <c r="P44" s="2442">
        <f>+'[51]Sheet 2 - General Insurance'!$G$13</f>
        <v>1325</v>
      </c>
      <c r="Q44" s="2442">
        <f>+'[51]Sheet 2 - General Insurance'!$G$16</f>
        <v>2004</v>
      </c>
      <c r="R44" s="2442">
        <f>+'[51]Sheet 2 - General Insurance'!$H$12</f>
        <v>11432</v>
      </c>
      <c r="S44" s="2442">
        <f>+'[51]Sheet 2 - General Insurance'!$H$13</f>
        <v>18513</v>
      </c>
      <c r="T44" s="2442">
        <f>+'[51]Sheet 2 - General Insurance'!$H$16</f>
        <v>21314</v>
      </c>
      <c r="X44" s="45"/>
      <c r="Y44" s="45"/>
      <c r="Z44" s="45"/>
      <c r="AA44" s="45"/>
      <c r="AB44" s="45"/>
      <c r="AC44" s="45"/>
      <c r="AD44" s="45"/>
      <c r="AE44" s="45"/>
    </row>
    <row r="45" spans="1:31">
      <c r="A45" s="58">
        <v>16</v>
      </c>
      <c r="B45" s="2553" t="s">
        <v>196</v>
      </c>
      <c r="C45" s="2940">
        <f t="shared" si="8"/>
        <v>30152</v>
      </c>
      <c r="D45" s="2940">
        <f t="shared" si="9"/>
        <v>14687</v>
      </c>
      <c r="E45" s="2940">
        <f t="shared" si="10"/>
        <v>44104</v>
      </c>
      <c r="F45" s="2941">
        <f>+'[19]Sheet 2 - General Insurance'!$C$12</f>
        <v>945</v>
      </c>
      <c r="G45" s="2941">
        <f>+'[19]Sheet 2 - General Insurance'!$C$13</f>
        <v>170</v>
      </c>
      <c r="H45" s="2941">
        <f>+'[19]Sheet 2 - General Insurance'!$C$16</f>
        <v>1115</v>
      </c>
      <c r="I45" s="2442">
        <v>0</v>
      </c>
      <c r="J45" s="2442">
        <v>0</v>
      </c>
      <c r="K45" s="2442">
        <v>0</v>
      </c>
      <c r="L45" s="2876">
        <f>+'[19]Sheet 2 - General Insurance'!$E$12</f>
        <v>24166</v>
      </c>
      <c r="M45" s="2876">
        <f>+'[19]Sheet 2 - General Insurance'!$E$13</f>
        <v>13185</v>
      </c>
      <c r="N45" s="2876">
        <f>+'[19]Sheet 2 - General Insurance'!$E$16+'[19]Sheet 2 - General Insurance'!$F$16</f>
        <v>37179</v>
      </c>
      <c r="O45" s="2442">
        <f>+'[19]Sheet 2 - General Insurance'!$G$12</f>
        <v>24</v>
      </c>
      <c r="P45" s="2442">
        <f>+'[19]Sheet 2 - General Insurance'!$G$13</f>
        <v>2</v>
      </c>
      <c r="Q45" s="2442">
        <f>+'[19]Sheet 2 - General Insurance'!$G$16</f>
        <v>26</v>
      </c>
      <c r="R45" s="2442">
        <f>+'[19]Sheet 2 - General Insurance'!$H$12</f>
        <v>5017</v>
      </c>
      <c r="S45" s="2442">
        <f>+'[19]Sheet 2 - General Insurance'!$H$13</f>
        <v>1330</v>
      </c>
      <c r="T45" s="2442">
        <f>+'[19]Sheet 2 - General Insurance'!$H$16</f>
        <v>5784</v>
      </c>
      <c r="X45" s="45"/>
      <c r="Y45" s="45"/>
      <c r="Z45" s="45"/>
      <c r="AA45" s="45"/>
      <c r="AB45" s="45"/>
      <c r="AC45" s="45"/>
      <c r="AD45" s="45"/>
      <c r="AE45" s="45"/>
    </row>
    <row r="46" spans="1:31">
      <c r="A46" s="58">
        <v>17</v>
      </c>
      <c r="B46" s="2553" t="s">
        <v>197</v>
      </c>
      <c r="C46" s="2940">
        <f t="shared" si="8"/>
        <v>80553</v>
      </c>
      <c r="D46" s="2940">
        <f t="shared" si="9"/>
        <v>62855</v>
      </c>
      <c r="E46" s="2940">
        <f>+H46+K46+N46+Q46+T46</f>
        <v>143408</v>
      </c>
      <c r="F46" s="2941">
        <f>+'[48]Sheet 2 - General Insurance'!$C$12</f>
        <v>3341</v>
      </c>
      <c r="G46" s="2941">
        <f>+'[48]Sheet 2 - General Insurance'!$C$13</f>
        <v>7201</v>
      </c>
      <c r="H46" s="2941">
        <f>+'[48]Sheet 2 - General Insurance'!$C$16</f>
        <v>10542</v>
      </c>
      <c r="I46" s="2442">
        <f>+'[48]Sheet 2 - General Insurance'!$D$12</f>
        <v>25472</v>
      </c>
      <c r="J46" s="2442">
        <f>+'[48]Sheet 2 - General Insurance'!$D$13</f>
        <v>304</v>
      </c>
      <c r="K46" s="2442">
        <f>+'[48]Sheet 2 - General Insurance'!$D$16</f>
        <v>25776</v>
      </c>
      <c r="L46" s="2876">
        <f>+'[52]Sheet 2 - General Insurance'!$E$12+'[52]Sheet 2 - General Insurance'!$F$12</f>
        <v>43709</v>
      </c>
      <c r="M46" s="2876">
        <f>+'[52]Sheet 2 - General Insurance'!$E$13+'[52]Sheet 2 - General Insurance'!$F$13</f>
        <v>51199</v>
      </c>
      <c r="N46" s="2876">
        <f>+'[52]Sheet 2 - General Insurance'!$E$16+'[52]Sheet 2 - General Insurance'!$F$16</f>
        <v>94908</v>
      </c>
      <c r="O46" s="2442">
        <f>+'[48]Sheet 2 - General Insurance'!$G$12</f>
        <v>452</v>
      </c>
      <c r="P46" s="2442">
        <f>+'[48]Sheet 2 - General Insurance'!$G$13</f>
        <v>970</v>
      </c>
      <c r="Q46" s="2442">
        <f>+'[48]Sheet 2 - General Insurance'!$G$16</f>
        <v>1422</v>
      </c>
      <c r="R46" s="2442">
        <f>+'[48]Sheet 2 - General Insurance'!$H$12</f>
        <v>7579</v>
      </c>
      <c r="S46" s="2442">
        <f>+'[48]Sheet 2 - General Insurance'!$H$13</f>
        <v>3181</v>
      </c>
      <c r="T46" s="2442">
        <f>+'[48]Sheet 2 - General Insurance'!$H$16</f>
        <v>10760</v>
      </c>
      <c r="X46" s="45"/>
      <c r="Y46" s="45"/>
      <c r="Z46" s="45"/>
      <c r="AA46" s="45"/>
      <c r="AB46" s="45"/>
      <c r="AC46" s="45"/>
      <c r="AD46" s="45"/>
      <c r="AE46" s="45"/>
    </row>
    <row r="47" spans="1:31">
      <c r="A47" s="58">
        <v>18</v>
      </c>
      <c r="B47" s="2554" t="s">
        <v>193</v>
      </c>
      <c r="C47" s="2940">
        <f t="shared" si="8"/>
        <v>22</v>
      </c>
      <c r="D47" s="2940">
        <f t="shared" si="9"/>
        <v>0</v>
      </c>
      <c r="E47" s="2940">
        <f>+H47+K47+N47+Q47+T47</f>
        <v>75</v>
      </c>
      <c r="F47" s="2941">
        <f>+'[40]Sheet 2 - General Insurance'!$C$12</f>
        <v>3</v>
      </c>
      <c r="G47" s="2941"/>
      <c r="H47" s="2941">
        <f>+'[40]Sheet 2 - General Insurance'!$C$16</f>
        <v>3</v>
      </c>
      <c r="I47" s="2442">
        <f>+'[40]Sheet 2 - General Insurance'!$D$12</f>
        <v>1</v>
      </c>
      <c r="J47" s="2442"/>
      <c r="K47" s="2442">
        <f>+'[40]Sheet 2 - General Insurance'!$D$16</f>
        <v>15</v>
      </c>
      <c r="L47" s="2876">
        <f>+'[40]Sheet 2 - General Insurance'!$E$12+'[40]Sheet 2 - General Insurance'!$F$12</f>
        <v>18</v>
      </c>
      <c r="M47" s="2876"/>
      <c r="N47" s="2876">
        <f>+'[40]Sheet 2 - General Insurance'!$E$16+'[40]Sheet 2 - General Insurance'!$F$16</f>
        <v>56</v>
      </c>
      <c r="O47" s="2442">
        <v>0</v>
      </c>
      <c r="P47" s="2442"/>
      <c r="Q47" s="2442">
        <v>0</v>
      </c>
      <c r="R47" s="2442">
        <v>0</v>
      </c>
      <c r="S47" s="2442"/>
      <c r="T47" s="2442">
        <v>1</v>
      </c>
      <c r="X47" s="45"/>
      <c r="Y47" s="45"/>
      <c r="Z47" s="45"/>
      <c r="AA47" s="45"/>
      <c r="AB47" s="45"/>
      <c r="AC47" s="45"/>
      <c r="AD47" s="45"/>
      <c r="AE47" s="45"/>
    </row>
    <row r="48" spans="1:31">
      <c r="A48" s="58">
        <v>19</v>
      </c>
      <c r="B48" s="2554" t="s">
        <v>110</v>
      </c>
      <c r="C48" s="2940">
        <f t="shared" si="8"/>
        <v>0</v>
      </c>
      <c r="D48" s="2940">
        <f t="shared" si="9"/>
        <v>0</v>
      </c>
      <c r="E48" s="2940">
        <f t="shared" si="10"/>
        <v>0</v>
      </c>
      <c r="F48" s="2941"/>
      <c r="G48" s="2941"/>
      <c r="H48" s="2941"/>
      <c r="I48" s="2442"/>
      <c r="J48" s="2442"/>
      <c r="K48" s="2442"/>
      <c r="L48" s="2876"/>
      <c r="M48" s="2876"/>
      <c r="N48" s="2876"/>
      <c r="O48" s="2442"/>
      <c r="P48" s="2442"/>
      <c r="Q48" s="2442"/>
      <c r="R48" s="2442"/>
      <c r="S48" s="2442"/>
      <c r="T48" s="2442"/>
      <c r="X48" s="45"/>
      <c r="Y48" s="45"/>
      <c r="Z48" s="45"/>
      <c r="AA48" s="45"/>
      <c r="AB48" s="45"/>
      <c r="AC48" s="45"/>
      <c r="AD48" s="45"/>
      <c r="AE48" s="45"/>
    </row>
    <row r="49" spans="1:20">
      <c r="B49" s="2736" t="s">
        <v>118</v>
      </c>
      <c r="C49" s="2731">
        <f>SUM(C30:C48)</f>
        <v>2034668</v>
      </c>
      <c r="D49" s="2731">
        <f>SUM(D30:D48)</f>
        <v>1964208</v>
      </c>
      <c r="E49" s="2731">
        <f>SUM(E30:E48)</f>
        <v>4139070</v>
      </c>
      <c r="F49" s="2941">
        <f>SUM(F30:F48)</f>
        <v>74776</v>
      </c>
      <c r="G49" s="2941">
        <f t="shared" ref="G49:T49" si="11">SUM(G30:G48)</f>
        <v>125868</v>
      </c>
      <c r="H49" s="2941">
        <f t="shared" si="11"/>
        <v>203838</v>
      </c>
      <c r="I49" s="2873">
        <f t="shared" si="11"/>
        <v>163244</v>
      </c>
      <c r="J49" s="2873">
        <f t="shared" si="11"/>
        <v>2059</v>
      </c>
      <c r="K49" s="2873">
        <f t="shared" si="11"/>
        <v>168575</v>
      </c>
      <c r="L49" s="2877">
        <f t="shared" si="11"/>
        <v>1551716</v>
      </c>
      <c r="M49" s="2877">
        <f t="shared" si="11"/>
        <v>1706738</v>
      </c>
      <c r="N49" s="2877">
        <f t="shared" si="11"/>
        <v>3189583</v>
      </c>
      <c r="O49" s="2873">
        <f t="shared" si="11"/>
        <v>5144</v>
      </c>
      <c r="P49" s="2873">
        <f t="shared" si="11"/>
        <v>7517</v>
      </c>
      <c r="Q49" s="2873">
        <f t="shared" si="11"/>
        <v>12525</v>
      </c>
      <c r="R49" s="2873">
        <f t="shared" si="11"/>
        <v>239788</v>
      </c>
      <c r="S49" s="2873">
        <f t="shared" si="11"/>
        <v>122026</v>
      </c>
      <c r="T49" s="2873">
        <f t="shared" si="11"/>
        <v>564549</v>
      </c>
    </row>
    <row r="50" spans="1:20">
      <c r="B50" s="46"/>
      <c r="C50" s="47"/>
      <c r="D50" s="47"/>
      <c r="E50" s="47"/>
      <c r="F50" s="48"/>
      <c r="G50" s="48"/>
      <c r="H50" s="48"/>
      <c r="I50" s="49"/>
      <c r="J50" s="49"/>
      <c r="K50" s="49"/>
      <c r="L50" s="50"/>
      <c r="M50" s="50"/>
      <c r="N50" s="50"/>
      <c r="O50" s="49"/>
      <c r="P50" s="49"/>
      <c r="Q50" s="49"/>
      <c r="R50" s="49"/>
      <c r="S50" s="49"/>
      <c r="T50" s="49"/>
    </row>
    <row r="51" spans="1:20">
      <c r="B51" s="44"/>
    </row>
    <row r="53" spans="1:20">
      <c r="B53" s="2725" t="s">
        <v>853</v>
      </c>
    </row>
    <row r="54" spans="1:20">
      <c r="B54" s="3604" t="s">
        <v>730</v>
      </c>
      <c r="C54" s="3709" t="s">
        <v>118</v>
      </c>
      <c r="D54" s="3709"/>
      <c r="E54" s="3709"/>
      <c r="F54" s="3710" t="s">
        <v>436</v>
      </c>
      <c r="G54" s="3710"/>
      <c r="H54" s="3710"/>
      <c r="I54" s="3708" t="s">
        <v>437</v>
      </c>
      <c r="J54" s="3708"/>
      <c r="K54" s="3708"/>
      <c r="L54" s="3680" t="s">
        <v>438</v>
      </c>
      <c r="M54" s="3680"/>
      <c r="N54" s="3680"/>
      <c r="O54" s="3708" t="s">
        <v>722</v>
      </c>
      <c r="P54" s="3708"/>
      <c r="Q54" s="3708"/>
      <c r="R54" s="3708" t="s">
        <v>440</v>
      </c>
      <c r="S54" s="3708"/>
      <c r="T54" s="3708"/>
    </row>
    <row r="55" spans="1:20">
      <c r="B55" s="3604"/>
      <c r="C55" s="2938" t="s">
        <v>975</v>
      </c>
      <c r="D55" s="2938" t="s">
        <v>976</v>
      </c>
      <c r="E55" s="2938" t="s">
        <v>977</v>
      </c>
      <c r="F55" s="2939" t="s">
        <v>975</v>
      </c>
      <c r="G55" s="2939" t="s">
        <v>976</v>
      </c>
      <c r="H55" s="2939" t="s">
        <v>977</v>
      </c>
      <c r="I55" s="2521" t="s">
        <v>975</v>
      </c>
      <c r="J55" s="2521" t="s">
        <v>976</v>
      </c>
      <c r="K55" s="2521" t="s">
        <v>977</v>
      </c>
      <c r="L55" s="2870" t="s">
        <v>975</v>
      </c>
      <c r="M55" s="2870" t="s">
        <v>976</v>
      </c>
      <c r="N55" s="2870" t="s">
        <v>977</v>
      </c>
      <c r="O55" s="2521" t="s">
        <v>975</v>
      </c>
      <c r="P55" s="2521" t="s">
        <v>976</v>
      </c>
      <c r="Q55" s="2521" t="s">
        <v>977</v>
      </c>
      <c r="R55" s="2521" t="s">
        <v>975</v>
      </c>
      <c r="S55" s="2521" t="s">
        <v>976</v>
      </c>
      <c r="T55" s="2521" t="s">
        <v>977</v>
      </c>
    </row>
    <row r="56" spans="1:20">
      <c r="A56" s="58">
        <v>1</v>
      </c>
      <c r="B56" s="2553" t="s">
        <v>177</v>
      </c>
      <c r="C56" s="2940">
        <f t="shared" ref="C56:C68" si="12">+F56+I56+L56+O56+R56</f>
        <v>11000</v>
      </c>
      <c r="D56" s="2940">
        <f t="shared" ref="D56:D68" si="13">+G56+J56+M56+P56+S56</f>
        <v>5031</v>
      </c>
      <c r="E56" s="2940">
        <f t="shared" ref="E56:E68" si="14">+H56+K56+N56+Q56+T56</f>
        <v>16006</v>
      </c>
      <c r="F56" s="2941">
        <v>835</v>
      </c>
      <c r="G56" s="2941">
        <v>1215</v>
      </c>
      <c r="H56" s="2941">
        <v>2051</v>
      </c>
      <c r="I56" s="2942">
        <v>4170</v>
      </c>
      <c r="J56" s="2942">
        <v>35</v>
      </c>
      <c r="K56" s="2942">
        <v>4205</v>
      </c>
      <c r="L56" s="2874">
        <v>5186</v>
      </c>
      <c r="M56" s="2874">
        <v>3292</v>
      </c>
      <c r="N56" s="2874">
        <v>8477</v>
      </c>
      <c r="O56" s="2942">
        <v>83</v>
      </c>
      <c r="P56" s="2942">
        <v>112</v>
      </c>
      <c r="Q56" s="2942">
        <v>195</v>
      </c>
      <c r="R56" s="2942">
        <v>726</v>
      </c>
      <c r="S56" s="2942">
        <v>377</v>
      </c>
      <c r="T56" s="2942">
        <v>1078</v>
      </c>
    </row>
    <row r="57" spans="1:20">
      <c r="A57" s="58">
        <v>2</v>
      </c>
      <c r="B57" s="2554" t="s">
        <v>179</v>
      </c>
      <c r="C57" s="2940">
        <f t="shared" si="12"/>
        <v>0</v>
      </c>
      <c r="D57" s="2940">
        <f t="shared" si="13"/>
        <v>0</v>
      </c>
      <c r="E57" s="2940">
        <f t="shared" si="14"/>
        <v>0</v>
      </c>
      <c r="F57" s="2941"/>
      <c r="G57" s="2941"/>
      <c r="H57" s="2941"/>
      <c r="I57" s="2442"/>
      <c r="J57" s="2442"/>
      <c r="K57" s="2442"/>
      <c r="L57" s="2876"/>
      <c r="M57" s="2876"/>
      <c r="N57" s="2876"/>
      <c r="O57" s="2442"/>
      <c r="P57" s="2442"/>
      <c r="Q57" s="2442"/>
      <c r="R57" s="2442"/>
      <c r="S57" s="2442"/>
      <c r="T57" s="2442"/>
    </row>
    <row r="58" spans="1:20">
      <c r="A58" s="58">
        <v>3</v>
      </c>
      <c r="B58" s="2553" t="s">
        <v>181</v>
      </c>
      <c r="C58" s="2940">
        <f>+F58+I58+L58+O58+R58</f>
        <v>85638</v>
      </c>
      <c r="D58" s="2940">
        <f>+G58+J58+M58+P58+S58</f>
        <v>37990</v>
      </c>
      <c r="E58" s="2940">
        <f>+H58+K58+N58+Q58+T58</f>
        <v>106160</v>
      </c>
      <c r="F58" s="2941">
        <v>5143</v>
      </c>
      <c r="G58" s="2941">
        <v>9814</v>
      </c>
      <c r="H58" s="2941">
        <v>14028</v>
      </c>
      <c r="I58" s="2442">
        <v>17876</v>
      </c>
      <c r="J58" s="2442">
        <v>46</v>
      </c>
      <c r="K58" s="2442">
        <v>9548</v>
      </c>
      <c r="L58" s="2876">
        <v>58417</v>
      </c>
      <c r="M58" s="2876">
        <v>26580</v>
      </c>
      <c r="N58" s="2876">
        <v>74222</v>
      </c>
      <c r="O58" s="2442">
        <v>213</v>
      </c>
      <c r="P58" s="2442">
        <v>254</v>
      </c>
      <c r="Q58" s="2442">
        <v>438</v>
      </c>
      <c r="R58" s="2442">
        <v>3989</v>
      </c>
      <c r="S58" s="2442">
        <v>1296</v>
      </c>
      <c r="T58" s="2442">
        <v>7924</v>
      </c>
    </row>
    <row r="59" spans="1:20">
      <c r="A59" s="58">
        <v>4</v>
      </c>
      <c r="B59" s="2553" t="s">
        <v>182</v>
      </c>
      <c r="C59" s="2940">
        <f t="shared" si="12"/>
        <v>57075</v>
      </c>
      <c r="D59" s="2940">
        <f t="shared" si="13"/>
        <v>28023</v>
      </c>
      <c r="E59" s="2940">
        <f t="shared" si="14"/>
        <v>84464</v>
      </c>
      <c r="F59" s="2941">
        <v>508</v>
      </c>
      <c r="G59" s="2941">
        <v>817</v>
      </c>
      <c r="H59" s="2941">
        <v>1337</v>
      </c>
      <c r="I59" s="2442">
        <v>6822</v>
      </c>
      <c r="J59" s="2442">
        <v>89</v>
      </c>
      <c r="K59" s="2442">
        <v>6910</v>
      </c>
      <c r="L59" s="2876">
        <v>48303</v>
      </c>
      <c r="M59" s="2876">
        <v>26088</v>
      </c>
      <c r="N59" s="2876">
        <v>73813</v>
      </c>
      <c r="O59" s="2442">
        <v>46</v>
      </c>
      <c r="P59" s="2442">
        <v>71</v>
      </c>
      <c r="Q59" s="2442">
        <v>119</v>
      </c>
      <c r="R59" s="2442">
        <v>1396</v>
      </c>
      <c r="S59" s="2442">
        <v>958</v>
      </c>
      <c r="T59" s="2442">
        <v>2285</v>
      </c>
    </row>
    <row r="60" spans="1:20">
      <c r="A60" s="58">
        <v>5</v>
      </c>
      <c r="B60" s="2554" t="s">
        <v>183</v>
      </c>
      <c r="C60" s="2940">
        <f t="shared" si="12"/>
        <v>23595</v>
      </c>
      <c r="D60" s="2940">
        <f t="shared" si="13"/>
        <v>27163</v>
      </c>
      <c r="E60" s="2940">
        <f t="shared" si="14"/>
        <v>292856</v>
      </c>
      <c r="F60" s="2941">
        <v>534</v>
      </c>
      <c r="G60" s="2941">
        <v>726</v>
      </c>
      <c r="H60" s="2941">
        <v>4331</v>
      </c>
      <c r="I60" s="2442">
        <v>6069</v>
      </c>
      <c r="J60" s="2442">
        <v>28</v>
      </c>
      <c r="K60" s="2442">
        <v>30006</v>
      </c>
      <c r="L60" s="2876">
        <v>1444</v>
      </c>
      <c r="M60" s="2876">
        <v>1398</v>
      </c>
      <c r="N60" s="2876">
        <v>15383</v>
      </c>
      <c r="O60" s="2442">
        <v>3</v>
      </c>
      <c r="P60" s="2442">
        <v>8</v>
      </c>
      <c r="Q60" s="2442">
        <v>632</v>
      </c>
      <c r="R60" s="2442">
        <v>15545</v>
      </c>
      <c r="S60" s="2442">
        <v>25003</v>
      </c>
      <c r="T60" s="2442">
        <v>242504</v>
      </c>
    </row>
    <row r="61" spans="1:20">
      <c r="A61" s="58">
        <v>6</v>
      </c>
      <c r="B61" s="2554" t="s">
        <v>184</v>
      </c>
      <c r="C61" s="2940">
        <f t="shared" si="12"/>
        <v>7234</v>
      </c>
      <c r="D61" s="2940">
        <f t="shared" si="13"/>
        <v>798</v>
      </c>
      <c r="E61" s="2940">
        <f t="shared" si="14"/>
        <v>7644</v>
      </c>
      <c r="F61" s="2941">
        <v>226</v>
      </c>
      <c r="G61" s="2941">
        <v>125</v>
      </c>
      <c r="H61" s="2941">
        <v>293</v>
      </c>
      <c r="I61" s="2442">
        <v>254</v>
      </c>
      <c r="J61" s="2442">
        <v>5</v>
      </c>
      <c r="K61" s="2442">
        <v>257</v>
      </c>
      <c r="L61" s="2876">
        <v>6591</v>
      </c>
      <c r="M61" s="2876">
        <v>583</v>
      </c>
      <c r="N61" s="2876">
        <v>6884</v>
      </c>
      <c r="O61" s="2442">
        <v>6</v>
      </c>
      <c r="P61" s="2442">
        <v>2</v>
      </c>
      <c r="Q61" s="2442">
        <v>6</v>
      </c>
      <c r="R61" s="2442">
        <v>157</v>
      </c>
      <c r="S61" s="2442">
        <v>83</v>
      </c>
      <c r="T61" s="2442">
        <v>204</v>
      </c>
    </row>
    <row r="62" spans="1:20">
      <c r="A62" s="58">
        <v>7</v>
      </c>
      <c r="B62" s="2553" t="s">
        <v>185</v>
      </c>
      <c r="C62" s="2940">
        <f t="shared" si="12"/>
        <v>619733</v>
      </c>
      <c r="D62" s="2940">
        <f t="shared" si="13"/>
        <v>488686</v>
      </c>
      <c r="E62" s="2940">
        <f t="shared" si="14"/>
        <v>1100200</v>
      </c>
      <c r="F62" s="2941">
        <v>22326</v>
      </c>
      <c r="G62" s="2941">
        <v>39929</v>
      </c>
      <c r="H62" s="2941">
        <v>60098</v>
      </c>
      <c r="I62" s="2442">
        <v>46294</v>
      </c>
      <c r="J62" s="2442">
        <v>64</v>
      </c>
      <c r="K62" s="2442">
        <v>44966</v>
      </c>
      <c r="L62" s="2876">
        <v>408222</v>
      </c>
      <c r="M62" s="2876">
        <v>416878</v>
      </c>
      <c r="N62" s="2876">
        <v>820905</v>
      </c>
      <c r="O62" s="2442">
        <v>2632</v>
      </c>
      <c r="P62" s="2442">
        <v>2559</v>
      </c>
      <c r="Q62" s="2442">
        <v>5077</v>
      </c>
      <c r="R62" s="2442">
        <v>140259</v>
      </c>
      <c r="S62" s="2442">
        <v>29256</v>
      </c>
      <c r="T62" s="2442">
        <v>169154</v>
      </c>
    </row>
    <row r="63" spans="1:20">
      <c r="A63" s="58">
        <v>8</v>
      </c>
      <c r="B63" s="2553" t="s">
        <v>186</v>
      </c>
      <c r="C63" s="2940">
        <f t="shared" si="12"/>
        <v>47183</v>
      </c>
      <c r="D63" s="2940">
        <f t="shared" si="13"/>
        <v>23524</v>
      </c>
      <c r="E63" s="2940">
        <f t="shared" si="14"/>
        <v>77327.75</v>
      </c>
      <c r="F63" s="2941">
        <v>1999</v>
      </c>
      <c r="G63" s="2941">
        <v>976</v>
      </c>
      <c r="H63" s="2941">
        <v>2647.75</v>
      </c>
      <c r="I63" s="2442">
        <v>858</v>
      </c>
      <c r="J63" s="2442">
        <v>129</v>
      </c>
      <c r="K63" s="2442">
        <v>145</v>
      </c>
      <c r="L63" s="2876">
        <v>36372</v>
      </c>
      <c r="M63" s="2876">
        <v>21347</v>
      </c>
      <c r="N63" s="2876">
        <v>70476</v>
      </c>
      <c r="O63" s="2442">
        <v>225</v>
      </c>
      <c r="P63" s="2442">
        <v>60</v>
      </c>
      <c r="Q63" s="2442">
        <v>85</v>
      </c>
      <c r="R63" s="2442">
        <v>7729</v>
      </c>
      <c r="S63" s="2442">
        <v>1012</v>
      </c>
      <c r="T63" s="2442">
        <v>3974</v>
      </c>
    </row>
    <row r="64" spans="1:20">
      <c r="A64" s="58">
        <v>9</v>
      </c>
      <c r="B64" s="2554" t="s">
        <v>187</v>
      </c>
      <c r="C64" s="2940">
        <f t="shared" si="12"/>
        <v>0</v>
      </c>
      <c r="D64" s="2940">
        <f t="shared" si="13"/>
        <v>0</v>
      </c>
      <c r="E64" s="2940">
        <f t="shared" si="14"/>
        <v>0</v>
      </c>
      <c r="F64" s="2941"/>
      <c r="G64" s="2941"/>
      <c r="H64" s="2941"/>
      <c r="I64" s="2442"/>
      <c r="J64" s="2442"/>
      <c r="K64" s="2442"/>
      <c r="L64" s="2876"/>
      <c r="M64" s="2876"/>
      <c r="N64" s="2876"/>
      <c r="O64" s="2442"/>
      <c r="P64" s="2442"/>
      <c r="Q64" s="2442"/>
      <c r="R64" s="2442"/>
      <c r="S64" s="2442"/>
      <c r="T64" s="2442"/>
    </row>
    <row r="65" spans="1:20">
      <c r="A65" s="81">
        <v>10</v>
      </c>
      <c r="B65" s="1772" t="s">
        <v>188</v>
      </c>
      <c r="C65" s="2547">
        <f t="shared" si="12"/>
        <v>55751</v>
      </c>
      <c r="D65" s="2547">
        <f t="shared" si="13"/>
        <v>20929</v>
      </c>
      <c r="E65" s="2547">
        <f t="shared" si="14"/>
        <v>76680</v>
      </c>
      <c r="F65" s="2771">
        <v>7483</v>
      </c>
      <c r="G65" s="2771">
        <v>7879</v>
      </c>
      <c r="H65" s="2771">
        <v>15362</v>
      </c>
      <c r="I65" s="2442">
        <v>3463</v>
      </c>
      <c r="J65" s="2442">
        <v>145</v>
      </c>
      <c r="K65" s="2442">
        <v>3608</v>
      </c>
      <c r="L65" s="2442">
        <v>41208</v>
      </c>
      <c r="M65" s="2442">
        <v>11458</v>
      </c>
      <c r="N65" s="2442">
        <v>52666</v>
      </c>
      <c r="O65" s="2442">
        <v>162</v>
      </c>
      <c r="P65" s="2442">
        <v>118</v>
      </c>
      <c r="Q65" s="2442">
        <v>280</v>
      </c>
      <c r="R65" s="2442">
        <v>3435</v>
      </c>
      <c r="S65" s="2442">
        <v>1329</v>
      </c>
      <c r="T65" s="2442">
        <v>4764</v>
      </c>
    </row>
    <row r="66" spans="1:20">
      <c r="A66" s="58">
        <v>11</v>
      </c>
      <c r="B66" s="2553" t="s">
        <v>189</v>
      </c>
      <c r="C66" s="2940">
        <f t="shared" si="12"/>
        <v>217430</v>
      </c>
      <c r="D66" s="2940">
        <f t="shared" si="13"/>
        <v>186001</v>
      </c>
      <c r="E66" s="2940">
        <f t="shared" si="14"/>
        <v>374689</v>
      </c>
      <c r="F66" s="2941">
        <v>4016</v>
      </c>
      <c r="G66" s="2941">
        <v>5470</v>
      </c>
      <c r="H66" s="2941">
        <v>8478</v>
      </c>
      <c r="I66" s="2442">
        <v>12688</v>
      </c>
      <c r="J66" s="2442">
        <v>83</v>
      </c>
      <c r="K66" s="2442">
        <v>12359</v>
      </c>
      <c r="L66" s="2876">
        <v>190051</v>
      </c>
      <c r="M66" s="2876">
        <v>177546</v>
      </c>
      <c r="N66" s="2876">
        <v>341158</v>
      </c>
      <c r="O66" s="2442">
        <v>0</v>
      </c>
      <c r="P66" s="2442"/>
      <c r="Q66" s="2442"/>
      <c r="R66" s="2442">
        <v>10675</v>
      </c>
      <c r="S66" s="2442">
        <v>2902</v>
      </c>
      <c r="T66" s="2442">
        <v>12694</v>
      </c>
    </row>
    <row r="67" spans="1:20">
      <c r="A67" s="58">
        <v>12</v>
      </c>
      <c r="B67" s="2553" t="s">
        <v>191</v>
      </c>
      <c r="C67" s="2940">
        <f t="shared" si="12"/>
        <v>0</v>
      </c>
      <c r="D67" s="2940">
        <f t="shared" si="13"/>
        <v>0</v>
      </c>
      <c r="E67" s="2940">
        <f t="shared" si="14"/>
        <v>0</v>
      </c>
      <c r="F67" s="2941"/>
      <c r="G67" s="2941"/>
      <c r="H67" s="2941"/>
      <c r="I67" s="2442"/>
      <c r="J67" s="2442"/>
      <c r="K67" s="2442"/>
      <c r="L67" s="2876"/>
      <c r="M67" s="2876"/>
      <c r="N67" s="2876"/>
      <c r="O67" s="2442"/>
      <c r="P67" s="2442"/>
      <c r="Q67" s="2442"/>
      <c r="R67" s="2442"/>
      <c r="S67" s="2442"/>
      <c r="T67" s="2442"/>
    </row>
    <row r="68" spans="1:20">
      <c r="A68" s="58">
        <v>13</v>
      </c>
      <c r="B68" s="2553" t="s">
        <v>192</v>
      </c>
      <c r="C68" s="2940">
        <f t="shared" si="12"/>
        <v>20972</v>
      </c>
      <c r="D68" s="2940">
        <f t="shared" si="13"/>
        <v>8082</v>
      </c>
      <c r="E68" s="2940">
        <f t="shared" si="14"/>
        <v>25652</v>
      </c>
      <c r="F68" s="2941">
        <v>593</v>
      </c>
      <c r="G68" s="2941">
        <v>183</v>
      </c>
      <c r="H68" s="2941">
        <v>560</v>
      </c>
      <c r="I68" s="2442">
        <v>1311</v>
      </c>
      <c r="J68" s="2442">
        <v>92</v>
      </c>
      <c r="K68" s="2442">
        <v>1146</v>
      </c>
      <c r="L68" s="2876">
        <v>18224</v>
      </c>
      <c r="M68" s="2876">
        <v>7748</v>
      </c>
      <c r="N68" s="2876">
        <v>22923</v>
      </c>
      <c r="O68" s="2442"/>
      <c r="P68" s="2442"/>
      <c r="Q68" s="2442"/>
      <c r="R68" s="2442">
        <v>844</v>
      </c>
      <c r="S68" s="2442">
        <v>59</v>
      </c>
      <c r="T68" s="2442">
        <v>1023</v>
      </c>
    </row>
    <row r="69" spans="1:20">
      <c r="A69" s="58">
        <v>14</v>
      </c>
      <c r="B69" s="2554" t="s">
        <v>194</v>
      </c>
      <c r="C69" s="2940">
        <f t="shared" ref="C69:C74" si="15">+F69+I69+L69+O69+R69</f>
        <v>24309</v>
      </c>
      <c r="D69" s="2940">
        <f t="shared" ref="D69:D74" si="16">+G69+J69+M69+P69+S69</f>
        <v>0</v>
      </c>
      <c r="E69" s="2940">
        <f t="shared" ref="E69:E74" si="17">+H69+K69+N69+Q69+T69</f>
        <v>3230</v>
      </c>
      <c r="F69" s="2941">
        <v>1704</v>
      </c>
      <c r="G69" s="2941">
        <v>0</v>
      </c>
      <c r="H69" s="2941">
        <v>1704</v>
      </c>
      <c r="I69" s="2442">
        <v>81</v>
      </c>
      <c r="J69" s="2442">
        <v>0</v>
      </c>
      <c r="K69" s="2442">
        <v>81</v>
      </c>
      <c r="L69" s="2876">
        <v>21562</v>
      </c>
      <c r="M69" s="2876">
        <v>0</v>
      </c>
      <c r="N69" s="2876">
        <v>483</v>
      </c>
      <c r="O69" s="2442">
        <v>0</v>
      </c>
      <c r="P69" s="2442"/>
      <c r="Q69" s="2442"/>
      <c r="R69" s="2442">
        <v>962</v>
      </c>
      <c r="S69" s="2442">
        <v>0</v>
      </c>
      <c r="T69" s="2442">
        <v>962</v>
      </c>
    </row>
    <row r="70" spans="1:20">
      <c r="A70" s="58">
        <v>15</v>
      </c>
      <c r="B70" s="2553" t="s">
        <v>195</v>
      </c>
      <c r="C70" s="2940">
        <f t="shared" si="15"/>
        <v>405294</v>
      </c>
      <c r="D70" s="2940">
        <f t="shared" si="16"/>
        <v>685553</v>
      </c>
      <c r="E70" s="2940">
        <f t="shared" si="17"/>
        <v>1108526</v>
      </c>
      <c r="F70" s="2941">
        <v>16361</v>
      </c>
      <c r="G70" s="2941">
        <v>32034</v>
      </c>
      <c r="H70" s="2941">
        <v>40766</v>
      </c>
      <c r="I70" s="2442">
        <v>17941</v>
      </c>
      <c r="J70" s="2442">
        <v>1181</v>
      </c>
      <c r="K70" s="2442">
        <v>1892</v>
      </c>
      <c r="L70" s="2876">
        <v>357874</v>
      </c>
      <c r="M70" s="2876">
        <v>626951</v>
      </c>
      <c r="N70" s="2876">
        <v>1044368</v>
      </c>
      <c r="O70" s="2442">
        <v>791</v>
      </c>
      <c r="P70" s="2442">
        <v>1551</v>
      </c>
      <c r="Q70" s="2442">
        <v>1874</v>
      </c>
      <c r="R70" s="2442">
        <v>12327</v>
      </c>
      <c r="S70" s="2442">
        <v>23836</v>
      </c>
      <c r="T70" s="2442">
        <v>19626</v>
      </c>
    </row>
    <row r="71" spans="1:20">
      <c r="A71" s="58">
        <v>16</v>
      </c>
      <c r="B71" s="2553" t="s">
        <v>196</v>
      </c>
      <c r="C71" s="2940">
        <f t="shared" si="15"/>
        <v>25864</v>
      </c>
      <c r="D71" s="2940">
        <f t="shared" si="16"/>
        <v>277</v>
      </c>
      <c r="E71" s="2940">
        <f t="shared" si="17"/>
        <v>33320</v>
      </c>
      <c r="F71" s="2941">
        <v>401</v>
      </c>
      <c r="G71" s="2941">
        <v>236</v>
      </c>
      <c r="H71" s="2941">
        <v>637</v>
      </c>
      <c r="I71" s="2442">
        <v>0</v>
      </c>
      <c r="J71" s="2442"/>
      <c r="K71" s="2442"/>
      <c r="L71" s="2876">
        <v>25461</v>
      </c>
      <c r="M71" s="2876">
        <v>40</v>
      </c>
      <c r="N71" s="2876">
        <v>28550</v>
      </c>
      <c r="O71" s="2442">
        <v>2</v>
      </c>
      <c r="P71" s="2442">
        <v>1</v>
      </c>
      <c r="Q71" s="2442">
        <v>3</v>
      </c>
      <c r="R71" s="2875"/>
      <c r="S71" s="2875"/>
      <c r="T71" s="2442">
        <v>4130</v>
      </c>
    </row>
    <row r="72" spans="1:20">
      <c r="A72" s="58">
        <v>17</v>
      </c>
      <c r="B72" s="2553" t="s">
        <v>197</v>
      </c>
      <c r="C72" s="2940">
        <f t="shared" si="15"/>
        <v>66649</v>
      </c>
      <c r="D72" s="2940">
        <f t="shared" si="16"/>
        <v>55381</v>
      </c>
      <c r="E72" s="2940">
        <f t="shared" si="17"/>
        <v>122030</v>
      </c>
      <c r="F72" s="2941">
        <v>4199</v>
      </c>
      <c r="G72" s="2941">
        <v>6725</v>
      </c>
      <c r="H72" s="2941">
        <v>10924</v>
      </c>
      <c r="I72" s="2442">
        <v>24263</v>
      </c>
      <c r="J72" s="2442">
        <v>259</v>
      </c>
      <c r="K72" s="2442">
        <v>24522</v>
      </c>
      <c r="L72" s="2876">
        <v>33353</v>
      </c>
      <c r="M72" s="2876">
        <v>43585</v>
      </c>
      <c r="N72" s="2876">
        <v>76938</v>
      </c>
      <c r="O72" s="2442">
        <v>435</v>
      </c>
      <c r="P72" s="2442">
        <v>989</v>
      </c>
      <c r="Q72" s="2442">
        <v>1424</v>
      </c>
      <c r="R72" s="2442">
        <v>4399</v>
      </c>
      <c r="S72" s="2442">
        <v>3823</v>
      </c>
      <c r="T72" s="2442">
        <v>8222</v>
      </c>
    </row>
    <row r="73" spans="1:20">
      <c r="A73" s="58">
        <v>18</v>
      </c>
      <c r="B73" s="2554" t="s">
        <v>193</v>
      </c>
      <c r="C73" s="2940">
        <f t="shared" si="15"/>
        <v>0</v>
      </c>
      <c r="D73" s="2940">
        <f t="shared" si="16"/>
        <v>0</v>
      </c>
      <c r="E73" s="2940">
        <f t="shared" si="17"/>
        <v>0</v>
      </c>
      <c r="F73" s="2941"/>
      <c r="G73" s="2941"/>
      <c r="H73" s="2941"/>
      <c r="I73" s="2442"/>
      <c r="J73" s="2442"/>
      <c r="K73" s="2442"/>
      <c r="L73" s="2876"/>
      <c r="M73" s="2876"/>
      <c r="N73" s="2876"/>
      <c r="O73" s="2442"/>
      <c r="P73" s="2442"/>
      <c r="Q73" s="2442"/>
      <c r="R73" s="2442"/>
      <c r="S73" s="2442"/>
      <c r="T73" s="2442"/>
    </row>
    <row r="74" spans="1:20">
      <c r="A74" s="58">
        <v>19</v>
      </c>
      <c r="B74" s="2554" t="s">
        <v>110</v>
      </c>
      <c r="C74" s="2940">
        <f t="shared" si="15"/>
        <v>0</v>
      </c>
      <c r="D74" s="2940">
        <f t="shared" si="16"/>
        <v>0</v>
      </c>
      <c r="E74" s="2940">
        <f t="shared" si="17"/>
        <v>0</v>
      </c>
      <c r="F74" s="2941"/>
      <c r="G74" s="2941"/>
      <c r="H74" s="2941"/>
      <c r="I74" s="2442"/>
      <c r="J74" s="2442"/>
      <c r="K74" s="2442"/>
      <c r="L74" s="2876"/>
      <c r="M74" s="2876"/>
      <c r="N74" s="2876"/>
      <c r="O74" s="2442"/>
      <c r="P74" s="2442"/>
      <c r="Q74" s="2442"/>
      <c r="R74" s="2442"/>
      <c r="S74" s="2442"/>
      <c r="T74" s="2442"/>
    </row>
    <row r="75" spans="1:20">
      <c r="B75" s="2736" t="s">
        <v>118</v>
      </c>
      <c r="C75" s="2731">
        <f t="shared" ref="C75:T75" si="18">SUM(C56:C74)</f>
        <v>1667727</v>
      </c>
      <c r="D75" s="2731">
        <f t="shared" si="18"/>
        <v>1567438</v>
      </c>
      <c r="E75" s="2731">
        <f t="shared" si="18"/>
        <v>3428784.75</v>
      </c>
      <c r="F75" s="2941">
        <f t="shared" si="18"/>
        <v>66328</v>
      </c>
      <c r="G75" s="2941">
        <f t="shared" si="18"/>
        <v>106129</v>
      </c>
      <c r="H75" s="2941">
        <f t="shared" si="18"/>
        <v>163216.75</v>
      </c>
      <c r="I75" s="2873">
        <f t="shared" si="18"/>
        <v>142090</v>
      </c>
      <c r="J75" s="2873">
        <f t="shared" si="18"/>
        <v>2156</v>
      </c>
      <c r="K75" s="2873">
        <f t="shared" si="18"/>
        <v>139645</v>
      </c>
      <c r="L75" s="2877">
        <f t="shared" si="18"/>
        <v>1252268</v>
      </c>
      <c r="M75" s="2877">
        <f t="shared" si="18"/>
        <v>1363494</v>
      </c>
      <c r="N75" s="2877">
        <f t="shared" si="18"/>
        <v>2637246</v>
      </c>
      <c r="O75" s="2873">
        <f t="shared" si="18"/>
        <v>4598</v>
      </c>
      <c r="P75" s="2873">
        <f t="shared" si="18"/>
        <v>5725</v>
      </c>
      <c r="Q75" s="2873">
        <f t="shared" si="18"/>
        <v>10133</v>
      </c>
      <c r="R75" s="2873">
        <f t="shared" si="18"/>
        <v>202443</v>
      </c>
      <c r="S75" s="2873">
        <f t="shared" si="18"/>
        <v>89934</v>
      </c>
      <c r="T75" s="2873">
        <f t="shared" si="18"/>
        <v>478544</v>
      </c>
    </row>
    <row r="76" spans="1:20">
      <c r="B76" s="46"/>
      <c r="C76" s="47"/>
      <c r="D76" s="47"/>
      <c r="E76" s="47"/>
      <c r="F76" s="48"/>
      <c r="G76" s="48"/>
      <c r="H76" s="48"/>
      <c r="I76" s="49"/>
      <c r="J76" s="49"/>
      <c r="K76" s="49"/>
      <c r="L76" s="50"/>
      <c r="M76" s="50"/>
      <c r="N76" s="50"/>
      <c r="O76" s="49"/>
      <c r="P76" s="49"/>
      <c r="Q76" s="49"/>
      <c r="R76" s="49"/>
      <c r="S76" s="49"/>
      <c r="T76" s="49"/>
    </row>
    <row r="79" spans="1:20">
      <c r="B79" s="2725" t="s">
        <v>854</v>
      </c>
    </row>
    <row r="80" spans="1:20">
      <c r="B80" s="3604" t="s">
        <v>730</v>
      </c>
      <c r="C80" s="3709" t="s">
        <v>118</v>
      </c>
      <c r="D80" s="3709"/>
      <c r="E80" s="3709"/>
      <c r="F80" s="3710" t="s">
        <v>436</v>
      </c>
      <c r="G80" s="3710"/>
      <c r="H80" s="3710"/>
      <c r="I80" s="3708" t="s">
        <v>437</v>
      </c>
      <c r="J80" s="3708"/>
      <c r="K80" s="3708"/>
      <c r="L80" s="3680" t="s">
        <v>438</v>
      </c>
      <c r="M80" s="3680"/>
      <c r="N80" s="3680"/>
      <c r="O80" s="3708" t="s">
        <v>722</v>
      </c>
      <c r="P80" s="3708"/>
      <c r="Q80" s="3708"/>
      <c r="R80" s="3708" t="s">
        <v>440</v>
      </c>
      <c r="S80" s="3708"/>
      <c r="T80" s="3708"/>
    </row>
    <row r="81" spans="1:21">
      <c r="B81" s="3604"/>
      <c r="C81" s="2938" t="s">
        <v>975</v>
      </c>
      <c r="D81" s="2938" t="s">
        <v>976</v>
      </c>
      <c r="E81" s="2938" t="s">
        <v>977</v>
      </c>
      <c r="F81" s="2939" t="s">
        <v>975</v>
      </c>
      <c r="G81" s="2939" t="s">
        <v>976</v>
      </c>
      <c r="H81" s="2939" t="s">
        <v>977</v>
      </c>
      <c r="I81" s="2521" t="s">
        <v>975</v>
      </c>
      <c r="J81" s="2521" t="s">
        <v>976</v>
      </c>
      <c r="K81" s="2521" t="s">
        <v>977</v>
      </c>
      <c r="L81" s="2870" t="s">
        <v>975</v>
      </c>
      <c r="M81" s="2870" t="s">
        <v>976</v>
      </c>
      <c r="N81" s="2870" t="s">
        <v>977</v>
      </c>
      <c r="O81" s="2521" t="s">
        <v>975</v>
      </c>
      <c r="P81" s="2521" t="s">
        <v>976</v>
      </c>
      <c r="Q81" s="2521" t="s">
        <v>977</v>
      </c>
      <c r="R81" s="2521" t="s">
        <v>975</v>
      </c>
      <c r="S81" s="2521" t="s">
        <v>976</v>
      </c>
      <c r="T81" s="2521" t="s">
        <v>977</v>
      </c>
    </row>
    <row r="82" spans="1:21">
      <c r="A82" s="58">
        <v>1</v>
      </c>
      <c r="B82" s="2553" t="s">
        <v>177</v>
      </c>
      <c r="C82" s="2940">
        <f t="shared" ref="C82:C94" si="19">+F82+I82+L82+O82+R82</f>
        <v>10963</v>
      </c>
      <c r="D82" s="2940">
        <f t="shared" ref="D82:D94" si="20">+G82+J82+M82+P82+S82</f>
        <v>6202</v>
      </c>
      <c r="E82" s="2940">
        <f t="shared" ref="E82:E94" si="21">+H82+K82+N82+Q82+T82</f>
        <v>16702</v>
      </c>
      <c r="F82" s="2941">
        <v>979</v>
      </c>
      <c r="G82" s="2941">
        <v>1102</v>
      </c>
      <c r="H82" s="2941">
        <v>2080</v>
      </c>
      <c r="I82" s="2942">
        <v>3418</v>
      </c>
      <c r="J82" s="2942">
        <v>38</v>
      </c>
      <c r="K82" s="2942">
        <v>3456</v>
      </c>
      <c r="L82" s="2874">
        <v>5714</v>
      </c>
      <c r="M82" s="2874">
        <v>4407</v>
      </c>
      <c r="N82" s="2874">
        <v>10016</v>
      </c>
      <c r="O82" s="2942">
        <v>104</v>
      </c>
      <c r="P82" s="2942">
        <v>135</v>
      </c>
      <c r="Q82" s="2942">
        <v>180</v>
      </c>
      <c r="R82" s="2942">
        <v>748</v>
      </c>
      <c r="S82" s="2942">
        <v>520</v>
      </c>
      <c r="T82" s="2942">
        <v>970</v>
      </c>
    </row>
    <row r="83" spans="1:21">
      <c r="A83" s="58">
        <v>2</v>
      </c>
      <c r="B83" s="2554" t="s">
        <v>179</v>
      </c>
      <c r="C83" s="2940">
        <f t="shared" si="19"/>
        <v>0</v>
      </c>
      <c r="D83" s="2940">
        <f t="shared" si="20"/>
        <v>0</v>
      </c>
      <c r="E83" s="2940">
        <f t="shared" si="21"/>
        <v>0</v>
      </c>
      <c r="F83" s="2941"/>
      <c r="G83" s="2941"/>
      <c r="H83" s="2941"/>
      <c r="I83" s="2442"/>
      <c r="J83" s="2442"/>
      <c r="K83" s="2442"/>
      <c r="L83" s="2876"/>
      <c r="M83" s="2876"/>
      <c r="N83" s="2876"/>
      <c r="O83" s="2442"/>
      <c r="P83" s="2442"/>
      <c r="Q83" s="2442"/>
      <c r="R83" s="2442"/>
      <c r="S83" s="2442"/>
      <c r="T83" s="2442"/>
    </row>
    <row r="84" spans="1:21">
      <c r="A84" s="58">
        <v>3</v>
      </c>
      <c r="B84" s="2553" t="s">
        <v>181</v>
      </c>
      <c r="C84" s="2940">
        <f>+F84+I84+L84+O84+R84</f>
        <v>47718</v>
      </c>
      <c r="D84" s="2940">
        <f>+G84+J84+M84+P84+S84</f>
        <v>30894</v>
      </c>
      <c r="E84" s="2940">
        <f>+H84+K84+N84+Q84+T84</f>
        <v>67919</v>
      </c>
      <c r="F84" s="2941">
        <v>3331</v>
      </c>
      <c r="G84" s="2941">
        <v>11224</v>
      </c>
      <c r="H84" s="2941">
        <v>13752</v>
      </c>
      <c r="I84" s="2442">
        <v>14437</v>
      </c>
      <c r="J84" s="2442">
        <v>59</v>
      </c>
      <c r="K84" s="2442">
        <v>8074</v>
      </c>
      <c r="L84" s="2876">
        <v>26991</v>
      </c>
      <c r="M84" s="2876">
        <v>17949</v>
      </c>
      <c r="N84" s="2876">
        <v>39871</v>
      </c>
      <c r="O84" s="2442">
        <v>181</v>
      </c>
      <c r="P84" s="2442">
        <v>268</v>
      </c>
      <c r="Q84" s="2442">
        <v>406</v>
      </c>
      <c r="R84" s="2442">
        <v>2778</v>
      </c>
      <c r="S84" s="2442">
        <v>1394</v>
      </c>
      <c r="T84" s="2442">
        <v>5816</v>
      </c>
    </row>
    <row r="85" spans="1:21">
      <c r="A85" s="58">
        <v>4</v>
      </c>
      <c r="B85" s="2553" t="s">
        <v>182</v>
      </c>
      <c r="C85" s="2940">
        <f t="shared" si="19"/>
        <v>36154</v>
      </c>
      <c r="D85" s="2940">
        <f t="shared" si="20"/>
        <v>22811</v>
      </c>
      <c r="E85" s="2940">
        <f t="shared" si="21"/>
        <v>59002</v>
      </c>
      <c r="F85" s="2941">
        <v>555</v>
      </c>
      <c r="G85" s="2941">
        <v>898</v>
      </c>
      <c r="H85" s="2941">
        <v>1388</v>
      </c>
      <c r="I85" s="2442">
        <v>5728</v>
      </c>
      <c r="J85" s="2442">
        <v>90</v>
      </c>
      <c r="K85" s="2442">
        <v>5812</v>
      </c>
      <c r="L85" s="2876">
        <v>28083</v>
      </c>
      <c r="M85" s="2876">
        <v>20553</v>
      </c>
      <c r="N85" s="2876">
        <v>48775</v>
      </c>
      <c r="O85" s="2442">
        <v>58</v>
      </c>
      <c r="P85" s="2442">
        <v>77</v>
      </c>
      <c r="Q85" s="2442">
        <v>133</v>
      </c>
      <c r="R85" s="2442">
        <v>1730</v>
      </c>
      <c r="S85" s="2442">
        <v>1193</v>
      </c>
      <c r="T85" s="2442">
        <v>2894</v>
      </c>
    </row>
    <row r="86" spans="1:21">
      <c r="A86" s="58">
        <v>5</v>
      </c>
      <c r="B86" s="2554" t="s">
        <v>183</v>
      </c>
      <c r="C86" s="2940">
        <f t="shared" si="19"/>
        <v>31530</v>
      </c>
      <c r="D86" s="2940">
        <f t="shared" si="20"/>
        <v>28591</v>
      </c>
      <c r="E86" s="2940">
        <f t="shared" si="21"/>
        <v>253026</v>
      </c>
      <c r="F86" s="2941">
        <v>382</v>
      </c>
      <c r="G86" s="2941">
        <v>608</v>
      </c>
      <c r="H86" s="2941">
        <v>2827</v>
      </c>
      <c r="I86" s="2442">
        <v>5602</v>
      </c>
      <c r="J86" s="2442">
        <v>23</v>
      </c>
      <c r="K86" s="2442">
        <v>23676</v>
      </c>
      <c r="L86" s="2876">
        <v>1598</v>
      </c>
      <c r="M86" s="2876">
        <v>1634</v>
      </c>
      <c r="N86" s="2876">
        <v>11499</v>
      </c>
      <c r="O86" s="2442">
        <v>3</v>
      </c>
      <c r="P86" s="2442">
        <v>11</v>
      </c>
      <c r="Q86" s="2442">
        <v>611</v>
      </c>
      <c r="R86" s="2442">
        <v>23945</v>
      </c>
      <c r="S86" s="2442">
        <v>26315</v>
      </c>
      <c r="T86" s="2442">
        <v>214413</v>
      </c>
    </row>
    <row r="87" spans="1:21">
      <c r="A87" s="58">
        <v>6</v>
      </c>
      <c r="B87" s="2554" t="s">
        <v>184</v>
      </c>
      <c r="C87" s="2940">
        <f t="shared" si="19"/>
        <v>0</v>
      </c>
      <c r="D87" s="2940">
        <f t="shared" si="20"/>
        <v>0</v>
      </c>
      <c r="E87" s="2940">
        <f t="shared" si="21"/>
        <v>0</v>
      </c>
      <c r="F87" s="2941"/>
      <c r="G87" s="2941"/>
      <c r="H87" s="2941"/>
      <c r="I87" s="2442"/>
      <c r="J87" s="2442"/>
      <c r="K87" s="2442"/>
      <c r="L87" s="2876"/>
      <c r="M87" s="2876"/>
      <c r="N87" s="2876"/>
      <c r="O87" s="2442"/>
      <c r="P87" s="2442"/>
      <c r="Q87" s="2442"/>
      <c r="R87" s="2442"/>
      <c r="S87" s="2442"/>
      <c r="T87" s="2442"/>
    </row>
    <row r="88" spans="1:21">
      <c r="A88" s="58">
        <v>7</v>
      </c>
      <c r="B88" s="2553" t="s">
        <v>185</v>
      </c>
      <c r="C88" s="2940">
        <f t="shared" si="19"/>
        <v>507364</v>
      </c>
      <c r="D88" s="2940">
        <f t="shared" si="20"/>
        <v>492795</v>
      </c>
      <c r="E88" s="2940">
        <f>+H88+K88+N88+Q88+T88</f>
        <v>979481</v>
      </c>
      <c r="F88" s="2941">
        <v>19766</v>
      </c>
      <c r="G88" s="2941">
        <v>41272</v>
      </c>
      <c r="H88" s="2941">
        <v>57065</v>
      </c>
      <c r="I88" s="2442">
        <v>36831</v>
      </c>
      <c r="J88" s="2442">
        <v>55</v>
      </c>
      <c r="K88" s="2442">
        <v>36739</v>
      </c>
      <c r="L88" s="2876">
        <v>330386</v>
      </c>
      <c r="M88" s="2876">
        <v>418186</v>
      </c>
      <c r="N88" s="2876">
        <v>736480</v>
      </c>
      <c r="O88" s="2442">
        <v>2102</v>
      </c>
      <c r="P88" s="2442">
        <v>2789</v>
      </c>
      <c r="Q88" s="2442">
        <v>4891</v>
      </c>
      <c r="R88" s="2442">
        <v>118279</v>
      </c>
      <c r="S88" s="2442">
        <v>30493</v>
      </c>
      <c r="T88" s="2442">
        <v>144306</v>
      </c>
    </row>
    <row r="89" spans="1:21">
      <c r="A89" s="58">
        <v>8</v>
      </c>
      <c r="B89" s="2553" t="s">
        <v>186</v>
      </c>
      <c r="C89" s="2940">
        <f t="shared" si="19"/>
        <v>55827</v>
      </c>
      <c r="D89" s="2940">
        <f t="shared" si="20"/>
        <v>27753</v>
      </c>
      <c r="E89" s="2940">
        <f t="shared" si="21"/>
        <v>89370.34</v>
      </c>
      <c r="F89" s="2941">
        <v>1432</v>
      </c>
      <c r="G89" s="2941">
        <v>850</v>
      </c>
      <c r="H89" s="2941">
        <v>1985.34</v>
      </c>
      <c r="I89" s="2442">
        <v>1034</v>
      </c>
      <c r="J89" s="2442">
        <v>88</v>
      </c>
      <c r="K89" s="2442">
        <v>163</v>
      </c>
      <c r="L89" s="2876">
        <v>44615</v>
      </c>
      <c r="M89" s="2876">
        <v>25577</v>
      </c>
      <c r="N89" s="2876">
        <v>84055</v>
      </c>
      <c r="O89" s="2442">
        <v>174</v>
      </c>
      <c r="P89" s="2442">
        <v>55</v>
      </c>
      <c r="Q89" s="2442">
        <v>72</v>
      </c>
      <c r="R89" s="2442">
        <v>8572</v>
      </c>
      <c r="S89" s="2442">
        <v>1183</v>
      </c>
      <c r="T89" s="2442">
        <v>3095</v>
      </c>
    </row>
    <row r="90" spans="1:21">
      <c r="A90" s="58">
        <v>9</v>
      </c>
      <c r="B90" s="2554" t="s">
        <v>187</v>
      </c>
      <c r="C90" s="2940">
        <f t="shared" si="19"/>
        <v>0</v>
      </c>
      <c r="D90" s="2940">
        <f t="shared" si="20"/>
        <v>0</v>
      </c>
      <c r="E90" s="2940">
        <f t="shared" si="21"/>
        <v>0</v>
      </c>
      <c r="F90" s="2941"/>
      <c r="G90" s="2941"/>
      <c r="H90" s="2941"/>
      <c r="I90" s="2442"/>
      <c r="J90" s="2442"/>
      <c r="K90" s="2442"/>
      <c r="L90" s="2876"/>
      <c r="M90" s="2876"/>
      <c r="N90" s="2876"/>
      <c r="O90" s="2442"/>
      <c r="P90" s="2442"/>
      <c r="Q90" s="2442"/>
      <c r="R90" s="2442"/>
      <c r="S90" s="2442"/>
      <c r="T90" s="2442"/>
    </row>
    <row r="91" spans="1:21" s="72" customFormat="1">
      <c r="A91" s="71">
        <v>10</v>
      </c>
      <c r="B91" s="2882" t="s">
        <v>188</v>
      </c>
      <c r="C91" s="2945">
        <f t="shared" si="19"/>
        <v>0</v>
      </c>
      <c r="D91" s="2945">
        <f t="shared" si="20"/>
        <v>0</v>
      </c>
      <c r="E91" s="2945">
        <f t="shared" si="21"/>
        <v>0</v>
      </c>
      <c r="F91" s="2946"/>
      <c r="G91" s="2946"/>
      <c r="H91" s="2946"/>
      <c r="I91" s="2875"/>
      <c r="J91" s="2875"/>
      <c r="K91" s="2875"/>
      <c r="L91" s="2875"/>
      <c r="M91" s="2875"/>
      <c r="N91" s="2875"/>
      <c r="O91" s="2875"/>
      <c r="P91" s="2875"/>
      <c r="Q91" s="2875"/>
      <c r="R91" s="2875"/>
      <c r="S91" s="2875"/>
      <c r="T91" s="2875"/>
      <c r="U91" t="s">
        <v>978</v>
      </c>
    </row>
    <row r="92" spans="1:21">
      <c r="A92" s="58">
        <v>11</v>
      </c>
      <c r="B92" s="2553" t="s">
        <v>189</v>
      </c>
      <c r="C92" s="2940">
        <f t="shared" si="19"/>
        <v>188861</v>
      </c>
      <c r="D92" s="2940">
        <f t="shared" si="20"/>
        <v>163814</v>
      </c>
      <c r="E92" s="2940">
        <f t="shared" si="21"/>
        <v>327036</v>
      </c>
      <c r="F92" s="2941">
        <v>5941</v>
      </c>
      <c r="G92" s="2941">
        <v>5077</v>
      </c>
      <c r="H92" s="2941">
        <v>9576</v>
      </c>
      <c r="I92" s="2442">
        <v>10362</v>
      </c>
      <c r="J92" s="2442">
        <v>77</v>
      </c>
      <c r="K92" s="2442">
        <v>10026</v>
      </c>
      <c r="L92" s="2876">
        <v>152611</v>
      </c>
      <c r="M92" s="2876">
        <v>155849</v>
      </c>
      <c r="N92" s="2876">
        <v>285888</v>
      </c>
      <c r="O92" s="2442"/>
      <c r="P92" s="2442"/>
      <c r="Q92" s="2442"/>
      <c r="R92" s="2442">
        <v>19947</v>
      </c>
      <c r="S92" s="2442">
        <v>2811</v>
      </c>
      <c r="T92" s="2442">
        <v>21546</v>
      </c>
    </row>
    <row r="93" spans="1:21">
      <c r="A93" s="58">
        <v>12</v>
      </c>
      <c r="B93" s="2553" t="s">
        <v>191</v>
      </c>
      <c r="C93" s="2940">
        <f t="shared" si="19"/>
        <v>0</v>
      </c>
      <c r="D93" s="2940">
        <f t="shared" si="20"/>
        <v>0</v>
      </c>
      <c r="E93" s="2940">
        <f t="shared" si="21"/>
        <v>0</v>
      </c>
      <c r="F93" s="2941"/>
      <c r="G93" s="2941"/>
      <c r="H93" s="2941"/>
      <c r="I93" s="2442"/>
      <c r="J93" s="2442"/>
      <c r="K93" s="2442"/>
      <c r="L93" s="2876"/>
      <c r="M93" s="2876"/>
      <c r="N93" s="2876"/>
      <c r="O93" s="2442"/>
      <c r="P93" s="2442"/>
      <c r="Q93" s="2442"/>
      <c r="R93" s="2442"/>
      <c r="S93" s="2442"/>
      <c r="T93" s="2442"/>
    </row>
    <row r="94" spans="1:21">
      <c r="A94" s="58">
        <v>13</v>
      </c>
      <c r="B94" s="2553" t="s">
        <v>192</v>
      </c>
      <c r="C94" s="2940">
        <f t="shared" si="19"/>
        <v>0</v>
      </c>
      <c r="D94" s="2940">
        <f t="shared" si="20"/>
        <v>0</v>
      </c>
      <c r="E94" s="2940">
        <f t="shared" si="21"/>
        <v>20729</v>
      </c>
      <c r="F94" s="2947"/>
      <c r="G94" s="2947"/>
      <c r="H94" s="2941">
        <v>568</v>
      </c>
      <c r="I94" s="2875"/>
      <c r="J94" s="2875"/>
      <c r="K94" s="2442">
        <v>643</v>
      </c>
      <c r="L94" s="2875"/>
      <c r="M94" s="2875"/>
      <c r="N94" s="2876">
        <v>18474</v>
      </c>
      <c r="O94" s="2442"/>
      <c r="P94" s="2442"/>
      <c r="Q94" s="2442">
        <v>0</v>
      </c>
      <c r="R94" s="2875"/>
      <c r="S94" s="2875"/>
      <c r="T94" s="2442">
        <v>1044</v>
      </c>
      <c r="U94" t="s">
        <v>978</v>
      </c>
    </row>
    <row r="95" spans="1:21">
      <c r="A95" s="58">
        <v>14</v>
      </c>
      <c r="B95" s="2554" t="s">
        <v>194</v>
      </c>
      <c r="C95" s="2940">
        <f t="shared" ref="C95:C100" si="22">+F95+I95+L95+O95+R95</f>
        <v>0</v>
      </c>
      <c r="D95" s="2940">
        <f t="shared" ref="D95:D100" si="23">+G95+J95+M95+P95+S95</f>
        <v>0</v>
      </c>
      <c r="E95" s="2940">
        <f t="shared" ref="E95:E100" si="24">+H95+K95+N95+Q95+T95</f>
        <v>0</v>
      </c>
      <c r="F95" s="2941"/>
      <c r="G95" s="2941"/>
      <c r="H95" s="2941"/>
      <c r="I95" s="2442"/>
      <c r="J95" s="2442"/>
      <c r="K95" s="2442"/>
      <c r="L95" s="2876"/>
      <c r="M95" s="2876"/>
      <c r="N95" s="2876"/>
      <c r="O95" s="2442"/>
      <c r="P95" s="2442"/>
      <c r="Q95" s="2442"/>
      <c r="R95" s="2442"/>
      <c r="S95" s="2442"/>
      <c r="T95" s="2442"/>
    </row>
    <row r="96" spans="1:21">
      <c r="A96" s="58">
        <v>15</v>
      </c>
      <c r="B96" s="2553" t="s">
        <v>195</v>
      </c>
      <c r="C96" s="2940">
        <f t="shared" si="22"/>
        <v>389171</v>
      </c>
      <c r="D96" s="2940">
        <f t="shared" si="23"/>
        <v>699012</v>
      </c>
      <c r="E96" s="2940">
        <f t="shared" si="24"/>
        <v>1046357</v>
      </c>
      <c r="F96" s="2941">
        <v>12682</v>
      </c>
      <c r="G96" s="2941">
        <v>31163</v>
      </c>
      <c r="H96" s="2941">
        <v>41040</v>
      </c>
      <c r="I96" s="2442">
        <v>16161</v>
      </c>
      <c r="J96" s="2442">
        <v>1010</v>
      </c>
      <c r="K96" s="2442">
        <v>1620</v>
      </c>
      <c r="L96" s="2876">
        <v>349653</v>
      </c>
      <c r="M96" s="2876">
        <v>644004</v>
      </c>
      <c r="N96" s="2876">
        <v>982036</v>
      </c>
      <c r="O96" s="2442">
        <v>825</v>
      </c>
      <c r="P96" s="2442">
        <v>1450</v>
      </c>
      <c r="Q96" s="2442">
        <v>1802</v>
      </c>
      <c r="R96" s="2442">
        <v>9850</v>
      </c>
      <c r="S96" s="2442">
        <v>21385</v>
      </c>
      <c r="T96" s="2442">
        <v>19859</v>
      </c>
    </row>
    <row r="97" spans="1:20">
      <c r="A97" s="58">
        <v>16</v>
      </c>
      <c r="B97" s="2553" t="s">
        <v>196</v>
      </c>
      <c r="C97" s="2940">
        <f t="shared" si="22"/>
        <v>289</v>
      </c>
      <c r="D97" s="2940">
        <f t="shared" si="23"/>
        <v>397</v>
      </c>
      <c r="E97" s="2940">
        <f t="shared" si="24"/>
        <v>20843</v>
      </c>
      <c r="F97" s="2941">
        <v>285</v>
      </c>
      <c r="G97" s="2941">
        <v>397</v>
      </c>
      <c r="H97" s="2941">
        <v>682</v>
      </c>
      <c r="I97" s="2442"/>
      <c r="J97" s="2442"/>
      <c r="K97" s="2442"/>
      <c r="L97" s="2875"/>
      <c r="M97" s="2875"/>
      <c r="N97" s="2876">
        <v>18749</v>
      </c>
      <c r="O97" s="2442">
        <v>4</v>
      </c>
      <c r="P97" s="2442">
        <v>0</v>
      </c>
      <c r="Q97" s="2442">
        <v>4</v>
      </c>
      <c r="R97" s="2875"/>
      <c r="S97" s="2875"/>
      <c r="T97" s="2442">
        <v>1408</v>
      </c>
    </row>
    <row r="98" spans="1:20">
      <c r="A98" s="58">
        <v>17</v>
      </c>
      <c r="B98" s="2553" t="s">
        <v>197</v>
      </c>
      <c r="C98" s="2940">
        <f t="shared" si="22"/>
        <v>54402</v>
      </c>
      <c r="D98" s="2940">
        <f t="shared" si="23"/>
        <v>55888</v>
      </c>
      <c r="E98" s="2940">
        <f t="shared" si="24"/>
        <v>110290</v>
      </c>
      <c r="F98" s="2941">
        <v>3963</v>
      </c>
      <c r="G98" s="2941">
        <v>6268</v>
      </c>
      <c r="H98" s="2941">
        <v>10231</v>
      </c>
      <c r="I98" s="2442">
        <v>19702</v>
      </c>
      <c r="J98" s="2442">
        <v>241</v>
      </c>
      <c r="K98" s="2442">
        <v>19943</v>
      </c>
      <c r="L98" s="2876">
        <v>25624</v>
      </c>
      <c r="M98" s="2876">
        <v>44263</v>
      </c>
      <c r="N98" s="2876">
        <v>69887</v>
      </c>
      <c r="O98" s="2442">
        <v>501</v>
      </c>
      <c r="P98" s="2442">
        <v>1007</v>
      </c>
      <c r="Q98" s="2442">
        <v>1508</v>
      </c>
      <c r="R98" s="2442">
        <v>4612</v>
      </c>
      <c r="S98" s="2442">
        <v>4109</v>
      </c>
      <c r="T98" s="2442">
        <v>8721</v>
      </c>
    </row>
    <row r="99" spans="1:20">
      <c r="A99" s="58">
        <v>18</v>
      </c>
      <c r="B99" s="2554" t="s">
        <v>193</v>
      </c>
      <c r="C99" s="2940">
        <f t="shared" si="22"/>
        <v>0</v>
      </c>
      <c r="D99" s="2940">
        <f t="shared" si="23"/>
        <v>0</v>
      </c>
      <c r="E99" s="2940">
        <f t="shared" si="24"/>
        <v>0</v>
      </c>
      <c r="F99" s="2941"/>
      <c r="G99" s="2941"/>
      <c r="H99" s="2941"/>
      <c r="I99" s="2442"/>
      <c r="J99" s="2442"/>
      <c r="K99" s="2442"/>
      <c r="L99" s="2876"/>
      <c r="M99" s="2876"/>
      <c r="N99" s="2876"/>
      <c r="O99" s="2442"/>
      <c r="P99" s="2442"/>
      <c r="Q99" s="2442"/>
      <c r="R99" s="2442"/>
      <c r="S99" s="2442"/>
      <c r="T99" s="2442"/>
    </row>
    <row r="100" spans="1:20">
      <c r="A100" s="58">
        <v>19</v>
      </c>
      <c r="B100" s="2554" t="s">
        <v>110</v>
      </c>
      <c r="C100" s="2940">
        <f t="shared" si="22"/>
        <v>0</v>
      </c>
      <c r="D100" s="2940">
        <f t="shared" si="23"/>
        <v>0</v>
      </c>
      <c r="E100" s="2940">
        <f t="shared" si="24"/>
        <v>0</v>
      </c>
      <c r="F100" s="2941"/>
      <c r="G100" s="2941"/>
      <c r="H100" s="2941"/>
      <c r="I100" s="2442"/>
      <c r="J100" s="2442"/>
      <c r="K100" s="2442"/>
      <c r="L100" s="2876"/>
      <c r="M100" s="2876"/>
      <c r="N100" s="2876"/>
      <c r="O100" s="2442"/>
      <c r="P100" s="2442"/>
      <c r="Q100" s="2442"/>
      <c r="R100" s="2442"/>
      <c r="S100" s="2442"/>
      <c r="T100" s="2442"/>
    </row>
    <row r="101" spans="1:20">
      <c r="B101" s="2736" t="s">
        <v>118</v>
      </c>
      <c r="C101" s="2731">
        <f t="shared" ref="C101:T101" si="25">SUM(C82:C100)</f>
        <v>1322279</v>
      </c>
      <c r="D101" s="2731">
        <f t="shared" si="25"/>
        <v>1528157</v>
      </c>
      <c r="E101" s="2731">
        <f t="shared" si="25"/>
        <v>2990755.34</v>
      </c>
      <c r="F101" s="2941">
        <f t="shared" si="25"/>
        <v>49316</v>
      </c>
      <c r="G101" s="2941">
        <f t="shared" si="25"/>
        <v>98859</v>
      </c>
      <c r="H101" s="2941">
        <f t="shared" si="25"/>
        <v>141194.34</v>
      </c>
      <c r="I101" s="2873">
        <f t="shared" si="25"/>
        <v>113275</v>
      </c>
      <c r="J101" s="2873">
        <f t="shared" si="25"/>
        <v>1681</v>
      </c>
      <c r="K101" s="2873">
        <f t="shared" si="25"/>
        <v>110152</v>
      </c>
      <c r="L101" s="2877">
        <f t="shared" si="25"/>
        <v>965275</v>
      </c>
      <c r="M101" s="2877">
        <f t="shared" si="25"/>
        <v>1332422</v>
      </c>
      <c r="N101" s="2877">
        <f t="shared" si="25"/>
        <v>2305730</v>
      </c>
      <c r="O101" s="2873">
        <f t="shared" si="25"/>
        <v>3952</v>
      </c>
      <c r="P101" s="2873">
        <f t="shared" si="25"/>
        <v>5792</v>
      </c>
      <c r="Q101" s="2873">
        <f t="shared" si="25"/>
        <v>9607</v>
      </c>
      <c r="R101" s="2873">
        <f t="shared" si="25"/>
        <v>190461</v>
      </c>
      <c r="S101" s="2873">
        <f t="shared" si="25"/>
        <v>89403</v>
      </c>
      <c r="T101" s="2873">
        <f t="shared" si="25"/>
        <v>424072</v>
      </c>
    </row>
    <row r="102" spans="1:20">
      <c r="B102" s="46"/>
      <c r="C102" s="47"/>
      <c r="D102" s="47"/>
      <c r="E102" s="47"/>
      <c r="F102" s="48"/>
      <c r="G102" s="48"/>
      <c r="H102" s="48"/>
      <c r="I102" s="49"/>
      <c r="J102" s="49"/>
      <c r="K102" s="49"/>
      <c r="L102" s="50"/>
      <c r="M102" s="50"/>
      <c r="N102" s="50"/>
      <c r="O102" s="49"/>
      <c r="P102" s="49"/>
      <c r="Q102" s="49"/>
      <c r="R102" s="49"/>
      <c r="S102" s="49"/>
      <c r="T102" s="49"/>
    </row>
    <row r="105" spans="1:20">
      <c r="B105" s="2725" t="s">
        <v>856</v>
      </c>
    </row>
    <row r="106" spans="1:20">
      <c r="B106" s="3604" t="s">
        <v>730</v>
      </c>
      <c r="C106" s="3709" t="s">
        <v>118</v>
      </c>
      <c r="D106" s="3709"/>
      <c r="E106" s="3709"/>
      <c r="F106" s="3710" t="s">
        <v>436</v>
      </c>
      <c r="G106" s="3710"/>
      <c r="H106" s="3710"/>
      <c r="I106" s="3708" t="s">
        <v>437</v>
      </c>
      <c r="J106" s="3708"/>
      <c r="K106" s="3708"/>
      <c r="L106" s="3680" t="s">
        <v>438</v>
      </c>
      <c r="M106" s="3680"/>
      <c r="N106" s="3680"/>
      <c r="O106" s="3708" t="s">
        <v>722</v>
      </c>
      <c r="P106" s="3708"/>
      <c r="Q106" s="3708"/>
      <c r="R106" s="3708" t="s">
        <v>440</v>
      </c>
      <c r="S106" s="3708"/>
      <c r="T106" s="3708"/>
    </row>
    <row r="107" spans="1:20">
      <c r="B107" s="3604"/>
      <c r="C107" s="2938" t="s">
        <v>975</v>
      </c>
      <c r="D107" s="2938" t="s">
        <v>976</v>
      </c>
      <c r="E107" s="2938" t="s">
        <v>977</v>
      </c>
      <c r="F107" s="2939" t="s">
        <v>975</v>
      </c>
      <c r="G107" s="2939" t="s">
        <v>976</v>
      </c>
      <c r="H107" s="2939" t="s">
        <v>977</v>
      </c>
      <c r="I107" s="2521" t="s">
        <v>975</v>
      </c>
      <c r="J107" s="2521" t="s">
        <v>976</v>
      </c>
      <c r="K107" s="2521" t="s">
        <v>977</v>
      </c>
      <c r="L107" s="2870" t="s">
        <v>975</v>
      </c>
      <c r="M107" s="2870" t="s">
        <v>976</v>
      </c>
      <c r="N107" s="2870" t="s">
        <v>977</v>
      </c>
      <c r="O107" s="2521" t="s">
        <v>975</v>
      </c>
      <c r="P107" s="2521" t="s">
        <v>976</v>
      </c>
      <c r="Q107" s="2521" t="s">
        <v>977</v>
      </c>
      <c r="R107" s="2521" t="s">
        <v>975</v>
      </c>
      <c r="S107" s="2521" t="s">
        <v>976</v>
      </c>
      <c r="T107" s="2521" t="s">
        <v>977</v>
      </c>
    </row>
    <row r="108" spans="1:20">
      <c r="A108" s="58">
        <v>1</v>
      </c>
      <c r="B108" s="2553" t="s">
        <v>177</v>
      </c>
      <c r="C108" s="2940">
        <f t="shared" ref="C108:C120" si="26">+F108+I108+L108+O108+R108</f>
        <v>11313</v>
      </c>
      <c r="D108" s="2940">
        <f t="shared" ref="D108:D120" si="27">+G108+J108+M108+P108+S108</f>
        <v>4258</v>
      </c>
      <c r="E108" s="2940">
        <f t="shared" ref="E108:E120" si="28">+H108+K108+N108+Q108+T108</f>
        <v>15524</v>
      </c>
      <c r="F108" s="2941">
        <v>1006</v>
      </c>
      <c r="G108" s="2941">
        <v>625</v>
      </c>
      <c r="H108" s="2941">
        <v>1980</v>
      </c>
      <c r="I108" s="2942">
        <v>4038</v>
      </c>
      <c r="J108" s="2942">
        <v>38</v>
      </c>
      <c r="K108" s="2942">
        <v>4074</v>
      </c>
      <c r="L108" s="2874">
        <v>5639</v>
      </c>
      <c r="M108" s="2874">
        <v>3193</v>
      </c>
      <c r="N108" s="2874">
        <v>8827</v>
      </c>
      <c r="O108" s="2942">
        <v>133</v>
      </c>
      <c r="P108" s="2942">
        <v>78</v>
      </c>
      <c r="Q108" s="2942">
        <v>133</v>
      </c>
      <c r="R108" s="2942">
        <v>497</v>
      </c>
      <c r="S108" s="2942">
        <v>324</v>
      </c>
      <c r="T108" s="2942">
        <v>510</v>
      </c>
    </row>
    <row r="109" spans="1:20">
      <c r="A109" s="58">
        <v>2</v>
      </c>
      <c r="B109" s="2554" t="s">
        <v>179</v>
      </c>
      <c r="C109" s="2940">
        <f t="shared" si="26"/>
        <v>0</v>
      </c>
      <c r="D109" s="2940">
        <f t="shared" si="27"/>
        <v>0</v>
      </c>
      <c r="E109" s="2940">
        <f t="shared" si="28"/>
        <v>0</v>
      </c>
      <c r="F109" s="2941"/>
      <c r="G109" s="2941"/>
      <c r="H109" s="2941"/>
      <c r="I109" s="2442"/>
      <c r="J109" s="2442"/>
      <c r="K109" s="2442"/>
      <c r="L109" s="2876"/>
      <c r="M109" s="2876"/>
      <c r="N109" s="2876"/>
      <c r="O109" s="2442"/>
      <c r="P109" s="2442"/>
      <c r="Q109" s="2442"/>
      <c r="R109" s="2442"/>
      <c r="S109" s="2442"/>
      <c r="T109" s="2442"/>
    </row>
    <row r="110" spans="1:20">
      <c r="A110" s="58">
        <v>3</v>
      </c>
      <c r="B110" s="2553" t="s">
        <v>181</v>
      </c>
      <c r="C110" s="2940">
        <f>+F110+I110+L110+O110+R110</f>
        <v>41255</v>
      </c>
      <c r="D110" s="2940">
        <f>+G110+J110+M110+P110+S110</f>
        <v>27936</v>
      </c>
      <c r="E110" s="2940">
        <f>+H110+K110+N110+Q110+T110</f>
        <v>56265</v>
      </c>
      <c r="F110" s="2941">
        <v>5323</v>
      </c>
      <c r="G110" s="2941">
        <v>9673</v>
      </c>
      <c r="H110" s="2941">
        <v>14097</v>
      </c>
      <c r="I110" s="2442">
        <v>16544</v>
      </c>
      <c r="J110" s="2442">
        <v>78</v>
      </c>
      <c r="K110" s="2442">
        <v>8105</v>
      </c>
      <c r="L110" s="2876">
        <v>15548</v>
      </c>
      <c r="M110" s="2876">
        <v>16308</v>
      </c>
      <c r="N110" s="2876">
        <v>28910</v>
      </c>
      <c r="O110" s="2442">
        <v>112</v>
      </c>
      <c r="P110" s="2442">
        <v>326</v>
      </c>
      <c r="Q110" s="2442">
        <v>380</v>
      </c>
      <c r="R110" s="2442">
        <v>3728</v>
      </c>
      <c r="S110" s="2442">
        <v>1551</v>
      </c>
      <c r="T110" s="2442">
        <v>4773</v>
      </c>
    </row>
    <row r="111" spans="1:20">
      <c r="A111" s="58">
        <v>4</v>
      </c>
      <c r="B111" s="2553" t="s">
        <v>182</v>
      </c>
      <c r="C111" s="2940">
        <f t="shared" si="26"/>
        <v>32929</v>
      </c>
      <c r="D111" s="2940">
        <f t="shared" si="27"/>
        <v>18607</v>
      </c>
      <c r="E111" s="2940">
        <f t="shared" si="28"/>
        <v>51376</v>
      </c>
      <c r="F111" s="2941">
        <v>507</v>
      </c>
      <c r="G111" s="2941">
        <v>916</v>
      </c>
      <c r="H111" s="2941">
        <v>1475</v>
      </c>
      <c r="I111" s="2442">
        <v>6615</v>
      </c>
      <c r="J111" s="2442">
        <v>93</v>
      </c>
      <c r="K111" s="2442">
        <v>6736</v>
      </c>
      <c r="L111" s="2876">
        <v>23749</v>
      </c>
      <c r="M111" s="2876">
        <v>16190</v>
      </c>
      <c r="N111" s="2876">
        <v>39662</v>
      </c>
      <c r="O111" s="2442">
        <v>56</v>
      </c>
      <c r="P111" s="2442">
        <v>72</v>
      </c>
      <c r="Q111" s="2442">
        <v>128</v>
      </c>
      <c r="R111" s="2442">
        <v>2002</v>
      </c>
      <c r="S111" s="2442">
        <v>1336</v>
      </c>
      <c r="T111" s="2442">
        <v>3375</v>
      </c>
    </row>
    <row r="112" spans="1:20">
      <c r="A112" s="58">
        <v>5</v>
      </c>
      <c r="B112" s="2554" t="s">
        <v>183</v>
      </c>
      <c r="C112" s="2940">
        <f t="shared" si="26"/>
        <v>38631</v>
      </c>
      <c r="D112" s="2940">
        <f t="shared" si="27"/>
        <v>16030</v>
      </c>
      <c r="E112" s="2940">
        <f t="shared" si="28"/>
        <v>202615</v>
      </c>
      <c r="F112" s="2941">
        <v>477</v>
      </c>
      <c r="G112" s="2941">
        <v>473</v>
      </c>
      <c r="H112" s="2941">
        <v>2052</v>
      </c>
      <c r="I112" s="2442">
        <v>6759</v>
      </c>
      <c r="J112" s="2442">
        <v>5</v>
      </c>
      <c r="K112" s="2442">
        <v>17774</v>
      </c>
      <c r="L112" s="2876">
        <v>1790</v>
      </c>
      <c r="M112" s="2876">
        <v>1431</v>
      </c>
      <c r="N112" s="2876">
        <v>7959</v>
      </c>
      <c r="O112" s="2442">
        <v>56</v>
      </c>
      <c r="P112" s="2442">
        <v>100</v>
      </c>
      <c r="Q112" s="2442">
        <v>591</v>
      </c>
      <c r="R112" s="2442">
        <v>29549</v>
      </c>
      <c r="S112" s="2442">
        <v>14021</v>
      </c>
      <c r="T112" s="2442">
        <v>174239</v>
      </c>
    </row>
    <row r="113" spans="1:21">
      <c r="A113" s="58">
        <v>6</v>
      </c>
      <c r="B113" s="2554" t="s">
        <v>184</v>
      </c>
      <c r="C113" s="2940">
        <f t="shared" si="26"/>
        <v>0</v>
      </c>
      <c r="D113" s="2940">
        <f t="shared" si="27"/>
        <v>0</v>
      </c>
      <c r="E113" s="2940">
        <f t="shared" si="28"/>
        <v>0</v>
      </c>
      <c r="F113" s="2941"/>
      <c r="G113" s="2941"/>
      <c r="H113" s="2941"/>
      <c r="I113" s="2442"/>
      <c r="J113" s="2442"/>
      <c r="K113" s="2442"/>
      <c r="L113" s="2876"/>
      <c r="M113" s="2876"/>
      <c r="N113" s="2876"/>
      <c r="O113" s="2442"/>
      <c r="P113" s="2442"/>
      <c r="Q113" s="2442"/>
      <c r="R113" s="2442"/>
      <c r="S113" s="2442"/>
      <c r="T113" s="2442"/>
    </row>
    <row r="114" spans="1:21">
      <c r="A114" s="58">
        <v>7</v>
      </c>
      <c r="B114" s="2553" t="s">
        <v>185</v>
      </c>
      <c r="C114" s="2940">
        <f t="shared" si="26"/>
        <v>542230</v>
      </c>
      <c r="D114" s="2940">
        <f t="shared" si="27"/>
        <v>448366</v>
      </c>
      <c r="E114" s="2940">
        <f>+H114+K114+N114+Q114+T114</f>
        <v>937216</v>
      </c>
      <c r="F114" s="2941">
        <v>26077</v>
      </c>
      <c r="G114" s="2941">
        <v>42905</v>
      </c>
      <c r="H114" s="2941">
        <v>64896</v>
      </c>
      <c r="I114" s="2442">
        <v>40703</v>
      </c>
      <c r="J114" s="2442">
        <v>47</v>
      </c>
      <c r="K114" s="2442">
        <v>40570</v>
      </c>
      <c r="L114" s="2876">
        <v>351215</v>
      </c>
      <c r="M114" s="2876">
        <v>372407</v>
      </c>
      <c r="N114" s="2876">
        <v>690113</v>
      </c>
      <c r="O114" s="2442">
        <v>3101</v>
      </c>
      <c r="P114" s="2442">
        <v>3682</v>
      </c>
      <c r="Q114" s="2442">
        <v>6635</v>
      </c>
      <c r="R114" s="2442">
        <v>121134</v>
      </c>
      <c r="S114" s="2442">
        <v>29325</v>
      </c>
      <c r="T114" s="2442">
        <v>135002</v>
      </c>
    </row>
    <row r="115" spans="1:21">
      <c r="A115" s="58">
        <v>8</v>
      </c>
      <c r="B115" s="2553" t="s">
        <v>186</v>
      </c>
      <c r="C115" s="2940">
        <f t="shared" si="26"/>
        <v>47004</v>
      </c>
      <c r="D115" s="2940">
        <f t="shared" si="27"/>
        <v>14700</v>
      </c>
      <c r="E115" s="2940">
        <f t="shared" si="28"/>
        <v>68609.149999999994</v>
      </c>
      <c r="F115" s="2941">
        <v>1302</v>
      </c>
      <c r="G115" s="2941">
        <v>837</v>
      </c>
      <c r="H115" s="2941">
        <v>1818.15</v>
      </c>
      <c r="I115" s="2442">
        <v>654</v>
      </c>
      <c r="J115" s="2442">
        <v>23</v>
      </c>
      <c r="K115" s="2442">
        <v>96</v>
      </c>
      <c r="L115" s="2876">
        <v>39233</v>
      </c>
      <c r="M115" s="2876">
        <v>12522</v>
      </c>
      <c r="N115" s="2876">
        <v>63095</v>
      </c>
      <c r="O115" s="2442">
        <v>210</v>
      </c>
      <c r="P115" s="2442">
        <v>68</v>
      </c>
      <c r="Q115" s="2442">
        <v>122</v>
      </c>
      <c r="R115" s="2442">
        <v>5605</v>
      </c>
      <c r="S115" s="2442">
        <v>1250</v>
      </c>
      <c r="T115" s="2442">
        <v>3478</v>
      </c>
    </row>
    <row r="116" spans="1:21">
      <c r="A116" s="58">
        <v>9</v>
      </c>
      <c r="B116" s="2554" t="s">
        <v>187</v>
      </c>
      <c r="C116" s="2940">
        <f t="shared" si="26"/>
        <v>0</v>
      </c>
      <c r="D116" s="2940">
        <f t="shared" si="27"/>
        <v>0</v>
      </c>
      <c r="E116" s="2940">
        <f t="shared" si="28"/>
        <v>0</v>
      </c>
      <c r="F116" s="2941"/>
      <c r="G116" s="2941"/>
      <c r="H116" s="2941"/>
      <c r="I116" s="2442"/>
      <c r="J116" s="2442"/>
      <c r="K116" s="2442"/>
      <c r="L116" s="2876"/>
      <c r="M116" s="2876"/>
      <c r="N116" s="2876"/>
      <c r="O116" s="2442"/>
      <c r="P116" s="2442"/>
      <c r="Q116" s="2442"/>
      <c r="R116" s="2442"/>
      <c r="S116" s="2442"/>
      <c r="T116" s="2442"/>
    </row>
    <row r="117" spans="1:21">
      <c r="A117" s="58">
        <v>10</v>
      </c>
      <c r="B117" s="2553" t="s">
        <v>188</v>
      </c>
      <c r="C117" s="2940">
        <f t="shared" si="26"/>
        <v>0</v>
      </c>
      <c r="D117" s="2940">
        <f t="shared" si="27"/>
        <v>0</v>
      </c>
      <c r="E117" s="2940">
        <f t="shared" si="28"/>
        <v>0</v>
      </c>
      <c r="F117" s="2941"/>
      <c r="G117" s="2941"/>
      <c r="H117" s="2941"/>
      <c r="I117" s="2442"/>
      <c r="J117" s="2442"/>
      <c r="K117" s="2442"/>
      <c r="L117" s="2876"/>
      <c r="M117" s="2876"/>
      <c r="N117" s="2876"/>
      <c r="O117" s="2442"/>
      <c r="P117" s="2442"/>
      <c r="Q117" s="2442"/>
      <c r="R117" s="2442"/>
      <c r="S117" s="2442"/>
      <c r="T117" s="2442"/>
    </row>
    <row r="118" spans="1:21" s="72" customFormat="1">
      <c r="A118" s="71">
        <v>11</v>
      </c>
      <c r="B118" s="2882" t="s">
        <v>189</v>
      </c>
      <c r="C118" s="2945">
        <f t="shared" si="26"/>
        <v>0</v>
      </c>
      <c r="D118" s="2945">
        <f t="shared" si="27"/>
        <v>0</v>
      </c>
      <c r="E118" s="2945">
        <f t="shared" si="28"/>
        <v>0</v>
      </c>
      <c r="F118" s="2946"/>
      <c r="G118" s="2946"/>
      <c r="H118" s="2946"/>
      <c r="I118" s="2875"/>
      <c r="J118" s="2875"/>
      <c r="K118" s="2875"/>
      <c r="L118" s="2875"/>
      <c r="M118" s="2875"/>
      <c r="N118" s="2875"/>
      <c r="O118" s="2875"/>
      <c r="P118" s="2875"/>
      <c r="Q118" s="2875"/>
      <c r="R118" s="2875"/>
      <c r="S118" s="2875"/>
      <c r="T118" s="2875"/>
      <c r="U118" s="72" t="s">
        <v>979</v>
      </c>
    </row>
    <row r="119" spans="1:21">
      <c r="A119" s="58">
        <v>12</v>
      </c>
      <c r="B119" s="2553" t="s">
        <v>191</v>
      </c>
      <c r="C119" s="2940">
        <f t="shared" si="26"/>
        <v>0</v>
      </c>
      <c r="D119" s="2940">
        <f t="shared" si="27"/>
        <v>0</v>
      </c>
      <c r="E119" s="2940">
        <f t="shared" si="28"/>
        <v>0</v>
      </c>
      <c r="F119" s="2941"/>
      <c r="G119" s="2941"/>
      <c r="H119" s="2941"/>
      <c r="I119" s="2442"/>
      <c r="J119" s="2442"/>
      <c r="K119" s="2442"/>
      <c r="L119" s="2876"/>
      <c r="M119" s="2876"/>
      <c r="N119" s="2876"/>
      <c r="O119" s="2442"/>
      <c r="P119" s="2442"/>
      <c r="Q119" s="2442"/>
      <c r="R119" s="2442"/>
      <c r="S119" s="2442"/>
      <c r="T119" s="2442"/>
    </row>
    <row r="120" spans="1:21">
      <c r="A120" s="58">
        <v>13</v>
      </c>
      <c r="B120" s="2553" t="s">
        <v>192</v>
      </c>
      <c r="C120" s="2940">
        <f t="shared" si="26"/>
        <v>0</v>
      </c>
      <c r="D120" s="2940">
        <f t="shared" si="27"/>
        <v>0</v>
      </c>
      <c r="E120" s="2940">
        <f t="shared" si="28"/>
        <v>0</v>
      </c>
      <c r="F120" s="2941"/>
      <c r="G120" s="2941"/>
      <c r="H120" s="2941"/>
      <c r="I120" s="2442"/>
      <c r="J120" s="2442"/>
      <c r="K120" s="2442"/>
      <c r="L120" s="2876"/>
      <c r="M120" s="2876"/>
      <c r="N120" s="2876"/>
      <c r="O120" s="2442"/>
      <c r="P120" s="2442"/>
      <c r="Q120" s="2442"/>
      <c r="R120" s="2442"/>
      <c r="S120" s="2442"/>
      <c r="T120" s="2442"/>
    </row>
    <row r="121" spans="1:21">
      <c r="A121" s="58">
        <v>14</v>
      </c>
      <c r="B121" s="2554" t="s">
        <v>194</v>
      </c>
      <c r="C121" s="2940">
        <f t="shared" ref="C121:C126" si="29">+F121+I121+L121+O121+R121</f>
        <v>0</v>
      </c>
      <c r="D121" s="2940">
        <f t="shared" ref="D121:D126" si="30">+G121+J121+M121+P121+S121</f>
        <v>0</v>
      </c>
      <c r="E121" s="2940">
        <f t="shared" ref="E121:E126" si="31">+H121+K121+N121+Q121+T121</f>
        <v>0</v>
      </c>
      <c r="F121" s="2941"/>
      <c r="G121" s="2941"/>
      <c r="H121" s="2941"/>
      <c r="I121" s="2442"/>
      <c r="J121" s="2442"/>
      <c r="K121" s="2442"/>
      <c r="L121" s="2876"/>
      <c r="M121" s="2876"/>
      <c r="N121" s="2876"/>
      <c r="O121" s="2442"/>
      <c r="P121" s="2442"/>
      <c r="Q121" s="2442"/>
      <c r="R121" s="2442"/>
      <c r="S121" s="2442"/>
      <c r="T121" s="2442"/>
    </row>
    <row r="122" spans="1:21">
      <c r="A122" s="58">
        <v>15</v>
      </c>
      <c r="B122" s="2553" t="s">
        <v>195</v>
      </c>
      <c r="C122" s="2940">
        <f t="shared" si="29"/>
        <v>426914</v>
      </c>
      <c r="D122" s="2940">
        <f t="shared" si="30"/>
        <v>731081</v>
      </c>
      <c r="E122" s="2940">
        <f t="shared" si="31"/>
        <v>1039652</v>
      </c>
      <c r="F122" s="2941">
        <v>14297</v>
      </c>
      <c r="G122" s="2941">
        <v>29484</v>
      </c>
      <c r="H122" s="2941">
        <v>46013</v>
      </c>
      <c r="I122" s="2442">
        <v>19546</v>
      </c>
      <c r="J122" s="2442">
        <v>1071</v>
      </c>
      <c r="K122" s="2442">
        <v>2176</v>
      </c>
      <c r="L122" s="2876">
        <v>380882</v>
      </c>
      <c r="M122" s="2876">
        <v>677904</v>
      </c>
      <c r="N122" s="2876">
        <v>967479</v>
      </c>
      <c r="O122" s="2442">
        <v>807</v>
      </c>
      <c r="P122" s="2442">
        <v>1432</v>
      </c>
      <c r="Q122" s="2442">
        <v>1948</v>
      </c>
      <c r="R122" s="2442">
        <v>11382</v>
      </c>
      <c r="S122" s="2442">
        <v>21190</v>
      </c>
      <c r="T122" s="2442">
        <v>22036</v>
      </c>
    </row>
    <row r="123" spans="1:21" s="72" customFormat="1">
      <c r="A123" s="71">
        <v>16</v>
      </c>
      <c r="B123" s="2882" t="s">
        <v>196</v>
      </c>
      <c r="C123" s="2945">
        <f t="shared" si="29"/>
        <v>0</v>
      </c>
      <c r="D123" s="2945">
        <f t="shared" si="30"/>
        <v>0</v>
      </c>
      <c r="E123" s="2945">
        <f t="shared" si="31"/>
        <v>0</v>
      </c>
      <c r="F123" s="2946"/>
      <c r="G123" s="2946"/>
      <c r="H123" s="2946"/>
      <c r="I123" s="2875"/>
      <c r="J123" s="2875"/>
      <c r="K123" s="2875"/>
      <c r="L123" s="2875"/>
      <c r="M123" s="2875"/>
      <c r="N123" s="2875"/>
      <c r="O123" s="2875"/>
      <c r="P123" s="2875"/>
      <c r="Q123" s="2875"/>
      <c r="R123" s="2875"/>
      <c r="S123" s="2875"/>
      <c r="T123" s="2875"/>
    </row>
    <row r="124" spans="1:21">
      <c r="A124" s="58">
        <v>17</v>
      </c>
      <c r="B124" s="2553" t="s">
        <v>197</v>
      </c>
      <c r="C124" s="2940">
        <f t="shared" si="29"/>
        <v>52456</v>
      </c>
      <c r="D124" s="2940">
        <f t="shared" si="30"/>
        <v>49630</v>
      </c>
      <c r="E124" s="2940">
        <f t="shared" si="31"/>
        <v>102086</v>
      </c>
      <c r="F124" s="2941">
        <v>3129</v>
      </c>
      <c r="G124" s="2941">
        <v>6286</v>
      </c>
      <c r="H124" s="2941">
        <v>9415</v>
      </c>
      <c r="I124" s="2442">
        <v>18498</v>
      </c>
      <c r="J124" s="2442">
        <v>217</v>
      </c>
      <c r="K124" s="2442">
        <v>18715</v>
      </c>
      <c r="L124" s="2876">
        <v>25782</v>
      </c>
      <c r="M124" s="2876">
        <v>37767</v>
      </c>
      <c r="N124" s="2876">
        <v>63549</v>
      </c>
      <c r="O124" s="2442">
        <v>459</v>
      </c>
      <c r="P124" s="2442">
        <v>1050</v>
      </c>
      <c r="Q124" s="2442">
        <v>1509</v>
      </c>
      <c r="R124" s="2442">
        <v>4588</v>
      </c>
      <c r="S124" s="2442">
        <v>4310</v>
      </c>
      <c r="T124" s="2442">
        <v>8898</v>
      </c>
    </row>
    <row r="125" spans="1:21">
      <c r="A125" s="58">
        <v>18</v>
      </c>
      <c r="B125" s="2554" t="s">
        <v>193</v>
      </c>
      <c r="C125" s="2940">
        <f t="shared" si="29"/>
        <v>0</v>
      </c>
      <c r="D125" s="2940">
        <f t="shared" si="30"/>
        <v>0</v>
      </c>
      <c r="E125" s="2940">
        <f t="shared" si="31"/>
        <v>0</v>
      </c>
      <c r="F125" s="2941"/>
      <c r="G125" s="2941"/>
      <c r="H125" s="2941"/>
      <c r="I125" s="2442"/>
      <c r="J125" s="2442"/>
      <c r="K125" s="2442"/>
      <c r="L125" s="2876"/>
      <c r="M125" s="2876"/>
      <c r="N125" s="2876"/>
      <c r="O125" s="2442"/>
      <c r="P125" s="2442"/>
      <c r="Q125" s="2442"/>
      <c r="R125" s="2442"/>
      <c r="S125" s="2442"/>
      <c r="T125" s="2442"/>
    </row>
    <row r="126" spans="1:21">
      <c r="A126" s="58">
        <v>19</v>
      </c>
      <c r="B126" s="2554" t="s">
        <v>110</v>
      </c>
      <c r="C126" s="2940">
        <f t="shared" si="29"/>
        <v>0</v>
      </c>
      <c r="D126" s="2940">
        <f t="shared" si="30"/>
        <v>0</v>
      </c>
      <c r="E126" s="2940">
        <f t="shared" si="31"/>
        <v>0</v>
      </c>
      <c r="F126" s="2941"/>
      <c r="G126" s="2941"/>
      <c r="H126" s="2941"/>
      <c r="I126" s="2442"/>
      <c r="J126" s="2442"/>
      <c r="K126" s="2442"/>
      <c r="L126" s="2876"/>
      <c r="M126" s="2876"/>
      <c r="N126" s="2876"/>
      <c r="O126" s="2442"/>
      <c r="P126" s="2442"/>
      <c r="Q126" s="2442"/>
      <c r="R126" s="2442"/>
      <c r="S126" s="2442"/>
      <c r="T126" s="2442"/>
    </row>
    <row r="127" spans="1:21">
      <c r="B127" s="2736" t="s">
        <v>118</v>
      </c>
      <c r="C127" s="2731">
        <f t="shared" ref="C127:T127" si="32">SUM(C108:C126)</f>
        <v>1192732</v>
      </c>
      <c r="D127" s="2731">
        <f t="shared" si="32"/>
        <v>1310608</v>
      </c>
      <c r="E127" s="2731">
        <f t="shared" si="32"/>
        <v>2473343.15</v>
      </c>
      <c r="F127" s="2941">
        <f t="shared" si="32"/>
        <v>52118</v>
      </c>
      <c r="G127" s="2941">
        <f t="shared" si="32"/>
        <v>91199</v>
      </c>
      <c r="H127" s="2941">
        <f t="shared" si="32"/>
        <v>141746.15</v>
      </c>
      <c r="I127" s="2873">
        <f t="shared" si="32"/>
        <v>113357</v>
      </c>
      <c r="J127" s="2873">
        <f t="shared" si="32"/>
        <v>1572</v>
      </c>
      <c r="K127" s="2873">
        <f t="shared" si="32"/>
        <v>98246</v>
      </c>
      <c r="L127" s="2877">
        <f t="shared" si="32"/>
        <v>843838</v>
      </c>
      <c r="M127" s="2877">
        <f t="shared" si="32"/>
        <v>1137722</v>
      </c>
      <c r="N127" s="2877">
        <f t="shared" si="32"/>
        <v>1869594</v>
      </c>
      <c r="O127" s="2873">
        <f t="shared" si="32"/>
        <v>4934</v>
      </c>
      <c r="P127" s="2873">
        <f t="shared" si="32"/>
        <v>6808</v>
      </c>
      <c r="Q127" s="2873">
        <f t="shared" si="32"/>
        <v>11446</v>
      </c>
      <c r="R127" s="2873">
        <f t="shared" si="32"/>
        <v>178485</v>
      </c>
      <c r="S127" s="2873">
        <f t="shared" si="32"/>
        <v>73307</v>
      </c>
      <c r="T127" s="2873">
        <f t="shared" si="32"/>
        <v>352311</v>
      </c>
    </row>
    <row r="128" spans="1:21">
      <c r="B128" s="46"/>
      <c r="C128" s="47"/>
      <c r="D128" s="47"/>
      <c r="E128" s="47"/>
      <c r="F128" s="48"/>
      <c r="G128" s="48"/>
      <c r="H128" s="48"/>
      <c r="I128" s="49"/>
      <c r="J128" s="49"/>
      <c r="K128" s="49"/>
      <c r="L128" s="50"/>
      <c r="M128" s="50"/>
      <c r="N128" s="50"/>
      <c r="O128" s="49"/>
      <c r="P128" s="49"/>
      <c r="Q128" s="49"/>
      <c r="R128" s="49"/>
      <c r="S128" s="49"/>
      <c r="T128" s="49"/>
    </row>
    <row r="131" spans="1:21">
      <c r="B131" s="2725" t="s">
        <v>858</v>
      </c>
    </row>
    <row r="132" spans="1:21">
      <c r="B132" s="3604" t="s">
        <v>730</v>
      </c>
      <c r="C132" s="3709" t="s">
        <v>118</v>
      </c>
      <c r="D132" s="3709"/>
      <c r="E132" s="3709"/>
      <c r="F132" s="3710" t="s">
        <v>436</v>
      </c>
      <c r="G132" s="3710"/>
      <c r="H132" s="3710"/>
      <c r="I132" s="3708" t="s">
        <v>437</v>
      </c>
      <c r="J132" s="3708"/>
      <c r="K132" s="3708"/>
      <c r="L132" s="3680" t="s">
        <v>438</v>
      </c>
      <c r="M132" s="3680"/>
      <c r="N132" s="3680"/>
      <c r="O132" s="3708" t="s">
        <v>722</v>
      </c>
      <c r="P132" s="3708"/>
      <c r="Q132" s="3708"/>
      <c r="R132" s="3708" t="s">
        <v>440</v>
      </c>
      <c r="S132" s="3708"/>
      <c r="T132" s="3708"/>
    </row>
    <row r="133" spans="1:21">
      <c r="B133" s="3604"/>
      <c r="C133" s="2938" t="s">
        <v>975</v>
      </c>
      <c r="D133" s="2938" t="s">
        <v>976</v>
      </c>
      <c r="E133" s="2938" t="s">
        <v>977</v>
      </c>
      <c r="F133" s="2939" t="s">
        <v>975</v>
      </c>
      <c r="G133" s="2939" t="s">
        <v>976</v>
      </c>
      <c r="H133" s="2939" t="s">
        <v>977</v>
      </c>
      <c r="I133" s="2521" t="s">
        <v>975</v>
      </c>
      <c r="J133" s="2521" t="s">
        <v>976</v>
      </c>
      <c r="K133" s="2521" t="s">
        <v>977</v>
      </c>
      <c r="L133" s="2870" t="s">
        <v>975</v>
      </c>
      <c r="M133" s="2870" t="s">
        <v>976</v>
      </c>
      <c r="N133" s="2870" t="s">
        <v>977</v>
      </c>
      <c r="O133" s="2521" t="s">
        <v>975</v>
      </c>
      <c r="P133" s="2521" t="s">
        <v>976</v>
      </c>
      <c r="Q133" s="2521" t="s">
        <v>977</v>
      </c>
      <c r="R133" s="2521" t="s">
        <v>975</v>
      </c>
      <c r="S133" s="2521" t="s">
        <v>976</v>
      </c>
      <c r="T133" s="2521" t="s">
        <v>977</v>
      </c>
    </row>
    <row r="134" spans="1:21">
      <c r="A134" s="58">
        <v>1</v>
      </c>
      <c r="B134" s="2553" t="s">
        <v>177</v>
      </c>
      <c r="C134" s="2940">
        <f t="shared" ref="C134:C146" si="33">+F134+I134+L134+O134+R134</f>
        <v>9285</v>
      </c>
      <c r="D134" s="2940">
        <f t="shared" ref="D134:D146" si="34">+G134+J134+M134+P134+S134</f>
        <v>4005</v>
      </c>
      <c r="E134" s="2940">
        <f t="shared" ref="E134:E146" si="35">+H134+K134+N134+Q134+T134</f>
        <v>9983</v>
      </c>
      <c r="F134" s="2941">
        <v>830</v>
      </c>
      <c r="G134" s="2941">
        <v>1221</v>
      </c>
      <c r="H134" s="2941">
        <v>1011</v>
      </c>
      <c r="I134" s="2942">
        <v>4856</v>
      </c>
      <c r="J134" s="2942">
        <v>38</v>
      </c>
      <c r="K134" s="2942">
        <v>4887</v>
      </c>
      <c r="L134" s="2874">
        <v>2988</v>
      </c>
      <c r="M134" s="2874">
        <v>2653</v>
      </c>
      <c r="N134" s="2874">
        <v>3479</v>
      </c>
      <c r="O134" s="2942">
        <v>85</v>
      </c>
      <c r="P134" s="2942">
        <v>21</v>
      </c>
      <c r="Q134" s="2942">
        <v>84</v>
      </c>
      <c r="R134" s="2942">
        <v>526</v>
      </c>
      <c r="S134" s="2942">
        <v>72</v>
      </c>
      <c r="T134" s="2942">
        <v>522</v>
      </c>
    </row>
    <row r="135" spans="1:21">
      <c r="A135" s="58">
        <v>2</v>
      </c>
      <c r="B135" s="2554" t="s">
        <v>179</v>
      </c>
      <c r="C135" s="2940">
        <f t="shared" si="33"/>
        <v>0</v>
      </c>
      <c r="D135" s="2940">
        <f t="shared" si="34"/>
        <v>0</v>
      </c>
      <c r="E135" s="2940">
        <f t="shared" si="35"/>
        <v>0</v>
      </c>
      <c r="F135" s="2941"/>
      <c r="G135" s="2941"/>
      <c r="H135" s="2941"/>
      <c r="I135" s="2442"/>
      <c r="J135" s="2442"/>
      <c r="K135" s="2442"/>
      <c r="L135" s="2876"/>
      <c r="M135" s="2876"/>
      <c r="N135" s="2876"/>
      <c r="O135" s="2442"/>
      <c r="P135" s="2442"/>
      <c r="Q135" s="2442"/>
      <c r="R135" s="2442"/>
      <c r="S135" s="2442"/>
      <c r="T135" s="2442"/>
    </row>
    <row r="136" spans="1:21">
      <c r="A136" s="58">
        <v>3</v>
      </c>
      <c r="B136" s="2553" t="s">
        <v>181</v>
      </c>
      <c r="C136" s="2940">
        <f>+F136+I136+L136+O136+R136</f>
        <v>43359</v>
      </c>
      <c r="D136" s="2940">
        <f>+G136+J136+M136+P136+S136</f>
        <v>23183</v>
      </c>
      <c r="E136" s="2940">
        <f>+H136+K136+N136+Q136+T136</f>
        <v>51039</v>
      </c>
      <c r="F136" s="2941">
        <v>4199</v>
      </c>
      <c r="G136" s="2941">
        <v>8845</v>
      </c>
      <c r="H136" s="2941">
        <v>12099</v>
      </c>
      <c r="I136" s="2442">
        <v>18682</v>
      </c>
      <c r="J136" s="2442">
        <v>75</v>
      </c>
      <c r="K136" s="2442">
        <v>9809</v>
      </c>
      <c r="L136" s="2876">
        <v>16787</v>
      </c>
      <c r="M136" s="2876">
        <v>12322</v>
      </c>
      <c r="N136" s="2876">
        <v>25403</v>
      </c>
      <c r="O136" s="2442">
        <v>187</v>
      </c>
      <c r="P136" s="2442">
        <v>322</v>
      </c>
      <c r="Q136" s="2442">
        <v>436</v>
      </c>
      <c r="R136" s="2442">
        <v>3504</v>
      </c>
      <c r="S136" s="2442">
        <v>1619</v>
      </c>
      <c r="T136" s="2442">
        <v>3292</v>
      </c>
    </row>
    <row r="137" spans="1:21">
      <c r="A137" s="58">
        <v>4</v>
      </c>
      <c r="B137" s="2553" t="s">
        <v>182</v>
      </c>
      <c r="C137" s="2940">
        <f t="shared" si="33"/>
        <v>34207</v>
      </c>
      <c r="D137" s="2940">
        <f t="shared" si="34"/>
        <v>15672</v>
      </c>
      <c r="E137" s="2940">
        <f t="shared" si="35"/>
        <v>49321</v>
      </c>
      <c r="F137" s="2941">
        <v>570</v>
      </c>
      <c r="G137" s="2941">
        <v>1017</v>
      </c>
      <c r="H137" s="2941">
        <v>1587</v>
      </c>
      <c r="I137" s="2442">
        <v>7473</v>
      </c>
      <c r="J137" s="2442">
        <v>69</v>
      </c>
      <c r="K137" s="2442">
        <v>7516</v>
      </c>
      <c r="L137" s="2876">
        <v>23367</v>
      </c>
      <c r="M137" s="2876">
        <v>13215</v>
      </c>
      <c r="N137" s="2876">
        <v>36063</v>
      </c>
      <c r="O137" s="2442">
        <v>82</v>
      </c>
      <c r="P137" s="2442">
        <v>72</v>
      </c>
      <c r="Q137" s="2442">
        <v>150</v>
      </c>
      <c r="R137" s="2442">
        <v>2715</v>
      </c>
      <c r="S137" s="2442">
        <v>1299</v>
      </c>
      <c r="T137" s="2442">
        <v>4005</v>
      </c>
    </row>
    <row r="138" spans="1:21">
      <c r="A138" s="58">
        <v>5</v>
      </c>
      <c r="B138" s="2554" t="s">
        <v>183</v>
      </c>
      <c r="C138" s="2940">
        <f t="shared" si="33"/>
        <v>61526</v>
      </c>
      <c r="D138" s="2940">
        <f t="shared" si="34"/>
        <v>4753</v>
      </c>
      <c r="E138" s="2940">
        <f t="shared" si="35"/>
        <v>142231</v>
      </c>
      <c r="F138" s="2941">
        <v>499</v>
      </c>
      <c r="G138" s="2941">
        <v>221</v>
      </c>
      <c r="H138" s="2941">
        <v>1185</v>
      </c>
      <c r="I138" s="2442">
        <v>5775</v>
      </c>
      <c r="J138" s="2442">
        <v>3</v>
      </c>
      <c r="K138" s="2442">
        <v>10729</v>
      </c>
      <c r="L138" s="2876">
        <v>1404</v>
      </c>
      <c r="M138" s="2876">
        <v>1001</v>
      </c>
      <c r="N138" s="2876">
        <v>4645</v>
      </c>
      <c r="O138" s="2442">
        <v>63</v>
      </c>
      <c r="P138" s="2442">
        <v>72</v>
      </c>
      <c r="Q138" s="2442">
        <v>376</v>
      </c>
      <c r="R138" s="2442">
        <v>53785</v>
      </c>
      <c r="S138" s="2442">
        <v>3456</v>
      </c>
      <c r="T138" s="2442">
        <v>125296</v>
      </c>
    </row>
    <row r="139" spans="1:21">
      <c r="A139" s="58">
        <v>6</v>
      </c>
      <c r="B139" s="2554" t="s">
        <v>184</v>
      </c>
      <c r="C139" s="2940">
        <f t="shared" si="33"/>
        <v>0</v>
      </c>
      <c r="D139" s="2940">
        <f t="shared" si="34"/>
        <v>0</v>
      </c>
      <c r="E139" s="2940">
        <f t="shared" si="35"/>
        <v>0</v>
      </c>
      <c r="F139" s="2941"/>
      <c r="G139" s="2941"/>
      <c r="H139" s="2941"/>
      <c r="I139" s="2442"/>
      <c r="J139" s="2442"/>
      <c r="K139" s="2442"/>
      <c r="L139" s="2876"/>
      <c r="M139" s="2876"/>
      <c r="N139" s="2876"/>
      <c r="O139" s="2442"/>
      <c r="P139" s="2442"/>
      <c r="Q139" s="2442"/>
      <c r="R139" s="2442"/>
      <c r="S139" s="2442"/>
      <c r="T139" s="2442"/>
    </row>
    <row r="140" spans="1:21">
      <c r="A140" s="58">
        <v>7</v>
      </c>
      <c r="B140" s="2553" t="s">
        <v>185</v>
      </c>
      <c r="C140" s="2940">
        <f t="shared" si="33"/>
        <v>613165</v>
      </c>
      <c r="D140" s="2940">
        <f t="shared" si="34"/>
        <v>523645</v>
      </c>
      <c r="E140" s="2940">
        <f t="shared" si="35"/>
        <v>819489</v>
      </c>
      <c r="F140" s="2941">
        <v>34060</v>
      </c>
      <c r="G140" s="2941">
        <v>41347</v>
      </c>
      <c r="H140" s="2941">
        <v>59991</v>
      </c>
      <c r="I140" s="2442">
        <v>51008</v>
      </c>
      <c r="J140" s="2442">
        <v>66</v>
      </c>
      <c r="K140" s="2442">
        <v>39634</v>
      </c>
      <c r="L140" s="2876">
        <v>423175</v>
      </c>
      <c r="M140" s="2876">
        <v>448838</v>
      </c>
      <c r="N140" s="2876">
        <v>605492</v>
      </c>
      <c r="O140" s="2442">
        <v>4407</v>
      </c>
      <c r="P140" s="2442">
        <v>3984</v>
      </c>
      <c r="Q140" s="2442">
        <v>6404</v>
      </c>
      <c r="R140" s="2442">
        <v>100515</v>
      </c>
      <c r="S140" s="2442">
        <v>29410</v>
      </c>
      <c r="T140" s="2442">
        <v>107968</v>
      </c>
    </row>
    <row r="141" spans="1:21">
      <c r="A141" s="58">
        <v>8</v>
      </c>
      <c r="B141" s="2553" t="s">
        <v>186</v>
      </c>
      <c r="C141" s="2940">
        <f t="shared" si="33"/>
        <v>30946</v>
      </c>
      <c r="D141" s="2940">
        <f t="shared" si="34"/>
        <v>11539</v>
      </c>
      <c r="E141" s="2940">
        <f t="shared" si="35"/>
        <v>44342.61</v>
      </c>
      <c r="F141" s="2941">
        <v>940</v>
      </c>
      <c r="G141" s="2941">
        <v>809</v>
      </c>
      <c r="H141" s="2941">
        <v>1556.61</v>
      </c>
      <c r="I141" s="2442">
        <v>425</v>
      </c>
      <c r="J141" s="2442">
        <v>24</v>
      </c>
      <c r="K141" s="2442">
        <v>15</v>
      </c>
      <c r="L141" s="2876">
        <v>24038</v>
      </c>
      <c r="M141" s="2876">
        <v>9245</v>
      </c>
      <c r="N141" s="2876">
        <v>40688</v>
      </c>
      <c r="O141" s="2442">
        <v>371</v>
      </c>
      <c r="P141" s="2442">
        <v>54</v>
      </c>
      <c r="Q141" s="2442">
        <v>163</v>
      </c>
      <c r="R141" s="2442">
        <v>5172</v>
      </c>
      <c r="S141" s="2442">
        <v>1407</v>
      </c>
      <c r="T141" s="2442">
        <v>1920</v>
      </c>
    </row>
    <row r="142" spans="1:21">
      <c r="A142" s="58">
        <v>9</v>
      </c>
      <c r="B142" s="2554" t="s">
        <v>187</v>
      </c>
      <c r="C142" s="2940">
        <f t="shared" si="33"/>
        <v>0</v>
      </c>
      <c r="D142" s="2940">
        <f t="shared" si="34"/>
        <v>0</v>
      </c>
      <c r="E142" s="2940">
        <f t="shared" si="35"/>
        <v>0</v>
      </c>
      <c r="F142" s="2941"/>
      <c r="G142" s="2941"/>
      <c r="H142" s="2941"/>
      <c r="I142" s="2442"/>
      <c r="J142" s="2442"/>
      <c r="K142" s="2442"/>
      <c r="L142" s="2876"/>
      <c r="M142" s="2876"/>
      <c r="N142" s="2876"/>
      <c r="O142" s="2442"/>
      <c r="P142" s="2442"/>
      <c r="Q142" s="2442"/>
      <c r="R142" s="2442"/>
      <c r="S142" s="2442"/>
      <c r="T142" s="2442"/>
    </row>
    <row r="143" spans="1:21">
      <c r="A143" s="58">
        <v>10</v>
      </c>
      <c r="B143" s="2553" t="s">
        <v>188</v>
      </c>
      <c r="C143" s="2940">
        <f t="shared" si="33"/>
        <v>0</v>
      </c>
      <c r="D143" s="2940">
        <f t="shared" si="34"/>
        <v>0</v>
      </c>
      <c r="E143" s="2940">
        <f t="shared" si="35"/>
        <v>0</v>
      </c>
      <c r="F143" s="2941"/>
      <c r="G143" s="2941"/>
      <c r="H143" s="2941"/>
      <c r="I143" s="2442"/>
      <c r="J143" s="2442"/>
      <c r="K143" s="2442"/>
      <c r="L143" s="2876"/>
      <c r="M143" s="2876"/>
      <c r="N143" s="2876"/>
      <c r="O143" s="2442"/>
      <c r="P143" s="2442"/>
      <c r="Q143" s="2442"/>
      <c r="R143" s="2442"/>
      <c r="S143" s="2442"/>
      <c r="T143" s="2442"/>
    </row>
    <row r="144" spans="1:21" s="72" customFormat="1">
      <c r="A144" s="71">
        <v>11</v>
      </c>
      <c r="B144" s="2882" t="s">
        <v>189</v>
      </c>
      <c r="C144" s="2945">
        <f t="shared" si="33"/>
        <v>0</v>
      </c>
      <c r="D144" s="2945">
        <f t="shared" si="34"/>
        <v>0</v>
      </c>
      <c r="E144" s="2945">
        <f t="shared" si="35"/>
        <v>0</v>
      </c>
      <c r="F144" s="2946"/>
      <c r="G144" s="2946"/>
      <c r="H144" s="2946"/>
      <c r="I144" s="2875"/>
      <c r="J144" s="2875"/>
      <c r="K144" s="2875"/>
      <c r="L144" s="2875"/>
      <c r="M144" s="2875"/>
      <c r="N144" s="2875"/>
      <c r="O144" s="2875"/>
      <c r="P144" s="2875"/>
      <c r="Q144" s="2875"/>
      <c r="R144" s="2875"/>
      <c r="S144" s="2875"/>
      <c r="T144" s="2875"/>
      <c r="U144" s="72" t="s">
        <v>979</v>
      </c>
    </row>
    <row r="145" spans="1:20">
      <c r="A145" s="58">
        <v>12</v>
      </c>
      <c r="B145" s="2553" t="s">
        <v>191</v>
      </c>
      <c r="C145" s="2940">
        <f t="shared" si="33"/>
        <v>0</v>
      </c>
      <c r="D145" s="2940">
        <f t="shared" si="34"/>
        <v>0</v>
      </c>
      <c r="E145" s="2940">
        <f t="shared" si="35"/>
        <v>0</v>
      </c>
      <c r="F145" s="2941"/>
      <c r="G145" s="2941"/>
      <c r="H145" s="2941"/>
      <c r="I145" s="2442"/>
      <c r="J145" s="2442"/>
      <c r="K145" s="2442"/>
      <c r="L145" s="2876"/>
      <c r="M145" s="2876"/>
      <c r="N145" s="2876"/>
      <c r="O145" s="2442"/>
      <c r="P145" s="2442"/>
      <c r="Q145" s="2442"/>
      <c r="R145" s="2442"/>
      <c r="S145" s="2442"/>
      <c r="T145" s="2442"/>
    </row>
    <row r="146" spans="1:20">
      <c r="A146" s="58">
        <v>13</v>
      </c>
      <c r="B146" s="2553" t="s">
        <v>192</v>
      </c>
      <c r="C146" s="2940">
        <f t="shared" si="33"/>
        <v>0</v>
      </c>
      <c r="D146" s="2940">
        <f t="shared" si="34"/>
        <v>0</v>
      </c>
      <c r="E146" s="2940">
        <f t="shared" si="35"/>
        <v>0</v>
      </c>
      <c r="F146" s="2941"/>
      <c r="G146" s="2941"/>
      <c r="H146" s="2941"/>
      <c r="I146" s="2442"/>
      <c r="J146" s="2442"/>
      <c r="K146" s="2442"/>
      <c r="L146" s="2876"/>
      <c r="M146" s="2876"/>
      <c r="N146" s="2876"/>
      <c r="O146" s="2442"/>
      <c r="P146" s="2442"/>
      <c r="Q146" s="2442"/>
      <c r="R146" s="2442"/>
      <c r="S146" s="2442"/>
      <c r="T146" s="2442"/>
    </row>
    <row r="147" spans="1:20">
      <c r="A147" s="58">
        <v>14</v>
      </c>
      <c r="B147" s="2554" t="s">
        <v>194</v>
      </c>
      <c r="C147" s="2940">
        <f t="shared" ref="C147:C152" si="36">+F147+I147+L147+O147+R147</f>
        <v>0</v>
      </c>
      <c r="D147" s="2940">
        <f t="shared" ref="D147:D152" si="37">+G147+J147+M147+P147+S147</f>
        <v>0</v>
      </c>
      <c r="E147" s="2940">
        <f t="shared" ref="E147:E152" si="38">+H147+K147+N147+Q147+T147</f>
        <v>0</v>
      </c>
      <c r="F147" s="2941"/>
      <c r="G147" s="2941"/>
      <c r="H147" s="2941"/>
      <c r="I147" s="2442"/>
      <c r="J147" s="2442"/>
      <c r="K147" s="2442"/>
      <c r="L147" s="2876"/>
      <c r="M147" s="2876"/>
      <c r="N147" s="2876"/>
      <c r="O147" s="2442"/>
      <c r="P147" s="2442"/>
      <c r="Q147" s="2442"/>
      <c r="R147" s="2442"/>
      <c r="S147" s="2442"/>
      <c r="T147" s="2442"/>
    </row>
    <row r="148" spans="1:20">
      <c r="A148" s="58">
        <v>15</v>
      </c>
      <c r="B148" s="2553" t="s">
        <v>195</v>
      </c>
      <c r="C148" s="2940">
        <f t="shared" si="36"/>
        <v>489790</v>
      </c>
      <c r="D148" s="2940">
        <f t="shared" si="37"/>
        <v>763416</v>
      </c>
      <c r="E148" s="2940">
        <f t="shared" si="38"/>
        <v>1033310</v>
      </c>
      <c r="F148" s="2941">
        <v>14682</v>
      </c>
      <c r="G148" s="2941">
        <v>27984</v>
      </c>
      <c r="H148" s="2941">
        <v>47956</v>
      </c>
      <c r="I148" s="2442">
        <v>20686</v>
      </c>
      <c r="J148" s="2442">
        <v>2492</v>
      </c>
      <c r="K148" s="2442">
        <v>571</v>
      </c>
      <c r="L148" s="2876">
        <v>441854</v>
      </c>
      <c r="M148" s="2876">
        <v>710029</v>
      </c>
      <c r="N148" s="2876">
        <v>957553</v>
      </c>
      <c r="O148" s="2442">
        <v>938</v>
      </c>
      <c r="P148" s="2442">
        <v>1521</v>
      </c>
      <c r="Q148" s="2442">
        <v>2047</v>
      </c>
      <c r="R148" s="2442">
        <v>11630</v>
      </c>
      <c r="S148" s="2442">
        <v>21390</v>
      </c>
      <c r="T148" s="2442">
        <v>25183</v>
      </c>
    </row>
    <row r="149" spans="1:20" s="72" customFormat="1">
      <c r="A149" s="71">
        <v>16</v>
      </c>
      <c r="B149" s="2882" t="s">
        <v>196</v>
      </c>
      <c r="C149" s="2945">
        <f t="shared" si="36"/>
        <v>0</v>
      </c>
      <c r="D149" s="2945">
        <f t="shared" si="37"/>
        <v>0</v>
      </c>
      <c r="E149" s="2945">
        <f t="shared" si="38"/>
        <v>0</v>
      </c>
      <c r="F149" s="2946"/>
      <c r="G149" s="2946"/>
      <c r="H149" s="2946"/>
      <c r="I149" s="2875"/>
      <c r="J149" s="2875"/>
      <c r="K149" s="2875"/>
      <c r="L149" s="2875"/>
      <c r="M149" s="2875"/>
      <c r="N149" s="2875"/>
      <c r="O149" s="2875"/>
      <c r="P149" s="2875"/>
      <c r="Q149" s="2875"/>
      <c r="R149" s="2875"/>
      <c r="S149" s="2875"/>
      <c r="T149" s="2875"/>
    </row>
    <row r="150" spans="1:20">
      <c r="A150" s="58">
        <v>17</v>
      </c>
      <c r="B150" s="2553" t="s">
        <v>197</v>
      </c>
      <c r="C150" s="2940">
        <f t="shared" si="36"/>
        <v>48258</v>
      </c>
      <c r="D150" s="2940">
        <f t="shared" si="37"/>
        <v>43182</v>
      </c>
      <c r="E150" s="2940">
        <f t="shared" si="38"/>
        <v>91440</v>
      </c>
      <c r="F150" s="2941">
        <v>3413</v>
      </c>
      <c r="G150" s="2941">
        <v>5985</v>
      </c>
      <c r="H150" s="2941">
        <v>9398</v>
      </c>
      <c r="I150" s="2442">
        <v>18049</v>
      </c>
      <c r="J150" s="2442">
        <v>192</v>
      </c>
      <c r="K150" s="2442">
        <v>18241</v>
      </c>
      <c r="L150" s="2876">
        <v>21795</v>
      </c>
      <c r="M150" s="2876">
        <v>31240</v>
      </c>
      <c r="N150" s="2876">
        <v>53035</v>
      </c>
      <c r="O150" s="2442">
        <v>451</v>
      </c>
      <c r="P150" s="2442">
        <v>1114</v>
      </c>
      <c r="Q150" s="2442">
        <v>1565</v>
      </c>
      <c r="R150" s="2442">
        <v>4550</v>
      </c>
      <c r="S150" s="2442">
        <v>4651</v>
      </c>
      <c r="T150" s="2442">
        <v>9201</v>
      </c>
    </row>
    <row r="151" spans="1:20">
      <c r="A151" s="58">
        <v>18</v>
      </c>
      <c r="B151" s="2554" t="s">
        <v>193</v>
      </c>
      <c r="C151" s="2940">
        <f t="shared" si="36"/>
        <v>0</v>
      </c>
      <c r="D151" s="2940">
        <f t="shared" si="37"/>
        <v>0</v>
      </c>
      <c r="E151" s="2940">
        <f t="shared" si="38"/>
        <v>0</v>
      </c>
      <c r="F151" s="2941"/>
      <c r="G151" s="2941"/>
      <c r="H151" s="2941"/>
      <c r="I151" s="2442"/>
      <c r="J151" s="2442"/>
      <c r="K151" s="2442"/>
      <c r="L151" s="2876"/>
      <c r="M151" s="2876"/>
      <c r="N151" s="2876"/>
      <c r="O151" s="2442"/>
      <c r="P151" s="2442"/>
      <c r="Q151" s="2442"/>
      <c r="R151" s="2442"/>
      <c r="S151" s="2442"/>
      <c r="T151" s="2442"/>
    </row>
    <row r="152" spans="1:20">
      <c r="A152" s="58">
        <v>19</v>
      </c>
      <c r="B152" s="2554" t="s">
        <v>110</v>
      </c>
      <c r="C152" s="2940">
        <f t="shared" si="36"/>
        <v>0</v>
      </c>
      <c r="D152" s="2940">
        <f t="shared" si="37"/>
        <v>0</v>
      </c>
      <c r="E152" s="2940">
        <f t="shared" si="38"/>
        <v>0</v>
      </c>
      <c r="F152" s="2941"/>
      <c r="G152" s="2941"/>
      <c r="H152" s="2941"/>
      <c r="I152" s="2442"/>
      <c r="J152" s="2442"/>
      <c r="K152" s="2442"/>
      <c r="L152" s="2876"/>
      <c r="M152" s="2876"/>
      <c r="N152" s="2876"/>
      <c r="O152" s="2442"/>
      <c r="P152" s="2442"/>
      <c r="Q152" s="2442"/>
      <c r="R152" s="2442"/>
      <c r="S152" s="2442"/>
      <c r="T152" s="2442"/>
    </row>
    <row r="153" spans="1:20">
      <c r="B153" s="2736" t="s">
        <v>118</v>
      </c>
      <c r="C153" s="2731">
        <f t="shared" ref="C153:T153" si="39">SUM(C134:C152)</f>
        <v>1330536</v>
      </c>
      <c r="D153" s="2731">
        <f t="shared" si="39"/>
        <v>1389395</v>
      </c>
      <c r="E153" s="2731">
        <f t="shared" si="39"/>
        <v>2241155.6100000003</v>
      </c>
      <c r="F153" s="2941">
        <f t="shared" si="39"/>
        <v>59193</v>
      </c>
      <c r="G153" s="2941">
        <f t="shared" si="39"/>
        <v>87429</v>
      </c>
      <c r="H153" s="2941">
        <f t="shared" si="39"/>
        <v>134783.60999999999</v>
      </c>
      <c r="I153" s="2873">
        <f t="shared" si="39"/>
        <v>126954</v>
      </c>
      <c r="J153" s="2873">
        <f t="shared" si="39"/>
        <v>2959</v>
      </c>
      <c r="K153" s="2873">
        <f t="shared" si="39"/>
        <v>91402</v>
      </c>
      <c r="L153" s="2877">
        <f t="shared" si="39"/>
        <v>955408</v>
      </c>
      <c r="M153" s="2877">
        <f t="shared" si="39"/>
        <v>1228543</v>
      </c>
      <c r="N153" s="2877">
        <f t="shared" si="39"/>
        <v>1726358</v>
      </c>
      <c r="O153" s="2873">
        <f t="shared" si="39"/>
        <v>6584</v>
      </c>
      <c r="P153" s="2873">
        <f t="shared" si="39"/>
        <v>7160</v>
      </c>
      <c r="Q153" s="2873">
        <f t="shared" si="39"/>
        <v>11225</v>
      </c>
      <c r="R153" s="2873">
        <f t="shared" si="39"/>
        <v>182397</v>
      </c>
      <c r="S153" s="2873">
        <f t="shared" si="39"/>
        <v>63304</v>
      </c>
      <c r="T153" s="2873">
        <f t="shared" si="39"/>
        <v>277387</v>
      </c>
    </row>
    <row r="154" spans="1:20">
      <c r="B154" s="46"/>
      <c r="C154" s="47"/>
      <c r="D154" s="47"/>
      <c r="E154" s="47"/>
      <c r="F154" s="48"/>
      <c r="G154" s="48"/>
      <c r="H154" s="48"/>
      <c r="I154" s="49"/>
      <c r="J154" s="49"/>
      <c r="K154" s="49"/>
      <c r="L154" s="50"/>
      <c r="M154" s="50"/>
      <c r="N154" s="50"/>
      <c r="O154" s="49"/>
      <c r="P154" s="49"/>
      <c r="Q154" s="49"/>
      <c r="R154" s="49"/>
      <c r="S154" s="49"/>
      <c r="T154" s="49"/>
    </row>
    <row r="157" spans="1:20">
      <c r="C157" s="3699">
        <v>2007</v>
      </c>
      <c r="D157" s="3700"/>
      <c r="E157" s="3701"/>
      <c r="F157" s="3702">
        <v>2008</v>
      </c>
      <c r="G157" s="3703"/>
      <c r="H157" s="3704"/>
      <c r="I157" s="3694">
        <v>2009</v>
      </c>
      <c r="J157" s="3695"/>
      <c r="K157" s="3696"/>
      <c r="L157" s="3680">
        <v>2010</v>
      </c>
      <c r="M157" s="3680"/>
      <c r="N157" s="3680"/>
      <c r="O157" s="3708">
        <v>2011</v>
      </c>
      <c r="P157" s="3708"/>
      <c r="Q157" s="3708"/>
    </row>
    <row r="158" spans="1:20">
      <c r="C158" s="2938" t="s">
        <v>975</v>
      </c>
      <c r="D158" s="2938" t="s">
        <v>976</v>
      </c>
      <c r="E158" s="2938" t="s">
        <v>977</v>
      </c>
      <c r="F158" s="2938" t="s">
        <v>975</v>
      </c>
      <c r="G158" s="2938" t="s">
        <v>976</v>
      </c>
      <c r="H158" s="2938" t="s">
        <v>977</v>
      </c>
      <c r="I158" s="2938" t="s">
        <v>975</v>
      </c>
      <c r="J158" s="2938" t="s">
        <v>976</v>
      </c>
      <c r="K158" s="2938" t="s">
        <v>977</v>
      </c>
      <c r="L158" s="2938" t="s">
        <v>975</v>
      </c>
      <c r="M158" s="2938" t="s">
        <v>976</v>
      </c>
      <c r="N158" s="2938" t="s">
        <v>977</v>
      </c>
      <c r="O158" s="2938" t="s">
        <v>975</v>
      </c>
      <c r="P158" s="2938" t="s">
        <v>976</v>
      </c>
      <c r="Q158" s="2938" t="s">
        <v>977</v>
      </c>
    </row>
    <row r="159" spans="1:20">
      <c r="B159" t="s">
        <v>436</v>
      </c>
      <c r="C159" s="14">
        <f>+F153</f>
        <v>59193</v>
      </c>
      <c r="D159" s="14">
        <f>+G153</f>
        <v>87429</v>
      </c>
      <c r="E159" s="14">
        <f>+H153</f>
        <v>134783.60999999999</v>
      </c>
      <c r="F159" s="14">
        <f>+F127</f>
        <v>52118</v>
      </c>
      <c r="G159" s="14">
        <f>+G127</f>
        <v>91199</v>
      </c>
      <c r="H159" s="14">
        <f>+H127</f>
        <v>141746.15</v>
      </c>
      <c r="I159" s="14">
        <f>+F101</f>
        <v>49316</v>
      </c>
      <c r="J159" s="14">
        <f>+G101</f>
        <v>98859</v>
      </c>
      <c r="K159" s="14">
        <f>+H101</f>
        <v>141194.34</v>
      </c>
      <c r="L159" s="14">
        <f>+F75</f>
        <v>66328</v>
      </c>
      <c r="M159" s="14">
        <f>+G75</f>
        <v>106129</v>
      </c>
      <c r="N159" s="14">
        <f>+H75</f>
        <v>163216.75</v>
      </c>
      <c r="O159" s="14">
        <f>+F49</f>
        <v>74776</v>
      </c>
      <c r="P159" s="14">
        <f>+G49</f>
        <v>125868</v>
      </c>
      <c r="Q159" s="14">
        <f>+H49</f>
        <v>203838</v>
      </c>
    </row>
    <row r="160" spans="1:20">
      <c r="B160" t="s">
        <v>437</v>
      </c>
      <c r="C160" s="14">
        <f>+I153</f>
        <v>126954</v>
      </c>
      <c r="D160" s="14">
        <f>+J153</f>
        <v>2959</v>
      </c>
      <c r="E160" s="14">
        <f>+K153</f>
        <v>91402</v>
      </c>
      <c r="F160" s="14">
        <f>+I127</f>
        <v>113357</v>
      </c>
      <c r="G160" s="14">
        <f>+J127</f>
        <v>1572</v>
      </c>
      <c r="H160" s="14">
        <f>+K127</f>
        <v>98246</v>
      </c>
      <c r="I160" s="14">
        <f>+I101</f>
        <v>113275</v>
      </c>
      <c r="J160" s="14">
        <f>+J101</f>
        <v>1681</v>
      </c>
      <c r="K160" s="14">
        <f>+K101</f>
        <v>110152</v>
      </c>
      <c r="L160" s="14">
        <f>+I75</f>
        <v>142090</v>
      </c>
      <c r="M160" s="14">
        <f>+J75</f>
        <v>2156</v>
      </c>
      <c r="N160" s="14">
        <f>+K75</f>
        <v>139645</v>
      </c>
      <c r="O160" s="14">
        <f>+I49</f>
        <v>163244</v>
      </c>
      <c r="P160" s="14">
        <f>+J49</f>
        <v>2059</v>
      </c>
      <c r="Q160" s="14">
        <f>+K49</f>
        <v>168575</v>
      </c>
    </row>
    <row r="161" spans="2:17">
      <c r="B161" t="s">
        <v>438</v>
      </c>
      <c r="C161" s="14">
        <f>+L153</f>
        <v>955408</v>
      </c>
      <c r="D161" s="14">
        <f>+M153</f>
        <v>1228543</v>
      </c>
      <c r="E161" s="14">
        <f>+N153</f>
        <v>1726358</v>
      </c>
      <c r="F161" s="14">
        <f>+L127</f>
        <v>843838</v>
      </c>
      <c r="G161" s="14">
        <f>+M127</f>
        <v>1137722</v>
      </c>
      <c r="H161" s="14">
        <f>+N127</f>
        <v>1869594</v>
      </c>
      <c r="I161" s="14">
        <f>+L101</f>
        <v>965275</v>
      </c>
      <c r="J161" s="14">
        <f>+M101</f>
        <v>1332422</v>
      </c>
      <c r="K161" s="14">
        <f>+N101</f>
        <v>2305730</v>
      </c>
      <c r="L161" s="14">
        <f>+L75</f>
        <v>1252268</v>
      </c>
      <c r="M161" s="14">
        <f>+M75</f>
        <v>1363494</v>
      </c>
      <c r="N161" s="14">
        <f>+N75</f>
        <v>2637246</v>
      </c>
      <c r="O161" s="14">
        <f>+L49</f>
        <v>1551716</v>
      </c>
      <c r="P161" s="14">
        <f>+M49</f>
        <v>1706738</v>
      </c>
      <c r="Q161" s="14">
        <f>+N49</f>
        <v>3189583</v>
      </c>
    </row>
    <row r="162" spans="2:17">
      <c r="B162" t="s">
        <v>722</v>
      </c>
      <c r="C162" s="14">
        <f>+O153</f>
        <v>6584</v>
      </c>
      <c r="D162" s="14">
        <f>+P153</f>
        <v>7160</v>
      </c>
      <c r="E162" s="14">
        <f>+Q153</f>
        <v>11225</v>
      </c>
      <c r="F162" s="14">
        <f>+O127</f>
        <v>4934</v>
      </c>
      <c r="G162" s="14">
        <f>+P127</f>
        <v>6808</v>
      </c>
      <c r="H162" s="14">
        <f>+Q127</f>
        <v>11446</v>
      </c>
      <c r="I162" s="14">
        <f>+O101</f>
        <v>3952</v>
      </c>
      <c r="J162" s="14">
        <f>+P101</f>
        <v>5792</v>
      </c>
      <c r="K162" s="14">
        <f>+Q101</f>
        <v>9607</v>
      </c>
      <c r="L162" s="14">
        <f>+O75</f>
        <v>4598</v>
      </c>
      <c r="M162" s="14">
        <f>+P75</f>
        <v>5725</v>
      </c>
      <c r="N162" s="14">
        <f>+Q75</f>
        <v>10133</v>
      </c>
      <c r="O162" s="14">
        <f>+O49</f>
        <v>5144</v>
      </c>
      <c r="P162" s="14">
        <f>+P49</f>
        <v>7517</v>
      </c>
      <c r="Q162" s="14">
        <f>+Q49</f>
        <v>12525</v>
      </c>
    </row>
    <row r="163" spans="2:17">
      <c r="B163" t="s">
        <v>440</v>
      </c>
      <c r="C163" s="14">
        <f>+R153</f>
        <v>182397</v>
      </c>
      <c r="D163" s="14">
        <f>+S153</f>
        <v>63304</v>
      </c>
      <c r="E163" s="14">
        <f>+T153</f>
        <v>277387</v>
      </c>
      <c r="F163" s="14">
        <f>+R127</f>
        <v>178485</v>
      </c>
      <c r="G163" s="14">
        <f>+S127</f>
        <v>73307</v>
      </c>
      <c r="H163" s="14">
        <f>+T127</f>
        <v>352311</v>
      </c>
      <c r="I163" s="14">
        <f>+R101</f>
        <v>190461</v>
      </c>
      <c r="J163" s="14">
        <f>+S101</f>
        <v>89403</v>
      </c>
      <c r="K163" s="14">
        <f>+T101</f>
        <v>424072</v>
      </c>
      <c r="L163" s="14">
        <f>+R75</f>
        <v>202443</v>
      </c>
      <c r="M163" s="14">
        <f>+S75</f>
        <v>89934</v>
      </c>
      <c r="N163" s="14">
        <f>+T75</f>
        <v>478544</v>
      </c>
      <c r="O163" s="14">
        <f>+R49</f>
        <v>239788</v>
      </c>
      <c r="P163" s="14">
        <f>+S49</f>
        <v>122026</v>
      </c>
      <c r="Q163" s="14">
        <f>+T49</f>
        <v>564549</v>
      </c>
    </row>
    <row r="164" spans="2:17">
      <c r="B164" s="43" t="s">
        <v>118</v>
      </c>
      <c r="C164" s="14">
        <f>SUM(C159:C163)</f>
        <v>1330536</v>
      </c>
      <c r="D164" s="14">
        <f t="shared" ref="D164:O164" si="40">SUM(D159:D163)</f>
        <v>1389395</v>
      </c>
      <c r="E164" s="14">
        <f>SUM(E159:E163)</f>
        <v>2241155.61</v>
      </c>
      <c r="F164" s="14">
        <f t="shared" si="40"/>
        <v>1192732</v>
      </c>
      <c r="G164" s="14">
        <f t="shared" si="40"/>
        <v>1310608</v>
      </c>
      <c r="H164" s="14">
        <f t="shared" si="40"/>
        <v>2473343.15</v>
      </c>
      <c r="I164" s="14">
        <f t="shared" si="40"/>
        <v>1322279</v>
      </c>
      <c r="J164" s="14">
        <f t="shared" si="40"/>
        <v>1528157</v>
      </c>
      <c r="K164" s="14">
        <f t="shared" si="40"/>
        <v>2990755.34</v>
      </c>
      <c r="L164" s="14">
        <f t="shared" si="40"/>
        <v>1667727</v>
      </c>
      <c r="M164" s="14">
        <f t="shared" si="40"/>
        <v>1567438</v>
      </c>
      <c r="N164" s="14">
        <f t="shared" si="40"/>
        <v>3428784.75</v>
      </c>
      <c r="O164" s="14">
        <f t="shared" si="40"/>
        <v>2034668</v>
      </c>
      <c r="P164" s="14">
        <f>SUM(P159:P163)</f>
        <v>1964208</v>
      </c>
      <c r="Q164" s="14">
        <f>SUM(Q159:Q163)</f>
        <v>4139070</v>
      </c>
    </row>
    <row r="166" spans="2:17">
      <c r="B166" t="s">
        <v>980</v>
      </c>
    </row>
    <row r="168" spans="2:17">
      <c r="C168" s="43">
        <v>2007</v>
      </c>
      <c r="D168" s="43">
        <v>2008</v>
      </c>
      <c r="E168" s="43">
        <v>2009</v>
      </c>
      <c r="F168" s="43">
        <v>2010</v>
      </c>
      <c r="G168" s="43">
        <v>2011</v>
      </c>
    </row>
    <row r="169" spans="2:17">
      <c r="B169" t="s">
        <v>975</v>
      </c>
      <c r="C169" s="14">
        <f>+C164</f>
        <v>1330536</v>
      </c>
      <c r="D169" s="14">
        <f>+F164</f>
        <v>1192732</v>
      </c>
      <c r="E169" s="14">
        <f>+I164</f>
        <v>1322279</v>
      </c>
      <c r="F169" s="14">
        <f>+L164</f>
        <v>1667727</v>
      </c>
      <c r="G169" s="14">
        <f>+O164</f>
        <v>2034668</v>
      </c>
    </row>
    <row r="170" spans="2:17">
      <c r="B170" t="s">
        <v>976</v>
      </c>
      <c r="C170" s="14">
        <f>+D164</f>
        <v>1389395</v>
      </c>
      <c r="D170" s="14">
        <f>+G164</f>
        <v>1310608</v>
      </c>
      <c r="E170" s="14">
        <f>+J164</f>
        <v>1528157</v>
      </c>
      <c r="F170" s="14">
        <f>+M164</f>
        <v>1567438</v>
      </c>
      <c r="G170" s="14">
        <f>+P164</f>
        <v>1964208</v>
      </c>
      <c r="H170" s="14"/>
    </row>
    <row r="171" spans="2:17">
      <c r="B171" t="s">
        <v>977</v>
      </c>
      <c r="C171" s="14">
        <f>+E164</f>
        <v>2241155.61</v>
      </c>
      <c r="D171" s="14">
        <f>+H164</f>
        <v>2473343.15</v>
      </c>
      <c r="E171" s="14">
        <f>+K164</f>
        <v>2990755.34</v>
      </c>
      <c r="F171" s="14">
        <f>+N164</f>
        <v>3428784.75</v>
      </c>
      <c r="G171" s="14">
        <f>+Q164</f>
        <v>4139070</v>
      </c>
      <c r="H171" s="14"/>
    </row>
  </sheetData>
  <customSheetViews>
    <customSheetView guid="{2ACFE167-4169-43A6-9AB2-59D5A2DA2DB4}" showPageBreaks="1" state="hidden">
      <pane xSplit="2" ySplit="5" topLeftCell="C144" activePane="bottomRight" state="frozen"/>
      <selection pane="bottomRight" activeCell="J170" sqref="J170"/>
      <pageMargins left="0" right="0" top="0" bottom="0" header="0" footer="0"/>
      <pageSetup orientation="portrait" r:id="rId1"/>
    </customSheetView>
    <customSheetView guid="{967E0446-E234-427F-8E57-7FE287052E2E}" showPageBreaks="1" state="hidden">
      <pane xSplit="2" ySplit="5" topLeftCell="C144" activePane="bottomRight" state="frozen"/>
      <selection pane="bottomRight" activeCell="J170" sqref="J170"/>
      <pageMargins left="0" right="0" top="0" bottom="0" header="0" footer="0"/>
      <pageSetup orientation="portrait" r:id="rId2"/>
    </customSheetView>
    <customSheetView guid="{B2E1A0C6-5BA1-4CF1-B412-16D81FCDF11F}" state="hidden">
      <pane xSplit="2" ySplit="5" topLeftCell="C144" activePane="bottomRight" state="frozen"/>
      <selection pane="bottomRight" activeCell="J170" sqref="J170"/>
      <pageMargins left="0" right="0" top="0" bottom="0" header="0" footer="0"/>
      <pageSetup orientation="portrait" r:id="rId3"/>
    </customSheetView>
    <customSheetView guid="{46F31544-8E6F-41C5-8628-1D6EE074AF15}" state="hidden">
      <pane xSplit="2" ySplit="5" topLeftCell="C144" activePane="bottomRight" state="frozen"/>
      <selection pane="bottomRight" activeCell="J170" sqref="J170"/>
      <pageMargins left="0" right="0" top="0" bottom="0" header="0" footer="0"/>
      <pageSetup orientation="portrait" r:id="rId4"/>
    </customSheetView>
    <customSheetView guid="{E82B35BE-4719-4C53-A9EF-1CC6F153A6F3}" state="hidden">
      <pane xSplit="2" ySplit="5" topLeftCell="C144" activePane="bottomRight" state="frozen"/>
      <selection pane="bottomRight" activeCell="J170" sqref="J170"/>
      <pageMargins left="0" right="0" top="0" bottom="0" header="0" footer="0"/>
      <pageSetup orientation="portrait" r:id="rId5"/>
    </customSheetView>
    <customSheetView guid="{B1E1B596-A9A1-411D-A882-A48CB025B978}" state="hidden">
      <pane xSplit="2" ySplit="5" topLeftCell="C144" activePane="bottomRight" state="frozen"/>
      <selection pane="bottomRight" activeCell="J170" sqref="J170"/>
      <pageMargins left="0" right="0" top="0" bottom="0" header="0" footer="0"/>
      <pageSetup orientation="portrait" r:id="rId6"/>
    </customSheetView>
    <customSheetView guid="{5E394B0B-7867-4722-9497-A93AB2A9A773}" showPageBreaks="1" state="hidden">
      <pane xSplit="2" ySplit="5" topLeftCell="C144" activePane="bottomRight" state="frozen"/>
      <selection pane="bottomRight" activeCell="J170" sqref="J170"/>
      <pageMargins left="0" right="0" top="0" bottom="0" header="0" footer="0"/>
      <pageSetup orientation="portrait" r:id="rId7"/>
    </customSheetView>
  </customSheetViews>
  <mergeCells count="47">
    <mergeCell ref="B28:B29"/>
    <mergeCell ref="B54:B55"/>
    <mergeCell ref="F54:H54"/>
    <mergeCell ref="B106:B107"/>
    <mergeCell ref="B132:B133"/>
    <mergeCell ref="F28:H28"/>
    <mergeCell ref="F80:H80"/>
    <mergeCell ref="F132:H132"/>
    <mergeCell ref="F106:H106"/>
    <mergeCell ref="B80:B81"/>
    <mergeCell ref="R106:T106"/>
    <mergeCell ref="I28:K28"/>
    <mergeCell ref="L28:N28"/>
    <mergeCell ref="O28:Q28"/>
    <mergeCell ref="R28:T28"/>
    <mergeCell ref="I54:K54"/>
    <mergeCell ref="L54:N54"/>
    <mergeCell ref="O54:Q54"/>
    <mergeCell ref="R54:T54"/>
    <mergeCell ref="R132:T132"/>
    <mergeCell ref="C28:E28"/>
    <mergeCell ref="C54:E54"/>
    <mergeCell ref="C80:E80"/>
    <mergeCell ref="C106:E106"/>
    <mergeCell ref="C132:E132"/>
    <mergeCell ref="I80:K80"/>
    <mergeCell ref="L80:N80"/>
    <mergeCell ref="O80:Q80"/>
    <mergeCell ref="R80:T80"/>
    <mergeCell ref="I132:K132"/>
    <mergeCell ref="L132:N132"/>
    <mergeCell ref="O132:Q132"/>
    <mergeCell ref="I106:K106"/>
    <mergeCell ref="L106:N106"/>
    <mergeCell ref="O106:Q106"/>
    <mergeCell ref="I157:K157"/>
    <mergeCell ref="L157:N157"/>
    <mergeCell ref="O157:Q157"/>
    <mergeCell ref="C157:E157"/>
    <mergeCell ref="F157:H157"/>
    <mergeCell ref="O4:Q4"/>
    <mergeCell ref="R4:T4"/>
    <mergeCell ref="B4:B5"/>
    <mergeCell ref="C4:E4"/>
    <mergeCell ref="F4:H4"/>
    <mergeCell ref="I4:K4"/>
    <mergeCell ref="L4:N4"/>
  </mergeCells>
  <hyperlinks>
    <hyperlink ref="B1" location="'List of tables'!A1" display="'List of tables'!A1" xr:uid="{00000000-0004-0000-4B00-000000000000}"/>
  </hyperlinks>
  <pageMargins left="0.7" right="0.7" top="0.75" bottom="0.75" header="0.3" footer="0.3"/>
  <pageSetup orientation="portrait" r:id="rId8"/>
  <drawing r:id="rId9"/>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Sheet57"/>
  <dimension ref="A1:M34"/>
  <sheetViews>
    <sheetView workbookViewId="0">
      <selection activeCell="C8" sqref="C8"/>
    </sheetView>
  </sheetViews>
  <sheetFormatPr defaultRowHeight="14.45"/>
  <cols>
    <col min="1" max="1" width="3.5703125" customWidth="1"/>
    <col min="2" max="2" width="8.7109375" customWidth="1"/>
    <col min="3" max="4" width="12.5703125" customWidth="1"/>
    <col min="5" max="5" width="9.85546875" customWidth="1"/>
    <col min="6" max="6" width="11.28515625" customWidth="1"/>
    <col min="7" max="7" width="12" customWidth="1"/>
    <col min="8" max="8" width="10.85546875" customWidth="1"/>
    <col min="9" max="9" width="12" style="99" customWidth="1"/>
    <col min="10" max="10" width="14.28515625" bestFit="1" customWidth="1"/>
    <col min="11" max="11" width="10.5703125" customWidth="1"/>
    <col min="12" max="12" width="11.7109375" customWidth="1"/>
    <col min="13" max="13" width="12" customWidth="1"/>
  </cols>
  <sheetData>
    <row r="1" spans="1:13">
      <c r="B1" s="150" t="s">
        <v>615</v>
      </c>
      <c r="C1" s="3"/>
      <c r="D1" s="3"/>
      <c r="E1" s="3"/>
      <c r="F1" s="3"/>
      <c r="G1" s="3"/>
      <c r="H1" s="3"/>
    </row>
    <row r="2" spans="1:13">
      <c r="B2" s="1766" t="s">
        <v>981</v>
      </c>
      <c r="C2" s="1767"/>
      <c r="D2" s="1767"/>
      <c r="E2" s="1767"/>
      <c r="F2" s="1767"/>
      <c r="G2" s="1767"/>
      <c r="H2" s="1768"/>
    </row>
    <row r="3" spans="1:13">
      <c r="B3" s="3246" t="s">
        <v>84</v>
      </c>
      <c r="C3" s="3243" t="s">
        <v>907</v>
      </c>
      <c r="D3" s="3738"/>
      <c r="E3" s="3738"/>
      <c r="F3" s="3243" t="s">
        <v>747</v>
      </c>
      <c r="G3" s="3738"/>
      <c r="H3" s="3739"/>
    </row>
    <row r="4" spans="1:13" ht="32.25" customHeight="1">
      <c r="B4" s="3247"/>
      <c r="C4" s="1769" t="s">
        <v>908</v>
      </c>
      <c r="D4" s="1769" t="s">
        <v>909</v>
      </c>
      <c r="E4" s="1769" t="s">
        <v>910</v>
      </c>
      <c r="F4" s="1770" t="s">
        <v>982</v>
      </c>
      <c r="G4" s="1769" t="s">
        <v>909</v>
      </c>
      <c r="H4" s="1769" t="s">
        <v>910</v>
      </c>
      <c r="I4" s="152"/>
      <c r="J4" s="43"/>
      <c r="K4" s="43"/>
      <c r="L4" s="106"/>
      <c r="M4" s="43"/>
    </row>
    <row r="5" spans="1:13" ht="17.45" customHeight="1">
      <c r="A5">
        <v>1</v>
      </c>
      <c r="B5" s="1772" t="s">
        <v>177</v>
      </c>
      <c r="C5" s="1784" t="e">
        <f>+#REF!+#REF!</f>
        <v>#REF!</v>
      </c>
      <c r="D5" s="2948" t="e">
        <f>VLOOKUP(B5,#REF!,12,0)</f>
        <v>#REF!</v>
      </c>
      <c r="E5" s="2883" t="e">
        <f>+D5/$D$23*100</f>
        <v>#REF!</v>
      </c>
      <c r="F5" s="1784" t="e">
        <f>+#REF!+#REF!</f>
        <v>#REF!</v>
      </c>
      <c r="G5" s="2948" t="e">
        <f>VLOOKUP(B5,#REF!,14,0)</f>
        <v>#REF!</v>
      </c>
      <c r="H5" s="2949" t="e">
        <f t="shared" ref="H5:H11" si="0">+G5/$G$23*100</f>
        <v>#REF!</v>
      </c>
      <c r="J5" s="58"/>
      <c r="L5" s="14"/>
      <c r="M5" s="14"/>
    </row>
    <row r="6" spans="1:13" ht="17.45" customHeight="1">
      <c r="A6">
        <v>2</v>
      </c>
      <c r="B6" s="1772" t="s">
        <v>179</v>
      </c>
      <c r="C6" s="1784" t="e">
        <f>+#REF!+#REF!</f>
        <v>#REF!</v>
      </c>
      <c r="D6" s="2948" t="e">
        <f>VLOOKUP(B6,#REF!,12,0)</f>
        <v>#REF!</v>
      </c>
      <c r="E6" s="2883" t="e">
        <f t="shared" ref="E6:E22" si="1">+D6/$D$23*100</f>
        <v>#REF!</v>
      </c>
      <c r="F6" s="1784" t="e">
        <f>+#REF!+#REF!</f>
        <v>#REF!</v>
      </c>
      <c r="G6" s="2948" t="e">
        <f>VLOOKUP(B6,#REF!,14,0)</f>
        <v>#REF!</v>
      </c>
      <c r="H6" s="2949" t="e">
        <f t="shared" si="0"/>
        <v>#REF!</v>
      </c>
      <c r="J6" s="58"/>
      <c r="K6" s="99"/>
      <c r="L6" s="99"/>
      <c r="M6" s="99"/>
    </row>
    <row r="7" spans="1:13" ht="17.45" customHeight="1">
      <c r="A7">
        <v>3</v>
      </c>
      <c r="B7" s="1772" t="s">
        <v>181</v>
      </c>
      <c r="C7" s="1784" t="e">
        <f>+#REF!+#REF!</f>
        <v>#REF!</v>
      </c>
      <c r="D7" s="2948" t="e">
        <f>VLOOKUP(B7,#REF!,12,0)</f>
        <v>#REF!</v>
      </c>
      <c r="E7" s="2883" t="e">
        <f t="shared" si="1"/>
        <v>#REF!</v>
      </c>
      <c r="F7" s="1784" t="e">
        <f>+#REF!+#REF!</f>
        <v>#REF!</v>
      </c>
      <c r="G7" s="2948" t="e">
        <f>VLOOKUP(B7,#REF!,14,0)</f>
        <v>#REF!</v>
      </c>
      <c r="H7" s="2949" t="e">
        <f t="shared" si="0"/>
        <v>#REF!</v>
      </c>
      <c r="I7" s="185" t="e">
        <f>+F7/F23*100</f>
        <v>#REF!</v>
      </c>
      <c r="J7" s="81"/>
    </row>
    <row r="8" spans="1:13" ht="17.45" customHeight="1">
      <c r="A8">
        <v>4</v>
      </c>
      <c r="B8" s="1772" t="s">
        <v>182</v>
      </c>
      <c r="C8" s="1784" t="e">
        <f>+#REF!+#REF!</f>
        <v>#REF!</v>
      </c>
      <c r="D8" s="2948" t="e">
        <f>VLOOKUP(B8,#REF!,12,0)</f>
        <v>#REF!</v>
      </c>
      <c r="E8" s="2883" t="e">
        <f t="shared" si="1"/>
        <v>#REF!</v>
      </c>
      <c r="F8" s="1784" t="e">
        <f>+#REF!+#REF!</f>
        <v>#REF!</v>
      </c>
      <c r="G8" s="2948" t="e">
        <f>VLOOKUP(B8,#REF!,14,0)</f>
        <v>#REF!</v>
      </c>
      <c r="H8" s="2949" t="e">
        <f t="shared" si="0"/>
        <v>#REF!</v>
      </c>
      <c r="J8" s="81"/>
    </row>
    <row r="9" spans="1:13" ht="17.45" customHeight="1">
      <c r="A9">
        <v>5</v>
      </c>
      <c r="B9" s="1772" t="s">
        <v>183</v>
      </c>
      <c r="C9" s="1784" t="e">
        <f>+#REF!+#REF!</f>
        <v>#REF!</v>
      </c>
      <c r="D9" s="2948" t="e">
        <f>VLOOKUP(B9,#REF!,12,0)</f>
        <v>#REF!</v>
      </c>
      <c r="E9" s="2883" t="e">
        <f t="shared" si="1"/>
        <v>#REF!</v>
      </c>
      <c r="F9" s="1784" t="e">
        <f>+#REF!+#REF!</f>
        <v>#REF!</v>
      </c>
      <c r="G9" s="2948" t="e">
        <f>VLOOKUP(B9,#REF!,14,0)</f>
        <v>#REF!</v>
      </c>
      <c r="H9" s="2949" t="e">
        <f t="shared" si="0"/>
        <v>#REF!</v>
      </c>
      <c r="J9" s="81"/>
    </row>
    <row r="10" spans="1:13" ht="17.45" customHeight="1">
      <c r="A10">
        <v>6</v>
      </c>
      <c r="B10" s="1772" t="s">
        <v>184</v>
      </c>
      <c r="C10" s="1784" t="e">
        <f>+#REF!+#REF!</f>
        <v>#REF!</v>
      </c>
      <c r="D10" s="2948" t="e">
        <f>VLOOKUP(B10,#REF!,12,0)</f>
        <v>#REF!</v>
      </c>
      <c r="E10" s="2883" t="e">
        <f t="shared" si="1"/>
        <v>#REF!</v>
      </c>
      <c r="F10" s="1784" t="e">
        <f>+#REF!+#REF!</f>
        <v>#REF!</v>
      </c>
      <c r="G10" s="2948" t="e">
        <f>VLOOKUP(B10,#REF!,14,0)</f>
        <v>#REF!</v>
      </c>
      <c r="H10" s="2883" t="e">
        <f>+G10/$G$23*100</f>
        <v>#REF!</v>
      </c>
      <c r="I10" s="121"/>
      <c r="J10" s="81"/>
    </row>
    <row r="11" spans="1:13" ht="17.45" customHeight="1">
      <c r="A11">
        <v>7</v>
      </c>
      <c r="B11" s="1772" t="s">
        <v>185</v>
      </c>
      <c r="C11" s="2884" t="e">
        <f>+#REF!+#REF!</f>
        <v>#REF!</v>
      </c>
      <c r="D11" s="2948" t="e">
        <f>VLOOKUP(B11,#REF!,12,0)</f>
        <v>#REF!</v>
      </c>
      <c r="E11" s="2883" t="e">
        <f t="shared" si="1"/>
        <v>#REF!</v>
      </c>
      <c r="F11" s="2884" t="e">
        <f>+#REF!+#REF!</f>
        <v>#REF!</v>
      </c>
      <c r="G11" s="2948" t="e">
        <f>VLOOKUP(B11,#REF!,14,0)</f>
        <v>#REF!</v>
      </c>
      <c r="H11" s="2949" t="e">
        <f t="shared" si="0"/>
        <v>#REF!</v>
      </c>
      <c r="J11" s="81"/>
    </row>
    <row r="12" spans="1:13" ht="17.45" customHeight="1">
      <c r="A12">
        <v>8</v>
      </c>
      <c r="B12" s="1772" t="s">
        <v>186</v>
      </c>
      <c r="C12" s="1784" t="e">
        <f>+#REF!+#REF!</f>
        <v>#REF!</v>
      </c>
      <c r="D12" s="2948" t="e">
        <f>VLOOKUP(B12,#REF!,12,0)</f>
        <v>#REF!</v>
      </c>
      <c r="E12" s="2883" t="e">
        <f t="shared" si="1"/>
        <v>#REF!</v>
      </c>
      <c r="F12" s="1784" t="e">
        <f>+#REF!+#REF!</f>
        <v>#REF!</v>
      </c>
      <c r="G12" s="2948" t="e">
        <f>VLOOKUP(B12,#REF!,14,0)</f>
        <v>#REF!</v>
      </c>
      <c r="H12" s="2883" t="e">
        <f t="shared" ref="H12:H22" si="2">+G12/$G$23*100</f>
        <v>#REF!</v>
      </c>
      <c r="J12" s="81"/>
    </row>
    <row r="13" spans="1:13" ht="17.45" customHeight="1">
      <c r="A13">
        <v>9</v>
      </c>
      <c r="B13" s="1772" t="s">
        <v>187</v>
      </c>
      <c r="C13" s="1784" t="e">
        <f>+#REF!+#REF!</f>
        <v>#REF!</v>
      </c>
      <c r="D13" s="2948" t="e">
        <f>VLOOKUP(B13,#REF!,12,0)</f>
        <v>#REF!</v>
      </c>
      <c r="E13" s="2883" t="e">
        <f t="shared" si="1"/>
        <v>#REF!</v>
      </c>
      <c r="F13" s="2884" t="e">
        <f>+#REF!+#REF!</f>
        <v>#REF!</v>
      </c>
      <c r="G13" s="2948" t="e">
        <f>VLOOKUP(B13,#REF!,14,0)</f>
        <v>#REF!</v>
      </c>
      <c r="H13" s="2883" t="e">
        <f t="shared" si="2"/>
        <v>#REF!</v>
      </c>
      <c r="J13" s="81"/>
    </row>
    <row r="14" spans="1:13" ht="17.45" customHeight="1">
      <c r="A14">
        <v>10</v>
      </c>
      <c r="B14" s="1772" t="s">
        <v>188</v>
      </c>
      <c r="C14" s="1784" t="e">
        <f>+#REF!+#REF!</f>
        <v>#REF!</v>
      </c>
      <c r="D14" s="2948" t="e">
        <f>VLOOKUP(B14,#REF!,12,0)</f>
        <v>#REF!</v>
      </c>
      <c r="E14" s="2883" t="e">
        <f t="shared" si="1"/>
        <v>#REF!</v>
      </c>
      <c r="F14" s="1784" t="e">
        <f>+#REF!+#REF!</f>
        <v>#REF!</v>
      </c>
      <c r="G14" s="2948" t="e">
        <f>VLOOKUP(B14,#REF!,14,0)</f>
        <v>#REF!</v>
      </c>
      <c r="H14" s="2883" t="e">
        <f t="shared" si="2"/>
        <v>#REF!</v>
      </c>
      <c r="J14" s="81"/>
    </row>
    <row r="15" spans="1:13" ht="17.45" customHeight="1">
      <c r="A15">
        <v>11</v>
      </c>
      <c r="B15" s="1772" t="s">
        <v>189</v>
      </c>
      <c r="C15" s="1784" t="e">
        <f>+#REF!+#REF!</f>
        <v>#REF!</v>
      </c>
      <c r="D15" s="2948" t="e">
        <f>VLOOKUP(B15,#REF!,12,0)</f>
        <v>#REF!</v>
      </c>
      <c r="E15" s="2883" t="e">
        <f t="shared" si="1"/>
        <v>#REF!</v>
      </c>
      <c r="F15" s="1784" t="e">
        <f>+#REF!+#REF!</f>
        <v>#REF!</v>
      </c>
      <c r="G15" s="2948" t="e">
        <f>VLOOKUP(B15,#REF!,14,0)</f>
        <v>#REF!</v>
      </c>
      <c r="H15" s="2883" t="e">
        <f t="shared" si="2"/>
        <v>#REF!</v>
      </c>
      <c r="I15" s="99" t="e">
        <f>+F15/F23*100</f>
        <v>#REF!</v>
      </c>
      <c r="J15" s="81"/>
    </row>
    <row r="16" spans="1:13" ht="17.45" customHeight="1">
      <c r="A16">
        <v>12</v>
      </c>
      <c r="B16" s="1772" t="s">
        <v>191</v>
      </c>
      <c r="C16" s="1784" t="e">
        <f>+#REF!+#REF!</f>
        <v>#REF!</v>
      </c>
      <c r="D16" s="2948" t="e">
        <f>VLOOKUP(B16,#REF!,12,0)</f>
        <v>#REF!</v>
      </c>
      <c r="E16" s="2883" t="e">
        <f t="shared" si="1"/>
        <v>#REF!</v>
      </c>
      <c r="F16" s="1784" t="e">
        <f>+#REF!+#REF!</f>
        <v>#REF!</v>
      </c>
      <c r="G16" s="2948" t="e">
        <f>VLOOKUP(B16,#REF!,14,0)</f>
        <v>#REF!</v>
      </c>
      <c r="H16" s="2883" t="e">
        <f t="shared" si="2"/>
        <v>#REF!</v>
      </c>
      <c r="I16" s="153"/>
      <c r="J16" s="81"/>
    </row>
    <row r="17" spans="1:10" ht="17.45" customHeight="1">
      <c r="A17">
        <v>13</v>
      </c>
      <c r="B17" s="1772" t="s">
        <v>192</v>
      </c>
      <c r="C17" s="1784" t="e">
        <f>+#REF!+#REF!</f>
        <v>#REF!</v>
      </c>
      <c r="D17" s="2948" t="e">
        <f>VLOOKUP(B17,#REF!,12,0)</f>
        <v>#REF!</v>
      </c>
      <c r="E17" s="2883" t="e">
        <f t="shared" si="1"/>
        <v>#REF!</v>
      </c>
      <c r="F17" s="1784" t="e">
        <f>+#REF!+#REF!</f>
        <v>#REF!</v>
      </c>
      <c r="G17" s="2948" t="e">
        <f>VLOOKUP(B17,#REF!,14,0)</f>
        <v>#REF!</v>
      </c>
      <c r="H17" s="2883" t="e">
        <f t="shared" si="2"/>
        <v>#REF!</v>
      </c>
      <c r="J17" s="81"/>
    </row>
    <row r="18" spans="1:10" ht="17.45" customHeight="1">
      <c r="A18">
        <v>14</v>
      </c>
      <c r="B18" s="1772" t="s">
        <v>193</v>
      </c>
      <c r="C18" s="1784" t="e">
        <f>+#REF!+#REF!</f>
        <v>#REF!</v>
      </c>
      <c r="D18" s="2948" t="e">
        <f>VLOOKUP(B18,#REF!,12,0)</f>
        <v>#REF!</v>
      </c>
      <c r="E18" s="2883" t="e">
        <f t="shared" si="1"/>
        <v>#REF!</v>
      </c>
      <c r="F18" s="1784" t="e">
        <f>+#REF!+#REF!</f>
        <v>#REF!</v>
      </c>
      <c r="G18" s="2948" t="e">
        <f>VLOOKUP(B18,#REF!,14,0)</f>
        <v>#REF!</v>
      </c>
      <c r="H18" s="2883" t="e">
        <f t="shared" si="2"/>
        <v>#REF!</v>
      </c>
      <c r="J18" s="81"/>
    </row>
    <row r="19" spans="1:10" ht="17.45" customHeight="1">
      <c r="A19">
        <v>15</v>
      </c>
      <c r="B19" s="1772" t="s">
        <v>194</v>
      </c>
      <c r="C19" s="1784" t="e">
        <f>+#REF!+#REF!</f>
        <v>#REF!</v>
      </c>
      <c r="D19" s="2948" t="e">
        <f>VLOOKUP(B19,#REF!,12,0)</f>
        <v>#REF!</v>
      </c>
      <c r="E19" s="2883" t="e">
        <f t="shared" si="1"/>
        <v>#REF!</v>
      </c>
      <c r="F19" s="1784" t="e">
        <f>+#REF!+#REF!</f>
        <v>#REF!</v>
      </c>
      <c r="G19" s="2948" t="e">
        <f>VLOOKUP(B19,#REF!,14,0)</f>
        <v>#REF!</v>
      </c>
      <c r="H19" s="2883" t="e">
        <f t="shared" si="2"/>
        <v>#REF!</v>
      </c>
      <c r="J19" s="58"/>
    </row>
    <row r="20" spans="1:10" ht="17.45" customHeight="1">
      <c r="A20">
        <v>16</v>
      </c>
      <c r="B20" s="1772" t="s">
        <v>195</v>
      </c>
      <c r="C20" s="1784" t="e">
        <f>+#REF!+#REF!</f>
        <v>#REF!</v>
      </c>
      <c r="D20" s="2948" t="e">
        <f>VLOOKUP(B20,#REF!,12,0)</f>
        <v>#REF!</v>
      </c>
      <c r="E20" s="2883" t="e">
        <f t="shared" si="1"/>
        <v>#REF!</v>
      </c>
      <c r="F20" s="1784" t="e">
        <f>+#REF!+#REF!</f>
        <v>#REF!</v>
      </c>
      <c r="G20" s="2948" t="e">
        <f>VLOOKUP(B20,#REF!,14,0)</f>
        <v>#REF!</v>
      </c>
      <c r="H20" s="2883" t="e">
        <f t="shared" si="2"/>
        <v>#REF!</v>
      </c>
      <c r="I20" s="121"/>
      <c r="J20" s="81"/>
    </row>
    <row r="21" spans="1:10" ht="17.45" customHeight="1">
      <c r="A21">
        <v>17</v>
      </c>
      <c r="B21" s="1772" t="s">
        <v>196</v>
      </c>
      <c r="C21" s="1784" t="e">
        <f>+#REF!+#REF!</f>
        <v>#REF!</v>
      </c>
      <c r="D21" s="2948" t="e">
        <f>VLOOKUP(B21,#REF!,12,0)</f>
        <v>#REF!</v>
      </c>
      <c r="E21" s="2883" t="e">
        <f t="shared" si="1"/>
        <v>#REF!</v>
      </c>
      <c r="F21" s="1784" t="e">
        <f>+#REF!+#REF!</f>
        <v>#REF!</v>
      </c>
      <c r="G21" s="2948" t="e">
        <f>VLOOKUP(B21,#REF!,14,0)</f>
        <v>#REF!</v>
      </c>
      <c r="H21" s="2883" t="e">
        <f t="shared" si="2"/>
        <v>#REF!</v>
      </c>
      <c r="J21" s="58"/>
    </row>
    <row r="22" spans="1:10" ht="17.45" customHeight="1">
      <c r="A22">
        <v>18</v>
      </c>
      <c r="B22" s="1772" t="s">
        <v>197</v>
      </c>
      <c r="C22" s="1784" t="e">
        <f>+#REF!+#REF!</f>
        <v>#REF!</v>
      </c>
      <c r="D22" s="2948" t="e">
        <f>VLOOKUP(B22,#REF!,12,0)</f>
        <v>#REF!</v>
      </c>
      <c r="E22" s="2883" t="e">
        <f t="shared" si="1"/>
        <v>#REF!</v>
      </c>
      <c r="F22" s="1784" t="e">
        <f>+#REF!+#REF!</f>
        <v>#REF!</v>
      </c>
      <c r="G22" s="2948" t="e">
        <f>VLOOKUP(B22,#REF!,14,0)</f>
        <v>#REF!</v>
      </c>
      <c r="H22" s="2883" t="e">
        <f t="shared" si="2"/>
        <v>#REF!</v>
      </c>
      <c r="I22" s="99" t="e">
        <f>+F22/F23*100</f>
        <v>#REF!</v>
      </c>
      <c r="J22" s="58"/>
    </row>
    <row r="23" spans="1:10" ht="17.45" customHeight="1">
      <c r="B23" s="1772" t="s">
        <v>160</v>
      </c>
      <c r="C23" s="1784" t="e">
        <f t="shared" ref="C23:H23" si="3">SUM(C5:C22)</f>
        <v>#REF!</v>
      </c>
      <c r="D23" s="1784" t="e">
        <f t="shared" si="3"/>
        <v>#REF!</v>
      </c>
      <c r="E23" s="1784" t="e">
        <f t="shared" si="3"/>
        <v>#REF!</v>
      </c>
      <c r="F23" s="1784" t="e">
        <f t="shared" si="3"/>
        <v>#REF!</v>
      </c>
      <c r="G23" s="1784" t="e">
        <f t="shared" si="3"/>
        <v>#REF!</v>
      </c>
      <c r="H23" s="1784" t="e">
        <f t="shared" si="3"/>
        <v>#REF!</v>
      </c>
      <c r="J23" s="58"/>
    </row>
    <row r="24" spans="1:10">
      <c r="B24" s="4"/>
      <c r="C24" s="4"/>
      <c r="F24" s="5"/>
      <c r="G24" s="5"/>
      <c r="H24" s="5"/>
    </row>
    <row r="25" spans="1:10">
      <c r="F25" s="16"/>
      <c r="G25" s="16"/>
      <c r="H25" s="16"/>
    </row>
    <row r="26" spans="1:10">
      <c r="B26" s="36" t="s">
        <v>911</v>
      </c>
    </row>
    <row r="27" spans="1:10">
      <c r="B27" s="3" t="s">
        <v>912</v>
      </c>
    </row>
    <row r="28" spans="1:10">
      <c r="B28" s="36" t="s">
        <v>913</v>
      </c>
    </row>
    <row r="29" spans="1:10">
      <c r="B29" s="36" t="s">
        <v>914</v>
      </c>
      <c r="F29" s="16"/>
      <c r="G29" s="16"/>
      <c r="H29" s="16"/>
    </row>
    <row r="30" spans="1:10">
      <c r="B30" s="36" t="s">
        <v>915</v>
      </c>
    </row>
    <row r="31" spans="1:10">
      <c r="B31" s="2" t="s">
        <v>916</v>
      </c>
      <c r="F31" s="10"/>
      <c r="G31" s="10"/>
      <c r="H31" s="10"/>
    </row>
    <row r="32" spans="1:10">
      <c r="B32" s="2" t="s">
        <v>917</v>
      </c>
    </row>
    <row r="33" spans="6:6">
      <c r="F33" t="e">
        <f>+F11/F23*100</f>
        <v>#REF!</v>
      </c>
    </row>
    <row r="34" spans="6:6">
      <c r="F34" t="e">
        <f>+F20/F23*100</f>
        <v>#REF!</v>
      </c>
    </row>
  </sheetData>
  <customSheetViews>
    <customSheetView guid="{2ACFE167-4169-43A6-9AB2-59D5A2DA2DB4}" showPageBreaks="1" state="hidden">
      <selection activeCell="C8" sqref="C8"/>
      <pageMargins left="0" right="0" top="0" bottom="0" header="0" footer="0"/>
      <pageSetup scale="92" orientation="landscape" r:id="rId1"/>
    </customSheetView>
    <customSheetView guid="{967E0446-E234-427F-8E57-7FE287052E2E}" showPageBreaks="1" state="hidden">
      <selection activeCell="C8" sqref="C8"/>
      <pageMargins left="0" right="0" top="0" bottom="0" header="0" footer="0"/>
      <pageSetup scale="92" orientation="landscape" r:id="rId2"/>
    </customSheetView>
    <customSheetView guid="{B2E1A0C6-5BA1-4CF1-B412-16D81FCDF11F}" state="hidden">
      <selection activeCell="C8" sqref="C8"/>
      <pageMargins left="0" right="0" top="0" bottom="0" header="0" footer="0"/>
      <pageSetup scale="92" orientation="landscape" r:id="rId3"/>
    </customSheetView>
    <customSheetView guid="{46F31544-8E6F-41C5-8628-1D6EE074AF15}" state="hidden">
      <selection activeCell="C8" sqref="C8"/>
      <pageMargins left="0" right="0" top="0" bottom="0" header="0" footer="0"/>
      <pageSetup scale="92" orientation="landscape" r:id="rId4"/>
    </customSheetView>
    <customSheetView guid="{E82B35BE-4719-4C53-A9EF-1CC6F153A6F3}" state="hidden">
      <selection activeCell="C8" sqref="C8"/>
      <pageMargins left="0" right="0" top="0" bottom="0" header="0" footer="0"/>
      <pageSetup scale="92" orientation="landscape" r:id="rId5"/>
    </customSheetView>
    <customSheetView guid="{B1E1B596-A9A1-411D-A882-A48CB025B978}" state="hidden">
      <selection activeCell="C8" sqref="C8"/>
      <pageMargins left="0" right="0" top="0" bottom="0" header="0" footer="0"/>
      <pageSetup scale="92" orientation="landscape" r:id="rId6"/>
    </customSheetView>
    <customSheetView guid="{5E394B0B-7867-4722-9497-A93AB2A9A773}" showPageBreaks="1" state="hidden">
      <selection activeCell="C8" sqref="C8"/>
      <pageMargins left="0" right="0" top="0" bottom="0" header="0" footer="0"/>
      <pageSetup scale="92" orientation="landscape" r:id="rId7"/>
    </customSheetView>
  </customSheetViews>
  <mergeCells count="3">
    <mergeCell ref="B3:B4"/>
    <mergeCell ref="C3:E3"/>
    <mergeCell ref="F3:H3"/>
  </mergeCells>
  <hyperlinks>
    <hyperlink ref="B1" location="'List of tables'!A1" display="'List of tables'!A1" xr:uid="{00000000-0004-0000-4C00-000000000000}"/>
  </hyperlinks>
  <pageMargins left="0.31" right="0.2" top="0.65" bottom="0.75" header="0.3" footer="0.3"/>
  <pageSetup scale="92" orientation="landscape" r:id="rId8"/>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Sheet59">
    <tabColor rgb="FFFF0000"/>
  </sheetPr>
  <dimension ref="A1:AE149"/>
  <sheetViews>
    <sheetView workbookViewId="0">
      <pane xSplit="2" ySplit="5" topLeftCell="C21" activePane="bottomRight" state="frozen"/>
      <selection pane="bottomRight" activeCell="F94" sqref="F94"/>
      <selection pane="bottomLeft" activeCell="A6" sqref="A6"/>
      <selection pane="topRight" activeCell="C1" sqref="C1"/>
    </sheetView>
  </sheetViews>
  <sheetFormatPr defaultRowHeight="14.45"/>
  <cols>
    <col min="1" max="1" width="5.140625" customWidth="1"/>
    <col min="2" max="2" width="19" customWidth="1"/>
    <col min="3" max="4" width="13.140625" customWidth="1"/>
    <col min="5" max="5" width="16.140625" customWidth="1"/>
    <col min="6" max="7" width="13.140625" customWidth="1"/>
    <col min="8" max="8" width="15" customWidth="1"/>
    <col min="9" max="10" width="12.42578125" customWidth="1"/>
    <col min="11" max="11" width="15.28515625" customWidth="1"/>
    <col min="12" max="12" width="12" customWidth="1"/>
    <col min="13" max="13" width="11.85546875" customWidth="1"/>
    <col min="14" max="14" width="14.140625" customWidth="1"/>
    <col min="15" max="15" width="10.42578125" customWidth="1"/>
    <col min="16" max="16" width="12.140625" customWidth="1"/>
    <col min="17" max="17" width="15.140625" customWidth="1"/>
    <col min="18" max="19" width="13.140625" customWidth="1"/>
    <col min="20" max="20" width="14.85546875" customWidth="1"/>
  </cols>
  <sheetData>
    <row r="1" spans="1:31">
      <c r="B1" s="150" t="s">
        <v>615</v>
      </c>
    </row>
    <row r="2" spans="1:31">
      <c r="C2" s="104"/>
      <c r="D2" t="s">
        <v>983</v>
      </c>
    </row>
    <row r="3" spans="1:31" ht="15" customHeight="1">
      <c r="B3" s="2725" t="s">
        <v>885</v>
      </c>
    </row>
    <row r="4" spans="1:31">
      <c r="B4" s="3604" t="s">
        <v>730</v>
      </c>
      <c r="C4" s="3709" t="s">
        <v>118</v>
      </c>
      <c r="D4" s="3709"/>
      <c r="E4" s="3709"/>
      <c r="F4" s="3710" t="s">
        <v>436</v>
      </c>
      <c r="G4" s="3710"/>
      <c r="H4" s="3710"/>
      <c r="I4" s="3708" t="s">
        <v>437</v>
      </c>
      <c r="J4" s="3708"/>
      <c r="K4" s="3708"/>
      <c r="L4" s="3680" t="s">
        <v>438</v>
      </c>
      <c r="M4" s="3680"/>
      <c r="N4" s="3680"/>
      <c r="O4" s="3708" t="s">
        <v>722</v>
      </c>
      <c r="P4" s="3708"/>
      <c r="Q4" s="3708"/>
      <c r="R4" s="3708" t="s">
        <v>440</v>
      </c>
      <c r="S4" s="3708"/>
      <c r="T4" s="3708"/>
    </row>
    <row r="5" spans="1:31">
      <c r="B5" s="3604"/>
      <c r="C5" s="2938" t="s">
        <v>984</v>
      </c>
      <c r="D5" s="2938" t="s">
        <v>985</v>
      </c>
      <c r="E5" s="2938" t="s">
        <v>986</v>
      </c>
      <c r="F5" s="2938" t="s">
        <v>984</v>
      </c>
      <c r="G5" s="2938" t="s">
        <v>985</v>
      </c>
      <c r="H5" s="2938" t="s">
        <v>986</v>
      </c>
      <c r="I5" s="2938" t="s">
        <v>984</v>
      </c>
      <c r="J5" s="2938" t="s">
        <v>985</v>
      </c>
      <c r="K5" s="2938" t="s">
        <v>986</v>
      </c>
      <c r="L5" s="2938" t="s">
        <v>984</v>
      </c>
      <c r="M5" s="2938" t="s">
        <v>985</v>
      </c>
      <c r="N5" s="2938" t="s">
        <v>986</v>
      </c>
      <c r="O5" s="2938" t="s">
        <v>984</v>
      </c>
      <c r="P5" s="2938" t="s">
        <v>985</v>
      </c>
      <c r="Q5" s="2938" t="s">
        <v>986</v>
      </c>
      <c r="R5" s="2938" t="s">
        <v>984</v>
      </c>
      <c r="S5" s="2938" t="s">
        <v>985</v>
      </c>
      <c r="T5" s="2938" t="s">
        <v>986</v>
      </c>
    </row>
    <row r="6" spans="1:31">
      <c r="A6" s="58">
        <v>1</v>
      </c>
      <c r="B6" s="2553" t="s">
        <v>177</v>
      </c>
      <c r="C6" s="2940">
        <f t="shared" ref="C6:C24" si="0">+F6+I6+L6+O6+R6</f>
        <v>0</v>
      </c>
      <c r="D6" s="2940">
        <f t="shared" ref="D6:D24" si="1">+G6+J6+M6+P6+S6</f>
        <v>0</v>
      </c>
      <c r="E6" s="2940">
        <f t="shared" ref="E6:E24" si="2">+H6+K6+N6+Q6+T6</f>
        <v>155261968.32100001</v>
      </c>
      <c r="F6" s="2941"/>
      <c r="G6" s="2941"/>
      <c r="H6" s="2941">
        <v>67546227.827000007</v>
      </c>
      <c r="I6" s="2942"/>
      <c r="J6" s="2942"/>
      <c r="K6" s="2942">
        <v>52915298.023999996</v>
      </c>
      <c r="L6" s="2874"/>
      <c r="M6" s="2874"/>
      <c r="N6" s="2874">
        <v>21475227.905000001</v>
      </c>
      <c r="O6" s="2942"/>
      <c r="P6" s="2942"/>
      <c r="Q6" s="2942">
        <v>129250</v>
      </c>
      <c r="R6" s="2942"/>
      <c r="S6" s="2942"/>
      <c r="T6" s="2942">
        <v>13195964.564999999</v>
      </c>
    </row>
    <row r="7" spans="1:31" s="72" customFormat="1">
      <c r="A7" s="71">
        <v>2</v>
      </c>
      <c r="B7" s="2882" t="s">
        <v>179</v>
      </c>
      <c r="C7" s="2945">
        <f t="shared" si="0"/>
        <v>0</v>
      </c>
      <c r="D7" s="2945">
        <f t="shared" si="1"/>
        <v>0</v>
      </c>
      <c r="E7" s="2945">
        <f t="shared" si="2"/>
        <v>0</v>
      </c>
      <c r="F7" s="2946"/>
      <c r="G7" s="2946"/>
      <c r="H7" s="2946"/>
      <c r="I7" s="2875"/>
      <c r="J7" s="2875"/>
      <c r="K7" s="2875"/>
      <c r="L7" s="2875"/>
      <c r="M7" s="2875"/>
      <c r="N7" s="2875"/>
      <c r="O7" s="2875"/>
      <c r="P7" s="2875"/>
      <c r="Q7" s="2875"/>
      <c r="R7" s="2875"/>
      <c r="S7" s="2875"/>
      <c r="T7" s="2875"/>
      <c r="X7" s="73"/>
      <c r="Y7" s="73"/>
      <c r="Z7" s="73"/>
      <c r="AA7" s="73"/>
      <c r="AB7" s="73"/>
      <c r="AC7" s="73"/>
      <c r="AD7" s="73"/>
      <c r="AE7" s="73"/>
    </row>
    <row r="8" spans="1:31">
      <c r="A8" s="81">
        <v>3</v>
      </c>
      <c r="B8" s="2553" t="s">
        <v>181</v>
      </c>
      <c r="C8" s="2547">
        <f t="shared" si="0"/>
        <v>0</v>
      </c>
      <c r="D8" s="2547">
        <f t="shared" si="1"/>
        <v>0</v>
      </c>
      <c r="E8" s="2547">
        <f>+H8+K8+N8+Q8+T8</f>
        <v>552079649</v>
      </c>
      <c r="F8" s="2771"/>
      <c r="G8" s="2771"/>
      <c r="H8" s="2771">
        <v>389596805</v>
      </c>
      <c r="I8" s="2442"/>
      <c r="J8" s="2442"/>
      <c r="K8" s="2442">
        <v>50519497</v>
      </c>
      <c r="L8" s="2442"/>
      <c r="M8" s="2442"/>
      <c r="N8" s="2442">
        <v>85505991</v>
      </c>
      <c r="O8" s="2442"/>
      <c r="P8" s="2442"/>
      <c r="Q8" s="2442">
        <v>5601926</v>
      </c>
      <c r="R8" s="2442"/>
      <c r="S8" s="2442"/>
      <c r="T8" s="2442">
        <v>20855430</v>
      </c>
      <c r="X8" s="45"/>
      <c r="Y8" s="45"/>
      <c r="Z8" s="45"/>
      <c r="AA8" s="45"/>
      <c r="AB8" s="45"/>
      <c r="AC8" s="45"/>
      <c r="AD8" s="45"/>
      <c r="AE8" s="45"/>
    </row>
    <row r="9" spans="1:31">
      <c r="A9" s="58">
        <v>4</v>
      </c>
      <c r="B9" s="2553" t="s">
        <v>182</v>
      </c>
      <c r="C9" s="2940">
        <f t="shared" si="0"/>
        <v>0</v>
      </c>
      <c r="D9" s="2940">
        <f t="shared" si="1"/>
        <v>0</v>
      </c>
      <c r="E9" s="2940">
        <f t="shared" si="2"/>
        <v>137391718.84241453</v>
      </c>
      <c r="F9" s="2941"/>
      <c r="G9" s="2941"/>
      <c r="H9" s="2941">
        <v>59048362.970342204</v>
      </c>
      <c r="I9" s="2442"/>
      <c r="J9" s="2442"/>
      <c r="K9" s="2442">
        <v>27506033.951643102</v>
      </c>
      <c r="L9" s="2876"/>
      <c r="M9" s="2876"/>
      <c r="N9" s="2876">
        <v>34213918.724090002</v>
      </c>
      <c r="O9" s="2442"/>
      <c r="P9" s="2442"/>
      <c r="Q9" s="2442">
        <v>2088004.7247899999</v>
      </c>
      <c r="R9" s="2442"/>
      <c r="S9" s="2442"/>
      <c r="T9" s="2442">
        <v>14535398.4715492</v>
      </c>
      <c r="X9" s="45"/>
      <c r="Y9" s="45"/>
      <c r="Z9" s="45"/>
      <c r="AA9" s="45"/>
      <c r="AB9" s="45"/>
      <c r="AC9" s="45"/>
      <c r="AD9" s="45"/>
      <c r="AE9" s="45"/>
    </row>
    <row r="10" spans="1:31">
      <c r="A10" s="58">
        <v>5</v>
      </c>
      <c r="B10" s="2554" t="s">
        <v>183</v>
      </c>
      <c r="C10" s="2940">
        <f t="shared" si="0"/>
        <v>0</v>
      </c>
      <c r="D10" s="2940">
        <f t="shared" si="1"/>
        <v>0</v>
      </c>
      <c r="E10" s="2940">
        <f t="shared" si="2"/>
        <v>2227719241.5501599</v>
      </c>
      <c r="F10" s="2941"/>
      <c r="G10" s="2941"/>
      <c r="H10" s="2941">
        <v>1015284359.35069</v>
      </c>
      <c r="I10" s="2442"/>
      <c r="J10" s="2442"/>
      <c r="K10" s="2442">
        <v>453302964.21616</v>
      </c>
      <c r="L10" s="2876"/>
      <c r="M10" s="2876"/>
      <c r="N10" s="2876">
        <v>28517949.83278</v>
      </c>
      <c r="O10" s="2442"/>
      <c r="P10" s="2442"/>
      <c r="Q10" s="2442">
        <v>4687242.3669999996</v>
      </c>
      <c r="R10" s="2442"/>
      <c r="S10" s="2442"/>
      <c r="T10" s="2442">
        <v>725926725.78353</v>
      </c>
      <c r="X10" s="45"/>
      <c r="Y10" s="45"/>
      <c r="Z10" s="45"/>
      <c r="AA10" s="45"/>
      <c r="AB10" s="45"/>
      <c r="AC10" s="45"/>
      <c r="AD10" s="45"/>
      <c r="AE10" s="45"/>
    </row>
    <row r="11" spans="1:31">
      <c r="A11" s="58">
        <v>6</v>
      </c>
      <c r="B11" s="2554" t="s">
        <v>184</v>
      </c>
      <c r="C11" s="2940">
        <f t="shared" si="0"/>
        <v>0</v>
      </c>
      <c r="D11" s="2940">
        <f t="shared" si="1"/>
        <v>0</v>
      </c>
      <c r="E11" s="2940">
        <f t="shared" si="2"/>
        <v>183272414.91034004</v>
      </c>
      <c r="F11" s="2941"/>
      <c r="G11" s="2941"/>
      <c r="H11" s="2941">
        <v>96330854.203310013</v>
      </c>
      <c r="I11" s="2442"/>
      <c r="J11" s="2442"/>
      <c r="K11" s="2442">
        <v>10940822.359610001</v>
      </c>
      <c r="L11" s="2876"/>
      <c r="M11" s="2876"/>
      <c r="N11" s="2876">
        <v>65589728.259999998</v>
      </c>
      <c r="O11" s="2442"/>
      <c r="P11" s="2442"/>
      <c r="Q11" s="2442">
        <v>702890.93200000003</v>
      </c>
      <c r="R11" s="2442"/>
      <c r="S11" s="2442"/>
      <c r="T11" s="2442">
        <v>9708119.1554200016</v>
      </c>
      <c r="X11" s="45"/>
      <c r="Y11" s="45"/>
      <c r="Z11" s="45"/>
      <c r="AA11" s="45"/>
      <c r="AB11" s="45"/>
      <c r="AC11" s="45"/>
      <c r="AD11" s="45"/>
      <c r="AE11" s="45"/>
    </row>
    <row r="12" spans="1:31">
      <c r="A12" s="58">
        <v>7</v>
      </c>
      <c r="B12" s="2553" t="s">
        <v>185</v>
      </c>
      <c r="C12" s="2940">
        <f t="shared" si="0"/>
        <v>0</v>
      </c>
      <c r="D12" s="2940">
        <f t="shared" si="1"/>
        <v>0</v>
      </c>
      <c r="E12" s="2940">
        <f t="shared" si="2"/>
        <v>1556420375.9319999</v>
      </c>
      <c r="F12" s="2941"/>
      <c r="G12" s="2941"/>
      <c r="H12" s="2941">
        <v>669827113.49100006</v>
      </c>
      <c r="I12" s="2442"/>
      <c r="J12" s="2442"/>
      <c r="K12" s="2442">
        <v>284098602.40200001</v>
      </c>
      <c r="L12" s="2876"/>
      <c r="M12" s="2876"/>
      <c r="N12" s="2876">
        <v>306293049.83700001</v>
      </c>
      <c r="O12" s="2442"/>
      <c r="P12" s="2442"/>
      <c r="Q12" s="2442">
        <v>28509122.234999999</v>
      </c>
      <c r="R12" s="2442"/>
      <c r="S12" s="2442"/>
      <c r="T12" s="2442">
        <v>267692487.96700001</v>
      </c>
      <c r="X12" s="45"/>
      <c r="Y12" s="45"/>
      <c r="Z12" s="45"/>
      <c r="AA12" s="45"/>
      <c r="AB12" s="45"/>
      <c r="AC12" s="45"/>
      <c r="AD12" s="45"/>
      <c r="AE12" s="45"/>
    </row>
    <row r="13" spans="1:31">
      <c r="A13" s="58">
        <v>8</v>
      </c>
      <c r="B13" s="2553" t="s">
        <v>186</v>
      </c>
      <c r="C13" s="2940">
        <f t="shared" si="0"/>
        <v>0</v>
      </c>
      <c r="D13" s="2940">
        <f t="shared" si="1"/>
        <v>0</v>
      </c>
      <c r="E13" s="2940">
        <f t="shared" si="2"/>
        <v>144952582.10084295</v>
      </c>
      <c r="F13" s="2941"/>
      <c r="G13" s="2941"/>
      <c r="H13" s="2941">
        <v>40282621.582842968</v>
      </c>
      <c r="I13" s="2442"/>
      <c r="J13" s="2442"/>
      <c r="K13" s="2442">
        <v>4496494.0429999996</v>
      </c>
      <c r="L13" s="2876"/>
      <c r="M13" s="2876"/>
      <c r="N13" s="2876">
        <v>1347331.5220000001</v>
      </c>
      <c r="O13" s="2442"/>
      <c r="P13" s="2442"/>
      <c r="Q13" s="2442">
        <v>4473427.3229999999</v>
      </c>
      <c r="R13" s="2442"/>
      <c r="S13" s="2442"/>
      <c r="T13" s="2442">
        <v>94352707.629999995</v>
      </c>
      <c r="X13" s="45"/>
      <c r="Y13" s="45"/>
      <c r="Z13" s="45"/>
      <c r="AA13" s="45"/>
      <c r="AB13" s="45"/>
      <c r="AC13" s="45"/>
      <c r="AD13" s="45"/>
      <c r="AE13" s="45"/>
    </row>
    <row r="14" spans="1:31">
      <c r="A14" s="58">
        <v>9</v>
      </c>
      <c r="B14" s="2554" t="s">
        <v>187</v>
      </c>
      <c r="C14" s="2940">
        <f t="shared" si="0"/>
        <v>0</v>
      </c>
      <c r="D14" s="2940">
        <f t="shared" si="1"/>
        <v>0</v>
      </c>
      <c r="E14" s="2940">
        <f t="shared" si="2"/>
        <v>0</v>
      </c>
      <c r="F14" s="2941"/>
      <c r="G14" s="2941"/>
      <c r="H14" s="2941"/>
      <c r="I14" s="2442"/>
      <c r="J14" s="2442"/>
      <c r="K14" s="2442"/>
      <c r="L14" s="2876"/>
      <c r="M14" s="2876"/>
      <c r="N14" s="2876"/>
      <c r="O14" s="2442"/>
      <c r="P14" s="2442"/>
      <c r="Q14" s="2442"/>
      <c r="R14" s="2442"/>
      <c r="S14" s="2442"/>
      <c r="T14" s="2442"/>
      <c r="X14" s="45"/>
      <c r="Y14" s="45"/>
      <c r="Z14" s="45"/>
      <c r="AA14" s="45"/>
      <c r="AB14" s="45"/>
      <c r="AC14" s="45"/>
      <c r="AD14" s="45"/>
      <c r="AE14" s="45"/>
    </row>
    <row r="15" spans="1:31">
      <c r="A15" s="81">
        <v>10</v>
      </c>
      <c r="B15" s="1772" t="s">
        <v>188</v>
      </c>
      <c r="C15" s="2547">
        <f t="shared" si="0"/>
        <v>0</v>
      </c>
      <c r="D15" s="2547">
        <f t="shared" si="1"/>
        <v>0</v>
      </c>
      <c r="E15" s="2547">
        <f t="shared" si="2"/>
        <v>339370407.18681997</v>
      </c>
      <c r="F15" s="2771"/>
      <c r="G15" s="2771"/>
      <c r="H15" s="2771">
        <v>178734010.85914999</v>
      </c>
      <c r="I15" s="2442"/>
      <c r="J15" s="2442"/>
      <c r="K15" s="2442">
        <v>23423647.76709</v>
      </c>
      <c r="L15" s="2442"/>
      <c r="M15" s="2442"/>
      <c r="N15" s="2442">
        <v>78880597.380999997</v>
      </c>
      <c r="O15" s="2442"/>
      <c r="P15" s="2442"/>
      <c r="Q15" s="2442">
        <v>12450424.24327</v>
      </c>
      <c r="R15" s="2442"/>
      <c r="S15" s="2442"/>
      <c r="T15" s="2442">
        <v>45881726.936310001</v>
      </c>
      <c r="X15" s="45"/>
      <c r="Y15" s="45"/>
      <c r="Z15" s="45"/>
      <c r="AA15" s="45"/>
      <c r="AB15" s="45"/>
      <c r="AC15" s="45"/>
      <c r="AD15" s="45"/>
      <c r="AE15" s="45"/>
    </row>
    <row r="16" spans="1:31">
      <c r="A16" s="81">
        <v>11</v>
      </c>
      <c r="B16" s="2553" t="s">
        <v>189</v>
      </c>
      <c r="C16" s="2547">
        <f t="shared" si="0"/>
        <v>0</v>
      </c>
      <c r="D16" s="2547">
        <f t="shared" si="1"/>
        <v>0</v>
      </c>
      <c r="E16" s="2547">
        <f t="shared" si="2"/>
        <v>475478193</v>
      </c>
      <c r="F16" s="2771"/>
      <c r="G16" s="2771"/>
      <c r="H16" s="2771">
        <v>126014848</v>
      </c>
      <c r="I16" s="2442"/>
      <c r="J16" s="2442"/>
      <c r="K16" s="2442">
        <v>152873804</v>
      </c>
      <c r="L16" s="2442"/>
      <c r="M16" s="2442"/>
      <c r="N16" s="2442">
        <v>96343031</v>
      </c>
      <c r="O16" s="2442"/>
      <c r="P16" s="2442"/>
      <c r="Q16" s="2442"/>
      <c r="R16" s="2442"/>
      <c r="S16" s="2442"/>
      <c r="T16" s="2442">
        <v>100246510</v>
      </c>
      <c r="X16" s="45"/>
      <c r="Y16" s="45"/>
      <c r="Z16" s="45"/>
      <c r="AA16" s="45"/>
      <c r="AB16" s="45"/>
      <c r="AC16" s="45"/>
      <c r="AD16" s="45"/>
      <c r="AE16" s="45"/>
    </row>
    <row r="17" spans="1:31">
      <c r="A17" s="58">
        <v>12</v>
      </c>
      <c r="B17" s="2553" t="s">
        <v>191</v>
      </c>
      <c r="C17" s="2940">
        <f t="shared" si="0"/>
        <v>0</v>
      </c>
      <c r="D17" s="2940">
        <f t="shared" si="1"/>
        <v>0</v>
      </c>
      <c r="E17" s="2940">
        <f t="shared" si="2"/>
        <v>21202688</v>
      </c>
      <c r="F17" s="2941"/>
      <c r="G17" s="2941"/>
      <c r="H17" s="2941"/>
      <c r="I17" s="2442"/>
      <c r="J17" s="2442"/>
      <c r="K17" s="2442"/>
      <c r="L17" s="2876"/>
      <c r="M17" s="2876"/>
      <c r="N17" s="2876">
        <v>21202688</v>
      </c>
      <c r="O17" s="2442"/>
      <c r="P17" s="2442"/>
      <c r="Q17" s="2442"/>
      <c r="R17" s="2442"/>
      <c r="S17" s="2442"/>
      <c r="T17" s="2442"/>
      <c r="X17" s="45"/>
      <c r="Y17" s="45"/>
      <c r="Z17" s="45"/>
      <c r="AA17" s="45"/>
      <c r="AB17" s="45"/>
      <c r="AC17" s="45"/>
      <c r="AD17" s="45"/>
      <c r="AE17" s="45"/>
    </row>
    <row r="18" spans="1:31">
      <c r="A18" s="58">
        <v>13</v>
      </c>
      <c r="B18" s="2553" t="s">
        <v>192</v>
      </c>
      <c r="C18" s="2940">
        <f t="shared" si="0"/>
        <v>0</v>
      </c>
      <c r="D18" s="2940">
        <f t="shared" si="1"/>
        <v>0</v>
      </c>
      <c r="E18" s="2940">
        <f t="shared" si="2"/>
        <v>81108015.246160015</v>
      </c>
      <c r="F18" s="2941"/>
      <c r="G18" s="2941"/>
      <c r="H18" s="2941">
        <v>53160633.693790019</v>
      </c>
      <c r="I18" s="2442"/>
      <c r="J18" s="2442"/>
      <c r="K18" s="2442">
        <v>7987897.7790599996</v>
      </c>
      <c r="L18" s="2876"/>
      <c r="M18" s="2876"/>
      <c r="N18" s="2876">
        <v>7399427.5278000031</v>
      </c>
      <c r="O18" s="2442"/>
      <c r="P18" s="2442"/>
      <c r="Q18" s="2442">
        <v>0</v>
      </c>
      <c r="R18" s="2442"/>
      <c r="S18" s="2442"/>
      <c r="T18" s="2442">
        <v>12560056.245510001</v>
      </c>
      <c r="X18" s="45"/>
      <c r="Y18" s="45"/>
      <c r="Z18" s="45"/>
      <c r="AA18" s="45"/>
      <c r="AB18" s="45"/>
      <c r="AC18" s="45"/>
      <c r="AD18" s="45"/>
      <c r="AE18" s="45"/>
    </row>
    <row r="19" spans="1:31">
      <c r="A19" s="58">
        <v>14</v>
      </c>
      <c r="B19" s="2554" t="s">
        <v>194</v>
      </c>
      <c r="C19" s="2940">
        <f t="shared" si="0"/>
        <v>0</v>
      </c>
      <c r="D19" s="2940">
        <f t="shared" si="1"/>
        <v>0</v>
      </c>
      <c r="E19" s="2940">
        <f t="shared" si="2"/>
        <v>457936514.47641003</v>
      </c>
      <c r="F19" s="2941"/>
      <c r="G19" s="2941"/>
      <c r="H19" s="2941">
        <v>313009955.08511001</v>
      </c>
      <c r="I19" s="2442"/>
      <c r="J19" s="2442"/>
      <c r="K19" s="2442">
        <v>8408682.0022</v>
      </c>
      <c r="L19" s="2876"/>
      <c r="M19" s="2876"/>
      <c r="N19" s="2876">
        <v>98324566.121880025</v>
      </c>
      <c r="O19" s="2442"/>
      <c r="P19" s="2442"/>
      <c r="Q19" s="2442">
        <v>0</v>
      </c>
      <c r="R19" s="2442"/>
      <c r="S19" s="2442"/>
      <c r="T19" s="2442">
        <v>38193311.267219998</v>
      </c>
      <c r="X19" s="45"/>
      <c r="Y19" s="45"/>
      <c r="Z19" s="45"/>
      <c r="AA19" s="45"/>
      <c r="AB19" s="45"/>
      <c r="AC19" s="45"/>
      <c r="AD19" s="45"/>
      <c r="AE19" s="45"/>
    </row>
    <row r="20" spans="1:31">
      <c r="A20" s="58">
        <v>15</v>
      </c>
      <c r="B20" s="2553" t="s">
        <v>195</v>
      </c>
      <c r="C20" s="2940">
        <f t="shared" si="0"/>
        <v>0</v>
      </c>
      <c r="D20" s="2940">
        <f t="shared" si="1"/>
        <v>0</v>
      </c>
      <c r="E20" s="2940">
        <f>+H20+K20+N20+Q20+T20</f>
        <v>1973142079.9419999</v>
      </c>
      <c r="F20" s="2941"/>
      <c r="G20" s="2941"/>
      <c r="H20" s="2941">
        <v>888946393.09500003</v>
      </c>
      <c r="I20" s="2442"/>
      <c r="J20" s="2442"/>
      <c r="K20" s="2442">
        <v>651401835.40199995</v>
      </c>
      <c r="L20" s="2876"/>
      <c r="M20" s="2876"/>
      <c r="N20" s="2876">
        <v>231172179.491</v>
      </c>
      <c r="O20" s="2442"/>
      <c r="P20" s="2442"/>
      <c r="Q20" s="2442">
        <v>12497209.918</v>
      </c>
      <c r="R20" s="2442"/>
      <c r="S20" s="2442"/>
      <c r="T20" s="2442">
        <v>189124462.03600001</v>
      </c>
      <c r="X20" s="45"/>
      <c r="Y20" s="45"/>
      <c r="Z20" s="45"/>
      <c r="AA20" s="45"/>
      <c r="AB20" s="45"/>
      <c r="AC20" s="45"/>
      <c r="AD20" s="45"/>
      <c r="AE20" s="45"/>
    </row>
    <row r="21" spans="1:31">
      <c r="A21" s="58">
        <v>16</v>
      </c>
      <c r="B21" s="2553" t="s">
        <v>196</v>
      </c>
      <c r="C21" s="2940">
        <f t="shared" si="0"/>
        <v>0</v>
      </c>
      <c r="D21" s="2940">
        <f t="shared" si="1"/>
        <v>0</v>
      </c>
      <c r="E21" s="2940">
        <f t="shared" si="2"/>
        <v>22885389.416000001</v>
      </c>
      <c r="F21" s="2941"/>
      <c r="G21" s="2941"/>
      <c r="H21" s="2941">
        <v>6651215.2019999996</v>
      </c>
      <c r="I21" s="2442"/>
      <c r="J21" s="2442"/>
      <c r="K21" s="2442">
        <v>0</v>
      </c>
      <c r="L21" s="2876"/>
      <c r="M21" s="2876"/>
      <c r="N21" s="2876">
        <v>5145755.9950000001</v>
      </c>
      <c r="O21" s="2442"/>
      <c r="P21" s="2442"/>
      <c r="Q21" s="2442">
        <v>127682.285</v>
      </c>
      <c r="R21" s="2442"/>
      <c r="S21" s="2442"/>
      <c r="T21" s="2442">
        <v>10960735.934</v>
      </c>
      <c r="X21" s="45"/>
      <c r="Y21" s="45"/>
      <c r="Z21" s="45"/>
      <c r="AA21" s="45"/>
      <c r="AB21" s="45"/>
      <c r="AC21" s="45"/>
      <c r="AD21" s="45"/>
      <c r="AE21" s="45"/>
    </row>
    <row r="22" spans="1:31">
      <c r="A22" s="58">
        <v>17</v>
      </c>
      <c r="B22" s="2553" t="s">
        <v>197</v>
      </c>
      <c r="C22" s="2940">
        <f t="shared" si="0"/>
        <v>0</v>
      </c>
      <c r="D22" s="2940">
        <f t="shared" si="1"/>
        <v>0</v>
      </c>
      <c r="E22" s="2940">
        <f>+H22+K22+N22+Q22+T22</f>
        <v>1243510811</v>
      </c>
      <c r="F22" s="2941"/>
      <c r="G22" s="2941"/>
      <c r="H22" s="2941">
        <v>453551700</v>
      </c>
      <c r="I22" s="2442"/>
      <c r="J22" s="2442"/>
      <c r="K22" s="2442">
        <v>391098221</v>
      </c>
      <c r="L22" s="2876"/>
      <c r="M22" s="2876"/>
      <c r="N22" s="2876">
        <v>127218179</v>
      </c>
      <c r="O22" s="2442"/>
      <c r="P22" s="2442"/>
      <c r="Q22" s="2442">
        <v>24000932</v>
      </c>
      <c r="R22" s="2442"/>
      <c r="S22" s="2442"/>
      <c r="T22" s="2442">
        <v>247641779</v>
      </c>
      <c r="X22" s="45"/>
      <c r="Y22" s="45"/>
      <c r="Z22" s="45"/>
      <c r="AA22" s="45"/>
      <c r="AB22" s="45"/>
      <c r="AC22" s="45"/>
      <c r="AD22" s="45"/>
      <c r="AE22" s="45"/>
    </row>
    <row r="23" spans="1:31">
      <c r="A23" s="58">
        <v>18</v>
      </c>
      <c r="B23" s="2554" t="s">
        <v>193</v>
      </c>
      <c r="C23" s="2940">
        <f t="shared" si="0"/>
        <v>0</v>
      </c>
      <c r="D23" s="2940">
        <f t="shared" si="1"/>
        <v>0</v>
      </c>
      <c r="E23" s="2940">
        <f t="shared" si="2"/>
        <v>286366</v>
      </c>
      <c r="F23" s="2941"/>
      <c r="G23" s="2941"/>
      <c r="H23" s="2941">
        <v>104990</v>
      </c>
      <c r="I23" s="2442"/>
      <c r="J23" s="2442"/>
      <c r="K23" s="2442">
        <v>94312</v>
      </c>
      <c r="L23" s="2876"/>
      <c r="M23" s="2876"/>
      <c r="N23" s="2876">
        <v>86564</v>
      </c>
      <c r="O23" s="2442"/>
      <c r="P23" s="2442"/>
      <c r="Q23" s="2442">
        <v>0</v>
      </c>
      <c r="R23" s="2442"/>
      <c r="S23" s="2442"/>
      <c r="T23" s="2442">
        <v>500</v>
      </c>
      <c r="X23" s="45"/>
      <c r="Y23" s="45"/>
      <c r="Z23" s="45"/>
      <c r="AA23" s="45"/>
      <c r="AB23" s="45"/>
      <c r="AC23" s="45"/>
      <c r="AD23" s="45"/>
      <c r="AE23" s="45"/>
    </row>
    <row r="24" spans="1:31">
      <c r="A24" s="58">
        <v>19</v>
      </c>
      <c r="B24" s="2554" t="s">
        <v>110</v>
      </c>
      <c r="C24" s="2940">
        <f t="shared" si="0"/>
        <v>0</v>
      </c>
      <c r="D24" s="2940">
        <f t="shared" si="1"/>
        <v>0</v>
      </c>
      <c r="E24" s="2940">
        <f t="shared" si="2"/>
        <v>0</v>
      </c>
      <c r="F24" s="2941"/>
      <c r="G24" s="2941"/>
      <c r="H24" s="2941"/>
      <c r="I24" s="2442"/>
      <c r="J24" s="2442"/>
      <c r="K24" s="2442"/>
      <c r="L24" s="2876"/>
      <c r="M24" s="2876"/>
      <c r="N24" s="2876"/>
      <c r="O24" s="2442"/>
      <c r="P24" s="2442"/>
      <c r="Q24" s="2442"/>
      <c r="R24" s="2442"/>
      <c r="S24" s="2442"/>
      <c r="T24" s="2442"/>
      <c r="X24" s="45"/>
      <c r="Y24" s="45"/>
      <c r="Z24" s="45"/>
      <c r="AA24" s="45"/>
      <c r="AB24" s="45"/>
      <c r="AC24" s="45"/>
      <c r="AD24" s="45"/>
      <c r="AE24" s="45"/>
    </row>
    <row r="25" spans="1:31">
      <c r="B25" s="2736" t="s">
        <v>118</v>
      </c>
      <c r="C25" s="2731">
        <f t="shared" ref="C25:T25" si="3">SUM(C6:C24)</f>
        <v>0</v>
      </c>
      <c r="D25" s="2731">
        <f t="shared" si="3"/>
        <v>0</v>
      </c>
      <c r="E25" s="2731">
        <f>SUM(E6:E24)</f>
        <v>9572018414.9241467</v>
      </c>
      <c r="F25" s="2941">
        <f t="shared" si="3"/>
        <v>0</v>
      </c>
      <c r="G25" s="2941">
        <f t="shared" si="3"/>
        <v>0</v>
      </c>
      <c r="H25" s="2941">
        <f>SUM(H6:H24)</f>
        <v>4358090090.3602352</v>
      </c>
      <c r="I25" s="2873">
        <f t="shared" si="3"/>
        <v>0</v>
      </c>
      <c r="J25" s="2873">
        <f t="shared" si="3"/>
        <v>0</v>
      </c>
      <c r="K25" s="2873">
        <f>SUM(K6:K24)</f>
        <v>2119068111.9467628</v>
      </c>
      <c r="L25" s="2877">
        <f t="shared" si="3"/>
        <v>0</v>
      </c>
      <c r="M25" s="2877">
        <f t="shared" si="3"/>
        <v>0</v>
      </c>
      <c r="N25" s="2877">
        <f t="shared" si="3"/>
        <v>1208716185.5975499</v>
      </c>
      <c r="O25" s="2873">
        <f t="shared" si="3"/>
        <v>0</v>
      </c>
      <c r="P25" s="2873">
        <f t="shared" si="3"/>
        <v>0</v>
      </c>
      <c r="Q25" s="2873">
        <f t="shared" si="3"/>
        <v>95268112.028060004</v>
      </c>
      <c r="R25" s="2873">
        <f t="shared" si="3"/>
        <v>0</v>
      </c>
      <c r="S25" s="2873">
        <f t="shared" si="3"/>
        <v>0</v>
      </c>
      <c r="T25" s="2873">
        <f t="shared" si="3"/>
        <v>1790875914.9915395</v>
      </c>
    </row>
    <row r="26" spans="1:31">
      <c r="B26" s="46"/>
      <c r="C26" s="47"/>
      <c r="D26" s="47"/>
      <c r="E26" s="47"/>
      <c r="F26" s="48"/>
      <c r="G26" s="48"/>
      <c r="H26" s="48"/>
      <c r="I26" s="49"/>
      <c r="J26" s="49"/>
      <c r="K26" s="49"/>
      <c r="L26" s="50"/>
      <c r="M26" s="50"/>
      <c r="N26" s="50"/>
      <c r="O26" s="49"/>
      <c r="P26" s="49"/>
      <c r="Q26" s="49"/>
      <c r="R26" s="49"/>
      <c r="S26" s="49"/>
      <c r="T26" s="49"/>
    </row>
    <row r="27" spans="1:31">
      <c r="B27" s="44"/>
    </row>
    <row r="29" spans="1:31">
      <c r="B29" s="2725" t="s">
        <v>987</v>
      </c>
    </row>
    <row r="30" spans="1:31">
      <c r="B30" s="3604" t="s">
        <v>730</v>
      </c>
      <c r="C30" s="3709" t="s">
        <v>118</v>
      </c>
      <c r="D30" s="3709"/>
      <c r="E30" s="3709"/>
      <c r="F30" s="3710" t="s">
        <v>436</v>
      </c>
      <c r="G30" s="3710"/>
      <c r="H30" s="3710"/>
      <c r="I30" s="3708" t="s">
        <v>437</v>
      </c>
      <c r="J30" s="3708"/>
      <c r="K30" s="3708"/>
      <c r="L30" s="3680" t="s">
        <v>438</v>
      </c>
      <c r="M30" s="3680"/>
      <c r="N30" s="3680"/>
      <c r="O30" s="3708" t="s">
        <v>722</v>
      </c>
      <c r="P30" s="3708"/>
      <c r="Q30" s="3708"/>
      <c r="R30" s="3708" t="s">
        <v>440</v>
      </c>
      <c r="S30" s="3708"/>
      <c r="T30" s="3708"/>
    </row>
    <row r="31" spans="1:31">
      <c r="B31" s="3604"/>
      <c r="C31" s="2938" t="s">
        <v>984</v>
      </c>
      <c r="D31" s="2938" t="s">
        <v>985</v>
      </c>
      <c r="E31" s="2938" t="s">
        <v>986</v>
      </c>
      <c r="F31" s="2938" t="s">
        <v>984</v>
      </c>
      <c r="G31" s="2938" t="s">
        <v>985</v>
      </c>
      <c r="H31" s="2938" t="s">
        <v>986</v>
      </c>
      <c r="I31" s="2938" t="s">
        <v>984</v>
      </c>
      <c r="J31" s="2938" t="s">
        <v>985</v>
      </c>
      <c r="K31" s="2938" t="s">
        <v>986</v>
      </c>
      <c r="L31" s="2938" t="s">
        <v>984</v>
      </c>
      <c r="M31" s="2938" t="s">
        <v>985</v>
      </c>
      <c r="N31" s="2938" t="s">
        <v>986</v>
      </c>
      <c r="O31" s="2938" t="s">
        <v>984</v>
      </c>
      <c r="P31" s="2938" t="s">
        <v>985</v>
      </c>
      <c r="Q31" s="2938" t="s">
        <v>986</v>
      </c>
      <c r="R31" s="2938" t="s">
        <v>984</v>
      </c>
      <c r="S31" s="2938" t="s">
        <v>985</v>
      </c>
      <c r="T31" s="2938" t="s">
        <v>986</v>
      </c>
    </row>
    <row r="32" spans="1:31">
      <c r="A32" s="58">
        <v>1</v>
      </c>
      <c r="B32" s="2553" t="s">
        <v>177</v>
      </c>
      <c r="C32" s="2940">
        <f t="shared" ref="C32:C50" si="4">+F32+I32+L32+O32+R32</f>
        <v>0</v>
      </c>
      <c r="D32" s="2940">
        <f t="shared" ref="D32:D50" si="5">+G32+J32+M32+P32+S32</f>
        <v>0</v>
      </c>
      <c r="E32" s="2940">
        <f t="shared" ref="E32:E50" si="6">+H32+K32+N32+Q32+T32</f>
        <v>107992666.213</v>
      </c>
      <c r="F32" s="2941"/>
      <c r="G32" s="2941"/>
      <c r="H32" s="2941">
        <v>56385241.715000004</v>
      </c>
      <c r="I32" s="2942"/>
      <c r="J32" s="2942"/>
      <c r="K32" s="2942">
        <v>29660756.607000001</v>
      </c>
      <c r="L32" s="2874"/>
      <c r="M32" s="2874"/>
      <c r="N32" s="2874">
        <v>12917862.846000001</v>
      </c>
      <c r="O32" s="2942"/>
      <c r="P32" s="2942"/>
      <c r="Q32" s="2942">
        <v>107250</v>
      </c>
      <c r="R32" s="2942"/>
      <c r="S32" s="2942"/>
      <c r="T32" s="2942">
        <v>8921555.0449999999</v>
      </c>
    </row>
    <row r="33" spans="1:20">
      <c r="A33" s="58">
        <v>2</v>
      </c>
      <c r="B33" s="2554" t="s">
        <v>179</v>
      </c>
      <c r="C33" s="2940">
        <f t="shared" si="4"/>
        <v>0</v>
      </c>
      <c r="D33" s="2940">
        <f t="shared" si="5"/>
        <v>0</v>
      </c>
      <c r="E33" s="2940">
        <f t="shared" si="6"/>
        <v>0</v>
      </c>
      <c r="F33" s="2941"/>
      <c r="G33" s="2941"/>
      <c r="H33" s="2941"/>
      <c r="I33" s="2442"/>
      <c r="J33" s="2442"/>
      <c r="K33" s="2442"/>
      <c r="L33" s="2876"/>
      <c r="M33" s="2876"/>
      <c r="N33" s="2876"/>
      <c r="O33" s="2442"/>
      <c r="P33" s="2442"/>
      <c r="Q33" s="2442"/>
      <c r="R33" s="2442"/>
      <c r="S33" s="2442"/>
      <c r="T33" s="2442"/>
    </row>
    <row r="34" spans="1:20">
      <c r="A34" s="58">
        <v>3</v>
      </c>
      <c r="B34" s="2553" t="s">
        <v>181</v>
      </c>
      <c r="C34" s="2940">
        <f t="shared" si="4"/>
        <v>0</v>
      </c>
      <c r="D34" s="2940">
        <f t="shared" si="5"/>
        <v>0</v>
      </c>
      <c r="E34" s="2940">
        <f t="shared" si="6"/>
        <v>677355005</v>
      </c>
      <c r="F34" s="2941"/>
      <c r="G34" s="2941"/>
      <c r="H34" s="2941">
        <v>505847774</v>
      </c>
      <c r="I34" s="2442"/>
      <c r="J34" s="2442"/>
      <c r="K34" s="2442">
        <v>50721038</v>
      </c>
      <c r="L34" s="2876"/>
      <c r="M34" s="2876"/>
      <c r="N34" s="2876">
        <v>85960076</v>
      </c>
      <c r="O34" s="2442"/>
      <c r="P34" s="2442"/>
      <c r="Q34" s="2442">
        <v>10526587</v>
      </c>
      <c r="R34" s="2442"/>
      <c r="S34" s="2442"/>
      <c r="T34" s="2442">
        <v>24299530</v>
      </c>
    </row>
    <row r="35" spans="1:20">
      <c r="A35" s="58">
        <v>4</v>
      </c>
      <c r="B35" s="2553" t="s">
        <v>182</v>
      </c>
      <c r="C35" s="2940">
        <f t="shared" si="4"/>
        <v>0</v>
      </c>
      <c r="D35" s="2940">
        <f t="shared" si="5"/>
        <v>0</v>
      </c>
      <c r="E35" s="2940">
        <f t="shared" si="6"/>
        <v>151799393.82313439</v>
      </c>
      <c r="F35" s="2941"/>
      <c r="G35" s="2941"/>
      <c r="H35" s="2941">
        <v>66333288.442106001</v>
      </c>
      <c r="I35" s="2442"/>
      <c r="J35" s="2442"/>
      <c r="K35" s="2442">
        <v>42730549.450799301</v>
      </c>
      <c r="L35" s="2876"/>
      <c r="M35" s="2876"/>
      <c r="N35" s="2876">
        <v>23269974.600769199</v>
      </c>
      <c r="O35" s="2442"/>
      <c r="P35" s="2442"/>
      <c r="Q35" s="2442">
        <v>1284868.75085</v>
      </c>
      <c r="R35" s="2442"/>
      <c r="S35" s="2442"/>
      <c r="T35" s="2442">
        <v>18180712.578609899</v>
      </c>
    </row>
    <row r="36" spans="1:20">
      <c r="A36" s="58">
        <v>5</v>
      </c>
      <c r="B36" s="2554" t="s">
        <v>183</v>
      </c>
      <c r="C36" s="2940">
        <f t="shared" si="4"/>
        <v>0</v>
      </c>
      <c r="D36" s="2940">
        <f t="shared" si="5"/>
        <v>0</v>
      </c>
      <c r="E36" s="2940">
        <f t="shared" si="6"/>
        <v>1808888649.6825099</v>
      </c>
      <c r="F36" s="2941"/>
      <c r="G36" s="2941"/>
      <c r="H36" s="2941">
        <v>848639013.27883995</v>
      </c>
      <c r="I36" s="2442"/>
      <c r="J36" s="2442"/>
      <c r="K36" s="2442">
        <v>351305282.00318003</v>
      </c>
      <c r="L36" s="2876"/>
      <c r="M36" s="2876"/>
      <c r="N36" s="2876">
        <v>24371246.43778</v>
      </c>
      <c r="O36" s="2442"/>
      <c r="P36" s="2442"/>
      <c r="Q36" s="2442">
        <v>1743481.6229999999</v>
      </c>
      <c r="R36" s="2442"/>
      <c r="S36" s="2442"/>
      <c r="T36" s="2442">
        <v>582829626.33971</v>
      </c>
    </row>
    <row r="37" spans="1:20">
      <c r="A37" s="58">
        <v>6</v>
      </c>
      <c r="B37" s="2554" t="s">
        <v>184</v>
      </c>
      <c r="C37" s="2940">
        <f t="shared" si="4"/>
        <v>0</v>
      </c>
      <c r="D37" s="2940">
        <f t="shared" si="5"/>
        <v>0</v>
      </c>
      <c r="E37" s="2940">
        <f t="shared" si="6"/>
        <v>99280919.310860008</v>
      </c>
      <c r="F37" s="2941"/>
      <c r="G37" s="2941"/>
      <c r="H37" s="2941">
        <v>78015696.872420013</v>
      </c>
      <c r="I37" s="2442"/>
      <c r="J37" s="2442"/>
      <c r="K37" s="2442">
        <v>4351270.4029999999</v>
      </c>
      <c r="L37" s="2876"/>
      <c r="M37" s="2876"/>
      <c r="N37" s="2876">
        <v>9950938.5439999998</v>
      </c>
      <c r="O37" s="2442"/>
      <c r="P37" s="2442"/>
      <c r="Q37" s="2442">
        <v>319235.02399999998</v>
      </c>
      <c r="R37" s="2442"/>
      <c r="S37" s="2442"/>
      <c r="T37" s="2442">
        <v>6643778.4674399998</v>
      </c>
    </row>
    <row r="38" spans="1:20">
      <c r="A38" s="58">
        <v>7</v>
      </c>
      <c r="B38" s="2553" t="s">
        <v>185</v>
      </c>
      <c r="C38" s="2940">
        <f t="shared" si="4"/>
        <v>0</v>
      </c>
      <c r="D38" s="2940">
        <f t="shared" si="5"/>
        <v>0</v>
      </c>
      <c r="E38" s="2940">
        <f t="shared" si="6"/>
        <v>1926015359.4769998</v>
      </c>
      <c r="F38" s="2941"/>
      <c r="G38" s="2941"/>
      <c r="H38" s="2941">
        <v>640615134.34899998</v>
      </c>
      <c r="I38" s="2442"/>
      <c r="J38" s="2442"/>
      <c r="K38" s="2442">
        <v>224629214.023</v>
      </c>
      <c r="L38" s="2876"/>
      <c r="M38" s="2876"/>
      <c r="N38" s="2876">
        <v>282424370.77499998</v>
      </c>
      <c r="O38" s="2442"/>
      <c r="P38" s="2442"/>
      <c r="Q38" s="2442">
        <v>48071984.835000001</v>
      </c>
      <c r="R38" s="2442"/>
      <c r="S38" s="2442"/>
      <c r="T38" s="2442">
        <v>730274655.495</v>
      </c>
    </row>
    <row r="39" spans="1:20">
      <c r="A39" s="58">
        <v>8</v>
      </c>
      <c r="B39" s="2553" t="s">
        <v>186</v>
      </c>
      <c r="C39" s="2940">
        <f t="shared" si="4"/>
        <v>0</v>
      </c>
      <c r="D39" s="2940">
        <f t="shared" si="5"/>
        <v>0</v>
      </c>
      <c r="E39" s="2940">
        <f t="shared" si="6"/>
        <v>115362799.38068289</v>
      </c>
      <c r="F39" s="2941"/>
      <c r="G39" s="2941"/>
      <c r="H39" s="2941">
        <v>8301405.8816829007</v>
      </c>
      <c r="I39" s="2442"/>
      <c r="J39" s="2442"/>
      <c r="K39" s="2442">
        <v>3664758.0419999999</v>
      </c>
      <c r="L39" s="2876"/>
      <c r="M39" s="2876"/>
      <c r="N39" s="2876">
        <v>14453114</v>
      </c>
      <c r="O39" s="2442"/>
      <c r="P39" s="2442"/>
      <c r="Q39" s="2442">
        <v>2808431.5989999999</v>
      </c>
      <c r="R39" s="2442"/>
      <c r="S39" s="2442"/>
      <c r="T39" s="2442">
        <v>86135089.857999995</v>
      </c>
    </row>
    <row r="40" spans="1:20">
      <c r="A40" s="58">
        <v>9</v>
      </c>
      <c r="B40" s="2554" t="s">
        <v>187</v>
      </c>
      <c r="C40" s="2940">
        <f t="shared" si="4"/>
        <v>0</v>
      </c>
      <c r="D40" s="2940">
        <f t="shared" si="5"/>
        <v>0</v>
      </c>
      <c r="E40" s="2940">
        <f t="shared" si="6"/>
        <v>0</v>
      </c>
      <c r="F40" s="2941"/>
      <c r="G40" s="2941"/>
      <c r="H40" s="2941"/>
      <c r="I40" s="2442"/>
      <c r="J40" s="2442"/>
      <c r="K40" s="2442"/>
      <c r="L40" s="2876"/>
      <c r="M40" s="2876"/>
      <c r="N40" s="2876"/>
      <c r="O40" s="2442"/>
      <c r="P40" s="2442"/>
      <c r="Q40" s="2442"/>
      <c r="R40" s="2442"/>
      <c r="S40" s="2442"/>
      <c r="T40" s="2442"/>
    </row>
    <row r="41" spans="1:20">
      <c r="A41" s="58">
        <v>10</v>
      </c>
      <c r="B41" s="2553" t="s">
        <v>188</v>
      </c>
      <c r="C41" s="2940">
        <f t="shared" si="4"/>
        <v>0</v>
      </c>
      <c r="D41" s="2940">
        <f t="shared" si="5"/>
        <v>0</v>
      </c>
      <c r="E41" s="2940">
        <f t="shared" si="6"/>
        <v>400037467.83294004</v>
      </c>
      <c r="F41" s="2941"/>
      <c r="G41" s="2941"/>
      <c r="H41" s="2941">
        <v>201927328.38049001</v>
      </c>
      <c r="I41" s="2442"/>
      <c r="J41" s="2442"/>
      <c r="K41" s="2442">
        <v>16464849.283329999</v>
      </c>
      <c r="L41" s="2876"/>
      <c r="M41" s="2876"/>
      <c r="N41" s="2876">
        <v>64215646.330930002</v>
      </c>
      <c r="O41" s="2442"/>
      <c r="P41" s="2442"/>
      <c r="Q41" s="2442">
        <v>95848237.042360008</v>
      </c>
      <c r="R41" s="2442"/>
      <c r="S41" s="2442"/>
      <c r="T41" s="2442">
        <v>21581406.79583</v>
      </c>
    </row>
    <row r="42" spans="1:20">
      <c r="A42" s="58">
        <v>11</v>
      </c>
      <c r="B42" s="2553" t="s">
        <v>189</v>
      </c>
      <c r="C42" s="2940">
        <f t="shared" si="4"/>
        <v>0</v>
      </c>
      <c r="D42" s="2940">
        <f t="shared" si="5"/>
        <v>0</v>
      </c>
      <c r="E42" s="2940">
        <f t="shared" si="6"/>
        <v>150423001</v>
      </c>
      <c r="F42" s="2941"/>
      <c r="G42" s="2941"/>
      <c r="H42" s="2941">
        <v>5215670</v>
      </c>
      <c r="I42" s="2442"/>
      <c r="J42" s="2442"/>
      <c r="K42" s="2442">
        <v>122895422</v>
      </c>
      <c r="L42" s="2876"/>
      <c r="M42" s="2876"/>
      <c r="N42" s="2876">
        <v>1134094</v>
      </c>
      <c r="O42" s="2442"/>
      <c r="P42" s="2442"/>
      <c r="Q42" s="2442"/>
      <c r="R42" s="2442"/>
      <c r="S42" s="2442"/>
      <c r="T42" s="2442">
        <v>21177815</v>
      </c>
    </row>
    <row r="43" spans="1:20">
      <c r="A43" s="58">
        <v>12</v>
      </c>
      <c r="B43" s="2553" t="s">
        <v>191</v>
      </c>
      <c r="C43" s="2940">
        <f t="shared" si="4"/>
        <v>0</v>
      </c>
      <c r="D43" s="2940">
        <f t="shared" si="5"/>
        <v>0</v>
      </c>
      <c r="E43" s="2940">
        <f t="shared" si="6"/>
        <v>0</v>
      </c>
      <c r="F43" s="2941"/>
      <c r="G43" s="2941"/>
      <c r="H43" s="2941"/>
      <c r="I43" s="2442"/>
      <c r="J43" s="2442"/>
      <c r="K43" s="2442"/>
      <c r="L43" s="2876"/>
      <c r="M43" s="2876"/>
      <c r="N43" s="2876"/>
      <c r="O43" s="2442"/>
      <c r="P43" s="2442"/>
      <c r="Q43" s="2442"/>
      <c r="R43" s="2442"/>
      <c r="S43" s="2442"/>
      <c r="T43" s="2442"/>
    </row>
    <row r="44" spans="1:20">
      <c r="A44" s="58">
        <v>13</v>
      </c>
      <c r="B44" s="2553" t="s">
        <v>192</v>
      </c>
      <c r="C44" s="2940">
        <f t="shared" si="4"/>
        <v>0</v>
      </c>
      <c r="D44" s="2940">
        <f t="shared" si="5"/>
        <v>0</v>
      </c>
      <c r="E44" s="2940">
        <f t="shared" si="6"/>
        <v>62606255.079659998</v>
      </c>
      <c r="F44" s="2941"/>
      <c r="G44" s="2941"/>
      <c r="H44" s="2941">
        <v>9324385.2064599991</v>
      </c>
      <c r="I44" s="2442"/>
      <c r="J44" s="2442"/>
      <c r="K44" s="2442">
        <v>1140421.6000000001</v>
      </c>
      <c r="L44" s="2876"/>
      <c r="M44" s="2876"/>
      <c r="N44" s="2876">
        <v>8054259.8250000002</v>
      </c>
      <c r="O44" s="2442"/>
      <c r="P44" s="2442"/>
      <c r="Q44" s="2442">
        <v>0</v>
      </c>
      <c r="R44" s="2442"/>
      <c r="S44" s="2442"/>
      <c r="T44" s="2442">
        <v>44087188.448199995</v>
      </c>
    </row>
    <row r="45" spans="1:20">
      <c r="A45" s="58">
        <v>14</v>
      </c>
      <c r="B45" s="2554" t="s">
        <v>194</v>
      </c>
      <c r="C45" s="2940">
        <f t="shared" si="4"/>
        <v>0</v>
      </c>
      <c r="D45" s="2940">
        <f t="shared" si="5"/>
        <v>0</v>
      </c>
      <c r="E45" s="2940">
        <f t="shared" si="6"/>
        <v>59376513.164060012</v>
      </c>
      <c r="F45" s="2941"/>
      <c r="G45" s="2941"/>
      <c r="H45" s="2941">
        <v>18813140.723230004</v>
      </c>
      <c r="I45" s="2442"/>
      <c r="J45" s="2442"/>
      <c r="K45" s="2442">
        <v>715269.13101000001</v>
      </c>
      <c r="L45" s="2876"/>
      <c r="M45" s="2876"/>
      <c r="N45" s="2876">
        <v>31248500.631720003</v>
      </c>
      <c r="O45" s="2442"/>
      <c r="P45" s="2442"/>
      <c r="Q45" s="2442">
        <v>0</v>
      </c>
      <c r="R45" s="2442"/>
      <c r="S45" s="2442"/>
      <c r="T45" s="2442">
        <v>8599602.6781000011</v>
      </c>
    </row>
    <row r="46" spans="1:20">
      <c r="A46" s="58">
        <v>15</v>
      </c>
      <c r="B46" s="2553" t="s">
        <v>195</v>
      </c>
      <c r="C46" s="2940">
        <f t="shared" si="4"/>
        <v>0</v>
      </c>
      <c r="D46" s="2940">
        <f t="shared" si="5"/>
        <v>0</v>
      </c>
      <c r="E46" s="2940">
        <f t="shared" si="6"/>
        <v>2055371353.3989999</v>
      </c>
      <c r="F46" s="2941"/>
      <c r="G46" s="2941"/>
      <c r="H46" s="2941">
        <v>894029911.06799996</v>
      </c>
      <c r="I46" s="2442"/>
      <c r="J46" s="2442"/>
      <c r="K46" s="2442">
        <v>618839838.28299999</v>
      </c>
      <c r="L46" s="2876"/>
      <c r="M46" s="2876"/>
      <c r="N46" s="2876">
        <v>249279302.87200001</v>
      </c>
      <c r="O46" s="2442"/>
      <c r="P46" s="2442"/>
      <c r="Q46" s="2442">
        <v>15100433.002</v>
      </c>
      <c r="R46" s="2442"/>
      <c r="S46" s="2442"/>
      <c r="T46" s="2442">
        <v>278121868.17400002</v>
      </c>
    </row>
    <row r="47" spans="1:20">
      <c r="A47" s="58">
        <v>16</v>
      </c>
      <c r="B47" s="2553" t="s">
        <v>196</v>
      </c>
      <c r="C47" s="2940">
        <f t="shared" si="4"/>
        <v>0</v>
      </c>
      <c r="D47" s="2940">
        <f t="shared" si="5"/>
        <v>0</v>
      </c>
      <c r="E47" s="2940">
        <f t="shared" si="6"/>
        <v>17656244.629000001</v>
      </c>
      <c r="F47" s="2941"/>
      <c r="G47" s="2941"/>
      <c r="H47" s="2941">
        <v>4611400.5990000004</v>
      </c>
      <c r="I47" s="2442"/>
      <c r="J47" s="2442"/>
      <c r="K47" s="2442">
        <v>0</v>
      </c>
      <c r="L47" s="2876"/>
      <c r="M47" s="2876"/>
      <c r="N47" s="2876">
        <v>2591469.27</v>
      </c>
      <c r="O47" s="2442"/>
      <c r="P47" s="2442"/>
      <c r="Q47" s="2442">
        <v>46864.565999999999</v>
      </c>
      <c r="R47" s="2442"/>
      <c r="S47" s="2442"/>
      <c r="T47" s="2442">
        <v>10406510.194</v>
      </c>
    </row>
    <row r="48" spans="1:20">
      <c r="A48" s="58">
        <v>17</v>
      </c>
      <c r="B48" s="2553" t="s">
        <v>197</v>
      </c>
      <c r="C48" s="2940">
        <f t="shared" si="4"/>
        <v>0</v>
      </c>
      <c r="D48" s="2940">
        <f t="shared" si="5"/>
        <v>0</v>
      </c>
      <c r="E48" s="2940">
        <f t="shared" si="6"/>
        <v>1079842836</v>
      </c>
      <c r="F48" s="2941"/>
      <c r="G48" s="2941"/>
      <c r="H48" s="2941">
        <v>448845255</v>
      </c>
      <c r="I48" s="2442"/>
      <c r="J48" s="2442"/>
      <c r="K48" s="2442">
        <v>324409037</v>
      </c>
      <c r="L48" s="2876"/>
      <c r="M48" s="2876"/>
      <c r="N48" s="2876">
        <v>105946011</v>
      </c>
      <c r="O48" s="2442"/>
      <c r="P48" s="2442"/>
      <c r="Q48" s="2442">
        <v>18271465</v>
      </c>
      <c r="R48" s="2442"/>
      <c r="S48" s="2442"/>
      <c r="T48" s="2442">
        <v>182371068</v>
      </c>
    </row>
    <row r="49" spans="1:20">
      <c r="A49" s="58">
        <v>18</v>
      </c>
      <c r="B49" s="2554" t="s">
        <v>193</v>
      </c>
      <c r="C49" s="2940">
        <f t="shared" si="4"/>
        <v>0</v>
      </c>
      <c r="D49" s="2940">
        <f t="shared" si="5"/>
        <v>0</v>
      </c>
      <c r="E49" s="2940">
        <f t="shared" si="6"/>
        <v>0</v>
      </c>
      <c r="F49" s="2941"/>
      <c r="G49" s="2941"/>
      <c r="H49" s="2941"/>
      <c r="I49" s="2442"/>
      <c r="J49" s="2442"/>
      <c r="K49" s="2442"/>
      <c r="L49" s="2876"/>
      <c r="M49" s="2876"/>
      <c r="N49" s="2876"/>
      <c r="O49" s="2442"/>
      <c r="P49" s="2442"/>
      <c r="Q49" s="2442"/>
      <c r="R49" s="2442"/>
      <c r="S49" s="2442"/>
      <c r="T49" s="2442"/>
    </row>
    <row r="50" spans="1:20">
      <c r="A50" s="58">
        <v>19</v>
      </c>
      <c r="B50" s="2554" t="s">
        <v>110</v>
      </c>
      <c r="C50" s="2940">
        <f t="shared" si="4"/>
        <v>0</v>
      </c>
      <c r="D50" s="2940">
        <f t="shared" si="5"/>
        <v>0</v>
      </c>
      <c r="E50" s="2940">
        <f t="shared" si="6"/>
        <v>0</v>
      </c>
      <c r="F50" s="2941"/>
      <c r="G50" s="2941"/>
      <c r="H50" s="2941"/>
      <c r="I50" s="2442"/>
      <c r="J50" s="2442"/>
      <c r="K50" s="2442"/>
      <c r="L50" s="2876"/>
      <c r="M50" s="2876"/>
      <c r="N50" s="2876"/>
      <c r="O50" s="2442"/>
      <c r="P50" s="2442"/>
      <c r="Q50" s="2442"/>
      <c r="R50" s="2442"/>
      <c r="S50" s="2442"/>
      <c r="T50" s="2442"/>
    </row>
    <row r="51" spans="1:20">
      <c r="B51" s="2736" t="s">
        <v>118</v>
      </c>
      <c r="C51" s="2731">
        <f>SUM(C32:C50)</f>
        <v>0</v>
      </c>
      <c r="D51" s="2731">
        <f>SUM(D32:D50)</f>
        <v>0</v>
      </c>
      <c r="E51" s="2731">
        <f>SUM(E32:E50)</f>
        <v>8712008463.991848</v>
      </c>
      <c r="F51" s="2941">
        <f>SUM(F32:F50)</f>
        <v>0</v>
      </c>
      <c r="G51" s="2941">
        <f t="shared" ref="G51:T51" si="7">SUM(G32:G50)</f>
        <v>0</v>
      </c>
      <c r="H51" s="2941">
        <f t="shared" si="7"/>
        <v>3786904645.5162282</v>
      </c>
      <c r="I51" s="2873">
        <f t="shared" si="7"/>
        <v>0</v>
      </c>
      <c r="J51" s="2873">
        <f t="shared" si="7"/>
        <v>0</v>
      </c>
      <c r="K51" s="2873">
        <f t="shared" si="7"/>
        <v>1791527705.8263192</v>
      </c>
      <c r="L51" s="2877">
        <f t="shared" si="7"/>
        <v>0</v>
      </c>
      <c r="M51" s="2877">
        <f t="shared" si="7"/>
        <v>0</v>
      </c>
      <c r="N51" s="2877">
        <f t="shared" si="7"/>
        <v>915816867.1331991</v>
      </c>
      <c r="O51" s="2873">
        <f t="shared" si="7"/>
        <v>0</v>
      </c>
      <c r="P51" s="2873">
        <f t="shared" si="7"/>
        <v>0</v>
      </c>
      <c r="Q51" s="2873">
        <f t="shared" si="7"/>
        <v>194128838.44221002</v>
      </c>
      <c r="R51" s="2873">
        <f t="shared" si="7"/>
        <v>0</v>
      </c>
      <c r="S51" s="2873">
        <f t="shared" si="7"/>
        <v>0</v>
      </c>
      <c r="T51" s="2873">
        <f t="shared" si="7"/>
        <v>2023630407.07389</v>
      </c>
    </row>
    <row r="52" spans="1:20">
      <c r="B52" s="46"/>
      <c r="C52" s="47"/>
      <c r="D52" s="47"/>
      <c r="E52" s="47"/>
      <c r="F52" s="48"/>
      <c r="G52" s="48"/>
      <c r="H52" s="48"/>
      <c r="I52" s="49"/>
      <c r="J52" s="49"/>
      <c r="K52" s="49"/>
      <c r="L52" s="50"/>
      <c r="M52" s="50"/>
      <c r="N52" s="50"/>
      <c r="O52" s="49"/>
      <c r="P52" s="49"/>
      <c r="Q52" s="49"/>
      <c r="R52" s="49"/>
      <c r="S52" s="49"/>
      <c r="T52" s="49"/>
    </row>
    <row r="55" spans="1:20">
      <c r="B55" s="2725" t="s">
        <v>988</v>
      </c>
    </row>
    <row r="56" spans="1:20">
      <c r="B56" s="3604" t="s">
        <v>730</v>
      </c>
      <c r="C56" s="3709" t="s">
        <v>118</v>
      </c>
      <c r="D56" s="3709"/>
      <c r="E56" s="3709"/>
      <c r="F56" s="3710" t="s">
        <v>436</v>
      </c>
      <c r="G56" s="3710"/>
      <c r="H56" s="3710"/>
      <c r="I56" s="3708" t="s">
        <v>437</v>
      </c>
      <c r="J56" s="3708"/>
      <c r="K56" s="3708"/>
      <c r="L56" s="3680" t="s">
        <v>438</v>
      </c>
      <c r="M56" s="3680"/>
      <c r="N56" s="3680"/>
      <c r="O56" s="3708" t="s">
        <v>722</v>
      </c>
      <c r="P56" s="3708"/>
      <c r="Q56" s="3708"/>
      <c r="R56" s="3708" t="s">
        <v>440</v>
      </c>
      <c r="S56" s="3708"/>
      <c r="T56" s="3708"/>
    </row>
    <row r="57" spans="1:20">
      <c r="B57" s="3604"/>
      <c r="C57" s="2938" t="s">
        <v>984</v>
      </c>
      <c r="D57" s="2938" t="s">
        <v>985</v>
      </c>
      <c r="E57" s="2938" t="s">
        <v>986</v>
      </c>
      <c r="F57" s="2938" t="s">
        <v>984</v>
      </c>
      <c r="G57" s="2938" t="s">
        <v>985</v>
      </c>
      <c r="H57" s="2938" t="s">
        <v>986</v>
      </c>
      <c r="I57" s="2938" t="s">
        <v>984</v>
      </c>
      <c r="J57" s="2938" t="s">
        <v>985</v>
      </c>
      <c r="K57" s="2938" t="s">
        <v>986</v>
      </c>
      <c r="L57" s="2938" t="s">
        <v>984</v>
      </c>
      <c r="M57" s="2938" t="s">
        <v>985</v>
      </c>
      <c r="N57" s="2938" t="s">
        <v>986</v>
      </c>
      <c r="O57" s="2938" t="s">
        <v>984</v>
      </c>
      <c r="P57" s="2938" t="s">
        <v>985</v>
      </c>
      <c r="Q57" s="2938" t="s">
        <v>986</v>
      </c>
      <c r="R57" s="2938" t="s">
        <v>984</v>
      </c>
      <c r="S57" s="2938" t="s">
        <v>985</v>
      </c>
      <c r="T57" s="2938" t="s">
        <v>986</v>
      </c>
    </row>
    <row r="58" spans="1:20">
      <c r="A58" s="58">
        <v>1</v>
      </c>
      <c r="B58" s="2553" t="s">
        <v>177</v>
      </c>
      <c r="C58" s="2940">
        <f t="shared" ref="C58:C76" si="8">+F58+I58+L58+O58+R58</f>
        <v>0</v>
      </c>
      <c r="D58" s="2940">
        <f t="shared" ref="D58:D76" si="9">+G58+J58+M58+P58+S58</f>
        <v>0</v>
      </c>
      <c r="E58" s="2940">
        <f t="shared" ref="E58:E76" si="10">+H58+K58+N58+Q58+T58</f>
        <v>120851792.53700002</v>
      </c>
      <c r="F58" s="2941"/>
      <c r="G58" s="2941"/>
      <c r="H58" s="2941">
        <v>57638543.236000001</v>
      </c>
      <c r="I58" s="2942"/>
      <c r="J58" s="2942"/>
      <c r="K58" s="2942">
        <v>29128539.193</v>
      </c>
      <c r="L58" s="2874"/>
      <c r="M58" s="2874"/>
      <c r="N58" s="2874">
        <v>16482570.097999999</v>
      </c>
      <c r="O58" s="2942"/>
      <c r="P58" s="2942"/>
      <c r="Q58" s="2942">
        <v>131825</v>
      </c>
      <c r="R58" s="2942"/>
      <c r="S58" s="2942"/>
      <c r="T58" s="2942">
        <v>17470315.010000002</v>
      </c>
    </row>
    <row r="59" spans="1:20">
      <c r="A59" s="58">
        <v>2</v>
      </c>
      <c r="B59" s="2554" t="s">
        <v>179</v>
      </c>
      <c r="C59" s="2940">
        <f t="shared" si="8"/>
        <v>0</v>
      </c>
      <c r="D59" s="2940">
        <f t="shared" si="9"/>
        <v>0</v>
      </c>
      <c r="E59" s="2940">
        <f t="shared" si="10"/>
        <v>0</v>
      </c>
      <c r="F59" s="2941"/>
      <c r="G59" s="2941"/>
      <c r="H59" s="2941"/>
      <c r="I59" s="2442"/>
      <c r="J59" s="2442"/>
      <c r="K59" s="2442"/>
      <c r="L59" s="2876"/>
      <c r="M59" s="2876"/>
      <c r="N59" s="2876"/>
      <c r="O59" s="2442"/>
      <c r="P59" s="2442"/>
      <c r="Q59" s="2442"/>
      <c r="R59" s="2442"/>
      <c r="S59" s="2442"/>
      <c r="T59" s="2442"/>
    </row>
    <row r="60" spans="1:20">
      <c r="A60" s="58">
        <v>3</v>
      </c>
      <c r="B60" s="2553" t="s">
        <v>181</v>
      </c>
      <c r="C60" s="2940">
        <f t="shared" si="8"/>
        <v>0</v>
      </c>
      <c r="D60" s="2940">
        <f t="shared" si="9"/>
        <v>0</v>
      </c>
      <c r="E60" s="2940">
        <f t="shared" si="10"/>
        <v>674058691</v>
      </c>
      <c r="F60" s="2941"/>
      <c r="G60" s="2941"/>
      <c r="H60" s="2941">
        <v>534945887</v>
      </c>
      <c r="I60" s="2442"/>
      <c r="J60" s="2442"/>
      <c r="K60" s="2442">
        <v>54829239</v>
      </c>
      <c r="L60" s="2876"/>
      <c r="M60" s="2876"/>
      <c r="N60" s="2876">
        <v>52092013</v>
      </c>
      <c r="O60" s="2442"/>
      <c r="P60" s="2442"/>
      <c r="Q60" s="2442">
        <v>9892680</v>
      </c>
      <c r="R60" s="2442"/>
      <c r="S60" s="2442"/>
      <c r="T60" s="2442">
        <v>22298872</v>
      </c>
    </row>
    <row r="61" spans="1:20">
      <c r="A61" s="58">
        <v>4</v>
      </c>
      <c r="B61" s="2553" t="s">
        <v>182</v>
      </c>
      <c r="C61" s="2940">
        <f t="shared" si="8"/>
        <v>0</v>
      </c>
      <c r="D61" s="2940">
        <f t="shared" si="9"/>
        <v>0</v>
      </c>
      <c r="E61" s="2940">
        <f t="shared" si="10"/>
        <v>161917277.762458</v>
      </c>
      <c r="F61" s="2941"/>
      <c r="G61" s="2941"/>
      <c r="H61" s="2941">
        <v>64576009.146213993</v>
      </c>
      <c r="I61" s="2442"/>
      <c r="J61" s="2442"/>
      <c r="K61" s="2442">
        <v>51968929.511280701</v>
      </c>
      <c r="L61" s="2876"/>
      <c r="M61" s="2876"/>
      <c r="N61" s="2876">
        <v>16745153.976165399</v>
      </c>
      <c r="O61" s="2442"/>
      <c r="P61" s="2442"/>
      <c r="Q61" s="2442">
        <v>1005197.31622</v>
      </c>
      <c r="R61" s="2442"/>
      <c r="S61" s="2442"/>
      <c r="T61" s="2442">
        <v>27621987.8125779</v>
      </c>
    </row>
    <row r="62" spans="1:20">
      <c r="A62" s="58">
        <v>5</v>
      </c>
      <c r="B62" s="2554" t="s">
        <v>183</v>
      </c>
      <c r="C62" s="2940">
        <f t="shared" si="8"/>
        <v>0</v>
      </c>
      <c r="D62" s="2940">
        <f t="shared" si="9"/>
        <v>0</v>
      </c>
      <c r="E62" s="2940">
        <f t="shared" si="10"/>
        <v>1243875145.26618</v>
      </c>
      <c r="F62" s="2941"/>
      <c r="G62" s="2941"/>
      <c r="H62" s="2941">
        <v>603770620.58390999</v>
      </c>
      <c r="I62" s="2442"/>
      <c r="J62" s="2442"/>
      <c r="K62" s="2442">
        <v>200416461.32064</v>
      </c>
      <c r="L62" s="2876"/>
      <c r="M62" s="2876"/>
      <c r="N62" s="2876">
        <v>18116412.157779999</v>
      </c>
      <c r="O62" s="2442"/>
      <c r="P62" s="2442"/>
      <c r="Q62" s="2442">
        <v>1223152.6029999999</v>
      </c>
      <c r="R62" s="2442"/>
      <c r="S62" s="2442"/>
      <c r="T62" s="2442">
        <v>420348498.60084999</v>
      </c>
    </row>
    <row r="63" spans="1:20">
      <c r="A63" s="58">
        <v>6</v>
      </c>
      <c r="B63" s="2554" t="s">
        <v>184</v>
      </c>
      <c r="C63" s="2940">
        <f t="shared" si="8"/>
        <v>0</v>
      </c>
      <c r="D63" s="2940">
        <f t="shared" si="9"/>
        <v>0</v>
      </c>
      <c r="E63" s="2940">
        <f t="shared" si="10"/>
        <v>0</v>
      </c>
      <c r="F63" s="2941"/>
      <c r="G63" s="2941"/>
      <c r="H63" s="2941"/>
      <c r="I63" s="2442"/>
      <c r="J63" s="2442"/>
      <c r="K63" s="2442"/>
      <c r="L63" s="2876"/>
      <c r="M63" s="2876"/>
      <c r="N63" s="2876"/>
      <c r="O63" s="2442"/>
      <c r="P63" s="2442"/>
      <c r="Q63" s="2442"/>
      <c r="R63" s="2442"/>
      <c r="S63" s="2442"/>
      <c r="T63" s="2442"/>
    </row>
    <row r="64" spans="1:20">
      <c r="A64" s="58">
        <v>7</v>
      </c>
      <c r="B64" s="2553" t="s">
        <v>185</v>
      </c>
      <c r="C64" s="2940">
        <f t="shared" si="8"/>
        <v>0</v>
      </c>
      <c r="D64" s="2940">
        <f t="shared" si="9"/>
        <v>0</v>
      </c>
      <c r="E64" s="2940">
        <f t="shared" si="10"/>
        <v>1705026237.3269999</v>
      </c>
      <c r="F64" s="2941"/>
      <c r="G64" s="2941"/>
      <c r="H64" s="2941">
        <v>621699883.31299996</v>
      </c>
      <c r="I64" s="2442"/>
      <c r="J64" s="2442"/>
      <c r="K64" s="2442">
        <v>202129443.19400001</v>
      </c>
      <c r="L64" s="2876"/>
      <c r="M64" s="2876"/>
      <c r="N64" s="2876">
        <v>300622865.24900001</v>
      </c>
      <c r="O64" s="2442"/>
      <c r="P64" s="2442"/>
      <c r="Q64" s="2442">
        <v>51488746.189000003</v>
      </c>
      <c r="R64" s="2442"/>
      <c r="S64" s="2442"/>
      <c r="T64" s="2442">
        <v>529085299.38200003</v>
      </c>
    </row>
    <row r="65" spans="1:21">
      <c r="A65" s="58">
        <v>8</v>
      </c>
      <c r="B65" s="2553" t="s">
        <v>186</v>
      </c>
      <c r="C65" s="2940">
        <f t="shared" si="8"/>
        <v>0</v>
      </c>
      <c r="D65" s="2940">
        <f t="shared" si="9"/>
        <v>0</v>
      </c>
      <c r="E65" s="2940">
        <f t="shared" si="10"/>
        <v>117331034.28116505</v>
      </c>
      <c r="F65" s="2941"/>
      <c r="G65" s="2941"/>
      <c r="H65" s="2941">
        <v>7307470.012165051</v>
      </c>
      <c r="I65" s="2442"/>
      <c r="J65" s="2442"/>
      <c r="K65" s="2442">
        <v>3522381.4449999998</v>
      </c>
      <c r="L65" s="2876"/>
      <c r="M65" s="2876"/>
      <c r="N65" s="2876">
        <v>21452065.892999999</v>
      </c>
      <c r="O65" s="2442"/>
      <c r="P65" s="2442"/>
      <c r="Q65" s="2442">
        <v>1836062.477</v>
      </c>
      <c r="R65" s="2442"/>
      <c r="S65" s="2442"/>
      <c r="T65" s="2442">
        <v>83213054.453999996</v>
      </c>
    </row>
    <row r="66" spans="1:21">
      <c r="A66" s="58">
        <v>9</v>
      </c>
      <c r="B66" s="2554" t="s">
        <v>187</v>
      </c>
      <c r="C66" s="2940">
        <f t="shared" si="8"/>
        <v>0</v>
      </c>
      <c r="D66" s="2940">
        <f t="shared" si="9"/>
        <v>0</v>
      </c>
      <c r="E66" s="2940">
        <f t="shared" si="10"/>
        <v>0</v>
      </c>
      <c r="F66" s="2941"/>
      <c r="G66" s="2941"/>
      <c r="H66" s="2941"/>
      <c r="I66" s="2442"/>
      <c r="J66" s="2442"/>
      <c r="K66" s="2442"/>
      <c r="L66" s="2876"/>
      <c r="M66" s="2876"/>
      <c r="N66" s="2876"/>
      <c r="O66" s="2442"/>
      <c r="P66" s="2442"/>
      <c r="Q66" s="2442"/>
      <c r="R66" s="2442"/>
      <c r="S66" s="2442"/>
      <c r="T66" s="2442"/>
    </row>
    <row r="67" spans="1:21" s="72" customFormat="1">
      <c r="A67" s="71">
        <v>10</v>
      </c>
      <c r="B67" s="2882" t="s">
        <v>188</v>
      </c>
      <c r="C67" s="2945">
        <f t="shared" si="8"/>
        <v>0</v>
      </c>
      <c r="D67" s="2945">
        <f t="shared" si="9"/>
        <v>0</v>
      </c>
      <c r="E67" s="2945">
        <f t="shared" si="10"/>
        <v>0</v>
      </c>
      <c r="F67" s="2946"/>
      <c r="G67" s="2946"/>
      <c r="H67" s="2946"/>
      <c r="I67" s="2875"/>
      <c r="J67" s="2875"/>
      <c r="K67" s="2875"/>
      <c r="L67" s="2875"/>
      <c r="M67" s="2875"/>
      <c r="N67" s="2875"/>
      <c r="O67" s="2875"/>
      <c r="P67" s="2875"/>
      <c r="Q67" s="2875"/>
      <c r="R67" s="2875"/>
      <c r="S67" s="2875"/>
      <c r="T67" s="2875"/>
      <c r="U67" s="72" t="s">
        <v>855</v>
      </c>
    </row>
    <row r="68" spans="1:21">
      <c r="A68" s="58">
        <v>11</v>
      </c>
      <c r="B68" s="2553" t="s">
        <v>189</v>
      </c>
      <c r="C68" s="2940">
        <f t="shared" si="8"/>
        <v>0</v>
      </c>
      <c r="D68" s="2940">
        <f t="shared" si="9"/>
        <v>0</v>
      </c>
      <c r="E68" s="2940">
        <f t="shared" si="10"/>
        <v>117053070</v>
      </c>
      <c r="F68" s="2941"/>
      <c r="G68" s="2941"/>
      <c r="H68" s="2941">
        <v>1212701</v>
      </c>
      <c r="I68" s="2442"/>
      <c r="J68" s="2442"/>
      <c r="K68" s="2442">
        <v>86912505</v>
      </c>
      <c r="L68" s="2876"/>
      <c r="M68" s="2876"/>
      <c r="N68" s="2876">
        <v>1376312</v>
      </c>
      <c r="O68" s="2442"/>
      <c r="P68" s="2442"/>
      <c r="Q68" s="2442"/>
      <c r="R68" s="2442"/>
      <c r="S68" s="2442"/>
      <c r="T68" s="2442">
        <v>27551552</v>
      </c>
    </row>
    <row r="69" spans="1:21">
      <c r="A69" s="58">
        <v>12</v>
      </c>
      <c r="B69" s="2553" t="s">
        <v>191</v>
      </c>
      <c r="C69" s="2940">
        <f t="shared" si="8"/>
        <v>0</v>
      </c>
      <c r="D69" s="2940">
        <f t="shared" si="9"/>
        <v>0</v>
      </c>
      <c r="E69" s="2940">
        <f t="shared" si="10"/>
        <v>0</v>
      </c>
      <c r="F69" s="2941"/>
      <c r="G69" s="2941"/>
      <c r="H69" s="2941"/>
      <c r="I69" s="2442"/>
      <c r="J69" s="2442"/>
      <c r="K69" s="2442"/>
      <c r="L69" s="2876"/>
      <c r="M69" s="2876"/>
      <c r="N69" s="2876"/>
      <c r="O69" s="2442"/>
      <c r="P69" s="2442"/>
      <c r="Q69" s="2442"/>
      <c r="R69" s="2442"/>
      <c r="S69" s="2442"/>
      <c r="T69" s="2442"/>
    </row>
    <row r="70" spans="1:21">
      <c r="A70" s="58">
        <v>13</v>
      </c>
      <c r="B70" s="2553" t="s">
        <v>192</v>
      </c>
      <c r="C70" s="2940">
        <f t="shared" si="8"/>
        <v>0</v>
      </c>
      <c r="D70" s="2940">
        <f t="shared" si="9"/>
        <v>0</v>
      </c>
      <c r="E70" s="2940">
        <f t="shared" si="10"/>
        <v>43853998.927689992</v>
      </c>
      <c r="F70" s="2941"/>
      <c r="G70" s="2941"/>
      <c r="H70" s="2941">
        <v>14733874.588419996</v>
      </c>
      <c r="I70" s="2442"/>
      <c r="J70" s="2442"/>
      <c r="K70" s="2442">
        <v>4826530.3686399991</v>
      </c>
      <c r="L70" s="2876"/>
      <c r="M70" s="2876"/>
      <c r="N70" s="2876">
        <v>7782436.5109999999</v>
      </c>
      <c r="O70" s="2442"/>
      <c r="P70" s="2442"/>
      <c r="Q70" s="2442">
        <v>0</v>
      </c>
      <c r="R70" s="2442"/>
      <c r="S70" s="2442"/>
      <c r="T70" s="2442">
        <v>16511157.459629998</v>
      </c>
    </row>
    <row r="71" spans="1:21">
      <c r="A71" s="58">
        <v>14</v>
      </c>
      <c r="B71" s="2554" t="s">
        <v>194</v>
      </c>
      <c r="C71" s="2940">
        <f t="shared" si="8"/>
        <v>0</v>
      </c>
      <c r="D71" s="2940">
        <f t="shared" si="9"/>
        <v>0</v>
      </c>
      <c r="E71" s="2940">
        <f t="shared" si="10"/>
        <v>0</v>
      </c>
      <c r="F71" s="2941"/>
      <c r="G71" s="2941"/>
      <c r="H71" s="2941"/>
      <c r="I71" s="2442"/>
      <c r="J71" s="2442"/>
      <c r="K71" s="2442"/>
      <c r="L71" s="2876"/>
      <c r="M71" s="2876"/>
      <c r="N71" s="2876"/>
      <c r="O71" s="2442"/>
      <c r="P71" s="2442"/>
      <c r="Q71" s="2442"/>
      <c r="R71" s="2442"/>
      <c r="S71" s="2442"/>
      <c r="T71" s="2442"/>
    </row>
    <row r="72" spans="1:21">
      <c r="A72" s="58">
        <v>15</v>
      </c>
      <c r="B72" s="2553" t="s">
        <v>195</v>
      </c>
      <c r="C72" s="2940">
        <f t="shared" si="8"/>
        <v>0</v>
      </c>
      <c r="D72" s="2940">
        <f t="shared" si="9"/>
        <v>0</v>
      </c>
      <c r="E72" s="2940">
        <f t="shared" si="10"/>
        <v>2427682987.8849998</v>
      </c>
      <c r="F72" s="2941"/>
      <c r="G72" s="2941"/>
      <c r="H72" s="2941">
        <v>1110200602.8940001</v>
      </c>
      <c r="I72" s="2442"/>
      <c r="J72" s="2442"/>
      <c r="K72" s="2442">
        <v>345582039.12900001</v>
      </c>
      <c r="L72" s="2876"/>
      <c r="M72" s="2876"/>
      <c r="N72" s="2876">
        <v>236430248.22099999</v>
      </c>
      <c r="O72" s="2442"/>
      <c r="P72" s="2442"/>
      <c r="Q72" s="2442">
        <v>15319651.757999999</v>
      </c>
      <c r="R72" s="2442"/>
      <c r="S72" s="2442"/>
      <c r="T72" s="2442">
        <v>720150445.88300002</v>
      </c>
    </row>
    <row r="73" spans="1:21">
      <c r="A73" s="58">
        <v>16</v>
      </c>
      <c r="B73" s="2553" t="s">
        <v>196</v>
      </c>
      <c r="C73" s="2940">
        <f t="shared" si="8"/>
        <v>0</v>
      </c>
      <c r="D73" s="2940">
        <f t="shared" si="9"/>
        <v>0</v>
      </c>
      <c r="E73" s="2940">
        <f t="shared" si="10"/>
        <v>14593337.617000001</v>
      </c>
      <c r="F73" s="2941"/>
      <c r="G73" s="2941"/>
      <c r="H73" s="2941">
        <v>2561466.645</v>
      </c>
      <c r="I73" s="2442"/>
      <c r="J73" s="2442"/>
      <c r="K73" s="2442">
        <v>0</v>
      </c>
      <c r="L73" s="2876"/>
      <c r="M73" s="2876"/>
      <c r="N73" s="2876">
        <v>2434460.5789999999</v>
      </c>
      <c r="O73" s="2442"/>
      <c r="P73" s="2442"/>
      <c r="Q73" s="2442">
        <v>8677.98</v>
      </c>
      <c r="R73" s="2442"/>
      <c r="S73" s="2442"/>
      <c r="T73" s="2442">
        <v>9588732.4130000006</v>
      </c>
    </row>
    <row r="74" spans="1:21">
      <c r="A74" s="58">
        <v>17</v>
      </c>
      <c r="B74" s="2553" t="s">
        <v>197</v>
      </c>
      <c r="C74" s="2940">
        <f t="shared" si="8"/>
        <v>0</v>
      </c>
      <c r="D74" s="2940">
        <f t="shared" si="9"/>
        <v>0</v>
      </c>
      <c r="E74" s="2940">
        <f t="shared" si="10"/>
        <v>891377268</v>
      </c>
      <c r="F74" s="2941"/>
      <c r="G74" s="2941"/>
      <c r="H74" s="2941">
        <v>413173330</v>
      </c>
      <c r="I74" s="2442"/>
      <c r="J74" s="2442"/>
      <c r="K74" s="2442">
        <v>259596016</v>
      </c>
      <c r="L74" s="2876"/>
      <c r="M74" s="2876"/>
      <c r="N74" s="2876">
        <v>87956823</v>
      </c>
      <c r="O74" s="2442"/>
      <c r="P74" s="2442"/>
      <c r="Q74" s="2442">
        <v>16759886</v>
      </c>
      <c r="R74" s="2442"/>
      <c r="S74" s="2442"/>
      <c r="T74" s="2442">
        <v>113891213</v>
      </c>
    </row>
    <row r="75" spans="1:21">
      <c r="A75" s="58">
        <v>18</v>
      </c>
      <c r="B75" s="2554" t="s">
        <v>193</v>
      </c>
      <c r="C75" s="2940">
        <f t="shared" si="8"/>
        <v>0</v>
      </c>
      <c r="D75" s="2940">
        <f t="shared" si="9"/>
        <v>0</v>
      </c>
      <c r="E75" s="2940">
        <f t="shared" si="10"/>
        <v>0</v>
      </c>
      <c r="F75" s="2941"/>
      <c r="G75" s="2941"/>
      <c r="H75" s="2941"/>
      <c r="I75" s="2442"/>
      <c r="J75" s="2442"/>
      <c r="K75" s="2442"/>
      <c r="L75" s="2876"/>
      <c r="M75" s="2876"/>
      <c r="N75" s="2876"/>
      <c r="O75" s="2442"/>
      <c r="P75" s="2442"/>
      <c r="Q75" s="2442"/>
      <c r="R75" s="2442"/>
      <c r="S75" s="2442"/>
      <c r="T75" s="2442"/>
    </row>
    <row r="76" spans="1:21">
      <c r="A76" s="58">
        <v>19</v>
      </c>
      <c r="B76" s="2554" t="s">
        <v>110</v>
      </c>
      <c r="C76" s="2940">
        <f t="shared" si="8"/>
        <v>0</v>
      </c>
      <c r="D76" s="2940">
        <f t="shared" si="9"/>
        <v>0</v>
      </c>
      <c r="E76" s="2940">
        <f t="shared" si="10"/>
        <v>0</v>
      </c>
      <c r="F76" s="2941"/>
      <c r="G76" s="2941"/>
      <c r="H76" s="2941"/>
      <c r="I76" s="2442"/>
      <c r="J76" s="2442"/>
      <c r="K76" s="2442"/>
      <c r="L76" s="2876"/>
      <c r="M76" s="2876"/>
      <c r="N76" s="2876"/>
      <c r="O76" s="2442"/>
      <c r="P76" s="2442"/>
      <c r="Q76" s="2442"/>
      <c r="R76" s="2442"/>
      <c r="S76" s="2442"/>
      <c r="T76" s="2442"/>
    </row>
    <row r="77" spans="1:21">
      <c r="B77" s="2736" t="s">
        <v>118</v>
      </c>
      <c r="C77" s="2731">
        <f>SUM(C58:C76)</f>
        <v>0</v>
      </c>
      <c r="D77" s="2731">
        <f>SUM(D58:D76)</f>
        <v>0</v>
      </c>
      <c r="E77" s="2731">
        <f>SUM(E58:E76)</f>
        <v>7517620840.6034927</v>
      </c>
      <c r="F77" s="2941">
        <f>SUM(F58:F76)</f>
        <v>0</v>
      </c>
      <c r="G77" s="2941">
        <f t="shared" ref="G77:T77" si="11">SUM(G58:G76)</f>
        <v>0</v>
      </c>
      <c r="H77" s="2941">
        <f t="shared" si="11"/>
        <v>3431820388.4187093</v>
      </c>
      <c r="I77" s="2873">
        <f t="shared" si="11"/>
        <v>0</v>
      </c>
      <c r="J77" s="2873">
        <f t="shared" si="11"/>
        <v>0</v>
      </c>
      <c r="K77" s="2873">
        <f t="shared" si="11"/>
        <v>1238912084.1615608</v>
      </c>
      <c r="L77" s="2877">
        <f t="shared" si="11"/>
        <v>0</v>
      </c>
      <c r="M77" s="2877">
        <f t="shared" si="11"/>
        <v>0</v>
      </c>
      <c r="N77" s="2877">
        <f t="shared" si="11"/>
        <v>761491360.68494534</v>
      </c>
      <c r="O77" s="2873">
        <f t="shared" si="11"/>
        <v>0</v>
      </c>
      <c r="P77" s="2873">
        <f t="shared" si="11"/>
        <v>0</v>
      </c>
      <c r="Q77" s="2873">
        <f t="shared" si="11"/>
        <v>97665879.32322</v>
      </c>
      <c r="R77" s="2873">
        <f t="shared" si="11"/>
        <v>0</v>
      </c>
      <c r="S77" s="2873">
        <f t="shared" si="11"/>
        <v>0</v>
      </c>
      <c r="T77" s="2873">
        <f t="shared" si="11"/>
        <v>1987731128.015058</v>
      </c>
    </row>
    <row r="78" spans="1:21">
      <c r="B78" s="46"/>
      <c r="C78" s="47"/>
      <c r="D78" s="47"/>
      <c r="E78" s="47"/>
      <c r="F78" s="48"/>
      <c r="G78" s="48"/>
      <c r="H78" s="48"/>
      <c r="I78" s="49"/>
      <c r="J78" s="49"/>
      <c r="K78" s="49"/>
      <c r="L78" s="50"/>
      <c r="M78" s="50"/>
      <c r="N78" s="50"/>
      <c r="O78" s="49"/>
      <c r="P78" s="49"/>
      <c r="Q78" s="49"/>
      <c r="R78" s="49"/>
      <c r="S78" s="49"/>
      <c r="T78" s="49"/>
    </row>
    <row r="81" spans="1:21">
      <c r="B81" s="2725" t="s">
        <v>989</v>
      </c>
    </row>
    <row r="82" spans="1:21">
      <c r="B82" s="3604" t="s">
        <v>730</v>
      </c>
      <c r="C82" s="3709" t="s">
        <v>118</v>
      </c>
      <c r="D82" s="3709"/>
      <c r="E82" s="3709"/>
      <c r="F82" s="3710" t="s">
        <v>436</v>
      </c>
      <c r="G82" s="3710"/>
      <c r="H82" s="3710"/>
      <c r="I82" s="3708" t="s">
        <v>437</v>
      </c>
      <c r="J82" s="3708"/>
      <c r="K82" s="3708"/>
      <c r="L82" s="3680" t="s">
        <v>438</v>
      </c>
      <c r="M82" s="3680"/>
      <c r="N82" s="3680"/>
      <c r="O82" s="3708" t="s">
        <v>722</v>
      </c>
      <c r="P82" s="3708"/>
      <c r="Q82" s="3708"/>
      <c r="R82" s="3708" t="s">
        <v>440</v>
      </c>
      <c r="S82" s="3708"/>
      <c r="T82" s="3708"/>
    </row>
    <row r="83" spans="1:21">
      <c r="B83" s="3604"/>
      <c r="C83" s="2938" t="s">
        <v>984</v>
      </c>
      <c r="D83" s="2938" t="s">
        <v>985</v>
      </c>
      <c r="E83" s="2938" t="s">
        <v>986</v>
      </c>
      <c r="F83" s="2938" t="s">
        <v>984</v>
      </c>
      <c r="G83" s="2938" t="s">
        <v>985</v>
      </c>
      <c r="H83" s="2938" t="s">
        <v>986</v>
      </c>
      <c r="I83" s="2938" t="s">
        <v>984</v>
      </c>
      <c r="J83" s="2938" t="s">
        <v>985</v>
      </c>
      <c r="K83" s="2938" t="s">
        <v>986</v>
      </c>
      <c r="L83" s="2938" t="s">
        <v>984</v>
      </c>
      <c r="M83" s="2938" t="s">
        <v>985</v>
      </c>
      <c r="N83" s="2938" t="s">
        <v>986</v>
      </c>
      <c r="O83" s="2938" t="s">
        <v>984</v>
      </c>
      <c r="P83" s="2938" t="s">
        <v>985</v>
      </c>
      <c r="Q83" s="2938" t="s">
        <v>986</v>
      </c>
      <c r="R83" s="2938" t="s">
        <v>984</v>
      </c>
      <c r="S83" s="2938" t="s">
        <v>985</v>
      </c>
      <c r="T83" s="2938" t="s">
        <v>986</v>
      </c>
    </row>
    <row r="84" spans="1:21">
      <c r="A84" s="58">
        <v>1</v>
      </c>
      <c r="B84" s="2553" t="s">
        <v>177</v>
      </c>
      <c r="C84" s="2940">
        <f t="shared" ref="C84:C102" si="12">+F84+I84+L84+O84+R84</f>
        <v>0</v>
      </c>
      <c r="D84" s="2940">
        <f t="shared" ref="D84:D102" si="13">+G84+J84+M84+P84+S84</f>
        <v>0</v>
      </c>
      <c r="E84" s="2940">
        <f t="shared" ref="E84:E102" si="14">+H84+K84+N84+Q84+T84</f>
        <v>121164405.37200001</v>
      </c>
      <c r="F84" s="2941"/>
      <c r="G84" s="2941"/>
      <c r="H84" s="2941">
        <v>62530032.725000001</v>
      </c>
      <c r="I84" s="2942"/>
      <c r="J84" s="2942"/>
      <c r="K84" s="2942">
        <v>37564780.978</v>
      </c>
      <c r="L84" s="2874"/>
      <c r="M84" s="2874"/>
      <c r="N84" s="2874">
        <v>14071922.304</v>
      </c>
      <c r="O84" s="2942"/>
      <c r="P84" s="2942"/>
      <c r="Q84" s="2942">
        <v>137500</v>
      </c>
      <c r="R84" s="2942"/>
      <c r="S84" s="2942"/>
      <c r="T84" s="2942">
        <v>6860169.3650000002</v>
      </c>
    </row>
    <row r="85" spans="1:21">
      <c r="A85" s="58">
        <v>2</v>
      </c>
      <c r="B85" s="2554" t="s">
        <v>179</v>
      </c>
      <c r="C85" s="2940">
        <f t="shared" si="12"/>
        <v>0</v>
      </c>
      <c r="D85" s="2940">
        <f t="shared" si="13"/>
        <v>0</v>
      </c>
      <c r="E85" s="2940">
        <f t="shared" si="14"/>
        <v>0</v>
      </c>
      <c r="F85" s="2941"/>
      <c r="G85" s="2941"/>
      <c r="H85" s="2941"/>
      <c r="I85" s="2442"/>
      <c r="J85" s="2442"/>
      <c r="K85" s="2442"/>
      <c r="L85" s="2876"/>
      <c r="M85" s="2876"/>
      <c r="N85" s="2876"/>
      <c r="O85" s="2442"/>
      <c r="P85" s="2442"/>
      <c r="Q85" s="2442"/>
      <c r="R85" s="2442"/>
      <c r="S85" s="2442"/>
      <c r="T85" s="2442"/>
    </row>
    <row r="86" spans="1:21">
      <c r="A86" s="58">
        <v>3</v>
      </c>
      <c r="B86" s="2553" t="s">
        <v>181</v>
      </c>
      <c r="C86" s="2940">
        <f t="shared" si="12"/>
        <v>0</v>
      </c>
      <c r="D86" s="2940">
        <f t="shared" si="13"/>
        <v>0</v>
      </c>
      <c r="E86" s="2940">
        <f t="shared" si="14"/>
        <v>470780852</v>
      </c>
      <c r="F86" s="2941"/>
      <c r="G86" s="2941"/>
      <c r="H86" s="2941">
        <v>354608966</v>
      </c>
      <c r="I86" s="2442"/>
      <c r="J86" s="2442"/>
      <c r="K86" s="2442">
        <v>54220317</v>
      </c>
      <c r="L86" s="2876"/>
      <c r="M86" s="2876"/>
      <c r="N86" s="2876">
        <v>40178460</v>
      </c>
      <c r="O86" s="2442"/>
      <c r="P86" s="2442"/>
      <c r="Q86" s="2442">
        <v>7838031</v>
      </c>
      <c r="R86" s="2442"/>
      <c r="S86" s="2442"/>
      <c r="T86" s="2442">
        <v>13935078</v>
      </c>
    </row>
    <row r="87" spans="1:21">
      <c r="A87" s="58">
        <v>4</v>
      </c>
      <c r="B87" s="2553" t="s">
        <v>182</v>
      </c>
      <c r="C87" s="2940">
        <f t="shared" si="12"/>
        <v>0</v>
      </c>
      <c r="D87" s="2940">
        <f t="shared" si="13"/>
        <v>0</v>
      </c>
      <c r="E87" s="2940">
        <f t="shared" si="14"/>
        <v>145937139.6437144</v>
      </c>
      <c r="F87" s="2941"/>
      <c r="G87" s="2941"/>
      <c r="H87" s="2941">
        <v>56882667.6657978</v>
      </c>
      <c r="I87" s="2442"/>
      <c r="J87" s="2442"/>
      <c r="K87" s="2442">
        <v>50483732.281398803</v>
      </c>
      <c r="L87" s="2876"/>
      <c r="M87" s="2876"/>
      <c r="N87" s="2876">
        <v>14933718.876061</v>
      </c>
      <c r="O87" s="2442"/>
      <c r="P87" s="2442"/>
      <c r="Q87" s="2442">
        <v>862678.51450000005</v>
      </c>
      <c r="R87" s="2442"/>
      <c r="S87" s="2442"/>
      <c r="T87" s="2442">
        <v>22774342.3059568</v>
      </c>
    </row>
    <row r="88" spans="1:21">
      <c r="A88" s="58">
        <v>5</v>
      </c>
      <c r="B88" s="2554" t="s">
        <v>183</v>
      </c>
      <c r="C88" s="2940">
        <f t="shared" si="12"/>
        <v>0</v>
      </c>
      <c r="D88" s="2940">
        <f t="shared" si="13"/>
        <v>0</v>
      </c>
      <c r="E88" s="2940">
        <f t="shared" si="14"/>
        <v>909862839.5365901</v>
      </c>
      <c r="F88" s="2941"/>
      <c r="G88" s="2941"/>
      <c r="H88" s="2941">
        <v>443025959.04095</v>
      </c>
      <c r="I88" s="2442"/>
      <c r="J88" s="2442"/>
      <c r="K88" s="2442">
        <v>152685516.70965999</v>
      </c>
      <c r="L88" s="2876"/>
      <c r="M88" s="2876"/>
      <c r="N88" s="2876">
        <v>12119992.12353</v>
      </c>
      <c r="O88" s="2442"/>
      <c r="P88" s="2442"/>
      <c r="Q88" s="2442">
        <v>773842.40300000005</v>
      </c>
      <c r="R88" s="2442"/>
      <c r="S88" s="2442"/>
      <c r="T88" s="2442">
        <v>301257529.25945002</v>
      </c>
    </row>
    <row r="89" spans="1:21">
      <c r="A89" s="58">
        <v>6</v>
      </c>
      <c r="B89" s="2554" t="s">
        <v>184</v>
      </c>
      <c r="C89" s="2940">
        <f t="shared" si="12"/>
        <v>0</v>
      </c>
      <c r="D89" s="2940">
        <f t="shared" si="13"/>
        <v>0</v>
      </c>
      <c r="E89" s="2940">
        <f t="shared" si="14"/>
        <v>0</v>
      </c>
      <c r="F89" s="2941"/>
      <c r="G89" s="2941"/>
      <c r="H89" s="2941"/>
      <c r="I89" s="2442"/>
      <c r="J89" s="2442"/>
      <c r="K89" s="2442"/>
      <c r="L89" s="2876"/>
      <c r="M89" s="2876"/>
      <c r="N89" s="2876"/>
      <c r="O89" s="2442"/>
      <c r="P89" s="2442"/>
      <c r="Q89" s="2442"/>
      <c r="R89" s="2442"/>
      <c r="S89" s="2442"/>
      <c r="T89" s="2442"/>
    </row>
    <row r="90" spans="1:21">
      <c r="A90" s="58">
        <v>7</v>
      </c>
      <c r="B90" s="2553" t="s">
        <v>185</v>
      </c>
      <c r="C90" s="2940">
        <f t="shared" si="12"/>
        <v>0</v>
      </c>
      <c r="D90" s="2940">
        <f t="shared" si="13"/>
        <v>0</v>
      </c>
      <c r="E90" s="2940">
        <f t="shared" si="14"/>
        <v>1546910286.984</v>
      </c>
      <c r="F90" s="2941"/>
      <c r="G90" s="2941"/>
      <c r="H90" s="2941">
        <v>628042652.03799999</v>
      </c>
      <c r="I90" s="2442"/>
      <c r="J90" s="2442"/>
      <c r="K90" s="2442">
        <v>267678334.32699999</v>
      </c>
      <c r="L90" s="2876"/>
      <c r="M90" s="2876"/>
      <c r="N90" s="2876">
        <v>290165607.88499999</v>
      </c>
      <c r="O90" s="2442"/>
      <c r="P90" s="2442"/>
      <c r="Q90" s="2442">
        <v>32866448.916999999</v>
      </c>
      <c r="R90" s="2442"/>
      <c r="S90" s="2442"/>
      <c r="T90" s="2442">
        <v>328157243.81699997</v>
      </c>
    </row>
    <row r="91" spans="1:21">
      <c r="A91" s="58">
        <v>8</v>
      </c>
      <c r="B91" s="2553" t="s">
        <v>186</v>
      </c>
      <c r="C91" s="2940">
        <f t="shared" si="12"/>
        <v>0</v>
      </c>
      <c r="D91" s="2940">
        <f t="shared" si="13"/>
        <v>0</v>
      </c>
      <c r="E91" s="2940">
        <f t="shared" si="14"/>
        <v>91327322.20182395</v>
      </c>
      <c r="F91" s="2941"/>
      <c r="G91" s="2941"/>
      <c r="H91" s="2941">
        <v>6043950.3038239498</v>
      </c>
      <c r="I91" s="2442"/>
      <c r="J91" s="2442"/>
      <c r="K91" s="2442">
        <v>4157133.1919999998</v>
      </c>
      <c r="L91" s="2876"/>
      <c r="M91" s="2876"/>
      <c r="N91" s="2876">
        <v>9081986.3259999994</v>
      </c>
      <c r="O91" s="2442"/>
      <c r="P91" s="2442"/>
      <c r="Q91" s="2442">
        <v>1652457.311</v>
      </c>
      <c r="R91" s="2442"/>
      <c r="S91" s="2442"/>
      <c r="T91" s="2442">
        <v>70391795.069000006</v>
      </c>
    </row>
    <row r="92" spans="1:21">
      <c r="A92" s="58">
        <v>9</v>
      </c>
      <c r="B92" s="2554" t="s">
        <v>187</v>
      </c>
      <c r="C92" s="2940">
        <f t="shared" si="12"/>
        <v>0</v>
      </c>
      <c r="D92" s="2940">
        <f t="shared" si="13"/>
        <v>0</v>
      </c>
      <c r="E92" s="2940">
        <f t="shared" si="14"/>
        <v>0</v>
      </c>
      <c r="F92" s="2941"/>
      <c r="G92" s="2941"/>
      <c r="H92" s="2941"/>
      <c r="I92" s="2442"/>
      <c r="J92" s="2442"/>
      <c r="K92" s="2442"/>
      <c r="L92" s="2876"/>
      <c r="M92" s="2876"/>
      <c r="N92" s="2876"/>
      <c r="O92" s="2442"/>
      <c r="P92" s="2442"/>
      <c r="Q92" s="2442"/>
      <c r="R92" s="2442"/>
      <c r="S92" s="2442"/>
      <c r="T92" s="2442"/>
    </row>
    <row r="93" spans="1:21">
      <c r="A93" s="58">
        <v>10</v>
      </c>
      <c r="B93" s="2553" t="s">
        <v>188</v>
      </c>
      <c r="C93" s="2940">
        <f t="shared" si="12"/>
        <v>0</v>
      </c>
      <c r="D93" s="2940">
        <f t="shared" si="13"/>
        <v>0</v>
      </c>
      <c r="E93" s="2940">
        <f t="shared" si="14"/>
        <v>0</v>
      </c>
      <c r="F93" s="2941"/>
      <c r="G93" s="2941"/>
      <c r="H93" s="2941"/>
      <c r="I93" s="2442"/>
      <c r="J93" s="2442"/>
      <c r="K93" s="2442"/>
      <c r="L93" s="2876"/>
      <c r="M93" s="2876"/>
      <c r="N93" s="2876"/>
      <c r="O93" s="2442"/>
      <c r="P93" s="2442"/>
      <c r="Q93" s="2442"/>
      <c r="R93" s="2442"/>
      <c r="S93" s="2442"/>
      <c r="T93" s="2442"/>
    </row>
    <row r="94" spans="1:21">
      <c r="A94" s="58">
        <v>11</v>
      </c>
      <c r="B94" s="2553" t="s">
        <v>189</v>
      </c>
      <c r="C94" s="2940">
        <f t="shared" si="12"/>
        <v>0</v>
      </c>
      <c r="D94" s="2940">
        <f t="shared" si="13"/>
        <v>0</v>
      </c>
      <c r="E94" s="2940">
        <f t="shared" si="14"/>
        <v>116472287</v>
      </c>
      <c r="F94" s="2941"/>
      <c r="G94" s="2941"/>
      <c r="H94" s="2941">
        <v>3805659</v>
      </c>
      <c r="I94" s="2442"/>
      <c r="J94" s="2442"/>
      <c r="K94" s="2442">
        <v>85030804</v>
      </c>
      <c r="L94" s="2876"/>
      <c r="M94" s="2876"/>
      <c r="N94" s="2876">
        <v>583473</v>
      </c>
      <c r="O94" s="2442"/>
      <c r="P94" s="2442"/>
      <c r="Q94" s="2442"/>
      <c r="R94" s="2442"/>
      <c r="S94" s="2442"/>
      <c r="T94" s="2442">
        <v>27052351</v>
      </c>
    </row>
    <row r="95" spans="1:21">
      <c r="A95" s="58">
        <v>12</v>
      </c>
      <c r="B95" s="2553" t="s">
        <v>191</v>
      </c>
      <c r="C95" s="2940">
        <f t="shared" si="12"/>
        <v>0</v>
      </c>
      <c r="D95" s="2940">
        <f t="shared" si="13"/>
        <v>0</v>
      </c>
      <c r="E95" s="2940">
        <f t="shared" si="14"/>
        <v>0</v>
      </c>
      <c r="F95" s="2941"/>
      <c r="G95" s="2941"/>
      <c r="H95" s="2941"/>
      <c r="I95" s="2442"/>
      <c r="J95" s="2442"/>
      <c r="K95" s="2442"/>
      <c r="L95" s="2876"/>
      <c r="M95" s="2876"/>
      <c r="N95" s="2876"/>
      <c r="O95" s="2442"/>
      <c r="P95" s="2442"/>
      <c r="Q95" s="2442"/>
      <c r="R95" s="2442"/>
      <c r="S95" s="2442"/>
      <c r="T95" s="2442"/>
    </row>
    <row r="96" spans="1:21" s="72" customFormat="1">
      <c r="A96" s="71">
        <v>13</v>
      </c>
      <c r="B96" s="2882" t="s">
        <v>192</v>
      </c>
      <c r="C96" s="2945">
        <f t="shared" si="12"/>
        <v>0</v>
      </c>
      <c r="D96" s="2945">
        <f t="shared" si="13"/>
        <v>0</v>
      </c>
      <c r="E96" s="2945">
        <f t="shared" si="14"/>
        <v>0</v>
      </c>
      <c r="F96" s="2946"/>
      <c r="G96" s="2946"/>
      <c r="H96" s="2946"/>
      <c r="I96" s="2875"/>
      <c r="J96" s="2875"/>
      <c r="K96" s="2875"/>
      <c r="L96" s="2875"/>
      <c r="M96" s="2875"/>
      <c r="N96" s="2875"/>
      <c r="O96" s="2875"/>
      <c r="P96" s="2875"/>
      <c r="Q96" s="2875"/>
      <c r="R96" s="2875"/>
      <c r="S96" s="2875"/>
      <c r="T96" s="2875"/>
      <c r="U96" s="72" t="s">
        <v>857</v>
      </c>
    </row>
    <row r="97" spans="1:20">
      <c r="A97" s="58">
        <v>14</v>
      </c>
      <c r="B97" s="2554" t="s">
        <v>194</v>
      </c>
      <c r="C97" s="2940">
        <f t="shared" si="12"/>
        <v>0</v>
      </c>
      <c r="D97" s="2940">
        <f t="shared" si="13"/>
        <v>0</v>
      </c>
      <c r="E97" s="2940">
        <f t="shared" si="14"/>
        <v>0</v>
      </c>
      <c r="F97" s="2941"/>
      <c r="G97" s="2941"/>
      <c r="H97" s="2941"/>
      <c r="I97" s="2442"/>
      <c r="J97" s="2442"/>
      <c r="K97" s="2442"/>
      <c r="L97" s="2876"/>
      <c r="M97" s="2876"/>
      <c r="N97" s="2876"/>
      <c r="O97" s="2442"/>
      <c r="P97" s="2442"/>
      <c r="Q97" s="2442"/>
      <c r="R97" s="2442"/>
      <c r="S97" s="2442"/>
      <c r="T97" s="2442"/>
    </row>
    <row r="98" spans="1:20">
      <c r="A98" s="58">
        <v>15</v>
      </c>
      <c r="B98" s="2553" t="s">
        <v>195</v>
      </c>
      <c r="C98" s="2940">
        <f t="shared" si="12"/>
        <v>0</v>
      </c>
      <c r="D98" s="2940">
        <f t="shared" si="13"/>
        <v>0</v>
      </c>
      <c r="E98" s="2940">
        <f t="shared" si="14"/>
        <v>2173888607.7969999</v>
      </c>
      <c r="F98" s="2941"/>
      <c r="G98" s="2941"/>
      <c r="H98" s="2941">
        <v>1058104680.506</v>
      </c>
      <c r="I98" s="2442"/>
      <c r="J98" s="2442"/>
      <c r="K98" s="2442">
        <v>455532132.58700001</v>
      </c>
      <c r="L98" s="2876"/>
      <c r="M98" s="2876"/>
      <c r="N98" s="2876">
        <v>271574017.99599999</v>
      </c>
      <c r="O98" s="2442"/>
      <c r="P98" s="2442"/>
      <c r="Q98" s="2442">
        <v>15385803.509</v>
      </c>
      <c r="R98" s="2442"/>
      <c r="S98" s="2442"/>
      <c r="T98" s="2442">
        <v>373291973.199</v>
      </c>
    </row>
    <row r="99" spans="1:20">
      <c r="A99" s="58">
        <v>16</v>
      </c>
      <c r="B99" s="2553" t="s">
        <v>196</v>
      </c>
      <c r="C99" s="2940">
        <f t="shared" si="12"/>
        <v>0</v>
      </c>
      <c r="D99" s="2940">
        <f t="shared" si="13"/>
        <v>0</v>
      </c>
      <c r="E99" s="2940">
        <f t="shared" si="14"/>
        <v>4419023.37</v>
      </c>
      <c r="F99" s="2941"/>
      <c r="G99" s="2941"/>
      <c r="H99" s="2941">
        <v>2113685.1710000001</v>
      </c>
      <c r="I99" s="2442"/>
      <c r="J99" s="2442"/>
      <c r="K99" s="2442">
        <v>0</v>
      </c>
      <c r="L99" s="2876"/>
      <c r="M99" s="2876"/>
      <c r="N99" s="2876">
        <v>2300898.199</v>
      </c>
      <c r="O99" s="2442"/>
      <c r="P99" s="2442"/>
      <c r="Q99" s="2442">
        <v>4440</v>
      </c>
      <c r="R99" s="2442"/>
      <c r="S99" s="2442"/>
      <c r="T99" s="2875"/>
    </row>
    <row r="100" spans="1:20">
      <c r="A100" s="58">
        <v>17</v>
      </c>
      <c r="B100" s="2553" t="s">
        <v>197</v>
      </c>
      <c r="C100" s="2940">
        <f t="shared" si="12"/>
        <v>0</v>
      </c>
      <c r="D100" s="2940">
        <f t="shared" si="13"/>
        <v>0</v>
      </c>
      <c r="E100" s="2940">
        <f t="shared" si="14"/>
        <v>892017957</v>
      </c>
      <c r="F100" s="2941"/>
      <c r="G100" s="2941"/>
      <c r="H100" s="2941">
        <v>444269649</v>
      </c>
      <c r="I100" s="2442"/>
      <c r="J100" s="2442"/>
      <c r="K100" s="2442">
        <v>270464171</v>
      </c>
      <c r="L100" s="2876"/>
      <c r="M100" s="2876"/>
      <c r="N100" s="2876">
        <v>78829411</v>
      </c>
      <c r="O100" s="2442"/>
      <c r="P100" s="2442"/>
      <c r="Q100" s="2442">
        <v>11561937</v>
      </c>
      <c r="R100" s="2442"/>
      <c r="S100" s="2442"/>
      <c r="T100" s="2442">
        <v>86892789</v>
      </c>
    </row>
    <row r="101" spans="1:20">
      <c r="A101" s="58">
        <v>18</v>
      </c>
      <c r="B101" s="2554" t="s">
        <v>193</v>
      </c>
      <c r="C101" s="2940">
        <f t="shared" si="12"/>
        <v>0</v>
      </c>
      <c r="D101" s="2940">
        <f t="shared" si="13"/>
        <v>0</v>
      </c>
      <c r="E101" s="2940">
        <f t="shared" si="14"/>
        <v>0</v>
      </c>
      <c r="F101" s="2941"/>
      <c r="G101" s="2941"/>
      <c r="H101" s="2941"/>
      <c r="I101" s="2442"/>
      <c r="J101" s="2442"/>
      <c r="K101" s="2442"/>
      <c r="L101" s="2876"/>
      <c r="M101" s="2876"/>
      <c r="N101" s="2876"/>
      <c r="O101" s="2442"/>
      <c r="P101" s="2442"/>
      <c r="Q101" s="2442"/>
      <c r="R101" s="2442"/>
      <c r="S101" s="2442"/>
      <c r="T101" s="2442"/>
    </row>
    <row r="102" spans="1:20">
      <c r="A102" s="58">
        <v>19</v>
      </c>
      <c r="B102" s="2554" t="s">
        <v>110</v>
      </c>
      <c r="C102" s="2940">
        <f t="shared" si="12"/>
        <v>0</v>
      </c>
      <c r="D102" s="2940">
        <f t="shared" si="13"/>
        <v>0</v>
      </c>
      <c r="E102" s="2940">
        <f t="shared" si="14"/>
        <v>0</v>
      </c>
      <c r="F102" s="2941"/>
      <c r="G102" s="2941"/>
      <c r="H102" s="2941"/>
      <c r="I102" s="2442"/>
      <c r="J102" s="2442"/>
      <c r="K102" s="2442"/>
      <c r="L102" s="2876"/>
      <c r="M102" s="2876"/>
      <c r="N102" s="2876"/>
      <c r="O102" s="2442"/>
      <c r="P102" s="2442"/>
      <c r="Q102" s="2442"/>
      <c r="R102" s="2442"/>
      <c r="S102" s="2442"/>
      <c r="T102" s="2442"/>
    </row>
    <row r="103" spans="1:20">
      <c r="B103" s="2736" t="s">
        <v>118</v>
      </c>
      <c r="C103" s="2731">
        <f>SUM(C84:C102)</f>
        <v>0</v>
      </c>
      <c r="D103" s="2731">
        <f>SUM(D84:D102)</f>
        <v>0</v>
      </c>
      <c r="E103" s="2731">
        <f>SUM(E84:E102)</f>
        <v>6472780720.9051285</v>
      </c>
      <c r="F103" s="2941">
        <f>SUM(F84:F102)</f>
        <v>0</v>
      </c>
      <c r="G103" s="2941">
        <f t="shared" ref="G103:T103" si="15">SUM(G84:G102)</f>
        <v>0</v>
      </c>
      <c r="H103" s="2941">
        <f t="shared" si="15"/>
        <v>3059427901.450572</v>
      </c>
      <c r="I103" s="2873">
        <f t="shared" si="15"/>
        <v>0</v>
      </c>
      <c r="J103" s="2873">
        <f t="shared" si="15"/>
        <v>0</v>
      </c>
      <c r="K103" s="2873">
        <f t="shared" si="15"/>
        <v>1377816922.0750589</v>
      </c>
      <c r="L103" s="2877">
        <f t="shared" si="15"/>
        <v>0</v>
      </c>
      <c r="M103" s="2877">
        <f t="shared" si="15"/>
        <v>0</v>
      </c>
      <c r="N103" s="2877">
        <f t="shared" si="15"/>
        <v>733839487.70959103</v>
      </c>
      <c r="O103" s="2873">
        <f t="shared" si="15"/>
        <v>0</v>
      </c>
      <c r="P103" s="2873">
        <f t="shared" si="15"/>
        <v>0</v>
      </c>
      <c r="Q103" s="2873">
        <f t="shared" si="15"/>
        <v>71083138.654499993</v>
      </c>
      <c r="R103" s="2873">
        <f t="shared" si="15"/>
        <v>0</v>
      </c>
      <c r="S103" s="2873">
        <f t="shared" si="15"/>
        <v>0</v>
      </c>
      <c r="T103" s="2873">
        <f t="shared" si="15"/>
        <v>1230613271.0154066</v>
      </c>
    </row>
    <row r="104" spans="1:20">
      <c r="B104" s="46"/>
      <c r="C104" s="47"/>
      <c r="D104" s="47"/>
      <c r="E104" s="47"/>
      <c r="F104" s="48"/>
      <c r="G104" s="48"/>
      <c r="H104" s="48"/>
      <c r="I104" s="49"/>
      <c r="J104" s="49"/>
      <c r="K104" s="49"/>
      <c r="L104" s="50"/>
      <c r="M104" s="50"/>
      <c r="N104" s="50"/>
      <c r="O104" s="49"/>
      <c r="P104" s="49"/>
      <c r="Q104" s="49"/>
      <c r="R104" s="49"/>
      <c r="S104" s="49"/>
      <c r="T104" s="49"/>
    </row>
    <row r="107" spans="1:20">
      <c r="B107" s="2725" t="s">
        <v>990</v>
      </c>
    </row>
    <row r="108" spans="1:20">
      <c r="B108" s="3604" t="s">
        <v>730</v>
      </c>
      <c r="C108" s="3709" t="s">
        <v>118</v>
      </c>
      <c r="D108" s="3709"/>
      <c r="E108" s="3709"/>
      <c r="F108" s="3710" t="s">
        <v>436</v>
      </c>
      <c r="G108" s="3710"/>
      <c r="H108" s="3710"/>
      <c r="I108" s="3708" t="s">
        <v>437</v>
      </c>
      <c r="J108" s="3708"/>
      <c r="K108" s="3708"/>
      <c r="L108" s="3680" t="s">
        <v>438</v>
      </c>
      <c r="M108" s="3680"/>
      <c r="N108" s="3680"/>
      <c r="O108" s="3708" t="s">
        <v>722</v>
      </c>
      <c r="P108" s="3708"/>
      <c r="Q108" s="3708"/>
      <c r="R108" s="3708" t="s">
        <v>440</v>
      </c>
      <c r="S108" s="3708"/>
      <c r="T108" s="3708"/>
    </row>
    <row r="109" spans="1:20">
      <c r="B109" s="3604"/>
      <c r="C109" s="2938" t="s">
        <v>984</v>
      </c>
      <c r="D109" s="2938" t="s">
        <v>985</v>
      </c>
      <c r="E109" s="2938" t="s">
        <v>986</v>
      </c>
      <c r="F109" s="2938" t="s">
        <v>984</v>
      </c>
      <c r="G109" s="2938" t="s">
        <v>985</v>
      </c>
      <c r="H109" s="2938" t="s">
        <v>986</v>
      </c>
      <c r="I109" s="2938" t="s">
        <v>984</v>
      </c>
      <c r="J109" s="2938" t="s">
        <v>985</v>
      </c>
      <c r="K109" s="2938" t="s">
        <v>986</v>
      </c>
      <c r="L109" s="2938" t="s">
        <v>984</v>
      </c>
      <c r="M109" s="2938" t="s">
        <v>985</v>
      </c>
      <c r="N109" s="2938" t="s">
        <v>986</v>
      </c>
      <c r="O109" s="2938" t="s">
        <v>984</v>
      </c>
      <c r="P109" s="2938" t="s">
        <v>985</v>
      </c>
      <c r="Q109" s="2938" t="s">
        <v>986</v>
      </c>
      <c r="R109" s="2938" t="s">
        <v>984</v>
      </c>
      <c r="S109" s="2938" t="s">
        <v>985</v>
      </c>
      <c r="T109" s="2938" t="s">
        <v>986</v>
      </c>
    </row>
    <row r="110" spans="1:20">
      <c r="A110" s="58">
        <v>1</v>
      </c>
      <c r="B110" s="2553" t="s">
        <v>177</v>
      </c>
      <c r="C110" s="2940">
        <f t="shared" ref="C110:C128" si="16">+F110+I110+L110+O110+R110</f>
        <v>0</v>
      </c>
      <c r="D110" s="2940">
        <f t="shared" ref="D110:D128" si="17">+G110+J110+M110+P110+S110</f>
        <v>0</v>
      </c>
      <c r="E110" s="2940">
        <f t="shared" ref="E110:E128" si="18">+H110+K110+N110+Q110+T110</f>
        <v>131668059.64600001</v>
      </c>
      <c r="F110" s="2941"/>
      <c r="G110" s="2941"/>
      <c r="H110" s="2941">
        <v>82405421.459000006</v>
      </c>
      <c r="I110" s="2942"/>
      <c r="J110" s="2942"/>
      <c r="K110" s="2942">
        <v>28082392.083000001</v>
      </c>
      <c r="L110" s="2874"/>
      <c r="M110" s="2874"/>
      <c r="N110" s="2874">
        <v>11604934.795</v>
      </c>
      <c r="O110" s="2942"/>
      <c r="P110" s="2942"/>
      <c r="Q110" s="2942">
        <v>127625</v>
      </c>
      <c r="R110" s="2942"/>
      <c r="S110" s="2942"/>
      <c r="T110" s="2942">
        <v>9447686.3090000004</v>
      </c>
    </row>
    <row r="111" spans="1:20">
      <c r="A111" s="58">
        <v>2</v>
      </c>
      <c r="B111" s="2554" t="s">
        <v>179</v>
      </c>
      <c r="C111" s="2940">
        <f t="shared" si="16"/>
        <v>0</v>
      </c>
      <c r="D111" s="2940">
        <f t="shared" si="17"/>
        <v>0</v>
      </c>
      <c r="E111" s="2940">
        <f t="shared" si="18"/>
        <v>0</v>
      </c>
      <c r="F111" s="2941"/>
      <c r="G111" s="2941"/>
      <c r="H111" s="2941"/>
      <c r="I111" s="2442"/>
      <c r="J111" s="2442"/>
      <c r="K111" s="2442"/>
      <c r="L111" s="2876"/>
      <c r="M111" s="2876"/>
      <c r="N111" s="2876"/>
      <c r="O111" s="2442"/>
      <c r="P111" s="2442"/>
      <c r="Q111" s="2442"/>
      <c r="R111" s="2442"/>
      <c r="S111" s="2442"/>
      <c r="T111" s="2442"/>
    </row>
    <row r="112" spans="1:20">
      <c r="A112" s="58">
        <v>3</v>
      </c>
      <c r="B112" s="2553" t="s">
        <v>181</v>
      </c>
      <c r="C112" s="2940">
        <f t="shared" si="16"/>
        <v>0</v>
      </c>
      <c r="D112" s="2940">
        <f t="shared" si="17"/>
        <v>0</v>
      </c>
      <c r="E112" s="2940">
        <f t="shared" si="18"/>
        <v>501268419</v>
      </c>
      <c r="F112" s="2941"/>
      <c r="G112" s="2941"/>
      <c r="H112" s="2941">
        <v>381936664</v>
      </c>
      <c r="I112" s="2442"/>
      <c r="J112" s="2442"/>
      <c r="K112" s="2442">
        <v>70014541</v>
      </c>
      <c r="L112" s="2876"/>
      <c r="M112" s="2876"/>
      <c r="N112" s="2876">
        <v>31158680</v>
      </c>
      <c r="O112" s="2442"/>
      <c r="P112" s="2442"/>
      <c r="Q112" s="2442">
        <v>6246122</v>
      </c>
      <c r="R112" s="2442"/>
      <c r="S112" s="2442"/>
      <c r="T112" s="2442">
        <v>11912412</v>
      </c>
    </row>
    <row r="113" spans="1:21">
      <c r="A113" s="58">
        <v>4</v>
      </c>
      <c r="B113" s="2553" t="s">
        <v>182</v>
      </c>
      <c r="C113" s="2940">
        <f t="shared" si="16"/>
        <v>0</v>
      </c>
      <c r="D113" s="2940">
        <f t="shared" si="17"/>
        <v>0</v>
      </c>
      <c r="E113" s="2940">
        <f t="shared" si="18"/>
        <v>128444841.53905389</v>
      </c>
      <c r="F113" s="2941"/>
      <c r="G113" s="2941"/>
      <c r="H113" s="2941">
        <v>48379622.024360098</v>
      </c>
      <c r="I113" s="2442"/>
      <c r="J113" s="2442"/>
      <c r="K113" s="2442">
        <v>45261756.699998595</v>
      </c>
      <c r="L113" s="2876"/>
      <c r="M113" s="2876"/>
      <c r="N113" s="2876">
        <v>12100569.824495001</v>
      </c>
      <c r="O113" s="2442"/>
      <c r="P113" s="2442"/>
      <c r="Q113" s="2442">
        <v>894751.96988999995</v>
      </c>
      <c r="R113" s="2442"/>
      <c r="S113" s="2442"/>
      <c r="T113" s="2442">
        <v>21808141.020310201</v>
      </c>
    </row>
    <row r="114" spans="1:21">
      <c r="A114" s="58">
        <v>5</v>
      </c>
      <c r="B114" s="2554" t="s">
        <v>183</v>
      </c>
      <c r="C114" s="2940">
        <f t="shared" si="16"/>
        <v>0</v>
      </c>
      <c r="D114" s="2940">
        <f t="shared" si="17"/>
        <v>0</v>
      </c>
      <c r="E114" s="2940">
        <f t="shared" si="18"/>
        <v>532848687.18642008</v>
      </c>
      <c r="F114" s="2941"/>
      <c r="G114" s="2941"/>
      <c r="H114" s="2941">
        <v>241719885.00446001</v>
      </c>
      <c r="I114" s="2442"/>
      <c r="J114" s="2442"/>
      <c r="K114" s="2442">
        <v>97930632.49639</v>
      </c>
      <c r="L114" s="2876"/>
      <c r="M114" s="2876"/>
      <c r="N114" s="2876">
        <v>6346763.7966999998</v>
      </c>
      <c r="O114" s="2442"/>
      <c r="P114" s="2442"/>
      <c r="Q114" s="2442">
        <v>571236.93799999997</v>
      </c>
      <c r="R114" s="2442"/>
      <c r="S114" s="2442"/>
      <c r="T114" s="2442">
        <v>186280168.95087001</v>
      </c>
    </row>
    <row r="115" spans="1:21">
      <c r="A115" s="58">
        <v>6</v>
      </c>
      <c r="B115" s="2554" t="s">
        <v>184</v>
      </c>
      <c r="C115" s="2940">
        <f t="shared" si="16"/>
        <v>0</v>
      </c>
      <c r="D115" s="2940">
        <f t="shared" si="17"/>
        <v>0</v>
      </c>
      <c r="E115" s="2940">
        <f t="shared" si="18"/>
        <v>0</v>
      </c>
      <c r="F115" s="2941"/>
      <c r="G115" s="2941"/>
      <c r="H115" s="2941"/>
      <c r="I115" s="2442"/>
      <c r="J115" s="2442"/>
      <c r="K115" s="2442"/>
      <c r="L115" s="2876"/>
      <c r="M115" s="2876"/>
      <c r="N115" s="2876"/>
      <c r="O115" s="2442"/>
      <c r="P115" s="2442"/>
      <c r="Q115" s="2442"/>
      <c r="R115" s="2442"/>
      <c r="S115" s="2442"/>
      <c r="T115" s="2442"/>
    </row>
    <row r="116" spans="1:21">
      <c r="A116" s="58">
        <v>7</v>
      </c>
      <c r="B116" s="2553" t="s">
        <v>185</v>
      </c>
      <c r="C116" s="2940">
        <f t="shared" si="16"/>
        <v>0</v>
      </c>
      <c r="D116" s="2940">
        <f t="shared" si="17"/>
        <v>0</v>
      </c>
      <c r="E116" s="2940">
        <f t="shared" si="18"/>
        <v>1223490969.2030001</v>
      </c>
      <c r="F116" s="2941"/>
      <c r="G116" s="2941"/>
      <c r="H116" s="2941">
        <v>475946487.222</v>
      </c>
      <c r="I116" s="2442"/>
      <c r="J116" s="2442"/>
      <c r="K116" s="2442">
        <v>216227013.19400001</v>
      </c>
      <c r="L116" s="2876"/>
      <c r="M116" s="2876"/>
      <c r="N116" s="2876">
        <v>264274504.502</v>
      </c>
      <c r="O116" s="2442"/>
      <c r="P116" s="2442"/>
      <c r="Q116" s="2442">
        <v>31367849.361000001</v>
      </c>
      <c r="R116" s="2442"/>
      <c r="S116" s="2442"/>
      <c r="T116" s="2442">
        <v>235675114.92399999</v>
      </c>
    </row>
    <row r="117" spans="1:21">
      <c r="A117" s="58">
        <v>8</v>
      </c>
      <c r="B117" s="2553" t="s">
        <v>186</v>
      </c>
      <c r="C117" s="2940">
        <f t="shared" si="16"/>
        <v>0</v>
      </c>
      <c r="D117" s="2940">
        <f t="shared" si="17"/>
        <v>0</v>
      </c>
      <c r="E117" s="2940">
        <f t="shared" si="18"/>
        <v>78823341.670014501</v>
      </c>
      <c r="F117" s="2941"/>
      <c r="G117" s="2941"/>
      <c r="H117" s="2941">
        <v>5083399.2830144996</v>
      </c>
      <c r="I117" s="2442"/>
      <c r="J117" s="2442"/>
      <c r="K117" s="2442">
        <v>2741315.4920000001</v>
      </c>
      <c r="L117" s="2876"/>
      <c r="M117" s="2876"/>
      <c r="N117" s="2876">
        <v>6158799.7529999996</v>
      </c>
      <c r="O117" s="2442"/>
      <c r="P117" s="2442"/>
      <c r="Q117" s="2442">
        <v>1404588.7139999999</v>
      </c>
      <c r="R117" s="2442"/>
      <c r="S117" s="2442"/>
      <c r="T117" s="2442">
        <v>63435238.428000003</v>
      </c>
    </row>
    <row r="118" spans="1:21">
      <c r="A118" s="58">
        <v>9</v>
      </c>
      <c r="B118" s="2554" t="s">
        <v>187</v>
      </c>
      <c r="C118" s="2940">
        <f t="shared" si="16"/>
        <v>0</v>
      </c>
      <c r="D118" s="2940">
        <f t="shared" si="17"/>
        <v>0</v>
      </c>
      <c r="E118" s="2940">
        <f t="shared" si="18"/>
        <v>0</v>
      </c>
      <c r="F118" s="2941"/>
      <c r="G118" s="2941"/>
      <c r="H118" s="2941"/>
      <c r="I118" s="2442"/>
      <c r="J118" s="2442"/>
      <c r="K118" s="2442"/>
      <c r="L118" s="2876"/>
      <c r="M118" s="2876"/>
      <c r="N118" s="2876"/>
      <c r="O118" s="2442"/>
      <c r="P118" s="2442"/>
      <c r="Q118" s="2442"/>
      <c r="R118" s="2442"/>
      <c r="S118" s="2442"/>
      <c r="T118" s="2442"/>
    </row>
    <row r="119" spans="1:21">
      <c r="A119" s="58">
        <v>10</v>
      </c>
      <c r="B119" s="2553" t="s">
        <v>188</v>
      </c>
      <c r="C119" s="2940">
        <f t="shared" si="16"/>
        <v>0</v>
      </c>
      <c r="D119" s="2940">
        <f t="shared" si="17"/>
        <v>0</v>
      </c>
      <c r="E119" s="2940">
        <f t="shared" si="18"/>
        <v>0</v>
      </c>
      <c r="F119" s="2941"/>
      <c r="G119" s="2941"/>
      <c r="H119" s="2941"/>
      <c r="I119" s="2442"/>
      <c r="J119" s="2442"/>
      <c r="K119" s="2442"/>
      <c r="L119" s="2876"/>
      <c r="M119" s="2876"/>
      <c r="N119" s="2876"/>
      <c r="O119" s="2442"/>
      <c r="P119" s="2442"/>
      <c r="Q119" s="2442"/>
      <c r="R119" s="2442"/>
      <c r="S119" s="2442"/>
      <c r="T119" s="2442"/>
    </row>
    <row r="120" spans="1:21">
      <c r="A120" s="58">
        <v>11</v>
      </c>
      <c r="B120" s="2553" t="s">
        <v>189</v>
      </c>
      <c r="C120" s="2940">
        <f t="shared" si="16"/>
        <v>0</v>
      </c>
      <c r="D120" s="2940">
        <f t="shared" si="17"/>
        <v>0</v>
      </c>
      <c r="E120" s="2940">
        <f t="shared" si="18"/>
        <v>103667114</v>
      </c>
      <c r="F120" s="2941"/>
      <c r="G120" s="2941"/>
      <c r="H120" s="2941">
        <v>1776070</v>
      </c>
      <c r="I120" s="2442"/>
      <c r="J120" s="2442"/>
      <c r="K120" s="2442">
        <v>68147636</v>
      </c>
      <c r="L120" s="2876"/>
      <c r="M120" s="2876"/>
      <c r="N120" s="2876">
        <v>469784</v>
      </c>
      <c r="O120" s="2442"/>
      <c r="P120" s="2442"/>
      <c r="Q120" s="2442"/>
      <c r="R120" s="2442"/>
      <c r="S120" s="2442"/>
      <c r="T120" s="2442">
        <v>33273624</v>
      </c>
    </row>
    <row r="121" spans="1:21">
      <c r="A121" s="58">
        <v>12</v>
      </c>
      <c r="B121" s="2553" t="s">
        <v>191</v>
      </c>
      <c r="C121" s="2940">
        <f t="shared" si="16"/>
        <v>0</v>
      </c>
      <c r="D121" s="2940">
        <f t="shared" si="17"/>
        <v>0</v>
      </c>
      <c r="E121" s="2940">
        <f t="shared" si="18"/>
        <v>0</v>
      </c>
      <c r="F121" s="2941"/>
      <c r="G121" s="2941"/>
      <c r="H121" s="2941"/>
      <c r="I121" s="2442"/>
      <c r="J121" s="2442"/>
      <c r="K121" s="2442"/>
      <c r="L121" s="2876"/>
      <c r="M121" s="2876"/>
      <c r="N121" s="2876"/>
      <c r="O121" s="2442"/>
      <c r="P121" s="2442"/>
      <c r="Q121" s="2442"/>
      <c r="R121" s="2442"/>
      <c r="S121" s="2442"/>
      <c r="T121" s="2442"/>
    </row>
    <row r="122" spans="1:21" s="72" customFormat="1">
      <c r="A122" s="71">
        <v>13</v>
      </c>
      <c r="B122" s="2882" t="s">
        <v>192</v>
      </c>
      <c r="C122" s="2945">
        <f t="shared" si="16"/>
        <v>0</v>
      </c>
      <c r="D122" s="2945">
        <f t="shared" si="17"/>
        <v>0</v>
      </c>
      <c r="E122" s="2945">
        <f t="shared" si="18"/>
        <v>0</v>
      </c>
      <c r="F122" s="2946"/>
      <c r="G122" s="2946"/>
      <c r="H122" s="2946"/>
      <c r="I122" s="2875"/>
      <c r="J122" s="2875"/>
      <c r="K122" s="2875"/>
      <c r="L122" s="2875"/>
      <c r="M122" s="2875"/>
      <c r="N122" s="2875"/>
      <c r="O122" s="2875"/>
      <c r="P122" s="2875"/>
      <c r="Q122" s="2875"/>
      <c r="R122" s="2875"/>
      <c r="S122" s="2875"/>
      <c r="T122" s="2875"/>
      <c r="U122" s="72" t="s">
        <v>857</v>
      </c>
    </row>
    <row r="123" spans="1:21">
      <c r="A123" s="58">
        <v>14</v>
      </c>
      <c r="B123" s="2554" t="s">
        <v>194</v>
      </c>
      <c r="C123" s="2940">
        <f t="shared" si="16"/>
        <v>0</v>
      </c>
      <c r="D123" s="2940">
        <f t="shared" si="17"/>
        <v>0</v>
      </c>
      <c r="E123" s="2940">
        <f t="shared" si="18"/>
        <v>0</v>
      </c>
      <c r="F123" s="2941"/>
      <c r="G123" s="2941"/>
      <c r="H123" s="2941"/>
      <c r="I123" s="2442"/>
      <c r="J123" s="2442"/>
      <c r="K123" s="2442"/>
      <c r="L123" s="2876"/>
      <c r="M123" s="2876"/>
      <c r="N123" s="2876"/>
      <c r="O123" s="2442"/>
      <c r="P123" s="2442"/>
      <c r="Q123" s="2442"/>
      <c r="R123" s="2442"/>
      <c r="S123" s="2442"/>
      <c r="T123" s="2442"/>
    </row>
    <row r="124" spans="1:21">
      <c r="A124" s="58">
        <v>15</v>
      </c>
      <c r="B124" s="2553" t="s">
        <v>195</v>
      </c>
      <c r="C124" s="2940">
        <f t="shared" si="16"/>
        <v>0</v>
      </c>
      <c r="D124" s="2940">
        <f t="shared" si="17"/>
        <v>0</v>
      </c>
      <c r="E124" s="2940">
        <f t="shared" si="18"/>
        <v>2570877860.1539998</v>
      </c>
      <c r="F124" s="2941"/>
      <c r="G124" s="2941"/>
      <c r="H124" s="2941">
        <v>1069202522.364</v>
      </c>
      <c r="I124" s="2442"/>
      <c r="J124" s="2442"/>
      <c r="K124" s="2442">
        <v>609991151.74800003</v>
      </c>
      <c r="L124" s="2876"/>
      <c r="M124" s="2876"/>
      <c r="N124" s="2876">
        <v>396505762.29799998</v>
      </c>
      <c r="O124" s="2442"/>
      <c r="P124" s="2442"/>
      <c r="Q124" s="2442">
        <v>17385640.219000001</v>
      </c>
      <c r="R124" s="2442"/>
      <c r="S124" s="2442"/>
      <c r="T124" s="2442">
        <v>477792783.52499998</v>
      </c>
    </row>
    <row r="125" spans="1:21">
      <c r="A125" s="58">
        <v>16</v>
      </c>
      <c r="B125" s="2553" t="s">
        <v>196</v>
      </c>
      <c r="C125" s="2940">
        <f t="shared" si="16"/>
        <v>0</v>
      </c>
      <c r="D125" s="2940">
        <f t="shared" si="17"/>
        <v>0</v>
      </c>
      <c r="E125" s="2940">
        <f t="shared" si="18"/>
        <v>3897729.6359999999</v>
      </c>
      <c r="F125" s="2941"/>
      <c r="G125" s="2941"/>
      <c r="H125" s="2941">
        <v>1439494.4069999999</v>
      </c>
      <c r="I125" s="2442"/>
      <c r="J125" s="2442"/>
      <c r="K125" s="2442">
        <v>0</v>
      </c>
      <c r="L125" s="2876"/>
      <c r="M125" s="2876"/>
      <c r="N125" s="2876">
        <v>2458235.2289999998</v>
      </c>
      <c r="O125" s="2442"/>
      <c r="P125" s="2442"/>
      <c r="Q125" s="2442">
        <v>0</v>
      </c>
      <c r="R125" s="2442"/>
      <c r="S125" s="2442"/>
      <c r="T125" s="2875">
        <v>0</v>
      </c>
    </row>
    <row r="126" spans="1:21">
      <c r="A126" s="58">
        <v>17</v>
      </c>
      <c r="B126" s="2553" t="s">
        <v>197</v>
      </c>
      <c r="C126" s="2940">
        <f t="shared" si="16"/>
        <v>0</v>
      </c>
      <c r="D126" s="2940">
        <f t="shared" si="17"/>
        <v>0</v>
      </c>
      <c r="E126" s="2940">
        <f t="shared" si="18"/>
        <v>734538001</v>
      </c>
      <c r="F126" s="2941"/>
      <c r="G126" s="2941"/>
      <c r="H126" s="2941">
        <v>349321084</v>
      </c>
      <c r="I126" s="2442"/>
      <c r="J126" s="2442"/>
      <c r="K126" s="2442">
        <v>231651752</v>
      </c>
      <c r="L126" s="2876"/>
      <c r="M126" s="2876"/>
      <c r="N126" s="2876">
        <v>61139506</v>
      </c>
      <c r="O126" s="2442"/>
      <c r="P126" s="2442"/>
      <c r="Q126" s="2442">
        <v>12434777</v>
      </c>
      <c r="R126" s="2442"/>
      <c r="S126" s="2442"/>
      <c r="T126" s="2442">
        <v>79990882</v>
      </c>
    </row>
    <row r="127" spans="1:21">
      <c r="A127" s="58">
        <v>18</v>
      </c>
      <c r="B127" s="2554" t="s">
        <v>193</v>
      </c>
      <c r="C127" s="2940">
        <f t="shared" si="16"/>
        <v>0</v>
      </c>
      <c r="D127" s="2940">
        <f t="shared" si="17"/>
        <v>0</v>
      </c>
      <c r="E127" s="2940">
        <f t="shared" si="18"/>
        <v>0</v>
      </c>
      <c r="F127" s="2941"/>
      <c r="G127" s="2941"/>
      <c r="H127" s="2941"/>
      <c r="I127" s="2442"/>
      <c r="J127" s="2442"/>
      <c r="K127" s="2442"/>
      <c r="L127" s="2876"/>
      <c r="M127" s="2876"/>
      <c r="N127" s="2876"/>
      <c r="O127" s="2442"/>
      <c r="P127" s="2442"/>
      <c r="Q127" s="2442"/>
      <c r="R127" s="2442"/>
      <c r="S127" s="2442"/>
      <c r="T127" s="2442"/>
    </row>
    <row r="128" spans="1:21">
      <c r="A128" s="58">
        <v>19</v>
      </c>
      <c r="B128" s="2554" t="s">
        <v>110</v>
      </c>
      <c r="C128" s="2940">
        <f t="shared" si="16"/>
        <v>0</v>
      </c>
      <c r="D128" s="2940">
        <f t="shared" si="17"/>
        <v>0</v>
      </c>
      <c r="E128" s="2940">
        <f t="shared" si="18"/>
        <v>0</v>
      </c>
      <c r="F128" s="2941"/>
      <c r="G128" s="2941"/>
      <c r="H128" s="2941"/>
      <c r="I128" s="2442"/>
      <c r="J128" s="2442"/>
      <c r="K128" s="2442"/>
      <c r="L128" s="2876"/>
      <c r="M128" s="2876"/>
      <c r="N128" s="2876"/>
      <c r="O128" s="2442"/>
      <c r="P128" s="2442"/>
      <c r="Q128" s="2442"/>
      <c r="R128" s="2442"/>
      <c r="S128" s="2442"/>
      <c r="T128" s="2442"/>
    </row>
    <row r="129" spans="2:20">
      <c r="B129" s="2736" t="s">
        <v>118</v>
      </c>
      <c r="C129" s="2731">
        <f>SUM(C110:C128)</f>
        <v>0</v>
      </c>
      <c r="D129" s="2731">
        <f>SUM(D110:D128)</f>
        <v>0</v>
      </c>
      <c r="E129" s="2731">
        <f>SUM(E110:E128)</f>
        <v>6009525023.0344887</v>
      </c>
      <c r="F129" s="2941">
        <f>SUM(F110:F128)</f>
        <v>0</v>
      </c>
      <c r="G129" s="2941">
        <f t="shared" ref="G129:T129" si="19">SUM(G110:G128)</f>
        <v>0</v>
      </c>
      <c r="H129" s="2941">
        <f t="shared" si="19"/>
        <v>2657210649.763835</v>
      </c>
      <c r="I129" s="2873">
        <f t="shared" si="19"/>
        <v>0</v>
      </c>
      <c r="J129" s="2873">
        <f t="shared" si="19"/>
        <v>0</v>
      </c>
      <c r="K129" s="2873">
        <f t="shared" si="19"/>
        <v>1370048190.7133887</v>
      </c>
      <c r="L129" s="2877">
        <f t="shared" si="19"/>
        <v>0</v>
      </c>
      <c r="M129" s="2877">
        <f t="shared" si="19"/>
        <v>0</v>
      </c>
      <c r="N129" s="2877">
        <f t="shared" si="19"/>
        <v>792217540.19819498</v>
      </c>
      <c r="O129" s="2873">
        <f t="shared" si="19"/>
        <v>0</v>
      </c>
      <c r="P129" s="2873">
        <f t="shared" si="19"/>
        <v>0</v>
      </c>
      <c r="Q129" s="2873">
        <f t="shared" si="19"/>
        <v>70432591.201890007</v>
      </c>
      <c r="R129" s="2873">
        <f t="shared" si="19"/>
        <v>0</v>
      </c>
      <c r="S129" s="2873">
        <f t="shared" si="19"/>
        <v>0</v>
      </c>
      <c r="T129" s="2873">
        <f t="shared" si="19"/>
        <v>1119616051.1571803</v>
      </c>
    </row>
    <row r="130" spans="2:20">
      <c r="B130" s="46"/>
      <c r="C130" s="47"/>
      <c r="D130" s="47"/>
      <c r="E130" s="47"/>
      <c r="F130" s="48"/>
      <c r="G130" s="48"/>
      <c r="H130" s="48"/>
      <c r="I130" s="49"/>
      <c r="J130" s="49"/>
      <c r="K130" s="49"/>
      <c r="L130" s="50"/>
      <c r="M130" s="50"/>
      <c r="N130" s="50"/>
      <c r="O130" s="49"/>
      <c r="P130" s="49"/>
      <c r="Q130" s="49"/>
      <c r="R130" s="49"/>
      <c r="S130" s="49"/>
      <c r="T130" s="49"/>
    </row>
    <row r="140" spans="2:20">
      <c r="C140" s="3699">
        <v>2007</v>
      </c>
      <c r="D140" s="3700"/>
      <c r="E140" s="3701"/>
      <c r="F140" s="3702">
        <v>2008</v>
      </c>
      <c r="G140" s="3703"/>
      <c r="H140" s="3704"/>
      <c r="I140" s="3694">
        <v>2009</v>
      </c>
      <c r="J140" s="3695"/>
      <c r="K140" s="3696"/>
      <c r="L140" s="3680">
        <v>2010</v>
      </c>
      <c r="M140" s="3680"/>
      <c r="N140" s="3680"/>
      <c r="O140" s="3708">
        <v>2011</v>
      </c>
      <c r="P140" s="3708"/>
      <c r="Q140" s="3708"/>
    </row>
    <row r="141" spans="2:20">
      <c r="C141" s="2938" t="s">
        <v>984</v>
      </c>
      <c r="D141" s="2938" t="s">
        <v>985</v>
      </c>
      <c r="E141" s="2938" t="s">
        <v>986</v>
      </c>
      <c r="F141" s="2938" t="s">
        <v>984</v>
      </c>
      <c r="G141" s="2938" t="s">
        <v>985</v>
      </c>
      <c r="H141" s="2938" t="s">
        <v>986</v>
      </c>
      <c r="I141" s="2938" t="s">
        <v>984</v>
      </c>
      <c r="J141" s="2938" t="s">
        <v>985</v>
      </c>
      <c r="K141" s="2938" t="s">
        <v>986</v>
      </c>
      <c r="L141" s="2938" t="s">
        <v>984</v>
      </c>
      <c r="M141" s="2938" t="s">
        <v>985</v>
      </c>
      <c r="N141" s="2938" t="s">
        <v>986</v>
      </c>
      <c r="O141" s="2938" t="s">
        <v>984</v>
      </c>
      <c r="P141" s="2938" t="s">
        <v>985</v>
      </c>
      <c r="Q141" s="2938" t="s">
        <v>986</v>
      </c>
    </row>
    <row r="142" spans="2:20">
      <c r="B142" t="s">
        <v>436</v>
      </c>
      <c r="C142" s="14">
        <f>+F129</f>
        <v>0</v>
      </c>
      <c r="D142" s="14">
        <f>+G129</f>
        <v>0</v>
      </c>
      <c r="E142" s="14">
        <f>+H129</f>
        <v>2657210649.763835</v>
      </c>
      <c r="F142" s="14">
        <f>+F103</f>
        <v>0</v>
      </c>
      <c r="G142" s="14">
        <f>+G103</f>
        <v>0</v>
      </c>
      <c r="H142" s="14">
        <f>+H103</f>
        <v>3059427901.450572</v>
      </c>
      <c r="I142" s="14">
        <f>+F77</f>
        <v>0</v>
      </c>
      <c r="J142" s="14">
        <f>+G77</f>
        <v>0</v>
      </c>
      <c r="K142" s="14">
        <f>+H77</f>
        <v>3431820388.4187093</v>
      </c>
      <c r="L142" s="14">
        <f>+F51</f>
        <v>0</v>
      </c>
      <c r="M142" s="14">
        <f>+G51</f>
        <v>0</v>
      </c>
      <c r="N142" s="14">
        <f>+H51</f>
        <v>3786904645.5162282</v>
      </c>
      <c r="O142" s="14">
        <f>+F25</f>
        <v>0</v>
      </c>
      <c r="P142" s="14">
        <f>+G25</f>
        <v>0</v>
      </c>
      <c r="Q142" s="14">
        <f>+H25</f>
        <v>4358090090.3602352</v>
      </c>
    </row>
    <row r="143" spans="2:20">
      <c r="B143" t="s">
        <v>437</v>
      </c>
      <c r="C143" s="14">
        <f>+I129</f>
        <v>0</v>
      </c>
      <c r="D143" s="14">
        <f>+J129</f>
        <v>0</v>
      </c>
      <c r="E143" s="14">
        <f>+K129</f>
        <v>1370048190.7133887</v>
      </c>
      <c r="F143" s="14">
        <f>+I103</f>
        <v>0</v>
      </c>
      <c r="G143" s="14">
        <f>+J103</f>
        <v>0</v>
      </c>
      <c r="H143" s="14">
        <f>+K103</f>
        <v>1377816922.0750589</v>
      </c>
      <c r="I143" s="14">
        <f>+I77</f>
        <v>0</v>
      </c>
      <c r="J143" s="14">
        <f>+J77</f>
        <v>0</v>
      </c>
      <c r="K143" s="14">
        <f>+K77</f>
        <v>1238912084.1615608</v>
      </c>
      <c r="L143" s="14">
        <f>+I51</f>
        <v>0</v>
      </c>
      <c r="M143" s="14">
        <f>+J51</f>
        <v>0</v>
      </c>
      <c r="N143" s="14">
        <f>+K51</f>
        <v>1791527705.8263192</v>
      </c>
      <c r="O143" s="14">
        <f>+I25</f>
        <v>0</v>
      </c>
      <c r="P143" s="14">
        <f>+J25</f>
        <v>0</v>
      </c>
      <c r="Q143" s="14">
        <f>+K25</f>
        <v>2119068111.9467628</v>
      </c>
    </row>
    <row r="144" spans="2:20">
      <c r="B144" t="s">
        <v>438</v>
      </c>
      <c r="C144" s="14">
        <f>+L129</f>
        <v>0</v>
      </c>
      <c r="D144" s="14">
        <f>+M129</f>
        <v>0</v>
      </c>
      <c r="E144" s="14">
        <f>+N129</f>
        <v>792217540.19819498</v>
      </c>
      <c r="F144" s="14">
        <f>+L103</f>
        <v>0</v>
      </c>
      <c r="G144" s="14">
        <f>+M103</f>
        <v>0</v>
      </c>
      <c r="H144" s="14">
        <f>+N103</f>
        <v>733839487.70959103</v>
      </c>
      <c r="I144" s="14">
        <f>+L77</f>
        <v>0</v>
      </c>
      <c r="J144" s="14">
        <f>+M77</f>
        <v>0</v>
      </c>
      <c r="K144" s="14">
        <f>+N77</f>
        <v>761491360.68494534</v>
      </c>
      <c r="L144" s="14">
        <f>+L51</f>
        <v>0</v>
      </c>
      <c r="M144" s="14">
        <f>+M51</f>
        <v>0</v>
      </c>
      <c r="N144" s="14">
        <f>+N51</f>
        <v>915816867.1331991</v>
      </c>
      <c r="O144" s="14">
        <f>+L25</f>
        <v>0</v>
      </c>
      <c r="P144" s="14">
        <f>+M25</f>
        <v>0</v>
      </c>
      <c r="Q144" s="14">
        <f>+N25</f>
        <v>1208716185.5975499</v>
      </c>
    </row>
    <row r="145" spans="2:17">
      <c r="B145" t="s">
        <v>722</v>
      </c>
      <c r="C145" s="14">
        <f>+O129</f>
        <v>0</v>
      </c>
      <c r="D145" s="14">
        <f>+P129</f>
        <v>0</v>
      </c>
      <c r="E145" s="14">
        <f>+Q129</f>
        <v>70432591.201890007</v>
      </c>
      <c r="F145" s="14">
        <f>+O103</f>
        <v>0</v>
      </c>
      <c r="G145" s="14">
        <f>+P103</f>
        <v>0</v>
      </c>
      <c r="H145" s="14">
        <f>+Q103</f>
        <v>71083138.654499993</v>
      </c>
      <c r="I145" s="14">
        <f>+O77</f>
        <v>0</v>
      </c>
      <c r="J145" s="14">
        <f>+P77</f>
        <v>0</v>
      </c>
      <c r="K145" s="14">
        <f>+Q77</f>
        <v>97665879.32322</v>
      </c>
      <c r="L145" s="14">
        <f>+O51</f>
        <v>0</v>
      </c>
      <c r="M145" s="14">
        <f>+P51</f>
        <v>0</v>
      </c>
      <c r="N145" s="14">
        <f>+Q51</f>
        <v>194128838.44221002</v>
      </c>
      <c r="O145" s="14">
        <f>+O25</f>
        <v>0</v>
      </c>
      <c r="P145" s="14">
        <f>+P25</f>
        <v>0</v>
      </c>
      <c r="Q145" s="14">
        <f>+Q25</f>
        <v>95268112.028060004</v>
      </c>
    </row>
    <row r="146" spans="2:17">
      <c r="B146" t="s">
        <v>440</v>
      </c>
      <c r="C146" s="14">
        <f>+R129</f>
        <v>0</v>
      </c>
      <c r="D146" s="14">
        <f>+S129</f>
        <v>0</v>
      </c>
      <c r="E146" s="14">
        <f>+T129</f>
        <v>1119616051.1571803</v>
      </c>
      <c r="F146" s="14">
        <f>+R103</f>
        <v>0</v>
      </c>
      <c r="G146" s="14">
        <f>+S103</f>
        <v>0</v>
      </c>
      <c r="H146" s="14">
        <f>+T103</f>
        <v>1230613271.0154066</v>
      </c>
      <c r="I146" s="14">
        <f>+R77</f>
        <v>0</v>
      </c>
      <c r="J146" s="14">
        <f>+S77</f>
        <v>0</v>
      </c>
      <c r="K146" s="14">
        <f>+T77</f>
        <v>1987731128.015058</v>
      </c>
      <c r="L146" s="14">
        <f>+R51</f>
        <v>0</v>
      </c>
      <c r="M146" s="14">
        <f>+S51</f>
        <v>0</v>
      </c>
      <c r="N146" s="14">
        <f>+T51</f>
        <v>2023630407.07389</v>
      </c>
      <c r="O146" s="14">
        <f>+R25</f>
        <v>0</v>
      </c>
      <c r="P146" s="14">
        <f>+S25</f>
        <v>0</v>
      </c>
      <c r="Q146" s="14">
        <f>+T25</f>
        <v>1790875914.9915395</v>
      </c>
    </row>
    <row r="147" spans="2:17">
      <c r="B147" s="43" t="s">
        <v>118</v>
      </c>
      <c r="C147" s="14">
        <f>SUM(C142:C146)</f>
        <v>0</v>
      </c>
      <c r="D147" s="14">
        <f t="shared" ref="D147:P147" si="20">SUM(D142:D146)</f>
        <v>0</v>
      </c>
      <c r="E147" s="14">
        <f t="shared" si="20"/>
        <v>6009525023.0344887</v>
      </c>
      <c r="F147" s="14">
        <f t="shared" si="20"/>
        <v>0</v>
      </c>
      <c r="G147" s="14">
        <f t="shared" si="20"/>
        <v>0</v>
      </c>
      <c r="H147" s="14">
        <f t="shared" si="20"/>
        <v>6472780720.9051285</v>
      </c>
      <c r="I147" s="14">
        <f t="shared" si="20"/>
        <v>0</v>
      </c>
      <c r="J147" s="14">
        <f t="shared" si="20"/>
        <v>0</v>
      </c>
      <c r="K147" s="14">
        <f t="shared" si="20"/>
        <v>7517620840.6034927</v>
      </c>
      <c r="L147" s="14">
        <f t="shared" si="20"/>
        <v>0</v>
      </c>
      <c r="M147" s="14">
        <f t="shared" si="20"/>
        <v>0</v>
      </c>
      <c r="N147" s="14">
        <f t="shared" si="20"/>
        <v>8712008463.9918461</v>
      </c>
      <c r="O147" s="14">
        <f t="shared" si="20"/>
        <v>0</v>
      </c>
      <c r="P147" s="14">
        <f t="shared" si="20"/>
        <v>0</v>
      </c>
      <c r="Q147" s="14">
        <f>SUM(Q142:Q146)</f>
        <v>9572018414.9241486</v>
      </c>
    </row>
    <row r="149" spans="2:17">
      <c r="B149" t="s">
        <v>991</v>
      </c>
    </row>
  </sheetData>
  <customSheetViews>
    <customSheetView guid="{2ACFE167-4169-43A6-9AB2-59D5A2DA2DB4}" showPageBreaks="1" state="hidden">
      <pane xSplit="2" ySplit="5" topLeftCell="C21" activePane="bottomRight" state="frozen"/>
      <selection pane="bottomRight" activeCell="F94" sqref="F94"/>
      <pageMargins left="0" right="0" top="0" bottom="0" header="0" footer="0"/>
      <pageSetup orientation="portrait" r:id="rId1"/>
    </customSheetView>
    <customSheetView guid="{967E0446-E234-427F-8E57-7FE287052E2E}" showPageBreaks="1" state="hidden">
      <pane xSplit="2" ySplit="5" topLeftCell="C21" activePane="bottomRight" state="frozen"/>
      <selection pane="bottomRight" activeCell="F94" sqref="F94"/>
      <pageMargins left="0" right="0" top="0" bottom="0" header="0" footer="0"/>
      <pageSetup orientation="portrait" r:id="rId2"/>
    </customSheetView>
    <customSheetView guid="{B2E1A0C6-5BA1-4CF1-B412-16D81FCDF11F}" state="hidden">
      <pane xSplit="2" ySplit="5" topLeftCell="C21" activePane="bottomRight" state="frozen"/>
      <selection pane="bottomRight" activeCell="F94" sqref="F94"/>
      <pageMargins left="0" right="0" top="0" bottom="0" header="0" footer="0"/>
      <pageSetup orientation="portrait" r:id="rId3"/>
    </customSheetView>
    <customSheetView guid="{46F31544-8E6F-41C5-8628-1D6EE074AF15}" state="hidden">
      <pane xSplit="2" ySplit="5" topLeftCell="C21" activePane="bottomRight" state="frozen"/>
      <selection pane="bottomRight" activeCell="F94" sqref="F94"/>
      <pageMargins left="0" right="0" top="0" bottom="0" header="0" footer="0"/>
      <pageSetup orientation="portrait" r:id="rId4"/>
    </customSheetView>
    <customSheetView guid="{E82B35BE-4719-4C53-A9EF-1CC6F153A6F3}" state="hidden">
      <pane xSplit="2" ySplit="5" topLeftCell="C21" activePane="bottomRight" state="frozen"/>
      <selection pane="bottomRight" activeCell="F94" sqref="F94"/>
      <pageMargins left="0" right="0" top="0" bottom="0" header="0" footer="0"/>
      <pageSetup orientation="portrait" r:id="rId5"/>
    </customSheetView>
    <customSheetView guid="{B1E1B596-A9A1-411D-A882-A48CB025B978}" state="hidden">
      <pane xSplit="2" ySplit="5" topLeftCell="C21" activePane="bottomRight" state="frozen"/>
      <selection pane="bottomRight" activeCell="F94" sqref="F94"/>
      <pageMargins left="0" right="0" top="0" bottom="0" header="0" footer="0"/>
      <pageSetup orientation="portrait" r:id="rId6"/>
    </customSheetView>
    <customSheetView guid="{5E394B0B-7867-4722-9497-A93AB2A9A773}" showPageBreaks="1" state="hidden">
      <pane xSplit="2" ySplit="5" topLeftCell="C21" activePane="bottomRight" state="frozen"/>
      <selection pane="bottomRight" activeCell="F94" sqref="F94"/>
      <pageMargins left="0" right="0" top="0" bottom="0" header="0" footer="0"/>
      <pageSetup orientation="portrait" r:id="rId7"/>
    </customSheetView>
  </customSheetViews>
  <mergeCells count="40">
    <mergeCell ref="B30:B31"/>
    <mergeCell ref="C30:E30"/>
    <mergeCell ref="B4:B5"/>
    <mergeCell ref="C4:E4"/>
    <mergeCell ref="F4:H4"/>
    <mergeCell ref="O56:Q56"/>
    <mergeCell ref="R4:T4"/>
    <mergeCell ref="F30:H30"/>
    <mergeCell ref="I30:K30"/>
    <mergeCell ref="L30:N30"/>
    <mergeCell ref="R56:T56"/>
    <mergeCell ref="O30:Q30"/>
    <mergeCell ref="R30:T30"/>
    <mergeCell ref="O4:Q4"/>
    <mergeCell ref="I4:K4"/>
    <mergeCell ref="L4:N4"/>
    <mergeCell ref="F56:H56"/>
    <mergeCell ref="I56:K56"/>
    <mergeCell ref="L56:N56"/>
    <mergeCell ref="O82:Q82"/>
    <mergeCell ref="R82:T82"/>
    <mergeCell ref="B56:B57"/>
    <mergeCell ref="C56:E56"/>
    <mergeCell ref="B108:B109"/>
    <mergeCell ref="C108:E108"/>
    <mergeCell ref="F108:H108"/>
    <mergeCell ref="I108:K108"/>
    <mergeCell ref="L108:N108"/>
    <mergeCell ref="O108:Q108"/>
    <mergeCell ref="R108:T108"/>
    <mergeCell ref="B82:B83"/>
    <mergeCell ref="C82:E82"/>
    <mergeCell ref="F82:H82"/>
    <mergeCell ref="I82:K82"/>
    <mergeCell ref="L82:N82"/>
    <mergeCell ref="C140:E140"/>
    <mergeCell ref="F140:H140"/>
    <mergeCell ref="I140:K140"/>
    <mergeCell ref="L140:N140"/>
    <mergeCell ref="O140:Q140"/>
  </mergeCells>
  <hyperlinks>
    <hyperlink ref="B1" location="'List of tables'!A1" display="'List of tables'!A1" xr:uid="{00000000-0004-0000-4D00-000000000000}"/>
  </hyperlinks>
  <pageMargins left="0.7" right="0.7" top="0.75" bottom="0.75" header="0.3" footer="0.3"/>
  <pageSetup orientation="portrait" r:id="rId8"/>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Sheet58">
    <tabColor rgb="FFFF0000"/>
  </sheetPr>
  <dimension ref="A1:E20"/>
  <sheetViews>
    <sheetView workbookViewId="0">
      <selection activeCell="F94" sqref="F94"/>
    </sheetView>
  </sheetViews>
  <sheetFormatPr defaultRowHeight="14.45"/>
  <cols>
    <col min="2" max="2" width="19.5703125" customWidth="1"/>
    <col min="3" max="3" width="16.5703125" customWidth="1"/>
    <col min="4" max="4" width="17.28515625" customWidth="1"/>
    <col min="5" max="5" width="20.42578125" customWidth="1"/>
  </cols>
  <sheetData>
    <row r="1" spans="1:5">
      <c r="A1" s="150" t="s">
        <v>615</v>
      </c>
    </row>
    <row r="3" spans="1:5" s="89" customFormat="1" ht="21.75" customHeight="1">
      <c r="A3" s="89" t="s">
        <v>884</v>
      </c>
    </row>
    <row r="4" spans="1:5" s="15" customFormat="1"/>
    <row r="5" spans="1:5" s="15" customFormat="1" ht="39" customHeight="1">
      <c r="A5" s="1692" t="s">
        <v>992</v>
      </c>
      <c r="B5" s="1692" t="s">
        <v>993</v>
      </c>
      <c r="C5" s="1692" t="s">
        <v>994</v>
      </c>
      <c r="D5" s="1692" t="s">
        <v>995</v>
      </c>
      <c r="E5" s="1692" t="s">
        <v>996</v>
      </c>
    </row>
    <row r="6" spans="1:5" s="39" customFormat="1" ht="20.100000000000001" customHeight="1">
      <c r="A6" s="2859">
        <v>2007</v>
      </c>
      <c r="B6" s="2950" t="e">
        <f>+#REF!</f>
        <v>#REF!</v>
      </c>
      <c r="C6" s="2951" t="e">
        <f>+#REF!/1000</f>
        <v>#REF!</v>
      </c>
      <c r="D6" s="2951">
        <v>3540</v>
      </c>
      <c r="E6" s="2952" t="e">
        <f>+(C6/1000)/D6*100</f>
        <v>#REF!</v>
      </c>
    </row>
    <row r="7" spans="1:5" s="39" customFormat="1" ht="20.100000000000001" customHeight="1">
      <c r="A7" s="2859">
        <v>2008</v>
      </c>
      <c r="B7" s="2950" t="e">
        <f>+#REF!</f>
        <v>#REF!</v>
      </c>
      <c r="C7" s="2951" t="e">
        <f>+#REF!/1000</f>
        <v>#REF!</v>
      </c>
      <c r="D7" s="2951">
        <v>4306</v>
      </c>
      <c r="E7" s="2952" t="e">
        <f>+(C7/1000)/D7*100</f>
        <v>#REF!</v>
      </c>
    </row>
    <row r="8" spans="1:5" s="39" customFormat="1" ht="20.100000000000001" customHeight="1">
      <c r="A8" s="2859">
        <v>2009</v>
      </c>
      <c r="B8" s="2950" t="e">
        <f>+#REF!</f>
        <v>#REF!</v>
      </c>
      <c r="C8" s="2951" t="e">
        <f>+#REF!/1000</f>
        <v>#REF!</v>
      </c>
      <c r="D8" s="2951">
        <v>4779</v>
      </c>
      <c r="E8" s="2952" t="e">
        <f>+(C8/1000)/D8*100</f>
        <v>#REF!</v>
      </c>
    </row>
    <row r="9" spans="1:5" s="39" customFormat="1" ht="20.100000000000001" customHeight="1">
      <c r="A9" s="2859">
        <v>2010</v>
      </c>
      <c r="B9" s="2950" t="e">
        <f>+#REF!</f>
        <v>#REF!</v>
      </c>
      <c r="C9" s="2951" t="e">
        <f>+#REF!/1000</f>
        <v>#REF!</v>
      </c>
      <c r="D9" s="2951">
        <v>5534</v>
      </c>
      <c r="E9" s="2952" t="e">
        <f>+(C9/1000)/D9*100</f>
        <v>#REF!</v>
      </c>
    </row>
    <row r="10" spans="1:5" s="39" customFormat="1" ht="20.100000000000001" customHeight="1">
      <c r="A10" s="2859">
        <v>2011</v>
      </c>
      <c r="B10" s="2950" t="e">
        <f>+#REF!</f>
        <v>#REF!</v>
      </c>
      <c r="C10" s="2951" t="e">
        <f>+#REF!/1000</f>
        <v>#REF!</v>
      </c>
      <c r="D10" s="2951">
        <v>6471</v>
      </c>
      <c r="E10" s="2952" t="e">
        <f>+(C10/1000)/D10*100</f>
        <v>#REF!</v>
      </c>
    </row>
    <row r="11" spans="1:5" s="39" customFormat="1" ht="20.100000000000001" customHeight="1"/>
    <row r="13" spans="1:5" s="89" customFormat="1" ht="23.25" customHeight="1">
      <c r="A13" s="89" t="s">
        <v>997</v>
      </c>
    </row>
    <row r="14" spans="1:5" s="15" customFormat="1"/>
    <row r="15" spans="1:5" s="15" customFormat="1" ht="39" customHeight="1">
      <c r="A15" s="1692" t="s">
        <v>992</v>
      </c>
      <c r="B15" s="1692" t="s">
        <v>993</v>
      </c>
      <c r="C15" s="1692" t="s">
        <v>998</v>
      </c>
      <c r="D15" s="1692" t="s">
        <v>995</v>
      </c>
      <c r="E15" s="1692" t="s">
        <v>996</v>
      </c>
    </row>
    <row r="16" spans="1:5" s="39" customFormat="1" ht="20.100000000000001" customHeight="1">
      <c r="A16" s="2859">
        <v>2007</v>
      </c>
      <c r="B16" s="2950">
        <f>+'T13 -GI Policies '!E153</f>
        <v>2241155.6100000003</v>
      </c>
      <c r="C16" s="2951">
        <f>+'T14 (i) -GI Sum Insu'!E147/1000</f>
        <v>6009525.0230344888</v>
      </c>
      <c r="D16" s="2951">
        <v>3540</v>
      </c>
      <c r="E16" s="2952">
        <f>+(C16/1000)/D16*100</f>
        <v>169.76059387103078</v>
      </c>
    </row>
    <row r="17" spans="1:5" s="39" customFormat="1" ht="20.100000000000001" customHeight="1">
      <c r="A17" s="2859">
        <v>2008</v>
      </c>
      <c r="B17" s="2950">
        <f>+'T13 -GI Policies '!E127</f>
        <v>2473343.15</v>
      </c>
      <c r="C17" s="2951">
        <f>+'T14 (i) -GI Sum Insu'!H147/1000</f>
        <v>6472780.7209051289</v>
      </c>
      <c r="D17" s="2951">
        <v>4306</v>
      </c>
      <c r="E17" s="2952">
        <f>+(C17/1000)/D17*100</f>
        <v>150.32003532060216</v>
      </c>
    </row>
    <row r="18" spans="1:5" s="39" customFormat="1" ht="20.100000000000001" customHeight="1">
      <c r="A18" s="2859">
        <v>2009</v>
      </c>
      <c r="B18" s="2950">
        <f>+'T13 -GI Policies '!E101</f>
        <v>2990755.34</v>
      </c>
      <c r="C18" s="2951">
        <f>+'T14 (i) -GI Sum Insu'!K147/1000</f>
        <v>7517620.8406034932</v>
      </c>
      <c r="D18" s="2951">
        <v>4779</v>
      </c>
      <c r="E18" s="2952">
        <f>+(C18/1000)/D18*100</f>
        <v>157.30531158408647</v>
      </c>
    </row>
    <row r="19" spans="1:5" s="39" customFormat="1" ht="20.100000000000001" customHeight="1">
      <c r="A19" s="2859">
        <v>2010</v>
      </c>
      <c r="B19" s="2950">
        <f>+'T13 -GI Policies '!E75</f>
        <v>3428784.75</v>
      </c>
      <c r="C19" s="2951">
        <f>+'T14 (i) -GI Sum Insu'!N147/1000</f>
        <v>8712008.4639918469</v>
      </c>
      <c r="D19" s="2951">
        <v>5534</v>
      </c>
      <c r="E19" s="2952">
        <f>+(C19/1000)/D19*100</f>
        <v>157.42696899154043</v>
      </c>
    </row>
    <row r="20" spans="1:5" s="39" customFormat="1" ht="20.100000000000001" customHeight="1">
      <c r="A20" s="2859">
        <v>2011</v>
      </c>
      <c r="B20" s="2950">
        <f>+'T13 -GI Policies '!E49</f>
        <v>4139070</v>
      </c>
      <c r="C20" s="2951">
        <f>+'T14 (i) -GI Sum Insu'!Q147/1000</f>
        <v>9572018.4149241485</v>
      </c>
      <c r="D20" s="2951">
        <v>6471</v>
      </c>
      <c r="E20" s="2952">
        <f>+(C20/1000)/D20*100</f>
        <v>147.92178048097898</v>
      </c>
    </row>
  </sheetData>
  <customSheetViews>
    <customSheetView guid="{2ACFE167-4169-43A6-9AB2-59D5A2DA2DB4}" showPageBreaks="1" state="hidden">
      <selection activeCell="F94" sqref="F94"/>
      <pageMargins left="0" right="0" top="0" bottom="0" header="0" footer="0"/>
      <pageSetup orientation="portrait" r:id="rId1"/>
    </customSheetView>
    <customSheetView guid="{967E0446-E234-427F-8E57-7FE287052E2E}" showPageBreaks="1" state="hidden">
      <selection activeCell="F94" sqref="F94"/>
      <pageMargins left="0" right="0" top="0" bottom="0" header="0" footer="0"/>
      <pageSetup orientation="portrait" r:id="rId2"/>
    </customSheetView>
    <customSheetView guid="{B2E1A0C6-5BA1-4CF1-B412-16D81FCDF11F}" state="hidden">
      <selection activeCell="F94" sqref="F94"/>
      <pageMargins left="0" right="0" top="0" bottom="0" header="0" footer="0"/>
      <pageSetup orientation="portrait" r:id="rId3"/>
    </customSheetView>
    <customSheetView guid="{46F31544-8E6F-41C5-8628-1D6EE074AF15}" state="hidden">
      <selection activeCell="F94" sqref="F94"/>
      <pageMargins left="0" right="0" top="0" bottom="0" header="0" footer="0"/>
      <pageSetup orientation="portrait" r:id="rId4"/>
    </customSheetView>
    <customSheetView guid="{E82B35BE-4719-4C53-A9EF-1CC6F153A6F3}" state="hidden">
      <selection activeCell="F94" sqref="F94"/>
      <pageMargins left="0" right="0" top="0" bottom="0" header="0" footer="0"/>
      <pageSetup orientation="portrait" r:id="rId5"/>
    </customSheetView>
    <customSheetView guid="{B1E1B596-A9A1-411D-A882-A48CB025B978}" state="hidden">
      <selection activeCell="F94" sqref="F94"/>
      <pageMargins left="0" right="0" top="0" bottom="0" header="0" footer="0"/>
      <pageSetup orientation="portrait" r:id="rId6"/>
    </customSheetView>
    <customSheetView guid="{5E394B0B-7867-4722-9497-A93AB2A9A773}" showPageBreaks="1" state="hidden">
      <selection activeCell="F94" sqref="F94"/>
      <pageMargins left="0" right="0" top="0" bottom="0" header="0" footer="0"/>
      <pageSetup orientation="portrait" r:id="rId7"/>
    </customSheetView>
  </customSheetViews>
  <hyperlinks>
    <hyperlink ref="A1" location="'List of tables'!A1" display="'List of tables'!A1" xr:uid="{00000000-0004-0000-4E00-000000000000}"/>
  </hyperlinks>
  <pageMargins left="0.7" right="0.7" top="0.75" bottom="0.75" header="0.3" footer="0.3"/>
  <pageSetup orientation="portrait" r:id="rId8"/>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7030A0"/>
  </sheetPr>
  <dimension ref="B1:R49"/>
  <sheetViews>
    <sheetView showGridLines="0" view="pageBreakPreview" topLeftCell="A5" zoomScale="85" zoomScaleNormal="80" zoomScaleSheetLayoutView="85" workbookViewId="0">
      <selection activeCell="G33" sqref="G33"/>
    </sheetView>
  </sheetViews>
  <sheetFormatPr defaultColWidth="9.140625" defaultRowHeight="13.15"/>
  <cols>
    <col min="1" max="1" width="3.5703125" style="292" customWidth="1"/>
    <col min="2" max="2" width="19.7109375" style="292" customWidth="1"/>
    <col min="3" max="3" width="17.140625" style="292" customWidth="1"/>
    <col min="4" max="4" width="15.5703125" style="292" customWidth="1"/>
    <col min="5" max="5" width="13.140625" style="292" customWidth="1"/>
    <col min="6" max="6" width="14.85546875" style="292" customWidth="1"/>
    <col min="7" max="7" width="8.28515625" style="292" customWidth="1"/>
    <col min="8" max="8" width="18" style="292" customWidth="1"/>
    <col min="9" max="9" width="16.85546875" style="292" customWidth="1"/>
    <col min="10" max="10" width="15.85546875" style="292" customWidth="1"/>
    <col min="11" max="11" width="18.5703125" style="292" customWidth="1"/>
    <col min="12" max="12" width="11.28515625" style="292" customWidth="1"/>
    <col min="13" max="13" width="9.140625" style="292"/>
    <col min="14" max="14" width="17" style="292" bestFit="1" customWidth="1"/>
    <col min="15" max="15" width="12.85546875" style="292" bestFit="1" customWidth="1"/>
    <col min="16" max="16" width="9.140625" style="292"/>
    <col min="17" max="17" width="14.5703125" style="514" customWidth="1"/>
    <col min="18" max="18" width="12.85546875" style="292" bestFit="1" customWidth="1"/>
    <col min="19" max="16384" width="9.140625" style="292"/>
  </cols>
  <sheetData>
    <row r="1" spans="2:18">
      <c r="B1" s="295"/>
      <c r="C1" s="295"/>
      <c r="D1" s="214"/>
      <c r="E1" s="214"/>
      <c r="F1" s="214"/>
      <c r="G1" s="214"/>
      <c r="H1" s="214"/>
      <c r="I1" s="214"/>
    </row>
    <row r="2" spans="2:18">
      <c r="B2" s="218" t="s">
        <v>154</v>
      </c>
      <c r="C2" s="295"/>
      <c r="D2" s="214"/>
      <c r="E2" s="214"/>
      <c r="F2" s="214"/>
      <c r="G2" s="214"/>
      <c r="H2" s="214"/>
      <c r="I2" s="214"/>
    </row>
    <row r="3" spans="2:18">
      <c r="C3" s="295"/>
      <c r="D3" s="214"/>
      <c r="E3" s="214"/>
      <c r="F3" s="214"/>
      <c r="G3" s="214"/>
      <c r="H3" s="214"/>
      <c r="I3" s="214"/>
    </row>
    <row r="4" spans="2:18" s="295" customFormat="1">
      <c r="B4" s="3232" t="s">
        <v>84</v>
      </c>
      <c r="C4" s="3208" t="s">
        <v>138</v>
      </c>
      <c r="D4" s="3201"/>
      <c r="E4" s="3201"/>
      <c r="F4" s="3201"/>
      <c r="G4" s="3202"/>
      <c r="H4" s="3234" t="s">
        <v>147</v>
      </c>
      <c r="I4" s="3235"/>
      <c r="J4" s="3235"/>
      <c r="K4" s="3235"/>
      <c r="L4" s="3236"/>
      <c r="Q4" s="628"/>
    </row>
    <row r="5" spans="2:18" s="295" customFormat="1" ht="52.9">
      <c r="B5" s="3233"/>
      <c r="C5" s="1596" t="s">
        <v>155</v>
      </c>
      <c r="D5" s="1595" t="s">
        <v>156</v>
      </c>
      <c r="E5" s="1122" t="s">
        <v>157</v>
      </c>
      <c r="F5" s="1534" t="s">
        <v>158</v>
      </c>
      <c r="G5" s="1118" t="s">
        <v>159</v>
      </c>
      <c r="H5" s="1594" t="s">
        <v>155</v>
      </c>
      <c r="I5" s="1595" t="s">
        <v>156</v>
      </c>
      <c r="J5" s="1122" t="s">
        <v>157</v>
      </c>
      <c r="K5" s="1534" t="s">
        <v>158</v>
      </c>
      <c r="L5" s="1118" t="s">
        <v>159</v>
      </c>
      <c r="Q5" s="628"/>
    </row>
    <row r="6" spans="2:18" ht="13.9" thickBot="1">
      <c r="B6" s="1597" t="s">
        <v>90</v>
      </c>
      <c r="C6" s="2960">
        <v>72263841.060310006</v>
      </c>
      <c r="D6" s="1579"/>
      <c r="E6" s="1741"/>
      <c r="F6" s="1742">
        <f>+C6+D6+E6</f>
        <v>72263841.060310006</v>
      </c>
      <c r="G6" s="1743">
        <f t="shared" ref="G6:G14" si="0">+F6/$F$33*100</f>
        <v>8.1228412379590278</v>
      </c>
      <c r="H6" s="1744">
        <v>65637781.785591453</v>
      </c>
      <c r="I6" s="1584"/>
      <c r="J6" s="1745"/>
      <c r="K6" s="1715">
        <f>+H6+I6+J6</f>
        <v>65637781.785591453</v>
      </c>
      <c r="L6" s="1746">
        <f t="shared" ref="L6:L14" si="1">+K6/$K$33*100</f>
        <v>6.8209324822066115</v>
      </c>
      <c r="N6" s="514"/>
      <c r="O6" s="396"/>
      <c r="R6" s="396"/>
    </row>
    <row r="7" spans="2:18" ht="13.9" thickTop="1">
      <c r="B7" s="1747" t="s">
        <v>91</v>
      </c>
      <c r="C7" s="1748"/>
      <c r="D7" s="846">
        <v>27581234.102495916</v>
      </c>
      <c r="E7" s="1749"/>
      <c r="F7" s="1742">
        <f t="shared" ref="F7:F32" si="2">+C7+D7+E7</f>
        <v>27581234.102495916</v>
      </c>
      <c r="G7" s="1743">
        <f t="shared" si="0"/>
        <v>3.1002778495344288</v>
      </c>
      <c r="H7" s="1750"/>
      <c r="I7" s="846">
        <v>33798753.001416005</v>
      </c>
      <c r="J7" s="1745"/>
      <c r="K7" s="1715">
        <f t="shared" ref="K7:K33" si="3">+H7+I7+J7</f>
        <v>33798753.001416005</v>
      </c>
      <c r="L7" s="1746">
        <f t="shared" si="1"/>
        <v>3.5122913348671942</v>
      </c>
      <c r="N7" s="514"/>
      <c r="O7" s="396"/>
      <c r="R7" s="396"/>
    </row>
    <row r="8" spans="2:18">
      <c r="B8" s="1747" t="s">
        <v>92</v>
      </c>
      <c r="C8" s="1740">
        <v>8190603.969889815</v>
      </c>
      <c r="D8" s="694"/>
      <c r="E8" s="1741"/>
      <c r="F8" s="1742">
        <f t="shared" si="2"/>
        <v>8190603.969889815</v>
      </c>
      <c r="G8" s="1743">
        <f t="shared" si="0"/>
        <v>0.92066758027554119</v>
      </c>
      <c r="H8" s="1744">
        <v>7988027.4401462488</v>
      </c>
      <c r="I8" s="1584"/>
      <c r="J8" s="1745"/>
      <c r="K8" s="1715">
        <f t="shared" si="3"/>
        <v>7988027.4401462488</v>
      </c>
      <c r="L8" s="1746">
        <f t="shared" si="1"/>
        <v>0.83009806780538975</v>
      </c>
      <c r="N8" s="514"/>
      <c r="O8" s="396"/>
      <c r="R8" s="396"/>
    </row>
    <row r="9" spans="2:18">
      <c r="B9" s="1747" t="s">
        <v>94</v>
      </c>
      <c r="C9" s="1748"/>
      <c r="D9" s="846">
        <v>3523390</v>
      </c>
      <c r="E9" s="1749"/>
      <c r="F9" s="1742">
        <f t="shared" si="2"/>
        <v>3523390</v>
      </c>
      <c r="G9" s="1743">
        <f t="shared" si="0"/>
        <v>0.39604783207588995</v>
      </c>
      <c r="H9" s="1750"/>
      <c r="I9" s="846">
        <v>5062848.2700588591</v>
      </c>
      <c r="J9" s="1745"/>
      <c r="K9" s="1715">
        <f t="shared" si="3"/>
        <v>5062848.2700588591</v>
      </c>
      <c r="L9" s="1746">
        <f t="shared" si="1"/>
        <v>0.52611994613914026</v>
      </c>
      <c r="N9" s="514"/>
      <c r="O9" s="396"/>
      <c r="R9" s="396"/>
    </row>
    <row r="10" spans="2:18">
      <c r="B10" s="1747" t="s">
        <v>93</v>
      </c>
      <c r="C10" s="1740">
        <v>3350253.1020000004</v>
      </c>
      <c r="D10" s="1580"/>
      <c r="E10" s="1741"/>
      <c r="F10" s="1742">
        <f t="shared" si="2"/>
        <v>3350253.1020000004</v>
      </c>
      <c r="G10" s="1743">
        <f t="shared" si="0"/>
        <v>0.3765863211147859</v>
      </c>
      <c r="H10" s="1744">
        <v>3775059.3394728107</v>
      </c>
      <c r="I10" s="1584"/>
      <c r="J10" s="1745"/>
      <c r="K10" s="1715">
        <f t="shared" si="3"/>
        <v>3775059.3394728107</v>
      </c>
      <c r="L10" s="1746">
        <f t="shared" si="1"/>
        <v>0.3922957810332332</v>
      </c>
      <c r="N10" s="514"/>
      <c r="O10" s="396"/>
      <c r="R10" s="396"/>
    </row>
    <row r="11" spans="2:18">
      <c r="B11" s="1747" t="s">
        <v>95</v>
      </c>
      <c r="C11" s="1740">
        <v>4416236.9886413729</v>
      </c>
      <c r="D11" s="1580"/>
      <c r="E11" s="1741"/>
      <c r="F11" s="1742">
        <f t="shared" si="2"/>
        <v>4416236.9886413729</v>
      </c>
      <c r="G11" s="1743">
        <f t="shared" si="0"/>
        <v>0.4964085966313046</v>
      </c>
      <c r="H11" s="1744">
        <v>4690412.1833946649</v>
      </c>
      <c r="I11" s="1584"/>
      <c r="J11" s="1745"/>
      <c r="K11" s="1715">
        <f t="shared" si="3"/>
        <v>4690412.1833946649</v>
      </c>
      <c r="L11" s="1746">
        <f t="shared" si="1"/>
        <v>0.48741721530384313</v>
      </c>
      <c r="N11" s="514"/>
      <c r="O11" s="396"/>
      <c r="R11" s="396"/>
    </row>
    <row r="12" spans="2:18">
      <c r="B12" s="1747" t="s">
        <v>97</v>
      </c>
      <c r="C12" s="1748"/>
      <c r="D12" s="695">
        <v>36648668</v>
      </c>
      <c r="E12" s="1749"/>
      <c r="F12" s="1742">
        <f t="shared" si="2"/>
        <v>36648668</v>
      </c>
      <c r="G12" s="1743">
        <f t="shared" si="0"/>
        <v>4.1195057912604174</v>
      </c>
      <c r="H12" s="1750"/>
      <c r="I12" s="846">
        <v>42701974</v>
      </c>
      <c r="J12" s="1745"/>
      <c r="K12" s="1715">
        <f t="shared" si="3"/>
        <v>42701974</v>
      </c>
      <c r="L12" s="1746">
        <f t="shared" si="1"/>
        <v>4.4374942843495049</v>
      </c>
      <c r="N12" s="514"/>
      <c r="O12" s="396"/>
      <c r="R12" s="396"/>
    </row>
    <row r="13" spans="2:18">
      <c r="B13" s="1747" t="s">
        <v>96</v>
      </c>
      <c r="C13" s="1740">
        <v>173762952.80787936</v>
      </c>
      <c r="D13" s="1580"/>
      <c r="E13" s="1741"/>
      <c r="F13" s="1742">
        <f t="shared" si="2"/>
        <v>173762952.80787936</v>
      </c>
      <c r="G13" s="1743">
        <f t="shared" si="0"/>
        <v>19.531882861297156</v>
      </c>
      <c r="H13" s="1744">
        <v>191531936.83127007</v>
      </c>
      <c r="I13" s="1584"/>
      <c r="J13" s="1745"/>
      <c r="K13" s="1715">
        <f t="shared" si="3"/>
        <v>191531936.83127007</v>
      </c>
      <c r="L13" s="1746">
        <f t="shared" si="1"/>
        <v>19.903573426351471</v>
      </c>
      <c r="N13" s="514"/>
      <c r="O13" s="396"/>
      <c r="R13" s="396"/>
    </row>
    <row r="14" spans="2:18">
      <c r="B14" s="1747" t="s">
        <v>98</v>
      </c>
      <c r="C14" s="1748"/>
      <c r="D14" s="727">
        <v>8478176</v>
      </c>
      <c r="E14" s="1749"/>
      <c r="F14" s="1742">
        <f t="shared" si="2"/>
        <v>8478176</v>
      </c>
      <c r="G14" s="1743">
        <f t="shared" si="0"/>
        <v>0.95299221055796834</v>
      </c>
      <c r="H14" s="1750"/>
      <c r="I14" s="847">
        <v>11678227</v>
      </c>
      <c r="J14" s="1745"/>
      <c r="K14" s="1715">
        <f t="shared" si="3"/>
        <v>11678227</v>
      </c>
      <c r="L14" s="1746">
        <f t="shared" si="1"/>
        <v>1.2135754090393123</v>
      </c>
      <c r="N14" s="514"/>
      <c r="O14" s="396"/>
      <c r="R14" s="396"/>
    </row>
    <row r="15" spans="2:18">
      <c r="B15" s="1747" t="s">
        <v>99</v>
      </c>
      <c r="C15" s="1748"/>
      <c r="D15" s="727"/>
      <c r="E15" s="1749"/>
      <c r="F15" s="1742"/>
      <c r="G15" s="1743"/>
      <c r="H15" s="1750">
        <v>614845.03190368647</v>
      </c>
      <c r="I15" s="847"/>
      <c r="J15" s="1745"/>
      <c r="K15" s="1715"/>
      <c r="L15" s="1746"/>
      <c r="N15" s="514"/>
      <c r="O15" s="396"/>
      <c r="R15" s="396"/>
    </row>
    <row r="16" spans="2:18">
      <c r="B16" s="1747" t="s">
        <v>101</v>
      </c>
      <c r="C16" s="1748"/>
      <c r="D16" s="847">
        <v>9802816</v>
      </c>
      <c r="E16" s="1749"/>
      <c r="F16" s="1742">
        <f t="shared" si="2"/>
        <v>9802816</v>
      </c>
      <c r="G16" s="1743">
        <f t="shared" ref="G16:G32" si="4">+F16/$F$33*100</f>
        <v>1.1018888130575517</v>
      </c>
      <c r="H16" s="1750"/>
      <c r="I16" s="847">
        <v>10404791.01</v>
      </c>
      <c r="J16" s="1745"/>
      <c r="K16" s="1715">
        <f t="shared" si="3"/>
        <v>10404791.01</v>
      </c>
      <c r="L16" s="1746">
        <f t="shared" ref="L16:L32" si="5">+K16/$K$33*100</f>
        <v>1.0812427696369755</v>
      </c>
      <c r="N16" s="514"/>
      <c r="O16" s="396"/>
      <c r="R16" s="396"/>
    </row>
    <row r="17" spans="2:18">
      <c r="B17" s="1747" t="s">
        <v>100</v>
      </c>
      <c r="C17" s="1740">
        <v>3754489.7814721121</v>
      </c>
      <c r="D17" s="1580"/>
      <c r="E17" s="1741"/>
      <c r="F17" s="1742">
        <f t="shared" si="2"/>
        <v>3754489.7814721121</v>
      </c>
      <c r="G17" s="1743">
        <f t="shared" si="4"/>
        <v>0.42202468035134105</v>
      </c>
      <c r="H17" s="1744">
        <v>4436336.7880014498</v>
      </c>
      <c r="I17" s="1584"/>
      <c r="J17" s="1745"/>
      <c r="K17" s="1715">
        <f t="shared" si="3"/>
        <v>4436336.7880014498</v>
      </c>
      <c r="L17" s="1746">
        <f t="shared" si="5"/>
        <v>0.46101426459127809</v>
      </c>
      <c r="N17" s="514"/>
      <c r="O17" s="396"/>
      <c r="R17" s="396"/>
    </row>
    <row r="18" spans="2:18">
      <c r="B18" s="1747" t="s">
        <v>102</v>
      </c>
      <c r="C18" s="1748"/>
      <c r="D18" s="695">
        <v>19312806</v>
      </c>
      <c r="E18" s="1749"/>
      <c r="F18" s="1742">
        <f t="shared" si="2"/>
        <v>19312806</v>
      </c>
      <c r="G18" s="1743">
        <f t="shared" si="4"/>
        <v>2.1708624215889354</v>
      </c>
      <c r="H18" s="1750"/>
      <c r="I18" s="727">
        <v>22190895</v>
      </c>
      <c r="J18" s="1745"/>
      <c r="K18" s="1715">
        <f t="shared" si="3"/>
        <v>22190895</v>
      </c>
      <c r="L18" s="1746">
        <f t="shared" si="5"/>
        <v>2.3060285158503451</v>
      </c>
      <c r="N18" s="514"/>
      <c r="O18" s="396"/>
      <c r="R18" s="396"/>
    </row>
    <row r="19" spans="2:18">
      <c r="B19" s="1747" t="s">
        <v>104</v>
      </c>
      <c r="C19" s="1748"/>
      <c r="D19" s="695">
        <v>7568781</v>
      </c>
      <c r="E19" s="1749"/>
      <c r="F19" s="1742">
        <f t="shared" si="2"/>
        <v>7568781</v>
      </c>
      <c r="G19" s="1743">
        <f t="shared" si="4"/>
        <v>0.85077136124788522</v>
      </c>
      <c r="H19" s="1750"/>
      <c r="I19" s="846">
        <v>8548754</v>
      </c>
      <c r="J19" s="1745"/>
      <c r="K19" s="1715">
        <f t="shared" si="3"/>
        <v>8548754</v>
      </c>
      <c r="L19" s="1746">
        <f t="shared" si="5"/>
        <v>0.88836752636564231</v>
      </c>
      <c r="N19" s="514"/>
      <c r="O19" s="396"/>
      <c r="R19" s="396"/>
    </row>
    <row r="20" spans="2:18">
      <c r="B20" s="1747" t="s">
        <v>103</v>
      </c>
      <c r="C20" s="1740">
        <v>29463952.472932927</v>
      </c>
      <c r="D20" s="1580"/>
      <c r="E20" s="1741"/>
      <c r="F20" s="1742">
        <f t="shared" si="2"/>
        <v>29463952.472932927</v>
      </c>
      <c r="G20" s="1743">
        <f t="shared" si="4"/>
        <v>3.3119054380276216</v>
      </c>
      <c r="H20" s="1744">
        <v>33718618.05231832</v>
      </c>
      <c r="I20" s="1584"/>
      <c r="J20" s="1745"/>
      <c r="K20" s="1715">
        <f t="shared" si="3"/>
        <v>33718618.05231832</v>
      </c>
      <c r="L20" s="1746">
        <f t="shared" si="5"/>
        <v>3.5039638889604166</v>
      </c>
      <c r="N20" s="514"/>
      <c r="O20" s="396"/>
      <c r="R20" s="396"/>
    </row>
    <row r="21" spans="2:18">
      <c r="B21" s="1747" t="s">
        <v>105</v>
      </c>
      <c r="C21" s="855">
        <v>25967793.885696311</v>
      </c>
      <c r="D21" s="1580"/>
      <c r="E21" s="1741"/>
      <c r="F21" s="1742">
        <f t="shared" si="2"/>
        <v>25967793.885696311</v>
      </c>
      <c r="G21" s="1743">
        <f t="shared" si="4"/>
        <v>2.918918562016573</v>
      </c>
      <c r="H21" s="1744">
        <v>28096079.113774732</v>
      </c>
      <c r="I21" s="1584"/>
      <c r="J21" s="1745"/>
      <c r="K21" s="1715">
        <f t="shared" si="3"/>
        <v>28096079.113774732</v>
      </c>
      <c r="L21" s="1746">
        <f t="shared" si="5"/>
        <v>2.9196821317910713</v>
      </c>
      <c r="N21" s="514"/>
      <c r="O21" s="396"/>
      <c r="R21" s="396"/>
    </row>
    <row r="22" spans="2:18">
      <c r="B22" s="1747" t="s">
        <v>106</v>
      </c>
      <c r="C22" s="1740">
        <v>3498535.1417701724</v>
      </c>
      <c r="D22" s="1580"/>
      <c r="E22" s="1741"/>
      <c r="F22" s="1742">
        <f t="shared" si="2"/>
        <v>3498535.1417701724</v>
      </c>
      <c r="G22" s="1743">
        <f t="shared" si="4"/>
        <v>0.39325401341872263</v>
      </c>
      <c r="H22" s="1744">
        <v>3122893.5859539555</v>
      </c>
      <c r="I22" s="1584"/>
      <c r="J22" s="1745"/>
      <c r="K22" s="1715">
        <f t="shared" si="3"/>
        <v>3122893.5859539555</v>
      </c>
      <c r="L22" s="1746">
        <f t="shared" si="5"/>
        <v>0.324524164580832</v>
      </c>
      <c r="N22" s="514"/>
      <c r="O22" s="396"/>
      <c r="R22" s="396"/>
    </row>
    <row r="23" spans="2:18">
      <c r="B23" s="1747" t="s">
        <v>108</v>
      </c>
      <c r="C23" s="1748"/>
      <c r="D23" s="847">
        <v>12000641</v>
      </c>
      <c r="E23" s="1749"/>
      <c r="F23" s="1742">
        <f t="shared" si="2"/>
        <v>12000641</v>
      </c>
      <c r="G23" s="1743">
        <f t="shared" si="4"/>
        <v>1.348936067699301</v>
      </c>
      <c r="H23" s="1750"/>
      <c r="I23" s="847">
        <v>13368614</v>
      </c>
      <c r="J23" s="1745"/>
      <c r="K23" s="1715">
        <f t="shared" si="3"/>
        <v>13368614</v>
      </c>
      <c r="L23" s="1746">
        <f t="shared" si="5"/>
        <v>1.389236671229175</v>
      </c>
      <c r="N23" s="514"/>
      <c r="O23" s="396"/>
      <c r="R23" s="396"/>
    </row>
    <row r="24" spans="2:18">
      <c r="B24" s="1747" t="s">
        <v>107</v>
      </c>
      <c r="C24" s="1740">
        <v>9622145.3646084815</v>
      </c>
      <c r="D24" s="1580"/>
      <c r="E24" s="1741"/>
      <c r="F24" s="1742">
        <f t="shared" si="2"/>
        <v>9622145.3646084815</v>
      </c>
      <c r="G24" s="1743">
        <f t="shared" si="4"/>
        <v>1.0815804698237386</v>
      </c>
      <c r="H24" s="1744">
        <v>10334014.416240945</v>
      </c>
      <c r="I24" s="1584"/>
      <c r="J24" s="1745"/>
      <c r="K24" s="1715">
        <f t="shared" si="3"/>
        <v>10334014.416240945</v>
      </c>
      <c r="L24" s="1746">
        <f t="shared" si="5"/>
        <v>1.0738878232293099</v>
      </c>
      <c r="N24" s="514"/>
      <c r="O24" s="396"/>
      <c r="R24" s="396"/>
    </row>
    <row r="25" spans="2:18">
      <c r="B25" s="1747" t="s">
        <v>109</v>
      </c>
      <c r="C25" s="1740">
        <v>1007546.2412679635</v>
      </c>
      <c r="D25" s="727">
        <v>1326987</v>
      </c>
      <c r="E25" s="1749"/>
      <c r="F25" s="1742">
        <f t="shared" si="2"/>
        <v>2334533.2412679633</v>
      </c>
      <c r="G25" s="1743">
        <f t="shared" si="4"/>
        <v>0.26241399025179657</v>
      </c>
      <c r="H25" s="1744">
        <v>1022385.80265</v>
      </c>
      <c r="I25" s="727">
        <v>1310284</v>
      </c>
      <c r="J25" s="1745"/>
      <c r="K25" s="1715">
        <f t="shared" si="3"/>
        <v>2332669.80265</v>
      </c>
      <c r="L25" s="1746">
        <f t="shared" si="5"/>
        <v>0.24240586434093339</v>
      </c>
      <c r="N25" s="514"/>
      <c r="O25" s="396"/>
      <c r="R25" s="396"/>
    </row>
    <row r="26" spans="2:18">
      <c r="B26" s="1747" t="s">
        <v>110</v>
      </c>
      <c r="C26" s="1748"/>
      <c r="D26" s="1751">
        <v>25395723</v>
      </c>
      <c r="E26" s="1751">
        <v>5532908</v>
      </c>
      <c r="F26" s="1752">
        <f>+E26+D26+C26</f>
        <v>30928631</v>
      </c>
      <c r="G26" s="1743">
        <f t="shared" si="4"/>
        <v>3.4765431180270037</v>
      </c>
      <c r="H26" s="1748"/>
      <c r="I26" s="1751">
        <v>28426397</v>
      </c>
      <c r="J26" s="727">
        <v>9182369</v>
      </c>
      <c r="K26" s="1715">
        <f>+J26+I26+H26</f>
        <v>37608766</v>
      </c>
      <c r="L26" s="1746">
        <f t="shared" si="5"/>
        <v>3.9082194225128335</v>
      </c>
      <c r="N26" s="514"/>
      <c r="O26" s="396"/>
      <c r="R26" s="396"/>
    </row>
    <row r="27" spans="2:18">
      <c r="B27" s="1747" t="s">
        <v>111</v>
      </c>
      <c r="C27" s="1748"/>
      <c r="D27" s="727">
        <v>3194603</v>
      </c>
      <c r="E27" s="1749"/>
      <c r="F27" s="1742">
        <f t="shared" si="2"/>
        <v>3194603</v>
      </c>
      <c r="G27" s="1743">
        <f t="shared" si="4"/>
        <v>0.35909041931013436</v>
      </c>
      <c r="H27" s="1750"/>
      <c r="I27" s="846">
        <v>3866673</v>
      </c>
      <c r="J27" s="1745"/>
      <c r="K27" s="1715">
        <f t="shared" si="3"/>
        <v>3866673</v>
      </c>
      <c r="L27" s="1746">
        <f t="shared" si="5"/>
        <v>0.40181606913414719</v>
      </c>
      <c r="N27" s="514"/>
      <c r="O27" s="396"/>
      <c r="R27" s="396"/>
    </row>
    <row r="28" spans="2:18">
      <c r="B28" s="1753" t="s">
        <v>112</v>
      </c>
      <c r="C28" s="3110"/>
      <c r="D28" s="848">
        <v>11054714.25532</v>
      </c>
      <c r="E28" s="1749"/>
      <c r="F28" s="1742">
        <f t="shared" si="2"/>
        <v>11054714.25532</v>
      </c>
      <c r="G28" s="1743">
        <f t="shared" si="4"/>
        <v>1.2426088554028709</v>
      </c>
      <c r="H28" s="1750"/>
      <c r="I28" s="849">
        <v>11237583.169999998</v>
      </c>
      <c r="J28" s="1745"/>
      <c r="K28" s="1715">
        <f t="shared" si="3"/>
        <v>11237583.169999998</v>
      </c>
      <c r="L28" s="1746">
        <f t="shared" si="5"/>
        <v>1.1677846810261556</v>
      </c>
      <c r="N28" s="514"/>
      <c r="O28" s="396"/>
      <c r="R28" s="396"/>
    </row>
    <row r="29" spans="2:18">
      <c r="B29" s="1120" t="s">
        <v>135</v>
      </c>
      <c r="C29" s="695">
        <v>2668258.6308602979</v>
      </c>
      <c r="D29" s="846">
        <v>1336221</v>
      </c>
      <c r="E29" s="1749"/>
      <c r="F29" s="1742">
        <f t="shared" si="2"/>
        <v>4004479.6308602979</v>
      </c>
      <c r="G29" s="1743">
        <f t="shared" si="4"/>
        <v>0.45012487303258536</v>
      </c>
      <c r="H29" s="1744">
        <v>3020433.5735969343</v>
      </c>
      <c r="I29" s="846">
        <v>1476977</v>
      </c>
      <c r="J29" s="1745"/>
      <c r="K29" s="1715">
        <f t="shared" si="3"/>
        <v>4497410.5735969339</v>
      </c>
      <c r="L29" s="1746">
        <f t="shared" si="5"/>
        <v>0.46736091672739588</v>
      </c>
      <c r="N29" s="514"/>
      <c r="O29" s="396"/>
      <c r="R29" s="396"/>
    </row>
    <row r="30" spans="2:18">
      <c r="B30" s="1120" t="s">
        <v>115</v>
      </c>
      <c r="C30" s="695">
        <v>184615099.59377688</v>
      </c>
      <c r="D30" s="846">
        <v>84192747</v>
      </c>
      <c r="E30" s="1749"/>
      <c r="F30" s="1742">
        <f t="shared" si="2"/>
        <v>268807846.59377688</v>
      </c>
      <c r="G30" s="1743">
        <f t="shared" si="4"/>
        <v>30.21543595470661</v>
      </c>
      <c r="H30" s="1744">
        <v>189404624.71207601</v>
      </c>
      <c r="I30" s="846">
        <v>87433307</v>
      </c>
      <c r="J30" s="1745"/>
      <c r="K30" s="1715">
        <f t="shared" si="3"/>
        <v>276837931.71207601</v>
      </c>
      <c r="L30" s="1746">
        <f t="shared" si="5"/>
        <v>28.768382924486723</v>
      </c>
      <c r="N30" s="514"/>
      <c r="O30" s="396"/>
      <c r="R30" s="396"/>
    </row>
    <row r="31" spans="2:18">
      <c r="B31" s="1121" t="s">
        <v>144</v>
      </c>
      <c r="C31" s="696">
        <v>39343731.5</v>
      </c>
      <c r="D31" s="1581"/>
      <c r="E31" s="1741"/>
      <c r="F31" s="1742">
        <f t="shared" si="2"/>
        <v>39343731.5</v>
      </c>
      <c r="G31" s="1743">
        <f t="shared" si="4"/>
        <v>4.4224453058988367</v>
      </c>
      <c r="H31" s="1744">
        <v>48248343</v>
      </c>
      <c r="I31" s="1584"/>
      <c r="J31" s="1745"/>
      <c r="K31" s="1715">
        <f>+H31+I31+J31</f>
        <v>48248343</v>
      </c>
      <c r="L31" s="1746">
        <f t="shared" si="5"/>
        <v>5.0138606307013927</v>
      </c>
      <c r="N31" s="514"/>
      <c r="O31" s="396"/>
      <c r="R31" s="396"/>
    </row>
    <row r="32" spans="2:18">
      <c r="B32" s="1747" t="s">
        <v>117</v>
      </c>
      <c r="C32" s="1740">
        <v>70761636</v>
      </c>
      <c r="D32" s="1580"/>
      <c r="E32" s="1741"/>
      <c r="F32" s="1742">
        <f t="shared" si="2"/>
        <v>70761636</v>
      </c>
      <c r="G32" s="1743">
        <f t="shared" si="4"/>
        <v>7.9539853754319694</v>
      </c>
      <c r="H32" s="1744">
        <v>75969007</v>
      </c>
      <c r="I32" s="1584"/>
      <c r="J32" s="1745"/>
      <c r="K32" s="1715">
        <f>+H32+I32+J32</f>
        <v>75969007</v>
      </c>
      <c r="L32" s="1746">
        <f t="shared" si="5"/>
        <v>7.8945304577771411</v>
      </c>
      <c r="N32" s="514"/>
      <c r="O32" s="396"/>
      <c r="R32" s="396"/>
    </row>
    <row r="33" spans="2:18" s="295" customFormat="1">
      <c r="B33" s="1754" t="s">
        <v>160</v>
      </c>
      <c r="C33" s="1691">
        <f>SUM(C6:C32)</f>
        <v>632687076.54110563</v>
      </c>
      <c r="D33" s="1582">
        <f>SUM(D6:D32)</f>
        <v>251417507.35781592</v>
      </c>
      <c r="E33" s="1719">
        <f>SUM(E6:E32)</f>
        <v>5532908</v>
      </c>
      <c r="F33" s="1719">
        <f t="shared" ref="F33:J33" si="6">SUM(F6:F32)</f>
        <v>889637491.89892161</v>
      </c>
      <c r="G33" s="1719">
        <f t="shared" si="6"/>
        <v>99.999999999999986</v>
      </c>
      <c r="H33" s="1719">
        <f t="shared" si="6"/>
        <v>671610798.65639126</v>
      </c>
      <c r="I33" s="1583">
        <f t="shared" si="6"/>
        <v>281506077.45147491</v>
      </c>
      <c r="J33" s="1737">
        <f t="shared" si="6"/>
        <v>9182369</v>
      </c>
      <c r="K33" s="1691">
        <f t="shared" si="3"/>
        <v>962299245.10786617</v>
      </c>
      <c r="L33" s="1719">
        <f>SUM(L6:L32)</f>
        <v>99.936106670037461</v>
      </c>
      <c r="N33" s="514"/>
      <c r="O33" s="396"/>
      <c r="Q33" s="514"/>
      <c r="R33" s="396"/>
    </row>
    <row r="35" spans="2:18">
      <c r="B35" s="384"/>
      <c r="C35" s="384"/>
      <c r="D35" s="384"/>
      <c r="E35" s="384"/>
      <c r="L35" s="396"/>
    </row>
    <row r="36" spans="2:18">
      <c r="E36" s="396"/>
      <c r="H36" s="396"/>
    </row>
    <row r="37" spans="2:18">
      <c r="B37" s="551"/>
      <c r="D37" s="396"/>
      <c r="E37" s="396"/>
      <c r="H37" s="396"/>
    </row>
    <row r="38" spans="2:18">
      <c r="B38" s="52"/>
      <c r="C38" s="396">
        <f>+C33-'12. Balance Sheet - 2021-LI'!D37</f>
        <v>0</v>
      </c>
      <c r="D38" s="396">
        <f>+D33-('16. BS 2021 GI'!D32+'16. BS 2021 GI'!E32)</f>
        <v>0</v>
      </c>
      <c r="H38" s="396">
        <f>+H33-'11. Balance Sheet - 2022-LI '!D37</f>
        <v>0</v>
      </c>
      <c r="I38" s="396">
        <f>+I33-('15. BS 2022 GI '!D32+'15. BS 2022 GI '!E32)</f>
        <v>0</v>
      </c>
    </row>
    <row r="39" spans="2:18">
      <c r="B39" s="52"/>
      <c r="E39" s="490"/>
      <c r="F39" s="490"/>
      <c r="G39" s="490"/>
      <c r="H39" s="490"/>
      <c r="I39" s="490"/>
    </row>
    <row r="40" spans="2:18">
      <c r="B40" s="37"/>
      <c r="D40" s="396"/>
      <c r="I40" s="514"/>
    </row>
    <row r="41" spans="2:18">
      <c r="B41" s="614"/>
      <c r="D41" s="396"/>
    </row>
    <row r="42" spans="2:18">
      <c r="C42" s="396"/>
      <c r="E42" s="396"/>
    </row>
    <row r="43" spans="2:18">
      <c r="C43" s="396"/>
      <c r="I43" s="396"/>
      <c r="J43" s="396"/>
    </row>
    <row r="44" spans="2:18">
      <c r="C44" s="396"/>
    </row>
    <row r="45" spans="2:18">
      <c r="C45" s="396"/>
    </row>
    <row r="46" spans="2:18">
      <c r="B46" s="615"/>
      <c r="C46" s="550"/>
    </row>
    <row r="48" spans="2:18">
      <c r="D48" s="396"/>
    </row>
    <row r="49" spans="4:4">
      <c r="D49" s="396"/>
    </row>
  </sheetData>
  <sheetProtection selectLockedCells="1" selectUnlockedCells="1"/>
  <mergeCells count="3">
    <mergeCell ref="B4:B5"/>
    <mergeCell ref="H4:L4"/>
    <mergeCell ref="C4:G4"/>
  </mergeCells>
  <pageMargins left="0.31" right="0.2" top="0.18" bottom="0.23" header="0.3" footer="0.3"/>
  <pageSetup paperSize="9" scale="66" orientation="landscape"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Sheet60"/>
  <dimension ref="A1:G8"/>
  <sheetViews>
    <sheetView workbookViewId="0">
      <selection activeCell="F94" sqref="F94"/>
    </sheetView>
  </sheetViews>
  <sheetFormatPr defaultRowHeight="14.45"/>
  <cols>
    <col min="1" max="1" width="7.42578125" customWidth="1"/>
    <col min="2" max="2" width="17.5703125" customWidth="1"/>
    <col min="3" max="3" width="18.7109375" customWidth="1"/>
    <col min="4" max="4" width="13.28515625" bestFit="1" customWidth="1"/>
    <col min="5" max="5" width="17.7109375" customWidth="1"/>
    <col min="6" max="6" width="19.28515625" customWidth="1"/>
    <col min="7" max="7" width="9.5703125" customWidth="1"/>
  </cols>
  <sheetData>
    <row r="1" spans="1:7">
      <c r="B1" t="s">
        <v>862</v>
      </c>
    </row>
    <row r="3" spans="1:7" ht="15" customHeight="1">
      <c r="A3" s="3104"/>
      <c r="B3" s="3711" t="s">
        <v>263</v>
      </c>
      <c r="C3" s="3712"/>
      <c r="D3" s="3713"/>
      <c r="E3" s="3714" t="s">
        <v>397</v>
      </c>
      <c r="F3" s="3715"/>
      <c r="G3" s="3716"/>
    </row>
    <row r="4" spans="1:7" s="113" customFormat="1" ht="28.9">
      <c r="A4" s="115"/>
      <c r="B4" s="1693" t="s">
        <v>999</v>
      </c>
      <c r="C4" s="1693" t="s">
        <v>1000</v>
      </c>
      <c r="D4" s="1693" t="s">
        <v>1001</v>
      </c>
      <c r="E4" s="1693" t="s">
        <v>1002</v>
      </c>
      <c r="F4" s="1693" t="s">
        <v>1003</v>
      </c>
      <c r="G4" s="1693" t="s">
        <v>1001</v>
      </c>
    </row>
    <row r="5" spans="1:7" s="43" customFormat="1" ht="17.45" customHeight="1">
      <c r="A5" s="2953">
        <v>2010</v>
      </c>
      <c r="B5" s="2950" t="e">
        <f>+#REF!+#REF!+#REF!+#REF!+#REF!+#REF!+#REF!+#REF!+#REF!+#REF!</f>
        <v>#REF!</v>
      </c>
      <c r="C5" s="2954" t="e">
        <f>+#REF!</f>
        <v>#REF!</v>
      </c>
      <c r="D5" s="2955" t="e">
        <f>+C5/B5*100</f>
        <v>#REF!</v>
      </c>
      <c r="E5" s="2954" t="e">
        <f>+#REF!+#REF!+#REF!+#REF!+#REF!+#REF!+#REF!+#REF!+#REF!+#REF!+#REF!+#REF!</f>
        <v>#REF!</v>
      </c>
      <c r="F5" s="2954" t="e">
        <f>+#REF!</f>
        <v>#REF!</v>
      </c>
      <c r="G5" s="2955" t="e">
        <f>+F5/E5*100</f>
        <v>#REF!</v>
      </c>
    </row>
    <row r="6" spans="1:7" s="43" customFormat="1" ht="17.45" customHeight="1">
      <c r="A6" s="2953">
        <v>2011</v>
      </c>
      <c r="B6" s="2954" t="e">
        <f>+#REF!+#REF!+#REF!+#REF!+#REF!+#REF!+#REF!+#REF!</f>
        <v>#REF!</v>
      </c>
      <c r="C6" s="2954" t="e">
        <f>+#REF!</f>
        <v>#REF!</v>
      </c>
      <c r="D6" s="2955" t="e">
        <f>+C6/B6*100</f>
        <v>#REF!</v>
      </c>
      <c r="E6" s="2954" t="e">
        <f>+#REF!+#REF!+#REF!+#REF!+#REF!+#REF!+#REF!</f>
        <v>#REF!</v>
      </c>
      <c r="F6" s="2954" t="e">
        <f>+#REF!</f>
        <v>#REF!</v>
      </c>
      <c r="G6" s="2955" t="e">
        <f>+F6/E6*100</f>
        <v>#REF!</v>
      </c>
    </row>
    <row r="7" spans="1:7">
      <c r="C7" s="114"/>
      <c r="D7" s="114"/>
      <c r="F7" s="114"/>
      <c r="G7" s="114"/>
    </row>
    <row r="8" spans="1:7">
      <c r="C8" s="114"/>
      <c r="D8" s="114"/>
      <c r="F8" s="114"/>
      <c r="G8" s="114"/>
    </row>
  </sheetData>
  <customSheetViews>
    <customSheetView guid="{2ACFE167-4169-43A6-9AB2-59D5A2DA2DB4}" showPageBreaks="1" state="hidden">
      <selection activeCell="F94" sqref="F94"/>
      <pageMargins left="0" right="0" top="0" bottom="0" header="0" footer="0"/>
      <pageSetup orientation="portrait" r:id="rId1"/>
    </customSheetView>
    <customSheetView guid="{967E0446-E234-427F-8E57-7FE287052E2E}" showPageBreaks="1" state="hidden">
      <selection activeCell="F94" sqref="F94"/>
      <pageMargins left="0" right="0" top="0" bottom="0" header="0" footer="0"/>
      <pageSetup orientation="portrait" r:id="rId2"/>
    </customSheetView>
    <customSheetView guid="{B2E1A0C6-5BA1-4CF1-B412-16D81FCDF11F}" state="hidden">
      <selection activeCell="F94" sqref="F94"/>
      <pageMargins left="0" right="0" top="0" bottom="0" header="0" footer="0"/>
      <pageSetup orientation="portrait" r:id="rId3"/>
    </customSheetView>
    <customSheetView guid="{46F31544-8E6F-41C5-8628-1D6EE074AF15}" state="hidden">
      <selection activeCell="F94" sqref="F94"/>
      <pageMargins left="0" right="0" top="0" bottom="0" header="0" footer="0"/>
      <pageSetup orientation="portrait" r:id="rId4"/>
    </customSheetView>
    <customSheetView guid="{E82B35BE-4719-4C53-A9EF-1CC6F153A6F3}" state="hidden">
      <selection activeCell="F94" sqref="F94"/>
      <pageMargins left="0" right="0" top="0" bottom="0" header="0" footer="0"/>
    </customSheetView>
    <customSheetView guid="{B1E1B596-A9A1-411D-A882-A48CB025B978}" state="hidden">
      <selection activeCell="F94" sqref="F94"/>
      <pageMargins left="0" right="0" top="0" bottom="0" header="0" footer="0"/>
      <pageSetup orientation="portrait" r:id="rId5"/>
    </customSheetView>
    <customSheetView guid="{5E394B0B-7867-4722-9497-A93AB2A9A773}" showPageBreaks="1" state="hidden">
      <selection activeCell="F94" sqref="F94"/>
      <pageMargins left="0" right="0" top="0" bottom="0" header="0" footer="0"/>
      <pageSetup orientation="portrait" r:id="rId6"/>
    </customSheetView>
  </customSheetViews>
  <mergeCells count="2">
    <mergeCell ref="B3:D3"/>
    <mergeCell ref="E3:G3"/>
  </mergeCells>
  <pageMargins left="0.7" right="0.7" top="0.75" bottom="0.75" header="0.3" footer="0.3"/>
  <pageSetup orientation="portrait" r:id="rId7"/>
</worksheet>
</file>

<file path=xl/worksheets/sheet8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Sheet61">
    <tabColor rgb="FFC00000"/>
  </sheetPr>
  <dimension ref="A1:H422"/>
  <sheetViews>
    <sheetView workbookViewId="0">
      <selection activeCell="F94" sqref="F94"/>
    </sheetView>
  </sheetViews>
  <sheetFormatPr defaultRowHeight="14.45"/>
  <cols>
    <col min="1" max="1" width="44" customWidth="1"/>
    <col min="2" max="2" width="24" style="146" customWidth="1"/>
    <col min="3" max="3" width="19.28515625" style="136" customWidth="1"/>
    <col min="4" max="4" width="16.7109375" customWidth="1"/>
    <col min="5" max="5" width="20.42578125" style="118" customWidth="1"/>
    <col min="6" max="6" width="16.85546875" customWidth="1"/>
    <col min="8" max="8" width="12.5703125" bestFit="1" customWidth="1"/>
  </cols>
  <sheetData>
    <row r="1" spans="1:6" ht="26.25" customHeight="1">
      <c r="A1" s="2956" t="s">
        <v>1004</v>
      </c>
      <c r="B1" s="3719" t="s">
        <v>1005</v>
      </c>
      <c r="C1" s="3719"/>
      <c r="D1" s="3676" t="s">
        <v>1006</v>
      </c>
      <c r="E1" s="3676"/>
    </row>
    <row r="2" spans="1:6" ht="18">
      <c r="A2" s="119" t="s">
        <v>1007</v>
      </c>
      <c r="B2" s="3717" t="s">
        <v>1008</v>
      </c>
      <c r="C2" s="3718"/>
      <c r="D2" s="99" t="s">
        <v>1009</v>
      </c>
      <c r="E2" s="120"/>
    </row>
    <row r="3" spans="1:6">
      <c r="B3" s="137" t="s">
        <v>1010</v>
      </c>
      <c r="C3" s="129" t="s">
        <v>1011</v>
      </c>
      <c r="D3" s="99" t="s">
        <v>1010</v>
      </c>
      <c r="E3" s="120" t="s">
        <v>1011</v>
      </c>
    </row>
    <row r="4" spans="1:6">
      <c r="B4" s="138"/>
      <c r="C4" s="130"/>
      <c r="D4" s="99"/>
      <c r="E4" s="120"/>
    </row>
    <row r="5" spans="1:6">
      <c r="A5" s="15" t="s">
        <v>1012</v>
      </c>
      <c r="B5" s="138">
        <f>B6/B7</f>
        <v>7.4446530832439333</v>
      </c>
      <c r="C5" s="130">
        <f>C6/C7</f>
        <v>2.4559056619261446</v>
      </c>
      <c r="D5" s="99">
        <v>6.4229816726198834</v>
      </c>
      <c r="E5" s="120">
        <v>2.1220730372971062</v>
      </c>
      <c r="F5" t="s">
        <v>1013</v>
      </c>
    </row>
    <row r="6" spans="1:6">
      <c r="A6" s="122" t="s">
        <v>1014</v>
      </c>
      <c r="B6" s="139">
        <f>+'LI - Solvency'!F8*1000</f>
        <v>43875264307.253418</v>
      </c>
      <c r="C6" s="131">
        <f>+'GI - Solvency'!G8*1000</f>
        <v>22334909318.537029</v>
      </c>
      <c r="D6" s="58">
        <v>33397606.916877665</v>
      </c>
      <c r="E6" s="128">
        <v>16834876.232952002</v>
      </c>
      <c r="F6" s="14"/>
    </row>
    <row r="7" spans="1:6">
      <c r="A7" t="s">
        <v>1015</v>
      </c>
      <c r="B7" s="139">
        <f>+'LI - Solvency'!F11*1000</f>
        <v>5893527047.7553549</v>
      </c>
      <c r="C7" s="131">
        <f>+'GI - Solvency'!G9*1000</f>
        <v>9094367778.3697777</v>
      </c>
      <c r="D7" s="58">
        <v>5199704.5327478014</v>
      </c>
      <c r="E7" s="128">
        <v>7933221.8717573723</v>
      </c>
    </row>
    <row r="8" spans="1:6">
      <c r="B8" s="138"/>
      <c r="C8" s="130"/>
      <c r="D8" s="58"/>
      <c r="E8" s="128"/>
    </row>
    <row r="9" spans="1:6">
      <c r="A9" s="15" t="s">
        <v>1016</v>
      </c>
      <c r="B9" s="138"/>
      <c r="C9" s="130" t="e">
        <f>C10/C11</f>
        <v>#REF!</v>
      </c>
      <c r="D9" s="99"/>
      <c r="E9" s="120">
        <v>0.20476102236625784</v>
      </c>
    </row>
    <row r="10" spans="1:6">
      <c r="A10" s="122" t="s">
        <v>1017</v>
      </c>
      <c r="B10" s="140" t="s">
        <v>1018</v>
      </c>
      <c r="C10" s="131">
        <f>+'SH Funds'!J31</f>
        <v>6464598426.5438995</v>
      </c>
      <c r="D10" s="99" t="s">
        <v>1018</v>
      </c>
      <c r="E10" s="128">
        <v>53916643.992601588</v>
      </c>
      <c r="F10" t="s">
        <v>1013</v>
      </c>
    </row>
    <row r="11" spans="1:6">
      <c r="A11" t="s">
        <v>1019</v>
      </c>
      <c r="B11" s="140"/>
      <c r="C11" s="131" t="e">
        <f>+'AR Table 8 &amp; Chart 9'!L28</f>
        <v>#REF!</v>
      </c>
      <c r="D11" s="99"/>
      <c r="E11" s="128">
        <v>263314977.47730723</v>
      </c>
    </row>
    <row r="12" spans="1:6">
      <c r="B12" s="140"/>
      <c r="C12" s="130"/>
      <c r="D12" s="99"/>
      <c r="E12" s="120"/>
    </row>
    <row r="13" spans="1:6">
      <c r="A13" s="15" t="s">
        <v>1020</v>
      </c>
      <c r="B13" s="140"/>
      <c r="C13" s="130" t="e">
        <f>C14/C15</f>
        <v>#REF!</v>
      </c>
      <c r="D13" s="99"/>
      <c r="E13" s="120">
        <v>1.812862553780511</v>
      </c>
    </row>
    <row r="14" spans="1:6">
      <c r="A14" s="122" t="s">
        <v>1021</v>
      </c>
      <c r="B14" s="140" t="s">
        <v>1018</v>
      </c>
      <c r="C14" s="131">
        <f>+C10</f>
        <v>6464598426.5438995</v>
      </c>
      <c r="D14" s="99" t="s">
        <v>1018</v>
      </c>
      <c r="E14" s="128">
        <v>53916643.992601603</v>
      </c>
      <c r="F14" t="s">
        <v>1013</v>
      </c>
    </row>
    <row r="15" spans="1:6">
      <c r="A15" t="s">
        <v>1022</v>
      </c>
      <c r="B15" s="140"/>
      <c r="C15" s="131" t="e">
        <f>+#REF!</f>
        <v>#REF!</v>
      </c>
      <c r="D15" s="99"/>
      <c r="E15" s="128">
        <v>29741164.811510276</v>
      </c>
    </row>
    <row r="16" spans="1:6">
      <c r="B16" s="140"/>
      <c r="C16" s="130"/>
      <c r="D16" s="99"/>
      <c r="E16" s="120"/>
    </row>
    <row r="17" spans="1:6">
      <c r="A17" s="15" t="s">
        <v>1023</v>
      </c>
      <c r="B17" s="140"/>
      <c r="C17" s="147" t="e">
        <f>C18/C19</f>
        <v>#REF!</v>
      </c>
      <c r="D17" s="99"/>
      <c r="E17" s="120">
        <f>119.71108270568/100</f>
        <v>1.1971108270568001</v>
      </c>
      <c r="F17" t="s">
        <v>1013</v>
      </c>
    </row>
    <row r="18" spans="1:6">
      <c r="A18" s="122" t="s">
        <v>1024</v>
      </c>
      <c r="B18" s="140" t="s">
        <v>1018</v>
      </c>
      <c r="C18" s="131">
        <f>+Retention!G11-Retention!G19</f>
        <v>35701142.879671231</v>
      </c>
      <c r="D18" s="99" t="s">
        <v>1018</v>
      </c>
      <c r="E18" s="128">
        <v>35603470.40513964</v>
      </c>
    </row>
    <row r="19" spans="1:6">
      <c r="A19" t="s">
        <v>1025</v>
      </c>
      <c r="B19" s="138"/>
      <c r="C19" s="131" t="e">
        <f>+C15</f>
        <v>#REF!</v>
      </c>
      <c r="D19" s="99"/>
      <c r="E19" s="128">
        <v>29741164.811510276</v>
      </c>
    </row>
    <row r="20" spans="1:6">
      <c r="B20" s="138"/>
      <c r="C20" s="130"/>
      <c r="D20" s="99"/>
      <c r="E20" s="120"/>
    </row>
    <row r="21" spans="1:6" ht="18">
      <c r="A21" s="119" t="s">
        <v>1026</v>
      </c>
      <c r="B21" s="138"/>
      <c r="C21" s="130"/>
      <c r="D21" s="99"/>
      <c r="E21" s="120"/>
    </row>
    <row r="22" spans="1:6">
      <c r="B22" s="138"/>
      <c r="C22" s="130"/>
      <c r="D22" s="99"/>
      <c r="E22" s="120"/>
    </row>
    <row r="23" spans="1:6">
      <c r="A23" s="15" t="s">
        <v>1027</v>
      </c>
      <c r="B23" s="138" t="e">
        <f>B24/B25*100</f>
        <v>#REF!</v>
      </c>
      <c r="C23" s="130" t="e">
        <f>C24/C25*100</f>
        <v>#REF!</v>
      </c>
      <c r="D23" s="99">
        <v>19.482610355651612</v>
      </c>
      <c r="E23" s="120">
        <v>11.495809750545169</v>
      </c>
    </row>
    <row r="24" spans="1:6">
      <c r="A24" s="122" t="s">
        <v>1028</v>
      </c>
      <c r="B24" s="139" t="e">
        <f>+#REF!</f>
        <v>#REF!</v>
      </c>
      <c r="C24" s="131" t="e">
        <f>+#REF!</f>
        <v>#REF!</v>
      </c>
      <c r="D24" s="58">
        <v>6830875.2230580654</v>
      </c>
      <c r="E24" s="128">
        <v>5221345.1538280388</v>
      </c>
      <c r="F24" t="s">
        <v>1013</v>
      </c>
    </row>
    <row r="25" spans="1:6">
      <c r="A25" t="s">
        <v>342</v>
      </c>
      <c r="B25" s="139" t="e">
        <f>+'New - LT'!G20</f>
        <v>#REF!</v>
      </c>
      <c r="C25" s="131" t="e">
        <f>+#REF!</f>
        <v>#REF!</v>
      </c>
      <c r="D25" s="58">
        <v>35061396.282949999</v>
      </c>
      <c r="E25" s="128">
        <v>45419550.837472983</v>
      </c>
    </row>
    <row r="26" spans="1:6">
      <c r="B26" s="138"/>
      <c r="C26" s="130"/>
      <c r="D26" s="99"/>
      <c r="E26" s="120"/>
    </row>
    <row r="27" spans="1:6">
      <c r="A27" s="15" t="s">
        <v>1029</v>
      </c>
      <c r="B27" s="138" t="e">
        <f>B28/B29*100</f>
        <v>#REF!</v>
      </c>
      <c r="C27" s="130" t="e">
        <f>C28/C29*100</f>
        <v>#REF!</v>
      </c>
      <c r="D27" s="99">
        <v>-12.714676770843084</v>
      </c>
      <c r="E27" s="120">
        <v>24.531531534978431</v>
      </c>
    </row>
    <row r="28" spans="1:6">
      <c r="A28" s="122" t="s">
        <v>1030</v>
      </c>
      <c r="B28" s="139" t="e">
        <f>+#REF!</f>
        <v>#REF!</v>
      </c>
      <c r="C28" s="131" t="e">
        <f>+#REF!</f>
        <v>#REF!</v>
      </c>
      <c r="D28" s="58">
        <v>-4295651.0651600305</v>
      </c>
      <c r="E28" s="128">
        <v>7772339.9355637031</v>
      </c>
    </row>
    <row r="29" spans="1:6">
      <c r="A29" t="s">
        <v>1031</v>
      </c>
      <c r="B29" s="139" t="e">
        <f>+#REF!</f>
        <v>#REF!</v>
      </c>
      <c r="C29" s="131" t="e">
        <f>+#REF!</f>
        <v>#REF!</v>
      </c>
      <c r="D29" s="58">
        <v>33784980.480279997</v>
      </c>
      <c r="E29" s="128">
        <v>31683060.327813067</v>
      </c>
    </row>
    <row r="30" spans="1:6">
      <c r="B30" s="138"/>
      <c r="C30" s="130"/>
      <c r="D30" s="99"/>
      <c r="E30" s="120"/>
    </row>
    <row r="31" spans="1:6">
      <c r="A31" s="15" t="s">
        <v>1032</v>
      </c>
      <c r="B31" s="138" t="e">
        <f>B32/B33*100</f>
        <v>#REF!</v>
      </c>
      <c r="C31" s="130" t="e">
        <f>C32/C33*100</f>
        <v>#REF!</v>
      </c>
      <c r="D31" s="99">
        <v>4.5577175127732055</v>
      </c>
      <c r="E31" s="120">
        <v>5.6201526582369574</v>
      </c>
      <c r="F31" s="16"/>
    </row>
    <row r="32" spans="1:6">
      <c r="A32" s="122" t="s">
        <v>1033</v>
      </c>
      <c r="B32" s="141" t="e">
        <f>+B24</f>
        <v>#REF!</v>
      </c>
      <c r="C32" s="132" t="e">
        <f>+C24</f>
        <v>#REF!</v>
      </c>
      <c r="D32" s="58">
        <v>6830875.2230580654</v>
      </c>
      <c r="E32" s="128">
        <v>5221345.1538280388</v>
      </c>
    </row>
    <row r="33" spans="1:6">
      <c r="A33" t="s">
        <v>1034</v>
      </c>
      <c r="B33" s="142" t="e">
        <f>+('AR Table 8 &amp; Chart 9'!D28+'AR Table 8 &amp; Chart 9'!I28)/2</f>
        <v>#REF!</v>
      </c>
      <c r="C33" s="132" t="e">
        <f>+('AR Table 8 &amp; Chart 9'!E28+'AR Table 8 &amp; Chart 9'!J28)/2</f>
        <v>#REF!</v>
      </c>
      <c r="D33" s="58">
        <v>149874914.44816917</v>
      </c>
      <c r="E33" s="128">
        <v>92903973.812447563</v>
      </c>
      <c r="F33" t="s">
        <v>1035</v>
      </c>
    </row>
    <row r="34" spans="1:6">
      <c r="B34" s="138"/>
      <c r="C34" s="130"/>
      <c r="D34" s="99"/>
      <c r="E34" s="120"/>
    </row>
    <row r="35" spans="1:6">
      <c r="A35" s="15" t="s">
        <v>1036</v>
      </c>
      <c r="B35" s="138"/>
      <c r="C35" s="130" t="e">
        <f>C36/C37*100</f>
        <v>#REF!</v>
      </c>
      <c r="D35" s="99"/>
      <c r="E35" s="120">
        <v>11.048426632268191</v>
      </c>
    </row>
    <row r="36" spans="1:6">
      <c r="A36" s="123" t="s">
        <v>1037</v>
      </c>
      <c r="B36" s="138"/>
      <c r="C36" s="131" t="e">
        <f>C32</f>
        <v>#REF!</v>
      </c>
      <c r="D36" s="99"/>
      <c r="E36" s="128">
        <v>5221345.1538280388</v>
      </c>
      <c r="F36" t="s">
        <v>1038</v>
      </c>
    </row>
    <row r="37" spans="1:6">
      <c r="A37" t="s">
        <v>1039</v>
      </c>
      <c r="B37" s="140" t="s">
        <v>1018</v>
      </c>
      <c r="C37" s="131">
        <f>+('SH Funds'!D31+'SH Funds'!J31)/2</f>
        <v>5925314901.4697399</v>
      </c>
      <c r="D37" s="99" t="s">
        <v>1018</v>
      </c>
      <c r="E37" s="128">
        <v>47258721.333031297</v>
      </c>
      <c r="F37" s="58">
        <f>+C37*2</f>
        <v>11850629802.93948</v>
      </c>
    </row>
    <row r="38" spans="1:6">
      <c r="B38" s="138"/>
      <c r="C38" s="130"/>
      <c r="D38" s="99"/>
      <c r="E38" s="120"/>
    </row>
    <row r="39" spans="1:6">
      <c r="A39" s="15" t="s">
        <v>1040</v>
      </c>
      <c r="B39" s="143" t="e">
        <f>B41+B45</f>
        <v>#REF!</v>
      </c>
      <c r="C39" s="133" t="e">
        <f>C41+C45</f>
        <v>#REF!</v>
      </c>
      <c r="D39" s="99">
        <v>59.025917816703299</v>
      </c>
      <c r="E39" s="120">
        <v>82.281237106467401</v>
      </c>
    </row>
    <row r="40" spans="1:6">
      <c r="A40" s="15"/>
      <c r="B40" s="138"/>
      <c r="C40" s="130"/>
      <c r="D40" s="99"/>
      <c r="E40" s="120"/>
    </row>
    <row r="41" spans="1:6">
      <c r="A41" s="15" t="s">
        <v>1041</v>
      </c>
      <c r="B41" s="138" t="e">
        <f>B42/B43*100</f>
        <v>#REF!</v>
      </c>
      <c r="C41" s="130">
        <f>C42/C43*100</f>
        <v>63.775593390401454</v>
      </c>
      <c r="D41" s="99">
        <v>32.945395280417088</v>
      </c>
      <c r="E41" s="120">
        <v>60.085653442197916</v>
      </c>
    </row>
    <row r="42" spans="1:6">
      <c r="A42" s="122" t="s">
        <v>1042</v>
      </c>
      <c r="B42" s="139" t="e">
        <f>-#REF!</f>
        <v>#REF!</v>
      </c>
      <c r="C42" s="131">
        <f>+'Comb Ratio'!F19</f>
        <v>20291733.630306304</v>
      </c>
      <c r="D42" s="58">
        <v>11130595.364640001</v>
      </c>
      <c r="E42" s="128">
        <v>19036973.828452256</v>
      </c>
      <c r="F42" s="120"/>
    </row>
    <row r="43" spans="1:6">
      <c r="A43" t="s">
        <v>1031</v>
      </c>
      <c r="B43" s="139" t="e">
        <f>+B29</f>
        <v>#REF!</v>
      </c>
      <c r="C43" s="131">
        <f>+'Comb Ratio'!F11</f>
        <v>31817396.830932993</v>
      </c>
      <c r="D43" s="58">
        <v>33784980.480279997</v>
      </c>
      <c r="E43" s="128">
        <v>31683060.327813067</v>
      </c>
    </row>
    <row r="44" spans="1:6">
      <c r="B44" s="138"/>
      <c r="C44" s="130"/>
      <c r="D44" s="99"/>
      <c r="E44" s="120"/>
    </row>
    <row r="45" spans="1:6">
      <c r="A45" s="15" t="s">
        <v>1043</v>
      </c>
      <c r="B45" s="138" t="e">
        <f>B46/B47*100</f>
        <v>#REF!</v>
      </c>
      <c r="C45" s="130" t="e">
        <f>C46/C47*100</f>
        <v>#REF!</v>
      </c>
      <c r="D45" s="99">
        <v>26.080522536286203</v>
      </c>
      <c r="E45" s="120">
        <v>22.195583664269442</v>
      </c>
    </row>
    <row r="46" spans="1:6">
      <c r="A46" s="122" t="s">
        <v>461</v>
      </c>
      <c r="B46" s="139" t="e">
        <f>-#REF!-#REF!-#REF!</f>
        <v>#REF!</v>
      </c>
      <c r="C46" s="131" t="e">
        <f>-#REF!-#REF!-#REF!-#REF!</f>
        <v>#REF!</v>
      </c>
      <c r="D46" s="58">
        <v>8811299.4480393194</v>
      </c>
      <c r="E46" s="128">
        <v>7032240.162460709</v>
      </c>
    </row>
    <row r="47" spans="1:6">
      <c r="A47" t="s">
        <v>1031</v>
      </c>
      <c r="B47" s="139" t="e">
        <f>B43</f>
        <v>#REF!</v>
      </c>
      <c r="C47" s="131">
        <f>C43</f>
        <v>31817396.830932993</v>
      </c>
      <c r="D47" s="58">
        <v>33784980.480279997</v>
      </c>
      <c r="E47" s="128">
        <v>31683060.327813067</v>
      </c>
    </row>
    <row r="48" spans="1:6">
      <c r="B48" s="138"/>
      <c r="C48" s="130"/>
      <c r="D48" s="99"/>
      <c r="E48" s="120"/>
    </row>
    <row r="49" spans="1:8">
      <c r="A49" s="15" t="s">
        <v>1044</v>
      </c>
      <c r="B49" s="138" t="e">
        <f>B50/B51*100</f>
        <v>#REF!</v>
      </c>
      <c r="C49" s="130" t="e">
        <f>C50/C51*100</f>
        <v>#REF!</v>
      </c>
      <c r="D49" s="99">
        <v>13.766887209980547</v>
      </c>
      <c r="E49" s="120">
        <v>5.5718288384030039</v>
      </c>
    </row>
    <row r="50" spans="1:8">
      <c r="A50" s="122" t="s">
        <v>347</v>
      </c>
      <c r="B50" s="139">
        <f>+'[56]LI - 2011'!S23</f>
        <v>18905733.773537412</v>
      </c>
      <c r="C50" s="131" t="e">
        <f>+#REF!</f>
        <v>#REF!</v>
      </c>
      <c r="D50" s="58">
        <v>18905733.773537412</v>
      </c>
      <c r="E50" s="128">
        <v>3316510.3394836457</v>
      </c>
    </row>
    <row r="51" spans="1:8">
      <c r="A51" t="s">
        <v>1045</v>
      </c>
      <c r="B51" s="139" t="e">
        <f>+(#REF!+#REF!)/2</f>
        <v>#REF!</v>
      </c>
      <c r="C51" s="131" t="e">
        <f>+(#REF!+#REF!)/2</f>
        <v>#REF!</v>
      </c>
      <c r="D51" s="58">
        <v>137327585.27891016</v>
      </c>
      <c r="E51" s="128">
        <v>59522832.37103571</v>
      </c>
      <c r="F51" t="s">
        <v>1046</v>
      </c>
    </row>
    <row r="52" spans="1:8">
      <c r="B52" s="138"/>
      <c r="C52" s="130"/>
      <c r="D52" s="99"/>
      <c r="E52" s="120"/>
      <c r="F52" t="s">
        <v>1047</v>
      </c>
    </row>
    <row r="53" spans="1:8">
      <c r="A53" s="15" t="s">
        <v>1048</v>
      </c>
      <c r="B53" s="138" t="e">
        <f>B54/B55*100</f>
        <v>#REF!</v>
      </c>
      <c r="C53" s="130" t="e">
        <f>C54/C55*100</f>
        <v>#REF!</v>
      </c>
      <c r="D53" s="99">
        <v>12.552481296620799</v>
      </c>
      <c r="E53" s="120">
        <v>21.630654240501539</v>
      </c>
      <c r="F53" t="s">
        <v>1049</v>
      </c>
    </row>
    <row r="54" spans="1:8">
      <c r="A54" s="122" t="s">
        <v>1050</v>
      </c>
      <c r="B54" s="139" t="e">
        <f>+('New - LT'!G20-'New - LT'!D20)</f>
        <v>#REF!</v>
      </c>
      <c r="C54" s="131" t="e">
        <f>+('New GI'!G23-'New GI'!D23)</f>
        <v>#REF!</v>
      </c>
      <c r="D54" s="58">
        <v>3910242.7241499946</v>
      </c>
      <c r="E54" s="128">
        <v>8077360.152824983</v>
      </c>
    </row>
    <row r="55" spans="1:8">
      <c r="A55" t="s">
        <v>1051</v>
      </c>
      <c r="B55" s="139" t="e">
        <f>+'New - LT'!D20</f>
        <v>#REF!</v>
      </c>
      <c r="C55" s="131" t="e">
        <f>+'New GI'!D23</f>
        <v>#REF!</v>
      </c>
      <c r="D55" s="58">
        <v>31151153.558800004</v>
      </c>
      <c r="E55" s="128">
        <v>37342190.684648</v>
      </c>
      <c r="F55" t="s">
        <v>1052</v>
      </c>
    </row>
    <row r="56" spans="1:8">
      <c r="B56" s="138"/>
      <c r="C56" s="130"/>
      <c r="D56" s="99"/>
      <c r="E56" s="120"/>
    </row>
    <row r="57" spans="1:8">
      <c r="B57" s="138"/>
      <c r="C57" s="130"/>
      <c r="D57" s="99"/>
      <c r="E57" s="120"/>
    </row>
    <row r="58" spans="1:8" ht="18">
      <c r="A58" s="119" t="s">
        <v>1053</v>
      </c>
      <c r="B58" s="138"/>
      <c r="C58" s="130"/>
      <c r="D58" s="99"/>
      <c r="E58" s="120"/>
    </row>
    <row r="59" spans="1:8">
      <c r="A59" s="124" t="s">
        <v>1054</v>
      </c>
      <c r="B59" s="144" t="e">
        <f>B60/B61</f>
        <v>#REF!</v>
      </c>
      <c r="C59" s="134" t="e">
        <f>C60/C61</f>
        <v>#REF!</v>
      </c>
      <c r="D59" s="99">
        <v>0.70970073276380519</v>
      </c>
      <c r="E59" s="120">
        <v>0.63393570525522214</v>
      </c>
      <c r="F59" s="125" t="s">
        <v>1055</v>
      </c>
      <c r="H59" s="99" t="e">
        <f>+H60/H61</f>
        <v>#REF!</v>
      </c>
    </row>
    <row r="60" spans="1:8">
      <c r="A60" s="126" t="s">
        <v>1056</v>
      </c>
      <c r="B60" s="139" t="e">
        <f>+#REF!+#REF!+#REF!</f>
        <v>#REF!</v>
      </c>
      <c r="C60" s="131" t="e">
        <f>+#REF!+#REF!+#REF!</f>
        <v>#REF!</v>
      </c>
      <c r="D60" s="58">
        <v>112439182.18276471</v>
      </c>
      <c r="E60" s="128">
        <v>32309490.233791545</v>
      </c>
      <c r="H60" s="14" t="e">
        <f>+B60+C60</f>
        <v>#REF!</v>
      </c>
    </row>
    <row r="61" spans="1:8">
      <c r="A61" s="127" t="s">
        <v>1057</v>
      </c>
      <c r="B61" s="139" t="e">
        <f>+#REF!+#REF!+#REF!+#REF!+#REF!+#REF!</f>
        <v>#REF!</v>
      </c>
      <c r="C61" s="131" t="e">
        <f>+#REF!+#REF!-#REF!-#REF!-#REF!</f>
        <v>#REF!</v>
      </c>
      <c r="D61" s="58">
        <v>158431824.84100026</v>
      </c>
      <c r="E61" s="128">
        <v>50966509.641200542</v>
      </c>
      <c r="H61" s="14" t="e">
        <f>+B61+C61</f>
        <v>#REF!</v>
      </c>
    </row>
    <row r="62" spans="1:8">
      <c r="B62" s="139"/>
      <c r="C62" s="131"/>
      <c r="D62" s="99"/>
      <c r="E62" s="120"/>
    </row>
    <row r="63" spans="1:8">
      <c r="A63" s="15" t="s">
        <v>1058</v>
      </c>
      <c r="B63" s="143" t="e">
        <f>B64/B65*100</f>
        <v>#REF!</v>
      </c>
      <c r="C63" s="133">
        <f>C64/C65*100</f>
        <v>63.775593390401454</v>
      </c>
      <c r="D63" s="99">
        <v>32.945395280417088</v>
      </c>
      <c r="E63" s="120">
        <v>60.085653442197916</v>
      </c>
      <c r="F63" s="15" t="s">
        <v>1013</v>
      </c>
    </row>
    <row r="64" spans="1:8">
      <c r="A64" s="122" t="s">
        <v>1059</v>
      </c>
      <c r="B64" s="139" t="e">
        <f>B42</f>
        <v>#REF!</v>
      </c>
      <c r="C64" s="131">
        <f>C42</f>
        <v>20291733.630306304</v>
      </c>
      <c r="D64" s="58">
        <v>11130595.364640001</v>
      </c>
      <c r="E64" s="128">
        <v>19036973.828452256</v>
      </c>
    </row>
    <row r="65" spans="1:6">
      <c r="A65" t="s">
        <v>1031</v>
      </c>
      <c r="B65" s="139" t="e">
        <f>B43</f>
        <v>#REF!</v>
      </c>
      <c r="C65" s="131">
        <f>C43</f>
        <v>31817396.830932993</v>
      </c>
      <c r="D65" s="58">
        <v>33784980.480279997</v>
      </c>
      <c r="E65" s="128">
        <v>31683060.327813067</v>
      </c>
    </row>
    <row r="66" spans="1:6">
      <c r="B66" s="138"/>
      <c r="C66" s="130"/>
      <c r="D66" s="99"/>
      <c r="E66" s="120"/>
    </row>
    <row r="67" spans="1:6">
      <c r="A67" s="15" t="s">
        <v>1060</v>
      </c>
      <c r="B67" s="138" t="e">
        <f>+B69/B70*100</f>
        <v>#REF!</v>
      </c>
      <c r="C67" s="130" t="e">
        <f>+C69/C70*100</f>
        <v>#REF!</v>
      </c>
      <c r="D67" s="99">
        <v>96.360424909003001</v>
      </c>
      <c r="E67" s="120">
        <v>78.387984356211035</v>
      </c>
    </row>
    <row r="68" spans="1:6">
      <c r="A68" s="15" t="s">
        <v>1061</v>
      </c>
      <c r="B68" s="145" t="e">
        <f>B69/B70</f>
        <v>#REF!</v>
      </c>
      <c r="C68" s="135" t="e">
        <f>C69/C70</f>
        <v>#REF!</v>
      </c>
      <c r="D68" s="99">
        <v>0.96360424909002995</v>
      </c>
      <c r="E68" s="120">
        <v>0.78387984356211038</v>
      </c>
      <c r="F68" s="15" t="s">
        <v>1013</v>
      </c>
    </row>
    <row r="69" spans="1:6">
      <c r="A69" s="122" t="s">
        <v>1062</v>
      </c>
      <c r="B69" s="139" t="e">
        <f>+#REF!</f>
        <v>#REF!</v>
      </c>
      <c r="C69" s="131">
        <f>+C18</f>
        <v>35701142.879671231</v>
      </c>
      <c r="D69" s="58">
        <v>33785310.437279999</v>
      </c>
      <c r="E69" s="128">
        <v>35603470.40513964</v>
      </c>
    </row>
    <row r="70" spans="1:6">
      <c r="A70" t="s">
        <v>1063</v>
      </c>
      <c r="B70" s="139" t="e">
        <f>+B25</f>
        <v>#REF!</v>
      </c>
      <c r="C70" s="131" t="e">
        <f>+C25</f>
        <v>#REF!</v>
      </c>
      <c r="D70" s="58">
        <v>35061396.282949999</v>
      </c>
      <c r="E70" s="128">
        <v>45419550.837472983</v>
      </c>
    </row>
    <row r="71" spans="1:6">
      <c r="B71"/>
      <c r="C71"/>
      <c r="D71" s="121"/>
      <c r="E71" s="121"/>
    </row>
    <row r="72" spans="1:6">
      <c r="B72"/>
      <c r="C72"/>
      <c r="E72"/>
    </row>
    <row r="73" spans="1:6">
      <c r="B73"/>
      <c r="C73"/>
      <c r="E73"/>
    </row>
    <row r="74" spans="1:6">
      <c r="B74"/>
      <c r="C74"/>
      <c r="E74"/>
    </row>
    <row r="75" spans="1:6">
      <c r="B75"/>
      <c r="C75"/>
      <c r="E75"/>
    </row>
    <row r="76" spans="1:6">
      <c r="B76"/>
      <c r="C76"/>
      <c r="E76"/>
    </row>
    <row r="77" spans="1:6">
      <c r="B77"/>
      <c r="C77"/>
      <c r="E77"/>
    </row>
    <row r="78" spans="1:6">
      <c r="B78"/>
      <c r="C78"/>
      <c r="E78" t="s">
        <v>425</v>
      </c>
    </row>
    <row r="79" spans="1:6">
      <c r="B79"/>
      <c r="C79"/>
      <c r="E79"/>
    </row>
    <row r="80" spans="1:6">
      <c r="B80"/>
      <c r="C80"/>
      <c r="E80"/>
    </row>
    <row r="81" customFormat="1"/>
    <row r="82" customFormat="1"/>
    <row r="83" customFormat="1"/>
    <row r="84" customFormat="1"/>
    <row r="85" customFormat="1"/>
    <row r="86" customFormat="1"/>
    <row r="87" customFormat="1"/>
    <row r="88" customFormat="1"/>
    <row r="89" customFormat="1"/>
    <row r="90" customFormat="1"/>
    <row r="91" customFormat="1"/>
    <row r="92" customFormat="1"/>
    <row r="93" customFormat="1"/>
    <row r="94" customFormat="1"/>
    <row r="95" customFormat="1"/>
    <row r="96" customFormat="1"/>
    <row r="97" customFormat="1"/>
    <row r="98" customFormat="1"/>
    <row r="99" customFormat="1"/>
    <row r="100" customFormat="1"/>
    <row r="101" customFormat="1"/>
    <row r="102" customFormat="1"/>
    <row r="103" customFormat="1"/>
    <row r="104" customFormat="1"/>
    <row r="105" customFormat="1"/>
    <row r="106" customFormat="1"/>
    <row r="107" customFormat="1"/>
    <row r="108" customFormat="1"/>
    <row r="109" customFormat="1"/>
    <row r="110" customFormat="1"/>
    <row r="111" customFormat="1"/>
    <row r="112" customFormat="1"/>
    <row r="113" customFormat="1"/>
    <row r="114" customFormat="1"/>
    <row r="115" customFormat="1"/>
    <row r="116" customFormat="1"/>
    <row r="117" customFormat="1"/>
    <row r="118" customFormat="1"/>
    <row r="119" customFormat="1"/>
    <row r="120" customFormat="1"/>
    <row r="121" customFormat="1"/>
    <row r="122" customFormat="1"/>
    <row r="123" customFormat="1"/>
    <row r="124" customFormat="1"/>
    <row r="125" customFormat="1"/>
    <row r="126" customFormat="1"/>
    <row r="127" customFormat="1"/>
    <row r="128" customFormat="1"/>
    <row r="129" customFormat="1"/>
    <row r="130" customFormat="1"/>
    <row r="131" customFormat="1"/>
    <row r="132" customFormat="1"/>
    <row r="133" customFormat="1"/>
    <row r="134" customFormat="1"/>
    <row r="135" customFormat="1"/>
    <row r="136" customFormat="1"/>
    <row r="137" customFormat="1"/>
    <row r="138" customFormat="1"/>
    <row r="139" customFormat="1"/>
    <row r="140" customFormat="1"/>
    <row r="141" customFormat="1"/>
    <row r="142" customFormat="1"/>
    <row r="143" customFormat="1"/>
    <row r="144" customFormat="1"/>
    <row r="145" customFormat="1"/>
    <row r="146" customFormat="1"/>
    <row r="147" customFormat="1"/>
    <row r="148" customFormat="1"/>
    <row r="149" customFormat="1"/>
    <row r="150" customFormat="1"/>
    <row r="151" customFormat="1"/>
    <row r="152" customFormat="1"/>
    <row r="153" customFormat="1"/>
    <row r="154" customFormat="1"/>
    <row r="155" customFormat="1"/>
    <row r="156" customFormat="1"/>
    <row r="157" customFormat="1"/>
    <row r="158" customFormat="1"/>
    <row r="159" customFormat="1"/>
    <row r="160" customFormat="1"/>
    <row r="161" customFormat="1"/>
    <row r="162" customFormat="1"/>
    <row r="163" customFormat="1"/>
    <row r="164" customFormat="1"/>
    <row r="165" customFormat="1"/>
    <row r="166" customFormat="1"/>
    <row r="167" customFormat="1"/>
    <row r="168" customFormat="1"/>
    <row r="169" customFormat="1"/>
    <row r="170" customFormat="1"/>
    <row r="171" customFormat="1"/>
    <row r="172" customFormat="1"/>
    <row r="173" customFormat="1"/>
    <row r="174" customFormat="1"/>
    <row r="175" customFormat="1"/>
    <row r="176" customFormat="1"/>
    <row r="177" customFormat="1"/>
    <row r="178" customFormat="1"/>
    <row r="179" customFormat="1"/>
    <row r="180" customFormat="1"/>
    <row r="181" customFormat="1"/>
    <row r="182" customFormat="1"/>
    <row r="183" customFormat="1"/>
    <row r="184" customFormat="1"/>
    <row r="185" customFormat="1"/>
    <row r="186" customFormat="1"/>
    <row r="187" customFormat="1"/>
    <row r="188" customFormat="1"/>
    <row r="189" customFormat="1"/>
    <row r="190" customFormat="1"/>
    <row r="191" customFormat="1"/>
    <row r="192" customFormat="1"/>
    <row r="193" customFormat="1"/>
    <row r="194" customFormat="1"/>
    <row r="195" customFormat="1"/>
    <row r="196" customFormat="1"/>
    <row r="197" customFormat="1"/>
    <row r="198" customFormat="1"/>
    <row r="199" customFormat="1"/>
    <row r="200" customFormat="1"/>
    <row r="201" customFormat="1"/>
    <row r="202" customFormat="1"/>
    <row r="203" customFormat="1"/>
    <row r="204" customFormat="1"/>
    <row r="205" customFormat="1"/>
    <row r="206" customFormat="1"/>
    <row r="207" customFormat="1"/>
    <row r="208" customFormat="1"/>
    <row r="209" customFormat="1"/>
    <row r="210" customFormat="1"/>
    <row r="211" customFormat="1"/>
    <row r="212" customFormat="1"/>
    <row r="213" customFormat="1"/>
    <row r="214" customFormat="1"/>
    <row r="215" customFormat="1"/>
    <row r="216" customFormat="1"/>
    <row r="217" customFormat="1"/>
    <row r="218" customFormat="1"/>
    <row r="219" customFormat="1"/>
    <row r="220" customFormat="1"/>
    <row r="221" customFormat="1"/>
    <row r="222" customFormat="1"/>
    <row r="223" customFormat="1"/>
    <row r="224" customFormat="1"/>
    <row r="225" customFormat="1"/>
    <row r="226" customFormat="1"/>
    <row r="227" customFormat="1"/>
    <row r="228" customFormat="1"/>
    <row r="229" customFormat="1"/>
    <row r="230" customFormat="1"/>
    <row r="231" customFormat="1"/>
    <row r="232" customFormat="1"/>
    <row r="233" customFormat="1"/>
    <row r="234" customFormat="1"/>
    <row r="235" customFormat="1"/>
    <row r="236" customFormat="1"/>
    <row r="237" customFormat="1"/>
    <row r="238" customFormat="1"/>
    <row r="239" customFormat="1"/>
    <row r="240" customFormat="1"/>
    <row r="241" customFormat="1"/>
    <row r="242" customFormat="1"/>
    <row r="243" customFormat="1"/>
    <row r="244" customFormat="1"/>
    <row r="245" customFormat="1"/>
    <row r="246" customFormat="1"/>
    <row r="247" customFormat="1"/>
    <row r="248" customFormat="1"/>
    <row r="249" customFormat="1"/>
    <row r="250" customFormat="1"/>
    <row r="251" customFormat="1"/>
    <row r="252" customFormat="1"/>
    <row r="253" customFormat="1"/>
    <row r="254" customFormat="1"/>
    <row r="255" customFormat="1"/>
    <row r="256" customFormat="1"/>
    <row r="257" customFormat="1"/>
    <row r="258" customFormat="1"/>
    <row r="259" customFormat="1"/>
    <row r="260" customFormat="1"/>
    <row r="261" customFormat="1"/>
    <row r="262" customFormat="1"/>
    <row r="263" customFormat="1"/>
    <row r="264" customFormat="1"/>
    <row r="265" customFormat="1"/>
    <row r="266" customFormat="1"/>
    <row r="267" customFormat="1"/>
    <row r="268" customFormat="1"/>
    <row r="269" customFormat="1"/>
    <row r="270" customFormat="1"/>
    <row r="271" customFormat="1"/>
    <row r="272" customFormat="1"/>
    <row r="273" customFormat="1"/>
    <row r="274" customFormat="1"/>
    <row r="275" customFormat="1"/>
    <row r="276" customFormat="1"/>
    <row r="277" customFormat="1"/>
    <row r="278" customFormat="1"/>
    <row r="279" customFormat="1"/>
    <row r="280" customFormat="1"/>
    <row r="281" customFormat="1"/>
    <row r="282" customFormat="1"/>
    <row r="283" customFormat="1"/>
    <row r="284" customFormat="1"/>
    <row r="285" customFormat="1"/>
    <row r="286" customFormat="1"/>
    <row r="287" customFormat="1"/>
    <row r="288" customFormat="1"/>
    <row r="289" customFormat="1"/>
    <row r="290" customFormat="1"/>
    <row r="291" customFormat="1"/>
    <row r="292" customFormat="1"/>
    <row r="293" customFormat="1"/>
    <row r="294" customFormat="1"/>
    <row r="295" customFormat="1"/>
    <row r="296" customFormat="1"/>
    <row r="297" customFormat="1"/>
    <row r="298" customFormat="1"/>
    <row r="299" customFormat="1"/>
    <row r="300" customFormat="1"/>
    <row r="301" customFormat="1"/>
    <row r="302" customFormat="1"/>
    <row r="303" customFormat="1"/>
    <row r="304" customFormat="1"/>
    <row r="305" customFormat="1"/>
    <row r="306" customFormat="1"/>
    <row r="307" customFormat="1"/>
    <row r="308" customFormat="1"/>
    <row r="309" customFormat="1"/>
    <row r="310" customFormat="1"/>
    <row r="311" customFormat="1"/>
    <row r="312" customFormat="1"/>
    <row r="313" customFormat="1"/>
    <row r="314" customFormat="1"/>
    <row r="315" customFormat="1"/>
    <row r="316" customFormat="1"/>
    <row r="317" customFormat="1"/>
    <row r="318" customFormat="1"/>
    <row r="319" customFormat="1"/>
    <row r="320" customFormat="1"/>
    <row r="321" customFormat="1"/>
    <row r="322" customFormat="1"/>
    <row r="323" customFormat="1"/>
    <row r="324" customFormat="1"/>
    <row r="325" customFormat="1"/>
    <row r="326" customFormat="1"/>
    <row r="327" customFormat="1"/>
    <row r="328" customFormat="1"/>
    <row r="329" customFormat="1"/>
    <row r="330" customFormat="1"/>
    <row r="331" customFormat="1"/>
    <row r="332" customFormat="1"/>
    <row r="333" customFormat="1"/>
    <row r="334" customFormat="1"/>
    <row r="335" customFormat="1"/>
    <row r="336" customFormat="1"/>
    <row r="337" customFormat="1"/>
    <row r="338" customFormat="1"/>
    <row r="339" customFormat="1"/>
    <row r="340" customFormat="1"/>
    <row r="341" customFormat="1"/>
    <row r="342" customFormat="1"/>
    <row r="343" customFormat="1"/>
    <row r="344" customFormat="1"/>
    <row r="345" customFormat="1"/>
    <row r="346" customFormat="1"/>
    <row r="347" customFormat="1"/>
    <row r="348" customFormat="1"/>
    <row r="349" customFormat="1"/>
    <row r="350" customFormat="1"/>
    <row r="351" customFormat="1"/>
    <row r="352" customFormat="1"/>
    <row r="353" customFormat="1"/>
    <row r="354" customFormat="1"/>
    <row r="355" customFormat="1"/>
    <row r="356" customFormat="1"/>
    <row r="357" customFormat="1"/>
    <row r="358" customFormat="1"/>
    <row r="359" customFormat="1"/>
    <row r="360" customFormat="1"/>
    <row r="361" customFormat="1"/>
    <row r="362" customFormat="1"/>
    <row r="363" customFormat="1"/>
    <row r="364" customFormat="1"/>
    <row r="365" customFormat="1"/>
    <row r="366" customFormat="1"/>
    <row r="367" customFormat="1"/>
    <row r="368" customFormat="1"/>
    <row r="369" customFormat="1"/>
    <row r="370" customFormat="1"/>
    <row r="371" customFormat="1"/>
    <row r="372" customFormat="1"/>
    <row r="373" customFormat="1"/>
    <row r="374" customFormat="1"/>
    <row r="375" customFormat="1"/>
    <row r="376" customFormat="1"/>
    <row r="377" customFormat="1"/>
    <row r="378" customFormat="1"/>
    <row r="379" customFormat="1"/>
    <row r="380" customFormat="1"/>
    <row r="381" customFormat="1"/>
    <row r="382" customFormat="1"/>
    <row r="383" customFormat="1"/>
    <row r="384" customFormat="1"/>
    <row r="385" customFormat="1"/>
    <row r="386" customFormat="1"/>
    <row r="387" customFormat="1"/>
    <row r="388" customFormat="1"/>
    <row r="389" customFormat="1"/>
    <row r="390" customFormat="1"/>
    <row r="391" customFormat="1"/>
    <row r="392" customFormat="1"/>
    <row r="393" customFormat="1"/>
    <row r="394" customFormat="1"/>
    <row r="395" customFormat="1"/>
    <row r="396" customFormat="1"/>
    <row r="397" customFormat="1"/>
    <row r="398" customFormat="1"/>
    <row r="399" customFormat="1"/>
    <row r="400" customFormat="1"/>
    <row r="401" customFormat="1"/>
    <row r="402" customFormat="1"/>
    <row r="403" customFormat="1"/>
    <row r="404" customFormat="1"/>
    <row r="405" customFormat="1"/>
    <row r="406" customFormat="1"/>
    <row r="407" customFormat="1"/>
    <row r="408" customFormat="1"/>
    <row r="409" customFormat="1"/>
    <row r="410" customFormat="1"/>
    <row r="411" customFormat="1"/>
    <row r="412" customFormat="1"/>
    <row r="413" customFormat="1"/>
    <row r="414" customFormat="1"/>
    <row r="415" customFormat="1"/>
    <row r="416" customFormat="1"/>
    <row r="417" customFormat="1"/>
    <row r="418" customFormat="1"/>
    <row r="419" customFormat="1"/>
    <row r="420" customFormat="1"/>
    <row r="421" customFormat="1"/>
    <row r="422" customFormat="1"/>
  </sheetData>
  <customSheetViews>
    <customSheetView guid="{2ACFE167-4169-43A6-9AB2-59D5A2DA2DB4}" showPageBreaks="1" state="hidden">
      <selection activeCell="F94" sqref="F94"/>
      <pageMargins left="0" right="0" top="0" bottom="0" header="0" footer="0"/>
      <pageSetup orientation="portrait" r:id="rId1"/>
    </customSheetView>
    <customSheetView guid="{967E0446-E234-427F-8E57-7FE287052E2E}" showPageBreaks="1" state="hidden">
      <selection activeCell="F94" sqref="F94"/>
      <pageMargins left="0" right="0" top="0" bottom="0" header="0" footer="0"/>
      <pageSetup orientation="portrait" r:id="rId2"/>
    </customSheetView>
    <customSheetView guid="{B2E1A0C6-5BA1-4CF1-B412-16D81FCDF11F}" state="hidden">
      <selection activeCell="F94" sqref="F94"/>
      <pageMargins left="0" right="0" top="0" bottom="0" header="0" footer="0"/>
      <pageSetup orientation="portrait" r:id="rId3"/>
    </customSheetView>
    <customSheetView guid="{46F31544-8E6F-41C5-8628-1D6EE074AF15}" state="hidden">
      <selection activeCell="F94" sqref="F94"/>
      <pageMargins left="0" right="0" top="0" bottom="0" header="0" footer="0"/>
      <pageSetup orientation="portrait" r:id="rId4"/>
    </customSheetView>
    <customSheetView guid="{E82B35BE-4719-4C53-A9EF-1CC6F153A6F3}" state="hidden">
      <selection activeCell="F94" sqref="F94"/>
      <pageMargins left="0" right="0" top="0" bottom="0" header="0" footer="0"/>
    </customSheetView>
    <customSheetView guid="{B1E1B596-A9A1-411D-A882-A48CB025B978}" state="hidden">
      <selection activeCell="F94" sqref="F94"/>
      <pageMargins left="0" right="0" top="0" bottom="0" header="0" footer="0"/>
      <pageSetup orientation="portrait" r:id="rId5"/>
    </customSheetView>
    <customSheetView guid="{5E394B0B-7867-4722-9497-A93AB2A9A773}" showPageBreaks="1" state="hidden">
      <selection activeCell="F94" sqref="F94"/>
      <pageMargins left="0" right="0" top="0" bottom="0" header="0" footer="0"/>
      <pageSetup orientation="portrait" r:id="rId6"/>
    </customSheetView>
  </customSheetViews>
  <mergeCells count="3">
    <mergeCell ref="B2:C2"/>
    <mergeCell ref="D1:E1"/>
    <mergeCell ref="B1:C1"/>
  </mergeCells>
  <pageMargins left="0.7" right="0.7" top="0.75" bottom="0.75" header="0.3" footer="0.3"/>
  <pageSetup orientation="portrait" r:id="rId7"/>
  <legacyDrawing r:id="rId8"/>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Sheet62"/>
  <dimension ref="A1:H24"/>
  <sheetViews>
    <sheetView workbookViewId="0">
      <selection activeCell="F94" sqref="F94"/>
    </sheetView>
  </sheetViews>
  <sheetFormatPr defaultRowHeight="14.45"/>
  <cols>
    <col min="1" max="1" width="25" customWidth="1"/>
    <col min="2" max="2" width="12.140625" customWidth="1"/>
    <col min="3" max="3" width="14.42578125" customWidth="1"/>
    <col min="4" max="4" width="14.85546875" customWidth="1"/>
    <col min="5" max="5" width="15" customWidth="1"/>
    <col min="6" max="6" width="14.42578125" customWidth="1"/>
    <col min="7" max="7" width="13.85546875" customWidth="1"/>
  </cols>
  <sheetData>
    <row r="1" spans="1:8" ht="15" thickBot="1"/>
    <row r="2" spans="1:8" s="43" customFormat="1" ht="29.25" customHeight="1" thickBot="1">
      <c r="A2" s="160"/>
      <c r="B2" s="3720" t="s">
        <v>906</v>
      </c>
      <c r="C2" s="3721"/>
      <c r="D2" s="3722"/>
      <c r="E2" s="3720" t="s">
        <v>397</v>
      </c>
      <c r="F2" s="3721"/>
      <c r="G2" s="3722"/>
    </row>
    <row r="3" spans="1:8" ht="27" customHeight="1" thickBot="1">
      <c r="A3" s="162" t="s">
        <v>1064</v>
      </c>
      <c r="B3" s="163" t="s">
        <v>1065</v>
      </c>
      <c r="C3" s="163" t="s">
        <v>1066</v>
      </c>
      <c r="D3" s="163" t="s">
        <v>1067</v>
      </c>
      <c r="E3" s="163" t="s">
        <v>1065</v>
      </c>
      <c r="F3" s="163" t="s">
        <v>1066</v>
      </c>
      <c r="G3" s="163" t="s">
        <v>1067</v>
      </c>
    </row>
    <row r="4" spans="1:8" s="41" customFormat="1" ht="24.95" customHeight="1" thickBot="1">
      <c r="A4" s="158" t="s">
        <v>1068</v>
      </c>
      <c r="B4" s="161" t="e">
        <f>+#REF!/1000</f>
        <v>#REF!</v>
      </c>
      <c r="C4" s="161" t="e">
        <f>+#REF!/1000</f>
        <v>#REF!</v>
      </c>
      <c r="D4" s="159" t="e">
        <f>+((B4-C4)/C4)*100</f>
        <v>#REF!</v>
      </c>
      <c r="E4" s="161" t="e">
        <f>+#REF!/1000</f>
        <v>#REF!</v>
      </c>
      <c r="F4" s="161" t="e">
        <f>+#REF!/1000</f>
        <v>#REF!</v>
      </c>
      <c r="G4" s="159" t="e">
        <f>+((E4-F4)/F4)*100</f>
        <v>#REF!</v>
      </c>
    </row>
    <row r="5" spans="1:8" s="41" customFormat="1" ht="24.95" customHeight="1" thickBot="1">
      <c r="A5" s="158" t="s">
        <v>1069</v>
      </c>
      <c r="B5" s="161" t="e">
        <f>+#REF!/1000</f>
        <v>#REF!</v>
      </c>
      <c r="C5" s="161" t="e">
        <f>+'AR Table 8 &amp; Chart 9'!D28/1000</f>
        <v>#REF!</v>
      </c>
      <c r="D5" s="159" t="e">
        <f>+((B5-C5)/C5)*100</f>
        <v>#REF!</v>
      </c>
      <c r="E5" s="161" t="e">
        <f>+'AR Table 8 &amp; Chart 9'!J28/1000</f>
        <v>#REF!</v>
      </c>
      <c r="F5" s="161" t="e">
        <f>+'AR Table 8 &amp; Chart 9'!E28/1000</f>
        <v>#REF!</v>
      </c>
      <c r="G5" s="159" t="e">
        <f>+((E5-F5)/F5)*100</f>
        <v>#REF!</v>
      </c>
    </row>
    <row r="6" spans="1:8" s="41" customFormat="1" ht="24.95" customHeight="1" thickBot="1">
      <c r="A6" s="158" t="s">
        <v>200</v>
      </c>
      <c r="B6" s="3723" t="s">
        <v>1018</v>
      </c>
      <c r="C6" s="3724"/>
      <c r="D6" s="3725"/>
      <c r="E6" s="161">
        <f>+'SH Funds'!J31/1000</f>
        <v>6464598.4265438998</v>
      </c>
      <c r="F6" s="161">
        <f>+'SH Funds'!D31/1000</f>
        <v>5386031.3763955794</v>
      </c>
      <c r="G6" s="159">
        <f>+((E6-F6)/F6)*100</f>
        <v>20.025264889379741</v>
      </c>
    </row>
    <row r="7" spans="1:8" s="41" customFormat="1" ht="24.95" customHeight="1" thickBot="1">
      <c r="A7" s="158" t="s">
        <v>1070</v>
      </c>
      <c r="B7" s="159"/>
      <c r="C7" s="159"/>
      <c r="D7" s="159" t="e">
        <f>+((B7-C7)/C7)*100</f>
        <v>#DIV/0!</v>
      </c>
      <c r="E7" s="161"/>
      <c r="F7" s="161"/>
      <c r="G7" s="159" t="e">
        <f>+((E7-F7)/F7)*100</f>
        <v>#DIV/0!</v>
      </c>
      <c r="H7" s="41" t="s">
        <v>1071</v>
      </c>
    </row>
    <row r="8" spans="1:8" s="41" customFormat="1" ht="24.95" customHeight="1" thickBot="1">
      <c r="A8" s="158" t="s">
        <v>1072</v>
      </c>
      <c r="B8" s="159">
        <v>0.54</v>
      </c>
      <c r="C8" s="159">
        <v>0.56000000000000005</v>
      </c>
      <c r="D8" s="159">
        <f>+((B8-C8)/C8)*100</f>
        <v>-3.5714285714285738</v>
      </c>
      <c r="E8" s="159">
        <v>0.66</v>
      </c>
      <c r="F8" s="159">
        <v>0.63</v>
      </c>
      <c r="G8" s="159">
        <f>+((E8-F8)/F8)*100</f>
        <v>4.7619047619047654</v>
      </c>
    </row>
    <row r="9" spans="1:8" s="41" customFormat="1" ht="24.95" customHeight="1"/>
    <row r="10" spans="1:8" s="41" customFormat="1" ht="24.95" customHeight="1">
      <c r="A10" s="41" t="s">
        <v>1073</v>
      </c>
    </row>
    <row r="11" spans="1:8" s="41" customFormat="1" ht="24.95" customHeight="1"/>
    <row r="12" spans="1:8" s="41" customFormat="1" ht="24.95" customHeight="1"/>
    <row r="13" spans="1:8" s="41" customFormat="1" ht="24.95" customHeight="1"/>
    <row r="14" spans="1:8" s="41" customFormat="1" ht="24.95" customHeight="1"/>
    <row r="15" spans="1:8" s="41" customFormat="1" ht="24.95" customHeight="1"/>
    <row r="16" spans="1:8" s="41" customFormat="1" ht="24.95" customHeight="1"/>
    <row r="17" s="41" customFormat="1" ht="24.95" customHeight="1"/>
    <row r="18" s="41" customFormat="1" ht="24.95" customHeight="1"/>
    <row r="19" s="41" customFormat="1" ht="24.95" customHeight="1"/>
    <row r="20" s="41" customFormat="1" ht="24.95" customHeight="1"/>
    <row r="21" s="41" customFormat="1" ht="24.95" customHeight="1"/>
    <row r="22" s="41" customFormat="1" ht="24.95" customHeight="1"/>
    <row r="23" s="41" customFormat="1" ht="24.95" customHeight="1"/>
    <row r="24" s="41" customFormat="1" ht="24.95" customHeight="1"/>
  </sheetData>
  <customSheetViews>
    <customSheetView guid="{2ACFE167-4169-43A6-9AB2-59D5A2DA2DB4}" showPageBreaks="1" state="hidden">
      <selection activeCell="F94" sqref="F94"/>
      <pageMargins left="0" right="0" top="0" bottom="0" header="0" footer="0"/>
      <pageSetup orientation="portrait" r:id="rId1"/>
    </customSheetView>
    <customSheetView guid="{967E0446-E234-427F-8E57-7FE287052E2E}" showPageBreaks="1" state="hidden">
      <selection activeCell="F94" sqref="F94"/>
      <pageMargins left="0" right="0" top="0" bottom="0" header="0" footer="0"/>
      <pageSetup orientation="portrait" r:id="rId2"/>
    </customSheetView>
    <customSheetView guid="{B2E1A0C6-5BA1-4CF1-B412-16D81FCDF11F}" state="hidden">
      <selection activeCell="F94" sqref="F94"/>
      <pageMargins left="0" right="0" top="0" bottom="0" header="0" footer="0"/>
      <pageSetup orientation="portrait" r:id="rId3"/>
    </customSheetView>
    <customSheetView guid="{46F31544-8E6F-41C5-8628-1D6EE074AF15}" state="hidden">
      <selection activeCell="F94" sqref="F94"/>
      <pageMargins left="0" right="0" top="0" bottom="0" header="0" footer="0"/>
      <pageSetup orientation="portrait" r:id="rId4"/>
    </customSheetView>
    <customSheetView guid="{E82B35BE-4719-4C53-A9EF-1CC6F153A6F3}" state="hidden">
      <selection activeCell="F94" sqref="F94"/>
      <pageMargins left="0" right="0" top="0" bottom="0" header="0" footer="0"/>
      <pageSetup orientation="portrait" r:id="rId5"/>
    </customSheetView>
    <customSheetView guid="{B1E1B596-A9A1-411D-A882-A48CB025B978}" state="hidden">
      <selection activeCell="F94" sqref="F94"/>
      <pageMargins left="0" right="0" top="0" bottom="0" header="0" footer="0"/>
      <pageSetup orientation="portrait" r:id="rId6"/>
    </customSheetView>
    <customSheetView guid="{5E394B0B-7867-4722-9497-A93AB2A9A773}" showPageBreaks="1" state="hidden">
      <selection activeCell="F94" sqref="F94"/>
      <pageMargins left="0" right="0" top="0" bottom="0" header="0" footer="0"/>
      <pageSetup orientation="portrait" r:id="rId7"/>
    </customSheetView>
  </customSheetViews>
  <mergeCells count="3">
    <mergeCell ref="B2:D2"/>
    <mergeCell ref="E2:G2"/>
    <mergeCell ref="B6:D6"/>
  </mergeCells>
  <pageMargins left="0.7" right="0.7" top="0.75" bottom="0.75" header="0.3" footer="0.3"/>
  <pageSetup orientation="portrait" r:id="rId8"/>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Sheet50">
    <tabColor rgb="FF00B050"/>
  </sheetPr>
  <dimension ref="B1:V49"/>
  <sheetViews>
    <sheetView workbookViewId="0">
      <selection activeCell="I20" sqref="I20"/>
    </sheetView>
  </sheetViews>
  <sheetFormatPr defaultColWidth="9.140625" defaultRowHeight="14.45"/>
  <cols>
    <col min="2" max="2" width="22" customWidth="1"/>
    <col min="3" max="3" width="15.42578125" hidden="1" customWidth="1"/>
    <col min="4" max="4" width="15.28515625" customWidth="1"/>
    <col min="5" max="6" width="15.7109375" customWidth="1"/>
    <col min="7" max="8" width="14.42578125" customWidth="1"/>
    <col min="9" max="9" width="12.42578125" customWidth="1"/>
    <col min="10" max="10" width="14.28515625" bestFit="1" customWidth="1"/>
  </cols>
  <sheetData>
    <row r="1" spans="2:11">
      <c r="B1" s="202" t="s">
        <v>615</v>
      </c>
    </row>
    <row r="2" spans="2:11">
      <c r="B2" s="205" t="s">
        <v>1074</v>
      </c>
      <c r="C2" s="1"/>
      <c r="D2" s="2"/>
      <c r="E2" s="2"/>
      <c r="F2" s="2"/>
      <c r="G2" s="2"/>
      <c r="H2" s="2"/>
      <c r="K2" t="s">
        <v>1075</v>
      </c>
    </row>
    <row r="3" spans="2:11">
      <c r="C3" s="1"/>
      <c r="D3" s="2"/>
      <c r="E3" s="2"/>
      <c r="F3" s="2"/>
      <c r="G3" s="2"/>
      <c r="H3" s="2"/>
    </row>
    <row r="4" spans="2:11">
      <c r="B4" s="3609" t="s">
        <v>1076</v>
      </c>
      <c r="C4" s="3610"/>
      <c r="D4" s="3610"/>
      <c r="E4" s="3610"/>
      <c r="F4" s="3610"/>
      <c r="G4" s="3610"/>
      <c r="H4" s="215"/>
    </row>
    <row r="5" spans="2:11">
      <c r="B5" s="3611" t="s">
        <v>526</v>
      </c>
      <c r="C5" s="3726" t="s">
        <v>1077</v>
      </c>
      <c r="D5" s="3726"/>
      <c r="E5" s="3726"/>
      <c r="F5" s="3726"/>
      <c r="G5" s="3726"/>
      <c r="H5" s="3726"/>
    </row>
    <row r="6" spans="2:11">
      <c r="B6" s="3612"/>
      <c r="C6" s="2744">
        <v>2007</v>
      </c>
      <c r="D6" s="2744">
        <v>2008</v>
      </c>
      <c r="E6" s="2744">
        <v>2009</v>
      </c>
      <c r="F6" s="2744">
        <v>2010</v>
      </c>
      <c r="G6" s="2744" t="s">
        <v>907</v>
      </c>
      <c r="H6" s="2744" t="s">
        <v>747</v>
      </c>
    </row>
    <row r="7" spans="2:11">
      <c r="B7" s="2745" t="s">
        <v>436</v>
      </c>
      <c r="C7" s="2757" t="e">
        <f>+#REF!</f>
        <v>#REF!</v>
      </c>
      <c r="D7" s="2757" t="e">
        <f>+#REF!</f>
        <v>#REF!</v>
      </c>
      <c r="E7" s="2957" t="e">
        <f>+#REF!</f>
        <v>#REF!</v>
      </c>
      <c r="F7" s="2757" t="e">
        <f>+#REF!</f>
        <v>#REF!</v>
      </c>
      <c r="G7" s="2757" t="e">
        <f>+#REF!</f>
        <v>#REF!</v>
      </c>
      <c r="H7" s="2757" t="e">
        <f>+#REF!</f>
        <v>#REF!</v>
      </c>
      <c r="J7" s="23"/>
    </row>
    <row r="8" spans="2:11">
      <c r="B8" s="2745" t="s">
        <v>437</v>
      </c>
      <c r="C8" s="2757" t="e">
        <f>+#REF!</f>
        <v>#REF!</v>
      </c>
      <c r="D8" s="2757" t="e">
        <f>+#REF!</f>
        <v>#REF!</v>
      </c>
      <c r="E8" s="2957" t="e">
        <f>+#REF!</f>
        <v>#REF!</v>
      </c>
      <c r="F8" s="2757" t="e">
        <f>+#REF!</f>
        <v>#REF!</v>
      </c>
      <c r="G8" s="2757" t="e">
        <f>+#REF!</f>
        <v>#REF!</v>
      </c>
      <c r="H8" s="2757" t="e">
        <f>+#REF!</f>
        <v>#REF!</v>
      </c>
      <c r="J8" s="23"/>
    </row>
    <row r="9" spans="2:11">
      <c r="B9" s="2745" t="s">
        <v>438</v>
      </c>
      <c r="C9" s="2757" t="e">
        <f>+#REF!</f>
        <v>#REF!</v>
      </c>
      <c r="D9" s="2757" t="e">
        <f>+#REF!</f>
        <v>#REF!</v>
      </c>
      <c r="E9" s="2957" t="e">
        <f>+#REF!</f>
        <v>#REF!</v>
      </c>
      <c r="F9" s="2757" t="e">
        <f>+#REF!</f>
        <v>#REF!</v>
      </c>
      <c r="G9" s="2757" t="e">
        <f>+#REF!</f>
        <v>#REF!</v>
      </c>
      <c r="H9" s="2757" t="e">
        <f>+#REF!</f>
        <v>#REF!</v>
      </c>
      <c r="J9" s="23"/>
    </row>
    <row r="10" spans="2:11">
      <c r="B10" s="2745" t="s">
        <v>762</v>
      </c>
      <c r="C10" s="2757" t="e">
        <f>+#REF!+#REF!</f>
        <v>#REF!</v>
      </c>
      <c r="D10" s="2757" t="e">
        <f>+#REF!+#REF!</f>
        <v>#REF!</v>
      </c>
      <c r="E10" s="2957" t="e">
        <f>+#REF!+#REF!</f>
        <v>#REF!</v>
      </c>
      <c r="F10" s="2757" t="e">
        <f>+#REF!+#REF!</f>
        <v>#REF!</v>
      </c>
      <c r="G10" s="2757" t="e">
        <f>+#REF!+#REF!</f>
        <v>#REF!</v>
      </c>
      <c r="H10" s="2757" t="e">
        <f>+#REF!+#REF!</f>
        <v>#REF!</v>
      </c>
      <c r="J10" s="23"/>
    </row>
    <row r="11" spans="2:11">
      <c r="B11" s="2749" t="s">
        <v>744</v>
      </c>
      <c r="C11" s="2758" t="e">
        <f>SUM(C7:C10)-1</f>
        <v>#REF!</v>
      </c>
      <c r="D11" s="2758" t="e">
        <f>SUM(D7:D10)</f>
        <v>#REF!</v>
      </c>
      <c r="E11" s="2758" t="e">
        <f>SUM(E7:E10)+1</f>
        <v>#REF!</v>
      </c>
      <c r="F11" s="2758" t="e">
        <f>SUM(F7:F10)</f>
        <v>#REF!</v>
      </c>
      <c r="G11" s="2758" t="e">
        <f>SUM(G7:G10)</f>
        <v>#REF!</v>
      </c>
      <c r="H11" s="2758" t="e">
        <f>SUM(H7:H10)</f>
        <v>#REF!</v>
      </c>
      <c r="J11" s="14"/>
    </row>
    <row r="12" spans="2:11">
      <c r="B12" s="36"/>
      <c r="C12" s="36"/>
      <c r="D12" s="36"/>
      <c r="E12" s="36"/>
      <c r="F12" s="36"/>
      <c r="G12" s="36"/>
      <c r="H12" s="36"/>
    </row>
    <row r="13" spans="2:11">
      <c r="B13" s="3611" t="s">
        <v>526</v>
      </c>
      <c r="C13" s="3726" t="s">
        <v>1078</v>
      </c>
      <c r="D13" s="3726"/>
      <c r="E13" s="3726"/>
      <c r="F13" s="3726"/>
      <c r="G13" s="3726"/>
      <c r="H13" s="3726"/>
    </row>
    <row r="14" spans="2:11">
      <c r="B14" s="3612"/>
      <c r="C14" s="2744" t="s">
        <v>746</v>
      </c>
      <c r="D14" s="2744">
        <v>2008</v>
      </c>
      <c r="E14" s="2744">
        <v>2009</v>
      </c>
      <c r="F14" s="2744">
        <v>2010</v>
      </c>
      <c r="G14" s="2744" t="s">
        <v>907</v>
      </c>
      <c r="H14" s="2744" t="s">
        <v>747</v>
      </c>
    </row>
    <row r="15" spans="2:11">
      <c r="B15" s="2745" t="s">
        <v>436</v>
      </c>
      <c r="C15" s="2757" t="e">
        <f>+#REF!</f>
        <v>#REF!</v>
      </c>
      <c r="D15" s="2757" t="e">
        <f>+#REF!</f>
        <v>#REF!</v>
      </c>
      <c r="E15" s="2957" t="e">
        <f>+#REF!</f>
        <v>#REF!</v>
      </c>
      <c r="F15" s="2757" t="e">
        <f>+#REF!</f>
        <v>#REF!</v>
      </c>
      <c r="G15" s="2757" t="e">
        <f>+#REF!</f>
        <v>#REF!</v>
      </c>
      <c r="H15" s="2757" t="e">
        <f>+#REF!</f>
        <v>#REF!</v>
      </c>
      <c r="J15" s="23"/>
    </row>
    <row r="16" spans="2:11">
      <c r="B16" s="2745" t="s">
        <v>437</v>
      </c>
      <c r="C16" s="2757" t="e">
        <f>+#REF!</f>
        <v>#REF!</v>
      </c>
      <c r="D16" s="2757" t="e">
        <f>+#REF!</f>
        <v>#REF!</v>
      </c>
      <c r="E16" s="2957" t="e">
        <f>+#REF!</f>
        <v>#REF!</v>
      </c>
      <c r="F16" s="2757" t="e">
        <f>+#REF!</f>
        <v>#REF!</v>
      </c>
      <c r="G16" s="2757" t="e">
        <f>+#REF!</f>
        <v>#REF!</v>
      </c>
      <c r="H16" s="2757" t="e">
        <f>+#REF!</f>
        <v>#REF!</v>
      </c>
      <c r="J16" s="23"/>
    </row>
    <row r="17" spans="2:10">
      <c r="B17" s="2745" t="s">
        <v>438</v>
      </c>
      <c r="C17" s="2757" t="e">
        <f>+#REF!</f>
        <v>#REF!</v>
      </c>
      <c r="D17" s="2757" t="e">
        <f>+#REF!</f>
        <v>#REF!</v>
      </c>
      <c r="E17" s="2957" t="e">
        <f>+#REF!</f>
        <v>#REF!</v>
      </c>
      <c r="F17" s="2757" t="e">
        <f>+#REF!</f>
        <v>#REF!</v>
      </c>
      <c r="G17" s="2757" t="e">
        <f>+#REF!</f>
        <v>#REF!</v>
      </c>
      <c r="H17" s="2757" t="e">
        <f>+#REF!</f>
        <v>#REF!</v>
      </c>
      <c r="J17" s="23"/>
    </row>
    <row r="18" spans="2:10">
      <c r="B18" s="2745" t="s">
        <v>762</v>
      </c>
      <c r="C18" s="2757" t="e">
        <f>+#REF!+#REF!</f>
        <v>#REF!</v>
      </c>
      <c r="D18" s="2757" t="e">
        <f>+#REF!+#REF!</f>
        <v>#REF!</v>
      </c>
      <c r="E18" s="2957" t="e">
        <f>+#REF!+#REF!</f>
        <v>#REF!</v>
      </c>
      <c r="F18" s="2757" t="e">
        <f>+#REF!+#REF!</f>
        <v>#REF!</v>
      </c>
      <c r="G18" s="2757" t="e">
        <f>+#REF!+#REF!</f>
        <v>#REF!</v>
      </c>
      <c r="H18" s="2757" t="e">
        <f>+#REF!+#REF!</f>
        <v>#REF!</v>
      </c>
      <c r="J18" s="23"/>
    </row>
    <row r="19" spans="2:10">
      <c r="B19" s="2749" t="s">
        <v>744</v>
      </c>
      <c r="C19" s="2758" t="e">
        <f>SUM(C15:C18)</f>
        <v>#REF!</v>
      </c>
      <c r="D19" s="2758" t="e">
        <f>SUM(D15:D18)</f>
        <v>#REF!</v>
      </c>
      <c r="E19" s="2758" t="e">
        <f>SUM(E15:E18)+1</f>
        <v>#REF!</v>
      </c>
      <c r="F19" s="2759" t="e">
        <f>SUM(F15:F18)</f>
        <v>#REF!</v>
      </c>
      <c r="G19" s="2758" t="e">
        <f>SUM(G15:G18)</f>
        <v>#REF!</v>
      </c>
      <c r="H19" s="2758" t="e">
        <f>SUM(H15:H18)</f>
        <v>#REF!</v>
      </c>
      <c r="J19" s="14"/>
    </row>
    <row r="20" spans="2:10">
      <c r="B20" s="36"/>
      <c r="C20" s="36"/>
      <c r="D20" s="36"/>
      <c r="E20" s="36"/>
      <c r="F20" s="36"/>
      <c r="G20" s="36"/>
      <c r="H20" s="36"/>
    </row>
    <row r="21" spans="2:10">
      <c r="B21" s="3611" t="s">
        <v>526</v>
      </c>
      <c r="C21" s="3726" t="s">
        <v>1079</v>
      </c>
      <c r="D21" s="3726"/>
      <c r="E21" s="3726"/>
      <c r="F21" s="3726"/>
      <c r="G21" s="3726"/>
      <c r="H21" s="3726"/>
    </row>
    <row r="22" spans="2:10">
      <c r="B22" s="3612"/>
      <c r="C22" s="2744">
        <v>2007</v>
      </c>
      <c r="D22" s="2744">
        <v>2008</v>
      </c>
      <c r="E22" s="2744">
        <v>2009</v>
      </c>
      <c r="F22" s="2744">
        <v>2010</v>
      </c>
      <c r="G22" s="2744" t="s">
        <v>907</v>
      </c>
      <c r="H22" s="2744" t="s">
        <v>747</v>
      </c>
    </row>
    <row r="23" spans="2:10">
      <c r="B23" s="2745" t="s">
        <v>436</v>
      </c>
      <c r="C23" s="2760" t="e">
        <f t="shared" ref="C23:H27" si="0">(C15/C7)*100</f>
        <v>#REF!</v>
      </c>
      <c r="D23" s="2760" t="e">
        <f t="shared" si="0"/>
        <v>#REF!</v>
      </c>
      <c r="E23" s="2760" t="e">
        <f t="shared" si="0"/>
        <v>#REF!</v>
      </c>
      <c r="F23" s="2760" t="e">
        <f t="shared" si="0"/>
        <v>#REF!</v>
      </c>
      <c r="G23" s="2760" t="e">
        <f t="shared" si="0"/>
        <v>#REF!</v>
      </c>
      <c r="H23" s="2760" t="e">
        <f t="shared" si="0"/>
        <v>#REF!</v>
      </c>
    </row>
    <row r="24" spans="2:10">
      <c r="B24" s="2745" t="s">
        <v>437</v>
      </c>
      <c r="C24" s="2760" t="e">
        <f t="shared" si="0"/>
        <v>#REF!</v>
      </c>
      <c r="D24" s="2760" t="e">
        <f t="shared" si="0"/>
        <v>#REF!</v>
      </c>
      <c r="E24" s="2760" t="e">
        <f t="shared" si="0"/>
        <v>#REF!</v>
      </c>
      <c r="F24" s="2760" t="e">
        <f t="shared" si="0"/>
        <v>#REF!</v>
      </c>
      <c r="G24" s="2760" t="e">
        <f t="shared" si="0"/>
        <v>#REF!</v>
      </c>
      <c r="H24" s="2760" t="e">
        <f t="shared" si="0"/>
        <v>#REF!</v>
      </c>
    </row>
    <row r="25" spans="2:10">
      <c r="B25" s="2745" t="s">
        <v>438</v>
      </c>
      <c r="C25" s="2760" t="e">
        <f t="shared" si="0"/>
        <v>#REF!</v>
      </c>
      <c r="D25" s="2760" t="e">
        <f t="shared" si="0"/>
        <v>#REF!</v>
      </c>
      <c r="E25" s="2760" t="e">
        <f t="shared" si="0"/>
        <v>#REF!</v>
      </c>
      <c r="F25" s="2760" t="e">
        <f t="shared" si="0"/>
        <v>#REF!</v>
      </c>
      <c r="G25" s="2760" t="e">
        <f t="shared" si="0"/>
        <v>#REF!</v>
      </c>
      <c r="H25" s="2760" t="e">
        <f t="shared" si="0"/>
        <v>#REF!</v>
      </c>
    </row>
    <row r="26" spans="2:10">
      <c r="B26" s="2745" t="s">
        <v>762</v>
      </c>
      <c r="C26" s="2760" t="e">
        <f t="shared" si="0"/>
        <v>#REF!</v>
      </c>
      <c r="D26" s="2760" t="e">
        <f t="shared" si="0"/>
        <v>#REF!</v>
      </c>
      <c r="E26" s="2760" t="e">
        <f t="shared" si="0"/>
        <v>#REF!</v>
      </c>
      <c r="F26" s="2760" t="e">
        <f t="shared" si="0"/>
        <v>#REF!</v>
      </c>
      <c r="G26" s="2760" t="e">
        <f t="shared" si="0"/>
        <v>#REF!</v>
      </c>
      <c r="H26" s="2760" t="e">
        <f t="shared" si="0"/>
        <v>#REF!</v>
      </c>
    </row>
    <row r="27" spans="2:10">
      <c r="B27" s="2749" t="s">
        <v>744</v>
      </c>
      <c r="C27" s="2762" t="e">
        <f t="shared" si="0"/>
        <v>#REF!</v>
      </c>
      <c r="D27" s="2762" t="e">
        <f t="shared" si="0"/>
        <v>#REF!</v>
      </c>
      <c r="E27" s="2762" t="e">
        <f t="shared" si="0"/>
        <v>#REF!</v>
      </c>
      <c r="F27" s="2762" t="e">
        <f t="shared" si="0"/>
        <v>#REF!</v>
      </c>
      <c r="G27" s="2762" t="e">
        <f t="shared" si="0"/>
        <v>#REF!</v>
      </c>
      <c r="H27" s="2762" t="e">
        <f t="shared" si="0"/>
        <v>#REF!</v>
      </c>
    </row>
    <row r="29" spans="2:10">
      <c r="D29" s="3170">
        <v>2008</v>
      </c>
      <c r="E29" s="3170">
        <v>2009</v>
      </c>
      <c r="F29" s="3170">
        <v>2010</v>
      </c>
      <c r="G29" s="3170" t="s">
        <v>907</v>
      </c>
      <c r="H29" s="3170" t="s">
        <v>747</v>
      </c>
    </row>
    <row r="30" spans="2:10">
      <c r="B30" s="2543" t="s">
        <v>748</v>
      </c>
      <c r="C30" s="2543"/>
      <c r="D30" s="2770">
        <f>+'AR 6&amp;7 Support III'!E11</f>
        <v>12766837.92606</v>
      </c>
      <c r="E30" s="2770">
        <f>+'AR 6&amp;7 Support III'!D11</f>
        <v>12907013.425590001</v>
      </c>
      <c r="F30" s="2770">
        <f>-'[7]P &amp; L GI - 2010'!$I$20</f>
        <v>10058322.227912756</v>
      </c>
      <c r="G30" s="2770">
        <f>-'P &amp; L - GI - 2012 '!J15</f>
        <v>0</v>
      </c>
      <c r="H30" s="2770" t="e">
        <f>-#REF!</f>
        <v>#REF!</v>
      </c>
    </row>
    <row r="31" spans="2:10">
      <c r="B31" s="2543" t="s">
        <v>534</v>
      </c>
      <c r="C31" s="2543"/>
      <c r="D31" s="2581" t="e">
        <f>+D30/D11*100</f>
        <v>#REF!</v>
      </c>
      <c r="E31" s="2581" t="e">
        <f>+E30/E11*100</f>
        <v>#REF!</v>
      </c>
      <c r="F31" s="2581" t="e">
        <f>+F30/F11*100</f>
        <v>#REF!</v>
      </c>
      <c r="G31" s="2958" t="e">
        <f>+G30/G11*100</f>
        <v>#REF!</v>
      </c>
      <c r="H31" s="2581" t="e">
        <f>+H30/H11*100</f>
        <v>#REF!</v>
      </c>
    </row>
    <row r="33" spans="2:22">
      <c r="B33" s="2543" t="s">
        <v>537</v>
      </c>
      <c r="C33" s="2543"/>
      <c r="D33" s="2581" t="e">
        <f>+D27+D31</f>
        <v>#REF!</v>
      </c>
      <c r="E33" s="2581" t="e">
        <f>+E27+E31</f>
        <v>#REF!</v>
      </c>
      <c r="F33" s="2581" t="e">
        <f>+F27+F31</f>
        <v>#REF!</v>
      </c>
      <c r="G33" s="2581" t="e">
        <f>+G27+G31</f>
        <v>#REF!</v>
      </c>
      <c r="H33" s="2581" t="e">
        <f>+H27+H31</f>
        <v>#REF!</v>
      </c>
    </row>
    <row r="35" spans="2:22">
      <c r="B35" t="s">
        <v>1080</v>
      </c>
      <c r="D35" s="14" t="e">
        <f>+D11-D19</f>
        <v>#REF!</v>
      </c>
      <c r="E35" s="14" t="e">
        <f>+E11-E19</f>
        <v>#REF!</v>
      </c>
      <c r="F35" s="14" t="e">
        <f>+F11-F19</f>
        <v>#REF!</v>
      </c>
      <c r="G35" s="14" t="e">
        <f>+G11-G19</f>
        <v>#REF!</v>
      </c>
      <c r="H35" s="14" t="e">
        <f>+H11-H19</f>
        <v>#REF!</v>
      </c>
    </row>
    <row r="36" spans="2:22">
      <c r="B36" t="s">
        <v>1081</v>
      </c>
      <c r="D36" s="14">
        <f>+D30</f>
        <v>12766837.92606</v>
      </c>
      <c r="E36" s="14">
        <f>+E30</f>
        <v>12907013.425590001</v>
      </c>
      <c r="F36" s="14">
        <f>+F30</f>
        <v>10058322.227912756</v>
      </c>
      <c r="G36" s="14">
        <f>+G30</f>
        <v>0</v>
      </c>
      <c r="H36" s="14" t="e">
        <f>+H30</f>
        <v>#REF!</v>
      </c>
    </row>
    <row r="37" spans="2:22">
      <c r="B37" t="s">
        <v>1082</v>
      </c>
      <c r="F37" s="193">
        <f>+'[7]P &amp; L GI - 2010'!$H$26</f>
        <v>12220021.678048341</v>
      </c>
      <c r="G37" s="193">
        <f>+'Invest Income GI - 2011'!E23</f>
        <v>3386078.0472546476</v>
      </c>
      <c r="H37" s="193" t="e">
        <f>+#REF!</f>
        <v>#REF!</v>
      </c>
    </row>
    <row r="38" spans="2:22">
      <c r="G38" s="193"/>
      <c r="H38" s="193"/>
    </row>
    <row r="42" spans="2:22" ht="15" customHeight="1">
      <c r="B42" s="204" t="s">
        <v>633</v>
      </c>
      <c r="J42" s="222"/>
      <c r="K42" s="200" t="s">
        <v>149</v>
      </c>
      <c r="L42" s="175"/>
      <c r="M42" s="175"/>
      <c r="N42" s="175"/>
      <c r="O42" s="175"/>
      <c r="P42" s="175"/>
    </row>
    <row r="43" spans="2:22" ht="15" customHeight="1">
      <c r="B43" s="204" t="s">
        <v>634</v>
      </c>
      <c r="C43" s="42"/>
      <c r="J43" s="223"/>
      <c r="K43" s="208"/>
      <c r="L43" s="175"/>
      <c r="M43" s="175"/>
      <c r="N43" s="175"/>
      <c r="O43" s="175"/>
      <c r="P43" s="175"/>
    </row>
    <row r="44" spans="2:22" ht="15" customHeight="1">
      <c r="B44" s="200" t="s">
        <v>149</v>
      </c>
      <c r="C44" s="175"/>
      <c r="D44" s="175"/>
      <c r="E44" s="175"/>
      <c r="F44" s="175"/>
      <c r="G44" s="175"/>
      <c r="H44" s="175"/>
      <c r="I44" s="175"/>
      <c r="J44" s="28"/>
      <c r="K44" s="3585" t="s">
        <v>150</v>
      </c>
      <c r="L44" s="3585"/>
      <c r="M44" s="3585"/>
      <c r="N44" s="3585"/>
      <c r="O44" s="3585"/>
      <c r="P44" s="3585"/>
      <c r="Q44" s="3585"/>
      <c r="R44" s="3585"/>
      <c r="S44" s="3585"/>
      <c r="T44" s="3585"/>
      <c r="U44" s="3585"/>
      <c r="V44" s="3585"/>
    </row>
    <row r="45" spans="2:22">
      <c r="B45" s="208"/>
      <c r="C45" s="175"/>
      <c r="D45" s="175"/>
      <c r="E45" s="175"/>
      <c r="F45" s="175"/>
      <c r="G45" s="175"/>
      <c r="H45" s="175"/>
      <c r="I45" s="175"/>
      <c r="J45" s="28"/>
      <c r="K45" s="3585"/>
      <c r="L45" s="3585"/>
      <c r="M45" s="3585"/>
      <c r="N45" s="3585"/>
      <c r="O45" s="3585"/>
      <c r="P45" s="3585"/>
      <c r="Q45" s="3585"/>
      <c r="R45" s="3585"/>
      <c r="S45" s="3585"/>
      <c r="T45" s="3585"/>
      <c r="U45" s="3585"/>
      <c r="V45" s="3585"/>
    </row>
    <row r="46" spans="2:22">
      <c r="B46" s="3585" t="s">
        <v>150</v>
      </c>
      <c r="C46" s="3585"/>
      <c r="D46" s="3585"/>
      <c r="E46" s="3585"/>
      <c r="F46" s="3585"/>
      <c r="G46" s="3585"/>
      <c r="H46" s="211"/>
      <c r="I46" s="224"/>
      <c r="J46" s="28"/>
      <c r="K46" s="3586" t="s">
        <v>151</v>
      </c>
      <c r="L46" s="3586"/>
      <c r="M46" s="3586"/>
      <c r="N46" s="3586"/>
      <c r="O46" s="3586"/>
      <c r="P46" s="3586"/>
      <c r="Q46" s="3586"/>
      <c r="R46" s="3586"/>
      <c r="S46" s="3586"/>
      <c r="T46" s="3586"/>
      <c r="U46" s="3586"/>
      <c r="V46" s="3586"/>
    </row>
    <row r="47" spans="2:22" ht="33.75" customHeight="1">
      <c r="B47" s="3585"/>
      <c r="C47" s="3585"/>
      <c r="D47" s="3585"/>
      <c r="E47" s="3585"/>
      <c r="F47" s="3585"/>
      <c r="G47" s="3585"/>
      <c r="H47" s="211"/>
      <c r="I47" s="224"/>
      <c r="J47" s="28"/>
      <c r="K47" s="3587" t="s">
        <v>715</v>
      </c>
      <c r="L47" s="3587"/>
      <c r="M47" s="3587"/>
      <c r="N47" s="3587"/>
      <c r="O47" s="3587"/>
      <c r="P47" s="3587"/>
      <c r="Q47" s="3587"/>
      <c r="R47" s="3587"/>
      <c r="S47" s="3587"/>
      <c r="T47" s="3587"/>
      <c r="U47" s="3587"/>
      <c r="V47" s="3587"/>
    </row>
    <row r="48" spans="2:22" ht="34.5" customHeight="1">
      <c r="B48" s="3586" t="s">
        <v>151</v>
      </c>
      <c r="C48" s="3586"/>
      <c r="D48" s="3586"/>
      <c r="E48" s="3586"/>
      <c r="F48" s="3586"/>
      <c r="G48" s="3586"/>
      <c r="H48" s="212"/>
      <c r="I48" s="222"/>
      <c r="J48" s="28"/>
      <c r="K48" s="28"/>
      <c r="L48" s="28"/>
      <c r="M48" s="28"/>
      <c r="N48" s="28"/>
      <c r="O48" s="28"/>
    </row>
    <row r="49" spans="2:15" ht="53.25" customHeight="1">
      <c r="B49" s="3587" t="s">
        <v>715</v>
      </c>
      <c r="C49" s="3587"/>
      <c r="D49" s="3587"/>
      <c r="E49" s="3587"/>
      <c r="F49" s="3587"/>
      <c r="G49" s="3587"/>
      <c r="H49" s="213"/>
      <c r="I49" s="223"/>
      <c r="J49" s="28"/>
      <c r="K49" s="28"/>
      <c r="L49" s="28"/>
      <c r="M49" s="28"/>
      <c r="N49" s="28"/>
      <c r="O49" s="28"/>
    </row>
  </sheetData>
  <customSheetViews>
    <customSheetView guid="{2ACFE167-4169-43A6-9AB2-59D5A2DA2DB4}" showPageBreaks="1" printArea="1" hiddenColumns="1" state="hidden">
      <selection activeCell="I20" sqref="I20"/>
      <colBreaks count="2" manualBreakCount="2">
        <brk id="8" max="1048575" man="1"/>
        <brk id="9" max="27" man="1"/>
      </colBreaks>
      <pageMargins left="0" right="0" top="0" bottom="0" header="0" footer="0"/>
      <pageSetup scale="90" orientation="portrait" r:id="rId1"/>
    </customSheetView>
    <customSheetView guid="{967E0446-E234-427F-8E57-7FE287052E2E}" showPageBreaks="1" printArea="1" hiddenColumns="1" state="hidden">
      <selection activeCell="I20" sqref="I20"/>
      <colBreaks count="2" manualBreakCount="2">
        <brk id="8" max="1048575" man="1"/>
        <brk id="9" max="27" man="1"/>
      </colBreaks>
      <pageMargins left="0" right="0" top="0" bottom="0" header="0" footer="0"/>
      <pageSetup scale="90" orientation="portrait" r:id="rId2"/>
    </customSheetView>
    <customSheetView guid="{B2E1A0C6-5BA1-4CF1-B412-16D81FCDF11F}" showPageBreaks="1" printArea="1" hiddenColumns="1" state="hidden">
      <selection activeCell="I20" sqref="I20"/>
      <colBreaks count="2" manualBreakCount="2">
        <brk id="8" max="1048575" man="1"/>
        <brk id="9" max="27" man="1"/>
      </colBreaks>
      <pageMargins left="0" right="0" top="0" bottom="0" header="0" footer="0"/>
      <pageSetup scale="90" orientation="portrait" r:id="rId3"/>
    </customSheetView>
    <customSheetView guid="{46F31544-8E6F-41C5-8628-1D6EE074AF15}" hiddenColumns="1" state="hidden">
      <selection activeCell="I20" sqref="I20"/>
      <colBreaks count="2" manualBreakCount="2">
        <brk id="8" max="1048575" man="1"/>
        <brk id="9" max="27" man="1"/>
      </colBreaks>
      <pageMargins left="0" right="0" top="0" bottom="0" header="0" footer="0"/>
      <pageSetup scale="90" orientation="portrait" r:id="rId4"/>
    </customSheetView>
    <customSheetView guid="{E82B35BE-4719-4C53-A9EF-1CC6F153A6F3}" showPageBreaks="1" printArea="1" hiddenColumns="1" state="hidden">
      <selection activeCell="I20" sqref="I20"/>
      <colBreaks count="2" manualBreakCount="2">
        <brk id="8" max="1048575" man="1"/>
        <brk id="9" max="27" man="1"/>
      </colBreaks>
      <pageMargins left="0" right="0" top="0" bottom="0" header="0" footer="0"/>
      <pageSetup scale="90" orientation="portrait" r:id="rId5"/>
    </customSheetView>
    <customSheetView guid="{B1E1B596-A9A1-411D-A882-A48CB025B978}" showPageBreaks="1" printArea="1" hiddenColumns="1" state="hidden">
      <selection activeCell="I20" sqref="I20"/>
      <colBreaks count="2" manualBreakCount="2">
        <brk id="8" max="1048575" man="1"/>
        <brk id="9" max="27" man="1"/>
      </colBreaks>
      <pageMargins left="0" right="0" top="0" bottom="0" header="0" footer="0"/>
      <pageSetup scale="90" orientation="portrait" r:id="rId6"/>
    </customSheetView>
    <customSheetView guid="{5E394B0B-7867-4722-9497-A93AB2A9A773}" showPageBreaks="1" printArea="1" hiddenColumns="1" state="hidden">
      <selection activeCell="I20" sqref="I20"/>
      <colBreaks count="2" manualBreakCount="2">
        <brk id="8" max="1048575" man="1"/>
        <brk id="9" max="27" man="1"/>
      </colBreaks>
      <pageMargins left="0" right="0" top="0" bottom="0" header="0" footer="0"/>
      <pageSetup scale="90" orientation="portrait" r:id="rId7"/>
    </customSheetView>
  </customSheetViews>
  <mergeCells count="13">
    <mergeCell ref="B49:G49"/>
    <mergeCell ref="B4:G4"/>
    <mergeCell ref="B5:B6"/>
    <mergeCell ref="C5:H5"/>
    <mergeCell ref="B13:B14"/>
    <mergeCell ref="C13:H13"/>
    <mergeCell ref="B21:B22"/>
    <mergeCell ref="C21:H21"/>
    <mergeCell ref="K44:V45"/>
    <mergeCell ref="B46:G47"/>
    <mergeCell ref="K46:V46"/>
    <mergeCell ref="K47:V47"/>
    <mergeCell ref="B48:G48"/>
  </mergeCells>
  <hyperlinks>
    <hyperlink ref="B1" location="'List of tables'!A1" display="'List of tables'!A1" xr:uid="{00000000-0004-0000-5200-000000000000}"/>
  </hyperlinks>
  <pageMargins left="0.7" right="0.7" top="0.75" bottom="0.75" header="0.3" footer="0.3"/>
  <pageSetup scale="90" orientation="portrait" r:id="rId8"/>
  <colBreaks count="2" manualBreakCount="2">
    <brk id="8" max="1048575" man="1"/>
    <brk id="9" max="27" man="1"/>
  </colBreaks>
  <ignoredErrors>
    <ignoredError sqref="G23:H27 G32:H32" evalError="1"/>
  </ignoredErrors>
  <drawing r:id="rId9"/>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tabColor rgb="FFFFFF00"/>
    <pageSetUpPr autoPageBreaks="0"/>
  </sheetPr>
  <dimension ref="B2:G36"/>
  <sheetViews>
    <sheetView topLeftCell="A19" zoomScaleNormal="100" zoomScaleSheetLayoutView="100" workbookViewId="0">
      <selection activeCell="C18" sqref="C18"/>
    </sheetView>
  </sheetViews>
  <sheetFormatPr defaultColWidth="9.140625" defaultRowHeight="12.75" customHeight="1"/>
  <cols>
    <col min="1" max="1" width="4.42578125" style="292" customWidth="1"/>
    <col min="2" max="2" width="29.85546875" style="292" customWidth="1"/>
    <col min="3" max="3" width="53.85546875" style="292" customWidth="1"/>
    <col min="4" max="4" width="9.140625" style="292"/>
    <col min="5" max="5" width="18" style="292" customWidth="1"/>
    <col min="6" max="16384" width="9.140625" style="292"/>
  </cols>
  <sheetData>
    <row r="2" spans="2:7" ht="12.75" customHeight="1">
      <c r="B2" s="295" t="s">
        <v>1083</v>
      </c>
      <c r="G2" s="3727"/>
    </row>
    <row r="3" spans="2:7" ht="12.75" customHeight="1">
      <c r="B3" s="295"/>
      <c r="G3" s="3727"/>
    </row>
    <row r="4" spans="2:7" ht="12.75" customHeight="1">
      <c r="B4" s="3728" t="s">
        <v>1084</v>
      </c>
      <c r="C4" s="3728"/>
      <c r="G4" s="3727"/>
    </row>
    <row r="5" spans="2:7" ht="12.75" customHeight="1">
      <c r="B5" s="295"/>
      <c r="G5" s="413"/>
    </row>
    <row r="6" spans="2:7" ht="18" customHeight="1">
      <c r="B6" s="530" t="s">
        <v>90</v>
      </c>
      <c r="C6" s="530" t="s">
        <v>1085</v>
      </c>
      <c r="G6" s="413"/>
    </row>
    <row r="7" spans="2:7" ht="18" customHeight="1">
      <c r="B7" s="530" t="s">
        <v>1086</v>
      </c>
      <c r="C7" s="530" t="s">
        <v>1087</v>
      </c>
      <c r="G7" s="413"/>
    </row>
    <row r="8" spans="2:7" ht="18" customHeight="1">
      <c r="B8" s="530" t="s">
        <v>92</v>
      </c>
      <c r="C8" s="530" t="s">
        <v>1088</v>
      </c>
      <c r="G8" s="413"/>
    </row>
    <row r="9" spans="2:7" ht="18" customHeight="1">
      <c r="B9" s="530" t="s">
        <v>1089</v>
      </c>
      <c r="C9" s="530" t="s">
        <v>1090</v>
      </c>
      <c r="G9" s="413"/>
    </row>
    <row r="10" spans="2:7" ht="18" customHeight="1">
      <c r="B10" s="530" t="s">
        <v>93</v>
      </c>
      <c r="C10" s="530" t="s">
        <v>1091</v>
      </c>
      <c r="G10" s="413"/>
    </row>
    <row r="11" spans="2:7" ht="18" customHeight="1">
      <c r="B11" s="530" t="s">
        <v>95</v>
      </c>
      <c r="C11" s="530" t="s">
        <v>1092</v>
      </c>
      <c r="G11" s="413"/>
    </row>
    <row r="12" spans="2:7" ht="18" customHeight="1">
      <c r="B12" s="530" t="s">
        <v>1093</v>
      </c>
      <c r="C12" s="530" t="s">
        <v>1094</v>
      </c>
      <c r="G12" s="413"/>
    </row>
    <row r="13" spans="2:7" ht="18" customHeight="1">
      <c r="B13" s="530" t="s">
        <v>96</v>
      </c>
      <c r="C13" s="530" t="s">
        <v>1095</v>
      </c>
      <c r="G13" s="413"/>
    </row>
    <row r="14" spans="2:7" ht="18" customHeight="1">
      <c r="B14" s="530" t="s">
        <v>128</v>
      </c>
      <c r="C14" s="530" t="s">
        <v>1096</v>
      </c>
      <c r="G14" s="413"/>
    </row>
    <row r="15" spans="2:7" ht="18" customHeight="1">
      <c r="B15" s="530" t="s">
        <v>99</v>
      </c>
      <c r="C15" s="530" t="s">
        <v>1097</v>
      </c>
      <c r="G15" s="413"/>
    </row>
    <row r="16" spans="2:7" ht="18" customHeight="1">
      <c r="B16" s="530" t="s">
        <v>1098</v>
      </c>
      <c r="C16" s="530" t="s">
        <v>1099</v>
      </c>
      <c r="G16" s="413"/>
    </row>
    <row r="17" spans="2:7" ht="18" customHeight="1">
      <c r="B17" s="530" t="s">
        <v>100</v>
      </c>
      <c r="C17" s="530" t="s">
        <v>1100</v>
      </c>
      <c r="G17" s="413"/>
    </row>
    <row r="18" spans="2:7" ht="18" customHeight="1">
      <c r="B18" s="530" t="s">
        <v>102</v>
      </c>
      <c r="C18" s="530" t="s">
        <v>1101</v>
      </c>
      <c r="G18" s="413"/>
    </row>
    <row r="19" spans="2:7" ht="18" customHeight="1">
      <c r="B19" s="530" t="s">
        <v>103</v>
      </c>
      <c r="C19" s="530" t="s">
        <v>1102</v>
      </c>
      <c r="G19" s="413"/>
    </row>
    <row r="20" spans="2:7" ht="18" customHeight="1">
      <c r="B20" s="530" t="s">
        <v>1103</v>
      </c>
      <c r="C20" s="530" t="s">
        <v>1104</v>
      </c>
      <c r="G20" s="413"/>
    </row>
    <row r="21" spans="2:7" ht="18" customHeight="1">
      <c r="B21" s="530" t="s">
        <v>105</v>
      </c>
      <c r="C21" s="530" t="s">
        <v>1105</v>
      </c>
      <c r="G21" s="413"/>
    </row>
    <row r="22" spans="2:7" ht="18" customHeight="1">
      <c r="B22" s="530" t="s">
        <v>1106</v>
      </c>
      <c r="C22" s="530" t="s">
        <v>1107</v>
      </c>
      <c r="G22" s="413"/>
    </row>
    <row r="23" spans="2:7" ht="18" customHeight="1">
      <c r="B23" s="530" t="s">
        <v>106</v>
      </c>
      <c r="C23" s="530" t="s">
        <v>1108</v>
      </c>
      <c r="G23" s="413"/>
    </row>
    <row r="24" spans="2:7" ht="18" customHeight="1">
      <c r="B24" s="530" t="s">
        <v>1109</v>
      </c>
      <c r="C24" s="530" t="s">
        <v>1110</v>
      </c>
      <c r="G24" s="413"/>
    </row>
    <row r="25" spans="2:7" ht="18" customHeight="1">
      <c r="B25" s="530" t="s">
        <v>107</v>
      </c>
      <c r="C25" s="530" t="s">
        <v>1111</v>
      </c>
      <c r="G25" s="413"/>
    </row>
    <row r="26" spans="2:7" ht="18" customHeight="1">
      <c r="B26" s="530" t="s">
        <v>109</v>
      </c>
      <c r="C26" s="530" t="s">
        <v>1112</v>
      </c>
      <c r="G26" s="413"/>
    </row>
    <row r="27" spans="2:7" ht="18" customHeight="1">
      <c r="B27" s="530" t="s">
        <v>110</v>
      </c>
      <c r="C27" s="530" t="s">
        <v>1113</v>
      </c>
      <c r="G27" s="413"/>
    </row>
    <row r="28" spans="2:7" ht="18" customHeight="1">
      <c r="B28" s="530" t="s">
        <v>111</v>
      </c>
      <c r="C28" s="530" t="s">
        <v>1114</v>
      </c>
      <c r="G28" s="413"/>
    </row>
    <row r="29" spans="2:7" ht="18" customHeight="1">
      <c r="B29" s="530" t="s">
        <v>112</v>
      </c>
      <c r="C29" s="530" t="s">
        <v>1115</v>
      </c>
      <c r="G29" s="413"/>
    </row>
    <row r="30" spans="2:7" ht="18" customHeight="1">
      <c r="B30" s="530" t="s">
        <v>113</v>
      </c>
      <c r="C30" s="530" t="s">
        <v>1116</v>
      </c>
      <c r="G30" s="413"/>
    </row>
    <row r="31" spans="2:7" ht="18" customHeight="1">
      <c r="B31" s="530" t="s">
        <v>114</v>
      </c>
      <c r="C31" s="530" t="s">
        <v>1117</v>
      </c>
      <c r="G31" s="413"/>
    </row>
    <row r="32" spans="2:7" ht="18" customHeight="1">
      <c r="B32" s="530" t="s">
        <v>116</v>
      </c>
      <c r="C32" s="530" t="s">
        <v>1118</v>
      </c>
      <c r="G32" s="413"/>
    </row>
    <row r="33" spans="2:7" ht="18" customHeight="1">
      <c r="B33" s="530" t="s">
        <v>115</v>
      </c>
      <c r="C33" s="530" t="s">
        <v>1119</v>
      </c>
      <c r="G33" s="413"/>
    </row>
    <row r="34" spans="2:7" ht="12.75" customHeight="1">
      <c r="B34" s="530" t="s">
        <v>117</v>
      </c>
      <c r="C34" s="530" t="s">
        <v>1120</v>
      </c>
      <c r="G34" s="413"/>
    </row>
    <row r="36" spans="2:7" ht="12.75" customHeight="1">
      <c r="C36" s="292">
        <v>195</v>
      </c>
    </row>
  </sheetData>
  <customSheetViews>
    <customSheetView guid="{2ACFE167-4169-43A6-9AB2-59D5A2DA2DB4}" scale="115" printArea="1">
      <selection activeCell="D16" sqref="D16"/>
      <pageMargins left="0" right="0" top="0" bottom="0" header="0" footer="0"/>
      <pageSetup scale="94" orientation="portrait" horizontalDpi="4294967295" verticalDpi="4294967295" r:id="rId1"/>
    </customSheetView>
    <customSheetView guid="{967E0446-E234-427F-8E57-7FE287052E2E}" scale="115" printArea="1">
      <selection activeCell="C6" sqref="C6"/>
      <pageMargins left="0" right="0" top="0" bottom="0" header="0" footer="0"/>
      <pageSetup scale="94" orientation="portrait" horizontalDpi="4294967295" verticalDpi="4294967295" r:id="rId2"/>
    </customSheetView>
    <customSheetView guid="{B2E1A0C6-5BA1-4CF1-B412-16D81FCDF11F}" scale="115" printArea="1">
      <selection activeCell="C6" sqref="C6"/>
      <pageMargins left="0" right="0" top="0" bottom="0" header="0" footer="0"/>
      <pageSetup scale="94" orientation="portrait" horizontalDpi="4294967295" verticalDpi="4294967295" r:id="rId3"/>
    </customSheetView>
    <customSheetView guid="{46F31544-8E6F-41C5-8628-1D6EE074AF15}" scale="115">
      <selection activeCell="E13" sqref="E13"/>
      <pageMargins left="0" right="0" top="0" bottom="0" header="0" footer="0"/>
      <pageSetup scale="94" orientation="portrait" horizontalDpi="4294967295" verticalDpi="4294967295" r:id="rId4"/>
    </customSheetView>
    <customSheetView guid="{B1E1B596-A9A1-411D-A882-A48CB025B978}" scale="115" printArea="1">
      <selection activeCell="B3" sqref="B3:D35"/>
      <pageMargins left="0" right="0" top="0" bottom="0" header="0" footer="0"/>
      <pageSetup scale="94" orientation="portrait" horizontalDpi="4294967295" verticalDpi="4294967295" r:id="rId5"/>
    </customSheetView>
    <customSheetView guid="{5E394B0B-7867-4722-9497-A93AB2A9A773}" scale="115" printArea="1">
      <selection activeCell="B2" sqref="B2"/>
      <pageMargins left="0" right="0" top="0" bottom="0" header="0" footer="0"/>
      <pageSetup scale="94" orientation="portrait" horizontalDpi="4294967295" verticalDpi="4294967295" r:id="rId6"/>
    </customSheetView>
  </customSheetViews>
  <mergeCells count="2">
    <mergeCell ref="G2:G4"/>
    <mergeCell ref="B4:C4"/>
  </mergeCells>
  <pageMargins left="0.7" right="0.7" top="0.75" bottom="0.5" header="0.3" footer="0.3"/>
  <pageSetup scale="94" orientation="portrait" r:id="rId7"/>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7030A0"/>
    <pageSetUpPr autoPageBreaks="0"/>
  </sheetPr>
  <dimension ref="B1:R36"/>
  <sheetViews>
    <sheetView showGridLines="0" view="pageBreakPreview" zoomScaleNormal="100" zoomScaleSheetLayoutView="100" workbookViewId="0">
      <selection activeCell="L12" sqref="L12"/>
    </sheetView>
  </sheetViews>
  <sheetFormatPr defaultColWidth="9.140625" defaultRowHeight="13.15"/>
  <cols>
    <col min="1" max="1" width="3" style="292" customWidth="1"/>
    <col min="2" max="2" width="26.5703125" style="292" customWidth="1"/>
    <col min="3" max="3" width="12" style="292" customWidth="1"/>
    <col min="4" max="4" width="7.5703125" style="292" customWidth="1"/>
    <col min="5" max="5" width="12" style="292" customWidth="1"/>
    <col min="6" max="6" width="7.7109375" style="292" customWidth="1"/>
    <col min="7" max="7" width="12" style="292" customWidth="1"/>
    <col min="8" max="8" width="7.28515625" style="292" customWidth="1"/>
    <col min="9" max="9" width="11.28515625" style="292" customWidth="1"/>
    <col min="10" max="10" width="9.140625" style="292"/>
    <col min="11" max="11" width="11.28515625" style="292" customWidth="1"/>
    <col min="12" max="16384" width="9.140625" style="292"/>
  </cols>
  <sheetData>
    <row r="1" spans="2:18">
      <c r="B1" s="52"/>
    </row>
    <row r="2" spans="2:18">
      <c r="B2" s="3237" t="s">
        <v>161</v>
      </c>
      <c r="C2" s="3237"/>
      <c r="D2" s="3237"/>
    </row>
    <row r="3" spans="2:18">
      <c r="B3" s="458"/>
    </row>
    <row r="4" spans="2:18">
      <c r="B4" s="458"/>
      <c r="C4" s="3240"/>
      <c r="D4" s="3240"/>
      <c r="E4" s="3240"/>
      <c r="F4" s="3240"/>
      <c r="G4" s="3240"/>
      <c r="H4" s="3240"/>
    </row>
    <row r="5" spans="2:18">
      <c r="B5" s="3211" t="s">
        <v>162</v>
      </c>
      <c r="C5" s="3238">
        <v>2018</v>
      </c>
      <c r="D5" s="3239"/>
      <c r="E5" s="3234">
        <v>2019</v>
      </c>
      <c r="F5" s="3236"/>
      <c r="G5" s="3238">
        <v>2020</v>
      </c>
      <c r="H5" s="3239"/>
      <c r="I5" s="3234">
        <v>2021</v>
      </c>
      <c r="J5" s="3236"/>
      <c r="K5" s="3234">
        <v>2022</v>
      </c>
      <c r="L5" s="3236"/>
    </row>
    <row r="6" spans="2:18" ht="26.45">
      <c r="B6" s="3213"/>
      <c r="C6" s="1534" t="s">
        <v>163</v>
      </c>
      <c r="D6" s="1534" t="s">
        <v>159</v>
      </c>
      <c r="E6" s="1598" t="s">
        <v>163</v>
      </c>
      <c r="F6" s="1534" t="s">
        <v>159</v>
      </c>
      <c r="G6" s="1598" t="s">
        <v>163</v>
      </c>
      <c r="H6" s="1534" t="s">
        <v>159</v>
      </c>
      <c r="I6" s="1598" t="s">
        <v>163</v>
      </c>
      <c r="J6" s="1534" t="s">
        <v>159</v>
      </c>
      <c r="K6" s="1598" t="s">
        <v>163</v>
      </c>
      <c r="L6" s="1534" t="s">
        <v>159</v>
      </c>
    </row>
    <row r="7" spans="2:18">
      <c r="B7" s="1597" t="s">
        <v>164</v>
      </c>
      <c r="C7" s="515">
        <v>13711.4</v>
      </c>
      <c r="D7" s="1755">
        <v>72.189780772898317</v>
      </c>
      <c r="E7" s="1756">
        <v>14442.1</v>
      </c>
      <c r="F7" s="1755">
        <v>71.934126344498551</v>
      </c>
      <c r="G7" s="1756">
        <v>17087.900000000001</v>
      </c>
      <c r="H7" s="1755">
        <v>72.476096953483591</v>
      </c>
      <c r="I7" s="1757">
        <v>19969.900000000001</v>
      </c>
      <c r="J7" s="1758">
        <v>74.7</v>
      </c>
      <c r="K7" s="1759">
        <v>23926.9</v>
      </c>
      <c r="L7" s="1759">
        <v>74.7</v>
      </c>
      <c r="M7" s="625"/>
      <c r="N7" s="625"/>
      <c r="O7" s="625"/>
      <c r="P7" s="625"/>
      <c r="Q7" s="625"/>
      <c r="R7" s="625"/>
    </row>
    <row r="8" spans="2:18" ht="26.45">
      <c r="B8" s="1760" t="s">
        <v>165</v>
      </c>
      <c r="C8" s="1755">
        <v>1603.2</v>
      </c>
      <c r="D8" s="1755">
        <v>8.4407614492400924</v>
      </c>
      <c r="E8" s="1756">
        <v>1553.2</v>
      </c>
      <c r="F8" s="1755">
        <v>7.7362769291360083</v>
      </c>
      <c r="G8" s="1756">
        <v>1637.6</v>
      </c>
      <c r="H8" s="1755">
        <v>6.9456666044993662</v>
      </c>
      <c r="I8" s="1757">
        <v>1636.7</v>
      </c>
      <c r="J8" s="1758">
        <v>6.1</v>
      </c>
      <c r="K8" s="1759">
        <v>1830.9</v>
      </c>
      <c r="L8" s="1759">
        <v>6.1</v>
      </c>
      <c r="M8" s="625"/>
      <c r="N8" s="625"/>
      <c r="O8" s="625"/>
      <c r="P8" s="625"/>
      <c r="Q8" s="625"/>
      <c r="R8" s="625"/>
    </row>
    <row r="9" spans="2:18" ht="26.45">
      <c r="B9" s="1760" t="s">
        <v>166</v>
      </c>
      <c r="C9" s="1761">
        <v>241.1</v>
      </c>
      <c r="D9" s="1755">
        <v>1.269378483914537</v>
      </c>
      <c r="E9" s="1756">
        <v>286.7</v>
      </c>
      <c r="F9" s="1755">
        <v>1.4280135176302433</v>
      </c>
      <c r="G9" s="1756">
        <v>415.3</v>
      </c>
      <c r="H9" s="1755">
        <v>1.7614407308552682</v>
      </c>
      <c r="I9" s="1757">
        <v>387.7</v>
      </c>
      <c r="J9" s="1758">
        <v>1.4</v>
      </c>
      <c r="K9" s="1759">
        <v>328.9</v>
      </c>
      <c r="L9" s="1759">
        <v>1.4</v>
      </c>
      <c r="M9" s="625"/>
      <c r="N9" s="625"/>
      <c r="O9" s="625"/>
      <c r="P9" s="625"/>
      <c r="Q9" s="625"/>
      <c r="R9" s="625"/>
    </row>
    <row r="10" spans="2:18">
      <c r="B10" s="1753" t="s">
        <v>167</v>
      </c>
      <c r="C10" s="1755">
        <v>2807.4</v>
      </c>
      <c r="D10" s="1755">
        <v>14.780809438994904</v>
      </c>
      <c r="E10" s="1756">
        <v>3097.9</v>
      </c>
      <c r="F10" s="1755">
        <v>15.430216519939766</v>
      </c>
      <c r="G10" s="1756">
        <v>3639.7</v>
      </c>
      <c r="H10" s="1755">
        <v>15.437312372005586</v>
      </c>
      <c r="I10" s="1757">
        <v>3876.3</v>
      </c>
      <c r="J10" s="1758">
        <v>14.5</v>
      </c>
      <c r="K10" s="1759">
        <v>5292.3</v>
      </c>
      <c r="L10" s="1759">
        <v>14.5</v>
      </c>
      <c r="M10" s="625"/>
      <c r="N10" s="625"/>
      <c r="O10" s="625"/>
      <c r="P10" s="625"/>
      <c r="Q10" s="625"/>
      <c r="R10" s="625"/>
    </row>
    <row r="11" spans="2:18">
      <c r="B11" s="1747" t="s">
        <v>168</v>
      </c>
      <c r="C11" s="623">
        <v>630.44708270227886</v>
      </c>
      <c r="D11" s="1755">
        <v>3.3192698549521427</v>
      </c>
      <c r="E11" s="1762">
        <v>796.79060791906102</v>
      </c>
      <c r="F11" s="1755">
        <v>3.4713666887954271</v>
      </c>
      <c r="G11" s="1762">
        <v>796.79060791906102</v>
      </c>
      <c r="H11" s="1755">
        <v>3.3794833391561863</v>
      </c>
      <c r="I11" s="1757">
        <v>888.3770780000001</v>
      </c>
      <c r="J11" s="1758">
        <v>3.3199216674481278</v>
      </c>
      <c r="K11" s="1759">
        <v>962.29924465639124</v>
      </c>
      <c r="L11" s="1759">
        <v>3.3199216674481278</v>
      </c>
      <c r="M11" s="625"/>
      <c r="N11" s="625"/>
      <c r="O11" s="625"/>
      <c r="P11" s="625"/>
      <c r="Q11" s="625"/>
      <c r="R11" s="625"/>
    </row>
    <row r="12" spans="2:18">
      <c r="B12" s="1754" t="s">
        <v>118</v>
      </c>
      <c r="C12" s="1763">
        <v>18993.54708270228</v>
      </c>
      <c r="D12" s="1754">
        <v>100</v>
      </c>
      <c r="E12" s="1764">
        <f>SUM(E7:E11)</f>
        <v>20176.690607919063</v>
      </c>
      <c r="F12" s="1754">
        <v>100</v>
      </c>
      <c r="G12" s="1764">
        <f>SUM(G7:G11)</f>
        <v>23577.290607919062</v>
      </c>
      <c r="H12" s="1754">
        <v>100</v>
      </c>
      <c r="I12" s="1765">
        <f>SUM(I7:I11)</f>
        <v>26758.977078000004</v>
      </c>
      <c r="J12" s="1765">
        <v>100.01992166744813</v>
      </c>
      <c r="K12" s="1765">
        <f>SUM(K7:K11)</f>
        <v>32341.299244656395</v>
      </c>
      <c r="L12" s="1765">
        <v>100.01992166744813</v>
      </c>
      <c r="M12" s="625"/>
      <c r="N12" s="625"/>
      <c r="O12" s="625"/>
      <c r="P12" s="625"/>
      <c r="Q12" s="625"/>
      <c r="R12" s="625"/>
    </row>
    <row r="14" spans="2:18">
      <c r="B14" s="294" t="s">
        <v>169</v>
      </c>
      <c r="C14" s="294"/>
      <c r="D14" s="294"/>
      <c r="E14" s="294"/>
      <c r="F14" s="294"/>
    </row>
    <row r="15" spans="2:18">
      <c r="B15" s="294" t="s">
        <v>170</v>
      </c>
      <c r="C15" s="294"/>
      <c r="D15" s="294"/>
      <c r="E15" s="294"/>
      <c r="F15" s="294"/>
    </row>
    <row r="16" spans="2:18">
      <c r="J16" s="292">
        <v>5</v>
      </c>
    </row>
    <row r="17" spans="2:8">
      <c r="B17" s="467"/>
    </row>
    <row r="24" spans="2:8">
      <c r="C24" s="637"/>
      <c r="D24" s="636"/>
      <c r="E24" s="637"/>
      <c r="F24" s="636"/>
      <c r="G24" s="637"/>
      <c r="H24" s="636"/>
    </row>
    <row r="25" spans="2:8">
      <c r="C25" s="635"/>
      <c r="D25" s="636"/>
      <c r="E25" s="635"/>
      <c r="F25" s="636"/>
      <c r="G25" s="635"/>
      <c r="H25" s="636"/>
    </row>
    <row r="26" spans="2:8">
      <c r="C26" s="635"/>
      <c r="D26" s="636"/>
      <c r="E26" s="635"/>
      <c r="F26" s="636"/>
      <c r="G26" s="635"/>
      <c r="H26" s="636"/>
    </row>
    <row r="27" spans="2:8">
      <c r="C27" s="635"/>
      <c r="D27" s="636"/>
      <c r="E27" s="635"/>
      <c r="F27" s="636"/>
      <c r="G27" s="635"/>
      <c r="H27" s="636"/>
    </row>
    <row r="28" spans="2:8">
      <c r="C28" s="635"/>
      <c r="D28" s="636"/>
      <c r="E28" s="635"/>
      <c r="F28" s="636"/>
      <c r="G28" s="635"/>
      <c r="H28" s="636"/>
    </row>
    <row r="29" spans="2:8">
      <c r="C29" s="638"/>
      <c r="D29" s="639"/>
      <c r="E29" s="638"/>
      <c r="F29" s="639"/>
      <c r="G29" s="638"/>
      <c r="H29" s="639"/>
    </row>
    <row r="31" spans="2:8">
      <c r="C31" s="640"/>
      <c r="D31" s="640"/>
      <c r="E31" s="640"/>
      <c r="F31" s="640"/>
      <c r="G31" s="640"/>
      <c r="H31" s="640"/>
    </row>
    <row r="32" spans="2:8">
      <c r="C32" s="640"/>
      <c r="D32" s="640"/>
      <c r="E32" s="640"/>
      <c r="F32" s="640"/>
      <c r="G32" s="640"/>
      <c r="H32" s="640"/>
    </row>
    <row r="33" spans="3:8">
      <c r="C33" s="640"/>
      <c r="D33" s="640"/>
      <c r="E33" s="640"/>
      <c r="F33" s="640"/>
      <c r="G33" s="640"/>
      <c r="H33" s="640"/>
    </row>
    <row r="34" spans="3:8">
      <c r="C34" s="640"/>
      <c r="D34" s="640"/>
      <c r="E34" s="640"/>
      <c r="F34" s="640"/>
      <c r="G34" s="640"/>
      <c r="H34" s="640"/>
    </row>
    <row r="35" spans="3:8">
      <c r="C35" s="640"/>
      <c r="D35" s="640"/>
      <c r="E35" s="640"/>
      <c r="F35" s="640"/>
      <c r="G35" s="640"/>
      <c r="H35" s="640"/>
    </row>
    <row r="36" spans="3:8">
      <c r="C36" s="640"/>
      <c r="D36" s="640"/>
      <c r="E36" s="640"/>
      <c r="F36" s="640"/>
      <c r="G36" s="640"/>
      <c r="H36" s="640"/>
    </row>
  </sheetData>
  <mergeCells count="8">
    <mergeCell ref="K5:L5"/>
    <mergeCell ref="I5:J5"/>
    <mergeCell ref="E5:F5"/>
    <mergeCell ref="B2:D2"/>
    <mergeCell ref="C5:D5"/>
    <mergeCell ref="C4:H4"/>
    <mergeCell ref="G5:H5"/>
    <mergeCell ref="B5:B6"/>
  </mergeCells>
  <pageMargins left="0.85" right="0.75" top="0.75" bottom="0.1" header="0.3" footer="0.3"/>
  <pageSetup paperSize="9" scale="8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e70fce5f-942b-4e67-9168-4c98bc0243c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D9B36E66B07E441BF23D5213A10DB92" ma:contentTypeVersion="15" ma:contentTypeDescription="Create a new document." ma:contentTypeScope="" ma:versionID="024085e31c2f457ce20d3f86c72a0263">
  <xsd:schema xmlns:xsd="http://www.w3.org/2001/XMLSchema" xmlns:xs="http://www.w3.org/2001/XMLSchema" xmlns:p="http://schemas.microsoft.com/office/2006/metadata/properties" xmlns:ns3="e70fce5f-942b-4e67-9168-4c98bc0243c3" xmlns:ns4="5a496488-0a61-4227-9f72-820dd39289b9" targetNamespace="http://schemas.microsoft.com/office/2006/metadata/properties" ma:root="true" ma:fieldsID="53da7fc99ca3fd445b88dc3ca84d29ba" ns3:_="" ns4:_="">
    <xsd:import namespace="e70fce5f-942b-4e67-9168-4c98bc0243c3"/>
    <xsd:import namespace="5a496488-0a61-4227-9f72-820dd39289b9"/>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0fce5f-942b-4e67-9168-4c98bc0243c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a496488-0a61-4227-9f72-820dd39289b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69F9AF1-2F8E-4FD4-BABB-6A8E75C23398}"/>
</file>

<file path=customXml/itemProps2.xml><?xml version="1.0" encoding="utf-8"?>
<ds:datastoreItem xmlns:ds="http://schemas.openxmlformats.org/officeDocument/2006/customXml" ds:itemID="{82E05E96-0A8C-4092-ADA8-D2026201347F}"/>
</file>

<file path=customXml/itemProps3.xml><?xml version="1.0" encoding="utf-8"?>
<ds:datastoreItem xmlns:ds="http://schemas.openxmlformats.org/officeDocument/2006/customXml" ds:itemID="{F1604F36-10F9-4A22-8FFD-D6C1E2076319}"/>
</file>

<file path=docProps/app.xml><?xml version="1.0" encoding="utf-8"?>
<Properties xmlns="http://schemas.openxmlformats.org/officeDocument/2006/extended-properties" xmlns:vt="http://schemas.openxmlformats.org/officeDocument/2006/docPropsVTypes">
  <Application>Microsoft Excel Online</Application>
  <Manager/>
  <Company>Hewlett-Packard Company</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chathuri</dc:creator>
  <cp:keywords/>
  <dc:description/>
  <cp:lastModifiedBy>Chamari Ekanayake</cp:lastModifiedBy>
  <cp:revision/>
  <dcterms:created xsi:type="dcterms:W3CDTF">2011-03-07T05:42:47Z</dcterms:created>
  <dcterms:modified xsi:type="dcterms:W3CDTF">2023-10-25T10:28:13Z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0x010100BD9B36E66B07E441BF23D5213A10DB92</vt:lpwstr>
  </property>
</Properties>
</file>